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69972FBD-3BDF-4EF4-9186-BA821FDD585B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</calcChain>
</file>

<file path=xl/sharedStrings.xml><?xml version="1.0" encoding="utf-8"?>
<sst xmlns="http://schemas.openxmlformats.org/spreadsheetml/2006/main" count="13208" uniqueCount="73">
  <si>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</si>
  <si>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</si>
  <si>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</si>
  <si>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</si>
  <si>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</si>
  <si>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</si>
  <si>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</si>
  <si>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</si>
  <si>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</si>
  <si>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</si>
  <si>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</si>
  <si>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</si>
  <si>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</si>
  <si>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</si>
  <si>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</si>
  <si>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</si>
  <si>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</si>
  <si>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</si>
  <si>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</si>
  <si>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</si>
  <si>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</si>
  <si>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</si>
  <si>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</si>
  <si>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</si>
  <si>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</si>
  <si>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</si>
  <si>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</si>
  <si>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</si>
  <si>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</si>
  <si>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</si>
  <si>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</si>
  <si>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</si>
  <si>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</si>
  <si>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</si>
  <si>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</si>
  <si>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</si>
  <si>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</si>
  <si>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</si>
  <si>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</si>
  <si>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</si>
  <si>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</si>
  <si>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Kooper</t>
  </si>
  <si>
    <t>mcp_road_part_02</t>
  </si>
  <si>
    <t>Plane_01</t>
  </si>
  <si>
    <t>FAR</t>
  </si>
  <si>
    <t>Building 18 (9)</t>
  </si>
  <si>
    <t>Pilar Small (27)</t>
  </si>
  <si>
    <t>Building 03</t>
  </si>
  <si>
    <t>mcp_bus_stop_night_LOD_0</t>
  </si>
  <si>
    <t>Floor 01</t>
  </si>
  <si>
    <t>Building 07 (16)</t>
  </si>
  <si>
    <t>mcp_roads_turn_01 (1)</t>
  </si>
  <si>
    <t>Box001</t>
  </si>
  <si>
    <t>mcp_roads_T_cross_01</t>
  </si>
  <si>
    <t>mcp_road_part_01</t>
  </si>
  <si>
    <t>mcp_roads_cross_01</t>
  </si>
  <si>
    <t>Building 15 (33)</t>
  </si>
  <si>
    <t>Building 09 (4)</t>
  </si>
  <si>
    <t>mcp_roads_cross_02</t>
  </si>
  <si>
    <t>mcp_roads_turn_01</t>
  </si>
  <si>
    <t>Building 15 (32)</t>
  </si>
  <si>
    <t>mcp_road_part_02 (1)</t>
  </si>
  <si>
    <t>mcp_road_part_02 (2)</t>
  </si>
  <si>
    <t>mcp_road_part_02 (3)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</si>
  <si>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</si>
  <si>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</si>
  <si>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</si>
  <si>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</si>
  <si>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</si>
  <si>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</si>
  <si>
    <t>Building 15 (22)</t>
  </si>
  <si>
    <t>Plane_01 (1)</t>
  </si>
  <si>
    <t>Building 23 (3)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</si>
</sst>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585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"20190312151220649"</f>
        <v>20190312151220649</v>
      </c>
      <c r="B2" t="str">
        <f>"1552374740639262"</f>
        <v>1552374740639262</v>
      </c>
      <c r="C2" t="s">
        <v>40</v>
      </c>
      <c r="D2">
        <v>4.6972519999999998</v>
      </c>
      <c r="E2">
        <v>0.54260459999999899</v>
      </c>
      <c r="F2" t="s">
        <v>41</v>
      </c>
      <c r="G2">
        <v>-475.93439999999998</v>
      </c>
      <c r="H2">
        <v>0.90214510000000003</v>
      </c>
      <c r="I2">
        <v>367.1035</v>
      </c>
      <c r="J2">
        <v>-476.5951</v>
      </c>
      <c r="K2">
        <v>1.109486</v>
      </c>
      <c r="L2">
        <v>367.21480000000003</v>
      </c>
      <c r="M2">
        <v>0.99997139999999995</v>
      </c>
      <c r="N2">
        <v>0</v>
      </c>
      <c r="O2">
        <v>3.1634609999999999E-4</v>
      </c>
      <c r="P2">
        <v>0.99564070000000005</v>
      </c>
      <c r="Q2">
        <v>8.1831769999999998E-2</v>
      </c>
      <c r="R2">
        <v>-4.4757579999999998E-2</v>
      </c>
      <c r="S2">
        <v>3.067078</v>
      </c>
      <c r="T2">
        <v>-0.94683499999999998</v>
      </c>
      <c r="U2">
        <v>-0.50726320000000003</v>
      </c>
      <c r="V2">
        <v>4.5068160000000003E-2</v>
      </c>
      <c r="W2">
        <v>8.9358499999999993E-2</v>
      </c>
      <c r="X2">
        <v>0.99497939999999996</v>
      </c>
      <c r="Y2">
        <v>0.1563784</v>
      </c>
      <c r="Z2">
        <v>-2.3534599999999999E-2</v>
      </c>
      <c r="AA2">
        <v>0.98741679999999998</v>
      </c>
      <c r="AB2">
        <v>1</v>
      </c>
      <c r="AC2">
        <v>0.66070000000001905</v>
      </c>
      <c r="AD2">
        <v>-0.20734089999999999</v>
      </c>
      <c r="AE2">
        <v>-0.111300000000028</v>
      </c>
      <c r="AF2">
        <v>0.101763581466875</v>
      </c>
      <c r="AG2">
        <v>-0.20734089999999999</v>
      </c>
      <c r="AH2">
        <v>0.60292537456208395</v>
      </c>
      <c r="AI2">
        <v>108.731559903</v>
      </c>
      <c r="AJ2">
        <v>80.419736096786707</v>
      </c>
      <c r="AK2">
        <v>0.64565089840919798</v>
      </c>
      <c r="AL2">
        <v>84.873297073055994</v>
      </c>
      <c r="AM2">
        <v>87.406527650953393</v>
      </c>
      <c r="AN2">
        <v>1.00000004349619</v>
      </c>
    </row>
    <row r="3" spans="1:40" x14ac:dyDescent="0.25">
      <c r="A3" t="str">
        <f>"20190312151220673"</f>
        <v>20190312151220673</v>
      </c>
      <c r="B3" t="str">
        <f>"1552374740669520"</f>
        <v>1552374740669520</v>
      </c>
      <c r="C3" t="s">
        <v>40</v>
      </c>
      <c r="D3">
        <v>4.6612460000000002</v>
      </c>
      <c r="E3">
        <v>0.54253490000000004</v>
      </c>
      <c r="F3" t="s">
        <v>41</v>
      </c>
      <c r="G3">
        <v>-475.92239999999998</v>
      </c>
      <c r="H3">
        <v>0.90211260000000004</v>
      </c>
      <c r="I3">
        <v>367.1035</v>
      </c>
      <c r="J3">
        <v>-476.58179999999999</v>
      </c>
      <c r="K3">
        <v>1.1094660000000001</v>
      </c>
      <c r="L3">
        <v>367.2149</v>
      </c>
      <c r="M3">
        <v>0.99997590000000003</v>
      </c>
      <c r="N3">
        <v>0</v>
      </c>
      <c r="O3">
        <v>3.8427470000000001E-4</v>
      </c>
      <c r="P3">
        <v>0.99565959999999998</v>
      </c>
      <c r="Q3">
        <v>8.1999299999999997E-2</v>
      </c>
      <c r="R3">
        <v>-4.4026950000000002E-2</v>
      </c>
      <c r="S3">
        <v>3.068146</v>
      </c>
      <c r="T3">
        <v>-0.94594619999999996</v>
      </c>
      <c r="U3">
        <v>-0.50585939999999996</v>
      </c>
      <c r="V3">
        <v>4.4405760000000002E-2</v>
      </c>
      <c r="W3">
        <v>8.8913489999999998E-2</v>
      </c>
      <c r="X3">
        <v>0.99504899999999996</v>
      </c>
      <c r="Y3">
        <v>0.15598229999999999</v>
      </c>
      <c r="Z3">
        <v>-2.3467600000000002E-2</v>
      </c>
      <c r="AA3">
        <v>0.98748100000000005</v>
      </c>
      <c r="AB3">
        <v>1</v>
      </c>
      <c r="AC3">
        <v>0.65940000000000498</v>
      </c>
      <c r="AD3">
        <v>-0.20735339999999999</v>
      </c>
      <c r="AE3">
        <v>-0.111400000000003</v>
      </c>
      <c r="AF3">
        <v>0.101860546788328</v>
      </c>
      <c r="AG3">
        <v>-0.20735339999999999</v>
      </c>
      <c r="AH3">
        <v>0.60152656236804403</v>
      </c>
      <c r="AI3">
        <v>108.771534854203</v>
      </c>
      <c r="AJ3">
        <v>80.388893344257298</v>
      </c>
      <c r="AK3">
        <v>0.64436418950613095</v>
      </c>
      <c r="AL3">
        <v>84.898895923757607</v>
      </c>
      <c r="AM3">
        <v>87.444773426578607</v>
      </c>
      <c r="AN3">
        <v>0.99999999631307801</v>
      </c>
    </row>
    <row r="4" spans="1:40" x14ac:dyDescent="0.25">
      <c r="A4" t="str">
        <f>"20190312151220695"</f>
        <v>20190312151220695</v>
      </c>
      <c r="B4" t="str">
        <f>"1552374740689038"</f>
        <v>1552374740689038</v>
      </c>
      <c r="C4" t="s">
        <v>40</v>
      </c>
      <c r="D4">
        <v>4.9932889999999999</v>
      </c>
      <c r="E4">
        <v>0.5424312</v>
      </c>
      <c r="F4" t="s">
        <v>41</v>
      </c>
      <c r="G4">
        <v>-475.9126</v>
      </c>
      <c r="H4">
        <v>0.90309930000000005</v>
      </c>
      <c r="I4">
        <v>367.10539999999997</v>
      </c>
      <c r="J4">
        <v>-476.56920000000002</v>
      </c>
      <c r="K4">
        <v>1.109577</v>
      </c>
      <c r="L4">
        <v>367.21499999999997</v>
      </c>
      <c r="M4">
        <v>0.99997619999999998</v>
      </c>
      <c r="N4">
        <v>0</v>
      </c>
      <c r="O4">
        <v>4.2884640000000001E-4</v>
      </c>
      <c r="P4">
        <v>0.99572660000000002</v>
      </c>
      <c r="Q4">
        <v>8.1582199999999994E-2</v>
      </c>
      <c r="R4">
        <v>-4.3274119999999999E-2</v>
      </c>
      <c r="S4">
        <v>3.0687869999999999</v>
      </c>
      <c r="T4">
        <v>-0.94635959999999997</v>
      </c>
      <c r="U4">
        <v>-0.50286869999999995</v>
      </c>
      <c r="V4">
        <v>4.3699780000000001E-2</v>
      </c>
      <c r="W4">
        <v>8.8439950000000003E-2</v>
      </c>
      <c r="X4">
        <v>0.99512239999999996</v>
      </c>
      <c r="Y4">
        <v>0.155089899999999</v>
      </c>
      <c r="Z4">
        <v>-2.3354199999999999E-2</v>
      </c>
      <c r="AA4">
        <v>0.98762430000000001</v>
      </c>
      <c r="AB4">
        <v>1</v>
      </c>
      <c r="AC4">
        <v>0.65660000000002505</v>
      </c>
      <c r="AD4">
        <v>-0.20647769999999999</v>
      </c>
      <c r="AE4">
        <v>-0.1096</v>
      </c>
      <c r="AF4">
        <v>0.100237923373897</v>
      </c>
      <c r="AG4">
        <v>-0.20647769999999999</v>
      </c>
      <c r="AH4">
        <v>0.59893118295889802</v>
      </c>
      <c r="AI4">
        <v>108.77878435015199</v>
      </c>
      <c r="AJ4">
        <v>80.498956219088697</v>
      </c>
      <c r="AK4">
        <v>0.64140411894541705</v>
      </c>
      <c r="AL4">
        <v>84.926134807378403</v>
      </c>
      <c r="AM4">
        <v>87.485530084182301</v>
      </c>
      <c r="AN4">
        <v>0.99999994325490305</v>
      </c>
    </row>
    <row r="5" spans="1:40" x14ac:dyDescent="0.25">
      <c r="A5" t="str">
        <f>"20190312151220717"</f>
        <v>20190312151220717</v>
      </c>
      <c r="B5" t="str">
        <f>"1552374740709535"</f>
        <v>1552374740709535</v>
      </c>
      <c r="C5" t="s">
        <v>40</v>
      </c>
      <c r="D5">
        <v>4.7607889999999999</v>
      </c>
      <c r="E5">
        <v>0.54235049999999996</v>
      </c>
      <c r="F5" t="s">
        <v>41</v>
      </c>
      <c r="G5">
        <v>-475.89909999999998</v>
      </c>
      <c r="H5">
        <v>0.90350830000000004</v>
      </c>
      <c r="I5">
        <v>367.10539999999997</v>
      </c>
      <c r="J5">
        <v>-476.55270000000002</v>
      </c>
      <c r="K5">
        <v>1.109418</v>
      </c>
      <c r="L5">
        <v>367.21510000000001</v>
      </c>
      <c r="M5">
        <v>0.99998220000000004</v>
      </c>
      <c r="N5">
        <v>0</v>
      </c>
      <c r="O5">
        <v>4.9607089999999905E-4</v>
      </c>
      <c r="P5">
        <v>0.99571589999999999</v>
      </c>
      <c r="Q5">
        <v>8.2141710000000007E-2</v>
      </c>
      <c r="R5">
        <v>-4.2459160000000003E-2</v>
      </c>
      <c r="S5">
        <v>3.0685730000000002</v>
      </c>
      <c r="T5">
        <v>-0.94397399999999998</v>
      </c>
      <c r="U5">
        <v>-0.49963380000000002</v>
      </c>
      <c r="V5">
        <v>4.2951700000000002E-2</v>
      </c>
      <c r="W5">
        <v>8.8074699999999895E-2</v>
      </c>
      <c r="X5">
        <v>0.99518740000000006</v>
      </c>
      <c r="Y5">
        <v>0.15422149999999901</v>
      </c>
      <c r="Z5">
        <v>-2.3191590000000002E-2</v>
      </c>
      <c r="AA5">
        <v>0.98776410000000003</v>
      </c>
      <c r="AB5">
        <v>1</v>
      </c>
      <c r="AC5">
        <v>0.65360000000003904</v>
      </c>
      <c r="AD5">
        <v>-0.2059097</v>
      </c>
      <c r="AE5">
        <v>-0.10970000000003199</v>
      </c>
      <c r="AF5">
        <v>0.10033849918004201</v>
      </c>
      <c r="AG5">
        <v>-0.2059097</v>
      </c>
      <c r="AH5">
        <v>0.59601215161481103</v>
      </c>
      <c r="AI5">
        <v>108.81320531445201</v>
      </c>
      <c r="AJ5">
        <v>80.443875988621201</v>
      </c>
      <c r="AK5">
        <v>0.63851163172201397</v>
      </c>
      <c r="AL5">
        <v>84.947144268767701</v>
      </c>
      <c r="AM5">
        <v>87.528681728177304</v>
      </c>
      <c r="AN5">
        <v>0.99999998121586897</v>
      </c>
    </row>
    <row r="6" spans="1:40" x14ac:dyDescent="0.25">
      <c r="A6" t="str">
        <f>"20190312151220740"</f>
        <v>20190312151220740</v>
      </c>
      <c r="B6" t="str">
        <f>"1552374740729055"</f>
        <v>1552374740729055</v>
      </c>
      <c r="C6" t="s">
        <v>40</v>
      </c>
      <c r="D6">
        <v>4.5696139999999996</v>
      </c>
      <c r="E6">
        <v>0.54224309999999998</v>
      </c>
      <c r="F6" t="s">
        <v>41</v>
      </c>
      <c r="G6">
        <v>-475.88229999999999</v>
      </c>
      <c r="H6">
        <v>0.90438249999999998</v>
      </c>
      <c r="I6">
        <v>367.10649999999998</v>
      </c>
      <c r="J6">
        <v>-476.53199999999998</v>
      </c>
      <c r="K6">
        <v>1.1092219999999999</v>
      </c>
      <c r="L6">
        <v>367.21519999999998</v>
      </c>
      <c r="M6">
        <v>0.99998810000000005</v>
      </c>
      <c r="N6">
        <v>0</v>
      </c>
      <c r="O6">
        <v>5.8960149999999999E-4</v>
      </c>
      <c r="P6">
        <v>0.99568100000000004</v>
      </c>
      <c r="Q6">
        <v>8.2802180000000003E-2</v>
      </c>
      <c r="R6">
        <v>-4.199174E-2</v>
      </c>
      <c r="S6">
        <v>3.0691830000000002</v>
      </c>
      <c r="T6">
        <v>-0.93880359999999996</v>
      </c>
      <c r="U6">
        <v>-0.4961853</v>
      </c>
      <c r="V6">
        <v>4.2576639999999999E-2</v>
      </c>
      <c r="W6">
        <v>8.7615360000000003E-2</v>
      </c>
      <c r="X6">
        <v>0.99524409999999996</v>
      </c>
      <c r="Y6">
        <v>0.15331320000000001</v>
      </c>
      <c r="Z6">
        <v>-2.2960439999999999E-2</v>
      </c>
      <c r="AA6">
        <v>0.98791090000000004</v>
      </c>
      <c r="AB6">
        <v>2</v>
      </c>
      <c r="AC6">
        <v>0.64969999999999495</v>
      </c>
      <c r="AD6">
        <v>-0.20483949999999901</v>
      </c>
      <c r="AE6">
        <v>-0.10869999999999801</v>
      </c>
      <c r="AF6">
        <v>9.9465096287786506E-2</v>
      </c>
      <c r="AG6">
        <v>-0.20483949999999901</v>
      </c>
      <c r="AH6">
        <v>0.59235680746503305</v>
      </c>
      <c r="AI6">
        <v>108.830914447919</v>
      </c>
      <c r="AJ6">
        <v>80.468147524419706</v>
      </c>
      <c r="AK6">
        <v>0.634617296872655</v>
      </c>
      <c r="AL6">
        <v>84.973564845885605</v>
      </c>
      <c r="AM6">
        <v>87.550374599598996</v>
      </c>
      <c r="AN6">
        <v>1.00000002008321</v>
      </c>
    </row>
    <row r="7" spans="1:40" x14ac:dyDescent="0.25">
      <c r="A7" t="str">
        <f>"20190312151220762"</f>
        <v>20190312151220762</v>
      </c>
      <c r="B7" t="str">
        <f>"1552374740759310"</f>
        <v>1552374740759310</v>
      </c>
      <c r="C7" t="s">
        <v>40</v>
      </c>
      <c r="D7">
        <v>5.004397</v>
      </c>
      <c r="E7">
        <v>0.54213009999999995</v>
      </c>
      <c r="F7" t="s">
        <v>41</v>
      </c>
      <c r="G7">
        <v>-475.86279999999999</v>
      </c>
      <c r="H7">
        <v>0.90581440000000002</v>
      </c>
      <c r="I7">
        <v>367.1071</v>
      </c>
      <c r="J7">
        <v>-476.5093</v>
      </c>
      <c r="K7">
        <v>1.109105</v>
      </c>
      <c r="L7">
        <v>367.21530000000001</v>
      </c>
      <c r="M7">
        <v>0.99999199999999999</v>
      </c>
      <c r="N7">
        <v>0</v>
      </c>
      <c r="O7">
        <v>6.940599E-4</v>
      </c>
      <c r="P7">
        <v>0.99566080000000001</v>
      </c>
      <c r="Q7">
        <v>8.3008799999999994E-2</v>
      </c>
      <c r="R7">
        <v>-4.20571E-2</v>
      </c>
      <c r="S7">
        <v>3.0697329999999998</v>
      </c>
      <c r="T7">
        <v>-0.93321359999999998</v>
      </c>
      <c r="U7">
        <v>-0.49368289999999998</v>
      </c>
      <c r="V7">
        <v>4.2745100000000001E-2</v>
      </c>
      <c r="W7">
        <v>8.6921830000000005E-2</v>
      </c>
      <c r="X7">
        <v>0.99529769999999895</v>
      </c>
      <c r="Y7">
        <v>0.1527067</v>
      </c>
      <c r="Z7">
        <v>-2.276833E-2</v>
      </c>
      <c r="AA7">
        <v>0.98800929999999998</v>
      </c>
      <c r="AB7">
        <v>2</v>
      </c>
      <c r="AC7">
        <v>0.64650000000000296</v>
      </c>
      <c r="AD7">
        <v>-0.20329059999999999</v>
      </c>
      <c r="AE7">
        <v>-0.10820000000001</v>
      </c>
      <c r="AF7">
        <v>9.9115429183700601E-2</v>
      </c>
      <c r="AG7">
        <v>-0.20329059999999999</v>
      </c>
      <c r="AH7">
        <v>0.58970492750028702</v>
      </c>
      <c r="AI7">
        <v>108.776197396142</v>
      </c>
      <c r="AJ7">
        <v>80.459111975799203</v>
      </c>
      <c r="AK7">
        <v>0.63158755360499896</v>
      </c>
      <c r="AL7">
        <v>85.013453418732794</v>
      </c>
      <c r="AM7">
        <v>87.5408264946402</v>
      </c>
      <c r="AN7">
        <v>1.0000000298649201</v>
      </c>
    </row>
    <row r="8" spans="1:40" x14ac:dyDescent="0.25">
      <c r="A8" t="str">
        <f>"20190312151220785"</f>
        <v>20190312151220785</v>
      </c>
      <c r="B8" t="str">
        <f>"1552374740779806"</f>
        <v>1552374740779806</v>
      </c>
      <c r="C8" t="s">
        <v>40</v>
      </c>
      <c r="D8">
        <v>5.3777489999999997</v>
      </c>
      <c r="E8">
        <v>0.542079599999999</v>
      </c>
      <c r="F8" t="s">
        <v>41</v>
      </c>
      <c r="G8">
        <v>-475.84120000000001</v>
      </c>
      <c r="H8">
        <v>0.90725670000000003</v>
      </c>
      <c r="I8">
        <v>367.10770000000002</v>
      </c>
      <c r="J8">
        <v>-476.48520000000002</v>
      </c>
      <c r="K8">
        <v>1.1091979999999999</v>
      </c>
      <c r="L8">
        <v>367.21539999999999</v>
      </c>
      <c r="M8">
        <v>0.99999260000000001</v>
      </c>
      <c r="N8">
        <v>0</v>
      </c>
      <c r="O8">
        <v>7.7418429999999904E-4</v>
      </c>
      <c r="P8">
        <v>0.99570729999999996</v>
      </c>
      <c r="Q8">
        <v>8.2541939999999994E-2</v>
      </c>
      <c r="R8">
        <v>-4.188091E-2</v>
      </c>
      <c r="S8">
        <v>3.0696110000000001</v>
      </c>
      <c r="T8">
        <v>-0.92748129999999995</v>
      </c>
      <c r="U8">
        <v>-0.4921875</v>
      </c>
      <c r="V8">
        <v>4.2650029999999998E-2</v>
      </c>
      <c r="W8">
        <v>8.630475E-2</v>
      </c>
      <c r="X8">
        <v>0.9953554</v>
      </c>
      <c r="Y8">
        <v>0.15241199999999999</v>
      </c>
      <c r="Z8">
        <v>-2.2616270000000001E-2</v>
      </c>
      <c r="AA8">
        <v>0.98805829999999994</v>
      </c>
      <c r="AB8">
        <v>2</v>
      </c>
      <c r="AC8">
        <v>0.64400000000000501</v>
      </c>
      <c r="AD8">
        <v>-0.20194129999999999</v>
      </c>
      <c r="AE8">
        <v>-0.107699999999965</v>
      </c>
      <c r="AF8">
        <v>9.8752558414471406E-2</v>
      </c>
      <c r="AG8">
        <v>-0.20194129999999999</v>
      </c>
      <c r="AH8">
        <v>0.58770100824974503</v>
      </c>
      <c r="AI8">
        <v>108.719554923525</v>
      </c>
      <c r="AJ8">
        <v>80.4615827633218</v>
      </c>
      <c r="AK8">
        <v>0.62922558080298996</v>
      </c>
      <c r="AL8">
        <v>85.048942488506796</v>
      </c>
      <c r="AM8">
        <v>87.546431351830194</v>
      </c>
      <c r="AN8">
        <v>0.99999995362035998</v>
      </c>
    </row>
    <row r="9" spans="1:40" x14ac:dyDescent="0.25">
      <c r="A9" t="str">
        <f>"20190312151220808"</f>
        <v>20190312151220808</v>
      </c>
      <c r="B9" t="str">
        <f>"1552374740799327"</f>
        <v>1552374740799327</v>
      </c>
      <c r="C9" t="s">
        <v>40</v>
      </c>
      <c r="D9">
        <v>4.7468070000000004</v>
      </c>
      <c r="E9">
        <v>0.54200139999999997</v>
      </c>
      <c r="F9" t="s">
        <v>41</v>
      </c>
      <c r="G9">
        <v>-475.81990000000002</v>
      </c>
      <c r="H9">
        <v>0.90856519999999996</v>
      </c>
      <c r="I9">
        <v>367.10849999999999</v>
      </c>
      <c r="J9">
        <v>-476.45920000000001</v>
      </c>
      <c r="K9">
        <v>1.109159</v>
      </c>
      <c r="L9">
        <v>367.21550000000002</v>
      </c>
      <c r="M9">
        <v>0.9999943</v>
      </c>
      <c r="N9">
        <v>0</v>
      </c>
      <c r="O9">
        <v>8.5904519999999997E-4</v>
      </c>
      <c r="P9">
        <v>0.9956817</v>
      </c>
      <c r="Q9">
        <v>8.271945E-2</v>
      </c>
      <c r="R9">
        <v>-4.2136800000000002E-2</v>
      </c>
      <c r="S9">
        <v>3.069</v>
      </c>
      <c r="T9">
        <v>-0.92564239999999998</v>
      </c>
      <c r="U9">
        <v>-0.49087520000000001</v>
      </c>
      <c r="V9">
        <v>4.2990050000000002E-2</v>
      </c>
      <c r="W9">
        <v>8.5950840000000001E-2</v>
      </c>
      <c r="X9">
        <v>0.99537149999999996</v>
      </c>
      <c r="Y9">
        <v>0.15214530000000001</v>
      </c>
      <c r="Z9">
        <v>-2.256404E-2</v>
      </c>
      <c r="AA9">
        <v>0.98810050000000005</v>
      </c>
      <c r="AB9">
        <v>2</v>
      </c>
      <c r="AC9">
        <v>0.63929999999999099</v>
      </c>
      <c r="AD9">
        <v>-0.20059379999999999</v>
      </c>
      <c r="AE9">
        <v>-0.107000000000027</v>
      </c>
      <c r="AF9">
        <v>9.81494329133E-2</v>
      </c>
      <c r="AG9">
        <v>-0.20059379999999999</v>
      </c>
      <c r="AH9">
        <v>0.58334154169429597</v>
      </c>
      <c r="AI9">
        <v>108.731995117995</v>
      </c>
      <c r="AJ9">
        <v>80.449222143291905</v>
      </c>
      <c r="AK9">
        <v>0.62462671896575195</v>
      </c>
      <c r="AL9">
        <v>85.0692961810838</v>
      </c>
      <c r="AM9">
        <v>87.526934842839296</v>
      </c>
      <c r="AN9">
        <v>1.00000005715397</v>
      </c>
    </row>
    <row r="10" spans="1:40" x14ac:dyDescent="0.25">
      <c r="A10" t="str">
        <f>"20190312151220828"</f>
        <v>20190312151220828</v>
      </c>
      <c r="B10" t="str">
        <f>"1552374740819823"</f>
        <v>1552374740819823</v>
      </c>
      <c r="C10" t="s">
        <v>40</v>
      </c>
      <c r="D10">
        <v>5.0450929999999996</v>
      </c>
      <c r="E10">
        <v>0.54195979999999999</v>
      </c>
      <c r="F10" t="s">
        <v>41</v>
      </c>
      <c r="G10">
        <v>-475.77199999999999</v>
      </c>
      <c r="H10">
        <v>0.90268729999999997</v>
      </c>
      <c r="I10">
        <v>367.10500000000002</v>
      </c>
      <c r="J10">
        <v>-476.4307</v>
      </c>
      <c r="K10">
        <v>1.1090469999999999</v>
      </c>
      <c r="L10">
        <v>367.21570000000003</v>
      </c>
      <c r="M10">
        <v>0.99999649999999995</v>
      </c>
      <c r="N10">
        <v>0</v>
      </c>
      <c r="O10">
        <v>9.6240789999999996E-4</v>
      </c>
      <c r="P10">
        <v>0.99566580000000005</v>
      </c>
      <c r="Q10">
        <v>8.3048090000000005E-2</v>
      </c>
      <c r="R10">
        <v>-4.1865899999999998E-2</v>
      </c>
      <c r="S10">
        <v>3.068848</v>
      </c>
      <c r="T10">
        <v>-0.92208769999999995</v>
      </c>
      <c r="U10">
        <v>-0.49063109999999999</v>
      </c>
      <c r="V10">
        <v>4.282155E-2</v>
      </c>
      <c r="W10">
        <v>8.5531319999999994E-2</v>
      </c>
      <c r="X10">
        <v>0.99541489999999999</v>
      </c>
      <c r="Y10">
        <v>0.15221970000000001</v>
      </c>
      <c r="Z10">
        <v>-2.252328E-2</v>
      </c>
      <c r="AA10">
        <v>0.98809000000000002</v>
      </c>
      <c r="AB10">
        <v>3</v>
      </c>
      <c r="AC10">
        <v>0.65870000000001006</v>
      </c>
      <c r="AD10">
        <v>-0.20635969999999901</v>
      </c>
      <c r="AE10">
        <v>-0.110700000000008</v>
      </c>
      <c r="AF10">
        <v>0.101632966171191</v>
      </c>
      <c r="AG10">
        <v>-0.20635969999999901</v>
      </c>
      <c r="AH10">
        <v>0.60120756319120205</v>
      </c>
      <c r="AI10">
        <v>108.697888005271</v>
      </c>
      <c r="AJ10">
        <v>80.404973718691394</v>
      </c>
      <c r="AK10">
        <v>0.64371120825658101</v>
      </c>
      <c r="AL10">
        <v>85.093421750510203</v>
      </c>
      <c r="AM10">
        <v>87.536723357167801</v>
      </c>
      <c r="AN10">
        <v>1.00000005749367</v>
      </c>
    </row>
    <row r="11" spans="1:40" x14ac:dyDescent="0.25">
      <c r="A11" t="str">
        <f>"20190312151220852"</f>
        <v>20190312151220852</v>
      </c>
      <c r="B11" t="str">
        <f>"1552374740849103"</f>
        <v>1552374740849103</v>
      </c>
      <c r="C11" t="s">
        <v>40</v>
      </c>
      <c r="D11">
        <v>4.6426990000000004</v>
      </c>
      <c r="E11">
        <v>0.54200130000000002</v>
      </c>
      <c r="F11" t="s">
        <v>41</v>
      </c>
      <c r="G11">
        <v>-475.74290000000002</v>
      </c>
      <c r="H11">
        <v>0.90320789999999995</v>
      </c>
      <c r="I11">
        <v>367.10599999999999</v>
      </c>
      <c r="J11">
        <v>-476.39640000000003</v>
      </c>
      <c r="K11">
        <v>1.108938</v>
      </c>
      <c r="L11">
        <v>367.21589999999998</v>
      </c>
      <c r="M11">
        <v>0.99999800000000005</v>
      </c>
      <c r="N11">
        <v>0</v>
      </c>
      <c r="O11">
        <v>1.0953829999999999E-3</v>
      </c>
      <c r="P11">
        <v>0.99560280000000001</v>
      </c>
      <c r="Q11">
        <v>8.3818790000000004E-2</v>
      </c>
      <c r="R11">
        <v>-4.1830100000000002E-2</v>
      </c>
      <c r="S11">
        <v>3.0690919999999999</v>
      </c>
      <c r="T11">
        <v>-0.91843090000000005</v>
      </c>
      <c r="U11">
        <v>-0.488678</v>
      </c>
      <c r="V11">
        <v>4.2916879999999998E-2</v>
      </c>
      <c r="W11">
        <v>8.5512320000000003E-2</v>
      </c>
      <c r="X11">
        <v>0.99541230000000003</v>
      </c>
      <c r="Y11">
        <v>0.1517896</v>
      </c>
      <c r="Z11">
        <v>-2.241311E-2</v>
      </c>
      <c r="AA11">
        <v>0.98815869999999995</v>
      </c>
      <c r="AB11">
        <v>3</v>
      </c>
      <c r="AC11">
        <v>0.65350000000000796</v>
      </c>
      <c r="AD11">
        <v>-0.2057301</v>
      </c>
      <c r="AE11">
        <v>-0.109899999999981</v>
      </c>
      <c r="AF11">
        <v>0.100891702478886</v>
      </c>
      <c r="AG11">
        <v>-0.2057301</v>
      </c>
      <c r="AH11">
        <v>0.59594164257395299</v>
      </c>
      <c r="AI11">
        <v>108.79729630883099</v>
      </c>
      <c r="AJ11">
        <v>80.391053498808205</v>
      </c>
      <c r="AK11">
        <v>0.63847509820574699</v>
      </c>
      <c r="AL11">
        <v>85.094513752380195</v>
      </c>
      <c r="AM11">
        <v>87.531239909361403</v>
      </c>
      <c r="AN11">
        <v>0.99999993122600095</v>
      </c>
    </row>
    <row r="12" spans="1:40" x14ac:dyDescent="0.25">
      <c r="A12" t="str">
        <f>"20190312151220874"</f>
        <v>20190312151220874</v>
      </c>
      <c r="B12" t="str">
        <f>"1552374740869598"</f>
        <v>1552374740869598</v>
      </c>
      <c r="C12" t="s">
        <v>40</v>
      </c>
      <c r="D12">
        <v>4.7584679999999997</v>
      </c>
      <c r="E12">
        <v>0.54193389999999997</v>
      </c>
      <c r="F12" t="s">
        <v>41</v>
      </c>
      <c r="G12">
        <v>-475.71109999999999</v>
      </c>
      <c r="H12">
        <v>0.90467169999999997</v>
      </c>
      <c r="I12">
        <v>367.10640000000001</v>
      </c>
      <c r="J12">
        <v>-476.36079999999998</v>
      </c>
      <c r="K12">
        <v>1.1088769999999999</v>
      </c>
      <c r="L12">
        <v>367.21600000000001</v>
      </c>
      <c r="M12">
        <v>0.99999870000000002</v>
      </c>
      <c r="N12">
        <v>0</v>
      </c>
      <c r="O12">
        <v>1.2381530000000001E-3</v>
      </c>
      <c r="P12">
        <v>0.99549779999999999</v>
      </c>
      <c r="Q12">
        <v>8.4897100000000003E-2</v>
      </c>
      <c r="R12">
        <v>-4.215058E-2</v>
      </c>
      <c r="S12">
        <v>3.069763</v>
      </c>
      <c r="T12">
        <v>-0.91508699999999998</v>
      </c>
      <c r="U12">
        <v>-0.48889159999999998</v>
      </c>
      <c r="V12">
        <v>4.3378369999999999E-2</v>
      </c>
      <c r="W12">
        <v>8.5954639999999999E-2</v>
      </c>
      <c r="X12">
        <v>0.99535430000000003</v>
      </c>
      <c r="Y12">
        <v>0.15199849999999901</v>
      </c>
      <c r="Z12">
        <v>-2.2401819999999999E-2</v>
      </c>
      <c r="AA12">
        <v>0.98812679999999997</v>
      </c>
      <c r="AB12">
        <v>3</v>
      </c>
      <c r="AC12">
        <v>0.64969999999999495</v>
      </c>
      <c r="AD12">
        <v>-0.20420530000000001</v>
      </c>
      <c r="AE12">
        <v>-0.1096</v>
      </c>
      <c r="AF12">
        <v>0.100728795466229</v>
      </c>
      <c r="AG12">
        <v>-0.20420530000000001</v>
      </c>
      <c r="AH12">
        <v>0.59263772209286203</v>
      </c>
      <c r="AI12">
        <v>108.762542349315</v>
      </c>
      <c r="AJ12">
        <v>80.353798007365896</v>
      </c>
      <c r="AK12">
        <v>0.63487444777025304</v>
      </c>
      <c r="AL12">
        <v>85.069077528130194</v>
      </c>
      <c r="AM12">
        <v>87.504581215206599</v>
      </c>
      <c r="AN12">
        <v>1.0000000328249301</v>
      </c>
    </row>
    <row r="13" spans="1:40" x14ac:dyDescent="0.25">
      <c r="A13" t="str">
        <f>"20190312151220896"</f>
        <v>20190312151220896</v>
      </c>
      <c r="B13" t="str">
        <f>"1552374740889118"</f>
        <v>1552374740889118</v>
      </c>
      <c r="C13" t="s">
        <v>40</v>
      </c>
      <c r="D13">
        <v>4.7593239999999897</v>
      </c>
      <c r="E13">
        <v>0.54190550000000004</v>
      </c>
      <c r="F13" t="s">
        <v>41</v>
      </c>
      <c r="G13">
        <v>-475.67700000000002</v>
      </c>
      <c r="H13">
        <v>0.90639170000000002</v>
      </c>
      <c r="I13">
        <v>367.10719999999998</v>
      </c>
      <c r="J13">
        <v>-476.3218</v>
      </c>
      <c r="K13">
        <v>1.10883</v>
      </c>
      <c r="L13">
        <v>367.21620000000001</v>
      </c>
      <c r="M13">
        <v>0.99999899999999997</v>
      </c>
      <c r="N13">
        <v>0</v>
      </c>
      <c r="O13">
        <v>1.396609E-3</v>
      </c>
      <c r="P13">
        <v>0.99539739999999999</v>
      </c>
      <c r="Q13">
        <v>8.5995660000000002E-2</v>
      </c>
      <c r="R13">
        <v>-4.2296569999999999E-2</v>
      </c>
      <c r="S13">
        <v>3.070465</v>
      </c>
      <c r="T13">
        <v>-0.90933010000000003</v>
      </c>
      <c r="U13">
        <v>-0.4880371</v>
      </c>
      <c r="V13">
        <v>4.3680719999999999E-2</v>
      </c>
      <c r="W13">
        <v>8.6497160000000003E-2</v>
      </c>
      <c r="X13">
        <v>0.99529400000000001</v>
      </c>
      <c r="Y13">
        <v>0.15193019999999999</v>
      </c>
      <c r="Z13">
        <v>-2.2298080000000001E-2</v>
      </c>
      <c r="AA13">
        <v>0.98813969999999995</v>
      </c>
      <c r="AB13">
        <v>4</v>
      </c>
      <c r="AC13">
        <v>0.64480000000003201</v>
      </c>
      <c r="AD13">
        <v>-0.20243829999999999</v>
      </c>
      <c r="AE13">
        <v>-0.109000000000037</v>
      </c>
      <c r="AF13">
        <v>0.10028972101403</v>
      </c>
      <c r="AG13">
        <v>-0.20243829999999999</v>
      </c>
      <c r="AH13">
        <v>0.58827325376216899</v>
      </c>
      <c r="AI13">
        <v>108.73840323461999</v>
      </c>
      <c r="AJ13">
        <v>80.325142443610503</v>
      </c>
      <c r="AK13">
        <v>0.63016245091237499</v>
      </c>
      <c r="AL13">
        <v>85.037876834306999</v>
      </c>
      <c r="AM13">
        <v>87.487058161981594</v>
      </c>
      <c r="AN13">
        <v>0.999999955211891</v>
      </c>
    </row>
    <row r="14" spans="1:40" x14ac:dyDescent="0.25">
      <c r="A14" t="str">
        <f>"20190312151220918"</f>
        <v>20190312151220918</v>
      </c>
      <c r="B14" t="str">
        <f>"1552374740909615"</f>
        <v>1552374740909615</v>
      </c>
      <c r="C14" t="s">
        <v>40</v>
      </c>
      <c r="D14">
        <v>4.7794860000000003</v>
      </c>
      <c r="E14">
        <v>0.5418636</v>
      </c>
      <c r="F14" t="s">
        <v>41</v>
      </c>
      <c r="G14">
        <v>-475.64060000000001</v>
      </c>
      <c r="H14">
        <v>0.9081941</v>
      </c>
      <c r="I14">
        <v>367.1071</v>
      </c>
      <c r="J14">
        <v>-476.28219999999999</v>
      </c>
      <c r="K14">
        <v>1.1087899999999999</v>
      </c>
      <c r="L14">
        <v>367.21640000000002</v>
      </c>
      <c r="M14">
        <v>0.99999870000000002</v>
      </c>
      <c r="N14">
        <v>0</v>
      </c>
      <c r="O14">
        <v>1.5580049999999999E-3</v>
      </c>
      <c r="P14">
        <v>0.99533669999999996</v>
      </c>
      <c r="Q14">
        <v>8.6606470000000005E-2</v>
      </c>
      <c r="R14">
        <v>-4.2478050000000003E-2</v>
      </c>
      <c r="S14">
        <v>3.0712280000000001</v>
      </c>
      <c r="T14">
        <v>-0.90469480000000002</v>
      </c>
      <c r="U14">
        <v>-0.48855589999999999</v>
      </c>
      <c r="V14">
        <v>4.4021730000000002E-2</v>
      </c>
      <c r="W14">
        <v>8.6617810000000003E-2</v>
      </c>
      <c r="X14">
        <v>0.9952685</v>
      </c>
      <c r="Y14">
        <v>0.15226120000000001</v>
      </c>
      <c r="Z14">
        <v>-2.22772E-2</v>
      </c>
      <c r="AA14">
        <v>0.9880892</v>
      </c>
      <c r="AB14">
        <v>4</v>
      </c>
      <c r="AC14">
        <v>0.64159999999998196</v>
      </c>
      <c r="AD14">
        <v>-0.20059589999999999</v>
      </c>
      <c r="AE14">
        <v>-0.10930000000001799</v>
      </c>
      <c r="AF14">
        <v>0.10073077437455701</v>
      </c>
      <c r="AG14">
        <v>-0.20059589999999999</v>
      </c>
      <c r="AH14">
        <v>0.585783640555115</v>
      </c>
      <c r="AI14">
        <v>108.648863923063</v>
      </c>
      <c r="AJ14">
        <v>80.242899869055407</v>
      </c>
      <c r="AK14">
        <v>0.62731800352366096</v>
      </c>
      <c r="AL14">
        <v>85.030938141628596</v>
      </c>
      <c r="AM14">
        <v>87.467400576289606</v>
      </c>
      <c r="AN14">
        <v>0.99999997240681904</v>
      </c>
    </row>
    <row r="15" spans="1:40" x14ac:dyDescent="0.25">
      <c r="A15" t="str">
        <f>"20190312151220938"</f>
        <v>20190312151220938</v>
      </c>
      <c r="B15" t="str">
        <f>"1552374740929134"</f>
        <v>1552374740929134</v>
      </c>
      <c r="C15" t="s">
        <v>40</v>
      </c>
      <c r="D15">
        <v>4.7807559999999896</v>
      </c>
      <c r="E15">
        <v>0.54189609999999899</v>
      </c>
      <c r="F15" t="s">
        <v>41</v>
      </c>
      <c r="G15">
        <v>-475.60230000000001</v>
      </c>
      <c r="H15">
        <v>0.90884880000000001</v>
      </c>
      <c r="I15">
        <v>367.10789999999997</v>
      </c>
      <c r="J15">
        <v>-476.24029999999999</v>
      </c>
      <c r="K15">
        <v>1.1087480000000001</v>
      </c>
      <c r="L15">
        <v>367.2167</v>
      </c>
      <c r="M15">
        <v>0.99999839999999995</v>
      </c>
      <c r="N15">
        <v>0</v>
      </c>
      <c r="O15">
        <v>1.7295909999999999E-3</v>
      </c>
      <c r="P15">
        <v>0.99527469999999996</v>
      </c>
      <c r="Q15">
        <v>8.6944830000000001E-2</v>
      </c>
      <c r="R15">
        <v>-4.3233189999999998E-2</v>
      </c>
      <c r="S15">
        <v>3.0717159999999999</v>
      </c>
      <c r="T15">
        <v>-0.90333390000000002</v>
      </c>
      <c r="U15">
        <v>-0.48959350000000001</v>
      </c>
      <c r="V15">
        <v>4.4946769999999997E-2</v>
      </c>
      <c r="W15">
        <v>8.6487170000000002E-2</v>
      </c>
      <c r="X15">
        <v>0.99523850000000003</v>
      </c>
      <c r="Y15">
        <v>0.15272649999999999</v>
      </c>
      <c r="Z15">
        <v>-2.2356850000000001E-2</v>
      </c>
      <c r="AA15">
        <v>0.98801559999999999</v>
      </c>
      <c r="AB15">
        <v>4</v>
      </c>
      <c r="AC15">
        <v>0.63799999999997603</v>
      </c>
      <c r="AD15">
        <v>-0.199899199999999</v>
      </c>
      <c r="AE15">
        <v>-0.10880000000003</v>
      </c>
      <c r="AF15">
        <v>0.100332024361952</v>
      </c>
      <c r="AG15">
        <v>-0.199899199999999</v>
      </c>
      <c r="AH15">
        <v>0.582265007467486</v>
      </c>
      <c r="AI15">
        <v>108.692068822387</v>
      </c>
      <c r="AJ15">
        <v>80.223182815040204</v>
      </c>
      <c r="AK15">
        <v>0.62374573681454404</v>
      </c>
      <c r="AL15">
        <v>85.038451382595298</v>
      </c>
      <c r="AM15">
        <v>87.414176060158098</v>
      </c>
      <c r="AN15">
        <v>0.99999995729514501</v>
      </c>
    </row>
    <row r="16" spans="1:40" x14ac:dyDescent="0.25">
      <c r="A16" t="str">
        <f>"20190312151220962"</f>
        <v>20190312151220962</v>
      </c>
      <c r="B16" t="str">
        <f>"1552374740959390"</f>
        <v>1552374740959390</v>
      </c>
      <c r="C16" t="s">
        <v>40</v>
      </c>
      <c r="D16">
        <v>4.7122229999999998</v>
      </c>
      <c r="E16">
        <v>0.54183190000000003</v>
      </c>
      <c r="F16" t="s">
        <v>41</v>
      </c>
      <c r="G16">
        <v>-475.5616</v>
      </c>
      <c r="H16">
        <v>0.90913089999999996</v>
      </c>
      <c r="I16">
        <v>367.10750000000002</v>
      </c>
      <c r="J16">
        <v>-476.19260000000003</v>
      </c>
      <c r="K16">
        <v>1.1087009999999999</v>
      </c>
      <c r="L16">
        <v>367.21699999999998</v>
      </c>
      <c r="M16">
        <v>0.99999780000000005</v>
      </c>
      <c r="N16">
        <v>0</v>
      </c>
      <c r="O16">
        <v>1.9242459999999999E-3</v>
      </c>
      <c r="P16">
        <v>0.99520450000000005</v>
      </c>
      <c r="Q16">
        <v>8.71286E-2</v>
      </c>
      <c r="R16">
        <v>-4.4462010000000003E-2</v>
      </c>
      <c r="S16">
        <v>3.0718380000000001</v>
      </c>
      <c r="T16">
        <v>-0.90364460000000002</v>
      </c>
      <c r="U16">
        <v>-0.49133300000000002</v>
      </c>
      <c r="V16">
        <v>4.6368619999999999E-2</v>
      </c>
      <c r="W16">
        <v>8.6197869999999996E-2</v>
      </c>
      <c r="X16">
        <v>0.99519840000000004</v>
      </c>
      <c r="Y16">
        <v>0.15341830000000001</v>
      </c>
      <c r="Z16">
        <v>-2.2517260000000001E-2</v>
      </c>
      <c r="AA16">
        <v>0.98790469999999997</v>
      </c>
      <c r="AB16">
        <v>4</v>
      </c>
      <c r="AC16">
        <v>0.63100000000002798</v>
      </c>
      <c r="AD16">
        <v>-0.199570099999999</v>
      </c>
      <c r="AE16">
        <v>-0.109499999999968</v>
      </c>
      <c r="AF16">
        <v>0.100914567825584</v>
      </c>
      <c r="AG16">
        <v>-0.199570099999999</v>
      </c>
      <c r="AH16">
        <v>0.57495631059698504</v>
      </c>
      <c r="AI16">
        <v>108.87446861328</v>
      </c>
      <c r="AJ16">
        <v>80.045019079964902</v>
      </c>
      <c r="AK16">
        <v>0.61691712077776795</v>
      </c>
      <c r="AL16">
        <v>85.055089340945699</v>
      </c>
      <c r="AM16">
        <v>87.332384899139896</v>
      </c>
      <c r="AN16">
        <v>0.99999998853789995</v>
      </c>
    </row>
    <row r="17" spans="1:40" x14ac:dyDescent="0.25">
      <c r="A17" t="str">
        <f>"20190312151220985"</f>
        <v>20190312151220985</v>
      </c>
      <c r="B17" t="str">
        <f>"1552374740979887"</f>
        <v>1552374740979887</v>
      </c>
      <c r="C17" t="s">
        <v>40</v>
      </c>
      <c r="D17">
        <v>4.7084549999999998</v>
      </c>
      <c r="E17">
        <v>0.54179279999999996</v>
      </c>
      <c r="F17" t="s">
        <v>41</v>
      </c>
      <c r="G17">
        <v>-475.51799999999997</v>
      </c>
      <c r="H17">
        <v>0.91081060000000003</v>
      </c>
      <c r="I17">
        <v>367.10849999999999</v>
      </c>
      <c r="J17">
        <v>-476.1395</v>
      </c>
      <c r="K17">
        <v>1.108649</v>
      </c>
      <c r="L17">
        <v>367.21730000000002</v>
      </c>
      <c r="M17">
        <v>0.99999669999999896</v>
      </c>
      <c r="N17">
        <v>0</v>
      </c>
      <c r="O17">
        <v>2.1390659999999998E-3</v>
      </c>
      <c r="P17">
        <v>0.99517239999999996</v>
      </c>
      <c r="Q17">
        <v>8.7368399999999999E-2</v>
      </c>
      <c r="R17">
        <v>-4.4710399999999997E-2</v>
      </c>
      <c r="S17">
        <v>3.0712890000000002</v>
      </c>
      <c r="T17">
        <v>-0.90086350000000004</v>
      </c>
      <c r="U17">
        <v>-0.49334719999999999</v>
      </c>
      <c r="V17">
        <v>4.6830009999999998E-2</v>
      </c>
      <c r="W17">
        <v>8.5985030000000004E-2</v>
      </c>
      <c r="X17">
        <v>0.99519519999999995</v>
      </c>
      <c r="Y17">
        <v>0.15428239999999999</v>
      </c>
      <c r="Z17">
        <v>-2.2638149999999999E-2</v>
      </c>
      <c r="AA17">
        <v>0.98776739999999996</v>
      </c>
      <c r="AB17">
        <v>5</v>
      </c>
      <c r="AC17">
        <v>0.62149999999996897</v>
      </c>
      <c r="AD17">
        <v>-0.1978384</v>
      </c>
      <c r="AE17">
        <v>-0.10880000000003</v>
      </c>
      <c r="AF17">
        <v>0.10027083756831</v>
      </c>
      <c r="AG17">
        <v>-0.1978384</v>
      </c>
      <c r="AH17">
        <v>0.56565249808295104</v>
      </c>
      <c r="AI17">
        <v>109.002866945531</v>
      </c>
      <c r="AJ17">
        <v>79.947840477577799</v>
      </c>
      <c r="AK17">
        <v>0.607582934230952</v>
      </c>
      <c r="AL17">
        <v>85.067329581108694</v>
      </c>
      <c r="AM17">
        <v>87.305871116296004</v>
      </c>
      <c r="AN17">
        <v>0.99999998066187001</v>
      </c>
    </row>
    <row r="18" spans="1:40" x14ac:dyDescent="0.25">
      <c r="A18" t="str">
        <f>"20190312151221007"</f>
        <v>20190312151221007</v>
      </c>
      <c r="B18" t="str">
        <f>"1552374740999407"</f>
        <v>1552374740999407</v>
      </c>
      <c r="C18" t="s">
        <v>40</v>
      </c>
      <c r="D18">
        <v>5.1806939999999999</v>
      </c>
      <c r="E18">
        <v>0.54174979999999995</v>
      </c>
      <c r="F18" t="s">
        <v>41</v>
      </c>
      <c r="G18">
        <v>-475.47160000000002</v>
      </c>
      <c r="H18">
        <v>0.91350390000000004</v>
      </c>
      <c r="I18">
        <v>367.10930000000002</v>
      </c>
      <c r="J18">
        <v>-476.0883</v>
      </c>
      <c r="K18">
        <v>1.108614</v>
      </c>
      <c r="L18">
        <v>367.2176</v>
      </c>
      <c r="M18">
        <v>0.99999579999999999</v>
      </c>
      <c r="N18">
        <v>0</v>
      </c>
      <c r="O18">
        <v>2.342004E-3</v>
      </c>
      <c r="P18">
        <v>0.99504139999999996</v>
      </c>
      <c r="Q18">
        <v>8.8572919999999999E-2</v>
      </c>
      <c r="R18">
        <v>-4.5248999999999998E-2</v>
      </c>
      <c r="S18">
        <v>3.0711360000000001</v>
      </c>
      <c r="T18">
        <v>-0.89745280000000005</v>
      </c>
      <c r="U18">
        <v>-0.49450680000000002</v>
      </c>
      <c r="V18">
        <v>4.7570029999999999E-2</v>
      </c>
      <c r="W18">
        <v>8.6823979999999995E-2</v>
      </c>
      <c r="X18">
        <v>0.99508730000000001</v>
      </c>
      <c r="Y18">
        <v>0.15486910000000001</v>
      </c>
      <c r="Z18">
        <v>-2.2697470000000001E-2</v>
      </c>
      <c r="AA18">
        <v>0.98767419999999995</v>
      </c>
      <c r="AB18">
        <v>5</v>
      </c>
      <c r="AC18">
        <v>0.61669999999998004</v>
      </c>
      <c r="AD18">
        <v>-0.19511009999999901</v>
      </c>
      <c r="AE18">
        <v>-0.10829999999998501</v>
      </c>
      <c r="AF18">
        <v>0.100030982100643</v>
      </c>
      <c r="AG18">
        <v>-0.19511009999999901</v>
      </c>
      <c r="AH18">
        <v>0.56188543362425403</v>
      </c>
      <c r="AI18">
        <v>108.873841048066</v>
      </c>
      <c r="AJ18">
        <v>79.905540534543903</v>
      </c>
      <c r="AK18">
        <v>0.60314955775590595</v>
      </c>
      <c r="AL18">
        <v>85.019081051954004</v>
      </c>
      <c r="AM18">
        <v>87.263065718650196</v>
      </c>
      <c r="AN18">
        <v>1.00000002293926</v>
      </c>
    </row>
    <row r="19" spans="1:40" x14ac:dyDescent="0.25">
      <c r="A19" t="str">
        <f>"20190312151221028"</f>
        <v>20190312151221028</v>
      </c>
      <c r="B19" t="str">
        <f>"1552374741018926"</f>
        <v>1552374741018926</v>
      </c>
      <c r="C19" t="s">
        <v>40</v>
      </c>
      <c r="D19">
        <v>5.1980360000000001</v>
      </c>
      <c r="E19">
        <v>0.54171469999999999</v>
      </c>
      <c r="F19" t="s">
        <v>41</v>
      </c>
      <c r="G19">
        <v>-475.3777</v>
      </c>
      <c r="H19">
        <v>0.90251000000000003</v>
      </c>
      <c r="I19">
        <v>367.10219999999998</v>
      </c>
      <c r="J19">
        <v>-476.03149999999999</v>
      </c>
      <c r="K19">
        <v>1.108581</v>
      </c>
      <c r="L19">
        <v>367.21800000000002</v>
      </c>
      <c r="M19">
        <v>0.99999450000000001</v>
      </c>
      <c r="N19">
        <v>0</v>
      </c>
      <c r="O19">
        <v>2.5606880000000002E-3</v>
      </c>
      <c r="P19">
        <v>0.99499479999999996</v>
      </c>
      <c r="Q19">
        <v>8.8916560000000006E-2</v>
      </c>
      <c r="R19">
        <v>-4.5599239999999999E-2</v>
      </c>
      <c r="S19">
        <v>3.0716549999999998</v>
      </c>
      <c r="T19">
        <v>-0.89115940000000005</v>
      </c>
      <c r="U19">
        <v>-0.49700929999999999</v>
      </c>
      <c r="V19">
        <v>4.8137430000000002E-2</v>
      </c>
      <c r="W19">
        <v>8.6818290000000006E-2</v>
      </c>
      <c r="X19">
        <v>0.99506050000000001</v>
      </c>
      <c r="Y19">
        <v>0.1558842</v>
      </c>
      <c r="Z19">
        <v>-2.274472E-2</v>
      </c>
      <c r="AA19">
        <v>0.98751339999999999</v>
      </c>
      <c r="AB19">
        <v>5</v>
      </c>
      <c r="AC19">
        <v>0.65379999999998895</v>
      </c>
      <c r="AD19">
        <v>-0.206071</v>
      </c>
      <c r="AE19">
        <v>-0.115800000000035</v>
      </c>
      <c r="AF19">
        <v>0.107152567862417</v>
      </c>
      <c r="AG19">
        <v>-0.206071</v>
      </c>
      <c r="AH19">
        <v>0.59608478055672798</v>
      </c>
      <c r="AI19">
        <v>108.79106616242299</v>
      </c>
      <c r="AJ19">
        <v>79.809312034755706</v>
      </c>
      <c r="AK19">
        <v>0.63973744259021803</v>
      </c>
      <c r="AL19">
        <v>85.019408251785407</v>
      </c>
      <c r="AM19">
        <v>87.230396500140401</v>
      </c>
      <c r="AN19">
        <v>1.0000000131528799</v>
      </c>
    </row>
    <row r="20" spans="1:40" x14ac:dyDescent="0.25">
      <c r="A20" t="str">
        <f>"20190312151221051"</f>
        <v>20190312151221051</v>
      </c>
      <c r="B20" t="str">
        <f>"1552374741039426"</f>
        <v>1552374741039426</v>
      </c>
      <c r="C20" t="s">
        <v>40</v>
      </c>
      <c r="D20">
        <v>5.2905129999999998</v>
      </c>
      <c r="E20">
        <v>0.54166380000000003</v>
      </c>
      <c r="F20" t="s">
        <v>41</v>
      </c>
      <c r="G20">
        <v>-475.32429999999999</v>
      </c>
      <c r="H20">
        <v>0.90420699999999998</v>
      </c>
      <c r="I20">
        <v>367.10300000000001</v>
      </c>
      <c r="J20">
        <v>-475.97269999999997</v>
      </c>
      <c r="K20">
        <v>1.1085419999999999</v>
      </c>
      <c r="L20">
        <v>367.21839999999997</v>
      </c>
      <c r="M20">
        <v>0.99999329999999997</v>
      </c>
      <c r="N20">
        <v>0</v>
      </c>
      <c r="O20">
        <v>2.7800250000000002E-3</v>
      </c>
      <c r="P20">
        <v>0.99491830000000003</v>
      </c>
      <c r="Q20">
        <v>8.9724910000000005E-2</v>
      </c>
      <c r="R20">
        <v>-4.5684200000000001E-2</v>
      </c>
      <c r="S20">
        <v>3.071625</v>
      </c>
      <c r="T20">
        <v>-0.88766219999999996</v>
      </c>
      <c r="U20">
        <v>-0.49798579999999998</v>
      </c>
      <c r="V20">
        <v>4.8440570000000002E-2</v>
      </c>
      <c r="W20">
        <v>8.7320389999999998E-2</v>
      </c>
      <c r="X20">
        <v>0.99500189999999999</v>
      </c>
      <c r="Y20">
        <v>0.15642679999999901</v>
      </c>
      <c r="Z20">
        <v>-2.27967E-2</v>
      </c>
      <c r="AA20">
        <v>0.98742649999999998</v>
      </c>
      <c r="AB20">
        <v>6</v>
      </c>
      <c r="AC20">
        <v>0.64839999999997999</v>
      </c>
      <c r="AD20">
        <v>-0.20433499999999999</v>
      </c>
      <c r="AE20">
        <v>-0.115399999999965</v>
      </c>
      <c r="AF20">
        <v>0.10691065917307301</v>
      </c>
      <c r="AG20">
        <v>-0.20433499999999999</v>
      </c>
      <c r="AH20">
        <v>0.59116934522579601</v>
      </c>
      <c r="AI20">
        <v>108.784617617256</v>
      </c>
      <c r="AJ20">
        <v>79.749077713665201</v>
      </c>
      <c r="AK20">
        <v>0.63455801626369601</v>
      </c>
      <c r="AL20">
        <v>84.990530606210697</v>
      </c>
      <c r="AM20">
        <v>87.212818768834097</v>
      </c>
      <c r="AN20">
        <v>1.00000006016764</v>
      </c>
    </row>
    <row r="21" spans="1:40" x14ac:dyDescent="0.25">
      <c r="A21" t="str">
        <f>"20190312151221075"</f>
        <v>20190312151221075</v>
      </c>
      <c r="B21" t="str">
        <f>"1552374741069679"</f>
        <v>1552374741069679</v>
      </c>
      <c r="C21" t="s">
        <v>40</v>
      </c>
      <c r="D21">
        <v>4.8145569999999998</v>
      </c>
      <c r="E21">
        <v>0.54157880000000003</v>
      </c>
      <c r="F21" t="s">
        <v>41</v>
      </c>
      <c r="G21">
        <v>-475.26819999999998</v>
      </c>
      <c r="H21">
        <v>0.90616569999999996</v>
      </c>
      <c r="I21">
        <v>367.10359999999997</v>
      </c>
      <c r="J21">
        <v>-475.90929999999997</v>
      </c>
      <c r="K21">
        <v>1.108716</v>
      </c>
      <c r="L21">
        <v>367.21879999999999</v>
      </c>
      <c r="M21">
        <v>0.99999369999999999</v>
      </c>
      <c r="N21">
        <v>0</v>
      </c>
      <c r="O21">
        <v>2.9898780000000001E-3</v>
      </c>
      <c r="P21">
        <v>0.99498279999999995</v>
      </c>
      <c r="Q21">
        <v>8.9091409999999996E-2</v>
      </c>
      <c r="R21">
        <v>-4.5521480000000003E-2</v>
      </c>
      <c r="S21">
        <v>3.0720519999999998</v>
      </c>
      <c r="T21">
        <v>-0.88255819999999996</v>
      </c>
      <c r="U21">
        <v>-0.49823000000000001</v>
      </c>
      <c r="V21">
        <v>4.8488650000000001E-2</v>
      </c>
      <c r="W21">
        <v>8.7169799999999895E-2</v>
      </c>
      <c r="X21">
        <v>0.99501269999999997</v>
      </c>
      <c r="Y21">
        <v>0.15674109999999999</v>
      </c>
      <c r="Z21">
        <v>-2.2770220000000001E-2</v>
      </c>
      <c r="AA21">
        <v>0.98737719999999995</v>
      </c>
      <c r="AB21">
        <v>6</v>
      </c>
      <c r="AC21">
        <v>0.64109999999999401</v>
      </c>
      <c r="AD21">
        <v>-0.20255029999999999</v>
      </c>
      <c r="AE21">
        <v>-0.115200000000015</v>
      </c>
      <c r="AF21">
        <v>0.106790025152824</v>
      </c>
      <c r="AG21">
        <v>-0.20255029999999999</v>
      </c>
      <c r="AH21">
        <v>0.58425682247866995</v>
      </c>
      <c r="AI21">
        <v>108.830938250402</v>
      </c>
      <c r="AJ21">
        <v>79.641859368887907</v>
      </c>
      <c r="AK21">
        <v>0.62752431675203102</v>
      </c>
      <c r="AL21">
        <v>84.999191492597703</v>
      </c>
      <c r="AM21">
        <v>87.210086937424293</v>
      </c>
      <c r="AN21">
        <v>0.99999999818607599</v>
      </c>
    </row>
    <row r="22" spans="1:40" x14ac:dyDescent="0.25">
      <c r="A22" t="str">
        <f>"20190312151221099"</f>
        <v>20190312151221099</v>
      </c>
      <c r="B22" t="str">
        <f>"1552374741089198"</f>
        <v>1552374741089198</v>
      </c>
      <c r="C22" t="s">
        <v>40</v>
      </c>
      <c r="D22">
        <v>5.6866979999999998</v>
      </c>
      <c r="E22">
        <v>0.54152639999999996</v>
      </c>
      <c r="F22" t="s">
        <v>41</v>
      </c>
      <c r="G22">
        <v>-475.21499999999997</v>
      </c>
      <c r="H22">
        <v>0.90946700000000003</v>
      </c>
      <c r="I22">
        <v>367.10640000000001</v>
      </c>
      <c r="J22">
        <v>-475.84739999999999</v>
      </c>
      <c r="K22">
        <v>1.109335</v>
      </c>
      <c r="L22">
        <v>367.2192</v>
      </c>
      <c r="M22">
        <v>0.99999510000000003</v>
      </c>
      <c r="N22">
        <v>0</v>
      </c>
      <c r="O22">
        <v>3.14876E-3</v>
      </c>
      <c r="P22">
        <v>0.99525140000000001</v>
      </c>
      <c r="Q22">
        <v>8.6293809999999999E-2</v>
      </c>
      <c r="R22">
        <v>-4.5037689999999998E-2</v>
      </c>
      <c r="S22">
        <v>3.071259</v>
      </c>
      <c r="T22">
        <v>-0.88129709999999895</v>
      </c>
      <c r="U22">
        <v>-0.49703979999999998</v>
      </c>
      <c r="V22">
        <v>4.8169770000000001E-2</v>
      </c>
      <c r="W22">
        <v>8.6677199999999996E-2</v>
      </c>
      <c r="X22">
        <v>0.99507120000000004</v>
      </c>
      <c r="Y22">
        <v>0.15657950000000001</v>
      </c>
      <c r="Z22">
        <v>-2.2766999999999999E-2</v>
      </c>
      <c r="AA22">
        <v>0.98740289999999997</v>
      </c>
      <c r="AB22">
        <v>6</v>
      </c>
      <c r="AC22">
        <v>0.63240000000001795</v>
      </c>
      <c r="AD22">
        <v>-0.19986799999999999</v>
      </c>
      <c r="AE22">
        <v>-0.112799999999992</v>
      </c>
      <c r="AF22">
        <v>0.104659118134488</v>
      </c>
      <c r="AG22">
        <v>-0.19986799999999999</v>
      </c>
      <c r="AH22">
        <v>0.57625675113015395</v>
      </c>
      <c r="AI22">
        <v>108.84250889896499</v>
      </c>
      <c r="AJ22">
        <v>79.706206465273397</v>
      </c>
      <c r="AK22">
        <v>0.61884779360984199</v>
      </c>
      <c r="AL22">
        <v>85.027522528971303</v>
      </c>
      <c r="AM22">
        <v>87.228568462298398</v>
      </c>
      <c r="AN22">
        <v>0.99999997840556598</v>
      </c>
    </row>
    <row r="23" spans="1:40" x14ac:dyDescent="0.25">
      <c r="A23" t="str">
        <f>"20190312151221119"</f>
        <v>20190312151221119</v>
      </c>
      <c r="B23" t="str">
        <f>"1552374741109695"</f>
        <v>1552374741109695</v>
      </c>
      <c r="C23" t="s">
        <v>40</v>
      </c>
      <c r="D23">
        <v>5.4008469999999997</v>
      </c>
      <c r="E23">
        <v>0.54176809999999997</v>
      </c>
      <c r="F23" t="s">
        <v>41</v>
      </c>
      <c r="G23">
        <v>-475.16520000000003</v>
      </c>
      <c r="H23">
        <v>0.91197499999999998</v>
      </c>
      <c r="I23">
        <v>367.1087</v>
      </c>
      <c r="J23">
        <v>-475.79629999999997</v>
      </c>
      <c r="K23">
        <v>1.1096379999999999</v>
      </c>
      <c r="L23">
        <v>367.21960000000001</v>
      </c>
      <c r="M23">
        <v>0.99999300000000002</v>
      </c>
      <c r="N23">
        <v>0</v>
      </c>
      <c r="O23">
        <v>3.22792E-3</v>
      </c>
      <c r="P23">
        <v>0.995363</v>
      </c>
      <c r="Q23">
        <v>8.5385920000000004E-2</v>
      </c>
      <c r="R23">
        <v>-4.4293659999999999E-2</v>
      </c>
      <c r="S23">
        <v>3.0688780000000002</v>
      </c>
      <c r="T23">
        <v>-0.88789030000000002</v>
      </c>
      <c r="U23">
        <v>-0.49514770000000002</v>
      </c>
      <c r="V23">
        <v>4.7509889999999999E-2</v>
      </c>
      <c r="W23">
        <v>8.7314210000000003E-2</v>
      </c>
      <c r="X23">
        <v>0.99504729999999997</v>
      </c>
      <c r="Y23">
        <v>0.15609819999999999</v>
      </c>
      <c r="Z23">
        <v>-2.290321E-2</v>
      </c>
      <c r="AA23">
        <v>0.98747600000000002</v>
      </c>
      <c r="AB23">
        <v>6</v>
      </c>
      <c r="AC23">
        <v>0.63109999999994604</v>
      </c>
      <c r="AD23">
        <v>-0.19766299999999901</v>
      </c>
      <c r="AE23">
        <v>-0.110900000000015</v>
      </c>
      <c r="AF23">
        <v>0.10312350984101901</v>
      </c>
      <c r="AG23">
        <v>-0.19766299999999901</v>
      </c>
      <c r="AH23">
        <v>0.57593385696062904</v>
      </c>
      <c r="AI23">
        <v>108.666590544564</v>
      </c>
      <c r="AJ23">
        <v>79.848511702905796</v>
      </c>
      <c r="AK23">
        <v>0.61757989559608995</v>
      </c>
      <c r="AL23">
        <v>84.990885975926403</v>
      </c>
      <c r="AM23">
        <v>87.266410896187395</v>
      </c>
      <c r="AN23">
        <v>1.0000000450765101</v>
      </c>
    </row>
    <row r="24" spans="1:40" x14ac:dyDescent="0.25">
      <c r="A24" t="str">
        <f>"20190312151221141"</f>
        <v>20190312151221141</v>
      </c>
      <c r="B24" t="str">
        <f>"1552374741139950"</f>
        <v>1552374741139950</v>
      </c>
      <c r="C24" t="s">
        <v>40</v>
      </c>
      <c r="D24">
        <v>4.7813540000000003</v>
      </c>
      <c r="E24">
        <v>0.54165019999999997</v>
      </c>
      <c r="F24" t="s">
        <v>41</v>
      </c>
      <c r="G24">
        <v>-475.1146</v>
      </c>
      <c r="H24">
        <v>0.91152549999999999</v>
      </c>
      <c r="I24">
        <v>367.10939999999999</v>
      </c>
      <c r="J24">
        <v>-475.7371</v>
      </c>
      <c r="K24">
        <v>1.109524</v>
      </c>
      <c r="L24">
        <v>367.2199</v>
      </c>
      <c r="M24">
        <v>0.99999229999999995</v>
      </c>
      <c r="N24">
        <v>0</v>
      </c>
      <c r="O24">
        <v>3.3145090000000002E-3</v>
      </c>
      <c r="P24">
        <v>0.99542710000000001</v>
      </c>
      <c r="Q24">
        <v>8.5099309999999997E-2</v>
      </c>
      <c r="R24">
        <v>-4.3393609999999999E-2</v>
      </c>
      <c r="S24">
        <v>3.0684809999999998</v>
      </c>
      <c r="T24">
        <v>-0.89178469999999999</v>
      </c>
      <c r="U24">
        <v>-0.4945679</v>
      </c>
      <c r="V24">
        <v>4.669852E-2</v>
      </c>
      <c r="W24">
        <v>8.7242479999999997E-2</v>
      </c>
      <c r="X24">
        <v>0.99509199999999998</v>
      </c>
      <c r="Y24">
        <v>0.15596689999999999</v>
      </c>
      <c r="Z24">
        <v>-2.3008819999999999E-2</v>
      </c>
      <c r="AA24">
        <v>0.98749430000000005</v>
      </c>
      <c r="AB24">
        <v>5</v>
      </c>
      <c r="AC24">
        <v>0.62250000000000205</v>
      </c>
      <c r="AD24">
        <v>-0.19799849999999999</v>
      </c>
      <c r="AE24">
        <v>-0.110500000000001</v>
      </c>
      <c r="AF24">
        <v>0.102508816838528</v>
      </c>
      <c r="AG24">
        <v>-0.19799849999999999</v>
      </c>
      <c r="AH24">
        <v>0.566562949794711</v>
      </c>
      <c r="AI24">
        <v>108.97756161781599</v>
      </c>
      <c r="AJ24">
        <v>79.744364816330105</v>
      </c>
      <c r="AK24">
        <v>0.60885551620394196</v>
      </c>
      <c r="AL24">
        <v>84.995011546323596</v>
      </c>
      <c r="AM24">
        <v>87.313146419179304</v>
      </c>
      <c r="AN24">
        <v>1.0000000452753599</v>
      </c>
    </row>
    <row r="25" spans="1:40" x14ac:dyDescent="0.25">
      <c r="A25" t="str">
        <f>"20190312151221163"</f>
        <v>20190312151221163</v>
      </c>
      <c r="B25" t="str">
        <f>"1552374741159471"</f>
        <v>1552374741159471</v>
      </c>
      <c r="C25" t="s">
        <v>40</v>
      </c>
      <c r="D25">
        <v>4.8906980000000004</v>
      </c>
      <c r="E25">
        <v>0.50847200000000004</v>
      </c>
      <c r="F25" t="s">
        <v>41</v>
      </c>
      <c r="G25">
        <v>-475.0591</v>
      </c>
      <c r="H25">
        <v>0.91237650000000003</v>
      </c>
      <c r="I25">
        <v>367.11099999999999</v>
      </c>
      <c r="J25">
        <v>-475.67500000000001</v>
      </c>
      <c r="K25">
        <v>1.1092439999999999</v>
      </c>
      <c r="L25">
        <v>367.22030000000001</v>
      </c>
      <c r="M25">
        <v>0.99999289999999996</v>
      </c>
      <c r="N25">
        <v>0</v>
      </c>
      <c r="O25">
        <v>3.4382240000000001E-3</v>
      </c>
      <c r="P25">
        <v>0.99532940000000003</v>
      </c>
      <c r="Q25">
        <v>8.6500060000000004E-2</v>
      </c>
      <c r="R25">
        <v>-4.2863560000000002E-2</v>
      </c>
      <c r="S25">
        <v>3.068695</v>
      </c>
      <c r="T25">
        <v>-0.89254259999999996</v>
      </c>
      <c r="U25">
        <v>-0.49063109999999999</v>
      </c>
      <c r="V25">
        <v>4.6291110000000003E-2</v>
      </c>
      <c r="W25">
        <v>8.8127880000000006E-2</v>
      </c>
      <c r="X25">
        <v>0.99503299999999995</v>
      </c>
      <c r="Y25">
        <v>0.15487089999999901</v>
      </c>
      <c r="Z25">
        <v>-2.2908100000000001E-2</v>
      </c>
      <c r="AA25">
        <v>0.98766909999999997</v>
      </c>
      <c r="AB25">
        <v>6</v>
      </c>
      <c r="AC25">
        <v>0.61590000000001</v>
      </c>
      <c r="AD25">
        <v>-0.1968675</v>
      </c>
      <c r="AE25">
        <v>-0.10930000000001799</v>
      </c>
      <c r="AF25">
        <v>0.101375555008268</v>
      </c>
      <c r="AG25">
        <v>-0.1968675</v>
      </c>
      <c r="AH25">
        <v>0.56004704561184904</v>
      </c>
      <c r="AI25">
        <v>109.08042476551</v>
      </c>
      <c r="AJ25">
        <v>79.739840958227703</v>
      </c>
      <c r="AK25">
        <v>0.60223459632276599</v>
      </c>
      <c r="AL25">
        <v>84.944085635049504</v>
      </c>
      <c r="AM25">
        <v>87.336395623266895</v>
      </c>
      <c r="AN25">
        <v>1.00000003059366</v>
      </c>
    </row>
    <row r="26" spans="1:40" x14ac:dyDescent="0.25">
      <c r="A26" t="str">
        <f>"20190312151221184"</f>
        <v>20190312151221184</v>
      </c>
      <c r="B26" t="str">
        <f>"1552374741178991"</f>
        <v>1552374741178991</v>
      </c>
      <c r="C26" t="s">
        <v>40</v>
      </c>
      <c r="D26">
        <v>4.7917009999999998</v>
      </c>
      <c r="E26">
        <v>0.50333030000000001</v>
      </c>
      <c r="F26" t="s">
        <v>41</v>
      </c>
      <c r="G26">
        <v>-474.95949999999999</v>
      </c>
      <c r="H26">
        <v>1.003582</v>
      </c>
      <c r="I26">
        <v>367.16980000000001</v>
      </c>
      <c r="J26">
        <v>-475.61</v>
      </c>
      <c r="K26">
        <v>1.109051</v>
      </c>
      <c r="L26">
        <v>367.22059999999999</v>
      </c>
      <c r="M26">
        <v>0.99999300000000002</v>
      </c>
      <c r="N26">
        <v>0</v>
      </c>
      <c r="O26">
        <v>3.5910489999999998E-3</v>
      </c>
      <c r="P26">
        <v>0.99525560000000002</v>
      </c>
      <c r="Q26">
        <v>8.7654709999999997E-2</v>
      </c>
      <c r="R26">
        <v>-4.222799E-2</v>
      </c>
      <c r="S26">
        <v>3.044006</v>
      </c>
      <c r="T26">
        <v>-0.44989309999999899</v>
      </c>
      <c r="U26">
        <v>-0.2132568</v>
      </c>
      <c r="V26">
        <v>4.580509E-2</v>
      </c>
      <c r="W26">
        <v>8.8822750000000006E-2</v>
      </c>
      <c r="X26">
        <v>0.99499369999999998</v>
      </c>
      <c r="Y26">
        <v>7.2644319999999998E-2</v>
      </c>
      <c r="Z26">
        <v>-5.8601089999999996E-3</v>
      </c>
      <c r="AA26">
        <v>0.99734069999999997</v>
      </c>
      <c r="AB26">
        <v>6</v>
      </c>
      <c r="AC26">
        <v>0.65050000000002195</v>
      </c>
      <c r="AD26">
        <v>-0.10546899999999999</v>
      </c>
      <c r="AE26">
        <v>-5.0799999999980999E-2</v>
      </c>
      <c r="AF26">
        <v>5.1782648142964099E-2</v>
      </c>
      <c r="AG26">
        <v>-0.10546899999999999</v>
      </c>
      <c r="AH26">
        <v>0.63375432968624201</v>
      </c>
      <c r="AI26">
        <v>99.417716087313806</v>
      </c>
      <c r="AJ26">
        <v>85.328866698579702</v>
      </c>
      <c r="AK26">
        <v>0.64455387905570505</v>
      </c>
      <c r="AL26">
        <v>84.904115742108303</v>
      </c>
      <c r="AM26">
        <v>87.364217759014295</v>
      </c>
      <c r="AN26">
        <v>1.0000000251135801</v>
      </c>
    </row>
    <row r="27" spans="1:40" x14ac:dyDescent="0.25">
      <c r="A27" t="str">
        <f>"20190312151221208"</f>
        <v>20190312151221208</v>
      </c>
      <c r="B27" t="str">
        <f>"1552374741199487"</f>
        <v>1552374741199487</v>
      </c>
      <c r="C27" t="s">
        <v>40</v>
      </c>
      <c r="D27">
        <v>4.7625489999999999</v>
      </c>
      <c r="E27">
        <v>0.50051440000000003</v>
      </c>
      <c r="F27" t="s">
        <v>41</v>
      </c>
      <c r="G27">
        <v>-474.88749999999999</v>
      </c>
      <c r="H27">
        <v>1.028953</v>
      </c>
      <c r="I27">
        <v>367.18040000000002</v>
      </c>
      <c r="J27">
        <v>-475.54109999999997</v>
      </c>
      <c r="K27">
        <v>1.108943</v>
      </c>
      <c r="L27">
        <v>367.221</v>
      </c>
      <c r="M27">
        <v>0.99999249999999995</v>
      </c>
      <c r="N27">
        <v>0</v>
      </c>
      <c r="O27">
        <v>3.7678989999999999E-3</v>
      </c>
      <c r="P27">
        <v>0.99516740000000004</v>
      </c>
      <c r="Q27">
        <v>8.8765230000000001E-2</v>
      </c>
      <c r="R27">
        <v>-4.198346E-2</v>
      </c>
      <c r="S27">
        <v>3.0369259999999998</v>
      </c>
      <c r="T27">
        <v>-0.33689709999999901</v>
      </c>
      <c r="U27">
        <v>-0.16778560000000001</v>
      </c>
      <c r="V27">
        <v>4.5732839999999997E-2</v>
      </c>
      <c r="W27">
        <v>8.9624460000000003E-2</v>
      </c>
      <c r="X27">
        <v>0.99492510000000001</v>
      </c>
      <c r="Y27">
        <v>5.8545050000000001E-2</v>
      </c>
      <c r="Z27">
        <v>-3.6513359999999998E-3</v>
      </c>
      <c r="AA27">
        <v>0.99827809999999995</v>
      </c>
      <c r="AB27">
        <v>7</v>
      </c>
      <c r="AC27">
        <v>0.65359999999998297</v>
      </c>
      <c r="AD27">
        <v>-7.9989999999999895E-2</v>
      </c>
      <c r="AE27">
        <v>-4.0599999999983503E-2</v>
      </c>
      <c r="AF27">
        <v>4.2429356900764298E-2</v>
      </c>
      <c r="AG27">
        <v>-7.9989999999999895E-2</v>
      </c>
      <c r="AH27">
        <v>0.64383621575407302</v>
      </c>
      <c r="AI27">
        <v>97.066945462974203</v>
      </c>
      <c r="AJ27">
        <v>86.229611022156504</v>
      </c>
      <c r="AK27">
        <v>0.65017207194983295</v>
      </c>
      <c r="AL27">
        <v>84.857997051941695</v>
      </c>
      <c r="AM27">
        <v>87.368188227312899</v>
      </c>
      <c r="AN27">
        <v>0.99999999554738295</v>
      </c>
    </row>
    <row r="28" spans="1:40" x14ac:dyDescent="0.25">
      <c r="A28" t="str">
        <f>"20190312151221230"</f>
        <v>20190312151221230</v>
      </c>
      <c r="B28" t="str">
        <f>"1552374741219006"</f>
        <v>1552374741219006</v>
      </c>
      <c r="C28" t="s">
        <v>40</v>
      </c>
      <c r="D28">
        <v>4.7894310000000004</v>
      </c>
      <c r="E28">
        <v>0.49892880000000001</v>
      </c>
      <c r="F28" t="s">
        <v>41</v>
      </c>
      <c r="G28">
        <v>-474.75889999999998</v>
      </c>
      <c r="H28">
        <v>1.035731</v>
      </c>
      <c r="I28">
        <v>367.18369999999999</v>
      </c>
      <c r="J28">
        <v>-475.46769999999998</v>
      </c>
      <c r="K28">
        <v>1.108849</v>
      </c>
      <c r="L28">
        <v>367.22149999999999</v>
      </c>
      <c r="M28">
        <v>0.99999210000000005</v>
      </c>
      <c r="N28">
        <v>0</v>
      </c>
      <c r="O28">
        <v>3.9632369999999997E-3</v>
      </c>
      <c r="P28">
        <v>0.99510569999999998</v>
      </c>
      <c r="Q28">
        <v>8.9505050000000003E-2</v>
      </c>
      <c r="R28">
        <v>-4.1876620000000003E-2</v>
      </c>
      <c r="S28">
        <v>3.0338750000000001</v>
      </c>
      <c r="T28">
        <v>-0.284302099999999</v>
      </c>
      <c r="U28">
        <v>-0.14312739999999999</v>
      </c>
      <c r="V28">
        <v>4.581615E-2</v>
      </c>
      <c r="W28">
        <v>9.0014830000000004E-2</v>
      </c>
      <c r="X28">
        <v>0.99488600000000005</v>
      </c>
      <c r="Y28">
        <v>5.0842909999999998E-2</v>
      </c>
      <c r="Z28">
        <v>-2.7460900000000001E-3</v>
      </c>
      <c r="AA28">
        <v>0.99870289999999995</v>
      </c>
      <c r="AB28">
        <v>7</v>
      </c>
      <c r="AC28">
        <v>0.70879999999999599</v>
      </c>
      <c r="AD28">
        <v>-7.3118000000000002E-2</v>
      </c>
      <c r="AE28">
        <v>-3.7800000000004198E-2</v>
      </c>
      <c r="AF28">
        <v>4.0182458315749001E-2</v>
      </c>
      <c r="AG28">
        <v>-7.3118000000000002E-2</v>
      </c>
      <c r="AH28">
        <v>0.70120395122779799</v>
      </c>
      <c r="AI28">
        <v>95.943319459398495</v>
      </c>
      <c r="AJ28">
        <v>86.720255075287199</v>
      </c>
      <c r="AK28">
        <v>0.70615002166520802</v>
      </c>
      <c r="AL28">
        <v>84.835539600236004</v>
      </c>
      <c r="AM28">
        <v>87.363297227484694</v>
      </c>
      <c r="AN28">
        <v>0.99999997110837502</v>
      </c>
    </row>
    <row r="29" spans="1:40" x14ac:dyDescent="0.25">
      <c r="A29" t="str">
        <f>"20190312151221253"</f>
        <v>20190312151221253</v>
      </c>
      <c r="B29" t="str">
        <f>"1552374741249262"</f>
        <v>1552374741249262</v>
      </c>
      <c r="C29" t="s">
        <v>40</v>
      </c>
      <c r="D29">
        <v>4.9175899999999997</v>
      </c>
      <c r="E29">
        <v>0.49801580000000001</v>
      </c>
      <c r="F29" t="s">
        <v>41</v>
      </c>
      <c r="G29">
        <v>-474.68880000000001</v>
      </c>
      <c r="H29">
        <v>1.043847</v>
      </c>
      <c r="I29">
        <v>367.18810000000002</v>
      </c>
      <c r="J29">
        <v>-475.39269999999999</v>
      </c>
      <c r="K29">
        <v>1.108727</v>
      </c>
      <c r="L29">
        <v>367.22199999999998</v>
      </c>
      <c r="M29">
        <v>0.99999130000000003</v>
      </c>
      <c r="N29">
        <v>0</v>
      </c>
      <c r="O29">
        <v>4.1682109999999998E-3</v>
      </c>
      <c r="P29">
        <v>0.99507299999999999</v>
      </c>
      <c r="Q29">
        <v>8.9856069999999996E-2</v>
      </c>
      <c r="R29">
        <v>-4.1901199999999902E-2</v>
      </c>
      <c r="S29">
        <v>3.0321039999999999</v>
      </c>
      <c r="T29">
        <v>-0.2532507</v>
      </c>
      <c r="U29">
        <v>-0.1293945</v>
      </c>
      <c r="V29">
        <v>4.604113E-2</v>
      </c>
      <c r="W29">
        <v>8.9880429999999997E-2</v>
      </c>
      <c r="X29">
        <v>0.99488779999999999</v>
      </c>
      <c r="Y29">
        <v>4.6623530000000003E-2</v>
      </c>
      <c r="Z29">
        <v>-2.2901940000000002E-3</v>
      </c>
      <c r="AA29">
        <v>0.99890990000000002</v>
      </c>
      <c r="AB29">
        <v>7</v>
      </c>
      <c r="AC29">
        <v>0.70389999999997599</v>
      </c>
      <c r="AD29">
        <v>-6.4879999999999993E-2</v>
      </c>
      <c r="AE29">
        <v>-3.3899999999959997E-2</v>
      </c>
      <c r="AF29">
        <v>3.65241288557989E-2</v>
      </c>
      <c r="AG29">
        <v>-6.4879999999999993E-2</v>
      </c>
      <c r="AH29">
        <v>0.69783767444089695</v>
      </c>
      <c r="AI29">
        <v>95.304466875309203</v>
      </c>
      <c r="AJ29">
        <v>87.003929752453004</v>
      </c>
      <c r="AK29">
        <v>0.70179829456743104</v>
      </c>
      <c r="AL29">
        <v>84.843271674745907</v>
      </c>
      <c r="AM29">
        <v>87.350372903980201</v>
      </c>
      <c r="AN29">
        <v>1.0000000059687499</v>
      </c>
    </row>
    <row r="30" spans="1:40" x14ac:dyDescent="0.25">
      <c r="A30" t="str">
        <f>"20190312151221275"</f>
        <v>20190312151221275</v>
      </c>
      <c r="B30" t="str">
        <f>"1552374741269759"</f>
        <v>1552374741269759</v>
      </c>
      <c r="C30" t="s">
        <v>40</v>
      </c>
      <c r="D30">
        <v>4.8095559999999997</v>
      </c>
      <c r="E30">
        <v>0.49750480000000002</v>
      </c>
      <c r="F30" t="s">
        <v>41</v>
      </c>
      <c r="G30">
        <v>-474.61579999999998</v>
      </c>
      <c r="H30">
        <v>1.05101</v>
      </c>
      <c r="I30">
        <v>367.19029999999998</v>
      </c>
      <c r="J30">
        <v>-475.31400000000002</v>
      </c>
      <c r="K30">
        <v>1.1086149999999999</v>
      </c>
      <c r="L30">
        <v>367.22250000000003</v>
      </c>
      <c r="M30">
        <v>0.9999903</v>
      </c>
      <c r="N30">
        <v>0</v>
      </c>
      <c r="O30">
        <v>4.3896530000000003E-3</v>
      </c>
      <c r="P30">
        <v>0.99504060000000005</v>
      </c>
      <c r="Q30">
        <v>9.0287759999999995E-2</v>
      </c>
      <c r="R30">
        <v>-4.1742950000000001E-2</v>
      </c>
      <c r="S30">
        <v>3.03009</v>
      </c>
      <c r="T30">
        <v>-0.22555790000000001</v>
      </c>
      <c r="U30">
        <v>-0.1220093</v>
      </c>
      <c r="V30">
        <v>4.6100240000000001E-2</v>
      </c>
      <c r="W30">
        <v>8.9750780000000002E-2</v>
      </c>
      <c r="X30">
        <v>0.99489680000000003</v>
      </c>
      <c r="Y30">
        <v>4.4483990000000001E-2</v>
      </c>
      <c r="Z30">
        <v>-1.9789109999999999E-3</v>
      </c>
      <c r="AA30">
        <v>0.99900809999999995</v>
      </c>
      <c r="AB30">
        <v>7</v>
      </c>
      <c r="AC30">
        <v>0.69820000000004201</v>
      </c>
      <c r="AD30">
        <v>-5.7604999999999899E-2</v>
      </c>
      <c r="AE30">
        <v>-3.2200000000045699E-2</v>
      </c>
      <c r="AF30">
        <v>3.5026622811995499E-2</v>
      </c>
      <c r="AG30">
        <v>-5.7604999999999899E-2</v>
      </c>
      <c r="AH30">
        <v>0.69334230871673097</v>
      </c>
      <c r="AI30">
        <v>94.743379305477504</v>
      </c>
      <c r="AJ30">
        <v>87.107960991704203</v>
      </c>
      <c r="AK30">
        <v>0.69661234369429603</v>
      </c>
      <c r="AL30">
        <v>84.850730385590296</v>
      </c>
      <c r="AM30">
        <v>87.346999997302305</v>
      </c>
      <c r="AN30">
        <v>1.0000000386444501</v>
      </c>
    </row>
    <row r="31" spans="1:40" x14ac:dyDescent="0.25">
      <c r="A31" t="str">
        <f>"20190312151221299"</f>
        <v>20190312151221299</v>
      </c>
      <c r="B31" t="str">
        <f>"1552374741289279"</f>
        <v>1552374741289279</v>
      </c>
      <c r="C31" t="s">
        <v>40</v>
      </c>
      <c r="D31">
        <v>4.8013570000000003</v>
      </c>
      <c r="E31">
        <v>0.49721910000000002</v>
      </c>
      <c r="F31" t="s">
        <v>41</v>
      </c>
      <c r="G31">
        <v>-474.54020000000003</v>
      </c>
      <c r="H31">
        <v>1.0558909999999999</v>
      </c>
      <c r="I31">
        <v>367.19240000000002</v>
      </c>
      <c r="J31">
        <v>-475.22719999999998</v>
      </c>
      <c r="K31">
        <v>1.1085339999999999</v>
      </c>
      <c r="L31">
        <v>367.22320000000002</v>
      </c>
      <c r="M31">
        <v>0.99998869999999895</v>
      </c>
      <c r="N31">
        <v>0</v>
      </c>
      <c r="O31">
        <v>4.6370029999999998E-3</v>
      </c>
      <c r="P31">
        <v>0.99501170000000005</v>
      </c>
      <c r="Q31">
        <v>9.0509530000000005E-2</v>
      </c>
      <c r="R31">
        <v>-4.195012E-2</v>
      </c>
      <c r="S31">
        <v>3.028778</v>
      </c>
      <c r="T31">
        <v>-0.20655109999999999</v>
      </c>
      <c r="U31">
        <v>-0.1175842</v>
      </c>
      <c r="V31">
        <v>4.6550870000000001E-2</v>
      </c>
      <c r="W31">
        <v>8.9467729999999995E-2</v>
      </c>
      <c r="X31">
        <v>0.99490129999999999</v>
      </c>
      <c r="Y31">
        <v>4.3314999999999999E-2</v>
      </c>
      <c r="Z31">
        <v>-1.790439E-3</v>
      </c>
      <c r="AA31">
        <v>0.9990599</v>
      </c>
      <c r="AB31">
        <v>8</v>
      </c>
      <c r="AC31">
        <v>0.68699999999995498</v>
      </c>
      <c r="AD31">
        <v>-5.2643000000000002E-2</v>
      </c>
      <c r="AE31">
        <v>-3.07999999999992E-2</v>
      </c>
      <c r="AF31">
        <v>3.3787298960023103E-2</v>
      </c>
      <c r="AG31">
        <v>-5.2643000000000002E-2</v>
      </c>
      <c r="AH31">
        <v>0.682848320370124</v>
      </c>
      <c r="AI31">
        <v>94.403033004042598</v>
      </c>
      <c r="AJ31">
        <v>87.167318056178303</v>
      </c>
      <c r="AK31">
        <v>0.68570744173613396</v>
      </c>
      <c r="AL31">
        <v>84.867013404763895</v>
      </c>
      <c r="AM31">
        <v>87.321116608170698</v>
      </c>
      <c r="AN31">
        <v>1.00000002747539</v>
      </c>
    </row>
    <row r="32" spans="1:40" x14ac:dyDescent="0.25">
      <c r="A32" t="str">
        <f>"20190312151221320"</f>
        <v>20190312151221320</v>
      </c>
      <c r="B32" t="str">
        <f>"1552374741309774"</f>
        <v>1552374741309774</v>
      </c>
      <c r="C32" t="s">
        <v>40</v>
      </c>
      <c r="D32">
        <v>4.8108510000000004</v>
      </c>
      <c r="E32">
        <v>0.49707610000000002</v>
      </c>
      <c r="F32" t="s">
        <v>41</v>
      </c>
      <c r="G32">
        <v>-474.45650000000001</v>
      </c>
      <c r="H32">
        <v>1.059456</v>
      </c>
      <c r="I32">
        <v>367.19319999999999</v>
      </c>
      <c r="J32">
        <v>-475.14580000000001</v>
      </c>
      <c r="K32">
        <v>1.108519</v>
      </c>
      <c r="L32">
        <v>367.22379999999998</v>
      </c>
      <c r="M32">
        <v>0.99998730000000002</v>
      </c>
      <c r="N32">
        <v>0</v>
      </c>
      <c r="O32">
        <v>4.8605139999999998E-3</v>
      </c>
      <c r="P32">
        <v>0.99503920000000001</v>
      </c>
      <c r="Q32">
        <v>9.0448600000000004E-2</v>
      </c>
      <c r="R32">
        <v>-4.1423290000000001E-2</v>
      </c>
      <c r="S32">
        <v>3.027771</v>
      </c>
      <c r="T32">
        <v>-0.1933359</v>
      </c>
      <c r="U32">
        <v>-0.115509</v>
      </c>
      <c r="V32">
        <v>4.6245469999999997E-2</v>
      </c>
      <c r="W32">
        <v>8.9147149999999994E-2</v>
      </c>
      <c r="X32">
        <v>0.9949443</v>
      </c>
      <c r="Y32">
        <v>4.2881570000000001E-2</v>
      </c>
      <c r="Z32">
        <v>-1.6771379999999999E-3</v>
      </c>
      <c r="AA32">
        <v>0.99907880000000004</v>
      </c>
      <c r="AB32">
        <v>8</v>
      </c>
      <c r="AC32">
        <v>0.68930000000000202</v>
      </c>
      <c r="AD32">
        <v>-4.9063000000000002E-2</v>
      </c>
      <c r="AE32">
        <v>-3.0599999999992598E-2</v>
      </c>
      <c r="AF32">
        <v>3.3779194588262701E-2</v>
      </c>
      <c r="AG32">
        <v>-4.9063000000000002E-2</v>
      </c>
      <c r="AH32">
        <v>0.68567611159156605</v>
      </c>
      <c r="AI32">
        <v>94.087837055292795</v>
      </c>
      <c r="AJ32">
        <v>87.1796569561414</v>
      </c>
      <c r="AK32">
        <v>0.68825863014085198</v>
      </c>
      <c r="AL32">
        <v>84.885454881007206</v>
      </c>
      <c r="AM32">
        <v>87.338781098624295</v>
      </c>
      <c r="AN32">
        <v>1.0000000089755601</v>
      </c>
    </row>
    <row r="33" spans="1:40" x14ac:dyDescent="0.25">
      <c r="A33" t="str">
        <f>"20190312151221341"</f>
        <v>20190312151221341</v>
      </c>
      <c r="B33" t="str">
        <f>"1552374741339054"</f>
        <v>1552374741339054</v>
      </c>
      <c r="C33" t="s">
        <v>40</v>
      </c>
      <c r="D33">
        <v>4.78742</v>
      </c>
      <c r="E33">
        <v>0.49716519999999997</v>
      </c>
      <c r="F33" t="s">
        <v>41</v>
      </c>
      <c r="G33">
        <v>-474.3777</v>
      </c>
      <c r="H33">
        <v>1.0596369999999999</v>
      </c>
      <c r="I33">
        <v>367.19490000000002</v>
      </c>
      <c r="J33">
        <v>-475.06380000000001</v>
      </c>
      <c r="K33">
        <v>1.108562</v>
      </c>
      <c r="L33">
        <v>367.2244</v>
      </c>
      <c r="M33">
        <v>0.99998620000000005</v>
      </c>
      <c r="N33">
        <v>0</v>
      </c>
      <c r="O33">
        <v>5.0684980000000003E-3</v>
      </c>
      <c r="P33">
        <v>0.99502889999999999</v>
      </c>
      <c r="Q33">
        <v>9.0753180000000003E-2</v>
      </c>
      <c r="R33">
        <v>-4.1005649999999998E-2</v>
      </c>
      <c r="S33">
        <v>3.0278320000000001</v>
      </c>
      <c r="T33">
        <v>-0.19299959999999999</v>
      </c>
      <c r="U33">
        <v>-0.1125183</v>
      </c>
      <c r="V33">
        <v>4.6034329999999998E-2</v>
      </c>
      <c r="W33">
        <v>8.9407890000000004E-2</v>
      </c>
      <c r="X33">
        <v>0.99493069999999895</v>
      </c>
      <c r="Y33">
        <v>4.2104629999999997E-2</v>
      </c>
      <c r="Z33">
        <v>-1.6627359999999999E-3</v>
      </c>
      <c r="AA33">
        <v>0.99911179999999999</v>
      </c>
      <c r="AB33">
        <v>8</v>
      </c>
      <c r="AC33">
        <v>0.68610000000001004</v>
      </c>
      <c r="AD33">
        <v>-4.8924999999999802E-2</v>
      </c>
      <c r="AE33">
        <v>-2.94999999999845E-2</v>
      </c>
      <c r="AF33">
        <v>3.28105884866862E-2</v>
      </c>
      <c r="AG33">
        <v>-4.8924999999999802E-2</v>
      </c>
      <c r="AH33">
        <v>0.68247770397398899</v>
      </c>
      <c r="AI33">
        <v>94.095652431819303</v>
      </c>
      <c r="AJ33">
        <v>87.247584922871795</v>
      </c>
      <c r="AK33">
        <v>0.68501533323236696</v>
      </c>
      <c r="AL33">
        <v>84.870455710787596</v>
      </c>
      <c r="AM33">
        <v>87.350877749090301</v>
      </c>
      <c r="AN33">
        <v>1.0000000140676399</v>
      </c>
    </row>
    <row r="34" spans="1:40" x14ac:dyDescent="0.25">
      <c r="A34" t="str">
        <f>"20190312151221363"</f>
        <v>20190312151221363</v>
      </c>
      <c r="B34" t="str">
        <f>"1552374741359551"</f>
        <v>1552374741359551</v>
      </c>
      <c r="C34" t="s">
        <v>40</v>
      </c>
      <c r="D34">
        <v>4.7451790000000003</v>
      </c>
      <c r="E34">
        <v>0.4972627</v>
      </c>
      <c r="F34" t="s">
        <v>42</v>
      </c>
      <c r="G34">
        <v>-457.2987</v>
      </c>
      <c r="H34" s="1">
        <v>-1.7167269999999999E-6</v>
      </c>
      <c r="I34">
        <v>366.5668</v>
      </c>
      <c r="J34">
        <v>-474.98039999999997</v>
      </c>
      <c r="K34">
        <v>1.1086400000000001</v>
      </c>
      <c r="L34">
        <v>367.2251</v>
      </c>
      <c r="M34">
        <v>0.99998549999999997</v>
      </c>
      <c r="N34">
        <v>0</v>
      </c>
      <c r="O34">
        <v>5.2636849999999997E-3</v>
      </c>
      <c r="P34">
        <v>0.99507080000000003</v>
      </c>
      <c r="Q34">
        <v>9.0374889999999999E-2</v>
      </c>
      <c r="R34">
        <v>-4.082243E-2</v>
      </c>
      <c r="S34">
        <v>3.0276179999999999</v>
      </c>
      <c r="T34">
        <v>-0.1889265</v>
      </c>
      <c r="U34">
        <v>-0.11206049999999999</v>
      </c>
      <c r="V34">
        <v>4.6045999999999997E-2</v>
      </c>
      <c r="W34">
        <v>8.9161409999999997E-2</v>
      </c>
      <c r="X34">
        <v>0.99495230000000001</v>
      </c>
      <c r="Y34">
        <v>4.2154919999999999E-2</v>
      </c>
      <c r="Z34">
        <v>-1.6415640000000001E-3</v>
      </c>
      <c r="AA34">
        <v>0.99910969999999999</v>
      </c>
      <c r="AB34">
        <v>8</v>
      </c>
      <c r="AC34">
        <v>17.6816999999999</v>
      </c>
      <c r="AD34">
        <v>-1.108641716727</v>
      </c>
      <c r="AE34">
        <v>-0.658299999999997</v>
      </c>
      <c r="AF34">
        <v>0.74842364653928894</v>
      </c>
      <c r="AG34">
        <v>-1.108641716727</v>
      </c>
      <c r="AH34">
        <v>17.6088603580571</v>
      </c>
      <c r="AI34">
        <v>93.599306797700393</v>
      </c>
      <c r="AJ34">
        <v>87.566240982112504</v>
      </c>
      <c r="AK34">
        <v>17.659591940934501</v>
      </c>
      <c r="AL34">
        <v>84.884634711173703</v>
      </c>
      <c r="AM34">
        <v>87.350264580456397</v>
      </c>
      <c r="AN34">
        <v>1.00000003521223</v>
      </c>
    </row>
    <row r="35" spans="1:40" x14ac:dyDescent="0.25">
      <c r="A35" t="str">
        <f>"20190312151221386"</f>
        <v>20190312151221386</v>
      </c>
      <c r="B35" t="str">
        <f>"1552374741379071"</f>
        <v>1552374741379071</v>
      </c>
      <c r="C35" t="s">
        <v>40</v>
      </c>
      <c r="D35">
        <v>4.9101689999999998</v>
      </c>
      <c r="E35">
        <v>0.49736160000000001</v>
      </c>
      <c r="F35" t="s">
        <v>42</v>
      </c>
      <c r="G35">
        <v>-456.72489999999999</v>
      </c>
      <c r="H35" s="1">
        <v>-1.9311099999999999E-6</v>
      </c>
      <c r="I35">
        <v>366.55070000000001</v>
      </c>
      <c r="J35">
        <v>-474.88909999999998</v>
      </c>
      <c r="K35">
        <v>1.108735</v>
      </c>
      <c r="L35">
        <v>367.22590000000002</v>
      </c>
      <c r="M35">
        <v>0.99998469999999995</v>
      </c>
      <c r="N35">
        <v>0</v>
      </c>
      <c r="O35">
        <v>5.4689589999999998E-3</v>
      </c>
      <c r="P35">
        <v>0.99512990000000001</v>
      </c>
      <c r="Q35">
        <v>8.9845259999999996E-2</v>
      </c>
      <c r="R35">
        <v>-4.0553690000000003E-2</v>
      </c>
      <c r="S35">
        <v>3.0270079999999999</v>
      </c>
      <c r="T35">
        <v>-0.18382689999999999</v>
      </c>
      <c r="U35">
        <v>-0.1118164</v>
      </c>
      <c r="V35">
        <v>4.5983059999999999E-2</v>
      </c>
      <c r="W35">
        <v>8.8895909999999995E-2</v>
      </c>
      <c r="X35">
        <v>0.9949789</v>
      </c>
      <c r="Y35">
        <v>4.2291219999999997E-2</v>
      </c>
      <c r="Z35">
        <v>-1.614245E-3</v>
      </c>
      <c r="AA35">
        <v>0.99910399999999999</v>
      </c>
      <c r="AB35">
        <v>9</v>
      </c>
      <c r="AC35">
        <v>18.164199999999902</v>
      </c>
      <c r="AD35">
        <v>-1.1087369311099999</v>
      </c>
      <c r="AE35">
        <v>-0.67520000000001701</v>
      </c>
      <c r="AF35">
        <v>0.77165809258254803</v>
      </c>
      <c r="AG35">
        <v>-1.1087369311099999</v>
      </c>
      <c r="AH35">
        <v>18.092917373768199</v>
      </c>
      <c r="AI35">
        <v>93.503532507731904</v>
      </c>
      <c r="AJ35">
        <v>87.557830361008897</v>
      </c>
      <c r="AK35">
        <v>18.143274591105602</v>
      </c>
      <c r="AL35">
        <v>84.899907043422402</v>
      </c>
      <c r="AM35">
        <v>87.353951977789606</v>
      </c>
      <c r="AN35">
        <v>0.99999996803345004</v>
      </c>
    </row>
    <row r="36" spans="1:40" x14ac:dyDescent="0.25">
      <c r="A36" t="str">
        <f>"20190312151221408"</f>
        <v>20190312151221408</v>
      </c>
      <c r="B36" t="str">
        <f>"1552374741399567"</f>
        <v>1552374741399567</v>
      </c>
      <c r="C36" t="s">
        <v>40</v>
      </c>
      <c r="D36">
        <v>4.7347919999999997</v>
      </c>
      <c r="E36">
        <v>0.49747150000000001</v>
      </c>
      <c r="F36" t="s">
        <v>41</v>
      </c>
      <c r="G36">
        <v>-474.06330000000003</v>
      </c>
      <c r="H36">
        <v>1.059666</v>
      </c>
      <c r="I36">
        <v>367.19529999999997</v>
      </c>
      <c r="J36">
        <v>-474.79860000000002</v>
      </c>
      <c r="K36">
        <v>1.108819</v>
      </c>
      <c r="L36">
        <v>367.22660000000002</v>
      </c>
      <c r="M36">
        <v>0.99998370000000003</v>
      </c>
      <c r="N36">
        <v>0</v>
      </c>
      <c r="O36">
        <v>5.6764179999999999E-3</v>
      </c>
      <c r="P36">
        <v>0.99516850000000001</v>
      </c>
      <c r="Q36">
        <v>8.9525980000000005E-2</v>
      </c>
      <c r="R36">
        <v>-4.0310110000000003E-2</v>
      </c>
      <c r="S36">
        <v>3.0263979999999999</v>
      </c>
      <c r="T36">
        <v>-0.17993000000000001</v>
      </c>
      <c r="U36">
        <v>-0.1116333</v>
      </c>
      <c r="V36">
        <v>4.5947670000000003E-2</v>
      </c>
      <c r="W36">
        <v>8.8884980000000002E-2</v>
      </c>
      <c r="X36">
        <v>0.99498149999999996</v>
      </c>
      <c r="Y36">
        <v>4.2448569999999998E-2</v>
      </c>
      <c r="Z36">
        <v>-1.5973960000000001E-3</v>
      </c>
      <c r="AA36">
        <v>0.99909729999999997</v>
      </c>
      <c r="AB36">
        <v>9</v>
      </c>
      <c r="AC36">
        <v>0.73529999999999496</v>
      </c>
      <c r="AD36">
        <v>-4.9152999999999898E-2</v>
      </c>
      <c r="AE36">
        <v>-3.1300000000044202E-2</v>
      </c>
      <c r="AF36">
        <v>3.53158399482894E-2</v>
      </c>
      <c r="AG36">
        <v>-4.9152999999999898E-2</v>
      </c>
      <c r="AH36">
        <v>0.731846073598726</v>
      </c>
      <c r="AI36">
        <v>93.837935013176605</v>
      </c>
      <c r="AJ36">
        <v>87.237287696192794</v>
      </c>
      <c r="AK36">
        <v>0.734344538620752</v>
      </c>
      <c r="AL36">
        <v>84.900535717232003</v>
      </c>
      <c r="AM36">
        <v>87.3559924673106</v>
      </c>
      <c r="AN36">
        <v>0.99999995669513797</v>
      </c>
    </row>
    <row r="37" spans="1:40" x14ac:dyDescent="0.25">
      <c r="A37" t="str">
        <f>"20190312151221431"</f>
        <v>20190312151221431</v>
      </c>
      <c r="B37" t="str">
        <f>"1552374741419086"</f>
        <v>1552374741419086</v>
      </c>
      <c r="C37" t="s">
        <v>40</v>
      </c>
      <c r="D37">
        <v>4.6940839999999904</v>
      </c>
      <c r="E37">
        <v>0.49755670000000002</v>
      </c>
      <c r="F37" t="s">
        <v>42</v>
      </c>
      <c r="G37">
        <v>-455.67329999999998</v>
      </c>
      <c r="H37" s="1">
        <v>-2.387682E-6</v>
      </c>
      <c r="I37">
        <v>366.52</v>
      </c>
      <c r="J37">
        <v>-474.70249999999999</v>
      </c>
      <c r="K37">
        <v>1.108889</v>
      </c>
      <c r="L37">
        <v>367.22750000000002</v>
      </c>
      <c r="M37">
        <v>0.9999825</v>
      </c>
      <c r="N37">
        <v>0</v>
      </c>
      <c r="O37">
        <v>5.9073090000000003E-3</v>
      </c>
      <c r="P37">
        <v>0.99519219999999997</v>
      </c>
      <c r="Q37">
        <v>8.9351109999999997E-2</v>
      </c>
      <c r="R37">
        <v>-4.0111010000000002E-2</v>
      </c>
      <c r="S37">
        <v>3.0257869999999998</v>
      </c>
      <c r="T37">
        <v>-0.17542430000000001</v>
      </c>
      <c r="U37">
        <v>-0.11178589999999999</v>
      </c>
      <c r="V37">
        <v>4.5979329999999999E-2</v>
      </c>
      <c r="W37">
        <v>8.9030330000000005E-2</v>
      </c>
      <c r="X37">
        <v>0.99496709999999999</v>
      </c>
      <c r="Y37">
        <v>4.2740269999999997E-2</v>
      </c>
      <c r="Z37">
        <v>-1.5795920000000001E-3</v>
      </c>
      <c r="AA37">
        <v>0.99908490000000005</v>
      </c>
      <c r="AB37">
        <v>9</v>
      </c>
      <c r="AC37">
        <v>19.029199999999999</v>
      </c>
      <c r="AD37">
        <v>-1.1088913876819999</v>
      </c>
      <c r="AE37">
        <v>-0.70750000000003799</v>
      </c>
      <c r="AF37">
        <v>0.817128085230023</v>
      </c>
      <c r="AG37">
        <v>-1.1088913876819999</v>
      </c>
      <c r="AH37">
        <v>18.960392491627399</v>
      </c>
      <c r="AI37">
        <v>93.344012325295395</v>
      </c>
      <c r="AJ37">
        <v>87.532274839365797</v>
      </c>
      <c r="AK37">
        <v>19.010360908039299</v>
      </c>
      <c r="AL37">
        <v>84.892174921841303</v>
      </c>
      <c r="AM37">
        <v>87.354134977620006</v>
      </c>
      <c r="AN37">
        <v>1.00000001426478</v>
      </c>
    </row>
    <row r="38" spans="1:40" x14ac:dyDescent="0.25">
      <c r="A38" t="str">
        <f>"20190312151221453"</f>
        <v>20190312151221453</v>
      </c>
      <c r="B38" t="str">
        <f>"1552374741449343"</f>
        <v>1552374741449343</v>
      </c>
      <c r="C38" t="s">
        <v>40</v>
      </c>
      <c r="D38">
        <v>4.6331519999999999</v>
      </c>
      <c r="E38">
        <v>0.4977433</v>
      </c>
      <c r="F38" t="s">
        <v>42</v>
      </c>
      <c r="G38">
        <v>-455.41219999999998</v>
      </c>
      <c r="H38" s="1">
        <v>-2.500562E-6</v>
      </c>
      <c r="I38">
        <v>366.51510000000002</v>
      </c>
      <c r="J38">
        <v>-474.61040000000003</v>
      </c>
      <c r="K38">
        <v>1.108938</v>
      </c>
      <c r="L38">
        <v>367.22829999999999</v>
      </c>
      <c r="M38">
        <v>0.99998120000000001</v>
      </c>
      <c r="N38">
        <v>0</v>
      </c>
      <c r="O38">
        <v>6.1373060000000004E-3</v>
      </c>
      <c r="P38">
        <v>0.99521479999999996</v>
      </c>
      <c r="Q38">
        <v>8.9138250000000002E-2</v>
      </c>
      <c r="R38">
        <v>-4.0023320000000001E-2</v>
      </c>
      <c r="S38">
        <v>3.0256349999999999</v>
      </c>
      <c r="T38">
        <v>-0.1739261</v>
      </c>
      <c r="U38">
        <v>-0.1117249</v>
      </c>
      <c r="V38">
        <v>4.6121019999999999E-2</v>
      </c>
      <c r="W38">
        <v>8.909823E-2</v>
      </c>
      <c r="X38">
        <v>0.99495449999999996</v>
      </c>
      <c r="Y38">
        <v>4.2952440000000001E-2</v>
      </c>
      <c r="Z38">
        <v>-1.585501E-3</v>
      </c>
      <c r="AA38">
        <v>0.99907590000000002</v>
      </c>
      <c r="AB38">
        <v>9</v>
      </c>
      <c r="AC38">
        <v>19.1982</v>
      </c>
      <c r="AD38">
        <v>-1.1089405005620001</v>
      </c>
      <c r="AE38">
        <v>-0.71319999999997197</v>
      </c>
      <c r="AF38">
        <v>0.82825210989564202</v>
      </c>
      <c r="AG38">
        <v>-1.1089405005620001</v>
      </c>
      <c r="AH38">
        <v>19.129722313806401</v>
      </c>
      <c r="AI38">
        <v>93.314596495435396</v>
      </c>
      <c r="AJ38">
        <v>87.5208353999639</v>
      </c>
      <c r="AK38">
        <v>19.179729570426101</v>
      </c>
      <c r="AL38">
        <v>84.888269199456701</v>
      </c>
      <c r="AM38">
        <v>87.345959552565702</v>
      </c>
      <c r="AN38">
        <v>1.0000000500726101</v>
      </c>
    </row>
    <row r="39" spans="1:40" x14ac:dyDescent="0.25">
      <c r="A39" t="str">
        <f>"20190312151221477"</f>
        <v>20190312151221477</v>
      </c>
      <c r="B39" t="str">
        <f>"1552374741469839"</f>
        <v>1552374741469839</v>
      </c>
      <c r="C39" t="s">
        <v>40</v>
      </c>
      <c r="D39">
        <v>4.6278649999999999</v>
      </c>
      <c r="E39">
        <v>0.49790299999999998</v>
      </c>
      <c r="F39" t="s">
        <v>42</v>
      </c>
      <c r="G39">
        <v>-455.68439999999998</v>
      </c>
      <c r="H39" s="1">
        <v>-2.382643E-6</v>
      </c>
      <c r="I39">
        <v>366.52170000000001</v>
      </c>
      <c r="J39">
        <v>-474.5059</v>
      </c>
      <c r="K39">
        <v>1.1089719999999901</v>
      </c>
      <c r="L39">
        <v>367.22919999999999</v>
      </c>
      <c r="M39">
        <v>0.99997950000000002</v>
      </c>
      <c r="N39">
        <v>0</v>
      </c>
      <c r="O39">
        <v>6.4041580000000001E-3</v>
      </c>
      <c r="P39">
        <v>0.99527509999999997</v>
      </c>
      <c r="Q39">
        <v>8.8651820000000006E-2</v>
      </c>
      <c r="R39">
        <v>-3.9603199999999998E-2</v>
      </c>
      <c r="S39">
        <v>3.025757</v>
      </c>
      <c r="T39">
        <v>-0.1772888</v>
      </c>
      <c r="U39">
        <v>-0.11294559999999999</v>
      </c>
      <c r="V39">
        <v>4.5966390000000003E-2</v>
      </c>
      <c r="W39">
        <v>8.8888789999999995E-2</v>
      </c>
      <c r="X39">
        <v>0.99498030000000004</v>
      </c>
      <c r="Y39">
        <v>4.3615309999999997E-2</v>
      </c>
      <c r="Z39">
        <v>-1.6510400000000001E-3</v>
      </c>
      <c r="AA39">
        <v>0.99904700000000002</v>
      </c>
      <c r="AB39">
        <v>9</v>
      </c>
      <c r="AC39">
        <v>18.8215</v>
      </c>
      <c r="AD39">
        <v>-1.1089743826430001</v>
      </c>
      <c r="AE39">
        <v>-0.70749999999998103</v>
      </c>
      <c r="AF39">
        <v>0.82516073225073605</v>
      </c>
      <c r="AG39">
        <v>-1.1089743826430001</v>
      </c>
      <c r="AH39">
        <v>18.751576239899901</v>
      </c>
      <c r="AI39">
        <v>93.381284377262205</v>
      </c>
      <c r="AJ39">
        <v>87.480332042155993</v>
      </c>
      <c r="AK39">
        <v>18.802455315627999</v>
      </c>
      <c r="AL39">
        <v>84.900316578343293</v>
      </c>
      <c r="AM39">
        <v>87.354913589748193</v>
      </c>
      <c r="AN39">
        <v>0.99999996169269201</v>
      </c>
    </row>
    <row r="40" spans="1:40" x14ac:dyDescent="0.25">
      <c r="A40" t="str">
        <f>"20190312151221500"</f>
        <v>20190312151221500</v>
      </c>
      <c r="B40" t="str">
        <f>"1552374741489359"</f>
        <v>1552374741489359</v>
      </c>
      <c r="C40" t="s">
        <v>40</v>
      </c>
      <c r="D40">
        <v>4.6194610000000003</v>
      </c>
      <c r="E40">
        <v>0.49814619999999998</v>
      </c>
      <c r="F40" t="s">
        <v>42</v>
      </c>
      <c r="G40">
        <v>-455.79520000000002</v>
      </c>
      <c r="H40" s="1">
        <v>-2.333195E-6</v>
      </c>
      <c r="I40">
        <v>366.5324</v>
      </c>
      <c r="J40">
        <v>-474.4083</v>
      </c>
      <c r="K40">
        <v>1.1089960000000001</v>
      </c>
      <c r="L40">
        <v>367.23009999999999</v>
      </c>
      <c r="M40">
        <v>0.99997780000000003</v>
      </c>
      <c r="N40">
        <v>0</v>
      </c>
      <c r="O40">
        <v>6.6554869999999999E-3</v>
      </c>
      <c r="P40">
        <v>0.99529769999999895</v>
      </c>
      <c r="Q40">
        <v>8.8619379999999998E-2</v>
      </c>
      <c r="R40">
        <v>-3.9107490000000002E-2</v>
      </c>
      <c r="S40">
        <v>3.0256959999999999</v>
      </c>
      <c r="T40">
        <v>-0.17933109999999999</v>
      </c>
      <c r="U40">
        <v>-0.11267089999999901</v>
      </c>
      <c r="V40">
        <v>4.5719679999999999E-2</v>
      </c>
      <c r="W40">
        <v>8.9072120000000005E-2</v>
      </c>
      <c r="X40">
        <v>0.99497530000000001</v>
      </c>
      <c r="Y40">
        <v>4.3773890000000003E-2</v>
      </c>
      <c r="Z40">
        <v>-1.6896350000000001E-3</v>
      </c>
      <c r="AA40">
        <v>0.99904000000000004</v>
      </c>
      <c r="AB40">
        <v>10</v>
      </c>
      <c r="AC40">
        <v>18.6130999999999</v>
      </c>
      <c r="AD40">
        <v>-1.108998333195</v>
      </c>
      <c r="AE40">
        <v>-0.69769999999999699</v>
      </c>
      <c r="AF40">
        <v>0.81866165440697403</v>
      </c>
      <c r="AG40">
        <v>-1.108998333195</v>
      </c>
      <c r="AH40">
        <v>18.542311979207302</v>
      </c>
      <c r="AI40">
        <v>93.419406476762006</v>
      </c>
      <c r="AJ40">
        <v>87.471975702817801</v>
      </c>
      <c r="AK40">
        <v>18.593477828036399</v>
      </c>
      <c r="AL40">
        <v>84.8897708544105</v>
      </c>
      <c r="AM40">
        <v>87.369077047869496</v>
      </c>
      <c r="AN40">
        <v>0.99999998965534298</v>
      </c>
    </row>
    <row r="41" spans="1:40" x14ac:dyDescent="0.25">
      <c r="A41" t="str">
        <f>"20190312151221520"</f>
        <v>20190312151221520</v>
      </c>
      <c r="B41" t="str">
        <f>"1552374741509855"</f>
        <v>1552374741509855</v>
      </c>
      <c r="C41" t="s">
        <v>40</v>
      </c>
      <c r="D41">
        <v>4.4833939999999997</v>
      </c>
      <c r="E41">
        <v>0.4982664</v>
      </c>
      <c r="F41" t="s">
        <v>42</v>
      </c>
      <c r="G41">
        <v>-455.82709999999997</v>
      </c>
      <c r="H41" s="1">
        <v>-2.3193899999999999E-6</v>
      </c>
      <c r="I41">
        <v>366.53309999999999</v>
      </c>
      <c r="J41">
        <v>-474.31330000000003</v>
      </c>
      <c r="K41">
        <v>1.1090089999999999</v>
      </c>
      <c r="L41">
        <v>367.23099999999999</v>
      </c>
      <c r="M41">
        <v>0.99997619999999998</v>
      </c>
      <c r="N41">
        <v>0</v>
      </c>
      <c r="O41">
        <v>6.8999530000000003E-3</v>
      </c>
      <c r="P41">
        <v>0.99529279999999998</v>
      </c>
      <c r="Q41">
        <v>8.8792410000000002E-2</v>
      </c>
      <c r="R41">
        <v>-3.8839180000000001E-2</v>
      </c>
      <c r="S41">
        <v>3.0257869999999998</v>
      </c>
      <c r="T41">
        <v>-0.18058969999999999</v>
      </c>
      <c r="U41">
        <v>-0.113494899999999</v>
      </c>
      <c r="V41">
        <v>4.569343E-2</v>
      </c>
      <c r="W41">
        <v>8.9419760000000001E-2</v>
      </c>
      <c r="X41">
        <v>0.99494530000000003</v>
      </c>
      <c r="Y41">
        <v>4.4286100000000002E-2</v>
      </c>
      <c r="Z41">
        <v>-1.731252E-3</v>
      </c>
      <c r="AA41">
        <v>0.99901740000000006</v>
      </c>
      <c r="AB41">
        <v>10</v>
      </c>
      <c r="AC41">
        <v>18.4862</v>
      </c>
      <c r="AD41">
        <v>-1.10901131939</v>
      </c>
      <c r="AE41">
        <v>-0.69790000000000396</v>
      </c>
      <c r="AF41">
        <v>0.82248143452579003</v>
      </c>
      <c r="AG41">
        <v>-1.10901131939</v>
      </c>
      <c r="AH41">
        <v>18.414764834486601</v>
      </c>
      <c r="AI41">
        <v>93.442995800756705</v>
      </c>
      <c r="AJ41">
        <v>87.4426273410931</v>
      </c>
      <c r="AK41">
        <v>18.4664546062886</v>
      </c>
      <c r="AL41">
        <v>84.869772630190795</v>
      </c>
      <c r="AM41">
        <v>87.370506302407605</v>
      </c>
      <c r="AN41">
        <v>0.99999996650785505</v>
      </c>
    </row>
    <row r="42" spans="1:40" x14ac:dyDescent="0.25">
      <c r="A42" t="str">
        <f>"20190312151221543"</f>
        <v>20190312151221543</v>
      </c>
      <c r="B42" t="str">
        <f>"1552374741539135"</f>
        <v>1552374741539135</v>
      </c>
      <c r="C42" t="s">
        <v>40</v>
      </c>
      <c r="D42">
        <v>4.5112550000000002</v>
      </c>
      <c r="E42">
        <v>0.49843680000000001</v>
      </c>
      <c r="F42" t="s">
        <v>42</v>
      </c>
      <c r="G42">
        <v>-455.82589999999999</v>
      </c>
      <c r="H42" s="1">
        <v>-2.3190889999999999E-6</v>
      </c>
      <c r="I42">
        <v>366.53769999999997</v>
      </c>
      <c r="J42">
        <v>-474.21429999999998</v>
      </c>
      <c r="K42">
        <v>1.109013</v>
      </c>
      <c r="L42">
        <v>367.23200000000003</v>
      </c>
      <c r="M42">
        <v>0.99997429999999998</v>
      </c>
      <c r="N42">
        <v>0</v>
      </c>
      <c r="O42">
        <v>7.1549020000000003E-3</v>
      </c>
      <c r="P42">
        <v>0.99533640000000001</v>
      </c>
      <c r="Q42">
        <v>8.8226499999999999E-2</v>
      </c>
      <c r="R42">
        <v>-3.9013050000000001E-2</v>
      </c>
      <c r="S42">
        <v>3.0259399999999999</v>
      </c>
      <c r="T42">
        <v>-0.1815175</v>
      </c>
      <c r="U42">
        <v>-0.11346440000000001</v>
      </c>
      <c r="V42">
        <v>4.6119899999999998E-2</v>
      </c>
      <c r="W42">
        <v>8.9007050000000004E-2</v>
      </c>
      <c r="X42">
        <v>0.99496269999999998</v>
      </c>
      <c r="Y42">
        <v>4.4527039999999997E-2</v>
      </c>
      <c r="Z42">
        <v>-1.7625360000000001E-3</v>
      </c>
      <c r="AA42">
        <v>0.99900659999999997</v>
      </c>
      <c r="AB42">
        <v>10</v>
      </c>
      <c r="AC42">
        <v>18.388399999999901</v>
      </c>
      <c r="AD42">
        <v>-1.109015319089</v>
      </c>
      <c r="AE42">
        <v>-0.69429999999999803</v>
      </c>
      <c r="AF42">
        <v>0.82286065591407898</v>
      </c>
      <c r="AG42">
        <v>-1.109015319089</v>
      </c>
      <c r="AH42">
        <v>18.316432913569098</v>
      </c>
      <c r="AI42">
        <v>93.461406973492501</v>
      </c>
      <c r="AJ42">
        <v>87.427732581936098</v>
      </c>
      <c r="AK42">
        <v>18.368416625128699</v>
      </c>
      <c r="AL42">
        <v>84.893514201831593</v>
      </c>
      <c r="AM42">
        <v>87.346045752478901</v>
      </c>
      <c r="AN42">
        <v>1.0000000372585001</v>
      </c>
    </row>
    <row r="43" spans="1:40" x14ac:dyDescent="0.25">
      <c r="A43" t="str">
        <f>"20190312151221564"</f>
        <v>20190312151221564</v>
      </c>
      <c r="B43" t="str">
        <f>"1552374741559631"</f>
        <v>1552374741559631</v>
      </c>
      <c r="C43" t="s">
        <v>40</v>
      </c>
      <c r="D43">
        <v>4.4381199999999996</v>
      </c>
      <c r="E43">
        <v>0.49848209999999998</v>
      </c>
      <c r="F43" t="s">
        <v>42</v>
      </c>
      <c r="G43">
        <v>-455.84640000000002</v>
      </c>
      <c r="H43" s="1">
        <v>-2.3112349999999999E-6</v>
      </c>
      <c r="I43">
        <v>366.5324</v>
      </c>
      <c r="J43">
        <v>-474.11410000000001</v>
      </c>
      <c r="K43">
        <v>1.1090180000000001</v>
      </c>
      <c r="L43">
        <v>367.23289999999997</v>
      </c>
      <c r="M43">
        <v>0.99997219999999998</v>
      </c>
      <c r="N43">
        <v>0</v>
      </c>
      <c r="O43">
        <v>7.4112199999999996E-3</v>
      </c>
      <c r="P43">
        <v>0.99537489999999995</v>
      </c>
      <c r="Q43">
        <v>8.7826860000000007E-2</v>
      </c>
      <c r="R43">
        <v>-3.8930800000000002E-2</v>
      </c>
      <c r="S43">
        <v>3.0257869999999998</v>
      </c>
      <c r="T43">
        <v>-0.18268989999999999</v>
      </c>
      <c r="U43">
        <v>-0.1152344</v>
      </c>
      <c r="V43">
        <v>4.6291980000000003E-2</v>
      </c>
      <c r="W43">
        <v>8.8742500000000002E-2</v>
      </c>
      <c r="X43">
        <v>0.99497829999999998</v>
      </c>
      <c r="Y43">
        <v>4.5365330000000002E-2</v>
      </c>
      <c r="Z43">
        <v>-1.8147020000000001E-3</v>
      </c>
      <c r="AA43">
        <v>0.99896879999999999</v>
      </c>
      <c r="AB43">
        <v>10</v>
      </c>
      <c r="AC43">
        <v>18.267699999999898</v>
      </c>
      <c r="AD43">
        <v>-1.1090203112349999</v>
      </c>
      <c r="AE43">
        <v>-0.70049999999997603</v>
      </c>
      <c r="AF43">
        <v>0.83280186156755898</v>
      </c>
      <c r="AG43">
        <v>-1.1090203112349999</v>
      </c>
      <c r="AH43">
        <v>18.195045076763499</v>
      </c>
      <c r="AI43">
        <v>93.484325524651993</v>
      </c>
      <c r="AJ43">
        <v>87.379355077469398</v>
      </c>
      <c r="AK43">
        <v>18.247825907127101</v>
      </c>
      <c r="AL43">
        <v>84.908731819692804</v>
      </c>
      <c r="AM43">
        <v>87.336199408965598</v>
      </c>
      <c r="AN43">
        <v>0.99999999809472995</v>
      </c>
    </row>
    <row r="44" spans="1:40" x14ac:dyDescent="0.25">
      <c r="A44" t="str">
        <f>"20190312151221587"</f>
        <v>20190312151221587</v>
      </c>
      <c r="B44" t="str">
        <f>"1552374741579151"</f>
        <v>1552374741579151</v>
      </c>
      <c r="C44" t="s">
        <v>40</v>
      </c>
      <c r="D44">
        <v>4.4607619999999999</v>
      </c>
      <c r="E44">
        <v>0.49853769999999997</v>
      </c>
      <c r="F44" t="s">
        <v>42</v>
      </c>
      <c r="G44">
        <v>-455.81459999999998</v>
      </c>
      <c r="H44" s="1">
        <v>-2.324304E-6</v>
      </c>
      <c r="I44">
        <v>366.53570000000002</v>
      </c>
      <c r="J44">
        <v>-474.00630000000001</v>
      </c>
      <c r="K44">
        <v>1.109029</v>
      </c>
      <c r="L44">
        <v>367.23399999999998</v>
      </c>
      <c r="M44">
        <v>0.99997000000000003</v>
      </c>
      <c r="N44">
        <v>0</v>
      </c>
      <c r="O44">
        <v>7.6845769999999997E-3</v>
      </c>
      <c r="P44">
        <v>0.99534020000000001</v>
      </c>
      <c r="Q44">
        <v>8.8109789999999993E-2</v>
      </c>
      <c r="R44">
        <v>-3.9181090000000002E-2</v>
      </c>
      <c r="S44">
        <v>3.0255740000000002</v>
      </c>
      <c r="T44">
        <v>-0.18335989999999999</v>
      </c>
      <c r="U44">
        <v>-0.1152649</v>
      </c>
      <c r="V44">
        <v>4.6812899999999998E-2</v>
      </c>
      <c r="W44">
        <v>8.9154750000000005E-2</v>
      </c>
      <c r="X44">
        <v>0.9949171</v>
      </c>
      <c r="Y44">
        <v>4.5649429999999998E-2</v>
      </c>
      <c r="Z44">
        <v>-1.8466159999999999E-3</v>
      </c>
      <c r="AA44">
        <v>0.99895579999999995</v>
      </c>
      <c r="AB44">
        <v>10</v>
      </c>
      <c r="AC44">
        <v>18.191700000000001</v>
      </c>
      <c r="AD44">
        <v>-1.109031324304</v>
      </c>
      <c r="AE44">
        <v>-0.69830000000001702</v>
      </c>
      <c r="AF44">
        <v>0.83497629391397798</v>
      </c>
      <c r="AG44">
        <v>-1.109031324304</v>
      </c>
      <c r="AH44">
        <v>18.118557098818801</v>
      </c>
      <c r="AI44">
        <v>93.498982785704897</v>
      </c>
      <c r="AJ44">
        <v>87.361445866042402</v>
      </c>
      <c r="AK44">
        <v>18.171660552432801</v>
      </c>
      <c r="AL44">
        <v>84.885017781943802</v>
      </c>
      <c r="AM44">
        <v>87.306102323051704</v>
      </c>
      <c r="AN44">
        <v>1.0000000264631901</v>
      </c>
    </row>
    <row r="45" spans="1:40" x14ac:dyDescent="0.25">
      <c r="A45" t="str">
        <f>"20190312151221609"</f>
        <v>20190312151221609</v>
      </c>
      <c r="B45" t="str">
        <f>"1552374741599647"</f>
        <v>1552374741599647</v>
      </c>
      <c r="C45" t="s">
        <v>40</v>
      </c>
      <c r="D45">
        <v>4.4329229999999997</v>
      </c>
      <c r="E45">
        <v>0.49858849999999999</v>
      </c>
      <c r="F45" t="s">
        <v>41</v>
      </c>
      <c r="G45">
        <v>-473.17099999999999</v>
      </c>
      <c r="H45">
        <v>1.0590930000000001</v>
      </c>
      <c r="I45">
        <v>367.20159999999998</v>
      </c>
      <c r="J45">
        <v>-473.8965</v>
      </c>
      <c r="K45">
        <v>1.1090329999999999</v>
      </c>
      <c r="L45">
        <v>367.23520000000002</v>
      </c>
      <c r="M45">
        <v>0.99996779999999996</v>
      </c>
      <c r="N45">
        <v>0</v>
      </c>
      <c r="O45">
        <v>7.9606139999999995E-3</v>
      </c>
      <c r="P45">
        <v>0.99534639999999996</v>
      </c>
      <c r="Q45">
        <v>8.8210930000000007E-2</v>
      </c>
      <c r="R45">
        <v>-3.8789700000000003E-2</v>
      </c>
      <c r="S45">
        <v>3.0254819999999998</v>
      </c>
      <c r="T45">
        <v>-0.1810638</v>
      </c>
      <c r="U45">
        <v>-0.11645510000000001</v>
      </c>
      <c r="V45">
        <v>4.669587E-2</v>
      </c>
      <c r="W45">
        <v>8.9372270000000004E-2</v>
      </c>
      <c r="X45">
        <v>0.99490299999999998</v>
      </c>
      <c r="Y45">
        <v>4.631946E-2</v>
      </c>
      <c r="Z45">
        <v>-1.860099E-3</v>
      </c>
      <c r="AA45">
        <v>0.99892499999999995</v>
      </c>
      <c r="AB45">
        <v>11</v>
      </c>
      <c r="AC45">
        <v>0.72550000000001003</v>
      </c>
      <c r="AD45">
        <v>-4.9939999999999797E-2</v>
      </c>
      <c r="AE45">
        <v>-3.3600000000035303E-2</v>
      </c>
      <c r="AF45">
        <v>3.9189071751709999E-2</v>
      </c>
      <c r="AG45">
        <v>-4.9939999999999797E-2</v>
      </c>
      <c r="AH45">
        <v>0.72179676769592804</v>
      </c>
      <c r="AI45">
        <v>93.952096459386993</v>
      </c>
      <c r="AJ45">
        <v>86.892247098709902</v>
      </c>
      <c r="AK45">
        <v>0.72458288746081401</v>
      </c>
      <c r="AL45">
        <v>84.872504424985905</v>
      </c>
      <c r="AM45">
        <v>87.312789026651203</v>
      </c>
      <c r="AN45">
        <v>0.99999994316450302</v>
      </c>
    </row>
    <row r="46" spans="1:40" x14ac:dyDescent="0.25">
      <c r="A46" t="str">
        <f>"20190312151221631"</f>
        <v>20190312151221631</v>
      </c>
      <c r="B46" t="str">
        <f>"1552374741619171"</f>
        <v>1552374741619171</v>
      </c>
      <c r="C46" t="s">
        <v>40</v>
      </c>
      <c r="D46">
        <v>4.351585</v>
      </c>
      <c r="E46">
        <v>0.4986602</v>
      </c>
      <c r="F46" t="s">
        <v>42</v>
      </c>
      <c r="G46">
        <v>-455.30130000000003</v>
      </c>
      <c r="H46" s="1">
        <v>-2.5465079999999999E-6</v>
      </c>
      <c r="I46">
        <v>366.52429999999998</v>
      </c>
      <c r="J46">
        <v>-473.79050000000001</v>
      </c>
      <c r="K46">
        <v>1.1090359999999999</v>
      </c>
      <c r="L46">
        <v>367.2364</v>
      </c>
      <c r="M46">
        <v>0.9999654</v>
      </c>
      <c r="N46">
        <v>0</v>
      </c>
      <c r="O46">
        <v>8.2268189999999998E-3</v>
      </c>
      <c r="P46">
        <v>0.99539770000000005</v>
      </c>
      <c r="Q46">
        <v>8.7841939999999993E-2</v>
      </c>
      <c r="R46">
        <v>-3.8305470000000001E-2</v>
      </c>
      <c r="S46">
        <v>3.0254819999999998</v>
      </c>
      <c r="T46">
        <v>-0.18044160000000001</v>
      </c>
      <c r="U46">
        <v>-0.1156616</v>
      </c>
      <c r="V46">
        <v>4.6476610000000002E-2</v>
      </c>
      <c r="W46">
        <v>8.9101550000000002E-2</v>
      </c>
      <c r="X46">
        <v>0.99493759999999998</v>
      </c>
      <c r="Y46">
        <v>4.6323980000000001E-2</v>
      </c>
      <c r="Z46">
        <v>-1.8697200000000001E-3</v>
      </c>
      <c r="AA46">
        <v>0.9989247</v>
      </c>
      <c r="AB46">
        <v>11</v>
      </c>
      <c r="AC46">
        <v>18.489199999999901</v>
      </c>
      <c r="AD46">
        <v>-1.1090385465079999</v>
      </c>
      <c r="AE46">
        <v>-0.71210000000002005</v>
      </c>
      <c r="AF46">
        <v>0.86108973660822996</v>
      </c>
      <c r="AG46">
        <v>-1.1090385465079999</v>
      </c>
      <c r="AH46">
        <v>18.4165520055112</v>
      </c>
      <c r="AI46">
        <v>93.442419075397595</v>
      </c>
      <c r="AJ46">
        <v>87.323011267922197</v>
      </c>
      <c r="AK46">
        <v>18.469998099724599</v>
      </c>
      <c r="AL46">
        <v>84.888077934029596</v>
      </c>
      <c r="AM46">
        <v>87.325481311465794</v>
      </c>
      <c r="AN46">
        <v>0.99999999469162704</v>
      </c>
    </row>
    <row r="47" spans="1:40" x14ac:dyDescent="0.25">
      <c r="A47" t="str">
        <f>"20190312151221653"</f>
        <v>20190312151221653</v>
      </c>
      <c r="B47" t="str">
        <f>"1552374741649424"</f>
        <v>1552374741649424</v>
      </c>
      <c r="C47" t="s">
        <v>40</v>
      </c>
      <c r="D47">
        <v>4.3762699999999999</v>
      </c>
      <c r="E47">
        <v>0.4987608</v>
      </c>
      <c r="F47" t="s">
        <v>42</v>
      </c>
      <c r="G47">
        <v>-454.87729999999999</v>
      </c>
      <c r="H47" s="1">
        <v>-2.7295179999999999E-6</v>
      </c>
      <c r="I47">
        <v>366.5181</v>
      </c>
      <c r="J47">
        <v>-473.68239999999997</v>
      </c>
      <c r="K47">
        <v>1.1090409999999999</v>
      </c>
      <c r="L47">
        <v>367.23759999999999</v>
      </c>
      <c r="M47">
        <v>0.99996309999999999</v>
      </c>
      <c r="N47">
        <v>0</v>
      </c>
      <c r="O47">
        <v>8.4970810000000001E-3</v>
      </c>
      <c r="P47">
        <v>0.9953862</v>
      </c>
      <c r="Q47">
        <v>8.7949239999999998E-2</v>
      </c>
      <c r="R47">
        <v>-3.8360249999999999E-2</v>
      </c>
      <c r="S47">
        <v>3.0251160000000001</v>
      </c>
      <c r="T47">
        <v>-0.17738699999999999</v>
      </c>
      <c r="U47">
        <v>-0.1148682</v>
      </c>
      <c r="V47">
        <v>4.6799939999999998E-2</v>
      </c>
      <c r="W47">
        <v>8.9292940000000001E-2</v>
      </c>
      <c r="X47">
        <v>0.99490529999999999</v>
      </c>
      <c r="Y47">
        <v>4.6339680000000001E-2</v>
      </c>
      <c r="Z47">
        <v>-1.854643E-3</v>
      </c>
      <c r="AA47">
        <v>0.99892400000000003</v>
      </c>
      <c r="AB47">
        <v>11</v>
      </c>
      <c r="AC47">
        <v>18.8050999999999</v>
      </c>
      <c r="AD47">
        <v>-1.109043729518</v>
      </c>
      <c r="AE47">
        <v>-0.71949999999998204</v>
      </c>
      <c r="AF47">
        <v>0.87621945901681497</v>
      </c>
      <c r="AG47">
        <v>-1.109043729518</v>
      </c>
      <c r="AH47">
        <v>18.733246007052202</v>
      </c>
      <c r="AI47">
        <v>93.384372921706202</v>
      </c>
      <c r="AJ47">
        <v>87.322027709928804</v>
      </c>
      <c r="AK47">
        <v>18.786491010699098</v>
      </c>
      <c r="AL47">
        <v>84.877068287061803</v>
      </c>
      <c r="AM47">
        <v>87.306815126820496</v>
      </c>
      <c r="AN47">
        <v>1.00000000974296</v>
      </c>
    </row>
    <row r="48" spans="1:40" x14ac:dyDescent="0.25">
      <c r="A48" t="str">
        <f>"20190312151221677"</f>
        <v>20190312151221677</v>
      </c>
      <c r="B48" t="str">
        <f>"1552374741669918"</f>
        <v>1552374741669918</v>
      </c>
      <c r="C48" t="s">
        <v>40</v>
      </c>
      <c r="D48">
        <v>4.3443969999999998</v>
      </c>
      <c r="E48">
        <v>0.49879410000000002</v>
      </c>
      <c r="F48" t="s">
        <v>42</v>
      </c>
      <c r="G48">
        <v>-454.23079999999999</v>
      </c>
      <c r="H48" s="1">
        <v>-3.0108500000000001E-6</v>
      </c>
      <c r="I48">
        <v>366.49549999999999</v>
      </c>
      <c r="J48">
        <v>-473.56470000000002</v>
      </c>
      <c r="K48">
        <v>1.109043</v>
      </c>
      <c r="L48">
        <v>367.2389</v>
      </c>
      <c r="M48">
        <v>0.99996039999999997</v>
      </c>
      <c r="N48">
        <v>0</v>
      </c>
      <c r="O48">
        <v>8.7917829999999992E-3</v>
      </c>
      <c r="P48">
        <v>0.99539109999999997</v>
      </c>
      <c r="Q48">
        <v>8.7843889999999994E-2</v>
      </c>
      <c r="R48">
        <v>-3.847428E-2</v>
      </c>
      <c r="S48">
        <v>3.024689</v>
      </c>
      <c r="T48">
        <v>-0.17245389999999999</v>
      </c>
      <c r="U48">
        <v>-0.115387</v>
      </c>
      <c r="V48">
        <v>4.7207029999999997E-2</v>
      </c>
      <c r="W48">
        <v>8.9260179999999995E-2</v>
      </c>
      <c r="X48">
        <v>0.99488900000000002</v>
      </c>
      <c r="Y48">
        <v>4.6814389999999997E-2</v>
      </c>
      <c r="Z48">
        <v>-1.8337E-3</v>
      </c>
      <c r="AA48">
        <v>0.99890190000000001</v>
      </c>
      <c r="AB48">
        <v>11</v>
      </c>
      <c r="AC48">
        <v>19.3339</v>
      </c>
      <c r="AD48">
        <v>-1.10904601085</v>
      </c>
      <c r="AE48">
        <v>-0.74340000000000805</v>
      </c>
      <c r="AF48">
        <v>0.91035977883845998</v>
      </c>
      <c r="AG48">
        <v>-1.10904601085</v>
      </c>
      <c r="AH48">
        <v>19.263324807655302</v>
      </c>
      <c r="AI48">
        <v>93.291383038234997</v>
      </c>
      <c r="AJ48">
        <v>87.294288774989695</v>
      </c>
      <c r="AK48">
        <v>19.3166876204575</v>
      </c>
      <c r="AL48">
        <v>84.878952786662097</v>
      </c>
      <c r="AM48">
        <v>87.283378917937895</v>
      </c>
      <c r="AN48">
        <v>1.00000000286802</v>
      </c>
    </row>
    <row r="49" spans="1:40" x14ac:dyDescent="0.25">
      <c r="A49" t="str">
        <f>"20190312151221699"</f>
        <v>20190312151221699</v>
      </c>
      <c r="B49" t="str">
        <f>"1552374741689061"</f>
        <v>1552374741689061</v>
      </c>
      <c r="C49" t="s">
        <v>40</v>
      </c>
      <c r="D49">
        <v>4.2886749999999996</v>
      </c>
      <c r="E49">
        <v>0.50039699999999998</v>
      </c>
      <c r="F49" t="s">
        <v>42</v>
      </c>
      <c r="G49">
        <v>-453.94060000000002</v>
      </c>
      <c r="H49" s="1">
        <v>-3.1363829999999999E-6</v>
      </c>
      <c r="I49">
        <v>366.4896</v>
      </c>
      <c r="J49">
        <v>-473.44670000000002</v>
      </c>
      <c r="K49">
        <v>1.1090439999999999</v>
      </c>
      <c r="L49">
        <v>367.24029999999999</v>
      </c>
      <c r="M49">
        <v>0.99995780000000001</v>
      </c>
      <c r="N49">
        <v>0</v>
      </c>
      <c r="O49">
        <v>9.0873310000000006E-3</v>
      </c>
      <c r="P49">
        <v>0.99543210000000004</v>
      </c>
      <c r="Q49">
        <v>8.7611620000000001E-2</v>
      </c>
      <c r="R49">
        <v>-3.793912E-2</v>
      </c>
      <c r="S49">
        <v>3.0244749999999998</v>
      </c>
      <c r="T49">
        <v>-0.17092650000000001</v>
      </c>
      <c r="U49">
        <v>-0.1154785</v>
      </c>
      <c r="V49">
        <v>4.6966180000000003E-2</v>
      </c>
      <c r="W49">
        <v>8.9082079999999994E-2</v>
      </c>
      <c r="X49">
        <v>0.99491640000000003</v>
      </c>
      <c r="Y49">
        <v>4.7143089999999999E-2</v>
      </c>
      <c r="Z49">
        <v>-1.843574E-3</v>
      </c>
      <c r="AA49">
        <v>0.99888650000000001</v>
      </c>
      <c r="AB49">
        <v>11</v>
      </c>
      <c r="AC49">
        <v>19.5061</v>
      </c>
      <c r="AD49">
        <v>-1.1090471363829999</v>
      </c>
      <c r="AE49">
        <v>-0.75069999999999404</v>
      </c>
      <c r="AF49">
        <v>0.92494195691703196</v>
      </c>
      <c r="AG49">
        <v>-1.1090471363829999</v>
      </c>
      <c r="AH49">
        <v>19.435736637138699</v>
      </c>
      <c r="AI49">
        <v>93.262201272605395</v>
      </c>
      <c r="AJ49">
        <v>87.275363519086596</v>
      </c>
      <c r="AK49">
        <v>19.489314041356099</v>
      </c>
      <c r="AL49">
        <v>84.8891981740245</v>
      </c>
      <c r="AM49">
        <v>87.297292822665298</v>
      </c>
      <c r="AN49">
        <v>1.0000000410149299</v>
      </c>
    </row>
    <row r="50" spans="1:40" x14ac:dyDescent="0.25">
      <c r="A50" t="str">
        <f>"20190312151221723"</f>
        <v>20190312151221723</v>
      </c>
      <c r="B50" t="str">
        <f>"1552374741719316"</f>
        <v>1552374741719316</v>
      </c>
      <c r="C50" t="s">
        <v>40</v>
      </c>
      <c r="D50">
        <v>4.2474889999999998</v>
      </c>
      <c r="E50">
        <v>0.49988290000000002</v>
      </c>
      <c r="F50" t="s">
        <v>43</v>
      </c>
      <c r="G50">
        <v>-422.26580000000001</v>
      </c>
      <c r="H50">
        <v>-0.05</v>
      </c>
      <c r="I50">
        <v>365.1277</v>
      </c>
      <c r="J50">
        <v>-473.32839999999999</v>
      </c>
      <c r="K50">
        <v>1.1090329999999999</v>
      </c>
      <c r="L50">
        <v>367.24169999999998</v>
      </c>
      <c r="M50">
        <v>0.99995489999999998</v>
      </c>
      <c r="N50">
        <v>0</v>
      </c>
      <c r="O50">
        <v>9.3839609999999997E-3</v>
      </c>
      <c r="P50">
        <v>0.99541449999999998</v>
      </c>
      <c r="Q50">
        <v>8.7864029999999996E-2</v>
      </c>
      <c r="R50">
        <v>-3.781648E-2</v>
      </c>
      <c r="S50">
        <v>3.015015</v>
      </c>
      <c r="T50">
        <v>-6.8278069999999996E-2</v>
      </c>
      <c r="U50">
        <v>-0.1244507</v>
      </c>
      <c r="V50">
        <v>4.713796E-2</v>
      </c>
      <c r="W50">
        <v>8.9372270000000004E-2</v>
      </c>
      <c r="X50">
        <v>0.99488220000000005</v>
      </c>
      <c r="Y50">
        <v>5.0600680000000002E-2</v>
      </c>
      <c r="Z50">
        <v>-7.8503470000000001E-4</v>
      </c>
      <c r="AA50">
        <v>0.99871869999999996</v>
      </c>
      <c r="AB50">
        <v>11</v>
      </c>
      <c r="AC50">
        <v>51.062599999999897</v>
      </c>
      <c r="AD50">
        <v>-1.159033</v>
      </c>
      <c r="AE50">
        <v>-2.1139999999999701</v>
      </c>
      <c r="AF50">
        <v>2.59174386703934</v>
      </c>
      <c r="AG50">
        <v>-1.159033</v>
      </c>
      <c r="AH50">
        <v>51.014275794770398</v>
      </c>
      <c r="AI50">
        <v>91.299847609417796</v>
      </c>
      <c r="AJ50">
        <v>87.091629341854997</v>
      </c>
      <c r="AK50">
        <v>51.093217051114799</v>
      </c>
      <c r="AL50">
        <v>84.872504670391507</v>
      </c>
      <c r="AM50">
        <v>87.287329231893196</v>
      </c>
      <c r="AN50">
        <v>0.99999999089737701</v>
      </c>
    </row>
    <row r="51" spans="1:40" x14ac:dyDescent="0.25">
      <c r="A51" t="str">
        <f>"20190312151221744"</f>
        <v>20190312151221744</v>
      </c>
      <c r="B51" t="str">
        <f>"1552374741739812"</f>
        <v>1552374741739812</v>
      </c>
      <c r="C51" t="s">
        <v>40</v>
      </c>
      <c r="D51">
        <v>4.2695109999999996</v>
      </c>
      <c r="E51">
        <v>0.49740069999999997</v>
      </c>
      <c r="F51" t="s">
        <v>43</v>
      </c>
      <c r="G51">
        <v>-418.5061</v>
      </c>
      <c r="H51">
        <v>-0.05</v>
      </c>
      <c r="I51">
        <v>365.0564</v>
      </c>
      <c r="J51">
        <v>-473.21199999999999</v>
      </c>
      <c r="K51">
        <v>1.1090310000000001</v>
      </c>
      <c r="L51">
        <v>367.24310000000003</v>
      </c>
      <c r="M51">
        <v>0.99995199999999995</v>
      </c>
      <c r="N51">
        <v>0</v>
      </c>
      <c r="O51">
        <v>9.6755950000000004E-3</v>
      </c>
      <c r="P51">
        <v>0.99544820000000001</v>
      </c>
      <c r="Q51">
        <v>8.7530369999999996E-2</v>
      </c>
      <c r="R51">
        <v>-3.7702949999999999E-2</v>
      </c>
      <c r="S51">
        <v>3.0148929999999998</v>
      </c>
      <c r="T51">
        <v>-6.3739779999999996E-2</v>
      </c>
      <c r="U51">
        <v>-0.1201782</v>
      </c>
      <c r="V51">
        <v>4.7314330000000002E-2</v>
      </c>
      <c r="W51">
        <v>8.9062119999999995E-2</v>
      </c>
      <c r="X51">
        <v>0.9949017</v>
      </c>
      <c r="Y51">
        <v>4.9482770000000002E-2</v>
      </c>
      <c r="Z51">
        <v>-7.2726919999999997E-4</v>
      </c>
      <c r="AA51">
        <v>0.99877470000000002</v>
      </c>
      <c r="AB51">
        <v>12</v>
      </c>
      <c r="AC51">
        <v>54.7058999999999</v>
      </c>
      <c r="AD51">
        <v>-1.1590309999999999</v>
      </c>
      <c r="AE51">
        <v>-2.1867000000000298</v>
      </c>
      <c r="AF51">
        <v>2.7146937994960201</v>
      </c>
      <c r="AG51">
        <v>-1.1590309999999999</v>
      </c>
      <c r="AH51">
        <v>54.657686454606697</v>
      </c>
      <c r="AI51">
        <v>91.213295288255296</v>
      </c>
      <c r="AJ51">
        <v>87.156616038638603</v>
      </c>
      <c r="AK51">
        <v>54.737332816406699</v>
      </c>
      <c r="AL51">
        <v>84.890346406851407</v>
      </c>
      <c r="AM51">
        <v>87.277248115030503</v>
      </c>
      <c r="AN51">
        <v>1.0000000498525601</v>
      </c>
    </row>
    <row r="52" spans="1:40" x14ac:dyDescent="0.25">
      <c r="A52" t="str">
        <f>"20190312151221768"</f>
        <v>20190312151221768</v>
      </c>
      <c r="B52" t="str">
        <f>"1552374741759334"</f>
        <v>1552374741759334</v>
      </c>
      <c r="C52" t="s">
        <v>40</v>
      </c>
      <c r="D52">
        <v>4.6263339999999999</v>
      </c>
      <c r="E52">
        <v>0.49767270000000002</v>
      </c>
      <c r="F52" t="s">
        <v>42</v>
      </c>
      <c r="G52">
        <v>-446.62180000000001</v>
      </c>
      <c r="H52" s="1">
        <v>-2.1562429999999999E-6</v>
      </c>
      <c r="I52">
        <v>366.35300000000001</v>
      </c>
      <c r="J52">
        <v>-473.08679999999998</v>
      </c>
      <c r="K52">
        <v>1.1090260000000001</v>
      </c>
      <c r="L52">
        <v>367.24470000000002</v>
      </c>
      <c r="M52">
        <v>0.99994890000000003</v>
      </c>
      <c r="N52">
        <v>0</v>
      </c>
      <c r="O52">
        <v>9.9889339999999997E-3</v>
      </c>
      <c r="P52">
        <v>0.99550099999999997</v>
      </c>
      <c r="Q52">
        <v>8.7245600000000006E-2</v>
      </c>
      <c r="R52">
        <v>-3.6960229999999997E-2</v>
      </c>
      <c r="S52">
        <v>3.0209959999999998</v>
      </c>
      <c r="T52">
        <v>-0.1260008</v>
      </c>
      <c r="U52">
        <v>-0.1011353</v>
      </c>
      <c r="V52">
        <v>4.6883420000000002E-2</v>
      </c>
      <c r="W52">
        <v>8.8789049999999994E-2</v>
      </c>
      <c r="X52">
        <v>0.99494649999999996</v>
      </c>
      <c r="Y52">
        <v>4.339403E-2</v>
      </c>
      <c r="Z52">
        <v>-1.3206379999999901E-3</v>
      </c>
      <c r="AA52">
        <v>0.99905719999999998</v>
      </c>
      <c r="AB52">
        <v>12</v>
      </c>
      <c r="AC52">
        <v>26.4649999999999</v>
      </c>
      <c r="AD52">
        <v>-1.109028156243</v>
      </c>
      <c r="AE52">
        <v>-0.89170000000001404</v>
      </c>
      <c r="AF52">
        <v>1.15398878550074</v>
      </c>
      <c r="AG52">
        <v>-1.109028156243</v>
      </c>
      <c r="AH52">
        <v>26.408450049405101</v>
      </c>
      <c r="AI52">
        <v>92.402444817140506</v>
      </c>
      <c r="AJ52">
        <v>87.497897425984405</v>
      </c>
      <c r="AK52">
        <v>26.4569058580236</v>
      </c>
      <c r="AL52">
        <v>84.906054366355903</v>
      </c>
      <c r="AM52">
        <v>87.302129771698603</v>
      </c>
      <c r="AN52">
        <v>1.00000004416652</v>
      </c>
    </row>
    <row r="53" spans="1:40" x14ac:dyDescent="0.25">
      <c r="A53" t="str">
        <f>"20190312151221790"</f>
        <v>20190312151221790</v>
      </c>
      <c r="B53" t="str">
        <f>"1552374741779829"</f>
        <v>1552374741779829</v>
      </c>
      <c r="C53" t="s">
        <v>40</v>
      </c>
      <c r="D53">
        <v>4.2047220000000003</v>
      </c>
      <c r="E53">
        <v>0.49963849999999999</v>
      </c>
      <c r="F53" t="s">
        <v>42</v>
      </c>
      <c r="G53">
        <v>-446.41640000000001</v>
      </c>
      <c r="H53" s="1">
        <v>-2.2536229999999999E-6</v>
      </c>
      <c r="I53">
        <v>366.35120000000001</v>
      </c>
      <c r="J53">
        <v>-472.9658</v>
      </c>
      <c r="K53">
        <v>1.1090230000000001</v>
      </c>
      <c r="L53">
        <v>367.24619999999999</v>
      </c>
      <c r="M53">
        <v>0.9999458</v>
      </c>
      <c r="N53">
        <v>0</v>
      </c>
      <c r="O53">
        <v>1.029119E-2</v>
      </c>
      <c r="P53">
        <v>0.99555139999999998</v>
      </c>
      <c r="Q53">
        <v>8.6831060000000002E-2</v>
      </c>
      <c r="R53">
        <v>-3.6576999999999998E-2</v>
      </c>
      <c r="S53">
        <v>3.0207820000000001</v>
      </c>
      <c r="T53">
        <v>-0.12561259999999999</v>
      </c>
      <c r="U53">
        <v>-0.1011963</v>
      </c>
      <c r="V53">
        <v>4.6800899999999999E-2</v>
      </c>
      <c r="W53">
        <v>8.8375819999999994E-2</v>
      </c>
      <c r="X53">
        <v>0.99498710000000001</v>
      </c>
      <c r="Y53">
        <v>4.371829E-2</v>
      </c>
      <c r="Z53">
        <v>-1.3359629999999999E-3</v>
      </c>
      <c r="AA53">
        <v>0.99904300000000001</v>
      </c>
      <c r="AB53">
        <v>12</v>
      </c>
      <c r="AC53">
        <v>26.549399999999899</v>
      </c>
      <c r="AD53">
        <v>-1.1090252536230001</v>
      </c>
      <c r="AE53">
        <v>-0.89499999999998103</v>
      </c>
      <c r="AF53">
        <v>1.1661453534017101</v>
      </c>
      <c r="AG53">
        <v>-1.1090252536230001</v>
      </c>
      <c r="AH53">
        <v>26.492608639423</v>
      </c>
      <c r="AI53">
        <v>92.394782141640306</v>
      </c>
      <c r="AJ53">
        <v>87.479594963450396</v>
      </c>
      <c r="AK53">
        <v>26.541442020358801</v>
      </c>
      <c r="AL53">
        <v>84.929823763376803</v>
      </c>
      <c r="AM53">
        <v>87.306981054277799</v>
      </c>
      <c r="AN53">
        <v>0.99999996948394498</v>
      </c>
    </row>
    <row r="54" spans="1:40" x14ac:dyDescent="0.25">
      <c r="A54" t="str">
        <f>"20190312151221812"</f>
        <v>20190312151221812</v>
      </c>
      <c r="B54" t="str">
        <f>"1552374741799349"</f>
        <v>1552374741799349</v>
      </c>
      <c r="C54" t="s">
        <v>40</v>
      </c>
      <c r="D54">
        <v>4.2053520000000004</v>
      </c>
      <c r="E54">
        <v>0.4996217</v>
      </c>
      <c r="F54" t="s">
        <v>43</v>
      </c>
      <c r="G54">
        <v>-418.4547</v>
      </c>
      <c r="H54">
        <v>-0.05</v>
      </c>
      <c r="I54">
        <v>365.18029999999999</v>
      </c>
      <c r="J54">
        <v>-472.84370000000001</v>
      </c>
      <c r="K54">
        <v>1.10902099999999</v>
      </c>
      <c r="L54">
        <v>367.24790000000002</v>
      </c>
      <c r="M54">
        <v>0.99994269999999996</v>
      </c>
      <c r="N54">
        <v>0</v>
      </c>
      <c r="O54">
        <v>1.0596619999999999E-2</v>
      </c>
      <c r="P54">
        <v>0.99553389999999997</v>
      </c>
      <c r="Q54">
        <v>8.7255600000000003E-2</v>
      </c>
      <c r="R54">
        <v>-3.603692E-2</v>
      </c>
      <c r="S54">
        <v>3.0148619999999999</v>
      </c>
      <c r="T54">
        <v>-6.4102409999999999E-2</v>
      </c>
      <c r="U54">
        <v>-0.11425780000000001</v>
      </c>
      <c r="V54">
        <v>4.6563849999999997E-2</v>
      </c>
      <c r="W54">
        <v>8.8793780000000003E-2</v>
      </c>
      <c r="X54">
        <v>0.99496099999999998</v>
      </c>
      <c r="Y54">
        <v>4.8444580000000001E-2</v>
      </c>
      <c r="Z54">
        <v>-7.3998369999999996E-4</v>
      </c>
      <c r="AA54">
        <v>0.99882559999999998</v>
      </c>
      <c r="AB54">
        <v>12</v>
      </c>
      <c r="AC54">
        <v>54.389000000000003</v>
      </c>
      <c r="AD54">
        <v>-1.1590210000000001</v>
      </c>
      <c r="AE54">
        <v>-2.0676000000000201</v>
      </c>
      <c r="AF54">
        <v>2.6426258337319299</v>
      </c>
      <c r="AG54">
        <v>-1.1590210000000001</v>
      </c>
      <c r="AH54">
        <v>54.339396264742099</v>
      </c>
      <c r="AI54">
        <v>91.220451367051396</v>
      </c>
      <c r="AJ54">
        <v>87.215793308133499</v>
      </c>
      <c r="AK54">
        <v>54.4159607779943</v>
      </c>
      <c r="AL54">
        <v>84.905781850253305</v>
      </c>
      <c r="AM54">
        <v>87.320531280717304</v>
      </c>
      <c r="AN54">
        <v>0.99999995950725395</v>
      </c>
    </row>
    <row r="55" spans="1:40" x14ac:dyDescent="0.25">
      <c r="A55" t="str">
        <f>"20190312151221832"</f>
        <v>20190312151221832</v>
      </c>
      <c r="B55" t="str">
        <f>"1552374741829605"</f>
        <v>1552374741829605</v>
      </c>
      <c r="C55" t="s">
        <v>40</v>
      </c>
      <c r="D55">
        <v>4.3468770000000001</v>
      </c>
      <c r="E55">
        <v>0.49986710000000001</v>
      </c>
      <c r="F55" t="s">
        <v>43</v>
      </c>
      <c r="G55">
        <v>-413.25670000000002</v>
      </c>
      <c r="H55">
        <v>-0.05</v>
      </c>
      <c r="I55">
        <v>365.0292</v>
      </c>
      <c r="J55">
        <v>-472.72620000000001</v>
      </c>
      <c r="K55">
        <v>1.1090199999999999</v>
      </c>
      <c r="L55">
        <v>367.24939999999998</v>
      </c>
      <c r="M55">
        <v>0.99993960000000004</v>
      </c>
      <c r="N55">
        <v>0</v>
      </c>
      <c r="O55">
        <v>1.088941E-2</v>
      </c>
      <c r="P55">
        <v>0.99551909999999999</v>
      </c>
      <c r="Q55">
        <v>8.7576500000000002E-2</v>
      </c>
      <c r="R55">
        <v>-3.5669119999999999E-2</v>
      </c>
      <c r="S55">
        <v>3.014526</v>
      </c>
      <c r="T55">
        <v>-5.8635230000000003E-2</v>
      </c>
      <c r="U55">
        <v>-0.1122437</v>
      </c>
      <c r="V55">
        <v>4.6486720000000002E-2</v>
      </c>
      <c r="W55">
        <v>8.9102509999999996E-2</v>
      </c>
      <c r="X55">
        <v>0.99493710000000002</v>
      </c>
      <c r="Y55">
        <v>4.8077010000000003E-2</v>
      </c>
      <c r="Z55">
        <v>-6.7908750000000005E-4</v>
      </c>
      <c r="AA55">
        <v>0.99884340000000005</v>
      </c>
      <c r="AB55">
        <v>12</v>
      </c>
      <c r="AC55">
        <v>59.469499999999897</v>
      </c>
      <c r="AD55">
        <v>-1.1590199999999999</v>
      </c>
      <c r="AE55">
        <v>-2.22019999999997</v>
      </c>
      <c r="AF55">
        <v>2.8665695431324698</v>
      </c>
      <c r="AG55">
        <v>-1.1590199999999999</v>
      </c>
      <c r="AH55">
        <v>59.419259255249997</v>
      </c>
      <c r="AI55">
        <v>91.1161603375174</v>
      </c>
      <c r="AJ55">
        <v>87.238015129297906</v>
      </c>
      <c r="AK55">
        <v>59.499654778398799</v>
      </c>
      <c r="AL55">
        <v>84.888023007707602</v>
      </c>
      <c r="AM55">
        <v>87.324899029315205</v>
      </c>
      <c r="AN55">
        <v>1.0000000526905299</v>
      </c>
    </row>
    <row r="56" spans="1:40" x14ac:dyDescent="0.25">
      <c r="A56" t="str">
        <f>"20190312151221854"</f>
        <v>20190312151221854</v>
      </c>
      <c r="B56" t="str">
        <f>"1552374741849124"</f>
        <v>1552374741849124</v>
      </c>
      <c r="C56" t="s">
        <v>40</v>
      </c>
      <c r="D56">
        <v>4.3441479999999997</v>
      </c>
      <c r="E56">
        <v>0.49989909999999999</v>
      </c>
      <c r="F56" t="s">
        <v>43</v>
      </c>
      <c r="G56">
        <v>-406.1909</v>
      </c>
      <c r="H56">
        <v>-0.05</v>
      </c>
      <c r="I56">
        <v>364.75479999999999</v>
      </c>
      <c r="J56">
        <v>-472.6</v>
      </c>
      <c r="K56">
        <v>1.1090169999999999</v>
      </c>
      <c r="L56">
        <v>367.25119999999998</v>
      </c>
      <c r="M56">
        <v>0.99993609999999999</v>
      </c>
      <c r="N56">
        <v>0</v>
      </c>
      <c r="O56">
        <v>1.120288E-2</v>
      </c>
      <c r="P56">
        <v>0.99550760000000005</v>
      </c>
      <c r="Q56">
        <v>8.7967950000000003E-2</v>
      </c>
      <c r="R56">
        <v>-3.5015860000000003E-2</v>
      </c>
      <c r="S56">
        <v>3.0140380000000002</v>
      </c>
      <c r="T56">
        <v>-5.2503469999999997E-2</v>
      </c>
      <c r="U56">
        <v>-0.1130066</v>
      </c>
      <c r="V56">
        <v>4.6144879999999999E-2</v>
      </c>
      <c r="W56">
        <v>8.9475799999999994E-2</v>
      </c>
      <c r="X56">
        <v>0.99491949999999996</v>
      </c>
      <c r="Y56">
        <v>4.8650699999999998E-2</v>
      </c>
      <c r="Z56">
        <v>-6.1863230000000003E-4</v>
      </c>
      <c r="AA56">
        <v>0.99881569999999997</v>
      </c>
      <c r="AB56">
        <v>13</v>
      </c>
      <c r="AC56">
        <v>66.409099999999995</v>
      </c>
      <c r="AD56">
        <v>-1.159017</v>
      </c>
      <c r="AE56">
        <v>-2.4963999999999902</v>
      </c>
      <c r="AF56">
        <v>3.2392321051823698</v>
      </c>
      <c r="AG56">
        <v>-1.159017</v>
      </c>
      <c r="AH56">
        <v>66.356782137229999</v>
      </c>
      <c r="AI56">
        <v>90.999461877981304</v>
      </c>
      <c r="AJ56">
        <v>87.205302717341198</v>
      </c>
      <c r="AK56">
        <v>66.445906425041301</v>
      </c>
      <c r="AL56">
        <v>84.866549230963997</v>
      </c>
      <c r="AM56">
        <v>87.344495210052102</v>
      </c>
      <c r="AN56">
        <v>1.00000004010805</v>
      </c>
    </row>
    <row r="57" spans="1:40" x14ac:dyDescent="0.25">
      <c r="A57" t="str">
        <f>"20190312151221877"</f>
        <v>20190312151221877</v>
      </c>
      <c r="B57" t="str">
        <f>"1552374741869621"</f>
        <v>1552374741869621</v>
      </c>
      <c r="C57" t="s">
        <v>40</v>
      </c>
      <c r="D57">
        <v>4.1556860000000002</v>
      </c>
      <c r="E57">
        <v>0.50005259999999996</v>
      </c>
      <c r="F57" t="s">
        <v>43</v>
      </c>
      <c r="G57">
        <v>-406.60070000000002</v>
      </c>
      <c r="H57">
        <v>-0.05</v>
      </c>
      <c r="I57">
        <v>364.81490000000002</v>
      </c>
      <c r="J57">
        <v>-472.46949999999998</v>
      </c>
      <c r="K57">
        <v>1.1090089999999999</v>
      </c>
      <c r="L57">
        <v>367.25299999999999</v>
      </c>
      <c r="M57">
        <v>0.9999325</v>
      </c>
      <c r="N57">
        <v>0</v>
      </c>
      <c r="O57">
        <v>1.1522080000000001E-2</v>
      </c>
      <c r="P57">
        <v>0.9955001</v>
      </c>
      <c r="Q57">
        <v>8.8262419999999994E-2</v>
      </c>
      <c r="R57">
        <v>-3.448408E-2</v>
      </c>
      <c r="S57">
        <v>3.0142820000000001</v>
      </c>
      <c r="T57">
        <v>-5.2933929999999997E-2</v>
      </c>
      <c r="U57">
        <v>-0.11126709999999999</v>
      </c>
      <c r="V57">
        <v>4.5930159999999998E-2</v>
      </c>
      <c r="W57">
        <v>8.9747450000000006E-2</v>
      </c>
      <c r="X57">
        <v>0.99490489999999998</v>
      </c>
      <c r="Y57">
        <v>4.8390750000000003E-2</v>
      </c>
      <c r="Z57">
        <v>-6.2698150000000004E-4</v>
      </c>
      <c r="AA57">
        <v>0.9988283</v>
      </c>
      <c r="AB57">
        <v>13</v>
      </c>
      <c r="AC57">
        <v>65.868799999999894</v>
      </c>
      <c r="AD57">
        <v>-1.159009</v>
      </c>
      <c r="AE57">
        <v>-2.4381000000000199</v>
      </c>
      <c r="AF57">
        <v>3.1958964615298502</v>
      </c>
      <c r="AG57">
        <v>-1.159009</v>
      </c>
      <c r="AH57">
        <v>65.815986147812396</v>
      </c>
      <c r="AI57">
        <v>91.007678195998196</v>
      </c>
      <c r="AJ57">
        <v>87.220011816949395</v>
      </c>
      <c r="AK57">
        <v>65.903725908812902</v>
      </c>
      <c r="AL57">
        <v>84.850921610627594</v>
      </c>
      <c r="AM57">
        <v>87.356795429613697</v>
      </c>
      <c r="AN57">
        <v>0.999999972211568</v>
      </c>
    </row>
    <row r="58" spans="1:40" x14ac:dyDescent="0.25">
      <c r="A58" t="str">
        <f>"20190312151221901"</f>
        <v>20190312151221901</v>
      </c>
      <c r="B58" t="str">
        <f>"1552374741889648"</f>
        <v>1552374741889648</v>
      </c>
      <c r="C58" t="s">
        <v>40</v>
      </c>
      <c r="D58">
        <v>4.1632860000000003</v>
      </c>
      <c r="E58">
        <v>0.50021340000000003</v>
      </c>
      <c r="F58" t="s">
        <v>43</v>
      </c>
      <c r="G58">
        <v>-406.85039999999998</v>
      </c>
      <c r="H58">
        <v>-0.05</v>
      </c>
      <c r="I58">
        <v>364.84620000000001</v>
      </c>
      <c r="J58">
        <v>-472.32670000000002</v>
      </c>
      <c r="K58">
        <v>1.1090009999999999</v>
      </c>
      <c r="L58">
        <v>367.255</v>
      </c>
      <c r="M58">
        <v>0.9999287</v>
      </c>
      <c r="N58">
        <v>0</v>
      </c>
      <c r="O58">
        <v>1.1863159999999999E-2</v>
      </c>
      <c r="P58">
        <v>0.99549840000000001</v>
      </c>
      <c r="Q58">
        <v>8.8623060000000003E-2</v>
      </c>
      <c r="R58">
        <v>-3.360672E-2</v>
      </c>
      <c r="S58">
        <v>3.014465</v>
      </c>
      <c r="T58">
        <v>-5.3243520000000003E-2</v>
      </c>
      <c r="U58">
        <v>-0.1105652</v>
      </c>
      <c r="V58">
        <v>4.5392130000000003E-2</v>
      </c>
      <c r="W58">
        <v>9.0079419999999993E-2</v>
      </c>
      <c r="X58">
        <v>0.9948996</v>
      </c>
      <c r="Y58">
        <v>4.8496780000000003E-2</v>
      </c>
      <c r="Z58">
        <v>-6.3757039999999998E-4</v>
      </c>
      <c r="AA58">
        <v>0.99882309999999996</v>
      </c>
      <c r="AB58">
        <v>13</v>
      </c>
      <c r="AC58">
        <v>65.476299999999995</v>
      </c>
      <c r="AD58">
        <v>-1.1590009999999999</v>
      </c>
      <c r="AE58">
        <v>-2.4087999999999798</v>
      </c>
      <c r="AF58">
        <v>3.1843906280996199</v>
      </c>
      <c r="AG58">
        <v>-1.1590009999999999</v>
      </c>
      <c r="AH58">
        <v>65.422645385634297</v>
      </c>
      <c r="AI58">
        <v>91.013722700288</v>
      </c>
      <c r="AJ58">
        <v>87.213376806862399</v>
      </c>
      <c r="AK58">
        <v>65.510351519777302</v>
      </c>
      <c r="AL58">
        <v>84.831823820035495</v>
      </c>
      <c r="AM58">
        <v>87.387701123079495</v>
      </c>
      <c r="AN58">
        <v>0.99999998072681595</v>
      </c>
    </row>
    <row r="59" spans="1:40" x14ac:dyDescent="0.25">
      <c r="A59" t="str">
        <f>"20190312151221924"</f>
        <v>20190312151221924</v>
      </c>
      <c r="B59" t="str">
        <f>"1552374741919905"</f>
        <v>1552374741919905</v>
      </c>
      <c r="C59" t="s">
        <v>40</v>
      </c>
      <c r="D59">
        <v>4.3484309999999997</v>
      </c>
      <c r="E59">
        <v>0.50030479999999999</v>
      </c>
      <c r="F59" t="s">
        <v>43</v>
      </c>
      <c r="G59">
        <v>-406.51389999999998</v>
      </c>
      <c r="H59">
        <v>-0.05</v>
      </c>
      <c r="I59">
        <v>364.86059999999998</v>
      </c>
      <c r="J59">
        <v>-472.18970000000002</v>
      </c>
      <c r="K59">
        <v>1.109003</v>
      </c>
      <c r="L59">
        <v>367.25700000000001</v>
      </c>
      <c r="M59">
        <v>0.99992499999999995</v>
      </c>
      <c r="N59">
        <v>0</v>
      </c>
      <c r="O59">
        <v>1.217907E-2</v>
      </c>
      <c r="P59">
        <v>0.99547569999999996</v>
      </c>
      <c r="Q59">
        <v>8.8995930000000001E-2</v>
      </c>
      <c r="R59">
        <v>-3.328714E-2</v>
      </c>
      <c r="S59">
        <v>3.014618</v>
      </c>
      <c r="T59">
        <v>-5.308914E-2</v>
      </c>
      <c r="U59">
        <v>-0.10968020000000001</v>
      </c>
      <c r="V59">
        <v>4.5387690000000001E-2</v>
      </c>
      <c r="W59">
        <v>9.0422760000000005E-2</v>
      </c>
      <c r="X59">
        <v>0.99486870000000005</v>
      </c>
      <c r="Y59">
        <v>4.8517659999999997E-2</v>
      </c>
      <c r="Z59">
        <v>-6.4143839999999995E-4</v>
      </c>
      <c r="AA59">
        <v>0.99882210000000005</v>
      </c>
      <c r="AB59">
        <v>13</v>
      </c>
      <c r="AC59">
        <v>65.675799999999995</v>
      </c>
      <c r="AD59">
        <v>-1.159003</v>
      </c>
      <c r="AE59">
        <v>-2.3963999999999701</v>
      </c>
      <c r="AF59">
        <v>3.1950993736432198</v>
      </c>
      <c r="AG59">
        <v>-1.159003</v>
      </c>
      <c r="AH59">
        <v>65.621333844343695</v>
      </c>
      <c r="AI59">
        <v>91.010654953021202</v>
      </c>
      <c r="AJ59">
        <v>87.212472855341204</v>
      </c>
      <c r="AK59">
        <v>65.709294650545999</v>
      </c>
      <c r="AL59">
        <v>84.812071502897396</v>
      </c>
      <c r="AM59">
        <v>87.387875273312403</v>
      </c>
      <c r="AN59">
        <v>1.0000000240846201</v>
      </c>
    </row>
    <row r="60" spans="1:40" x14ac:dyDescent="0.25">
      <c r="A60" t="str">
        <f>"20190312151221946"</f>
        <v>20190312151221946</v>
      </c>
      <c r="B60" t="str">
        <f>"1552374741939425"</f>
        <v>1552374741939425</v>
      </c>
      <c r="C60" t="s">
        <v>40</v>
      </c>
      <c r="D60">
        <v>4.1780619999999997</v>
      </c>
      <c r="E60">
        <v>0.50049600000000005</v>
      </c>
      <c r="F60" t="s">
        <v>43</v>
      </c>
      <c r="G60">
        <v>-406.46719999999999</v>
      </c>
      <c r="H60">
        <v>-0.05</v>
      </c>
      <c r="I60">
        <v>364.87849999999997</v>
      </c>
      <c r="J60">
        <v>-472.05930000000001</v>
      </c>
      <c r="K60">
        <v>1.108994</v>
      </c>
      <c r="L60">
        <v>367.25889999999998</v>
      </c>
      <c r="M60">
        <v>0.99992139999999996</v>
      </c>
      <c r="N60">
        <v>0</v>
      </c>
      <c r="O60">
        <v>1.246453E-2</v>
      </c>
      <c r="P60">
        <v>0.99546279999999998</v>
      </c>
      <c r="Q60">
        <v>8.9081960000000002E-2</v>
      </c>
      <c r="R60">
        <v>-3.3440890000000001E-2</v>
      </c>
      <c r="S60">
        <v>3.0147400000000002</v>
      </c>
      <c r="T60">
        <v>-5.3164360000000001E-2</v>
      </c>
      <c r="U60">
        <v>-0.1091003</v>
      </c>
      <c r="V60">
        <v>4.5826770000000003E-2</v>
      </c>
      <c r="W60">
        <v>9.0478799999999998E-2</v>
      </c>
      <c r="X60">
        <v>0.99484340000000004</v>
      </c>
      <c r="Y60">
        <v>4.8609390000000002E-2</v>
      </c>
      <c r="Z60">
        <v>-6.4816400000000001E-4</v>
      </c>
      <c r="AA60">
        <v>0.99881770000000003</v>
      </c>
      <c r="AB60">
        <v>13</v>
      </c>
      <c r="AC60">
        <v>65.592100000000002</v>
      </c>
      <c r="AD60">
        <v>-1.1589940000000001</v>
      </c>
      <c r="AE60">
        <v>-2.3803999999999998</v>
      </c>
      <c r="AF60">
        <v>3.19679373676908</v>
      </c>
      <c r="AG60">
        <v>-1.1589940000000001</v>
      </c>
      <c r="AH60">
        <v>65.536898905836694</v>
      </c>
      <c r="AI60">
        <v>91.011944553175198</v>
      </c>
      <c r="AJ60">
        <v>87.207409413420905</v>
      </c>
      <c r="AK60">
        <v>65.625055241739304</v>
      </c>
      <c r="AL60">
        <v>84.808847037354894</v>
      </c>
      <c r="AM60">
        <v>87.3625741407417</v>
      </c>
      <c r="AN60">
        <v>0.99999994831081496</v>
      </c>
    </row>
    <row r="61" spans="1:40" x14ac:dyDescent="0.25">
      <c r="A61" t="str">
        <f>"20190312151221966"</f>
        <v>20190312151221966</v>
      </c>
      <c r="B61" t="str">
        <f>"1552374741959920"</f>
        <v>1552374741959920</v>
      </c>
      <c r="C61" t="s">
        <v>40</v>
      </c>
      <c r="D61">
        <v>4.1584180000000002</v>
      </c>
      <c r="E61">
        <v>0.50052549999999996</v>
      </c>
      <c r="F61" t="s">
        <v>43</v>
      </c>
      <c r="G61">
        <v>-408.63010000000003</v>
      </c>
      <c r="H61">
        <v>-0.05</v>
      </c>
      <c r="I61">
        <v>364.92439999999999</v>
      </c>
      <c r="J61">
        <v>-471.93009999999998</v>
      </c>
      <c r="K61">
        <v>1.1089819999999999</v>
      </c>
      <c r="L61">
        <v>367.26080000000002</v>
      </c>
      <c r="M61">
        <v>0.99991799999999997</v>
      </c>
      <c r="N61">
        <v>0</v>
      </c>
      <c r="O61">
        <v>1.2729890000000001E-2</v>
      </c>
      <c r="P61">
        <v>0.99546630000000003</v>
      </c>
      <c r="Q61">
        <v>8.899775E-2</v>
      </c>
      <c r="R61">
        <v>-3.3557869999999997E-2</v>
      </c>
      <c r="S61">
        <v>3.0148619999999999</v>
      </c>
      <c r="T61">
        <v>-5.5088280000000003E-2</v>
      </c>
      <c r="U61">
        <v>-0.1109619</v>
      </c>
      <c r="V61">
        <v>4.6209689999999998E-2</v>
      </c>
      <c r="W61">
        <v>9.0364360000000005E-2</v>
      </c>
      <c r="X61">
        <v>0.99483619999999995</v>
      </c>
      <c r="Y61">
        <v>4.9488020000000001E-2</v>
      </c>
      <c r="Z61">
        <v>-6.8445259999999999E-4</v>
      </c>
      <c r="AA61">
        <v>0.99877450000000001</v>
      </c>
      <c r="AB61">
        <v>14</v>
      </c>
      <c r="AC61">
        <v>63.299999999999898</v>
      </c>
      <c r="AD61">
        <v>-1.158982</v>
      </c>
      <c r="AE61">
        <v>-2.3364000000000198</v>
      </c>
      <c r="AF61">
        <v>3.1409619853112201</v>
      </c>
      <c r="AG61">
        <v>-1.158982</v>
      </c>
      <c r="AH61">
        <v>63.243956175007597</v>
      </c>
      <c r="AI61">
        <v>91.048568636076098</v>
      </c>
      <c r="AJ61">
        <v>87.156785684599697</v>
      </c>
      <c r="AK61">
        <v>63.332510404497398</v>
      </c>
      <c r="AL61">
        <v>84.815431512163201</v>
      </c>
      <c r="AM61">
        <v>87.340548587463203</v>
      </c>
      <c r="AN61">
        <v>1.0000000589192699</v>
      </c>
    </row>
    <row r="62" spans="1:40" x14ac:dyDescent="0.25">
      <c r="A62" t="str">
        <f>"20190312151221992"</f>
        <v>20190312151221992</v>
      </c>
      <c r="B62" t="str">
        <f>"1552374741979440"</f>
        <v>1552374741979440</v>
      </c>
      <c r="C62" t="s">
        <v>40</v>
      </c>
      <c r="D62">
        <v>4.1998049999999996</v>
      </c>
      <c r="E62">
        <v>0.5008146</v>
      </c>
      <c r="F62" t="s">
        <v>43</v>
      </c>
      <c r="G62">
        <v>-409.61559999999997</v>
      </c>
      <c r="H62">
        <v>-0.05</v>
      </c>
      <c r="I62">
        <v>364.95600000000002</v>
      </c>
      <c r="J62">
        <v>-471.7758</v>
      </c>
      <c r="K62">
        <v>1.108962</v>
      </c>
      <c r="L62">
        <v>367.26310000000001</v>
      </c>
      <c r="M62">
        <v>0.99991439999999998</v>
      </c>
      <c r="N62">
        <v>0</v>
      </c>
      <c r="O62">
        <v>1.302655E-2</v>
      </c>
      <c r="P62">
        <v>0.99546889999999999</v>
      </c>
      <c r="Q62">
        <v>8.8812310000000005E-2</v>
      </c>
      <c r="R62">
        <v>-3.3976470000000002E-2</v>
      </c>
      <c r="S62">
        <v>3.0148929999999998</v>
      </c>
      <c r="T62">
        <v>-5.6073669999999999E-2</v>
      </c>
      <c r="U62">
        <v>-0.1115112</v>
      </c>
      <c r="V62">
        <v>4.6925540000000002E-2</v>
      </c>
      <c r="W62">
        <v>9.0143059999999997E-2</v>
      </c>
      <c r="X62">
        <v>0.99482269999999995</v>
      </c>
      <c r="Y62">
        <v>4.9965179999999998E-2</v>
      </c>
      <c r="Z62">
        <v>-7.0663500000000005E-4</v>
      </c>
      <c r="AA62">
        <v>0.99875069999999999</v>
      </c>
      <c r="AB62">
        <v>14</v>
      </c>
      <c r="AC62">
        <v>62.160200000000003</v>
      </c>
      <c r="AD62">
        <v>-1.158962</v>
      </c>
      <c r="AE62">
        <v>-2.3071000000000401</v>
      </c>
      <c r="AF62">
        <v>3.1155562438500901</v>
      </c>
      <c r="AG62">
        <v>-1.158962</v>
      </c>
      <c r="AH62">
        <v>62.103313084914802</v>
      </c>
      <c r="AI62">
        <v>91.067777970084805</v>
      </c>
      <c r="AJ62">
        <v>87.128032524955998</v>
      </c>
      <c r="AK62">
        <v>62.1922131761605</v>
      </c>
      <c r="AL62">
        <v>84.828162675018206</v>
      </c>
      <c r="AM62">
        <v>87.299374056357294</v>
      </c>
      <c r="AN62">
        <v>0.99999999100287196</v>
      </c>
    </row>
    <row r="63" spans="1:40" x14ac:dyDescent="0.25">
      <c r="A63" t="str">
        <f>"20190312151222011"</f>
        <v>20190312151222011</v>
      </c>
      <c r="B63" t="str">
        <f>"1552374742009696"</f>
        <v>1552374742009696</v>
      </c>
      <c r="C63" t="s">
        <v>40</v>
      </c>
      <c r="D63">
        <v>4.1734839999999904</v>
      </c>
      <c r="E63">
        <v>0.500625599999999</v>
      </c>
      <c r="F63" t="s">
        <v>42</v>
      </c>
      <c r="G63">
        <v>-446.10329999999999</v>
      </c>
      <c r="H63" s="1">
        <v>-2.4157270000000001E-6</v>
      </c>
      <c r="I63">
        <v>366.27179999999998</v>
      </c>
      <c r="J63">
        <v>-471.64600000000002</v>
      </c>
      <c r="K63">
        <v>1.1089549999999999</v>
      </c>
      <c r="L63">
        <v>367.26510000000002</v>
      </c>
      <c r="M63">
        <v>0.99991110000000005</v>
      </c>
      <c r="N63">
        <v>0</v>
      </c>
      <c r="O63">
        <v>1.3262060000000001E-2</v>
      </c>
      <c r="P63">
        <v>0.99548510000000001</v>
      </c>
      <c r="Q63">
        <v>8.8542289999999996E-2</v>
      </c>
      <c r="R63">
        <v>-3.4196789999999998E-2</v>
      </c>
      <c r="S63">
        <v>3.0213619999999999</v>
      </c>
      <c r="T63">
        <v>-0.13051279999999901</v>
      </c>
      <c r="U63">
        <v>-0.1166687</v>
      </c>
      <c r="V63">
        <v>4.738187E-2</v>
      </c>
      <c r="W63">
        <v>8.9843850000000003E-2</v>
      </c>
      <c r="X63">
        <v>0.99482820000000005</v>
      </c>
      <c r="Y63">
        <v>5.177408E-2</v>
      </c>
      <c r="Z63">
        <v>-1.6897189999999999E-3</v>
      </c>
      <c r="AA63">
        <v>0.99865740000000003</v>
      </c>
      <c r="AB63">
        <v>14</v>
      </c>
      <c r="AC63">
        <v>25.5426999999999</v>
      </c>
      <c r="AD63">
        <v>-1.1089574157269999</v>
      </c>
      <c r="AE63">
        <v>-0.99330000000003305</v>
      </c>
      <c r="AF63">
        <v>1.3294596278763799</v>
      </c>
      <c r="AG63">
        <v>-1.1089574157269999</v>
      </c>
      <c r="AH63">
        <v>25.479326099655701</v>
      </c>
      <c r="AI63">
        <v>92.488776587806797</v>
      </c>
      <c r="AJ63">
        <v>87.013130936152393</v>
      </c>
      <c r="AK63">
        <v>25.538075650773798</v>
      </c>
      <c r="AL63">
        <v>84.845376312658303</v>
      </c>
      <c r="AM63">
        <v>87.273166172017795</v>
      </c>
      <c r="AN63">
        <v>1.00000005325137</v>
      </c>
    </row>
    <row r="64" spans="1:40" x14ac:dyDescent="0.25">
      <c r="A64" t="str">
        <f>"20190312151222033"</f>
        <v>20190312151222033</v>
      </c>
      <c r="B64" t="str">
        <f>"1552374742029216"</f>
        <v>1552374742029216</v>
      </c>
      <c r="C64" t="s">
        <v>40</v>
      </c>
      <c r="D64">
        <v>4.4143319999999999</v>
      </c>
      <c r="E64">
        <v>0.50065800000000005</v>
      </c>
      <c r="F64" t="s">
        <v>42</v>
      </c>
      <c r="G64">
        <v>-444.8227</v>
      </c>
      <c r="H64" s="1">
        <v>-3.0265839999999902E-6</v>
      </c>
      <c r="I64">
        <v>366.24079999999998</v>
      </c>
      <c r="J64">
        <v>-471.50909999999999</v>
      </c>
      <c r="K64">
        <v>1.108946</v>
      </c>
      <c r="L64">
        <v>367.2672</v>
      </c>
      <c r="M64">
        <v>0.99990820000000002</v>
      </c>
      <c r="N64">
        <v>0</v>
      </c>
      <c r="O64">
        <v>1.349697E-2</v>
      </c>
      <c r="P64">
        <v>0.99545589999999995</v>
      </c>
      <c r="Q64">
        <v>8.8594850000000003E-2</v>
      </c>
      <c r="R64">
        <v>-3.4917700000000003E-2</v>
      </c>
      <c r="S64">
        <v>3.0207519999999999</v>
      </c>
      <c r="T64">
        <v>-0.1248872</v>
      </c>
      <c r="U64">
        <v>-0.115356399999999</v>
      </c>
      <c r="V64">
        <v>4.8337089999999999E-2</v>
      </c>
      <c r="W64">
        <v>8.9870000000000005E-2</v>
      </c>
      <c r="X64">
        <v>0.99477979999999999</v>
      </c>
      <c r="Y64">
        <v>5.1588330000000002E-2</v>
      </c>
      <c r="Z64">
        <v>-1.6231559999999999E-3</v>
      </c>
      <c r="AA64">
        <v>0.99866710000000003</v>
      </c>
      <c r="AB64">
        <v>14</v>
      </c>
      <c r="AC64">
        <v>26.6863999999999</v>
      </c>
      <c r="AD64">
        <v>-1.1089490265840001</v>
      </c>
      <c r="AE64">
        <v>-1.02640000000002</v>
      </c>
      <c r="AF64">
        <v>1.38410575371648</v>
      </c>
      <c r="AG64">
        <v>-1.1089490265840001</v>
      </c>
      <c r="AH64">
        <v>26.624208983529599</v>
      </c>
      <c r="AI64">
        <v>92.381886936808399</v>
      </c>
      <c r="AJ64">
        <v>87.024058389648303</v>
      </c>
      <c r="AK64">
        <v>26.683216085766201</v>
      </c>
      <c r="AL64">
        <v>84.843871516319794</v>
      </c>
      <c r="AM64">
        <v>87.218143480124397</v>
      </c>
      <c r="AN64">
        <v>0.99999997082885295</v>
      </c>
    </row>
    <row r="65" spans="1:40" x14ac:dyDescent="0.25">
      <c r="A65" t="str">
        <f>"20190312151222056"</f>
        <v>20190312151222056</v>
      </c>
      <c r="B65" t="str">
        <f>"1552374742049712"</f>
        <v>1552374742049712</v>
      </c>
      <c r="C65" t="s">
        <v>40</v>
      </c>
      <c r="D65">
        <v>4.2315110000000002</v>
      </c>
      <c r="E65">
        <v>0.50069649999999999</v>
      </c>
      <c r="F65" t="s">
        <v>42</v>
      </c>
      <c r="G65">
        <v>-443.82380000000001</v>
      </c>
      <c r="H65" s="1">
        <v>-3.5074149999999999E-6</v>
      </c>
      <c r="I65">
        <v>366.19220000000001</v>
      </c>
      <c r="J65">
        <v>-471.35789999999997</v>
      </c>
      <c r="K65">
        <v>1.108922</v>
      </c>
      <c r="L65">
        <v>367.26949999999999</v>
      </c>
      <c r="M65">
        <v>0.99990330000000005</v>
      </c>
      <c r="N65">
        <v>0</v>
      </c>
      <c r="O65">
        <v>1.386369E-2</v>
      </c>
      <c r="P65">
        <v>0.99541860000000004</v>
      </c>
      <c r="Q65">
        <v>8.8909360000000007E-2</v>
      </c>
      <c r="R65">
        <v>-3.5175449999999997E-2</v>
      </c>
      <c r="S65">
        <v>3.0203549999999999</v>
      </c>
      <c r="T65">
        <v>-0.1209818</v>
      </c>
      <c r="U65">
        <v>-0.1172791</v>
      </c>
      <c r="V65">
        <v>4.8960910000000003E-2</v>
      </c>
      <c r="W65">
        <v>9.0111239999999995E-2</v>
      </c>
      <c r="X65">
        <v>0.99472749999999999</v>
      </c>
      <c r="Y65">
        <v>5.2596629999999998E-2</v>
      </c>
      <c r="Z65">
        <v>-1.6074829999999901E-3</v>
      </c>
      <c r="AA65">
        <v>0.99861449999999996</v>
      </c>
      <c r="AB65">
        <v>14</v>
      </c>
      <c r="AC65">
        <v>27.534099999999899</v>
      </c>
      <c r="AD65">
        <v>-1.108925507415</v>
      </c>
      <c r="AE65">
        <v>-1.0772999999999699</v>
      </c>
      <c r="AF65">
        <v>1.4565619209273499</v>
      </c>
      <c r="AG65">
        <v>-1.108925507415</v>
      </c>
      <c r="AH65">
        <v>27.472025696150698</v>
      </c>
      <c r="AI65">
        <v>92.3082864606436</v>
      </c>
      <c r="AJ65">
        <v>86.965029692269695</v>
      </c>
      <c r="AK65">
        <v>27.532952697821202</v>
      </c>
      <c r="AL65">
        <v>84.829993337797504</v>
      </c>
      <c r="AM65">
        <v>87.182151484994904</v>
      </c>
      <c r="AN65">
        <v>1.0000000027692999</v>
      </c>
    </row>
    <row r="66" spans="1:40" x14ac:dyDescent="0.25">
      <c r="A66" t="str">
        <f>"20190312151222078"</f>
        <v>20190312151222078</v>
      </c>
      <c r="B66" t="str">
        <f>"1552374742069233"</f>
        <v>1552374742069233</v>
      </c>
      <c r="C66" t="s">
        <v>40</v>
      </c>
      <c r="D66">
        <v>4.1797309999999896</v>
      </c>
      <c r="E66">
        <v>0.50055159999999999</v>
      </c>
      <c r="F66" t="s">
        <v>42</v>
      </c>
      <c r="G66">
        <v>-442.32659999999998</v>
      </c>
      <c r="H66" s="1">
        <v>-4.2255009999999998E-6</v>
      </c>
      <c r="I66">
        <v>366.13380000000001</v>
      </c>
      <c r="J66">
        <v>-471.2115</v>
      </c>
      <c r="K66">
        <v>1.1089329999999999</v>
      </c>
      <c r="L66">
        <v>367.27170000000001</v>
      </c>
      <c r="M66">
        <v>0.9998977</v>
      </c>
      <c r="N66">
        <v>0</v>
      </c>
      <c r="O66">
        <v>1.4263339999999999E-2</v>
      </c>
      <c r="P66">
        <v>0.99541029999999997</v>
      </c>
      <c r="Q66">
        <v>8.8899790000000006E-2</v>
      </c>
      <c r="R66">
        <v>-3.5433800000000001E-2</v>
      </c>
      <c r="S66">
        <v>3.0199280000000002</v>
      </c>
      <c r="T66">
        <v>-0.11535380000000001</v>
      </c>
      <c r="U66">
        <v>-0.1181335</v>
      </c>
      <c r="V66">
        <v>4.9608090000000001E-2</v>
      </c>
      <c r="W66">
        <v>9.0080850000000004E-2</v>
      </c>
      <c r="X66">
        <v>0.99469819999999998</v>
      </c>
      <c r="Y66">
        <v>5.3287380000000002E-2</v>
      </c>
      <c r="Z66">
        <v>-1.561406E-3</v>
      </c>
      <c r="AA66">
        <v>0.99857799999999997</v>
      </c>
      <c r="AB66">
        <v>15</v>
      </c>
      <c r="AC66">
        <v>28.884899999999998</v>
      </c>
      <c r="AD66">
        <v>-1.1089372255009999</v>
      </c>
      <c r="AE66">
        <v>-1.1378999999999999</v>
      </c>
      <c r="AF66">
        <v>1.54750227967381</v>
      </c>
      <c r="AG66">
        <v>-1.1089372255009999</v>
      </c>
      <c r="AH66">
        <v>28.823314107100298</v>
      </c>
      <c r="AI66">
        <v>92.200123777350498</v>
      </c>
      <c r="AJ66">
        <v>86.926782866384002</v>
      </c>
      <c r="AK66">
        <v>28.886120217022398</v>
      </c>
      <c r="AL66">
        <v>84.831741733371501</v>
      </c>
      <c r="AM66">
        <v>87.144881583578993</v>
      </c>
      <c r="AN66">
        <v>1.0000000156066999</v>
      </c>
    </row>
    <row r="67" spans="1:40" x14ac:dyDescent="0.25">
      <c r="A67" t="str">
        <f>"20190312151222102"</f>
        <v>20190312151222102</v>
      </c>
      <c r="B67" t="str">
        <f>"1552374742099019"</f>
        <v>1552374742099019</v>
      </c>
      <c r="C67" t="s">
        <v>40</v>
      </c>
      <c r="D67">
        <v>4.2007159999999999</v>
      </c>
      <c r="E67">
        <v>0.50046950000000001</v>
      </c>
      <c r="F67" t="s">
        <v>42</v>
      </c>
      <c r="G67">
        <v>-442.99919999999997</v>
      </c>
      <c r="H67" s="1">
        <v>-3.9005250000000002E-6</v>
      </c>
      <c r="I67">
        <v>366.17329999999998</v>
      </c>
      <c r="J67">
        <v>-471.05270000000002</v>
      </c>
      <c r="K67">
        <v>1.1090329999999999</v>
      </c>
      <c r="L67">
        <v>367.274</v>
      </c>
      <c r="M67">
        <v>0.99989530000000004</v>
      </c>
      <c r="N67">
        <v>0</v>
      </c>
      <c r="O67">
        <v>1.442329E-2</v>
      </c>
      <c r="P67">
        <v>0.99540010000000001</v>
      </c>
      <c r="Q67">
        <v>8.8841329999999996E-2</v>
      </c>
      <c r="R67">
        <v>-3.5867889999999999E-2</v>
      </c>
      <c r="S67">
        <v>3.0202939999999998</v>
      </c>
      <c r="T67">
        <v>-0.1187185</v>
      </c>
      <c r="U67">
        <v>-0.1175842</v>
      </c>
      <c r="V67">
        <v>5.0171529999999999E-2</v>
      </c>
      <c r="W67">
        <v>9.0158260000000004E-2</v>
      </c>
      <c r="X67">
        <v>0.99466290000000002</v>
      </c>
      <c r="Y67">
        <v>5.3258060000000003E-2</v>
      </c>
      <c r="Z67">
        <v>-1.6124329999999999E-3</v>
      </c>
      <c r="AA67">
        <v>0.99857949999999995</v>
      </c>
      <c r="AB67">
        <v>15</v>
      </c>
      <c r="AC67">
        <v>28.0535</v>
      </c>
      <c r="AD67">
        <v>-1.109036900525</v>
      </c>
      <c r="AE67">
        <v>-1.10070000000001</v>
      </c>
      <c r="AF67">
        <v>1.5028643999620099</v>
      </c>
      <c r="AG67">
        <v>-1.109036900525</v>
      </c>
      <c r="AH67">
        <v>27.991027519038202</v>
      </c>
      <c r="AI67">
        <v>92.265678398651005</v>
      </c>
      <c r="AJ67">
        <v>86.926687002980202</v>
      </c>
      <c r="AK67">
        <v>28.053274066015099</v>
      </c>
      <c r="AL67">
        <v>84.827288210455507</v>
      </c>
      <c r="AM67">
        <v>87.112405917933501</v>
      </c>
      <c r="AN67">
        <v>0.99999998945258906</v>
      </c>
    </row>
    <row r="68" spans="1:40" x14ac:dyDescent="0.25">
      <c r="A68" t="str">
        <f>"20190312151222125"</f>
        <v>20190312151222125</v>
      </c>
      <c r="B68" t="str">
        <f>"1552374742119516"</f>
        <v>1552374742119516</v>
      </c>
      <c r="C68" t="s">
        <v>40</v>
      </c>
      <c r="D68">
        <v>4.2438659999999997</v>
      </c>
      <c r="E68">
        <v>0.50043300000000002</v>
      </c>
      <c r="F68" t="s">
        <v>42</v>
      </c>
      <c r="G68">
        <v>-441.56580000000002</v>
      </c>
      <c r="H68" s="1">
        <v>-4.586942E-6</v>
      </c>
      <c r="I68">
        <v>366.12349999999998</v>
      </c>
      <c r="J68">
        <v>-470.89729999999997</v>
      </c>
      <c r="K68">
        <v>1.109111</v>
      </c>
      <c r="L68">
        <v>367.2765</v>
      </c>
      <c r="M68">
        <v>0.99989550000000005</v>
      </c>
      <c r="N68">
        <v>0</v>
      </c>
      <c r="O68">
        <v>1.438596E-2</v>
      </c>
      <c r="P68">
        <v>0.99539420000000001</v>
      </c>
      <c r="Q68">
        <v>8.861202E-2</v>
      </c>
      <c r="R68">
        <v>-3.6580889999999998E-2</v>
      </c>
      <c r="S68">
        <v>3.0197750000000001</v>
      </c>
      <c r="T68">
        <v>-0.1135772</v>
      </c>
      <c r="U68">
        <v>-0.1178284</v>
      </c>
      <c r="V68">
        <v>5.0823479999999997E-2</v>
      </c>
      <c r="W68">
        <v>9.0079880000000001E-2</v>
      </c>
      <c r="X68">
        <v>0.99463690000000005</v>
      </c>
      <c r="Y68">
        <v>5.3312449999999997E-2</v>
      </c>
      <c r="Z68">
        <v>-1.5425370000000001E-3</v>
      </c>
      <c r="AA68">
        <v>0.99857669999999998</v>
      </c>
      <c r="AB68">
        <v>15</v>
      </c>
      <c r="AC68">
        <v>29.331499999999899</v>
      </c>
      <c r="AD68">
        <v>-1.109115586942</v>
      </c>
      <c r="AE68">
        <v>-1.15300000000002</v>
      </c>
      <c r="AF68">
        <v>1.5725978164124901</v>
      </c>
      <c r="AG68">
        <v>-1.109115586942</v>
      </c>
      <c r="AH68">
        <v>29.2700908967789</v>
      </c>
      <c r="AI68">
        <v>92.166917229590297</v>
      </c>
      <c r="AJ68">
        <v>86.924619384209294</v>
      </c>
      <c r="AK68">
        <v>29.333281820878501</v>
      </c>
      <c r="AL68">
        <v>84.831797388230299</v>
      </c>
      <c r="AM68">
        <v>87.074871720790597</v>
      </c>
      <c r="AN68">
        <v>0.999999986870867</v>
      </c>
    </row>
    <row r="69" spans="1:40" x14ac:dyDescent="0.25">
      <c r="A69" t="str">
        <f>"20190312151222147"</f>
        <v>20190312151222147</v>
      </c>
      <c r="B69" t="str">
        <f>"1552374742139035"</f>
        <v>1552374742139035</v>
      </c>
      <c r="C69" t="s">
        <v>40</v>
      </c>
      <c r="D69">
        <v>4.2665629999999997</v>
      </c>
      <c r="E69">
        <v>0.50025299999999995</v>
      </c>
      <c r="F69" t="s">
        <v>42</v>
      </c>
      <c r="G69">
        <v>-440.71800000000002</v>
      </c>
      <c r="H69" s="1">
        <v>-4.9947639999999999E-6</v>
      </c>
      <c r="I69">
        <v>366.0838</v>
      </c>
      <c r="J69">
        <v>-470.7439</v>
      </c>
      <c r="K69">
        <v>1.1090899999999999</v>
      </c>
      <c r="L69">
        <v>367.279</v>
      </c>
      <c r="M69">
        <v>0.99989519999999998</v>
      </c>
      <c r="N69">
        <v>0</v>
      </c>
      <c r="O69">
        <v>1.440407E-2</v>
      </c>
      <c r="P69">
        <v>0.99540200000000001</v>
      </c>
      <c r="Q69">
        <v>8.8614429999999994E-2</v>
      </c>
      <c r="R69">
        <v>-3.6364140000000003E-2</v>
      </c>
      <c r="S69">
        <v>3.019409</v>
      </c>
      <c r="T69">
        <v>-0.1109657</v>
      </c>
      <c r="U69">
        <v>-0.1193237</v>
      </c>
      <c r="V69">
        <v>5.0621140000000002E-2</v>
      </c>
      <c r="W69">
        <v>9.0152549999999998E-2</v>
      </c>
      <c r="X69">
        <v>0.99464059999999999</v>
      </c>
      <c r="Y69">
        <v>5.3830820000000001E-2</v>
      </c>
      <c r="Z69">
        <v>-1.5174450000000001E-3</v>
      </c>
      <c r="AA69">
        <v>0.99854889999999996</v>
      </c>
      <c r="AB69">
        <v>15</v>
      </c>
      <c r="AC69">
        <v>30.025899999999901</v>
      </c>
      <c r="AD69">
        <v>-1.1090949947640001</v>
      </c>
      <c r="AE69">
        <v>-1.19519999999999</v>
      </c>
      <c r="AF69">
        <v>1.62535747858702</v>
      </c>
      <c r="AG69">
        <v>-1.1090949947640001</v>
      </c>
      <c r="AH69">
        <v>29.9647496481392</v>
      </c>
      <c r="AI69">
        <v>92.116630930824599</v>
      </c>
      <c r="AJ69">
        <v>86.895186747266607</v>
      </c>
      <c r="AK69">
        <v>30.029287372767701</v>
      </c>
      <c r="AL69">
        <v>84.827616516100406</v>
      </c>
      <c r="AM69">
        <v>87.086508046076105</v>
      </c>
      <c r="AN69">
        <v>0.99999995262737995</v>
      </c>
    </row>
    <row r="70" spans="1:40" x14ac:dyDescent="0.25">
      <c r="A70" t="str">
        <f>"20190312151222168"</f>
        <v>20190312151222168</v>
      </c>
      <c r="B70" t="str">
        <f>"1552374742159531"</f>
        <v>1552374742159531</v>
      </c>
      <c r="C70" t="s">
        <v>40</v>
      </c>
      <c r="D70">
        <v>4.2586409999999999</v>
      </c>
      <c r="E70">
        <v>0.50011919999999999</v>
      </c>
      <c r="F70" t="s">
        <v>42</v>
      </c>
      <c r="G70">
        <v>-440.5498</v>
      </c>
      <c r="H70" s="1">
        <v>-5.0704289999999999E-6</v>
      </c>
      <c r="I70">
        <v>366.1053</v>
      </c>
      <c r="J70">
        <v>-470.59660000000002</v>
      </c>
      <c r="K70">
        <v>1.109013</v>
      </c>
      <c r="L70">
        <v>367.28149999999999</v>
      </c>
      <c r="M70">
        <v>0.99989280000000003</v>
      </c>
      <c r="N70">
        <v>0</v>
      </c>
      <c r="O70">
        <v>1.4569550000000001E-2</v>
      </c>
      <c r="P70">
        <v>0.99538800000000005</v>
      </c>
      <c r="Q70">
        <v>8.8870240000000003E-2</v>
      </c>
      <c r="R70">
        <v>-3.6123089999999997E-2</v>
      </c>
      <c r="S70">
        <v>3.0194399999999999</v>
      </c>
      <c r="T70">
        <v>-0.1109108</v>
      </c>
      <c r="U70">
        <v>-0.11737060000000001</v>
      </c>
      <c r="V70">
        <v>5.0553399999999998E-2</v>
      </c>
      <c r="W70">
        <v>9.0419429999999995E-2</v>
      </c>
      <c r="X70">
        <v>0.99461980000000005</v>
      </c>
      <c r="Y70">
        <v>5.3351019999999999E-2</v>
      </c>
      <c r="Z70">
        <v>-1.5139660000000001E-3</v>
      </c>
      <c r="AA70">
        <v>0.99857470000000004</v>
      </c>
      <c r="AB70">
        <v>15</v>
      </c>
      <c r="AC70">
        <v>30.046800000000001</v>
      </c>
      <c r="AD70">
        <v>-1.109018070429</v>
      </c>
      <c r="AE70">
        <v>-1.1761999999999899</v>
      </c>
      <c r="AF70">
        <v>1.61165173986901</v>
      </c>
      <c r="AG70">
        <v>-1.109018070429</v>
      </c>
      <c r="AH70">
        <v>29.985686303094699</v>
      </c>
      <c r="AI70">
        <v>92.115064135229801</v>
      </c>
      <c r="AJ70">
        <v>86.923462809613994</v>
      </c>
      <c r="AK70">
        <v>30.049438022678</v>
      </c>
      <c r="AL70">
        <v>84.812262609128197</v>
      </c>
      <c r="AM70">
        <v>87.090339365071898</v>
      </c>
      <c r="AN70">
        <v>0.99999993306255996</v>
      </c>
    </row>
    <row r="71" spans="1:40" x14ac:dyDescent="0.25">
      <c r="A71" t="str">
        <f>"20190312151222189"</f>
        <v>20190312151222189</v>
      </c>
      <c r="B71" t="str">
        <f>"1552374742179051"</f>
        <v>1552374742179051</v>
      </c>
      <c r="C71" t="s">
        <v>40</v>
      </c>
      <c r="D71">
        <v>4.30192</v>
      </c>
      <c r="E71">
        <v>0.50003089999999994</v>
      </c>
      <c r="F71" t="s">
        <v>42</v>
      </c>
      <c r="G71">
        <v>-441.03969999999998</v>
      </c>
      <c r="H71" s="1">
        <v>-4.8312420000000003E-6</v>
      </c>
      <c r="I71">
        <v>366.14830000000001</v>
      </c>
      <c r="J71">
        <v>-470.44560000000001</v>
      </c>
      <c r="K71">
        <v>1.1089230000000001</v>
      </c>
      <c r="L71">
        <v>367.28399999999999</v>
      </c>
      <c r="M71">
        <v>0.99988849999999996</v>
      </c>
      <c r="N71">
        <v>0</v>
      </c>
      <c r="O71">
        <v>1.485797E-2</v>
      </c>
      <c r="P71">
        <v>0.99541789999999997</v>
      </c>
      <c r="Q71">
        <v>8.8863419999999999E-2</v>
      </c>
      <c r="R71">
        <v>-3.5309020000000003E-2</v>
      </c>
      <c r="S71">
        <v>3.019806</v>
      </c>
      <c r="T71">
        <v>-0.1133077</v>
      </c>
      <c r="U71">
        <v>-0.1157837</v>
      </c>
      <c r="V71">
        <v>5.0039739999999999E-2</v>
      </c>
      <c r="W71">
        <v>9.0407100000000004E-2</v>
      </c>
      <c r="X71">
        <v>0.99464699999999995</v>
      </c>
      <c r="Y71">
        <v>5.3108370000000002E-2</v>
      </c>
      <c r="Z71">
        <v>-1.552756E-3</v>
      </c>
      <c r="AA71">
        <v>0.99858749999999996</v>
      </c>
      <c r="AB71">
        <v>16</v>
      </c>
      <c r="AC71">
        <v>29.405899999999999</v>
      </c>
      <c r="AD71">
        <v>-1.1089278312419999</v>
      </c>
      <c r="AE71">
        <v>-1.1356999999999799</v>
      </c>
      <c r="AF71">
        <v>1.57025732604014</v>
      </c>
      <c r="AG71">
        <v>-1.1089278312419999</v>
      </c>
      <c r="AH71">
        <v>29.3441109610424</v>
      </c>
      <c r="AI71">
        <v>92.161115703805905</v>
      </c>
      <c r="AJ71">
        <v>86.936918999997701</v>
      </c>
      <c r="AK71">
        <v>29.4070106794087</v>
      </c>
      <c r="AL71">
        <v>84.812972511841394</v>
      </c>
      <c r="AM71">
        <v>87.119932268749807</v>
      </c>
      <c r="AN71">
        <v>1.00000003695933</v>
      </c>
    </row>
    <row r="72" spans="1:40" x14ac:dyDescent="0.25">
      <c r="A72" t="str">
        <f>"20190312151222212"</f>
        <v>20190312151222212</v>
      </c>
      <c r="B72" t="str">
        <f>"1552374742209307"</f>
        <v>1552374742209307</v>
      </c>
      <c r="C72" t="s">
        <v>40</v>
      </c>
      <c r="D72">
        <v>4.320125</v>
      </c>
      <c r="E72">
        <v>0.50002559999999996</v>
      </c>
      <c r="F72" t="s">
        <v>42</v>
      </c>
      <c r="G72">
        <v>-441.84190000000001</v>
      </c>
      <c r="H72" s="1">
        <v>-4.440305E-6</v>
      </c>
      <c r="I72">
        <v>366.21429999999998</v>
      </c>
      <c r="J72">
        <v>-470.2876</v>
      </c>
      <c r="K72">
        <v>1.10887</v>
      </c>
      <c r="L72">
        <v>367.28660000000002</v>
      </c>
      <c r="M72">
        <v>0.99988319999999997</v>
      </c>
      <c r="N72">
        <v>0</v>
      </c>
      <c r="O72">
        <v>1.520845E-2</v>
      </c>
      <c r="P72">
        <v>0.99546020000000002</v>
      </c>
      <c r="Q72">
        <v>8.8626830000000004E-2</v>
      </c>
      <c r="R72">
        <v>-3.4704810000000003E-2</v>
      </c>
      <c r="S72">
        <v>3.0202939999999998</v>
      </c>
      <c r="T72">
        <v>-0.1170928</v>
      </c>
      <c r="U72">
        <v>-0.11294559999999999</v>
      </c>
      <c r="V72">
        <v>4.979563E-2</v>
      </c>
      <c r="W72">
        <v>9.0163939999999998E-2</v>
      </c>
      <c r="X72">
        <v>0.99468129999999999</v>
      </c>
      <c r="Y72">
        <v>5.2512139999999999E-2</v>
      </c>
      <c r="Z72">
        <v>-1.606386E-3</v>
      </c>
      <c r="AA72">
        <v>0.99861900000000003</v>
      </c>
      <c r="AB72">
        <v>16</v>
      </c>
      <c r="AC72">
        <v>28.445699999999899</v>
      </c>
      <c r="AD72">
        <v>-1.1088744403049999</v>
      </c>
      <c r="AE72">
        <v>-1.07230000000004</v>
      </c>
      <c r="AF72">
        <v>1.5025114958791099</v>
      </c>
      <c r="AG72">
        <v>-1.1088744403049999</v>
      </c>
      <c r="AH72">
        <v>28.383032188585801</v>
      </c>
      <c r="AI72">
        <v>92.234181002823107</v>
      </c>
      <c r="AJ72">
        <v>86.969763951746401</v>
      </c>
      <c r="AK72">
        <v>28.4443959249956</v>
      </c>
      <c r="AL72">
        <v>84.826961570545805</v>
      </c>
      <c r="AM72">
        <v>87.134057352149199</v>
      </c>
      <c r="AN72">
        <v>1.00000001470655</v>
      </c>
    </row>
    <row r="73" spans="1:40" x14ac:dyDescent="0.25">
      <c r="A73" t="str">
        <f>"20190312151222234"</f>
        <v>20190312151222234</v>
      </c>
      <c r="B73" t="str">
        <f>"1552374742229803"</f>
        <v>1552374742229803</v>
      </c>
      <c r="C73" t="s">
        <v>40</v>
      </c>
      <c r="D73">
        <v>4.672739</v>
      </c>
      <c r="E73">
        <v>0.50007159999999995</v>
      </c>
      <c r="F73" t="s">
        <v>42</v>
      </c>
      <c r="G73">
        <v>-442.32339999999999</v>
      </c>
      <c r="H73" s="1">
        <v>-4.204634E-6</v>
      </c>
      <c r="I73">
        <v>366.25990000000002</v>
      </c>
      <c r="J73">
        <v>-470.12349999999998</v>
      </c>
      <c r="K73">
        <v>1.1088370000000001</v>
      </c>
      <c r="L73">
        <v>367.28930000000003</v>
      </c>
      <c r="M73">
        <v>0.99987780000000004</v>
      </c>
      <c r="N73">
        <v>0</v>
      </c>
      <c r="O73">
        <v>1.556021E-2</v>
      </c>
      <c r="P73">
        <v>0.99545070000000002</v>
      </c>
      <c r="Q73">
        <v>8.8880189999999998E-2</v>
      </c>
      <c r="R73">
        <v>-3.4329169999999999E-2</v>
      </c>
      <c r="S73">
        <v>3.0204770000000001</v>
      </c>
      <c r="T73">
        <v>-0.11977210000000001</v>
      </c>
      <c r="U73">
        <v>-0.1109009</v>
      </c>
      <c r="V73">
        <v>4.9774980000000003E-2</v>
      </c>
      <c r="W73">
        <v>9.040898E-2</v>
      </c>
      <c r="X73">
        <v>0.99466010000000005</v>
      </c>
      <c r="Y73">
        <v>5.2183750000000001E-2</v>
      </c>
      <c r="Z73">
        <v>-1.6504670000000001E-3</v>
      </c>
      <c r="AA73">
        <v>0.99863610000000003</v>
      </c>
      <c r="AB73">
        <v>16</v>
      </c>
      <c r="AC73">
        <v>27.800099999999901</v>
      </c>
      <c r="AD73">
        <v>-1.1088412046339999</v>
      </c>
      <c r="AE73">
        <v>-1.0294000000000001</v>
      </c>
      <c r="AF73">
        <v>1.4595324493808</v>
      </c>
      <c r="AG73">
        <v>-1.1088412046339999</v>
      </c>
      <c r="AH73">
        <v>27.736650474691199</v>
      </c>
      <c r="AI73">
        <v>92.286161805590197</v>
      </c>
      <c r="AJ73">
        <v>86.987812491404</v>
      </c>
      <c r="AK73">
        <v>27.7971499140303</v>
      </c>
      <c r="AL73">
        <v>84.812864282400895</v>
      </c>
      <c r="AM73">
        <v>87.135182906947705</v>
      </c>
      <c r="AN73">
        <v>1.0000000234153199</v>
      </c>
    </row>
    <row r="74" spans="1:40" x14ac:dyDescent="0.25">
      <c r="A74" t="str">
        <f>"20190312151222257"</f>
        <v>20190312151222257</v>
      </c>
      <c r="B74" t="str">
        <f>"1552374742249323"</f>
        <v>1552374742249323</v>
      </c>
      <c r="C74" t="s">
        <v>40</v>
      </c>
      <c r="D74">
        <v>4.324872</v>
      </c>
      <c r="E74">
        <v>0.50008679999999905</v>
      </c>
      <c r="F74" t="s">
        <v>42</v>
      </c>
      <c r="G74">
        <v>-441.95139999999998</v>
      </c>
      <c r="H74" s="1">
        <v>-4.3800649999999999E-6</v>
      </c>
      <c r="I74">
        <v>366.26209999999998</v>
      </c>
      <c r="J74">
        <v>-469.96190000000001</v>
      </c>
      <c r="K74">
        <v>1.108841</v>
      </c>
      <c r="L74">
        <v>367.2921</v>
      </c>
      <c r="M74">
        <v>0.99987289999999995</v>
      </c>
      <c r="N74">
        <v>0</v>
      </c>
      <c r="O74">
        <v>1.5873310000000002E-2</v>
      </c>
      <c r="P74">
        <v>0.9954731</v>
      </c>
      <c r="Q74">
        <v>8.8808609999999996E-2</v>
      </c>
      <c r="R74">
        <v>-3.3854490000000001E-2</v>
      </c>
      <c r="S74">
        <v>3.0205380000000002</v>
      </c>
      <c r="T74">
        <v>-0.1188874</v>
      </c>
      <c r="U74">
        <v>-0.1101379</v>
      </c>
      <c r="V74">
        <v>4.9613280000000003E-2</v>
      </c>
      <c r="W74">
        <v>9.032635E-2</v>
      </c>
      <c r="X74">
        <v>0.99467559999999999</v>
      </c>
      <c r="Y74">
        <v>5.2244319999999997E-2</v>
      </c>
      <c r="Z74">
        <v>-1.651766E-3</v>
      </c>
      <c r="AA74">
        <v>0.99863299999999999</v>
      </c>
      <c r="AB74">
        <v>16</v>
      </c>
      <c r="AC74">
        <v>28.0105</v>
      </c>
      <c r="AD74">
        <v>-1.108845380065</v>
      </c>
      <c r="AE74">
        <v>-1.03000000000002</v>
      </c>
      <c r="AF74">
        <v>1.4721861084799099</v>
      </c>
      <c r="AG74">
        <v>-1.108845380065</v>
      </c>
      <c r="AH74">
        <v>27.9468846708372</v>
      </c>
      <c r="AI74">
        <v>92.268983649559004</v>
      </c>
      <c r="AJ74">
        <v>86.984559878386193</v>
      </c>
      <c r="AK74">
        <v>28.007592413843199</v>
      </c>
      <c r="AL74">
        <v>84.817617639750907</v>
      </c>
      <c r="AM74">
        <v>87.144518604833195</v>
      </c>
      <c r="AN74">
        <v>0.99999993814601795</v>
      </c>
    </row>
    <row r="75" spans="1:40" x14ac:dyDescent="0.25">
      <c r="A75" t="str">
        <f>"20190312151222278"</f>
        <v>20190312151222278</v>
      </c>
      <c r="B75" t="str">
        <f>"1552374742269819"</f>
        <v>1552374742269819</v>
      </c>
      <c r="C75" t="s">
        <v>40</v>
      </c>
      <c r="D75">
        <v>4.4772239999999996</v>
      </c>
      <c r="E75">
        <v>0.50017630000000002</v>
      </c>
      <c r="F75" t="s">
        <v>42</v>
      </c>
      <c r="G75">
        <v>-442.40980000000002</v>
      </c>
      <c r="H75" s="1">
        <v>-4.1567380000000001E-6</v>
      </c>
      <c r="I75">
        <v>366.2998</v>
      </c>
      <c r="J75">
        <v>-469.79919999999998</v>
      </c>
      <c r="K75">
        <v>1.1088629999999999</v>
      </c>
      <c r="L75">
        <v>367.29489999999998</v>
      </c>
      <c r="M75">
        <v>0.99986830000000004</v>
      </c>
      <c r="N75">
        <v>0</v>
      </c>
      <c r="O75">
        <v>1.6162289999999999E-2</v>
      </c>
      <c r="P75">
        <v>0.99546599999999996</v>
      </c>
      <c r="Q75">
        <v>8.8878650000000003E-2</v>
      </c>
      <c r="R75">
        <v>-3.3883299999999998E-2</v>
      </c>
      <c r="S75">
        <v>3.0207519999999999</v>
      </c>
      <c r="T75">
        <v>-0.1215711</v>
      </c>
      <c r="U75">
        <v>-0.10879519999999999</v>
      </c>
      <c r="V75">
        <v>4.9928019999999997E-2</v>
      </c>
      <c r="W75">
        <v>9.0388090000000004E-2</v>
      </c>
      <c r="X75">
        <v>0.99465429999999999</v>
      </c>
      <c r="Y75">
        <v>5.2084539999999999E-2</v>
      </c>
      <c r="Z75">
        <v>-1.697325E-3</v>
      </c>
      <c r="AA75">
        <v>0.99864129999999995</v>
      </c>
      <c r="AB75">
        <v>16</v>
      </c>
      <c r="AC75">
        <v>27.389399999999899</v>
      </c>
      <c r="AD75">
        <v>-1.108867156738</v>
      </c>
      <c r="AE75">
        <v>-0.995099999999979</v>
      </c>
      <c r="AF75">
        <v>1.4352964946292599</v>
      </c>
      <c r="AG75">
        <v>-1.108867156738</v>
      </c>
      <c r="AH75">
        <v>27.325011117362099</v>
      </c>
      <c r="AI75">
        <v>92.320630168897495</v>
      </c>
      <c r="AJ75">
        <v>86.993197034668498</v>
      </c>
      <c r="AK75">
        <v>27.385140039129801</v>
      </c>
      <c r="AL75">
        <v>84.814065965437706</v>
      </c>
      <c r="AM75">
        <v>87.126372646617497</v>
      </c>
      <c r="AN75">
        <v>0.999999995251729</v>
      </c>
    </row>
    <row r="76" spans="1:40" x14ac:dyDescent="0.25">
      <c r="A76" t="str">
        <f>"20190312151222303"</f>
        <v>20190312151222303</v>
      </c>
      <c r="B76" t="str">
        <f>"1552374742299101"</f>
        <v>1552374742299101</v>
      </c>
      <c r="C76" t="s">
        <v>40</v>
      </c>
      <c r="D76">
        <v>4.3516599999999999</v>
      </c>
      <c r="E76">
        <v>0.50034409999999996</v>
      </c>
      <c r="F76" t="s">
        <v>42</v>
      </c>
      <c r="G76">
        <v>-442.19400000000002</v>
      </c>
      <c r="H76" s="1">
        <v>-4.259997E-6</v>
      </c>
      <c r="I76">
        <v>366.29259999999999</v>
      </c>
      <c r="J76">
        <v>-469.62150000000003</v>
      </c>
      <c r="K76">
        <v>1.108889</v>
      </c>
      <c r="L76">
        <v>367.29820000000001</v>
      </c>
      <c r="M76">
        <v>0.99986339999999996</v>
      </c>
      <c r="N76">
        <v>0</v>
      </c>
      <c r="O76">
        <v>1.6463120000000001E-2</v>
      </c>
      <c r="P76">
        <v>0.99549370000000004</v>
      </c>
      <c r="Q76">
        <v>8.8486570000000001E-2</v>
      </c>
      <c r="R76">
        <v>-3.4096920000000003E-2</v>
      </c>
      <c r="S76">
        <v>3.0207820000000001</v>
      </c>
      <c r="T76">
        <v>-0.12134109999999999</v>
      </c>
      <c r="U76">
        <v>-0.10968020000000001</v>
      </c>
      <c r="V76">
        <v>5.0440060000000002E-2</v>
      </c>
      <c r="W76">
        <v>8.9996309999999996E-2</v>
      </c>
      <c r="X76">
        <v>0.99466399999999999</v>
      </c>
      <c r="Y76">
        <v>5.2676319999999999E-2</v>
      </c>
      <c r="Z76">
        <v>-1.718044E-3</v>
      </c>
      <c r="AA76">
        <v>0.99861009999999995</v>
      </c>
      <c r="AB76">
        <v>16</v>
      </c>
      <c r="AC76">
        <v>27.427499999999998</v>
      </c>
      <c r="AD76">
        <v>-1.1088932599970001</v>
      </c>
      <c r="AE76">
        <v>-1.00560000000001</v>
      </c>
      <c r="AF76">
        <v>1.4546318979802899</v>
      </c>
      <c r="AG76">
        <v>-1.1088932599970001</v>
      </c>
      <c r="AH76">
        <v>27.3625611707016</v>
      </c>
      <c r="AI76">
        <v>92.317426092873404</v>
      </c>
      <c r="AJ76">
        <v>86.956941025084603</v>
      </c>
      <c r="AK76">
        <v>27.423627623658302</v>
      </c>
      <c r="AL76">
        <v>84.836605213686198</v>
      </c>
      <c r="AM76">
        <v>87.096980397230993</v>
      </c>
      <c r="AN76">
        <v>1.0000000041812001</v>
      </c>
    </row>
    <row r="77" spans="1:40" x14ac:dyDescent="0.25">
      <c r="A77" t="str">
        <f>"20190312151222325"</f>
        <v>20190312151222325</v>
      </c>
      <c r="B77" t="str">
        <f>"1552374742319595"</f>
        <v>1552374742319595</v>
      </c>
      <c r="C77" t="s">
        <v>40</v>
      </c>
      <c r="D77">
        <v>4.7212589999999999</v>
      </c>
      <c r="E77">
        <v>0.50044259999999996</v>
      </c>
      <c r="F77" t="s">
        <v>42</v>
      </c>
      <c r="G77">
        <v>-442.07769999999999</v>
      </c>
      <c r="H77" s="1">
        <v>-4.3174270000000001E-6</v>
      </c>
      <c r="I77">
        <v>366.27879999999999</v>
      </c>
      <c r="J77">
        <v>-469.45269999999999</v>
      </c>
      <c r="K77">
        <v>1.1089119999999999</v>
      </c>
      <c r="L77">
        <v>367.30130000000003</v>
      </c>
      <c r="M77">
        <v>0.99985880000000005</v>
      </c>
      <c r="N77">
        <v>0</v>
      </c>
      <c r="O77">
        <v>1.6741829999999999E-2</v>
      </c>
      <c r="P77">
        <v>0.9955176</v>
      </c>
      <c r="Q77">
        <v>8.8248699999999999E-2</v>
      </c>
      <c r="R77">
        <v>-3.4016600000000001E-2</v>
      </c>
      <c r="S77">
        <v>3.0205380000000002</v>
      </c>
      <c r="T77">
        <v>-0.12160459999999999</v>
      </c>
      <c r="U77">
        <v>-0.11178589999999999</v>
      </c>
      <c r="V77">
        <v>5.0637649999999999E-2</v>
      </c>
      <c r="W77">
        <v>8.9767879999999994E-2</v>
      </c>
      <c r="X77">
        <v>0.99467459999999996</v>
      </c>
      <c r="Y77">
        <v>5.3651539999999998E-2</v>
      </c>
      <c r="Z77">
        <v>-1.7527179999999999E-3</v>
      </c>
      <c r="AA77">
        <v>0.99855819999999995</v>
      </c>
      <c r="AB77">
        <v>17</v>
      </c>
      <c r="AC77">
        <v>27.375</v>
      </c>
      <c r="AD77">
        <v>-1.108916317427</v>
      </c>
      <c r="AE77">
        <v>-1.0225000000000299</v>
      </c>
      <c r="AF77">
        <v>1.47824245875284</v>
      </c>
      <c r="AG77">
        <v>-1.108916317427</v>
      </c>
      <c r="AH77">
        <v>27.3092946007805</v>
      </c>
      <c r="AI77">
        <v>92.321869371055001</v>
      </c>
      <c r="AJ77">
        <v>86.901623457253507</v>
      </c>
      <c r="AK77">
        <v>27.371745793027799</v>
      </c>
      <c r="AL77">
        <v>84.849746467111302</v>
      </c>
      <c r="AM77">
        <v>87.085658903292099</v>
      </c>
      <c r="AN77">
        <v>1.0000000018811801</v>
      </c>
    </row>
    <row r="78" spans="1:40" x14ac:dyDescent="0.25">
      <c r="A78" t="str">
        <f>"20190312151222347"</f>
        <v>20190312151222347</v>
      </c>
      <c r="B78" t="str">
        <f>"1552374742339115"</f>
        <v>1552374742339115</v>
      </c>
      <c r="C78" t="s">
        <v>40</v>
      </c>
      <c r="D78">
        <v>4.3578330000000003</v>
      </c>
      <c r="E78">
        <v>0.50051869999999998</v>
      </c>
      <c r="F78" t="s">
        <v>42</v>
      </c>
      <c r="G78">
        <v>-442.13069999999999</v>
      </c>
      <c r="H78" s="1">
        <v>-4.2912880000000004E-6</v>
      </c>
      <c r="I78">
        <v>366.28489999999999</v>
      </c>
      <c r="J78">
        <v>-469.286</v>
      </c>
      <c r="K78">
        <v>1.108924</v>
      </c>
      <c r="L78">
        <v>367.30439999999999</v>
      </c>
      <c r="M78">
        <v>0.99985429999999997</v>
      </c>
      <c r="N78">
        <v>0</v>
      </c>
      <c r="O78">
        <v>1.7009730000000001E-2</v>
      </c>
      <c r="P78">
        <v>0.99553139999999996</v>
      </c>
      <c r="Q78">
        <v>8.8181640000000006E-2</v>
      </c>
      <c r="R78">
        <v>-3.3786959999999998E-2</v>
      </c>
      <c r="S78">
        <v>3.0205690000000001</v>
      </c>
      <c r="T78">
        <v>-0.1225958</v>
      </c>
      <c r="U78">
        <v>-0.1123657</v>
      </c>
      <c r="V78">
        <v>5.0676409999999998E-2</v>
      </c>
      <c r="W78">
        <v>8.9714680000000005E-2</v>
      </c>
      <c r="X78">
        <v>0.99467740000000004</v>
      </c>
      <c r="Y78">
        <v>5.4108610000000001E-2</v>
      </c>
      <c r="Z78">
        <v>-1.7871040000000001E-3</v>
      </c>
      <c r="AA78">
        <v>0.99853340000000002</v>
      </c>
      <c r="AB78">
        <v>17</v>
      </c>
      <c r="AC78">
        <v>27.1553</v>
      </c>
      <c r="AD78">
        <v>-1.1089282912880001</v>
      </c>
      <c r="AE78">
        <v>-1.0194999999999901</v>
      </c>
      <c r="AF78">
        <v>1.4787946965149901</v>
      </c>
      <c r="AG78">
        <v>-1.1089282912880001</v>
      </c>
      <c r="AH78">
        <v>27.088919331325101</v>
      </c>
      <c r="AI78">
        <v>92.340704303269604</v>
      </c>
      <c r="AJ78">
        <v>86.875302515684993</v>
      </c>
      <c r="AK78">
        <v>27.151907967004799</v>
      </c>
      <c r="AL78">
        <v>84.852806818769196</v>
      </c>
      <c r="AM78">
        <v>87.083440200784096</v>
      </c>
      <c r="AN78">
        <v>0.99999997620437497</v>
      </c>
    </row>
    <row r="79" spans="1:40" x14ac:dyDescent="0.25">
      <c r="A79" t="str">
        <f>"20190312151222368"</f>
        <v>20190312151222368</v>
      </c>
      <c r="B79" t="str">
        <f>"1552374742359612"</f>
        <v>1552374742359612</v>
      </c>
      <c r="C79" t="s">
        <v>40</v>
      </c>
      <c r="D79">
        <v>4.4182550000000003</v>
      </c>
      <c r="E79">
        <v>0.50064220000000004</v>
      </c>
      <c r="F79" t="s">
        <v>42</v>
      </c>
      <c r="G79">
        <v>-441.6694</v>
      </c>
      <c r="H79" s="1">
        <v>-4.5109570000000004E-6</v>
      </c>
      <c r="I79">
        <v>366.27589999999998</v>
      </c>
      <c r="J79">
        <v>-469.12040000000002</v>
      </c>
      <c r="K79">
        <v>1.108927</v>
      </c>
      <c r="L79">
        <v>367.30759999999998</v>
      </c>
      <c r="M79">
        <v>0.99984969999999995</v>
      </c>
      <c r="N79">
        <v>0</v>
      </c>
      <c r="O79">
        <v>1.7270299999999999E-2</v>
      </c>
      <c r="P79">
        <v>0.99549739999999998</v>
      </c>
      <c r="Q79">
        <v>8.8640330000000003E-2</v>
      </c>
      <c r="R79">
        <v>-3.3582529999999999E-2</v>
      </c>
      <c r="S79">
        <v>3.0203549999999999</v>
      </c>
      <c r="T79">
        <v>-0.121280399999999</v>
      </c>
      <c r="U79">
        <v>-0.1124878</v>
      </c>
      <c r="V79">
        <v>5.0733109999999998E-2</v>
      </c>
      <c r="W79">
        <v>9.0188169999999998E-2</v>
      </c>
      <c r="X79">
        <v>0.99463170000000001</v>
      </c>
      <c r="Y79">
        <v>5.4412540000000002E-2</v>
      </c>
      <c r="Z79">
        <v>-1.784622E-3</v>
      </c>
      <c r="AA79">
        <v>0.99851690000000004</v>
      </c>
      <c r="AB79">
        <v>17</v>
      </c>
      <c r="AC79">
        <v>27.451000000000001</v>
      </c>
      <c r="AD79">
        <v>-1.1089315109569999</v>
      </c>
      <c r="AE79">
        <v>-1.0317000000000001</v>
      </c>
      <c r="AF79">
        <v>1.5031840992891601</v>
      </c>
      <c r="AG79">
        <v>-1.1089315109569999</v>
      </c>
      <c r="AH79">
        <v>27.3844624579799</v>
      </c>
      <c r="AI79">
        <v>92.315438871865595</v>
      </c>
      <c r="AJ79">
        <v>86.858081174920301</v>
      </c>
      <c r="AK79">
        <v>27.448097851123698</v>
      </c>
      <c r="AL79">
        <v>84.825567468545998</v>
      </c>
      <c r="AM79">
        <v>87.080048687547702</v>
      </c>
      <c r="AN79">
        <v>0.99999998655155498</v>
      </c>
    </row>
    <row r="80" spans="1:40" x14ac:dyDescent="0.25">
      <c r="A80" t="str">
        <f>"20190312151222390"</f>
        <v>20190312151222390</v>
      </c>
      <c r="B80" t="str">
        <f>"1552374742379131"</f>
        <v>1552374742379131</v>
      </c>
      <c r="C80" t="s">
        <v>40</v>
      </c>
      <c r="D80">
        <v>4.6698120000000003</v>
      </c>
      <c r="E80">
        <v>0.50072649999999996</v>
      </c>
      <c r="F80" t="s">
        <v>42</v>
      </c>
      <c r="G80">
        <v>-440.96530000000001</v>
      </c>
      <c r="H80" s="1">
        <v>-4.8468150000000001E-6</v>
      </c>
      <c r="I80">
        <v>366.25869999999998</v>
      </c>
      <c r="J80">
        <v>-468.94369999999998</v>
      </c>
      <c r="K80">
        <v>1.108927</v>
      </c>
      <c r="L80">
        <v>367.31099999999998</v>
      </c>
      <c r="M80">
        <v>0.99984499999999998</v>
      </c>
      <c r="N80">
        <v>0</v>
      </c>
      <c r="O80">
        <v>1.7543610000000001E-2</v>
      </c>
      <c r="P80">
        <v>0.99549480000000001</v>
      </c>
      <c r="Q80">
        <v>8.9072869999999998E-2</v>
      </c>
      <c r="R80">
        <v>-3.2502900000000001E-2</v>
      </c>
      <c r="S80">
        <v>3.0203549999999999</v>
      </c>
      <c r="T80">
        <v>-0.1189616</v>
      </c>
      <c r="U80">
        <v>-0.1125183</v>
      </c>
      <c r="V80">
        <v>4.9928519999999997E-2</v>
      </c>
      <c r="W80">
        <v>9.0636939999999999E-2</v>
      </c>
      <c r="X80">
        <v>0.99463159999999895</v>
      </c>
      <c r="Y80">
        <v>5.4697320000000001E-2</v>
      </c>
      <c r="Z80">
        <v>-1.7668880000000001E-3</v>
      </c>
      <c r="AA80">
        <v>0.99850139999999998</v>
      </c>
      <c r="AB80">
        <v>17</v>
      </c>
      <c r="AC80">
        <v>27.978399999999901</v>
      </c>
      <c r="AD80">
        <v>-1.108931846815</v>
      </c>
      <c r="AE80">
        <v>-1.0523</v>
      </c>
      <c r="AF80">
        <v>1.5405639878542801</v>
      </c>
      <c r="AG80">
        <v>-1.108931846815</v>
      </c>
      <c r="AH80">
        <v>27.9118465898073</v>
      </c>
      <c r="AI80">
        <v>92.271698850600103</v>
      </c>
      <c r="AJ80">
        <v>86.840827220506199</v>
      </c>
      <c r="AK80">
        <v>27.976315827758501</v>
      </c>
      <c r="AL80">
        <v>84.799748991340195</v>
      </c>
      <c r="AM80">
        <v>87.126278443009596</v>
      </c>
      <c r="AN80">
        <v>0.99999996586025597</v>
      </c>
    </row>
    <row r="81" spans="1:40" x14ac:dyDescent="0.25">
      <c r="A81" t="str">
        <f>"20190312151222413"</f>
        <v>20190312151222413</v>
      </c>
      <c r="B81" t="str">
        <f>"1552374742409388"</f>
        <v>1552374742409388</v>
      </c>
      <c r="C81" t="s">
        <v>40</v>
      </c>
      <c r="D81">
        <v>4.3585789999999998</v>
      </c>
      <c r="E81">
        <v>0.50082280000000001</v>
      </c>
      <c r="F81" t="s">
        <v>42</v>
      </c>
      <c r="G81">
        <v>-440.26130000000001</v>
      </c>
      <c r="H81" s="1">
        <v>-5.1784250000000003E-6</v>
      </c>
      <c r="I81">
        <v>366.2654</v>
      </c>
      <c r="J81">
        <v>-468.76929999999999</v>
      </c>
      <c r="K81">
        <v>1.1089290000000001</v>
      </c>
      <c r="L81">
        <v>367.31450000000001</v>
      </c>
      <c r="M81">
        <v>0.99984309999999998</v>
      </c>
      <c r="N81">
        <v>0</v>
      </c>
      <c r="O81">
        <v>1.765063E-2</v>
      </c>
      <c r="P81">
        <v>0.99555490000000002</v>
      </c>
      <c r="Q81">
        <v>8.8558960000000006E-2</v>
      </c>
      <c r="R81">
        <v>-3.206113E-2</v>
      </c>
      <c r="S81">
        <v>3.0203859999999998</v>
      </c>
      <c r="T81">
        <v>-0.11677559999999999</v>
      </c>
      <c r="U81">
        <v>-0.11010739999999899</v>
      </c>
      <c r="V81">
        <v>4.9595689999999998E-2</v>
      </c>
      <c r="W81">
        <v>9.0073239999999999E-2</v>
      </c>
      <c r="X81">
        <v>0.99469949999999996</v>
      </c>
      <c r="Y81">
        <v>5.4010330000000002E-2</v>
      </c>
      <c r="Z81">
        <v>-1.725316E-3</v>
      </c>
      <c r="AA81">
        <v>0.99853890000000001</v>
      </c>
      <c r="AB81">
        <v>17</v>
      </c>
      <c r="AC81">
        <v>28.5079999999999</v>
      </c>
      <c r="AD81">
        <v>-1.108934178425</v>
      </c>
      <c r="AE81">
        <v>-1.0491000000000099</v>
      </c>
      <c r="AF81">
        <v>1.5497794313854401</v>
      </c>
      <c r="AG81">
        <v>-1.108934178425</v>
      </c>
      <c r="AH81">
        <v>28.442063075830301</v>
      </c>
      <c r="AI81">
        <v>92.229483538296094</v>
      </c>
      <c r="AJ81">
        <v>86.881094848222403</v>
      </c>
      <c r="AK81">
        <v>28.505832794492001</v>
      </c>
      <c r="AL81">
        <v>84.832179495434204</v>
      </c>
      <c r="AM81">
        <v>87.145597790719407</v>
      </c>
      <c r="AN81">
        <v>1.0000000081654601</v>
      </c>
    </row>
    <row r="82" spans="1:40" x14ac:dyDescent="0.25">
      <c r="A82" t="str">
        <f>"20190312151222436"</f>
        <v>20190312151222436</v>
      </c>
      <c r="B82" t="str">
        <f>"1552374742429883"</f>
        <v>1552374742429883</v>
      </c>
      <c r="C82" t="s">
        <v>40</v>
      </c>
      <c r="D82">
        <v>4.3566880000000001</v>
      </c>
      <c r="E82">
        <v>0.50088619999999995</v>
      </c>
      <c r="F82" t="s">
        <v>42</v>
      </c>
      <c r="G82">
        <v>-440.13330000000002</v>
      </c>
      <c r="H82" s="1">
        <v>-5.2372550000000001E-6</v>
      </c>
      <c r="I82">
        <v>366.27480000000003</v>
      </c>
      <c r="J82">
        <v>-468.58440000000002</v>
      </c>
      <c r="K82">
        <v>1.1088469999999999</v>
      </c>
      <c r="L82">
        <v>367.31819999999999</v>
      </c>
      <c r="M82">
        <v>0.99984399999999996</v>
      </c>
      <c r="N82">
        <v>0</v>
      </c>
      <c r="O82">
        <v>1.760486E-2</v>
      </c>
      <c r="P82">
        <v>0.99557419999999996</v>
      </c>
      <c r="Q82">
        <v>8.8353249999999994E-2</v>
      </c>
      <c r="R82">
        <v>-3.2031780000000003E-2</v>
      </c>
      <c r="S82">
        <v>3.0202640000000001</v>
      </c>
      <c r="T82">
        <v>-0.1169602</v>
      </c>
      <c r="U82">
        <v>-0.1096497</v>
      </c>
      <c r="V82">
        <v>4.9529770000000001E-2</v>
      </c>
      <c r="W82">
        <v>8.9753139999999995E-2</v>
      </c>
      <c r="X82">
        <v>0.9947317</v>
      </c>
      <c r="Y82">
        <v>5.3814960000000002E-2</v>
      </c>
      <c r="Z82">
        <v>-1.7225630000000001E-3</v>
      </c>
      <c r="AA82">
        <v>0.99854949999999998</v>
      </c>
      <c r="AB82">
        <v>18</v>
      </c>
      <c r="AC82">
        <v>28.4511</v>
      </c>
      <c r="AD82">
        <v>-1.10885223725499</v>
      </c>
      <c r="AE82">
        <v>-1.0433999999999599</v>
      </c>
      <c r="AF82">
        <v>1.5417776717707099</v>
      </c>
      <c r="AG82">
        <v>-1.10885223725499</v>
      </c>
      <c r="AH82">
        <v>28.385263323694499</v>
      </c>
      <c r="AI82">
        <v>92.233796306613499</v>
      </c>
      <c r="AJ82">
        <v>86.890970015145498</v>
      </c>
      <c r="AK82">
        <v>28.448722390095401</v>
      </c>
      <c r="AL82">
        <v>84.850594366498498</v>
      </c>
      <c r="AM82">
        <v>87.149477574898796</v>
      </c>
      <c r="AN82">
        <v>0.99999998962050096</v>
      </c>
    </row>
    <row r="83" spans="1:40" x14ac:dyDescent="0.25">
      <c r="A83" t="str">
        <f>"20190312151222458"</f>
        <v>20190312151222458</v>
      </c>
      <c r="B83" t="str">
        <f>"1552374742449404"</f>
        <v>1552374742449404</v>
      </c>
      <c r="C83" t="s">
        <v>40</v>
      </c>
      <c r="D83">
        <v>4.3407390000000001</v>
      </c>
      <c r="E83">
        <v>0.50077709999999998</v>
      </c>
      <c r="F83" t="s">
        <v>43</v>
      </c>
      <c r="G83">
        <v>-438.65750000000003</v>
      </c>
      <c r="H83">
        <v>-0.05</v>
      </c>
      <c r="I83">
        <v>366.23289999999997</v>
      </c>
      <c r="J83">
        <v>-468.41329999999999</v>
      </c>
      <c r="K83">
        <v>1.108692</v>
      </c>
      <c r="L83">
        <v>367.32170000000002</v>
      </c>
      <c r="M83">
        <v>0.99983759999999999</v>
      </c>
      <c r="N83">
        <v>0</v>
      </c>
      <c r="O83">
        <v>1.7963969999999999E-2</v>
      </c>
      <c r="P83">
        <v>0.99560760000000004</v>
      </c>
      <c r="Q83">
        <v>8.7950470000000003E-2</v>
      </c>
      <c r="R83">
        <v>-3.210056E-2</v>
      </c>
      <c r="S83">
        <v>3.0202330000000002</v>
      </c>
      <c r="T83">
        <v>-0.11695129999999999</v>
      </c>
      <c r="U83">
        <v>-0.1095276</v>
      </c>
      <c r="V83">
        <v>4.998491E-2</v>
      </c>
      <c r="W83">
        <v>8.939648E-2</v>
      </c>
      <c r="X83">
        <v>0.99474110000000004</v>
      </c>
      <c r="Y83">
        <v>5.413316E-2</v>
      </c>
      <c r="Z83">
        <v>-1.7425050000000001E-3</v>
      </c>
      <c r="AA83">
        <v>0.99853219999999998</v>
      </c>
      <c r="AB83">
        <v>18</v>
      </c>
      <c r="AC83">
        <v>29.755799999999901</v>
      </c>
      <c r="AD83">
        <v>-1.1586920000000001</v>
      </c>
      <c r="AE83">
        <v>-1.08880000000004</v>
      </c>
      <c r="AF83">
        <v>1.6207029279299301</v>
      </c>
      <c r="AG83">
        <v>-1.1586920000000001</v>
      </c>
      <c r="AH83">
        <v>29.686485033614101</v>
      </c>
      <c r="AI83">
        <v>92.231854507277205</v>
      </c>
      <c r="AJ83">
        <v>86.875098339946405</v>
      </c>
      <c r="AK83">
        <v>29.753262657773501</v>
      </c>
      <c r="AL83">
        <v>84.871112211942403</v>
      </c>
      <c r="AM83">
        <v>87.1233544303212</v>
      </c>
      <c r="AN83">
        <v>1.0000000389466499</v>
      </c>
    </row>
    <row r="84" spans="1:40" x14ac:dyDescent="0.25">
      <c r="A84" t="str">
        <f>"20190312151222481"</f>
        <v>20190312151222481</v>
      </c>
      <c r="B84" t="str">
        <f>"1552374742469900"</f>
        <v>1552374742469900</v>
      </c>
      <c r="C84" t="s">
        <v>40</v>
      </c>
      <c r="D84">
        <v>4.329523</v>
      </c>
      <c r="E84">
        <v>0.48269210000000001</v>
      </c>
      <c r="F84" t="s">
        <v>42</v>
      </c>
      <c r="G84">
        <v>-440.00380000000001</v>
      </c>
      <c r="H84" s="1">
        <v>-5.2945860000000001E-6</v>
      </c>
      <c r="I84">
        <v>366.29680000000002</v>
      </c>
      <c r="J84">
        <v>-468.22519999999997</v>
      </c>
      <c r="K84">
        <v>1.108541</v>
      </c>
      <c r="L84">
        <v>367.3254</v>
      </c>
      <c r="M84">
        <v>0.99982360000000003</v>
      </c>
      <c r="N84">
        <v>0</v>
      </c>
      <c r="O84">
        <v>1.8713029999999999E-2</v>
      </c>
      <c r="P84">
        <v>0.99567709999999998</v>
      </c>
      <c r="Q84">
        <v>8.7474850000000007E-2</v>
      </c>
      <c r="R84">
        <v>-3.1234000000000001E-2</v>
      </c>
      <c r="S84">
        <v>3.0201419999999999</v>
      </c>
      <c r="T84">
        <v>-0.1178628</v>
      </c>
      <c r="U84">
        <v>-0.1089478</v>
      </c>
      <c r="V84">
        <v>4.989358E-2</v>
      </c>
      <c r="W84">
        <v>8.9041229999999999E-2</v>
      </c>
      <c r="X84">
        <v>0.99477749999999998</v>
      </c>
      <c r="Y84">
        <v>5.4689059999999998E-2</v>
      </c>
      <c r="Z84">
        <v>-1.7961870000000001E-3</v>
      </c>
      <c r="AA84">
        <v>0.99850179999999999</v>
      </c>
      <c r="AB84">
        <v>18</v>
      </c>
      <c r="AC84">
        <v>28.2213999999999</v>
      </c>
      <c r="AD84">
        <v>-1.1085462945860001</v>
      </c>
      <c r="AE84">
        <v>-1.02859999999998</v>
      </c>
      <c r="AF84">
        <v>1.5541337143644001</v>
      </c>
      <c r="AG84">
        <v>-1.1085462945860001</v>
      </c>
      <c r="AH84">
        <v>28.1538278677845</v>
      </c>
      <c r="AI84">
        <v>92.251410688428194</v>
      </c>
      <c r="AJ84">
        <v>86.840393370796306</v>
      </c>
      <c r="AK84">
        <v>28.218473206362599</v>
      </c>
      <c r="AL84">
        <v>84.891547794787897</v>
      </c>
      <c r="AM84">
        <v>87.128706585001495</v>
      </c>
      <c r="AN84">
        <v>0.99999999223568903</v>
      </c>
    </row>
    <row r="85" spans="1:40" x14ac:dyDescent="0.25">
      <c r="A85" t="str">
        <f>"20190312151222502"</f>
        <v>20190312151222502</v>
      </c>
      <c r="B85" t="str">
        <f>"1552374742499180"</f>
        <v>1552374742499180</v>
      </c>
      <c r="C85" t="s">
        <v>40</v>
      </c>
      <c r="D85">
        <v>4.5544529999999996</v>
      </c>
      <c r="E85">
        <v>0.48128019999999999</v>
      </c>
      <c r="F85" t="s">
        <v>42</v>
      </c>
      <c r="G85">
        <v>-445.65910000000002</v>
      </c>
      <c r="H85" s="1">
        <v>-2.3894229999999999E-6</v>
      </c>
      <c r="I85">
        <v>367.60390000000001</v>
      </c>
      <c r="J85">
        <v>-468.05029999999999</v>
      </c>
      <c r="K85">
        <v>1.1084769999999999</v>
      </c>
      <c r="L85">
        <v>367.32889999999998</v>
      </c>
      <c r="M85">
        <v>0.99981109999999895</v>
      </c>
      <c r="N85">
        <v>0</v>
      </c>
      <c r="O85">
        <v>1.9372339999999998E-2</v>
      </c>
      <c r="P85">
        <v>0.99573210000000001</v>
      </c>
      <c r="Q85">
        <v>8.6948800000000007E-2</v>
      </c>
      <c r="R85">
        <v>-3.0950800000000001E-2</v>
      </c>
      <c r="S85">
        <v>3.0272519999999998</v>
      </c>
      <c r="T85">
        <v>-0.14871139999999999</v>
      </c>
      <c r="U85">
        <v>3.7353520000000001E-2</v>
      </c>
      <c r="V85">
        <v>5.0272369999999997E-2</v>
      </c>
      <c r="W85">
        <v>8.8553939999999998E-2</v>
      </c>
      <c r="X85">
        <v>0.99480190000000002</v>
      </c>
      <c r="Y85">
        <v>7.003268E-3</v>
      </c>
      <c r="Z85">
        <v>-1.122875E-3</v>
      </c>
      <c r="AA85">
        <v>0.99997480000000005</v>
      </c>
      <c r="AB85">
        <v>18</v>
      </c>
      <c r="AC85">
        <v>22.391199999999898</v>
      </c>
      <c r="AD85">
        <v>-1.1084793894229901</v>
      </c>
      <c r="AE85">
        <v>0.275000000000034</v>
      </c>
      <c r="AF85">
        <v>0.15843385903222201</v>
      </c>
      <c r="AG85">
        <v>-1.1084793894229901</v>
      </c>
      <c r="AH85">
        <v>22.337589645959401</v>
      </c>
      <c r="AI85">
        <v>92.840841030476895</v>
      </c>
      <c r="AJ85">
        <v>89.593624944203</v>
      </c>
      <c r="AK85">
        <v>22.365637460974298</v>
      </c>
      <c r="AL85">
        <v>84.919578050007502</v>
      </c>
      <c r="AM85">
        <v>87.107015576453705</v>
      </c>
      <c r="AN85">
        <v>0.99999996585927398</v>
      </c>
    </row>
    <row r="86" spans="1:40" x14ac:dyDescent="0.25">
      <c r="A86" t="str">
        <f>"20190312151222527"</f>
        <v>20190312151222527</v>
      </c>
      <c r="B86" t="str">
        <f>"1552374742519675"</f>
        <v>1552374742519675</v>
      </c>
      <c r="C86" t="s">
        <v>40</v>
      </c>
      <c r="D86">
        <v>4.2742269999999998</v>
      </c>
      <c r="E86">
        <v>0.48094870000000001</v>
      </c>
      <c r="F86" t="s">
        <v>42</v>
      </c>
      <c r="G86">
        <v>-447.46710000000002</v>
      </c>
      <c r="H86" s="1">
        <v>-1.5243529999999999E-6</v>
      </c>
      <c r="I86">
        <v>367.6626</v>
      </c>
      <c r="J86">
        <v>-467.84469999999999</v>
      </c>
      <c r="K86">
        <v>1.1085</v>
      </c>
      <c r="L86">
        <v>367.3331</v>
      </c>
      <c r="M86">
        <v>0.99980349999999996</v>
      </c>
      <c r="N86">
        <v>0</v>
      </c>
      <c r="O86">
        <v>1.9760199999999999E-2</v>
      </c>
      <c r="P86">
        <v>0.99577729999999998</v>
      </c>
      <c r="Q86">
        <v>8.6398470000000005E-2</v>
      </c>
      <c r="R86">
        <v>-3.102947E-2</v>
      </c>
      <c r="S86">
        <v>3.0286559999999998</v>
      </c>
      <c r="T86">
        <v>-0.1631039</v>
      </c>
      <c r="U86">
        <v>4.9102779999999999E-2</v>
      </c>
      <c r="V86">
        <v>5.0720830000000001E-2</v>
      </c>
      <c r="W86">
        <v>8.7952130000000003E-2</v>
      </c>
      <c r="X86">
        <v>0.99483259999999996</v>
      </c>
      <c r="Y86">
        <v>3.5164760000000002E-3</v>
      </c>
      <c r="Z86">
        <v>-1.1578370000000001E-3</v>
      </c>
      <c r="AA86">
        <v>0.99999309999999997</v>
      </c>
      <c r="AB86">
        <v>18</v>
      </c>
      <c r="AC86">
        <v>20.377599999999902</v>
      </c>
      <c r="AD86">
        <v>-1.1085015243529901</v>
      </c>
      <c r="AE86">
        <v>0.32949999999999502</v>
      </c>
      <c r="AF86">
        <v>7.3014286135941603E-2</v>
      </c>
      <c r="AG86">
        <v>-1.1085015243529901</v>
      </c>
      <c r="AH86">
        <v>20.3200180201218</v>
      </c>
      <c r="AI86">
        <v>93.122495226562407</v>
      </c>
      <c r="AJ86">
        <v>89.794124570587101</v>
      </c>
      <c r="AK86">
        <v>20.3503621356856</v>
      </c>
      <c r="AL86">
        <v>84.954194673920995</v>
      </c>
      <c r="AM86">
        <v>87.081342745361795</v>
      </c>
      <c r="AN86">
        <v>1.00000004089509</v>
      </c>
    </row>
    <row r="87" spans="1:40" x14ac:dyDescent="0.25">
      <c r="A87" t="str">
        <f>"20190312151222549"</f>
        <v>20190312151222549</v>
      </c>
      <c r="B87" t="str">
        <f>"1552374742539196"</f>
        <v>1552374742539196</v>
      </c>
      <c r="C87" t="s">
        <v>40</v>
      </c>
      <c r="D87">
        <v>4.7217120000000001</v>
      </c>
      <c r="E87">
        <v>0.48082390000000003</v>
      </c>
      <c r="F87" t="s">
        <v>42</v>
      </c>
      <c r="G87">
        <v>-447.81950000000001</v>
      </c>
      <c r="H87" s="1">
        <v>-1.3560649999999999E-6</v>
      </c>
      <c r="I87">
        <v>367.67219999999998</v>
      </c>
      <c r="J87">
        <v>-467.65769999999998</v>
      </c>
      <c r="K87">
        <v>1.1085659999999999</v>
      </c>
      <c r="L87">
        <v>367.33710000000002</v>
      </c>
      <c r="M87">
        <v>0.99980250000000004</v>
      </c>
      <c r="N87">
        <v>0</v>
      </c>
      <c r="O87">
        <v>1.9811990000000002E-2</v>
      </c>
      <c r="P87">
        <v>0.99579169999999995</v>
      </c>
      <c r="Q87">
        <v>8.6237320000000006E-2</v>
      </c>
      <c r="R87">
        <v>-3.1012330000000001E-2</v>
      </c>
      <c r="S87">
        <v>3.02887</v>
      </c>
      <c r="T87">
        <v>-0.16766420000000001</v>
      </c>
      <c r="U87">
        <v>5.130005E-2</v>
      </c>
      <c r="V87">
        <v>5.0734929999999998E-2</v>
      </c>
      <c r="W87">
        <v>8.7753590000000006E-2</v>
      </c>
      <c r="X87">
        <v>0.99484939999999999</v>
      </c>
      <c r="Y87">
        <v>2.8432330000000001E-3</v>
      </c>
      <c r="Z87">
        <v>-1.1743120000000001E-3</v>
      </c>
      <c r="AA87">
        <v>0.99999530000000003</v>
      </c>
      <c r="AB87">
        <v>19</v>
      </c>
      <c r="AC87">
        <v>19.838199999999901</v>
      </c>
      <c r="AD87">
        <v>-1.108567356065</v>
      </c>
      <c r="AE87">
        <v>0.33509999999995399</v>
      </c>
      <c r="AF87">
        <v>5.7819974685571901E-2</v>
      </c>
      <c r="AG87">
        <v>-1.108567356065</v>
      </c>
      <c r="AH87">
        <v>19.779199840017501</v>
      </c>
      <c r="AI87">
        <v>93.207894071517103</v>
      </c>
      <c r="AJ87">
        <v>89.832509347636105</v>
      </c>
      <c r="AK87">
        <v>19.8103258691965</v>
      </c>
      <c r="AL87">
        <v>84.965614262848703</v>
      </c>
      <c r="AM87">
        <v>87.080582000282604</v>
      </c>
      <c r="AN87">
        <v>1.0000000271801699</v>
      </c>
    </row>
    <row r="88" spans="1:40" x14ac:dyDescent="0.25">
      <c r="A88" t="str">
        <f>"20190312151222570"</f>
        <v>20190312151222570</v>
      </c>
      <c r="B88" t="str">
        <f>"1552374742559692"</f>
        <v>1552374742559692</v>
      </c>
      <c r="C88" t="s">
        <v>40</v>
      </c>
      <c r="D88">
        <v>4.2829280000000001</v>
      </c>
      <c r="E88">
        <v>0.4808074</v>
      </c>
      <c r="F88" t="s">
        <v>42</v>
      </c>
      <c r="G88">
        <v>-447.78919999999999</v>
      </c>
      <c r="H88" s="1">
        <v>-1.368779E-6</v>
      </c>
      <c r="I88">
        <v>367.68119999999999</v>
      </c>
      <c r="J88">
        <v>-467.4821</v>
      </c>
      <c r="K88">
        <v>1.1086259999999999</v>
      </c>
      <c r="L88">
        <v>367.34100000000001</v>
      </c>
      <c r="M88">
        <v>0.99980190000000002</v>
      </c>
      <c r="N88">
        <v>0</v>
      </c>
      <c r="O88">
        <v>1.98488E-2</v>
      </c>
      <c r="P88">
        <v>0.99582760000000003</v>
      </c>
      <c r="Q88">
        <v>8.5913240000000002E-2</v>
      </c>
      <c r="R88">
        <v>-3.0762769999999998E-2</v>
      </c>
      <c r="S88">
        <v>3.028931</v>
      </c>
      <c r="T88">
        <v>-0.1690004</v>
      </c>
      <c r="U88">
        <v>5.2459720000000001E-2</v>
      </c>
      <c r="V88">
        <v>5.0510640000000002E-2</v>
      </c>
      <c r="W88">
        <v>8.7448639999999994E-2</v>
      </c>
      <c r="X88">
        <v>0.99488770000000004</v>
      </c>
      <c r="Y88">
        <v>2.4975639999999999E-3</v>
      </c>
      <c r="Z88">
        <v>-1.176044E-3</v>
      </c>
      <c r="AA88">
        <v>0.9999962</v>
      </c>
      <c r="AB88">
        <v>19</v>
      </c>
      <c r="AC88">
        <v>19.692900000000002</v>
      </c>
      <c r="AD88">
        <v>-1.108627368779</v>
      </c>
      <c r="AE88">
        <v>0.34019999999998102</v>
      </c>
      <c r="AF88">
        <v>5.0587607381513799E-2</v>
      </c>
      <c r="AG88">
        <v>-1.108627368779</v>
      </c>
      <c r="AH88">
        <v>19.633568469257199</v>
      </c>
      <c r="AI88">
        <v>93.231815926384201</v>
      </c>
      <c r="AJ88">
        <v>89.852372736566096</v>
      </c>
      <c r="AK88">
        <v>19.6649084560757</v>
      </c>
      <c r="AL88">
        <v>84.983154217400596</v>
      </c>
      <c r="AM88">
        <v>87.093577743148003</v>
      </c>
      <c r="AN88">
        <v>1.00000006250117</v>
      </c>
    </row>
    <row r="89" spans="1:40" x14ac:dyDescent="0.25">
      <c r="A89" t="str">
        <f>"20190312151222591"</f>
        <v>20190312151222591</v>
      </c>
      <c r="B89" t="str">
        <f>"1552374742589948"</f>
        <v>1552374742589948</v>
      </c>
      <c r="C89" t="s">
        <v>40</v>
      </c>
      <c r="D89">
        <v>4.2459699999999998</v>
      </c>
      <c r="E89">
        <v>0.48084329999999997</v>
      </c>
      <c r="F89" t="s">
        <v>42</v>
      </c>
      <c r="G89">
        <v>-447.88560000000001</v>
      </c>
      <c r="H89" s="1">
        <v>-1.321938E-6</v>
      </c>
      <c r="I89">
        <v>367.6884</v>
      </c>
      <c r="J89">
        <v>-467.29270000000002</v>
      </c>
      <c r="K89">
        <v>1.1086659999999999</v>
      </c>
      <c r="L89">
        <v>367.34519999999998</v>
      </c>
      <c r="M89">
        <v>0.99979830000000003</v>
      </c>
      <c r="N89">
        <v>0</v>
      </c>
      <c r="O89">
        <v>2.002605E-2</v>
      </c>
      <c r="P89">
        <v>0.99584910000000004</v>
      </c>
      <c r="Q89">
        <v>8.5713449999999997E-2</v>
      </c>
      <c r="R89">
        <v>-3.062291E-2</v>
      </c>
      <c r="S89">
        <v>3.0290219999999999</v>
      </c>
      <c r="T89">
        <v>-0.1713594</v>
      </c>
      <c r="U89">
        <v>5.3710939999999999E-2</v>
      </c>
      <c r="V89">
        <v>5.0544499999999999E-2</v>
      </c>
      <c r="W89">
        <v>8.7304229999999997E-2</v>
      </c>
      <c r="X89">
        <v>0.99489859999999997</v>
      </c>
      <c r="Y89">
        <v>2.2615479999999999E-3</v>
      </c>
      <c r="Z89">
        <v>-1.1957389999999999E-3</v>
      </c>
      <c r="AA89">
        <v>0.99999669999999896</v>
      </c>
      <c r="AB89">
        <v>19</v>
      </c>
      <c r="AC89">
        <v>19.4071</v>
      </c>
      <c r="AD89">
        <v>-1.1086673219380001</v>
      </c>
      <c r="AE89">
        <v>0.34320000000002399</v>
      </c>
      <c r="AF89">
        <v>4.53688170941213E-2</v>
      </c>
      <c r="AG89">
        <v>-1.1086673219380001</v>
      </c>
      <c r="AH89">
        <v>19.346962289698901</v>
      </c>
      <c r="AI89">
        <v>93.279708147522598</v>
      </c>
      <c r="AJ89">
        <v>89.865641079087794</v>
      </c>
      <c r="AK89">
        <v>19.3787551560808</v>
      </c>
      <c r="AL89">
        <v>84.991459751746007</v>
      </c>
      <c r="AM89">
        <v>87.091664564880304</v>
      </c>
      <c r="AN89">
        <v>0.99999999966905095</v>
      </c>
    </row>
    <row r="90" spans="1:40" x14ac:dyDescent="0.25">
      <c r="A90" t="str">
        <f>"20190312151222614"</f>
        <v>20190312151222614</v>
      </c>
      <c r="B90" t="str">
        <f>"1552374742609467"</f>
        <v>1552374742609467</v>
      </c>
      <c r="C90" t="s">
        <v>40</v>
      </c>
      <c r="D90">
        <v>4.2609469999999998</v>
      </c>
      <c r="E90">
        <v>0.48098170000000001</v>
      </c>
      <c r="F90" t="s">
        <v>42</v>
      </c>
      <c r="G90">
        <v>-447.63979999999998</v>
      </c>
      <c r="H90" s="1">
        <v>-1.4371650000000001E-6</v>
      </c>
      <c r="I90">
        <v>367.69380000000001</v>
      </c>
      <c r="J90">
        <v>-467.1028</v>
      </c>
      <c r="K90">
        <v>1.1086860000000001</v>
      </c>
      <c r="L90">
        <v>367.34930000000003</v>
      </c>
      <c r="M90">
        <v>0.9997916</v>
      </c>
      <c r="N90">
        <v>0</v>
      </c>
      <c r="O90">
        <v>2.034654E-2</v>
      </c>
      <c r="P90">
        <v>0.99587769999999998</v>
      </c>
      <c r="Q90">
        <v>8.5509989999999994E-2</v>
      </c>
      <c r="R90">
        <v>-3.0257849999999999E-2</v>
      </c>
      <c r="S90">
        <v>3.02887</v>
      </c>
      <c r="T90">
        <v>-0.17086609999999999</v>
      </c>
      <c r="U90">
        <v>5.3741459999999998E-2</v>
      </c>
      <c r="V90">
        <v>5.050176E-2</v>
      </c>
      <c r="W90">
        <v>8.7156979999999995E-2</v>
      </c>
      <c r="X90">
        <v>0.99491370000000001</v>
      </c>
      <c r="Y90">
        <v>2.570339E-3</v>
      </c>
      <c r="Z90">
        <v>-1.219124E-3</v>
      </c>
      <c r="AA90">
        <v>0.99999590000000005</v>
      </c>
      <c r="AB90">
        <v>19</v>
      </c>
      <c r="AC90">
        <v>19.463000000000001</v>
      </c>
      <c r="AD90">
        <v>-1.108687437165</v>
      </c>
      <c r="AE90">
        <v>0.34449999999998199</v>
      </c>
      <c r="AF90">
        <v>5.1409806954762903E-2</v>
      </c>
      <c r="AG90">
        <v>-1.108687437165</v>
      </c>
      <c r="AH90">
        <v>19.403039479459601</v>
      </c>
      <c r="AI90">
        <v>93.270306710301696</v>
      </c>
      <c r="AJ90">
        <v>89.848190894299194</v>
      </c>
      <c r="AK90">
        <v>19.434756799174199</v>
      </c>
      <c r="AL90">
        <v>84.999928933546002</v>
      </c>
      <c r="AM90">
        <v>87.094163639346903</v>
      </c>
      <c r="AN90">
        <v>1.0000000186867499</v>
      </c>
    </row>
    <row r="91" spans="1:40" x14ac:dyDescent="0.25">
      <c r="A91" t="str">
        <f>"20190312151222636"</f>
        <v>20190312151222636</v>
      </c>
      <c r="B91" t="str">
        <f>"1552374742629963"</f>
        <v>1552374742629963</v>
      </c>
      <c r="C91" t="s">
        <v>40</v>
      </c>
      <c r="D91">
        <v>4.2504589999999904</v>
      </c>
      <c r="E91">
        <v>0.47817320000000002</v>
      </c>
      <c r="F91" t="s">
        <v>42</v>
      </c>
      <c r="G91">
        <v>-447.38279999999997</v>
      </c>
      <c r="H91" s="1">
        <v>-1.55745E-6</v>
      </c>
      <c r="I91">
        <v>367.70069999999998</v>
      </c>
      <c r="J91">
        <v>-466.90710000000001</v>
      </c>
      <c r="K91">
        <v>1.108703</v>
      </c>
      <c r="L91">
        <v>367.3537</v>
      </c>
      <c r="M91">
        <v>0.99978359999999999</v>
      </c>
      <c r="N91">
        <v>0</v>
      </c>
      <c r="O91">
        <v>2.0737599999999998E-2</v>
      </c>
      <c r="P91">
        <v>0.99588379999999999</v>
      </c>
      <c r="Q91">
        <v>8.5413379999999997E-2</v>
      </c>
      <c r="R91">
        <v>-3.033568E-2</v>
      </c>
      <c r="S91">
        <v>3.0286870000000001</v>
      </c>
      <c r="T91">
        <v>-0.17027690000000001</v>
      </c>
      <c r="U91">
        <v>5.3955080000000002E-2</v>
      </c>
      <c r="V91">
        <v>5.0972290000000003E-2</v>
      </c>
      <c r="W91">
        <v>8.7106630000000004E-2</v>
      </c>
      <c r="X91">
        <v>0.9948941</v>
      </c>
      <c r="Y91">
        <v>2.88902E-3</v>
      </c>
      <c r="Z91">
        <v>-1.2459109999999999E-3</v>
      </c>
      <c r="AA91">
        <v>0.99999510000000003</v>
      </c>
      <c r="AB91">
        <v>19</v>
      </c>
      <c r="AC91">
        <v>19.5243</v>
      </c>
      <c r="AD91">
        <v>-1.1087045574500001</v>
      </c>
      <c r="AE91">
        <v>0.34699999999997899</v>
      </c>
      <c r="AF91">
        <v>5.7776044983094903E-2</v>
      </c>
      <c r="AG91">
        <v>-1.1087045574500001</v>
      </c>
      <c r="AH91">
        <v>19.464551024880901</v>
      </c>
      <c r="AI91">
        <v>93.260041587833399</v>
      </c>
      <c r="AJ91">
        <v>89.829931149796295</v>
      </c>
      <c r="AK91">
        <v>19.496187075099499</v>
      </c>
      <c r="AL91">
        <v>85.002824719843105</v>
      </c>
      <c r="AM91">
        <v>87.067079041045901</v>
      </c>
      <c r="AN91">
        <v>1.0000000047763</v>
      </c>
    </row>
    <row r="92" spans="1:40" x14ac:dyDescent="0.25">
      <c r="A92" t="str">
        <f>"20190312151222660"</f>
        <v>20190312151222660</v>
      </c>
      <c r="B92" t="str">
        <f>"1552374742649483"</f>
        <v>1552374742649483</v>
      </c>
      <c r="C92" t="s">
        <v>40</v>
      </c>
      <c r="D92">
        <v>4.5357260000000004</v>
      </c>
      <c r="E92">
        <v>0.4785548</v>
      </c>
      <c r="F92" t="s">
        <v>42</v>
      </c>
      <c r="G92">
        <v>-451.71769999999998</v>
      </c>
      <c r="H92" s="1">
        <v>-3.8697380000000002E-6</v>
      </c>
      <c r="I92">
        <v>367.73129999999998</v>
      </c>
      <c r="J92">
        <v>-466.69959999999998</v>
      </c>
      <c r="K92">
        <v>1.1087320000000001</v>
      </c>
      <c r="L92">
        <v>367.35829999999999</v>
      </c>
      <c r="M92">
        <v>0.99977530000000003</v>
      </c>
      <c r="N92">
        <v>0</v>
      </c>
      <c r="O92">
        <v>2.1128569999999999E-2</v>
      </c>
      <c r="P92">
        <v>0.99585939999999995</v>
      </c>
      <c r="Q92">
        <v>8.573857E-2</v>
      </c>
      <c r="R92">
        <v>-3.0215990000000002E-2</v>
      </c>
      <c r="S92">
        <v>3.033722</v>
      </c>
      <c r="T92">
        <v>-0.22143689999999999</v>
      </c>
      <c r="U92">
        <v>7.5439450000000005E-2</v>
      </c>
      <c r="V92">
        <v>5.1241009999999997E-2</v>
      </c>
      <c r="W92">
        <v>8.7475250000000004E-2</v>
      </c>
      <c r="X92">
        <v>0.99484799999999995</v>
      </c>
      <c r="Y92">
        <v>-3.7777800000000001E-3</v>
      </c>
      <c r="Z92">
        <v>-1.402073E-3</v>
      </c>
      <c r="AA92">
        <v>0.99999190000000004</v>
      </c>
      <c r="AB92">
        <v>19</v>
      </c>
      <c r="AC92">
        <v>14.9818999999999</v>
      </c>
      <c r="AD92">
        <v>-1.1087358697380001</v>
      </c>
      <c r="AE92">
        <v>0.37299999999999001</v>
      </c>
      <c r="AF92">
        <v>-5.6063292609203799E-2</v>
      </c>
      <c r="AG92">
        <v>-1.1087358697380001</v>
      </c>
      <c r="AH92">
        <v>14.9048569884655</v>
      </c>
      <c r="AI92">
        <v>94.254227524169394</v>
      </c>
      <c r="AJ92">
        <v>90.215511957331202</v>
      </c>
      <c r="AK92">
        <v>14.9461433208782</v>
      </c>
      <c r="AL92">
        <v>84.981623657784098</v>
      </c>
      <c r="AM92">
        <v>87.0515078495784</v>
      </c>
      <c r="AN92">
        <v>1.00000005178619</v>
      </c>
    </row>
    <row r="93" spans="1:40" x14ac:dyDescent="0.25">
      <c r="A93" t="str">
        <f>"20190312151222681"</f>
        <v>20190312151222681</v>
      </c>
      <c r="B93" t="str">
        <f>"1552374742669980"</f>
        <v>1552374742669980</v>
      </c>
      <c r="C93" t="s">
        <v>40</v>
      </c>
      <c r="D93">
        <v>4.6018699999999999</v>
      </c>
      <c r="E93">
        <v>0.48067530000000003</v>
      </c>
      <c r="F93" t="s">
        <v>42</v>
      </c>
      <c r="G93">
        <v>-451.31700000000001</v>
      </c>
      <c r="H93" s="1">
        <v>-4.0422510000000004E-6</v>
      </c>
      <c r="I93">
        <v>367.72809999999998</v>
      </c>
      <c r="J93">
        <v>-466.5111</v>
      </c>
      <c r="K93">
        <v>1.108771</v>
      </c>
      <c r="L93">
        <v>367.36250000000001</v>
      </c>
      <c r="M93">
        <v>0.99976869999999995</v>
      </c>
      <c r="N93">
        <v>0</v>
      </c>
      <c r="O93">
        <v>2.1435590000000001E-2</v>
      </c>
      <c r="P93">
        <v>0.99585749999999995</v>
      </c>
      <c r="Q93">
        <v>8.5908230000000002E-2</v>
      </c>
      <c r="R93">
        <v>-2.979948E-2</v>
      </c>
      <c r="S93">
        <v>3.0335079999999999</v>
      </c>
      <c r="T93">
        <v>-0.21864459999999999</v>
      </c>
      <c r="U93">
        <v>7.2937009999999997E-2</v>
      </c>
      <c r="V93">
        <v>5.1126400000000002E-2</v>
      </c>
      <c r="W93">
        <v>8.7687089999999995E-2</v>
      </c>
      <c r="X93">
        <v>0.99483520000000003</v>
      </c>
      <c r="Y93">
        <v>-2.6505719999999999E-3</v>
      </c>
      <c r="Z93">
        <v>-1.447208E-3</v>
      </c>
      <c r="AA93">
        <v>0.99999539999999998</v>
      </c>
      <c r="AB93">
        <v>20</v>
      </c>
      <c r="AC93">
        <v>15.194100000000001</v>
      </c>
      <c r="AD93">
        <v>-1.1087750422510001</v>
      </c>
      <c r="AE93">
        <v>0.365599999999972</v>
      </c>
      <c r="AF93">
        <v>-3.9610189057280899E-2</v>
      </c>
      <c r="AG93">
        <v>-1.1087750422510001</v>
      </c>
      <c r="AH93">
        <v>15.117985826253699</v>
      </c>
      <c r="AI93">
        <v>94.194631158451401</v>
      </c>
      <c r="AJ93">
        <v>90.150118639586694</v>
      </c>
      <c r="AK93">
        <v>15.158642633963099</v>
      </c>
      <c r="AL93">
        <v>84.969439063934402</v>
      </c>
      <c r="AM93">
        <v>87.058053314402898</v>
      </c>
      <c r="AN93">
        <v>1.00000000484433</v>
      </c>
    </row>
    <row r="94" spans="1:40" x14ac:dyDescent="0.25">
      <c r="A94" t="str">
        <f>"20190312151222704"</f>
        <v>20190312151222704</v>
      </c>
      <c r="B94" t="str">
        <f>"1552374742699260"</f>
        <v>1552374742699260</v>
      </c>
      <c r="C94" t="s">
        <v>40</v>
      </c>
      <c r="D94">
        <v>4.1982670000000004</v>
      </c>
      <c r="E94">
        <v>0.48058149999999999</v>
      </c>
      <c r="F94" t="s">
        <v>42</v>
      </c>
      <c r="G94">
        <v>-444.63040000000001</v>
      </c>
      <c r="H94" s="1">
        <v>-2.8442140000000002E-6</v>
      </c>
      <c r="I94">
        <v>367.78129999999999</v>
      </c>
      <c r="J94">
        <v>-466.3109</v>
      </c>
      <c r="K94">
        <v>1.108819</v>
      </c>
      <c r="L94">
        <v>367.36700000000002</v>
      </c>
      <c r="M94">
        <v>0.99976220000000005</v>
      </c>
      <c r="N94">
        <v>0</v>
      </c>
      <c r="O94">
        <v>2.1730470000000002E-2</v>
      </c>
      <c r="P94">
        <v>0.99580040000000003</v>
      </c>
      <c r="Q94">
        <v>8.6549760000000003E-2</v>
      </c>
      <c r="R94">
        <v>-2.9849150000000001E-2</v>
      </c>
      <c r="S94">
        <v>3.0274350000000001</v>
      </c>
      <c r="T94">
        <v>-0.15341080000000001</v>
      </c>
      <c r="U94">
        <v>5.7952879999999998E-2</v>
      </c>
      <c r="V94">
        <v>5.1462279999999999E-2</v>
      </c>
      <c r="W94">
        <v>8.837631E-2</v>
      </c>
      <c r="X94">
        <v>0.99475690000000005</v>
      </c>
      <c r="Y94">
        <v>2.5608369999999998E-3</v>
      </c>
      <c r="Z94">
        <v>-1.165068E-3</v>
      </c>
      <c r="AA94">
        <v>0.99999610000000005</v>
      </c>
      <c r="AB94">
        <v>20</v>
      </c>
      <c r="AC94">
        <v>21.680499999999899</v>
      </c>
      <c r="AD94">
        <v>-1.1088218442139901</v>
      </c>
      <c r="AE94">
        <v>0.41430000000002498</v>
      </c>
      <c r="AF94">
        <v>5.6777612189117498E-2</v>
      </c>
      <c r="AG94">
        <v>-1.1088218442139901</v>
      </c>
      <c r="AH94">
        <v>21.6278325330053</v>
      </c>
      <c r="AI94">
        <v>92.9348765689098</v>
      </c>
      <c r="AJ94">
        <v>89.849586865852999</v>
      </c>
      <c r="AK94">
        <v>21.6563120049369</v>
      </c>
      <c r="AL94">
        <v>84.929795805802996</v>
      </c>
      <c r="AM94">
        <v>87.038527516614394</v>
      </c>
      <c r="AN94">
        <v>1.00000001426481</v>
      </c>
    </row>
    <row r="95" spans="1:40" x14ac:dyDescent="0.25">
      <c r="A95" t="str">
        <f>"20190312151222728"</f>
        <v>20190312151222728</v>
      </c>
      <c r="B95" t="str">
        <f>"1552374742719755"</f>
        <v>1552374742719755</v>
      </c>
      <c r="C95" t="s">
        <v>40</v>
      </c>
      <c r="D95">
        <v>4.181934</v>
      </c>
      <c r="E95">
        <v>0.48072769999999998</v>
      </c>
      <c r="F95" t="s">
        <v>42</v>
      </c>
      <c r="G95">
        <v>-444.10559999999998</v>
      </c>
      <c r="H95" s="1">
        <v>-3.0889810000000001E-6</v>
      </c>
      <c r="I95">
        <v>367.79989999999998</v>
      </c>
      <c r="J95">
        <v>-466.09320000000002</v>
      </c>
      <c r="K95">
        <v>1.108873</v>
      </c>
      <c r="L95">
        <v>367.37209999999999</v>
      </c>
      <c r="M95">
        <v>0.99975530000000001</v>
      </c>
      <c r="N95">
        <v>0</v>
      </c>
      <c r="O95">
        <v>2.204824E-2</v>
      </c>
      <c r="P95">
        <v>0.99585509999999999</v>
      </c>
      <c r="Q95">
        <v>8.6076680000000003E-2</v>
      </c>
      <c r="R95">
        <v>-2.939083E-2</v>
      </c>
      <c r="S95">
        <v>3.0275569999999998</v>
      </c>
      <c r="T95">
        <v>-0.15118119999999999</v>
      </c>
      <c r="U95">
        <v>5.9020999999999997E-2</v>
      </c>
      <c r="V95">
        <v>5.1315640000000003E-2</v>
      </c>
      <c r="W95">
        <v>8.7955939999999996E-2</v>
      </c>
      <c r="X95">
        <v>0.99480170000000001</v>
      </c>
      <c r="Y95">
        <v>2.5273309999999998E-3</v>
      </c>
      <c r="Z95">
        <v>-1.1631219999999999E-3</v>
      </c>
      <c r="AA95">
        <v>0.99999610000000005</v>
      </c>
      <c r="AB95">
        <v>20</v>
      </c>
      <c r="AC95">
        <v>21.9876</v>
      </c>
      <c r="AD95">
        <v>-1.1088760889810001</v>
      </c>
      <c r="AE95">
        <v>0.42779999999999002</v>
      </c>
      <c r="AF95">
        <v>5.6947871289076302E-2</v>
      </c>
      <c r="AG95">
        <v>-1.1088760889810001</v>
      </c>
      <c r="AH95">
        <v>21.935917076464001</v>
      </c>
      <c r="AI95">
        <v>92.893869050931201</v>
      </c>
      <c r="AJ95">
        <v>89.851254664417894</v>
      </c>
      <c r="AK95">
        <v>21.964000255560599</v>
      </c>
      <c r="AL95">
        <v>84.953975231309599</v>
      </c>
      <c r="AM95">
        <v>87.047083925651805</v>
      </c>
      <c r="AN95">
        <v>0.99999998230639098</v>
      </c>
    </row>
    <row r="96" spans="1:40" x14ac:dyDescent="0.25">
      <c r="A96" t="str">
        <f>"20190312151222751"</f>
        <v>20190312151222751</v>
      </c>
      <c r="B96" t="str">
        <f>"1552374742739275"</f>
        <v>1552374742739275</v>
      </c>
      <c r="C96" t="s">
        <v>40</v>
      </c>
      <c r="D96">
        <v>4.1735709999999999</v>
      </c>
      <c r="E96">
        <v>0.48079050000000001</v>
      </c>
      <c r="F96" t="s">
        <v>42</v>
      </c>
      <c r="G96">
        <v>-443.99489999999997</v>
      </c>
      <c r="H96" s="1">
        <v>-3.1400599999999898E-6</v>
      </c>
      <c r="I96">
        <v>367.80689999999998</v>
      </c>
      <c r="J96">
        <v>-465.88240000000002</v>
      </c>
      <c r="K96">
        <v>1.108922</v>
      </c>
      <c r="L96">
        <v>367.37709999999998</v>
      </c>
      <c r="M96">
        <v>0.99974810000000003</v>
      </c>
      <c r="N96">
        <v>0</v>
      </c>
      <c r="O96">
        <v>2.2367000000000001E-2</v>
      </c>
      <c r="P96">
        <v>0.99585829999999997</v>
      </c>
      <c r="Q96">
        <v>8.6233840000000006E-2</v>
      </c>
      <c r="R96">
        <v>-2.88144E-2</v>
      </c>
      <c r="S96">
        <v>3.027374</v>
      </c>
      <c r="T96">
        <v>-0.15191170000000001</v>
      </c>
      <c r="U96">
        <v>5.9570310000000001E-2</v>
      </c>
      <c r="V96">
        <v>5.1052380000000001E-2</v>
      </c>
      <c r="W96">
        <v>8.816446E-2</v>
      </c>
      <c r="X96">
        <v>0.99479680000000004</v>
      </c>
      <c r="Y96">
        <v>2.6627479999999999E-3</v>
      </c>
      <c r="Z96">
        <v>-1.1881769999999999E-3</v>
      </c>
      <c r="AA96">
        <v>0.99999579999999999</v>
      </c>
      <c r="AB96">
        <v>20</v>
      </c>
      <c r="AC96">
        <v>21.887499999999999</v>
      </c>
      <c r="AD96">
        <v>-1.10892514006</v>
      </c>
      <c r="AE96">
        <v>0.42980000000000002</v>
      </c>
      <c r="AF96">
        <v>5.9712863510881002E-2</v>
      </c>
      <c r="AG96">
        <v>-1.10892514006</v>
      </c>
      <c r="AH96">
        <v>21.8356090488607</v>
      </c>
      <c r="AI96">
        <v>92.907267406719996</v>
      </c>
      <c r="AJ96">
        <v>89.843316184784996</v>
      </c>
      <c r="AK96">
        <v>21.8638309343768</v>
      </c>
      <c r="AL96">
        <v>84.941981387044095</v>
      </c>
      <c r="AM96">
        <v>87.062191953578704</v>
      </c>
      <c r="AN96">
        <v>0.999999995400498</v>
      </c>
    </row>
    <row r="97" spans="1:40" x14ac:dyDescent="0.25">
      <c r="A97" t="str">
        <f>"20190312151222772"</f>
        <v>20190312151222772</v>
      </c>
      <c r="B97" t="str">
        <f>"1552374742769532"</f>
        <v>1552374742769532</v>
      </c>
      <c r="C97" t="s">
        <v>40</v>
      </c>
      <c r="D97">
        <v>4.1810580000000002</v>
      </c>
      <c r="E97">
        <v>0.47978179999999998</v>
      </c>
      <c r="F97" t="s">
        <v>42</v>
      </c>
      <c r="G97">
        <v>-443.47340000000003</v>
      </c>
      <c r="H97" s="1">
        <v>-3.3833950000000002E-6</v>
      </c>
      <c r="I97">
        <v>367.82490000000001</v>
      </c>
      <c r="J97">
        <v>-465.68849999999998</v>
      </c>
      <c r="K97">
        <v>1.108957</v>
      </c>
      <c r="L97">
        <v>367.3818</v>
      </c>
      <c r="M97">
        <v>0.9997412</v>
      </c>
      <c r="N97">
        <v>0</v>
      </c>
      <c r="O97">
        <v>2.2666680000000002E-2</v>
      </c>
      <c r="P97">
        <v>0.99588980000000005</v>
      </c>
      <c r="Q97">
        <v>8.5973839999999996E-2</v>
      </c>
      <c r="R97">
        <v>-2.8489460000000001E-2</v>
      </c>
      <c r="S97">
        <v>3.0271910000000002</v>
      </c>
      <c r="T97">
        <v>-0.1498032</v>
      </c>
      <c r="U97">
        <v>6.0485839999999999E-2</v>
      </c>
      <c r="V97">
        <v>5.1024109999999998E-2</v>
      </c>
      <c r="W97">
        <v>8.7952139999999998E-2</v>
      </c>
      <c r="X97">
        <v>0.99481710000000001</v>
      </c>
      <c r="Y97">
        <v>2.6595009999999999E-3</v>
      </c>
      <c r="Z97">
        <v>-1.1865059999999999E-3</v>
      </c>
      <c r="AA97">
        <v>0.99999579999999999</v>
      </c>
      <c r="AB97">
        <v>20</v>
      </c>
      <c r="AC97">
        <v>22.2150999999999</v>
      </c>
      <c r="AD97">
        <v>-1.1089603833949999</v>
      </c>
      <c r="AE97">
        <v>0.44310000000001498</v>
      </c>
      <c r="AF97">
        <v>6.0406881088132601E-2</v>
      </c>
      <c r="AG97">
        <v>-1.1089603833949999</v>
      </c>
      <c r="AH97">
        <v>22.164226355763901</v>
      </c>
      <c r="AI97">
        <v>92.864326150703207</v>
      </c>
      <c r="AJ97">
        <v>89.843845180297095</v>
      </c>
      <c r="AK97">
        <v>22.192033977821001</v>
      </c>
      <c r="AL97">
        <v>84.954194147790503</v>
      </c>
      <c r="AM97">
        <v>87.063875712873894</v>
      </c>
      <c r="AN97">
        <v>1.00000005059213</v>
      </c>
    </row>
    <row r="98" spans="1:40" x14ac:dyDescent="0.25">
      <c r="A98" t="str">
        <f>"20190312151222795"</f>
        <v>20190312151222795</v>
      </c>
      <c r="B98" t="str">
        <f>"1552374742790027"</f>
        <v>1552374742790027</v>
      </c>
      <c r="C98" t="s">
        <v>40</v>
      </c>
      <c r="D98">
        <v>4.1669539999999996</v>
      </c>
      <c r="E98">
        <v>0.47959299999999999</v>
      </c>
      <c r="F98" t="s">
        <v>42</v>
      </c>
      <c r="G98">
        <v>-449.24090000000001</v>
      </c>
      <c r="H98" s="1">
        <v>-7.7169919999999896E-7</v>
      </c>
      <c r="I98">
        <v>367.75229999999999</v>
      </c>
      <c r="J98">
        <v>-465.46910000000003</v>
      </c>
      <c r="K98">
        <v>1.108986</v>
      </c>
      <c r="L98">
        <v>367.38709999999998</v>
      </c>
      <c r="M98">
        <v>0.99973339999999999</v>
      </c>
      <c r="N98">
        <v>0</v>
      </c>
      <c r="O98">
        <v>2.3005089999999999E-2</v>
      </c>
      <c r="P98">
        <v>0.99590829999999997</v>
      </c>
      <c r="Q98">
        <v>8.5790989999999998E-2</v>
      </c>
      <c r="R98">
        <v>-2.8404800000000001E-2</v>
      </c>
      <c r="S98">
        <v>3.0319820000000002</v>
      </c>
      <c r="T98">
        <v>-0.20442740000000001</v>
      </c>
      <c r="U98">
        <v>6.8298339999999999E-2</v>
      </c>
      <c r="V98">
        <v>5.1274779999999999E-2</v>
      </c>
      <c r="W98">
        <v>8.7824360000000004E-2</v>
      </c>
      <c r="X98">
        <v>0.99481549999999996</v>
      </c>
      <c r="Y98">
        <v>4.3182989999999998E-4</v>
      </c>
      <c r="Z98">
        <v>-1.563472E-3</v>
      </c>
      <c r="AA98">
        <v>0.99999870000000002</v>
      </c>
      <c r="AB98">
        <v>21</v>
      </c>
      <c r="AC98">
        <v>16.228200000000001</v>
      </c>
      <c r="AD98">
        <v>-1.1089867716991999</v>
      </c>
      <c r="AE98">
        <v>0.36520000000001501</v>
      </c>
      <c r="AF98">
        <v>8.1903507320010196E-3</v>
      </c>
      <c r="AG98">
        <v>-1.1089867716991999</v>
      </c>
      <c r="AH98">
        <v>16.156892975828001</v>
      </c>
      <c r="AI98">
        <v>93.926543906432599</v>
      </c>
      <c r="AJ98">
        <v>89.970955276476602</v>
      </c>
      <c r="AK98">
        <v>16.194909983510499</v>
      </c>
      <c r="AL98">
        <v>84.961543840746401</v>
      </c>
      <c r="AM98">
        <v>87.049471881902093</v>
      </c>
      <c r="AN98">
        <v>1.00000005015685</v>
      </c>
    </row>
    <row r="99" spans="1:40" x14ac:dyDescent="0.25">
      <c r="A99" t="str">
        <f>"20190312151222818"</f>
        <v>20190312151222818</v>
      </c>
      <c r="B99" t="str">
        <f>"1552374742809548"</f>
        <v>1552374742809548</v>
      </c>
      <c r="C99" t="s">
        <v>40</v>
      </c>
      <c r="D99">
        <v>4.1829609999999997</v>
      </c>
      <c r="E99">
        <v>0.47967379999999998</v>
      </c>
      <c r="F99" t="s">
        <v>42</v>
      </c>
      <c r="G99">
        <v>-449.11509999999998</v>
      </c>
      <c r="H99" s="1">
        <v>-8.1603819999999998E-7</v>
      </c>
      <c r="I99">
        <v>367.7672</v>
      </c>
      <c r="J99">
        <v>-465.26799999999997</v>
      </c>
      <c r="K99">
        <v>1.1090059999999999</v>
      </c>
      <c r="L99">
        <v>367.39210000000003</v>
      </c>
      <c r="M99">
        <v>0.99972620000000001</v>
      </c>
      <c r="N99">
        <v>0</v>
      </c>
      <c r="O99">
        <v>2.330933E-2</v>
      </c>
      <c r="P99">
        <v>0.99591280000000004</v>
      </c>
      <c r="Q99">
        <v>8.5878220000000005E-2</v>
      </c>
      <c r="R99">
        <v>-2.7984579999999998E-2</v>
      </c>
      <c r="S99">
        <v>3.0320130000000001</v>
      </c>
      <c r="T99">
        <v>-0.20560539999999999</v>
      </c>
      <c r="U99">
        <v>7.0465089999999994E-2</v>
      </c>
      <c r="V99">
        <v>5.1157069999999999E-2</v>
      </c>
      <c r="W99">
        <v>8.7963540000000007E-2</v>
      </c>
      <c r="X99">
        <v>0.99480919999999895</v>
      </c>
      <c r="Y99" s="1">
        <v>2.1764210000000001E-5</v>
      </c>
      <c r="Z99">
        <v>-1.579142E-3</v>
      </c>
      <c r="AA99">
        <v>0.99999870000000002</v>
      </c>
      <c r="AB99">
        <v>21</v>
      </c>
      <c r="AC99">
        <v>16.152899999999999</v>
      </c>
      <c r="AD99">
        <v>-1.1090068160381901</v>
      </c>
      <c r="AE99">
        <v>0.37509999999997401</v>
      </c>
      <c r="AF99">
        <v>1.5088734873219801E-3</v>
      </c>
      <c r="AG99">
        <v>-1.1090068160381901</v>
      </c>
      <c r="AH99">
        <v>16.0814911710141</v>
      </c>
      <c r="AI99">
        <v>93.944967990333495</v>
      </c>
      <c r="AJ99">
        <v>89.994624125246204</v>
      </c>
      <c r="AK99">
        <v>16.119685377764799</v>
      </c>
      <c r="AL99">
        <v>84.953538114254798</v>
      </c>
      <c r="AM99">
        <v>87.0562147850966</v>
      </c>
      <c r="AN99">
        <v>0.99999998729247797</v>
      </c>
    </row>
    <row r="100" spans="1:40" x14ac:dyDescent="0.25">
      <c r="A100" t="str">
        <f>"20190312151222837"</f>
        <v>20190312151222837</v>
      </c>
      <c r="B100" t="str">
        <f>"1552374742830043"</f>
        <v>1552374742830043</v>
      </c>
      <c r="C100" t="s">
        <v>40</v>
      </c>
      <c r="D100">
        <v>4.1629719999999999</v>
      </c>
      <c r="E100">
        <v>0.47968559999999999</v>
      </c>
      <c r="F100" t="s">
        <v>42</v>
      </c>
      <c r="G100">
        <v>-449.16660000000002</v>
      </c>
      <c r="H100" s="1">
        <v>-7.9531830000000003E-7</v>
      </c>
      <c r="I100">
        <v>367.77080000000001</v>
      </c>
      <c r="J100">
        <v>-465.07490000000001</v>
      </c>
      <c r="K100">
        <v>1.1090180000000001</v>
      </c>
      <c r="L100">
        <v>367.39690000000002</v>
      </c>
      <c r="M100">
        <v>0.99971929999999998</v>
      </c>
      <c r="N100">
        <v>0</v>
      </c>
      <c r="O100">
        <v>2.3594009999999999E-2</v>
      </c>
      <c r="P100">
        <v>0.99592230000000004</v>
      </c>
      <c r="Q100">
        <v>8.5863899999999896E-2</v>
      </c>
      <c r="R100">
        <v>-2.768313E-2</v>
      </c>
      <c r="S100">
        <v>3.0322879999999999</v>
      </c>
      <c r="T100">
        <v>-0.20885319999999999</v>
      </c>
      <c r="U100">
        <v>7.1319579999999994E-2</v>
      </c>
      <c r="V100">
        <v>5.1139440000000001E-2</v>
      </c>
      <c r="W100">
        <v>8.8002510000000006E-2</v>
      </c>
      <c r="X100">
        <v>0.99480659999999999</v>
      </c>
      <c r="Y100" s="1">
        <v>2.4619460000000001E-5</v>
      </c>
      <c r="Z100">
        <v>-1.6235500000000001E-3</v>
      </c>
      <c r="AA100">
        <v>0.99999870000000002</v>
      </c>
      <c r="AB100">
        <v>21</v>
      </c>
      <c r="AC100">
        <v>15.908299999999899</v>
      </c>
      <c r="AD100">
        <v>-1.1090187953182999</v>
      </c>
      <c r="AE100">
        <v>0.37389999999999102</v>
      </c>
      <c r="AF100">
        <v>1.53807578364478E-3</v>
      </c>
      <c r="AG100">
        <v>-1.1090187953182999</v>
      </c>
      <c r="AH100">
        <v>15.8357749767162</v>
      </c>
      <c r="AI100">
        <v>94.006025533939507</v>
      </c>
      <c r="AJ100">
        <v>89.994435052857995</v>
      </c>
      <c r="AK100">
        <v>15.8745612275501</v>
      </c>
      <c r="AL100">
        <v>84.951296303658197</v>
      </c>
      <c r="AM100">
        <v>87.057219825633098</v>
      </c>
      <c r="AN100">
        <v>0.999999927746684</v>
      </c>
    </row>
    <row r="101" spans="1:40" x14ac:dyDescent="0.25">
      <c r="A101" t="str">
        <f>"20190312151222861"</f>
        <v>20190312151222861</v>
      </c>
      <c r="B101" t="str">
        <f>"1552374742849563"</f>
        <v>1552374742849563</v>
      </c>
      <c r="C101" t="s">
        <v>40</v>
      </c>
      <c r="D101">
        <v>4.4592589999999896</v>
      </c>
      <c r="E101">
        <v>0.47967189999999998</v>
      </c>
      <c r="F101" t="s">
        <v>42</v>
      </c>
      <c r="G101">
        <v>-448.99349999999998</v>
      </c>
      <c r="H101" s="1">
        <v>-8.5921850000000005E-7</v>
      </c>
      <c r="I101">
        <v>367.78050000000002</v>
      </c>
      <c r="J101">
        <v>-464.85309999999998</v>
      </c>
      <c r="K101">
        <v>1.10903</v>
      </c>
      <c r="L101">
        <v>367.4024</v>
      </c>
      <c r="M101">
        <v>0.99971189999999999</v>
      </c>
      <c r="N101">
        <v>0</v>
      </c>
      <c r="O101">
        <v>2.3909900000000001E-2</v>
      </c>
      <c r="P101">
        <v>0.99591490000000005</v>
      </c>
      <c r="Q101">
        <v>8.6065160000000002E-2</v>
      </c>
      <c r="R101">
        <v>-2.733004E-2</v>
      </c>
      <c r="S101">
        <v>3.0322879999999999</v>
      </c>
      <c r="T101">
        <v>-0.2091151</v>
      </c>
      <c r="U101">
        <v>7.2326660000000001E-2</v>
      </c>
      <c r="V101">
        <v>5.1101630000000002E-2</v>
      </c>
      <c r="W101">
        <v>8.8268470000000002E-2</v>
      </c>
      <c r="X101">
        <v>0.99478509999999998</v>
      </c>
      <c r="Y101" s="1">
        <v>7.8191109999999995E-6</v>
      </c>
      <c r="Z101">
        <v>-1.646743E-3</v>
      </c>
      <c r="AA101">
        <v>0.99999859999999896</v>
      </c>
      <c r="AB101">
        <v>21</v>
      </c>
      <c r="AC101">
        <v>15.8596</v>
      </c>
      <c r="AD101">
        <v>-1.1090308592185001</v>
      </c>
      <c r="AE101">
        <v>0.37810000000001698</v>
      </c>
      <c r="AF101">
        <v>1.2044967718699E-3</v>
      </c>
      <c r="AG101">
        <v>-1.1090308592185001</v>
      </c>
      <c r="AH101">
        <v>15.7869530781305</v>
      </c>
      <c r="AI101">
        <v>94.018417410239195</v>
      </c>
      <c r="AJ101">
        <v>89.995628505323893</v>
      </c>
      <c r="AK101">
        <v>15.8258597993475</v>
      </c>
      <c r="AL101">
        <v>84.935998991983695</v>
      </c>
      <c r="AM101">
        <v>87.059328310237802</v>
      </c>
      <c r="AN101">
        <v>1.0000000472834001</v>
      </c>
    </row>
    <row r="102" spans="1:40" x14ac:dyDescent="0.25">
      <c r="A102" t="str">
        <f>"20190312151222882"</f>
        <v>20190312151222882</v>
      </c>
      <c r="B102" t="str">
        <f>"1552374742879819"</f>
        <v>1552374742879819</v>
      </c>
      <c r="C102" t="s">
        <v>40</v>
      </c>
      <c r="D102">
        <v>4.1646450000000002</v>
      </c>
      <c r="E102">
        <v>0.47928419999999999</v>
      </c>
      <c r="F102" t="s">
        <v>42</v>
      </c>
      <c r="G102">
        <v>-448.69110000000001</v>
      </c>
      <c r="H102" s="1">
        <v>-9.7139460000000003E-7</v>
      </c>
      <c r="I102">
        <v>367.7953</v>
      </c>
      <c r="J102">
        <v>-464.64640000000003</v>
      </c>
      <c r="K102">
        <v>1.10904</v>
      </c>
      <c r="L102">
        <v>367.40769999999998</v>
      </c>
      <c r="M102">
        <v>0.99970490000000001</v>
      </c>
      <c r="N102">
        <v>0</v>
      </c>
      <c r="O102">
        <v>2.4191810000000001E-2</v>
      </c>
      <c r="P102">
        <v>0.99592579999999997</v>
      </c>
      <c r="Q102">
        <v>8.5897909999999994E-2</v>
      </c>
      <c r="R102">
        <v>-2.7447059999999999E-2</v>
      </c>
      <c r="S102">
        <v>3.0323180000000001</v>
      </c>
      <c r="T102">
        <v>-0.20807610000000001</v>
      </c>
      <c r="U102">
        <v>7.369995E-2</v>
      </c>
      <c r="V102">
        <v>5.1501209999999999E-2</v>
      </c>
      <c r="W102">
        <v>8.8165880000000002E-2</v>
      </c>
      <c r="X102">
        <v>0.99477360000000004</v>
      </c>
      <c r="Y102">
        <v>-1.6226289999999999E-4</v>
      </c>
      <c r="Z102">
        <v>-1.6520370000000001E-3</v>
      </c>
      <c r="AA102">
        <v>0.99999859999999896</v>
      </c>
      <c r="AB102">
        <v>21</v>
      </c>
      <c r="AC102">
        <v>15.955299999999999</v>
      </c>
      <c r="AD102">
        <v>-1.1090409713945999</v>
      </c>
      <c r="AE102">
        <v>0.38760000000001998</v>
      </c>
      <c r="AF102">
        <v>-1.4908380047984301E-3</v>
      </c>
      <c r="AG102">
        <v>-1.1090409713945999</v>
      </c>
      <c r="AH102">
        <v>15.883311660231801</v>
      </c>
      <c r="AI102">
        <v>93.994154491766295</v>
      </c>
      <c r="AJ102">
        <v>90.0053778914113</v>
      </c>
      <c r="AK102">
        <v>15.9219836513823</v>
      </c>
      <c r="AL102">
        <v>84.941900017010397</v>
      </c>
      <c r="AM102">
        <v>87.036340890329498</v>
      </c>
      <c r="AN102">
        <v>1.0000000561422899</v>
      </c>
    </row>
    <row r="103" spans="1:40" x14ac:dyDescent="0.25">
      <c r="A103" t="str">
        <f>"20190312151222905"</f>
        <v>20190312151222905</v>
      </c>
      <c r="B103" t="str">
        <f>"1552374742899340"</f>
        <v>1552374742899340</v>
      </c>
      <c r="C103" t="s">
        <v>40</v>
      </c>
      <c r="D103">
        <v>4.1749960000000002</v>
      </c>
      <c r="E103">
        <v>0.47948629999999998</v>
      </c>
      <c r="F103" t="s">
        <v>42</v>
      </c>
      <c r="G103">
        <v>-448.71159999999998</v>
      </c>
      <c r="H103" s="1">
        <v>-9.6003700000000009E-7</v>
      </c>
      <c r="I103">
        <v>367.80829999999997</v>
      </c>
      <c r="J103">
        <v>-464.43810000000002</v>
      </c>
      <c r="K103">
        <v>1.109049</v>
      </c>
      <c r="L103">
        <v>367.41309999999999</v>
      </c>
      <c r="M103">
        <v>0.99969819999999998</v>
      </c>
      <c r="N103">
        <v>0</v>
      </c>
      <c r="O103">
        <v>2.4459640000000001E-2</v>
      </c>
      <c r="P103">
        <v>0.99594519999999997</v>
      </c>
      <c r="Q103">
        <v>8.5758630000000002E-2</v>
      </c>
      <c r="R103">
        <v>-2.7184179999999999E-2</v>
      </c>
      <c r="S103">
        <v>3.032562</v>
      </c>
      <c r="T103">
        <v>-0.21106269999999999</v>
      </c>
      <c r="U103">
        <v>7.6232910000000001E-2</v>
      </c>
      <c r="V103">
        <v>5.1507339999999999E-2</v>
      </c>
      <c r="W103">
        <v>8.8094160000000005E-2</v>
      </c>
      <c r="X103">
        <v>0.99477959999999999</v>
      </c>
      <c r="Y103">
        <v>-7.2803440000000004E-4</v>
      </c>
      <c r="Z103">
        <v>-1.674484E-3</v>
      </c>
      <c r="AA103">
        <v>0.99999830000000001</v>
      </c>
      <c r="AB103">
        <v>21</v>
      </c>
      <c r="AC103">
        <v>15.7265</v>
      </c>
      <c r="AD103">
        <v>-1.1090499600369901</v>
      </c>
      <c r="AE103">
        <v>0.39519999999998801</v>
      </c>
      <c r="AF103">
        <v>-1.0364713925644999E-2</v>
      </c>
      <c r="AG103">
        <v>-1.1090499600369901</v>
      </c>
      <c r="AH103">
        <v>15.653661327261799</v>
      </c>
      <c r="AI103">
        <v>94.052589610764002</v>
      </c>
      <c r="AJ103">
        <v>90.037937084787998</v>
      </c>
      <c r="AK103">
        <v>15.69290324286</v>
      </c>
      <c r="AL103">
        <v>84.946025137771599</v>
      </c>
      <c r="AM103">
        <v>87.0360066113589</v>
      </c>
      <c r="AN103">
        <v>1.0000000198380701</v>
      </c>
    </row>
    <row r="104" spans="1:40" x14ac:dyDescent="0.25">
      <c r="A104" t="str">
        <f>"20190312151222930"</f>
        <v>20190312151222930</v>
      </c>
      <c r="B104" t="str">
        <f>"1552374742919835"</f>
        <v>1552374742919835</v>
      </c>
      <c r="C104" t="s">
        <v>40</v>
      </c>
      <c r="D104">
        <v>4.1359919999999999</v>
      </c>
      <c r="E104">
        <v>0.47960570000000002</v>
      </c>
      <c r="F104" t="s">
        <v>42</v>
      </c>
      <c r="G104">
        <v>-447.98439999999999</v>
      </c>
      <c r="H104" s="1">
        <v>-1.2509430000000001E-6</v>
      </c>
      <c r="I104">
        <v>367.82530000000003</v>
      </c>
      <c r="J104">
        <v>-464.19690000000003</v>
      </c>
      <c r="K104">
        <v>1.1090519999999999</v>
      </c>
      <c r="L104">
        <v>367.41930000000002</v>
      </c>
      <c r="M104">
        <v>0.99969090000000005</v>
      </c>
      <c r="N104">
        <v>0</v>
      </c>
      <c r="O104">
        <v>2.474324E-2</v>
      </c>
      <c r="P104">
        <v>0.99592530000000001</v>
      </c>
      <c r="Q104">
        <v>8.6043209999999995E-2</v>
      </c>
      <c r="R104">
        <v>-2.7004429999999999E-2</v>
      </c>
      <c r="S104">
        <v>3.0318299999999998</v>
      </c>
      <c r="T104">
        <v>-0.20435819999999999</v>
      </c>
      <c r="U104">
        <v>7.5958250000000005E-2</v>
      </c>
      <c r="V104">
        <v>5.1612310000000002E-2</v>
      </c>
      <c r="W104">
        <v>8.845894E-2</v>
      </c>
      <c r="X104">
        <v>0.99474180000000001</v>
      </c>
      <c r="Y104">
        <v>-3.5780540000000002E-4</v>
      </c>
      <c r="Z104">
        <v>-1.6533540000000001E-3</v>
      </c>
      <c r="AA104">
        <v>0.99999859999999896</v>
      </c>
      <c r="AB104">
        <v>21</v>
      </c>
      <c r="AC104">
        <v>16.212499999999999</v>
      </c>
      <c r="AD104">
        <v>-1.109053250943</v>
      </c>
      <c r="AE104">
        <v>0.40600000000000502</v>
      </c>
      <c r="AF104">
        <v>-4.7027477945143998E-3</v>
      </c>
      <c r="AG104">
        <v>-1.109053250943</v>
      </c>
      <c r="AH104">
        <v>16.142091613616699</v>
      </c>
      <c r="AI104">
        <v>93.930368236036799</v>
      </c>
      <c r="AJ104">
        <v>90.016692235403298</v>
      </c>
      <c r="AK104">
        <v>16.1801465658274</v>
      </c>
      <c r="AL104">
        <v>84.925042928984794</v>
      </c>
      <c r="AM104">
        <v>87.029864251267398</v>
      </c>
      <c r="AN104">
        <v>1.0000000316383399</v>
      </c>
    </row>
    <row r="105" spans="1:40" x14ac:dyDescent="0.25">
      <c r="A105" t="str">
        <f>"20190312151222952"</f>
        <v>20190312151222952</v>
      </c>
      <c r="B105" t="str">
        <f>"1552374742940333"</f>
        <v>1552374742940333</v>
      </c>
      <c r="C105" t="s">
        <v>40</v>
      </c>
      <c r="D105">
        <v>4.1273770000000001</v>
      </c>
      <c r="E105">
        <v>0.47966330000000001</v>
      </c>
      <c r="F105" t="s">
        <v>42</v>
      </c>
      <c r="G105">
        <v>-447.28379999999999</v>
      </c>
      <c r="H105" s="1">
        <v>-1.579481E-6</v>
      </c>
      <c r="I105">
        <v>367.84010000000001</v>
      </c>
      <c r="J105">
        <v>-463.9794</v>
      </c>
      <c r="K105">
        <v>1.1090519999999999</v>
      </c>
      <c r="L105">
        <v>367.42489999999998</v>
      </c>
      <c r="M105">
        <v>0.99968500000000005</v>
      </c>
      <c r="N105">
        <v>0</v>
      </c>
      <c r="O105">
        <v>2.49757E-2</v>
      </c>
      <c r="P105">
        <v>0.9959654</v>
      </c>
      <c r="Q105">
        <v>8.555575E-2</v>
      </c>
      <c r="R105">
        <v>-2.7077469999999999E-2</v>
      </c>
      <c r="S105">
        <v>3.0314640000000002</v>
      </c>
      <c r="T105">
        <v>-0.19878460000000001</v>
      </c>
      <c r="U105">
        <v>7.5439450000000005E-2</v>
      </c>
      <c r="V105">
        <v>5.1920590000000003E-2</v>
      </c>
      <c r="W105">
        <v>8.8041919999999996E-2</v>
      </c>
      <c r="X105">
        <v>0.9947627</v>
      </c>
      <c r="Y105" s="1">
        <v>4.4336519999999999E-5</v>
      </c>
      <c r="Z105">
        <v>-1.6369449999999999E-3</v>
      </c>
      <c r="AA105">
        <v>0.99999870000000002</v>
      </c>
      <c r="AB105">
        <v>22</v>
      </c>
      <c r="AC105">
        <v>16.695599999999999</v>
      </c>
      <c r="AD105">
        <v>-1.1090535794809999</v>
      </c>
      <c r="AE105">
        <v>0.41520000000002699</v>
      </c>
      <c r="AF105">
        <v>1.90668242428132E-3</v>
      </c>
      <c r="AG105">
        <v>-1.1090535794809999</v>
      </c>
      <c r="AH105">
        <v>16.627435899502601</v>
      </c>
      <c r="AI105">
        <v>93.815988580922394</v>
      </c>
      <c r="AJ105">
        <v>89.993429843545002</v>
      </c>
      <c r="AK105">
        <v>16.6643820188349</v>
      </c>
      <c r="AL105">
        <v>84.949029734311594</v>
      </c>
      <c r="AM105">
        <v>87.012218359974995</v>
      </c>
      <c r="AN105">
        <v>0.99999997832726195</v>
      </c>
    </row>
    <row r="106" spans="1:40" x14ac:dyDescent="0.25">
      <c r="A106" t="str">
        <f>"20190312151222973"</f>
        <v>20190312151222973</v>
      </c>
      <c r="B106" t="str">
        <f>"1552374742969612"</f>
        <v>1552374742969612</v>
      </c>
      <c r="C106" t="s">
        <v>40</v>
      </c>
      <c r="D106">
        <v>4.4330259999999999</v>
      </c>
      <c r="E106">
        <v>0.47971730000000001</v>
      </c>
      <c r="F106" t="s">
        <v>42</v>
      </c>
      <c r="G106">
        <v>-446.85489999999999</v>
      </c>
      <c r="H106" s="1">
        <v>-1.780594E-6</v>
      </c>
      <c r="I106">
        <v>367.8494</v>
      </c>
      <c r="J106">
        <v>-463.76710000000003</v>
      </c>
      <c r="K106">
        <v>1.1090450000000001</v>
      </c>
      <c r="L106">
        <v>367.43040000000002</v>
      </c>
      <c r="M106">
        <v>0.9996796</v>
      </c>
      <c r="N106">
        <v>0</v>
      </c>
      <c r="O106">
        <v>2.518397E-2</v>
      </c>
      <c r="P106">
        <v>0.99600639999999996</v>
      </c>
      <c r="Q106">
        <v>8.5330199999999995E-2</v>
      </c>
      <c r="R106">
        <v>-2.6268639999999999E-2</v>
      </c>
      <c r="S106">
        <v>3.0310359999999998</v>
      </c>
      <c r="T106">
        <v>-0.19630339999999999</v>
      </c>
      <c r="U106">
        <v>7.5134279999999998E-2</v>
      </c>
      <c r="V106">
        <v>5.1322659999999999E-2</v>
      </c>
      <c r="W106">
        <v>8.7882790000000002E-2</v>
      </c>
      <c r="X106">
        <v>0.99480780000000002</v>
      </c>
      <c r="Y106">
        <v>3.500275E-4</v>
      </c>
      <c r="Z106">
        <v>-1.6401390000000001E-3</v>
      </c>
      <c r="AA106">
        <v>0.99999859999999896</v>
      </c>
      <c r="AB106">
        <v>22</v>
      </c>
      <c r="AC106">
        <v>16.912199999999999</v>
      </c>
      <c r="AD106">
        <v>-1.1090467805940001</v>
      </c>
      <c r="AE106">
        <v>0.418999999999982</v>
      </c>
      <c r="AF106">
        <v>7.0204363090144899E-3</v>
      </c>
      <c r="AG106">
        <v>-1.1090467805940001</v>
      </c>
      <c r="AH106">
        <v>16.844993880958299</v>
      </c>
      <c r="AI106">
        <v>93.766823469606095</v>
      </c>
      <c r="AJ106">
        <v>89.976121015513499</v>
      </c>
      <c r="AK106">
        <v>16.881464773460699</v>
      </c>
      <c r="AL106">
        <v>84.958182696910995</v>
      </c>
      <c r="AM106">
        <v>87.046698757864704</v>
      </c>
      <c r="AN106">
        <v>0.99999997957424902</v>
      </c>
    </row>
    <row r="107" spans="1:40" x14ac:dyDescent="0.25">
      <c r="A107" t="str">
        <f>"20190312151222995"</f>
        <v>20190312151222995</v>
      </c>
      <c r="B107" t="str">
        <f>"1552374742989131"</f>
        <v>1552374742989131</v>
      </c>
      <c r="C107" t="s">
        <v>40</v>
      </c>
      <c r="D107">
        <v>4.126131</v>
      </c>
      <c r="E107">
        <v>0.47986499999999999</v>
      </c>
      <c r="F107" t="s">
        <v>42</v>
      </c>
      <c r="G107">
        <v>-446.31979999999999</v>
      </c>
      <c r="H107" s="1">
        <v>-2.0291620000000002E-6</v>
      </c>
      <c r="I107">
        <v>367.8741</v>
      </c>
      <c r="J107">
        <v>-463.54219999999998</v>
      </c>
      <c r="K107">
        <v>1.1090450000000001</v>
      </c>
      <c r="L107">
        <v>367.43630000000002</v>
      </c>
      <c r="M107">
        <v>0.99967439999999996</v>
      </c>
      <c r="N107">
        <v>0</v>
      </c>
      <c r="O107">
        <v>2.5383409999999999E-2</v>
      </c>
      <c r="P107">
        <v>0.9960156</v>
      </c>
      <c r="Q107">
        <v>8.5204909999999995E-2</v>
      </c>
      <c r="R107">
        <v>-2.6332020000000001E-2</v>
      </c>
      <c r="S107">
        <v>3.0305789999999999</v>
      </c>
      <c r="T107">
        <v>-0.1926409</v>
      </c>
      <c r="U107">
        <v>7.7056879999999994E-2</v>
      </c>
      <c r="V107">
        <v>5.1587260000000003E-2</v>
      </c>
      <c r="W107">
        <v>8.7825329999999993E-2</v>
      </c>
      <c r="X107">
        <v>0.99479919999999999</v>
      </c>
      <c r="Y107" s="1">
        <v>-8.5773500000000001E-5</v>
      </c>
      <c r="Z107">
        <v>-1.608651E-3</v>
      </c>
      <c r="AA107">
        <v>0.99999870000000002</v>
      </c>
      <c r="AB107">
        <v>22</v>
      </c>
      <c r="AC107">
        <v>17.222399999999901</v>
      </c>
      <c r="AD107">
        <v>-1.109047029162</v>
      </c>
      <c r="AE107">
        <v>0.43779999999998098</v>
      </c>
      <c r="AF107">
        <v>-4.9217398380768597E-4</v>
      </c>
      <c r="AG107">
        <v>-1.109047029162</v>
      </c>
      <c r="AH107">
        <v>17.156863561965199</v>
      </c>
      <c r="AI107">
        <v>93.698544811053907</v>
      </c>
      <c r="AJ107">
        <v>90.001643627458407</v>
      </c>
      <c r="AK107">
        <v>17.192671486392602</v>
      </c>
      <c r="AL107">
        <v>84.9614877501932</v>
      </c>
      <c r="AM107">
        <v>87.031474213058999</v>
      </c>
      <c r="AN107">
        <v>0.999999991152278</v>
      </c>
    </row>
    <row r="108" spans="1:40" x14ac:dyDescent="0.25">
      <c r="A108" t="str">
        <f>"20190312151223016"</f>
        <v>20190312151223016</v>
      </c>
      <c r="B108" t="str">
        <f>"1552374743009627"</f>
        <v>1552374743009627</v>
      </c>
      <c r="C108" t="s">
        <v>40</v>
      </c>
      <c r="D108">
        <v>4.1448519999999904</v>
      </c>
      <c r="E108">
        <v>0.50786049999999905</v>
      </c>
      <c r="F108" t="s">
        <v>42</v>
      </c>
      <c r="G108">
        <v>-445.81599999999997</v>
      </c>
      <c r="H108" s="1">
        <v>-2.266577E-6</v>
      </c>
      <c r="I108">
        <v>367.8784</v>
      </c>
      <c r="J108">
        <v>-463.33859999999999</v>
      </c>
      <c r="K108">
        <v>1.1090420000000001</v>
      </c>
      <c r="L108">
        <v>367.44170000000003</v>
      </c>
      <c r="M108">
        <v>0.99967019999999995</v>
      </c>
      <c r="N108">
        <v>0</v>
      </c>
      <c r="O108">
        <v>2.554524E-2</v>
      </c>
      <c r="P108">
        <v>0.99605969999999999</v>
      </c>
      <c r="Q108">
        <v>8.4764560000000003E-2</v>
      </c>
      <c r="R108">
        <v>-2.6087030000000001E-2</v>
      </c>
      <c r="S108">
        <v>3.030243</v>
      </c>
      <c r="T108">
        <v>-0.18958829999999999</v>
      </c>
      <c r="U108">
        <v>7.5561519999999993E-2</v>
      </c>
      <c r="V108">
        <v>5.1506780000000002E-2</v>
      </c>
      <c r="W108">
        <v>8.7446750000000004E-2</v>
      </c>
      <c r="X108">
        <v>0.99483670000000002</v>
      </c>
      <c r="Y108">
        <v>5.6646859999999997E-4</v>
      </c>
      <c r="Z108">
        <v>-1.613888E-3</v>
      </c>
      <c r="AA108">
        <v>0.99999850000000001</v>
      </c>
      <c r="AB108">
        <v>22</v>
      </c>
      <c r="AC108">
        <v>17.522600000000001</v>
      </c>
      <c r="AD108">
        <v>-1.1090442665769999</v>
      </c>
      <c r="AE108">
        <v>0.436699999999973</v>
      </c>
      <c r="AF108">
        <v>1.1018970875107999E-2</v>
      </c>
      <c r="AG108">
        <v>-1.1090442665769999</v>
      </c>
      <c r="AH108">
        <v>17.458145141051801</v>
      </c>
      <c r="AI108">
        <v>93.6348805397935</v>
      </c>
      <c r="AJ108">
        <v>89.963836911837703</v>
      </c>
      <c r="AK108">
        <v>17.493339657394699</v>
      </c>
      <c r="AL108">
        <v>84.9832624629896</v>
      </c>
      <c r="AM108">
        <v>87.036208596388903</v>
      </c>
      <c r="AN108">
        <v>0.99999997106921001</v>
      </c>
    </row>
    <row r="109" spans="1:40" x14ac:dyDescent="0.25">
      <c r="A109" t="str">
        <f>"20190312151223038"</f>
        <v>20190312151223038</v>
      </c>
      <c r="B109" t="str">
        <f>"1552374743029148"</f>
        <v>1552374743029148</v>
      </c>
      <c r="C109" t="s">
        <v>40</v>
      </c>
      <c r="D109">
        <v>4.1008690000000003</v>
      </c>
      <c r="E109">
        <v>0.513845</v>
      </c>
      <c r="F109" t="s">
        <v>42</v>
      </c>
      <c r="G109">
        <v>-440.1275</v>
      </c>
      <c r="H109" s="1">
        <v>-5.2318189999999999E-6</v>
      </c>
      <c r="I109">
        <v>366.32089999999999</v>
      </c>
      <c r="J109">
        <v>-463.10840000000002</v>
      </c>
      <c r="K109">
        <v>1.109043</v>
      </c>
      <c r="L109">
        <v>367.44779999999997</v>
      </c>
      <c r="M109">
        <v>0.99966569999999999</v>
      </c>
      <c r="N109">
        <v>0</v>
      </c>
      <c r="O109">
        <v>2.5708729999999999E-2</v>
      </c>
      <c r="P109">
        <v>0.99603839999999999</v>
      </c>
      <c r="Q109">
        <v>8.5028690000000004E-2</v>
      </c>
      <c r="R109">
        <v>-2.6035559999999999E-2</v>
      </c>
      <c r="S109">
        <v>3.0203549999999999</v>
      </c>
      <c r="T109">
        <v>-0.14431569999999999</v>
      </c>
      <c r="U109">
        <v>-0.14584349999999999</v>
      </c>
      <c r="V109">
        <v>5.1619699999999998E-2</v>
      </c>
      <c r="W109">
        <v>8.7779720000000006E-2</v>
      </c>
      <c r="X109">
        <v>0.99480159999999995</v>
      </c>
      <c r="Y109">
        <v>7.3780369999999998E-2</v>
      </c>
      <c r="Z109">
        <v>-2.9876920000000001E-3</v>
      </c>
      <c r="AA109">
        <v>0.99726999999999999</v>
      </c>
      <c r="AB109">
        <v>22</v>
      </c>
      <c r="AC109">
        <v>22.980899999999998</v>
      </c>
      <c r="AD109">
        <v>-1.109048231819</v>
      </c>
      <c r="AE109">
        <v>-1.12689999999997</v>
      </c>
      <c r="AF109">
        <v>1.71335869749458</v>
      </c>
      <c r="AG109">
        <v>-1.109048231819</v>
      </c>
      <c r="AH109">
        <v>22.891147660367</v>
      </c>
      <c r="AI109">
        <v>92.766016803763506</v>
      </c>
      <c r="AJ109">
        <v>85.719501843176701</v>
      </c>
      <c r="AK109">
        <v>22.981954381982099</v>
      </c>
      <c r="AL109">
        <v>84.964111429626698</v>
      </c>
      <c r="AM109">
        <v>87.029617988234605</v>
      </c>
      <c r="AN109">
        <v>1.00000004801696</v>
      </c>
    </row>
    <row r="110" spans="1:40" x14ac:dyDescent="0.25">
      <c r="A110" t="str">
        <f>"20190312151223062"</f>
        <v>20190312151223062</v>
      </c>
      <c r="B110" t="str">
        <f>"1552374743059404"</f>
        <v>1552374743059404</v>
      </c>
      <c r="C110" t="s">
        <v>40</v>
      </c>
      <c r="D110">
        <v>4.0507350000000004</v>
      </c>
      <c r="E110">
        <v>0.51641579999999998</v>
      </c>
      <c r="F110" t="s">
        <v>43</v>
      </c>
      <c r="G110">
        <v>-436.9554</v>
      </c>
      <c r="H110">
        <v>-0.05</v>
      </c>
      <c r="I110">
        <v>365.77359999999999</v>
      </c>
      <c r="J110">
        <v>-462.87220000000002</v>
      </c>
      <c r="K110">
        <v>1.1090390000000001</v>
      </c>
      <c r="L110">
        <v>367.45400000000001</v>
      </c>
      <c r="M110">
        <v>0.99966169999999999</v>
      </c>
      <c r="N110">
        <v>0</v>
      </c>
      <c r="O110">
        <v>2.5857370000000001E-2</v>
      </c>
      <c r="P110">
        <v>0.99602000000000002</v>
      </c>
      <c r="Q110">
        <v>8.528107E-2</v>
      </c>
      <c r="R110">
        <v>-2.5914260000000001E-2</v>
      </c>
      <c r="S110">
        <v>3.0182799999999999</v>
      </c>
      <c r="T110">
        <v>-0.13376399999999999</v>
      </c>
      <c r="U110">
        <v>-0.19320680000000001</v>
      </c>
      <c r="V110">
        <v>5.1647739999999998E-2</v>
      </c>
      <c r="W110">
        <v>8.810461E-2</v>
      </c>
      <c r="X110">
        <v>0.99477139999999997</v>
      </c>
      <c r="Y110">
        <v>8.9551919999999993E-2</v>
      </c>
      <c r="Z110">
        <v>-3.125741E-3</v>
      </c>
      <c r="AA110">
        <v>0.99597720000000001</v>
      </c>
      <c r="AB110">
        <v>22</v>
      </c>
      <c r="AC110">
        <v>25.916799999999999</v>
      </c>
      <c r="AD110">
        <v>-1.1590389999999999</v>
      </c>
      <c r="AE110">
        <v>-1.6804000000000101</v>
      </c>
      <c r="AF110">
        <v>2.3453100494444898</v>
      </c>
      <c r="AG110">
        <v>-1.1590389999999999</v>
      </c>
      <c r="AH110">
        <v>25.813272741947401</v>
      </c>
      <c r="AI110">
        <v>92.5603728409002</v>
      </c>
      <c r="AJ110">
        <v>84.808545479513</v>
      </c>
      <c r="AK110">
        <v>25.945498651629599</v>
      </c>
      <c r="AL110">
        <v>84.945424084876507</v>
      </c>
      <c r="AM110">
        <v>87.027917294151493</v>
      </c>
      <c r="AN110">
        <v>1.0000000248041501</v>
      </c>
    </row>
    <row r="111" spans="1:40" x14ac:dyDescent="0.25">
      <c r="A111" t="str">
        <f>"20190312151223083"</f>
        <v>20190312151223083</v>
      </c>
      <c r="B111" t="str">
        <f>"1552374743079899"</f>
        <v>1552374743079899</v>
      </c>
      <c r="C111" t="s">
        <v>40</v>
      </c>
      <c r="D111">
        <v>4.0359400000000001</v>
      </c>
      <c r="E111">
        <v>0.5167621</v>
      </c>
      <c r="F111" t="s">
        <v>43</v>
      </c>
      <c r="G111">
        <v>-435.62349999999998</v>
      </c>
      <c r="H111">
        <v>-0.05</v>
      </c>
      <c r="I111">
        <v>365.52659999999997</v>
      </c>
      <c r="J111">
        <v>-462.65300000000002</v>
      </c>
      <c r="K111">
        <v>1.109043</v>
      </c>
      <c r="L111">
        <v>367.45979999999997</v>
      </c>
      <c r="M111">
        <v>0.99965820000000005</v>
      </c>
      <c r="N111">
        <v>0</v>
      </c>
      <c r="O111">
        <v>2.598201E-2</v>
      </c>
      <c r="P111">
        <v>0.99600339999999998</v>
      </c>
      <c r="Q111">
        <v>8.5443359999999996E-2</v>
      </c>
      <c r="R111">
        <v>-2.60144E-2</v>
      </c>
      <c r="S111">
        <v>3.0174259999999999</v>
      </c>
      <c r="T111">
        <v>-0.12834799999999999</v>
      </c>
      <c r="U111">
        <v>-0.21343989999999999</v>
      </c>
      <c r="V111">
        <v>5.1872729999999999E-2</v>
      </c>
      <c r="W111">
        <v>8.8336880000000007E-2</v>
      </c>
      <c r="X111">
        <v>0.99473909999999999</v>
      </c>
      <c r="Y111">
        <v>9.6342919999999999E-2</v>
      </c>
      <c r="Z111">
        <v>-3.1489729999999998E-3</v>
      </c>
      <c r="AA111">
        <v>0.99534319999999998</v>
      </c>
      <c r="AB111">
        <v>23</v>
      </c>
      <c r="AC111">
        <v>27.029499999999999</v>
      </c>
      <c r="AD111">
        <v>-1.159043</v>
      </c>
      <c r="AE111">
        <v>-1.9332</v>
      </c>
      <c r="AF111">
        <v>2.6300197207444498</v>
      </c>
      <c r="AG111">
        <v>-1.159043</v>
      </c>
      <c r="AH111">
        <v>26.920897499533801</v>
      </c>
      <c r="AI111">
        <v>92.453603540518799</v>
      </c>
      <c r="AJ111">
        <v>84.420232262703095</v>
      </c>
      <c r="AK111">
        <v>27.073882370058399</v>
      </c>
      <c r="AL111">
        <v>84.932063932785695</v>
      </c>
      <c r="AM111">
        <v>87.014896799632794</v>
      </c>
      <c r="AN111">
        <v>1.00000003077729</v>
      </c>
    </row>
    <row r="112" spans="1:40" x14ac:dyDescent="0.25">
      <c r="A112" t="str">
        <f>"20190312151223107"</f>
        <v>20190312151223107</v>
      </c>
      <c r="B112" t="str">
        <f>"1552374743099419"</f>
        <v>1552374743099419</v>
      </c>
      <c r="C112" t="s">
        <v>40</v>
      </c>
      <c r="D112">
        <v>4.0625419999999997</v>
      </c>
      <c r="E112">
        <v>0.51693449999999996</v>
      </c>
      <c r="F112" t="s">
        <v>43</v>
      </c>
      <c r="G112">
        <v>-435.32709999999997</v>
      </c>
      <c r="H112">
        <v>-0.05</v>
      </c>
      <c r="I112">
        <v>365.50139999999999</v>
      </c>
      <c r="J112">
        <v>-462.42039999999997</v>
      </c>
      <c r="K112">
        <v>1.1090530000000001</v>
      </c>
      <c r="L112">
        <v>367.46600000000001</v>
      </c>
      <c r="M112">
        <v>0.99965479999999995</v>
      </c>
      <c r="N112">
        <v>0</v>
      </c>
      <c r="O112">
        <v>2.6104180000000001E-2</v>
      </c>
      <c r="P112">
        <v>0.99599590000000005</v>
      </c>
      <c r="Q112">
        <v>8.5466180000000003E-2</v>
      </c>
      <c r="R112">
        <v>-2.6225809999999999E-2</v>
      </c>
      <c r="S112">
        <v>3.0173649999999999</v>
      </c>
      <c r="T112">
        <v>-0.12798289999999901</v>
      </c>
      <c r="U112">
        <v>-0.21624760000000001</v>
      </c>
      <c r="V112">
        <v>5.2206599999999999E-2</v>
      </c>
      <c r="W112">
        <v>8.8441359999999997E-2</v>
      </c>
      <c r="X112">
        <v>0.99471229999999999</v>
      </c>
      <c r="Y112">
        <v>9.7386990000000007E-2</v>
      </c>
      <c r="Z112">
        <v>-3.1672639999999999E-3</v>
      </c>
      <c r="AA112">
        <v>0.9952415</v>
      </c>
      <c r="AB112">
        <v>23</v>
      </c>
      <c r="AC112">
        <v>27.093299999999999</v>
      </c>
      <c r="AD112">
        <v>-1.1590530000000001</v>
      </c>
      <c r="AE112">
        <v>-1.9646000000000099</v>
      </c>
      <c r="AF112">
        <v>2.66632781131855</v>
      </c>
      <c r="AG112">
        <v>-1.1590530000000001</v>
      </c>
      <c r="AH112">
        <v>26.983657383954402</v>
      </c>
      <c r="AI112">
        <v>92.447658807322</v>
      </c>
      <c r="AJ112">
        <v>84.356768976773694</v>
      </c>
      <c r="AK112">
        <v>27.139831865154601</v>
      </c>
      <c r="AL112">
        <v>84.926053897107806</v>
      </c>
      <c r="AM112">
        <v>86.995637980983005</v>
      </c>
      <c r="AN112">
        <v>0.99999998150674896</v>
      </c>
    </row>
    <row r="113" spans="1:40" x14ac:dyDescent="0.25">
      <c r="A113" t="str">
        <f>"20190312151223129"</f>
        <v>20190312151223129</v>
      </c>
      <c r="B113" t="str">
        <f>"1552374743119915"</f>
        <v>1552374743119915</v>
      </c>
      <c r="C113" t="s">
        <v>40</v>
      </c>
      <c r="D113">
        <v>4.0383180000000003</v>
      </c>
      <c r="E113">
        <v>0.51721879999999998</v>
      </c>
      <c r="F113" t="s">
        <v>43</v>
      </c>
      <c r="G113">
        <v>-434.28489999999999</v>
      </c>
      <c r="H113">
        <v>-0.05</v>
      </c>
      <c r="I113">
        <v>365.42970000000003</v>
      </c>
      <c r="J113">
        <v>-462.18239999999997</v>
      </c>
      <c r="K113">
        <v>1.109062</v>
      </c>
      <c r="L113">
        <v>367.47230000000002</v>
      </c>
      <c r="M113">
        <v>0.99965139999999997</v>
      </c>
      <c r="N113">
        <v>0</v>
      </c>
      <c r="O113">
        <v>2.6222289999999999E-2</v>
      </c>
      <c r="P113">
        <v>0.99597599999999997</v>
      </c>
      <c r="Q113">
        <v>8.5700419999999999E-2</v>
      </c>
      <c r="R113">
        <v>-2.6219329999999999E-2</v>
      </c>
      <c r="S113">
        <v>3.0169679999999999</v>
      </c>
      <c r="T113">
        <v>-0.1242851</v>
      </c>
      <c r="U113">
        <v>-0.2183533</v>
      </c>
      <c r="V113">
        <v>5.2317570000000001E-2</v>
      </c>
      <c r="W113">
        <v>8.8764830000000003E-2</v>
      </c>
      <c r="X113">
        <v>0.9946777</v>
      </c>
      <c r="Y113">
        <v>9.8210409999999998E-2</v>
      </c>
      <c r="Z113">
        <v>-3.0979499999999999E-3</v>
      </c>
      <c r="AA113">
        <v>0.99516090000000001</v>
      </c>
      <c r="AB113">
        <v>23</v>
      </c>
      <c r="AC113">
        <v>27.897499999999901</v>
      </c>
      <c r="AD113">
        <v>-1.159062</v>
      </c>
      <c r="AE113">
        <v>-2.04259999999999</v>
      </c>
      <c r="AF113">
        <v>2.7686836913995601</v>
      </c>
      <c r="AG113">
        <v>-1.159062</v>
      </c>
      <c r="AH113">
        <v>27.786636468074001</v>
      </c>
      <c r="AI113">
        <v>92.376833864688606</v>
      </c>
      <c r="AJ113">
        <v>84.309782410879293</v>
      </c>
      <c r="AK113">
        <v>27.948277233342399</v>
      </c>
      <c r="AL113">
        <v>84.907447473368705</v>
      </c>
      <c r="AM113">
        <v>86.989159129564001</v>
      </c>
      <c r="AN113">
        <v>1.00000002502646</v>
      </c>
    </row>
    <row r="114" spans="1:40" x14ac:dyDescent="0.25">
      <c r="A114" t="str">
        <f>"20190312151223152"</f>
        <v>20190312151223152</v>
      </c>
      <c r="B114" t="str">
        <f>"1552374743139436"</f>
        <v>1552374743139436</v>
      </c>
      <c r="C114" t="s">
        <v>40</v>
      </c>
      <c r="D114">
        <v>4.0104610000000003</v>
      </c>
      <c r="E114">
        <v>0.51752200000000004</v>
      </c>
      <c r="F114" t="s">
        <v>43</v>
      </c>
      <c r="G114">
        <v>-432.06619999999998</v>
      </c>
      <c r="H114">
        <v>-0.05</v>
      </c>
      <c r="I114">
        <v>365.27019999999999</v>
      </c>
      <c r="J114">
        <v>-461.94400000000002</v>
      </c>
      <c r="K114">
        <v>1.109075</v>
      </c>
      <c r="L114">
        <v>367.4787</v>
      </c>
      <c r="M114">
        <v>0.99964819999999999</v>
      </c>
      <c r="N114">
        <v>0</v>
      </c>
      <c r="O114">
        <v>2.6335939999999999E-2</v>
      </c>
      <c r="P114">
        <v>0.99595769999999995</v>
      </c>
      <c r="Q114">
        <v>8.5791469999999995E-2</v>
      </c>
      <c r="R114">
        <v>-2.661438E-2</v>
      </c>
      <c r="S114">
        <v>3.0162960000000001</v>
      </c>
      <c r="T114">
        <v>-0.11608590000000001</v>
      </c>
      <c r="U114">
        <v>-0.22055050000000001</v>
      </c>
      <c r="V114">
        <v>5.2824900000000001E-2</v>
      </c>
      <c r="W114">
        <v>8.8947670000000006E-2</v>
      </c>
      <c r="X114">
        <v>0.99463449999999998</v>
      </c>
      <c r="Y114">
        <v>9.9073220000000004E-2</v>
      </c>
      <c r="Z114">
        <v>-2.9152420000000002E-3</v>
      </c>
      <c r="AA114">
        <v>0.99507590000000001</v>
      </c>
      <c r="AB114">
        <v>23</v>
      </c>
      <c r="AC114">
        <v>29.877800000000001</v>
      </c>
      <c r="AD114">
        <v>-1.1590750000000001</v>
      </c>
      <c r="AE114">
        <v>-2.2085000000000101</v>
      </c>
      <c r="AF114">
        <v>2.9901222430901799</v>
      </c>
      <c r="AG114">
        <v>-1.1590750000000001</v>
      </c>
      <c r="AH114">
        <v>29.764722154290201</v>
      </c>
      <c r="AI114">
        <v>92.218884507359206</v>
      </c>
      <c r="AJ114">
        <v>84.263392498761306</v>
      </c>
      <c r="AK114">
        <v>29.936983328424098</v>
      </c>
      <c r="AL114">
        <v>84.896929646115098</v>
      </c>
      <c r="AM114">
        <v>86.959885343594294</v>
      </c>
      <c r="AN114">
        <v>0.99999997332434398</v>
      </c>
    </row>
    <row r="115" spans="1:40" x14ac:dyDescent="0.25">
      <c r="A115" t="str">
        <f>"20190312151223174"</f>
        <v>20190312151223174</v>
      </c>
      <c r="B115" t="str">
        <f>"1552374743169692"</f>
        <v>1552374743169692</v>
      </c>
      <c r="C115" t="s">
        <v>40</v>
      </c>
      <c r="D115">
        <v>4.0224830000000003</v>
      </c>
      <c r="E115">
        <v>0.51788100000000004</v>
      </c>
      <c r="F115" t="s">
        <v>43</v>
      </c>
      <c r="G115">
        <v>-429.60610000000003</v>
      </c>
      <c r="H115">
        <v>-0.05</v>
      </c>
      <c r="I115">
        <v>365.0772</v>
      </c>
      <c r="J115">
        <v>-461.71080000000001</v>
      </c>
      <c r="K115">
        <v>1.109086</v>
      </c>
      <c r="L115">
        <v>367.48500000000001</v>
      </c>
      <c r="M115">
        <v>0.99964500000000001</v>
      </c>
      <c r="N115">
        <v>0</v>
      </c>
      <c r="O115">
        <v>2.644577E-2</v>
      </c>
      <c r="P115">
        <v>0.99595889999999998</v>
      </c>
      <c r="Q115">
        <v>8.5780460000000003E-2</v>
      </c>
      <c r="R115">
        <v>-2.660995E-2</v>
      </c>
      <c r="S115">
        <v>3.015533</v>
      </c>
      <c r="T115">
        <v>-0.10808470000000001</v>
      </c>
      <c r="U115">
        <v>-0.223938</v>
      </c>
      <c r="V115">
        <v>5.2929339999999998E-2</v>
      </c>
      <c r="W115">
        <v>8.902794E-2</v>
      </c>
      <c r="X115">
        <v>0.9946218</v>
      </c>
      <c r="Y115">
        <v>0.100324</v>
      </c>
      <c r="Z115">
        <v>-2.741327E-3</v>
      </c>
      <c r="AA115">
        <v>0.99495109999999998</v>
      </c>
      <c r="AB115">
        <v>23</v>
      </c>
      <c r="AC115">
        <v>32.104699999999902</v>
      </c>
      <c r="AD115">
        <v>-1.1590860000000001</v>
      </c>
      <c r="AE115">
        <v>-2.4077999999999999</v>
      </c>
      <c r="AF115">
        <v>3.2517810055757499</v>
      </c>
      <c r="AG115">
        <v>-1.1590860000000001</v>
      </c>
      <c r="AH115">
        <v>31.988332835394001</v>
      </c>
      <c r="AI115">
        <v>92.064553919921394</v>
      </c>
      <c r="AJ115">
        <v>84.195524204608404</v>
      </c>
      <c r="AK115">
        <v>32.174073376735599</v>
      </c>
      <c r="AL115">
        <v>84.892312367920894</v>
      </c>
      <c r="AM115">
        <v>86.953847226040594</v>
      </c>
      <c r="AN115">
        <v>1.00000000708435</v>
      </c>
    </row>
    <row r="116" spans="1:40" x14ac:dyDescent="0.25">
      <c r="A116" t="str">
        <f>"20190312151223197"</f>
        <v>20190312151223197</v>
      </c>
      <c r="B116" t="str">
        <f>"1552374743189212"</f>
        <v>1552374743189212</v>
      </c>
      <c r="C116" t="s">
        <v>40</v>
      </c>
      <c r="D116">
        <v>4.0109539999999999</v>
      </c>
      <c r="E116">
        <v>0.5180458</v>
      </c>
      <c r="F116" t="s">
        <v>43</v>
      </c>
      <c r="G116">
        <v>-425.93090000000001</v>
      </c>
      <c r="H116">
        <v>-0.05</v>
      </c>
      <c r="I116">
        <v>364.79340000000002</v>
      </c>
      <c r="J116">
        <v>-461.47390000000001</v>
      </c>
      <c r="K116">
        <v>1.1091</v>
      </c>
      <c r="L116">
        <v>367.4914</v>
      </c>
      <c r="M116">
        <v>0.99964169999999997</v>
      </c>
      <c r="N116">
        <v>0</v>
      </c>
      <c r="O116">
        <v>2.6557259999999999E-2</v>
      </c>
      <c r="P116">
        <v>0.99595900000000004</v>
      </c>
      <c r="Q116">
        <v>8.574118E-2</v>
      </c>
      <c r="R116">
        <v>-2.672621E-2</v>
      </c>
      <c r="S116">
        <v>3.0145569999999999</v>
      </c>
      <c r="T116">
        <v>-9.7656370000000006E-2</v>
      </c>
      <c r="U116">
        <v>-0.22677610000000001</v>
      </c>
      <c r="V116">
        <v>5.3156009999999997E-2</v>
      </c>
      <c r="W116">
        <v>8.9086830000000006E-2</v>
      </c>
      <c r="X116">
        <v>0.99460440000000006</v>
      </c>
      <c r="Y116">
        <v>0.10140440000000001</v>
      </c>
      <c r="Z116">
        <v>-2.498774E-3</v>
      </c>
      <c r="AA116">
        <v>0.99484220000000001</v>
      </c>
      <c r="AB116">
        <v>23</v>
      </c>
      <c r="AC116">
        <v>35.542999999999999</v>
      </c>
      <c r="AD116">
        <v>-1.1591</v>
      </c>
      <c r="AE116">
        <v>-2.6979999999999702</v>
      </c>
      <c r="AF116">
        <v>3.6371324624480099</v>
      </c>
      <c r="AG116">
        <v>-1.1591</v>
      </c>
      <c r="AH116">
        <v>35.421357268072299</v>
      </c>
      <c r="AI116">
        <v>91.864436042863801</v>
      </c>
      <c r="AJ116">
        <v>84.137307141698102</v>
      </c>
      <c r="AK116">
        <v>35.626462020130703</v>
      </c>
      <c r="AL116">
        <v>84.888924561536697</v>
      </c>
      <c r="AM116">
        <v>86.940773379955303</v>
      </c>
      <c r="AN116">
        <v>0.99999996858896401</v>
      </c>
    </row>
    <row r="117" spans="1:40" x14ac:dyDescent="0.25">
      <c r="A117" t="str">
        <f>"20190312151223217"</f>
        <v>20190312151223217</v>
      </c>
      <c r="B117" t="str">
        <f>"1552374743209709"</f>
        <v>1552374743209709</v>
      </c>
      <c r="C117" t="s">
        <v>40</v>
      </c>
      <c r="D117">
        <v>4.0260030000000002</v>
      </c>
      <c r="E117">
        <v>0.51813949999999998</v>
      </c>
      <c r="F117" t="s">
        <v>43</v>
      </c>
      <c r="G117">
        <v>-423.75740000000002</v>
      </c>
      <c r="H117">
        <v>-0.05</v>
      </c>
      <c r="I117">
        <v>364.63139999999999</v>
      </c>
      <c r="J117">
        <v>-461.25630000000001</v>
      </c>
      <c r="K117">
        <v>1.109124</v>
      </c>
      <c r="L117">
        <v>367.4973</v>
      </c>
      <c r="M117">
        <v>0.99963869999999999</v>
      </c>
      <c r="N117">
        <v>0</v>
      </c>
      <c r="O117">
        <v>2.665969E-2</v>
      </c>
      <c r="P117">
        <v>0.99595449999999996</v>
      </c>
      <c r="Q117">
        <v>8.5739969999999999E-2</v>
      </c>
      <c r="R117">
        <v>-2.6904850000000001E-2</v>
      </c>
      <c r="S117">
        <v>3.0140380000000002</v>
      </c>
      <c r="T117">
        <v>-9.2627050000000002E-2</v>
      </c>
      <c r="U117">
        <v>-0.2285461</v>
      </c>
      <c r="V117">
        <v>5.3435679999999999E-2</v>
      </c>
      <c r="W117">
        <v>8.9181339999999998E-2</v>
      </c>
      <c r="X117">
        <v>0.99458100000000005</v>
      </c>
      <c r="Y117">
        <v>0.1021064</v>
      </c>
      <c r="Z117">
        <v>-2.3844169999999998E-3</v>
      </c>
      <c r="AA117">
        <v>0.99477059999999995</v>
      </c>
      <c r="AB117">
        <v>24</v>
      </c>
      <c r="AC117">
        <v>37.4988999999999</v>
      </c>
      <c r="AD117">
        <v>-1.159124</v>
      </c>
      <c r="AE117">
        <v>-2.8659000000000101</v>
      </c>
      <c r="AF117">
        <v>3.86092863908328</v>
      </c>
      <c r="AG117">
        <v>-1.159124</v>
      </c>
      <c r="AH117">
        <v>37.373664541080501</v>
      </c>
      <c r="AI117">
        <v>91.767030212705507</v>
      </c>
      <c r="AJ117">
        <v>84.101917140014905</v>
      </c>
      <c r="AK117">
        <v>37.590439471129997</v>
      </c>
      <c r="AL117">
        <v>84.883488183816795</v>
      </c>
      <c r="AM117">
        <v>86.924636454137001</v>
      </c>
      <c r="AN117">
        <v>1.00000002443112</v>
      </c>
    </row>
    <row r="118" spans="1:40" x14ac:dyDescent="0.25">
      <c r="A118" t="str">
        <f>"20190312151223239"</f>
        <v>20190312151223239</v>
      </c>
      <c r="B118" t="str">
        <f>"1552374743229228"</f>
        <v>1552374743229228</v>
      </c>
      <c r="C118" t="s">
        <v>40</v>
      </c>
      <c r="D118">
        <v>4.0391009999999996</v>
      </c>
      <c r="E118">
        <v>0.51811399999999996</v>
      </c>
      <c r="F118" t="s">
        <v>43</v>
      </c>
      <c r="G118">
        <v>-423.61709999999999</v>
      </c>
      <c r="H118">
        <v>-0.05</v>
      </c>
      <c r="I118">
        <v>364.63049999999998</v>
      </c>
      <c r="J118">
        <v>-461.01560000000001</v>
      </c>
      <c r="K118">
        <v>1.1091340000000001</v>
      </c>
      <c r="L118">
        <v>367.50380000000001</v>
      </c>
      <c r="M118">
        <v>0.99963519999999995</v>
      </c>
      <c r="N118">
        <v>0</v>
      </c>
      <c r="O118">
        <v>2.6774780000000001E-2</v>
      </c>
      <c r="P118">
        <v>0.99592860000000005</v>
      </c>
      <c r="Q118">
        <v>8.6182170000000002E-2</v>
      </c>
      <c r="R118">
        <v>-2.6434929999999999E-2</v>
      </c>
      <c r="S118">
        <v>3.0139469999999999</v>
      </c>
      <c r="T118">
        <v>-9.2816350000000006E-2</v>
      </c>
      <c r="U118">
        <v>-0.22955320000000001</v>
      </c>
      <c r="V118">
        <v>5.3079380000000002E-2</v>
      </c>
      <c r="W118">
        <v>8.9733679999999996E-2</v>
      </c>
      <c r="X118">
        <v>0.9945503</v>
      </c>
      <c r="Y118">
        <v>0.10255309999999999</v>
      </c>
      <c r="Z118">
        <v>-2.3997390000000001E-3</v>
      </c>
      <c r="AA118">
        <v>0.99472459999999996</v>
      </c>
      <c r="AB118">
        <v>24</v>
      </c>
      <c r="AC118">
        <v>37.398499999999999</v>
      </c>
      <c r="AD118">
        <v>-1.1591340000000001</v>
      </c>
      <c r="AE118">
        <v>-2.8733000000000199</v>
      </c>
      <c r="AF118">
        <v>3.8699170243510199</v>
      </c>
      <c r="AG118">
        <v>-1.1591340000000001</v>
      </c>
      <c r="AH118">
        <v>37.272564422040297</v>
      </c>
      <c r="AI118">
        <v>91.771740831892799</v>
      </c>
      <c r="AJ118">
        <v>84.072362080175694</v>
      </c>
      <c r="AK118">
        <v>37.490850990614497</v>
      </c>
      <c r="AL118">
        <v>84.851713534140103</v>
      </c>
      <c r="AM118">
        <v>86.945009362137</v>
      </c>
      <c r="AN118">
        <v>0.99999992656880499</v>
      </c>
    </row>
    <row r="119" spans="1:40" x14ac:dyDescent="0.25">
      <c r="A119" t="str">
        <f>"20190312151223263"</f>
        <v>20190312151223263</v>
      </c>
      <c r="B119" t="str">
        <f>"1552374743259484"</f>
        <v>1552374743259484</v>
      </c>
      <c r="C119" t="s">
        <v>40</v>
      </c>
      <c r="D119">
        <v>4.0273599999999998</v>
      </c>
      <c r="E119">
        <v>0.51821349999999999</v>
      </c>
      <c r="F119" t="s">
        <v>43</v>
      </c>
      <c r="G119">
        <v>-423.67349999999999</v>
      </c>
      <c r="H119">
        <v>-0.05</v>
      </c>
      <c r="I119">
        <v>364.67360000000002</v>
      </c>
      <c r="J119">
        <v>-460.77</v>
      </c>
      <c r="K119">
        <v>1.1091500000000001</v>
      </c>
      <c r="L119">
        <v>367.51049999999998</v>
      </c>
      <c r="M119">
        <v>0.99963159999999895</v>
      </c>
      <c r="N119">
        <v>0</v>
      </c>
      <c r="O119">
        <v>2.689302E-2</v>
      </c>
      <c r="P119">
        <v>0.99596459999999998</v>
      </c>
      <c r="Q119">
        <v>8.5876499999999995E-2</v>
      </c>
      <c r="R119">
        <v>-2.6076970000000001E-2</v>
      </c>
      <c r="S119">
        <v>3.0142820000000001</v>
      </c>
      <c r="T119">
        <v>-9.3566300000000005E-2</v>
      </c>
      <c r="U119">
        <v>-0.22845460000000001</v>
      </c>
      <c r="V119">
        <v>5.283972E-2</v>
      </c>
      <c r="W119">
        <v>8.9543250000000005E-2</v>
      </c>
      <c r="X119">
        <v>0.99458029999999997</v>
      </c>
      <c r="Y119">
        <v>0.102301</v>
      </c>
      <c r="Z119">
        <v>-2.4186419999999999E-3</v>
      </c>
      <c r="AA119">
        <v>0.99475060000000004</v>
      </c>
      <c r="AB119">
        <v>24</v>
      </c>
      <c r="AC119">
        <v>37.096499999999899</v>
      </c>
      <c r="AD119">
        <v>-1.1591499999999999</v>
      </c>
      <c r="AE119">
        <v>-2.8368999999999498</v>
      </c>
      <c r="AF119">
        <v>3.8297999921164898</v>
      </c>
      <c r="AG119">
        <v>-1.1591499999999999</v>
      </c>
      <c r="AH119">
        <v>36.970902019317798</v>
      </c>
      <c r="AI119">
        <v>91.786256160934897</v>
      </c>
      <c r="AJ119">
        <v>84.085848932903801</v>
      </c>
      <c r="AK119">
        <v>37.186806703777499</v>
      </c>
      <c r="AL119">
        <v>84.862668856189998</v>
      </c>
      <c r="AM119">
        <v>86.958868634061801</v>
      </c>
      <c r="AN119">
        <v>1.0000000013891599</v>
      </c>
    </row>
    <row r="120" spans="1:40" x14ac:dyDescent="0.25">
      <c r="A120" t="str">
        <f>"20190312151223284"</f>
        <v>20190312151223284</v>
      </c>
      <c r="B120" t="str">
        <f>"1552374743279981"</f>
        <v>1552374743279981</v>
      </c>
      <c r="C120" t="s">
        <v>40</v>
      </c>
      <c r="D120">
        <v>4.2193769999999997</v>
      </c>
      <c r="E120">
        <v>0.51833039999999997</v>
      </c>
      <c r="F120" t="s">
        <v>43</v>
      </c>
      <c r="G120">
        <v>-424.28530000000001</v>
      </c>
      <c r="H120">
        <v>-0.05</v>
      </c>
      <c r="I120">
        <v>364.74950000000001</v>
      </c>
      <c r="J120">
        <v>-460.53190000000001</v>
      </c>
      <c r="K120">
        <v>1.1091690000000001</v>
      </c>
      <c r="L120">
        <v>367.517</v>
      </c>
      <c r="M120">
        <v>0.99962810000000002</v>
      </c>
      <c r="N120">
        <v>0</v>
      </c>
      <c r="O120">
        <v>2.700719E-2</v>
      </c>
      <c r="P120">
        <v>0.99599950000000004</v>
      </c>
      <c r="Q120">
        <v>8.5430430000000002E-2</v>
      </c>
      <c r="R120">
        <v>-2.62096E-2</v>
      </c>
      <c r="S120">
        <v>3.0144350000000002</v>
      </c>
      <c r="T120">
        <v>-9.5771190000000006E-2</v>
      </c>
      <c r="U120">
        <v>-0.22811890000000001</v>
      </c>
      <c r="V120">
        <v>5.3086429999999997E-2</v>
      </c>
      <c r="W120">
        <v>8.9211750000000006E-2</v>
      </c>
      <c r="X120">
        <v>0.99459699999999995</v>
      </c>
      <c r="Y120">
        <v>0.10229770000000001</v>
      </c>
      <c r="Z120">
        <v>-2.479064E-3</v>
      </c>
      <c r="AA120">
        <v>0.99475069999999999</v>
      </c>
      <c r="AB120">
        <v>24</v>
      </c>
      <c r="AC120">
        <v>36.246600000000001</v>
      </c>
      <c r="AD120">
        <v>-1.1591689999999999</v>
      </c>
      <c r="AE120">
        <v>-2.7674999999999801</v>
      </c>
      <c r="AF120">
        <v>3.7416118475615598</v>
      </c>
      <c r="AG120">
        <v>-1.1591689999999999</v>
      </c>
      <c r="AH120">
        <v>36.121906874241503</v>
      </c>
      <c r="AI120">
        <v>91.828242657930204</v>
      </c>
      <c r="AJ120">
        <v>84.086227299138798</v>
      </c>
      <c r="AK120">
        <v>36.333668796582401</v>
      </c>
      <c r="AL120">
        <v>84.881738971988298</v>
      </c>
      <c r="AM120">
        <v>86.944747557532807</v>
      </c>
      <c r="AN120">
        <v>1.0000000488986001</v>
      </c>
    </row>
    <row r="121" spans="1:40" x14ac:dyDescent="0.25">
      <c r="A121" t="str">
        <f>"20190312151223307"</f>
        <v>20190312151223307</v>
      </c>
      <c r="B121" t="str">
        <f>"1552374743299500"</f>
        <v>1552374743299500</v>
      </c>
      <c r="C121" t="s">
        <v>40</v>
      </c>
      <c r="D121">
        <v>4.0452279999999998</v>
      </c>
      <c r="E121">
        <v>0.51847370000000004</v>
      </c>
      <c r="F121" t="s">
        <v>43</v>
      </c>
      <c r="G121">
        <v>-424.55360000000002</v>
      </c>
      <c r="H121">
        <v>-0.05</v>
      </c>
      <c r="I121">
        <v>364.78550000000001</v>
      </c>
      <c r="J121">
        <v>-460.29500000000002</v>
      </c>
      <c r="K121">
        <v>1.1091869999999999</v>
      </c>
      <c r="L121">
        <v>367.52359999999999</v>
      </c>
      <c r="M121">
        <v>0.99962470000000003</v>
      </c>
      <c r="N121">
        <v>0</v>
      </c>
      <c r="O121">
        <v>2.7119560000000001E-2</v>
      </c>
      <c r="P121">
        <v>0.99597539999999996</v>
      </c>
      <c r="Q121">
        <v>8.5663130000000004E-2</v>
      </c>
      <c r="R121">
        <v>-2.6368140000000002E-2</v>
      </c>
      <c r="S121">
        <v>3.0143740000000001</v>
      </c>
      <c r="T121">
        <v>-9.7118739999999995E-2</v>
      </c>
      <c r="U121">
        <v>-0.22885130000000001</v>
      </c>
      <c r="V121">
        <v>5.3356229999999998E-2</v>
      </c>
      <c r="W121">
        <v>8.9562230000000007E-2</v>
      </c>
      <c r="X121">
        <v>0.99455099999999996</v>
      </c>
      <c r="Y121">
        <v>0.1026493</v>
      </c>
      <c r="Z121">
        <v>-2.5232259999999999E-3</v>
      </c>
      <c r="AA121">
        <v>0.9947144</v>
      </c>
      <c r="AB121">
        <v>24</v>
      </c>
      <c r="AC121">
        <v>35.741399999999999</v>
      </c>
      <c r="AD121">
        <v>-1.159187</v>
      </c>
      <c r="AE121">
        <v>-2.73809999999997</v>
      </c>
      <c r="AF121">
        <v>3.7025193479957101</v>
      </c>
      <c r="AG121">
        <v>-1.159187</v>
      </c>
      <c r="AH121">
        <v>35.616751630264503</v>
      </c>
      <c r="AI121">
        <v>91.854112895090196</v>
      </c>
      <c r="AJ121">
        <v>84.065166571121694</v>
      </c>
      <c r="AK121">
        <v>35.8274386569177</v>
      </c>
      <c r="AL121">
        <v>84.861576915802203</v>
      </c>
      <c r="AM121">
        <v>86.929107800732893</v>
      </c>
      <c r="AN121">
        <v>0.99999998596169204</v>
      </c>
    </row>
    <row r="122" spans="1:40" x14ac:dyDescent="0.25">
      <c r="A122" t="str">
        <f>"20190312151223329"</f>
        <v>20190312151223329</v>
      </c>
      <c r="B122" t="str">
        <f>"1552374743319996"</f>
        <v>1552374743319996</v>
      </c>
      <c r="C122" t="s">
        <v>40</v>
      </c>
      <c r="D122">
        <v>4.0163409999999997</v>
      </c>
      <c r="E122">
        <v>0.51861670000000004</v>
      </c>
      <c r="F122" t="s">
        <v>43</v>
      </c>
      <c r="G122">
        <v>-423.09969999999998</v>
      </c>
      <c r="H122">
        <v>-0.05</v>
      </c>
      <c r="I122">
        <v>364.68099999999998</v>
      </c>
      <c r="J122">
        <v>-460.05270000000002</v>
      </c>
      <c r="K122">
        <v>1.1092040000000001</v>
      </c>
      <c r="L122">
        <v>367.53019999999998</v>
      </c>
      <c r="M122">
        <v>0.99962099999999998</v>
      </c>
      <c r="N122">
        <v>0</v>
      </c>
      <c r="O122">
        <v>2.723124E-2</v>
      </c>
      <c r="P122">
        <v>0.99600169999999999</v>
      </c>
      <c r="Q122">
        <v>8.5452630000000002E-2</v>
      </c>
      <c r="R122">
        <v>-2.6043799999999999E-2</v>
      </c>
      <c r="S122">
        <v>3.01416</v>
      </c>
      <c r="T122">
        <v>-9.3935969999999994E-2</v>
      </c>
      <c r="U122">
        <v>-0.23034669999999999</v>
      </c>
      <c r="V122">
        <v>5.3144039999999997E-2</v>
      </c>
      <c r="W122">
        <v>8.9476280000000005E-2</v>
      </c>
      <c r="X122">
        <v>0.99457010000000001</v>
      </c>
      <c r="Y122">
        <v>0.1032603</v>
      </c>
      <c r="Z122">
        <v>-2.4536850000000002E-3</v>
      </c>
      <c r="AA122">
        <v>0.99465130000000002</v>
      </c>
      <c r="AB122">
        <v>24</v>
      </c>
      <c r="AC122">
        <v>36.953000000000003</v>
      </c>
      <c r="AD122">
        <v>-1.1592039999999999</v>
      </c>
      <c r="AE122">
        <v>-2.84919999999999</v>
      </c>
      <c r="AF122">
        <v>3.8506607327576798</v>
      </c>
      <c r="AG122">
        <v>-1.1592039999999999</v>
      </c>
      <c r="AH122">
        <v>36.825683865267003</v>
      </c>
      <c r="AI122">
        <v>91.793199068267299</v>
      </c>
      <c r="AJ122">
        <v>84.030586050931603</v>
      </c>
      <c r="AK122">
        <v>37.044599257341197</v>
      </c>
      <c r="AL122">
        <v>84.866521353841605</v>
      </c>
      <c r="AM122">
        <v>86.9413556871054</v>
      </c>
      <c r="AN122">
        <v>0.99999998874208396</v>
      </c>
    </row>
    <row r="123" spans="1:40" x14ac:dyDescent="0.25">
      <c r="A123" t="str">
        <f>"20190312151223354"</f>
        <v>20190312151223354</v>
      </c>
      <c r="B123" t="str">
        <f>"1552374743349276"</f>
        <v>1552374743349276</v>
      </c>
      <c r="C123" t="s">
        <v>40</v>
      </c>
      <c r="D123">
        <v>4.1624179999999997</v>
      </c>
      <c r="E123">
        <v>0.51881160000000004</v>
      </c>
      <c r="F123" t="s">
        <v>43</v>
      </c>
      <c r="G123">
        <v>-422.30520000000001</v>
      </c>
      <c r="H123">
        <v>-0.05</v>
      </c>
      <c r="I123">
        <v>364.63839999999999</v>
      </c>
      <c r="J123">
        <v>-459.7799</v>
      </c>
      <c r="K123">
        <v>1.109218</v>
      </c>
      <c r="L123">
        <v>367.5378</v>
      </c>
      <c r="M123">
        <v>0.99961730000000004</v>
      </c>
      <c r="N123">
        <v>0</v>
      </c>
      <c r="O123">
        <v>2.73523E-2</v>
      </c>
      <c r="P123">
        <v>0.9960019</v>
      </c>
      <c r="Q123">
        <v>8.5415530000000003E-2</v>
      </c>
      <c r="R123">
        <v>-2.617303E-2</v>
      </c>
      <c r="S123">
        <v>3.013916</v>
      </c>
      <c r="T123">
        <v>-9.2555520000000002E-2</v>
      </c>
      <c r="U123">
        <v>-0.23089599999999999</v>
      </c>
      <c r="V123">
        <v>5.3393990000000002E-2</v>
      </c>
      <c r="W123">
        <v>8.9579820000000004E-2</v>
      </c>
      <c r="X123">
        <v>0.99454739999999997</v>
      </c>
      <c r="Y123">
        <v>0.1035688</v>
      </c>
      <c r="Z123">
        <v>-2.4262630000000001E-3</v>
      </c>
      <c r="AA123">
        <v>0.99461929999999998</v>
      </c>
      <c r="AB123">
        <v>24</v>
      </c>
      <c r="AC123">
        <v>37.474699999999899</v>
      </c>
      <c r="AD123">
        <v>-1.1592180000000001</v>
      </c>
      <c r="AE123">
        <v>-2.8994000000000102</v>
      </c>
      <c r="AF123">
        <v>3.9196149386250898</v>
      </c>
      <c r="AG123">
        <v>-1.1592180000000001</v>
      </c>
      <c r="AH123">
        <v>37.345850320001297</v>
      </c>
      <c r="AI123">
        <v>91.768188650136906</v>
      </c>
      <c r="AJ123">
        <v>84.008485757832204</v>
      </c>
      <c r="AK123">
        <v>37.5688661495467</v>
      </c>
      <c r="AL123">
        <v>84.8605650703648</v>
      </c>
      <c r="AM123">
        <v>86.926927603745</v>
      </c>
      <c r="AN123">
        <v>0.99999999658305605</v>
      </c>
    </row>
    <row r="124" spans="1:40" x14ac:dyDescent="0.25">
      <c r="A124" t="str">
        <f>"20190312151223396"</f>
        <v>20190312151223396</v>
      </c>
      <c r="B124" t="str">
        <f>"1552374743389292"</f>
        <v>1552374743389292</v>
      </c>
      <c r="C124" t="s">
        <v>40</v>
      </c>
      <c r="D124">
        <v>4.0381970000000003</v>
      </c>
      <c r="E124">
        <v>0.51904070000000002</v>
      </c>
      <c r="F124" t="s">
        <v>43</v>
      </c>
      <c r="G124">
        <v>-420.9477</v>
      </c>
      <c r="H124">
        <v>-0.05</v>
      </c>
      <c r="I124">
        <v>364.54219999999998</v>
      </c>
      <c r="J124">
        <v>-459.31549999999999</v>
      </c>
      <c r="K124">
        <v>1.1092299999999999</v>
      </c>
      <c r="L124">
        <v>367.55079999999998</v>
      </c>
      <c r="M124">
        <v>0.99961080000000002</v>
      </c>
      <c r="N124">
        <v>0</v>
      </c>
      <c r="O124">
        <v>2.7544300000000001E-2</v>
      </c>
      <c r="P124">
        <v>0.99606969999999995</v>
      </c>
      <c r="Q124">
        <v>8.4682579999999993E-2</v>
      </c>
      <c r="R124">
        <v>-2.5967469999999999E-2</v>
      </c>
      <c r="S124">
        <v>3.0136720000000001</v>
      </c>
      <c r="T124">
        <v>-8.9964150000000007E-2</v>
      </c>
      <c r="U124">
        <v>-0.23248289999999999</v>
      </c>
      <c r="V124">
        <v>5.3382869999999999E-2</v>
      </c>
      <c r="W124">
        <v>8.9076859999999994E-2</v>
      </c>
      <c r="X124">
        <v>0.99459319999999896</v>
      </c>
      <c r="Y124">
        <v>0.1042896</v>
      </c>
      <c r="Z124">
        <v>-2.3749719999999999E-3</v>
      </c>
      <c r="AA124">
        <v>0.99454410000000004</v>
      </c>
      <c r="AB124">
        <v>24</v>
      </c>
      <c r="AC124">
        <v>38.367799999999903</v>
      </c>
      <c r="AD124">
        <v>-1.15923</v>
      </c>
      <c r="AE124">
        <v>-3.0085999999999999</v>
      </c>
      <c r="AF124">
        <v>4.0605988795932602</v>
      </c>
      <c r="AG124">
        <v>-1.15923</v>
      </c>
      <c r="AH124">
        <v>38.235681142047497</v>
      </c>
      <c r="AI124">
        <v>91.726857677167899</v>
      </c>
      <c r="AJ124">
        <v>83.937955510179094</v>
      </c>
      <c r="AK124">
        <v>38.4681633282664</v>
      </c>
      <c r="AL124">
        <v>84.889498372953994</v>
      </c>
      <c r="AM124">
        <v>86.9277075964917</v>
      </c>
      <c r="AN124">
        <v>1.00000002564156</v>
      </c>
    </row>
    <row r="125" spans="1:40" x14ac:dyDescent="0.25">
      <c r="A125" t="str">
        <f>"20190312151223418"</f>
        <v>20190312151223418</v>
      </c>
      <c r="B125" t="str">
        <f>"1552374743409788"</f>
        <v>1552374743409788</v>
      </c>
      <c r="C125" t="s">
        <v>40</v>
      </c>
      <c r="D125">
        <v>4.0780250000000002</v>
      </c>
      <c r="E125">
        <v>0.51850429999999903</v>
      </c>
      <c r="F125" t="s">
        <v>43</v>
      </c>
      <c r="G125">
        <v>-420.95209999999997</v>
      </c>
      <c r="H125">
        <v>-0.05</v>
      </c>
      <c r="I125">
        <v>364.5752</v>
      </c>
      <c r="J125">
        <v>-459.06630000000001</v>
      </c>
      <c r="K125">
        <v>1.1092439999999999</v>
      </c>
      <c r="L125">
        <v>367.55770000000001</v>
      </c>
      <c r="M125">
        <v>0.99960789999999999</v>
      </c>
      <c r="N125">
        <v>0</v>
      </c>
      <c r="O125">
        <v>2.763813E-2</v>
      </c>
      <c r="P125">
        <v>0.99607319999999999</v>
      </c>
      <c r="Q125">
        <v>8.4820800000000002E-2</v>
      </c>
      <c r="R125">
        <v>-2.5380070000000001E-2</v>
      </c>
      <c r="S125">
        <v>3.0134889999999999</v>
      </c>
      <c r="T125">
        <v>-9.1058970000000003E-2</v>
      </c>
      <c r="U125">
        <v>-0.2337341</v>
      </c>
      <c r="V125">
        <v>5.2889970000000001E-2</v>
      </c>
      <c r="W125">
        <v>8.9331430000000003E-2</v>
      </c>
      <c r="X125">
        <v>0.9945967</v>
      </c>
      <c r="Y125">
        <v>0.1047964</v>
      </c>
      <c r="Z125">
        <v>-2.4144449999999999E-3</v>
      </c>
      <c r="AA125">
        <v>0.99449069999999995</v>
      </c>
      <c r="AB125">
        <v>25</v>
      </c>
      <c r="AC125">
        <v>38.114199999999997</v>
      </c>
      <c r="AD125">
        <v>-1.1592439999999999</v>
      </c>
      <c r="AE125">
        <v>-2.9825000000000101</v>
      </c>
      <c r="AF125">
        <v>4.0310701475383803</v>
      </c>
      <c r="AG125">
        <v>-1.1592439999999999</v>
      </c>
      <c r="AH125">
        <v>37.982285743295101</v>
      </c>
      <c r="AI125">
        <v>91.738404761746594</v>
      </c>
      <c r="AJ125">
        <v>83.941861224443102</v>
      </c>
      <c r="AK125">
        <v>38.213183634332701</v>
      </c>
      <c r="AL125">
        <v>84.874854199769402</v>
      </c>
      <c r="AM125">
        <v>86.956032086341395</v>
      </c>
      <c r="AN125">
        <v>1.00000002448166</v>
      </c>
    </row>
    <row r="126" spans="1:40" x14ac:dyDescent="0.25">
      <c r="A126" t="str">
        <f>"20190312151223440"</f>
        <v>20190312151223440</v>
      </c>
      <c r="B126" t="str">
        <f>"1552374743429311"</f>
        <v>1552374743429311</v>
      </c>
      <c r="C126" t="s">
        <v>40</v>
      </c>
      <c r="D126">
        <v>4.1373179999999996</v>
      </c>
      <c r="E126">
        <v>0.51769379999999998</v>
      </c>
      <c r="F126" t="s">
        <v>43</v>
      </c>
      <c r="G126">
        <v>-421.21850000000001</v>
      </c>
      <c r="H126">
        <v>-0.05</v>
      </c>
      <c r="I126">
        <v>364.69729999999998</v>
      </c>
      <c r="J126">
        <v>-458.81720000000001</v>
      </c>
      <c r="K126">
        <v>1.109253</v>
      </c>
      <c r="L126">
        <v>367.56470000000002</v>
      </c>
      <c r="M126">
        <v>0.99960490000000002</v>
      </c>
      <c r="N126">
        <v>0</v>
      </c>
      <c r="O126">
        <v>2.7725759999999999E-2</v>
      </c>
      <c r="P126">
        <v>0.99608240000000003</v>
      </c>
      <c r="Q126">
        <v>8.4659219999999993E-2</v>
      </c>
      <c r="R126">
        <v>-2.5548009999999999E-2</v>
      </c>
      <c r="S126">
        <v>3.013916</v>
      </c>
      <c r="T126">
        <v>-9.2313530000000005E-2</v>
      </c>
      <c r="U126">
        <v>-0.22778319999999999</v>
      </c>
      <c r="V126">
        <v>5.3146430000000001E-2</v>
      </c>
      <c r="W126">
        <v>8.9282029999999998E-2</v>
      </c>
      <c r="X126">
        <v>0.99458740000000001</v>
      </c>
      <c r="Y126">
        <v>0.1029195</v>
      </c>
      <c r="Z126">
        <v>-2.4215119999999998E-3</v>
      </c>
      <c r="AA126">
        <v>0.99468670000000003</v>
      </c>
      <c r="AB126">
        <v>25</v>
      </c>
      <c r="AC126">
        <v>37.598700000000001</v>
      </c>
      <c r="AD126">
        <v>-1.1592530000000001</v>
      </c>
      <c r="AE126">
        <v>-2.8674000000000301</v>
      </c>
      <c r="AF126">
        <v>3.90507049737265</v>
      </c>
      <c r="AG126">
        <v>-1.1592530000000001</v>
      </c>
      <c r="AH126">
        <v>37.4693303839667</v>
      </c>
      <c r="AI126">
        <v>91.762552208865102</v>
      </c>
      <c r="AJ126">
        <v>84.050088447405599</v>
      </c>
      <c r="AK126">
        <v>37.690106958329402</v>
      </c>
      <c r="AL126">
        <v>84.877695635608006</v>
      </c>
      <c r="AM126">
        <v>86.941271498463905</v>
      </c>
      <c r="AN126">
        <v>0.99999996007071201</v>
      </c>
    </row>
    <row r="127" spans="1:40" x14ac:dyDescent="0.25">
      <c r="A127" t="str">
        <f>"20190312151223462"</f>
        <v>20190312151223462</v>
      </c>
      <c r="B127" t="str">
        <f>"1552374743459564"</f>
        <v>1552374743459564</v>
      </c>
      <c r="C127" t="s">
        <v>40</v>
      </c>
      <c r="D127">
        <v>4.1434129999999998</v>
      </c>
      <c r="E127">
        <v>0.51657609999999998</v>
      </c>
      <c r="F127" t="s">
        <v>43</v>
      </c>
      <c r="G127">
        <v>-420.56040000000002</v>
      </c>
      <c r="H127">
        <v>-0.05</v>
      </c>
      <c r="I127">
        <v>364.75080000000003</v>
      </c>
      <c r="J127">
        <v>-458.57080000000002</v>
      </c>
      <c r="K127">
        <v>1.109259</v>
      </c>
      <c r="L127">
        <v>367.57159999999999</v>
      </c>
      <c r="M127">
        <v>0.99960210000000005</v>
      </c>
      <c r="N127">
        <v>0</v>
      </c>
      <c r="O127">
        <v>2.7804760000000001E-2</v>
      </c>
      <c r="P127">
        <v>0.99606870000000003</v>
      </c>
      <c r="Q127">
        <v>8.486312E-2</v>
      </c>
      <c r="R127">
        <v>-2.5405219999999999E-2</v>
      </c>
      <c r="S127">
        <v>3.0138850000000001</v>
      </c>
      <c r="T127">
        <v>-9.1326480000000002E-2</v>
      </c>
      <c r="U127">
        <v>-0.22167970000000001</v>
      </c>
      <c r="V127">
        <v>5.308276E-2</v>
      </c>
      <c r="W127">
        <v>8.9593569999999997E-2</v>
      </c>
      <c r="X127">
        <v>0.99456279999999997</v>
      </c>
      <c r="Y127">
        <v>0.10099760000000001</v>
      </c>
      <c r="Z127">
        <v>-2.3691480000000002E-3</v>
      </c>
      <c r="AA127">
        <v>0.99488379999999998</v>
      </c>
      <c r="AB127">
        <v>25</v>
      </c>
      <c r="AC127">
        <v>38.010399999999997</v>
      </c>
      <c r="AD127">
        <v>-1.159259</v>
      </c>
      <c r="AE127">
        <v>-2.8207999999999598</v>
      </c>
      <c r="AF127">
        <v>3.87300856376027</v>
      </c>
      <c r="AG127">
        <v>-1.159259</v>
      </c>
      <c r="AH127">
        <v>37.882227858628497</v>
      </c>
      <c r="AI127">
        <v>91.7437150071258</v>
      </c>
      <c r="AJ127">
        <v>84.162468814103093</v>
      </c>
      <c r="AK127">
        <v>38.097339333568797</v>
      </c>
      <c r="AL127">
        <v>84.859773962446397</v>
      </c>
      <c r="AM127">
        <v>86.944853520177602</v>
      </c>
      <c r="AN127">
        <v>0.99999997516920003</v>
      </c>
    </row>
    <row r="128" spans="1:40" x14ac:dyDescent="0.25">
      <c r="A128" t="str">
        <f>"20190312151223485"</f>
        <v>20190312151223485</v>
      </c>
      <c r="B128" t="str">
        <f>"1552374743479084"</f>
        <v>1552374743479084</v>
      </c>
      <c r="C128" t="s">
        <v>40</v>
      </c>
      <c r="D128">
        <v>4.1700210000000002</v>
      </c>
      <c r="E128">
        <v>0.51594960000000001</v>
      </c>
      <c r="F128" t="s">
        <v>43</v>
      </c>
      <c r="G128">
        <v>-419.56700000000001</v>
      </c>
      <c r="H128">
        <v>-0.05</v>
      </c>
      <c r="I128">
        <v>364.82249999999999</v>
      </c>
      <c r="J128">
        <v>-458.31040000000002</v>
      </c>
      <c r="K128">
        <v>1.1092690000000001</v>
      </c>
      <c r="L128">
        <v>367.57889999999998</v>
      </c>
      <c r="M128">
        <v>0.99959949999999997</v>
      </c>
      <c r="N128">
        <v>0</v>
      </c>
      <c r="O128">
        <v>2.788129E-2</v>
      </c>
      <c r="P128">
        <v>0.99608620000000003</v>
      </c>
      <c r="Q128">
        <v>8.4558649999999999E-2</v>
      </c>
      <c r="R128">
        <v>-2.5730329999999999E-2</v>
      </c>
      <c r="S128">
        <v>3.0140690000000001</v>
      </c>
      <c r="T128">
        <v>-8.9583040000000003E-2</v>
      </c>
      <c r="U128">
        <v>-0.21243290000000001</v>
      </c>
      <c r="V128">
        <v>5.3485539999999998E-2</v>
      </c>
      <c r="W128">
        <v>8.9399820000000005E-2</v>
      </c>
      <c r="X128">
        <v>0.99455870000000002</v>
      </c>
      <c r="Y128">
        <v>9.8035979999999995E-2</v>
      </c>
      <c r="Z128">
        <v>-2.2823710000000001E-3</v>
      </c>
      <c r="AA128">
        <v>0.99518019999999996</v>
      </c>
      <c r="AB128">
        <v>25</v>
      </c>
      <c r="AC128">
        <v>38.743400000000001</v>
      </c>
      <c r="AD128">
        <v>-1.1592690000000001</v>
      </c>
      <c r="AE128">
        <v>-2.7563999999999802</v>
      </c>
      <c r="AF128">
        <v>3.8321433755559902</v>
      </c>
      <c r="AG128">
        <v>-1.1592690000000001</v>
      </c>
      <c r="AH128">
        <v>38.617084815285502</v>
      </c>
      <c r="AI128">
        <v>91.711080107328499</v>
      </c>
      <c r="AJ128">
        <v>84.3328412849378</v>
      </c>
      <c r="AK128">
        <v>38.824070717740703</v>
      </c>
      <c r="AL128">
        <v>84.870919973557207</v>
      </c>
      <c r="AM128">
        <v>86.921703509130495</v>
      </c>
      <c r="AN128">
        <v>1.0000000192753999</v>
      </c>
    </row>
    <row r="129" spans="1:40" x14ac:dyDescent="0.25">
      <c r="A129" t="str">
        <f>"20190312151223507"</f>
        <v>20190312151223507</v>
      </c>
      <c r="B129" t="str">
        <f>"1552374743499580"</f>
        <v>1552374743499580</v>
      </c>
      <c r="C129" t="s">
        <v>40</v>
      </c>
      <c r="D129">
        <v>4.2160950000000001</v>
      </c>
      <c r="E129">
        <v>0.51542429999999995</v>
      </c>
      <c r="F129" t="s">
        <v>43</v>
      </c>
      <c r="G129">
        <v>-419.5874</v>
      </c>
      <c r="H129">
        <v>-0.05</v>
      </c>
      <c r="I129">
        <v>364.9015</v>
      </c>
      <c r="J129">
        <v>-458.05790000000002</v>
      </c>
      <c r="K129">
        <v>1.109275</v>
      </c>
      <c r="L129">
        <v>367.58600000000001</v>
      </c>
      <c r="M129">
        <v>0.99959699999999996</v>
      </c>
      <c r="N129">
        <v>0</v>
      </c>
      <c r="O129">
        <v>2.7949129999999999E-2</v>
      </c>
      <c r="P129">
        <v>0.99605690000000002</v>
      </c>
      <c r="Q129">
        <v>8.4935440000000001E-2</v>
      </c>
      <c r="R129">
        <v>-2.5622909999999999E-2</v>
      </c>
      <c r="S129">
        <v>3.0140690000000001</v>
      </c>
      <c r="T129">
        <v>-9.0233679999999997E-2</v>
      </c>
      <c r="U129">
        <v>-0.20840449999999999</v>
      </c>
      <c r="V129">
        <v>5.3445680000000002E-2</v>
      </c>
      <c r="W129">
        <v>8.9881379999999997E-2</v>
      </c>
      <c r="X129">
        <v>0.9945174</v>
      </c>
      <c r="Y129">
        <v>9.6779560000000001E-2</v>
      </c>
      <c r="Z129">
        <v>-2.282292E-3</v>
      </c>
      <c r="AA129">
        <v>0.99530320000000005</v>
      </c>
      <c r="AB129">
        <v>25</v>
      </c>
      <c r="AC129">
        <v>38.470500000000001</v>
      </c>
      <c r="AD129">
        <v>-1.1592750000000001</v>
      </c>
      <c r="AE129">
        <v>-2.6845000000000101</v>
      </c>
      <c r="AF129">
        <v>3.7552880175410301</v>
      </c>
      <c r="AG129">
        <v>-1.1592750000000001</v>
      </c>
      <c r="AH129">
        <v>38.345788873452499</v>
      </c>
      <c r="AI129">
        <v>91.723406581537105</v>
      </c>
      <c r="AJ129">
        <v>84.406733082694302</v>
      </c>
      <c r="AK129">
        <v>38.546668221101903</v>
      </c>
      <c r="AL129">
        <v>84.843216893662301</v>
      </c>
      <c r="AM129">
        <v>86.923865702632298</v>
      </c>
      <c r="AN129">
        <v>0.999999981042063</v>
      </c>
    </row>
    <row r="130" spans="1:40" x14ac:dyDescent="0.25">
      <c r="A130" t="str">
        <f>"20190312151223529"</f>
        <v>20190312151223529</v>
      </c>
      <c r="B130" t="str">
        <f>"1552374743520076"</f>
        <v>1552374743520076</v>
      </c>
      <c r="C130" t="s">
        <v>40</v>
      </c>
      <c r="D130">
        <v>4.1435180000000003</v>
      </c>
      <c r="E130">
        <v>0.51485729999999996</v>
      </c>
      <c r="F130" t="s">
        <v>43</v>
      </c>
      <c r="G130">
        <v>-419.04230000000001</v>
      </c>
      <c r="H130">
        <v>-0.05</v>
      </c>
      <c r="I130">
        <v>364.94779999999997</v>
      </c>
      <c r="J130">
        <v>-457.81119999999999</v>
      </c>
      <c r="K130">
        <v>1.1092799999999901</v>
      </c>
      <c r="L130">
        <v>367.59300000000002</v>
      </c>
      <c r="M130">
        <v>0.99959489999999995</v>
      </c>
      <c r="N130">
        <v>0</v>
      </c>
      <c r="O130">
        <v>2.8010549999999999E-2</v>
      </c>
      <c r="P130">
        <v>0.99603609999999998</v>
      </c>
      <c r="Q130">
        <v>8.5247409999999996E-2</v>
      </c>
      <c r="R130">
        <v>-2.540272E-2</v>
      </c>
      <c r="S130">
        <v>3.0142820000000001</v>
      </c>
      <c r="T130">
        <v>-8.9563610000000002E-2</v>
      </c>
      <c r="U130">
        <v>-0.20382690000000001</v>
      </c>
      <c r="V130">
        <v>5.3286630000000001E-2</v>
      </c>
      <c r="W130">
        <v>9.0290759999999998E-2</v>
      </c>
      <c r="X130">
        <v>0.99448890000000001</v>
      </c>
      <c r="Y130">
        <v>9.5332719999999996E-2</v>
      </c>
      <c r="Z130">
        <v>-2.2456609999999999E-3</v>
      </c>
      <c r="AA130">
        <v>0.99544290000000002</v>
      </c>
      <c r="AB130">
        <v>25</v>
      </c>
      <c r="AC130">
        <v>38.768899999999903</v>
      </c>
      <c r="AD130">
        <v>-1.1592800000000001</v>
      </c>
      <c r="AE130">
        <v>-2.64520000000004</v>
      </c>
      <c r="AF130">
        <v>3.7267972283880999</v>
      </c>
      <c r="AG130">
        <v>-1.1592800000000001</v>
      </c>
      <c r="AH130">
        <v>38.645198880241303</v>
      </c>
      <c r="AI130">
        <v>91.710315702708499</v>
      </c>
      <c r="AJ130">
        <v>84.491644776302195</v>
      </c>
      <c r="AK130">
        <v>38.841786058230198</v>
      </c>
      <c r="AL130">
        <v>84.819665636434394</v>
      </c>
      <c r="AM130">
        <v>86.932914799246802</v>
      </c>
      <c r="AN130">
        <v>1.0000000292506701</v>
      </c>
    </row>
    <row r="131" spans="1:40" x14ac:dyDescent="0.25">
      <c r="A131" t="str">
        <f>"20190312151223555"</f>
        <v>20190312151223555</v>
      </c>
      <c r="B131" t="str">
        <f>"1552374743549356"</f>
        <v>1552374743549356</v>
      </c>
      <c r="C131" t="s">
        <v>40</v>
      </c>
      <c r="D131">
        <v>4.1472360000000004</v>
      </c>
      <c r="E131">
        <v>0.51413659999999906</v>
      </c>
      <c r="F131" t="s">
        <v>43</v>
      </c>
      <c r="G131">
        <v>-418.35660000000001</v>
      </c>
      <c r="H131">
        <v>-0.05</v>
      </c>
      <c r="I131">
        <v>364.98910000000001</v>
      </c>
      <c r="J131">
        <v>-457.52530000000002</v>
      </c>
      <c r="K131">
        <v>1.1092869999999999</v>
      </c>
      <c r="L131">
        <v>367.60109999999997</v>
      </c>
      <c r="M131">
        <v>0.99959240000000005</v>
      </c>
      <c r="N131">
        <v>0</v>
      </c>
      <c r="O131">
        <v>2.807755E-2</v>
      </c>
      <c r="P131">
        <v>0.99599119999999997</v>
      </c>
      <c r="Q131">
        <v>8.5692320000000002E-2</v>
      </c>
      <c r="R131">
        <v>-2.5663060000000001E-2</v>
      </c>
      <c r="S131">
        <v>3.0144039999999999</v>
      </c>
      <c r="T131">
        <v>-8.8571189999999994E-2</v>
      </c>
      <c r="U131">
        <v>-0.19894410000000001</v>
      </c>
      <c r="V131">
        <v>5.3612939999999998E-2</v>
      </c>
      <c r="W131">
        <v>9.0841599999999995E-2</v>
      </c>
      <c r="X131">
        <v>0.99442120000000001</v>
      </c>
      <c r="Y131">
        <v>9.3793169999999995E-2</v>
      </c>
      <c r="Z131">
        <v>-2.2001920000000001E-3</v>
      </c>
      <c r="AA131">
        <v>0.99558930000000001</v>
      </c>
      <c r="AB131">
        <v>25</v>
      </c>
      <c r="AC131">
        <v>39.168700000000001</v>
      </c>
      <c r="AD131">
        <v>-1.159287</v>
      </c>
      <c r="AE131">
        <v>-2.6119999999999601</v>
      </c>
      <c r="AF131">
        <v>3.7075125941166598</v>
      </c>
      <c r="AG131">
        <v>-1.159287</v>
      </c>
      <c r="AH131">
        <v>39.045864999044497</v>
      </c>
      <c r="AI131">
        <v>91.693023915091501</v>
      </c>
      <c r="AJ131">
        <v>84.575870035647299</v>
      </c>
      <c r="AK131">
        <v>39.238618343508399</v>
      </c>
      <c r="AL131">
        <v>84.787974614756806</v>
      </c>
      <c r="AM131">
        <v>86.9139594786066</v>
      </c>
      <c r="AN131">
        <v>1.0000000333177199</v>
      </c>
    </row>
    <row r="132" spans="1:40" x14ac:dyDescent="0.25">
      <c r="A132" t="str">
        <f>"20190312151223575"</f>
        <v>20190312151223575</v>
      </c>
      <c r="B132" t="str">
        <f>"1552374743569852"</f>
        <v>1552374743569852</v>
      </c>
      <c r="C132" t="s">
        <v>40</v>
      </c>
      <c r="D132">
        <v>4.2236659999999997</v>
      </c>
      <c r="E132">
        <v>0.51378429999999997</v>
      </c>
      <c r="F132" t="s">
        <v>43</v>
      </c>
      <c r="G132">
        <v>-417.50380000000001</v>
      </c>
      <c r="H132">
        <v>-0.05</v>
      </c>
      <c r="I132">
        <v>365.02879999999999</v>
      </c>
      <c r="J132">
        <v>-457.27850000000001</v>
      </c>
      <c r="K132">
        <v>1.109294</v>
      </c>
      <c r="L132">
        <v>367.60809999999998</v>
      </c>
      <c r="M132">
        <v>0.99959030000000004</v>
      </c>
      <c r="N132">
        <v>0</v>
      </c>
      <c r="O132">
        <v>2.8132500000000001E-2</v>
      </c>
      <c r="P132">
        <v>0.99600480000000002</v>
      </c>
      <c r="Q132">
        <v>8.5578109999999999E-2</v>
      </c>
      <c r="R132">
        <v>-2.5515699999999999E-2</v>
      </c>
      <c r="S132">
        <v>3.0145870000000001</v>
      </c>
      <c r="T132">
        <v>-8.7322350000000007E-2</v>
      </c>
      <c r="U132">
        <v>-0.19375609999999999</v>
      </c>
      <c r="V132">
        <v>5.3520829999999998E-2</v>
      </c>
      <c r="W132">
        <v>9.0817389999999998E-2</v>
      </c>
      <c r="X132">
        <v>0.99442830000000004</v>
      </c>
      <c r="Y132">
        <v>9.2139810000000003E-2</v>
      </c>
      <c r="Z132">
        <v>-2.1468419999999999E-3</v>
      </c>
      <c r="AA132">
        <v>0.99574379999999996</v>
      </c>
      <c r="AB132">
        <v>26</v>
      </c>
      <c r="AC132">
        <v>39.774700000000003</v>
      </c>
      <c r="AD132">
        <v>-1.159294</v>
      </c>
      <c r="AE132">
        <v>-2.5792999999999799</v>
      </c>
      <c r="AF132">
        <v>3.6941312959431301</v>
      </c>
      <c r="AG132">
        <v>-1.159294</v>
      </c>
      <c r="AH132">
        <v>39.652848880909197</v>
      </c>
      <c r="AI132">
        <v>91.667411074614606</v>
      </c>
      <c r="AJ132">
        <v>84.677583790734104</v>
      </c>
      <c r="AK132">
        <v>39.841423079281803</v>
      </c>
      <c r="AL132">
        <v>84.7893671236926</v>
      </c>
      <c r="AM132">
        <v>86.919273198622093</v>
      </c>
      <c r="AN132">
        <v>0.99999996070559405</v>
      </c>
    </row>
    <row r="133" spans="1:40" x14ac:dyDescent="0.25">
      <c r="A133" t="str">
        <f>"20190312151223597"</f>
        <v>20190312151223597</v>
      </c>
      <c r="B133" t="str">
        <f>"1552374743589373"</f>
        <v>1552374743589373</v>
      </c>
      <c r="C133" t="s">
        <v>40</v>
      </c>
      <c r="D133">
        <v>4.134207</v>
      </c>
      <c r="E133">
        <v>0.5133991</v>
      </c>
      <c r="F133" t="s">
        <v>43</v>
      </c>
      <c r="G133">
        <v>-417.61770000000001</v>
      </c>
      <c r="H133">
        <v>-0.05</v>
      </c>
      <c r="I133">
        <v>365.1044</v>
      </c>
      <c r="J133">
        <v>-457.0385</v>
      </c>
      <c r="K133">
        <v>1.1093010000000001</v>
      </c>
      <c r="L133">
        <v>367.61489999999998</v>
      </c>
      <c r="M133">
        <v>0.99958860000000005</v>
      </c>
      <c r="N133">
        <v>0</v>
      </c>
      <c r="O133">
        <v>2.8182740000000001E-2</v>
      </c>
      <c r="P133">
        <v>0.99605440000000001</v>
      </c>
      <c r="Q133">
        <v>8.5105239999999999E-2</v>
      </c>
      <c r="R133">
        <v>-2.5165320000000001E-2</v>
      </c>
      <c r="S133">
        <v>3.0147089999999999</v>
      </c>
      <c r="T133">
        <v>-8.8120699999999996E-2</v>
      </c>
      <c r="U133">
        <v>-0.19030759999999999</v>
      </c>
      <c r="V133">
        <v>5.3222419999999999E-2</v>
      </c>
      <c r="W133">
        <v>9.0428930000000005E-2</v>
      </c>
      <c r="X133">
        <v>0.99447980000000002</v>
      </c>
      <c r="Y133">
        <v>9.1052350000000004E-2</v>
      </c>
      <c r="Z133">
        <v>-2.1520419999999998E-3</v>
      </c>
      <c r="AA133">
        <v>0.99584379999999995</v>
      </c>
      <c r="AB133">
        <v>26</v>
      </c>
      <c r="AC133">
        <v>39.4207999999999</v>
      </c>
      <c r="AD133">
        <v>-1.1593009999999999</v>
      </c>
      <c r="AE133">
        <v>-2.5104999999999702</v>
      </c>
      <c r="AF133">
        <v>3.61738881641091</v>
      </c>
      <c r="AG133">
        <v>-1.1593009999999999</v>
      </c>
      <c r="AH133">
        <v>39.3005355228198</v>
      </c>
      <c r="AI133">
        <v>91.682532873356294</v>
      </c>
      <c r="AJ133">
        <v>84.741070287196194</v>
      </c>
      <c r="AK133">
        <v>39.483687429596998</v>
      </c>
      <c r="AL133">
        <v>84.811716642465001</v>
      </c>
      <c r="AM133">
        <v>86.936575592687504</v>
      </c>
      <c r="AN133">
        <v>1.0000000449898101</v>
      </c>
    </row>
    <row r="134" spans="1:40" x14ac:dyDescent="0.25">
      <c r="A134" t="str">
        <f>"20190312151223620"</f>
        <v>20190312151223620</v>
      </c>
      <c r="B134" t="str">
        <f>"1552374743609868"</f>
        <v>1552374743609868</v>
      </c>
      <c r="C134" t="s">
        <v>40</v>
      </c>
      <c r="D134">
        <v>4.1507909999999999</v>
      </c>
      <c r="E134">
        <v>0.51300789999999996</v>
      </c>
      <c r="F134" t="s">
        <v>43</v>
      </c>
      <c r="G134">
        <v>-417.86279999999999</v>
      </c>
      <c r="H134">
        <v>-0.05</v>
      </c>
      <c r="I134">
        <v>365.19229999999999</v>
      </c>
      <c r="J134">
        <v>-456.7672</v>
      </c>
      <c r="K134">
        <v>1.1093029999999999</v>
      </c>
      <c r="L134">
        <v>367.62259999999998</v>
      </c>
      <c r="M134">
        <v>0.99958650000000004</v>
      </c>
      <c r="N134">
        <v>0</v>
      </c>
      <c r="O134">
        <v>2.8236000000000001E-2</v>
      </c>
      <c r="P134">
        <v>0.99606749999999999</v>
      </c>
      <c r="Q134">
        <v>8.4972770000000003E-2</v>
      </c>
      <c r="R134">
        <v>-2.5089360000000002E-2</v>
      </c>
      <c r="S134">
        <v>3.0147400000000002</v>
      </c>
      <c r="T134">
        <v>-8.921337E-2</v>
      </c>
      <c r="U134">
        <v>-0.18643190000000001</v>
      </c>
      <c r="V134">
        <v>5.3200160000000003E-2</v>
      </c>
      <c r="W134">
        <v>9.0388099999999999E-2</v>
      </c>
      <c r="X134">
        <v>0.9944847</v>
      </c>
      <c r="Y134">
        <v>8.9828699999999997E-2</v>
      </c>
      <c r="Z134">
        <v>-2.1622680000000002E-3</v>
      </c>
      <c r="AA134">
        <v>0.99595489999999998</v>
      </c>
      <c r="AB134">
        <v>26</v>
      </c>
      <c r="AC134">
        <v>38.904400000000003</v>
      </c>
      <c r="AD134">
        <v>-1.159303</v>
      </c>
      <c r="AE134">
        <v>-2.4302999999999799</v>
      </c>
      <c r="AF134">
        <v>3.5247341677271899</v>
      </c>
      <c r="AG134">
        <v>-1.159303</v>
      </c>
      <c r="AH134">
        <v>38.785958048280698</v>
      </c>
      <c r="AI134">
        <v>91.705025538725707</v>
      </c>
      <c r="AJ134">
        <v>84.807420108128397</v>
      </c>
      <c r="AK134">
        <v>38.963037306169298</v>
      </c>
      <c r="AL134">
        <v>84.814065633689907</v>
      </c>
      <c r="AM134">
        <v>86.937869474098207</v>
      </c>
      <c r="AN134">
        <v>1.00000004208986</v>
      </c>
    </row>
    <row r="135" spans="1:40" x14ac:dyDescent="0.25">
      <c r="A135" t="str">
        <f>"20190312151223642"</f>
        <v>20190312151223642</v>
      </c>
      <c r="B135" t="str">
        <f>"1552374743639148"</f>
        <v>1552374743639148</v>
      </c>
      <c r="C135" t="s">
        <v>40</v>
      </c>
      <c r="D135">
        <v>4.1517390000000001</v>
      </c>
      <c r="E135">
        <v>0.51247819999999999</v>
      </c>
      <c r="F135" t="s">
        <v>43</v>
      </c>
      <c r="G135">
        <v>-417.69850000000002</v>
      </c>
      <c r="H135">
        <v>-0.05</v>
      </c>
      <c r="I135">
        <v>365.25020000000001</v>
      </c>
      <c r="J135">
        <v>-456.5181</v>
      </c>
      <c r="K135">
        <v>1.10931</v>
      </c>
      <c r="L135">
        <v>367.62970000000001</v>
      </c>
      <c r="M135">
        <v>0.99958480000000005</v>
      </c>
      <c r="N135">
        <v>0</v>
      </c>
      <c r="O135">
        <v>2.828147E-2</v>
      </c>
      <c r="P135">
        <v>0.99609139999999996</v>
      </c>
      <c r="Q135">
        <v>8.4650399999999903E-2</v>
      </c>
      <c r="R135">
        <v>-2.5228629999999998E-2</v>
      </c>
      <c r="S135">
        <v>3.0148929999999998</v>
      </c>
      <c r="T135">
        <v>-8.9462280000000005E-2</v>
      </c>
      <c r="U135">
        <v>-0.18307499999999999</v>
      </c>
      <c r="V135">
        <v>5.3385849999999999E-2</v>
      </c>
      <c r="W135">
        <v>9.0151129999999996E-2</v>
      </c>
      <c r="X135">
        <v>0.99449620000000005</v>
      </c>
      <c r="Y135">
        <v>8.8766189999999995E-2</v>
      </c>
      <c r="Z135">
        <v>-2.153861E-3</v>
      </c>
      <c r="AA135">
        <v>0.9960502</v>
      </c>
      <c r="AB135">
        <v>26</v>
      </c>
      <c r="AC135">
        <v>38.819599999999902</v>
      </c>
      <c r="AD135">
        <v>-1.1593100000000001</v>
      </c>
      <c r="AE135">
        <v>-2.3795000000000002</v>
      </c>
      <c r="AF135">
        <v>3.4733540497548598</v>
      </c>
      <c r="AG135">
        <v>-1.1593100000000001</v>
      </c>
      <c r="AH135">
        <v>38.7023869416943</v>
      </c>
      <c r="AI135">
        <v>91.708888453983505</v>
      </c>
      <c r="AJ135">
        <v>84.871716563227096</v>
      </c>
      <c r="AK135">
        <v>38.875222739113397</v>
      </c>
      <c r="AL135">
        <v>84.827698368969394</v>
      </c>
      <c r="AM135">
        <v>86.927237315957598</v>
      </c>
      <c r="AN135">
        <v>0.99999998351746899</v>
      </c>
    </row>
    <row r="136" spans="1:40" x14ac:dyDescent="0.25">
      <c r="A136" t="str">
        <f>"20190312151223664"</f>
        <v>20190312151223664</v>
      </c>
      <c r="B136" t="str">
        <f>"1552374743659644"</f>
        <v>1552374743659644</v>
      </c>
      <c r="C136" t="s">
        <v>40</v>
      </c>
      <c r="D136">
        <v>4.162585</v>
      </c>
      <c r="E136">
        <v>0.51262719999999995</v>
      </c>
      <c r="F136" t="s">
        <v>43</v>
      </c>
      <c r="G136">
        <v>-417.97370000000001</v>
      </c>
      <c r="H136">
        <v>-0.05</v>
      </c>
      <c r="I136">
        <v>365.33670000000001</v>
      </c>
      <c r="J136">
        <v>-456.25749999999999</v>
      </c>
      <c r="K136">
        <v>1.1093189999999999</v>
      </c>
      <c r="L136">
        <v>367.63709999999998</v>
      </c>
      <c r="M136">
        <v>0.999583</v>
      </c>
      <c r="N136">
        <v>0</v>
      </c>
      <c r="O136">
        <v>2.8323190000000002E-2</v>
      </c>
      <c r="P136">
        <v>0.99611989999999995</v>
      </c>
      <c r="Q136">
        <v>8.4270079999999997E-2</v>
      </c>
      <c r="R136">
        <v>-2.5374299999999999E-2</v>
      </c>
      <c r="S136">
        <v>3.014923</v>
      </c>
      <c r="T136">
        <v>-9.0680479999999994E-2</v>
      </c>
      <c r="U136">
        <v>-0.17935179999999901</v>
      </c>
      <c r="V136">
        <v>5.3574700000000003E-2</v>
      </c>
      <c r="W136">
        <v>8.9866180000000004E-2</v>
      </c>
      <c r="X136">
        <v>0.99451179999999995</v>
      </c>
      <c r="Y136">
        <v>8.7580630000000007E-2</v>
      </c>
      <c r="Z136">
        <v>-2.1666760000000002E-3</v>
      </c>
      <c r="AA136">
        <v>0.99615509999999996</v>
      </c>
      <c r="AB136">
        <v>26</v>
      </c>
      <c r="AC136">
        <v>38.2837999999999</v>
      </c>
      <c r="AD136">
        <v>-1.159319</v>
      </c>
      <c r="AE136">
        <v>-2.3003999999999598</v>
      </c>
      <c r="AF136">
        <v>3.3807245605047398</v>
      </c>
      <c r="AG136">
        <v>-1.159319</v>
      </c>
      <c r="AH136">
        <v>38.168410009183297</v>
      </c>
      <c r="AI136">
        <v>91.732974248759405</v>
      </c>
      <c r="AJ136">
        <v>84.938299243129705</v>
      </c>
      <c r="AK136">
        <v>38.335373243609901</v>
      </c>
      <c r="AL136">
        <v>84.844091165481501</v>
      </c>
      <c r="AM136">
        <v>86.916436775623495</v>
      </c>
      <c r="AN136">
        <v>0.99999994956355898</v>
      </c>
    </row>
    <row r="137" spans="1:40" x14ac:dyDescent="0.25">
      <c r="A137" t="str">
        <f>"20190312151223799"</f>
        <v>20190312151223799</v>
      </c>
      <c r="B137" t="str">
        <f>"1552374743789958"</f>
        <v>1552374743789958</v>
      </c>
      <c r="C137" t="s">
        <v>40</v>
      </c>
      <c r="D137">
        <v>4.1461589999999999</v>
      </c>
      <c r="E137">
        <v>0.51297309999999996</v>
      </c>
      <c r="F137" t="s">
        <v>43</v>
      </c>
      <c r="G137">
        <v>-417.12189999999998</v>
      </c>
      <c r="H137">
        <v>-0.05</v>
      </c>
      <c r="I137">
        <v>365.28739999999999</v>
      </c>
      <c r="J137">
        <v>-454.66930000000002</v>
      </c>
      <c r="K137">
        <v>1.1094120000000001</v>
      </c>
      <c r="L137">
        <v>367.6823</v>
      </c>
      <c r="M137">
        <v>0.99957589999999996</v>
      </c>
      <c r="N137">
        <v>0</v>
      </c>
      <c r="O137">
        <v>2.8405710000000001E-2</v>
      </c>
      <c r="P137">
        <v>0.99607939999999995</v>
      </c>
      <c r="Q137">
        <v>8.4498690000000001E-2</v>
      </c>
      <c r="R137">
        <v>-2.6183640000000001E-2</v>
      </c>
      <c r="S137">
        <v>3.0146480000000002</v>
      </c>
      <c r="T137">
        <v>-8.9303370000000007E-2</v>
      </c>
      <c r="U137">
        <v>-0.18099979999999999</v>
      </c>
      <c r="V137">
        <v>5.4472069999999997E-2</v>
      </c>
      <c r="W137">
        <v>9.0903330000000004E-2</v>
      </c>
      <c r="X137">
        <v>0.9943689</v>
      </c>
      <c r="Y137">
        <v>8.8212230000000003E-2</v>
      </c>
      <c r="Z137">
        <v>-2.1457379999999999E-3</v>
      </c>
      <c r="AA137">
        <v>0.99609939999999997</v>
      </c>
      <c r="AB137">
        <v>26</v>
      </c>
      <c r="AC137">
        <v>37.547400000000003</v>
      </c>
      <c r="AD137">
        <v>-1.1594120000000001</v>
      </c>
      <c r="AE137">
        <v>-2.3948999999999998</v>
      </c>
      <c r="AF137">
        <v>3.4572329766172598</v>
      </c>
      <c r="AG137">
        <v>-1.1594120000000001</v>
      </c>
      <c r="AH137">
        <v>37.4286746394462</v>
      </c>
      <c r="AI137">
        <v>91.766743355691403</v>
      </c>
      <c r="AJ137">
        <v>84.722645764912301</v>
      </c>
      <c r="AK137">
        <v>37.605882270010298</v>
      </c>
      <c r="AL137">
        <v>84.784423220532503</v>
      </c>
      <c r="AM137">
        <v>86.864439990900294</v>
      </c>
      <c r="AN137">
        <v>1.00000006555118</v>
      </c>
    </row>
    <row r="138" spans="1:40" x14ac:dyDescent="0.25">
      <c r="A138" t="str">
        <f>"20190312151223820"</f>
        <v>20190312151223820</v>
      </c>
      <c r="B138" t="str">
        <f>"1552374743809482"</f>
        <v>1552374743809482</v>
      </c>
      <c r="C138" t="s">
        <v>40</v>
      </c>
      <c r="D138">
        <v>4.133597</v>
      </c>
      <c r="E138">
        <v>0.51291200000000003</v>
      </c>
      <c r="F138" t="s">
        <v>43</v>
      </c>
      <c r="G138">
        <v>-410.7783</v>
      </c>
      <c r="H138">
        <v>-0.05</v>
      </c>
      <c r="I138">
        <v>364.97820000000002</v>
      </c>
      <c r="J138">
        <v>-454.40789999999998</v>
      </c>
      <c r="K138">
        <v>1.1094299999999999</v>
      </c>
      <c r="L138">
        <v>367.68970000000002</v>
      </c>
      <c r="M138">
        <v>0.99957499999999999</v>
      </c>
      <c r="N138">
        <v>0</v>
      </c>
      <c r="O138">
        <v>2.84032E-2</v>
      </c>
      <c r="P138">
        <v>0.99610609999999999</v>
      </c>
      <c r="Q138">
        <v>8.422367E-2</v>
      </c>
      <c r="R138">
        <v>-2.606406E-2</v>
      </c>
      <c r="S138">
        <v>3.0137019999999999</v>
      </c>
      <c r="T138">
        <v>-7.9609159999999998E-2</v>
      </c>
      <c r="U138">
        <v>-0.1856689</v>
      </c>
      <c r="V138">
        <v>5.4350309999999999E-2</v>
      </c>
      <c r="W138">
        <v>9.0772259999999994E-2</v>
      </c>
      <c r="X138">
        <v>0.99438740000000003</v>
      </c>
      <c r="Y138">
        <v>8.9775839999999996E-2</v>
      </c>
      <c r="Z138">
        <v>-1.9339730000000001E-3</v>
      </c>
      <c r="AA138">
        <v>0.99596010000000001</v>
      </c>
      <c r="AB138">
        <v>27</v>
      </c>
      <c r="AC138">
        <v>43.629599999999897</v>
      </c>
      <c r="AD138">
        <v>-1.15943</v>
      </c>
      <c r="AE138">
        <v>-2.7115</v>
      </c>
      <c r="AF138">
        <v>3.9468763860896199</v>
      </c>
      <c r="AG138">
        <v>-1.15943</v>
      </c>
      <c r="AH138">
        <v>43.504375339920003</v>
      </c>
      <c r="AI138">
        <v>91.5203805339479</v>
      </c>
      <c r="AJ138">
        <v>84.816108292046493</v>
      </c>
      <c r="AK138">
        <v>43.698430004390502</v>
      </c>
      <c r="AL138">
        <v>84.791963448156096</v>
      </c>
      <c r="AM138">
        <v>86.871492977273306</v>
      </c>
      <c r="AN138">
        <v>0.99999993033067902</v>
      </c>
    </row>
    <row r="139" spans="1:40" x14ac:dyDescent="0.25">
      <c r="A139" t="str">
        <f>"20190312151223842"</f>
        <v>20190312151223842</v>
      </c>
      <c r="B139" t="str">
        <f>"1552374743839734"</f>
        <v>1552374743839734</v>
      </c>
      <c r="C139" t="s">
        <v>40</v>
      </c>
      <c r="D139">
        <v>4.1676229999999999</v>
      </c>
      <c r="E139">
        <v>0.51295879999999905</v>
      </c>
      <c r="F139" t="s">
        <v>43</v>
      </c>
      <c r="G139">
        <v>-405.28980000000001</v>
      </c>
      <c r="H139">
        <v>-0.05</v>
      </c>
      <c r="I139">
        <v>364.68270000000001</v>
      </c>
      <c r="J139">
        <v>-454.14330000000001</v>
      </c>
      <c r="K139">
        <v>1.1094459999999999</v>
      </c>
      <c r="L139">
        <v>367.69720000000001</v>
      </c>
      <c r="M139">
        <v>0.99957390000000002</v>
      </c>
      <c r="N139">
        <v>0</v>
      </c>
      <c r="O139">
        <v>2.8398530000000002E-2</v>
      </c>
      <c r="P139">
        <v>0.99611050000000001</v>
      </c>
      <c r="Q139">
        <v>8.4123820000000002E-2</v>
      </c>
      <c r="R139">
        <v>-2.6208760000000001E-2</v>
      </c>
      <c r="S139">
        <v>3.0128780000000002</v>
      </c>
      <c r="T139">
        <v>-7.1118829999999994E-2</v>
      </c>
      <c r="U139">
        <v>-0.18444820000000001</v>
      </c>
      <c r="V139">
        <v>5.4490749999999998E-2</v>
      </c>
      <c r="W139">
        <v>9.0815019999999996E-2</v>
      </c>
      <c r="X139">
        <v>0.99437589999999998</v>
      </c>
      <c r="Y139">
        <v>8.9394319999999999E-2</v>
      </c>
      <c r="Z139">
        <v>-1.7236599999999999E-3</v>
      </c>
      <c r="AA139">
        <v>0.99599479999999996</v>
      </c>
      <c r="AB139">
        <v>27</v>
      </c>
      <c r="AC139">
        <v>48.853499999999997</v>
      </c>
      <c r="AD139">
        <v>-1.159446</v>
      </c>
      <c r="AE139">
        <v>-3.0144999999999902</v>
      </c>
      <c r="AF139">
        <v>4.3982153693334398</v>
      </c>
      <c r="AG139">
        <v>-1.159446</v>
      </c>
      <c r="AH139">
        <v>48.720847748203497</v>
      </c>
      <c r="AI139">
        <v>91.357733649419799</v>
      </c>
      <c r="AJ139">
        <v>84.841675098904801</v>
      </c>
      <c r="AK139">
        <v>48.932705001518002</v>
      </c>
      <c r="AL139">
        <v>84.789503788471606</v>
      </c>
      <c r="AM139">
        <v>86.863388902704997</v>
      </c>
      <c r="AN139">
        <v>1.0000000200969801</v>
      </c>
    </row>
    <row r="140" spans="1:40" x14ac:dyDescent="0.25">
      <c r="A140" t="str">
        <f>"20190312151223866"</f>
        <v>20190312151223866</v>
      </c>
      <c r="B140" t="str">
        <f>"1552374743859255"</f>
        <v>1552374743859255</v>
      </c>
      <c r="C140" t="s">
        <v>40</v>
      </c>
      <c r="D140">
        <v>4.1362699999999997</v>
      </c>
      <c r="E140">
        <v>0.51303319999999997</v>
      </c>
      <c r="F140" t="s">
        <v>43</v>
      </c>
      <c r="G140">
        <v>-402.44709999999998</v>
      </c>
      <c r="H140">
        <v>-0.05</v>
      </c>
      <c r="I140">
        <v>364.51479999999998</v>
      </c>
      <c r="J140">
        <v>-453.86130000000003</v>
      </c>
      <c r="K140">
        <v>1.109459</v>
      </c>
      <c r="L140">
        <v>367.70519999999999</v>
      </c>
      <c r="M140">
        <v>0.9995733</v>
      </c>
      <c r="N140">
        <v>0</v>
      </c>
      <c r="O140">
        <v>2.8387010000000001E-2</v>
      </c>
      <c r="P140">
        <v>0.99612120000000004</v>
      </c>
      <c r="Q140">
        <v>8.4006590000000006E-2</v>
      </c>
      <c r="R140">
        <v>-2.6177539999999999E-2</v>
      </c>
      <c r="S140">
        <v>3.0125730000000002</v>
      </c>
      <c r="T140">
        <v>-6.7566280000000006E-2</v>
      </c>
      <c r="U140">
        <v>-0.18545529999999999</v>
      </c>
      <c r="V140">
        <v>5.4449310000000001E-2</v>
      </c>
      <c r="W140">
        <v>9.0845880000000004E-2</v>
      </c>
      <c r="X140">
        <v>0.99437529999999996</v>
      </c>
      <c r="Y140">
        <v>8.9723800000000006E-2</v>
      </c>
      <c r="Z140">
        <v>-1.6411640000000001E-3</v>
      </c>
      <c r="AA140">
        <v>0.9959654</v>
      </c>
      <c r="AB140">
        <v>27</v>
      </c>
      <c r="AC140">
        <v>51.414200000000001</v>
      </c>
      <c r="AD140">
        <v>-1.159459</v>
      </c>
      <c r="AE140">
        <v>-3.1904000000000101</v>
      </c>
      <c r="AF140">
        <v>4.6462903628570702</v>
      </c>
      <c r="AG140">
        <v>-1.159459</v>
      </c>
      <c r="AH140">
        <v>51.276933909156497</v>
      </c>
      <c r="AI140">
        <v>91.2900512916369</v>
      </c>
      <c r="AJ140">
        <v>84.822470889593504</v>
      </c>
      <c r="AK140">
        <v>51.500061266300101</v>
      </c>
      <c r="AL140">
        <v>84.787728035844793</v>
      </c>
      <c r="AM140">
        <v>86.865767638043707</v>
      </c>
      <c r="AN140">
        <v>0.99999996926126899</v>
      </c>
    </row>
    <row r="141" spans="1:40" x14ac:dyDescent="0.25">
      <c r="A141" t="str">
        <f>"20190312151223887"</f>
        <v>20190312151223887</v>
      </c>
      <c r="B141" t="str">
        <f>"1552374743879750"</f>
        <v>1552374743879750</v>
      </c>
      <c r="C141" t="s">
        <v>40</v>
      </c>
      <c r="D141">
        <v>4.1328899999999997</v>
      </c>
      <c r="E141">
        <v>0.5129551</v>
      </c>
      <c r="F141" t="s">
        <v>43</v>
      </c>
      <c r="G141">
        <v>-400.34469999999999</v>
      </c>
      <c r="H141">
        <v>-0.05</v>
      </c>
      <c r="I141">
        <v>364.40449999999998</v>
      </c>
      <c r="J141">
        <v>-453.60820000000001</v>
      </c>
      <c r="K141">
        <v>1.1094660000000001</v>
      </c>
      <c r="L141">
        <v>367.7124</v>
      </c>
      <c r="M141">
        <v>0.99957289999999999</v>
      </c>
      <c r="N141">
        <v>0</v>
      </c>
      <c r="O141">
        <v>2.8369080000000001E-2</v>
      </c>
      <c r="P141">
        <v>0.99612639999999997</v>
      </c>
      <c r="Q141">
        <v>8.3921570000000001E-2</v>
      </c>
      <c r="R141">
        <v>-2.625185E-2</v>
      </c>
      <c r="S141">
        <v>3.0123289999999998</v>
      </c>
      <c r="T141">
        <v>-6.5263269999999998E-2</v>
      </c>
      <c r="U141">
        <v>-0.18579100000000001</v>
      </c>
      <c r="V141">
        <v>5.450721E-2</v>
      </c>
      <c r="W141">
        <v>9.0889570000000003E-2</v>
      </c>
      <c r="X141">
        <v>0.99436820000000004</v>
      </c>
      <c r="Y141">
        <v>8.9823449999999999E-2</v>
      </c>
      <c r="Z141">
        <v>-1.5860519999999999E-3</v>
      </c>
      <c r="AA141">
        <v>0.99595639999999996</v>
      </c>
      <c r="AB141">
        <v>27</v>
      </c>
      <c r="AC141">
        <v>53.263500000000001</v>
      </c>
      <c r="AD141">
        <v>-1.1594659999999899</v>
      </c>
      <c r="AE141">
        <v>-3.3079000000000098</v>
      </c>
      <c r="AF141">
        <v>4.81536915674147</v>
      </c>
      <c r="AG141">
        <v>-1.1594659999999899</v>
      </c>
      <c r="AH141">
        <v>53.123140290647498</v>
      </c>
      <c r="AI141">
        <v>91.245235818323806</v>
      </c>
      <c r="AJ141">
        <v>84.8205550696931</v>
      </c>
      <c r="AK141">
        <v>53.353539487654103</v>
      </c>
      <c r="AL141">
        <v>84.785214720154102</v>
      </c>
      <c r="AM141">
        <v>86.862419073046695</v>
      </c>
      <c r="AN141">
        <v>1.000000033524</v>
      </c>
    </row>
    <row r="142" spans="1:40" x14ac:dyDescent="0.25">
      <c r="A142" t="str">
        <f>"20190312151223909"</f>
        <v>20190312151223909</v>
      </c>
      <c r="B142" t="str">
        <f>"1552374743900247"</f>
        <v>1552374743900247</v>
      </c>
      <c r="C142" t="s">
        <v>40</v>
      </c>
      <c r="D142">
        <v>4.1527149999999997</v>
      </c>
      <c r="E142">
        <v>0.51289439999999997</v>
      </c>
      <c r="F142" t="s">
        <v>43</v>
      </c>
      <c r="G142">
        <v>-398.61790000000002</v>
      </c>
      <c r="H142">
        <v>-0.05</v>
      </c>
      <c r="I142">
        <v>364.3295</v>
      </c>
      <c r="J142">
        <v>-453.34390000000002</v>
      </c>
      <c r="K142">
        <v>1.109472</v>
      </c>
      <c r="L142">
        <v>367.71980000000002</v>
      </c>
      <c r="M142">
        <v>0.99957280000000004</v>
      </c>
      <c r="N142">
        <v>0</v>
      </c>
      <c r="O142">
        <v>2.834393E-2</v>
      </c>
      <c r="P142">
        <v>0.99614329999999995</v>
      </c>
      <c r="Q142">
        <v>8.3758120000000005E-2</v>
      </c>
      <c r="R142">
        <v>-2.6133489999999999E-2</v>
      </c>
      <c r="S142">
        <v>3.0121150000000001</v>
      </c>
      <c r="T142">
        <v>-6.3510300000000006E-2</v>
      </c>
      <c r="U142">
        <v>-0.18530269999999999</v>
      </c>
      <c r="V142">
        <v>5.4365919999999998E-2</v>
      </c>
      <c r="W142">
        <v>9.085348E-2</v>
      </c>
      <c r="X142">
        <v>0.99437920000000002</v>
      </c>
      <c r="Y142">
        <v>8.9643410000000007E-2</v>
      </c>
      <c r="Z142">
        <v>-1.5411509999999999E-3</v>
      </c>
      <c r="AA142">
        <v>0.99597279999999999</v>
      </c>
      <c r="AB142">
        <v>27</v>
      </c>
      <c r="AC142">
        <v>54.725999999999999</v>
      </c>
      <c r="AD142">
        <v>-1.1594719999999901</v>
      </c>
      <c r="AE142">
        <v>-3.3903000000000199</v>
      </c>
      <c r="AF142">
        <v>4.93791908104828</v>
      </c>
      <c r="AG142">
        <v>-1.1594719999999901</v>
      </c>
      <c r="AH142">
        <v>54.5835068221783</v>
      </c>
      <c r="AI142">
        <v>91.211955812527606</v>
      </c>
      <c r="AJ142">
        <v>84.830785026474402</v>
      </c>
      <c r="AK142">
        <v>54.818670516317297</v>
      </c>
      <c r="AL142">
        <v>84.787290944224296</v>
      </c>
      <c r="AM142">
        <v>86.870570466848804</v>
      </c>
      <c r="AN142">
        <v>1.0000000007390899</v>
      </c>
    </row>
    <row r="143" spans="1:40" x14ac:dyDescent="0.25">
      <c r="A143" t="str">
        <f>"20190312151223932"</f>
        <v>20190312151223932</v>
      </c>
      <c r="B143" t="str">
        <f>"1552374743929526"</f>
        <v>1552374743929526</v>
      </c>
      <c r="C143" t="s">
        <v>40</v>
      </c>
      <c r="D143">
        <v>4.1012389999999996</v>
      </c>
      <c r="E143">
        <v>0.51287419999999995</v>
      </c>
      <c r="F143" t="s">
        <v>42</v>
      </c>
      <c r="G143">
        <v>-399.50580000000002</v>
      </c>
      <c r="H143" s="1">
        <v>-1.5366499999999999E-6</v>
      </c>
      <c r="I143">
        <v>364.42070000000001</v>
      </c>
      <c r="J143">
        <v>-453.06490000000002</v>
      </c>
      <c r="K143">
        <v>1.1094740000000001</v>
      </c>
      <c r="L143">
        <v>367.7278</v>
      </c>
      <c r="M143">
        <v>0.99957289999999999</v>
      </c>
      <c r="N143">
        <v>0</v>
      </c>
      <c r="O143">
        <v>2.830916E-2</v>
      </c>
      <c r="P143">
        <v>0.99614100000000005</v>
      </c>
      <c r="Q143">
        <v>8.3868269999999995E-2</v>
      </c>
      <c r="R143">
        <v>-2.5874330000000001E-2</v>
      </c>
      <c r="S143">
        <v>3.0119929999999999</v>
      </c>
      <c r="T143">
        <v>-6.2069770000000003E-2</v>
      </c>
      <c r="U143">
        <v>-0.18457029999999999</v>
      </c>
      <c r="V143">
        <v>5.4073860000000001E-2</v>
      </c>
      <c r="W143">
        <v>9.1090900000000002E-2</v>
      </c>
      <c r="X143">
        <v>0.99437339999999996</v>
      </c>
      <c r="Y143">
        <v>8.9371220000000001E-2</v>
      </c>
      <c r="Z143">
        <v>-1.502757E-3</v>
      </c>
      <c r="AA143">
        <v>0.99599729999999997</v>
      </c>
      <c r="AB143">
        <v>27</v>
      </c>
      <c r="AC143">
        <v>53.559100000000001</v>
      </c>
      <c r="AD143">
        <v>-1.10947553665</v>
      </c>
      <c r="AE143">
        <v>-3.3070999999999899</v>
      </c>
      <c r="AF143">
        <v>4.81996707008547</v>
      </c>
      <c r="AG143">
        <v>-1.10947553665</v>
      </c>
      <c r="AH143">
        <v>53.421173016270501</v>
      </c>
      <c r="AI143">
        <v>91.184962059807205</v>
      </c>
      <c r="AJ143">
        <v>84.844403331107898</v>
      </c>
      <c r="AK143">
        <v>53.649648134516703</v>
      </c>
      <c r="AL143">
        <v>84.773631116786405</v>
      </c>
      <c r="AM143">
        <v>86.887330856694305</v>
      </c>
      <c r="AN143">
        <v>0.999999996512834</v>
      </c>
    </row>
    <row r="144" spans="1:40" x14ac:dyDescent="0.25">
      <c r="A144" t="str">
        <f>"20190312151223956"</f>
        <v>20190312151223956</v>
      </c>
      <c r="B144" t="str">
        <f>"1552374743950022"</f>
        <v>1552374743950022</v>
      </c>
      <c r="C144" t="s">
        <v>40</v>
      </c>
      <c r="D144">
        <v>4.0899419999999997</v>
      </c>
      <c r="E144">
        <v>0.51286500000000002</v>
      </c>
      <c r="F144" t="s">
        <v>42</v>
      </c>
      <c r="G144">
        <v>-395.44209999999998</v>
      </c>
      <c r="H144" s="1">
        <v>-2.9753269999999998E-6</v>
      </c>
      <c r="I144">
        <v>364.21100000000001</v>
      </c>
      <c r="J144">
        <v>-452.77339999999998</v>
      </c>
      <c r="K144">
        <v>1.10948</v>
      </c>
      <c r="L144">
        <v>367.73590000000002</v>
      </c>
      <c r="M144">
        <v>0.99957320000000005</v>
      </c>
      <c r="N144">
        <v>0</v>
      </c>
      <c r="O144">
        <v>2.8262889999999999E-2</v>
      </c>
      <c r="P144">
        <v>0.99616499999999997</v>
      </c>
      <c r="Q144">
        <v>8.3543530000000005E-2</v>
      </c>
      <c r="R144">
        <v>-2.6001880000000002E-2</v>
      </c>
      <c r="S144">
        <v>3.011749</v>
      </c>
      <c r="T144">
        <v>-5.7988520000000002E-2</v>
      </c>
      <c r="U144">
        <v>-0.18380740000000001</v>
      </c>
      <c r="V144">
        <v>5.4157610000000002E-2</v>
      </c>
      <c r="W144">
        <v>9.0893829999999995E-2</v>
      </c>
      <c r="X144">
        <v>0.99438689999999996</v>
      </c>
      <c r="Y144">
        <v>8.9081939999999998E-2</v>
      </c>
      <c r="Z144">
        <v>-1.4004179999999901E-3</v>
      </c>
      <c r="AA144">
        <v>0.99602329999999994</v>
      </c>
      <c r="AB144">
        <v>27</v>
      </c>
      <c r="AC144">
        <v>57.331299999999999</v>
      </c>
      <c r="AD144">
        <v>-1.1094829753269999</v>
      </c>
      <c r="AE144">
        <v>-3.5249000000000001</v>
      </c>
      <c r="AF144">
        <v>5.1419658569645401</v>
      </c>
      <c r="AG144">
        <v>-1.1094829753269999</v>
      </c>
      <c r="AH144">
        <v>57.1874334008901</v>
      </c>
      <c r="AI144">
        <v>91.106980936953207</v>
      </c>
      <c r="AJ144">
        <v>84.862108446886594</v>
      </c>
      <c r="AK144">
        <v>57.4288542836088</v>
      </c>
      <c r="AL144">
        <v>84.784969560003404</v>
      </c>
      <c r="AM144">
        <v>86.882561673325</v>
      </c>
      <c r="AN144">
        <v>1.0000000209722899</v>
      </c>
    </row>
    <row r="145" spans="1:40" x14ac:dyDescent="0.25">
      <c r="A145" t="str">
        <f>"20190312151223978"</f>
        <v>20190312151223978</v>
      </c>
      <c r="B145" t="str">
        <f>"1552374743969542"</f>
        <v>1552374743969542</v>
      </c>
      <c r="C145" t="s">
        <v>40</v>
      </c>
      <c r="D145">
        <v>4.1041919999999896</v>
      </c>
      <c r="E145">
        <v>0.51284169999999996</v>
      </c>
      <c r="F145" t="s">
        <v>42</v>
      </c>
      <c r="G145">
        <v>-395.02080000000001</v>
      </c>
      <c r="H145" s="1">
        <v>-3.1191489999999998E-6</v>
      </c>
      <c r="I145">
        <v>364.20929999999998</v>
      </c>
      <c r="J145">
        <v>-452.5052</v>
      </c>
      <c r="K145">
        <v>1.1094900000000001</v>
      </c>
      <c r="L145">
        <v>367.74349999999998</v>
      </c>
      <c r="M145">
        <v>0.99957370000000001</v>
      </c>
      <c r="N145">
        <v>0</v>
      </c>
      <c r="O145">
        <v>2.821239E-2</v>
      </c>
      <c r="P145">
        <v>0.99616150000000003</v>
      </c>
      <c r="Q145">
        <v>8.3525810000000006E-2</v>
      </c>
      <c r="R145">
        <v>-2.6181240000000001E-2</v>
      </c>
      <c r="S145">
        <v>3.0116269999999998</v>
      </c>
      <c r="T145">
        <v>-5.7856200000000003E-2</v>
      </c>
      <c r="U145">
        <v>-0.1838989</v>
      </c>
      <c r="V145">
        <v>5.4287809999999999E-2</v>
      </c>
      <c r="W145">
        <v>9.099024E-2</v>
      </c>
      <c r="X145">
        <v>0.99437089999999995</v>
      </c>
      <c r="Y145">
        <v>8.9064370000000004E-2</v>
      </c>
      <c r="Z145">
        <v>-1.396141E-3</v>
      </c>
      <c r="AA145">
        <v>0.99602489999999999</v>
      </c>
      <c r="AB145">
        <v>27</v>
      </c>
      <c r="AC145">
        <v>57.484400000000001</v>
      </c>
      <c r="AD145">
        <v>-1.1094931191489901</v>
      </c>
      <c r="AE145">
        <v>-3.53419999999999</v>
      </c>
      <c r="AF145">
        <v>5.1526989951575697</v>
      </c>
      <c r="AG145">
        <v>-1.1094931191489901</v>
      </c>
      <c r="AH145">
        <v>57.340526034658801</v>
      </c>
      <c r="AI145">
        <v>91.1040414529093</v>
      </c>
      <c r="AJ145">
        <v>84.865113870435195</v>
      </c>
      <c r="AK145">
        <v>57.582264698842202</v>
      </c>
      <c r="AL145">
        <v>84.779422256697501</v>
      </c>
      <c r="AM145">
        <v>86.875031711470101</v>
      </c>
      <c r="AN145">
        <v>0.99999993842832902</v>
      </c>
    </row>
    <row r="146" spans="1:40" x14ac:dyDescent="0.25">
      <c r="A146" t="str">
        <f>"20190312151224000"</f>
        <v>20190312151224000</v>
      </c>
      <c r="B146" t="str">
        <f>"1552374743990038"</f>
        <v>1552374743990038</v>
      </c>
      <c r="C146" t="s">
        <v>40</v>
      </c>
      <c r="D146">
        <v>4.1311650000000002</v>
      </c>
      <c r="E146">
        <v>0.51291279999999995</v>
      </c>
      <c r="F146" t="s">
        <v>42</v>
      </c>
      <c r="G146">
        <v>-393.66759999999999</v>
      </c>
      <c r="H146" s="1">
        <v>-3.669393E-6</v>
      </c>
      <c r="I146">
        <v>364.14499999999998</v>
      </c>
      <c r="J146">
        <v>-452.23340000000002</v>
      </c>
      <c r="K146">
        <v>1.1094999999999999</v>
      </c>
      <c r="L146">
        <v>367.75110000000001</v>
      </c>
      <c r="M146">
        <v>0.99957450000000003</v>
      </c>
      <c r="N146">
        <v>0</v>
      </c>
      <c r="O146">
        <v>2.815401E-2</v>
      </c>
      <c r="P146">
        <v>0.9961371</v>
      </c>
      <c r="Q146">
        <v>8.3795259999999996E-2</v>
      </c>
      <c r="R146">
        <v>-2.6265440000000001E-2</v>
      </c>
      <c r="S146">
        <v>3.0114139999999998</v>
      </c>
      <c r="T146">
        <v>-5.6785820000000001E-2</v>
      </c>
      <c r="U146">
        <v>-0.18417359999999999</v>
      </c>
      <c r="V146">
        <v>5.4313930000000003E-2</v>
      </c>
      <c r="W146">
        <v>9.1375339999999999E-2</v>
      </c>
      <c r="X146">
        <v>0.99433419999999895</v>
      </c>
      <c r="Y146">
        <v>8.9101810000000004E-2</v>
      </c>
      <c r="Z146">
        <v>-1.3696629999999999E-3</v>
      </c>
      <c r="AA146">
        <v>0.99602159999999995</v>
      </c>
      <c r="AB146">
        <v>27</v>
      </c>
      <c r="AC146">
        <v>58.565800000000003</v>
      </c>
      <c r="AD146">
        <v>-1.1095036693929901</v>
      </c>
      <c r="AE146">
        <v>-3.6061000000000201</v>
      </c>
      <c r="AF146">
        <v>5.25170282838081</v>
      </c>
      <c r="AG146">
        <v>-1.1095036693929901</v>
      </c>
      <c r="AH146">
        <v>58.420166271893997</v>
      </c>
      <c r="AI146">
        <v>91.083650024294698</v>
      </c>
      <c r="AJ146">
        <v>84.863181830882695</v>
      </c>
      <c r="AK146">
        <v>58.666235674583397</v>
      </c>
      <c r="AL146">
        <v>84.757265559419096</v>
      </c>
      <c r="AM146">
        <v>86.873415982202701</v>
      </c>
      <c r="AN146">
        <v>0.99999997852089895</v>
      </c>
    </row>
    <row r="147" spans="1:40" x14ac:dyDescent="0.25">
      <c r="A147" t="str">
        <f>"20190312151224021"</f>
        <v>20190312151224021</v>
      </c>
      <c r="B147" t="str">
        <f>"1552374744009558"</f>
        <v>1552374744009558</v>
      </c>
      <c r="C147" t="s">
        <v>40</v>
      </c>
      <c r="D147">
        <v>4.2283189999999999</v>
      </c>
      <c r="E147">
        <v>0.51302499999999995</v>
      </c>
      <c r="F147" t="s">
        <v>42</v>
      </c>
      <c r="G147">
        <v>-390.48070000000001</v>
      </c>
      <c r="H147" s="1">
        <v>-5.069856E-6</v>
      </c>
      <c r="I147">
        <v>363.95740000000001</v>
      </c>
      <c r="J147">
        <v>-451.97649999999999</v>
      </c>
      <c r="K147">
        <v>1.1095109999999999</v>
      </c>
      <c r="L147">
        <v>367.75819999999999</v>
      </c>
      <c r="M147">
        <v>0.9995754</v>
      </c>
      <c r="N147">
        <v>0</v>
      </c>
      <c r="O147">
        <v>2.809441E-2</v>
      </c>
      <c r="P147">
        <v>0.99615629999999999</v>
      </c>
      <c r="Q147">
        <v>8.3410059999999994E-2</v>
      </c>
      <c r="R147">
        <v>-2.67493E-2</v>
      </c>
      <c r="S147">
        <v>3.0113530000000002</v>
      </c>
      <c r="T147">
        <v>-5.4104569999999998E-2</v>
      </c>
      <c r="U147">
        <v>-0.18499760000000001</v>
      </c>
      <c r="V147">
        <v>5.4739679999999999E-2</v>
      </c>
      <c r="W147">
        <v>9.1098979999999996E-2</v>
      </c>
      <c r="X147">
        <v>0.9943362</v>
      </c>
      <c r="Y147">
        <v>8.9317069999999998E-2</v>
      </c>
      <c r="Z147">
        <v>-1.3058799999999999E-3</v>
      </c>
      <c r="AA147">
        <v>0.99600239999999995</v>
      </c>
      <c r="AB147">
        <v>27</v>
      </c>
      <c r="AC147">
        <v>61.495799999999903</v>
      </c>
      <c r="AD147">
        <v>-1.109516069856</v>
      </c>
      <c r="AE147">
        <v>-3.8007999999999802</v>
      </c>
      <c r="AF147">
        <v>5.5252477207499897</v>
      </c>
      <c r="AG147">
        <v>-1.109516069856</v>
      </c>
      <c r="AH147">
        <v>61.344847225828602</v>
      </c>
      <c r="AI147">
        <v>91.031992881375302</v>
      </c>
      <c r="AJ147">
        <v>84.853333579074501</v>
      </c>
      <c r="AK147">
        <v>61.603162820144</v>
      </c>
      <c r="AL147">
        <v>84.773166082862801</v>
      </c>
      <c r="AM147">
        <v>86.848963184717604</v>
      </c>
      <c r="AN147">
        <v>0.99999996767698995</v>
      </c>
    </row>
    <row r="148" spans="1:40" x14ac:dyDescent="0.25">
      <c r="A148" t="str">
        <f>"20190312151224054"</f>
        <v>20190312151224054</v>
      </c>
      <c r="B148" t="str">
        <f>"1552374744049574"</f>
        <v>1552374744049574</v>
      </c>
      <c r="C148" t="s">
        <v>40</v>
      </c>
      <c r="D148">
        <v>4.1915139999999997</v>
      </c>
      <c r="E148">
        <v>0.51295979999999997</v>
      </c>
      <c r="F148" t="s">
        <v>42</v>
      </c>
      <c r="G148">
        <v>-390.71140000000003</v>
      </c>
      <c r="H148" s="1">
        <v>-4.9720409999999996E-6</v>
      </c>
      <c r="I148">
        <v>363.95069999999998</v>
      </c>
      <c r="J148">
        <v>-451.5718</v>
      </c>
      <c r="K148">
        <v>1.109518</v>
      </c>
      <c r="L148">
        <v>367.76949999999999</v>
      </c>
      <c r="M148">
        <v>0.99957680000000004</v>
      </c>
      <c r="N148">
        <v>0</v>
      </c>
      <c r="O148">
        <v>2.799478E-2</v>
      </c>
      <c r="P148">
        <v>0.99616740000000004</v>
      </c>
      <c r="Q148">
        <v>8.3055439999999994E-2</v>
      </c>
      <c r="R148">
        <v>-2.7428109999999999E-2</v>
      </c>
      <c r="S148">
        <v>3.011139</v>
      </c>
      <c r="T148">
        <v>-5.4531929999999999E-2</v>
      </c>
      <c r="U148">
        <v>-0.18713379999999999</v>
      </c>
      <c r="V148">
        <v>5.5320319999999999E-2</v>
      </c>
      <c r="W148">
        <v>9.0913300000000002E-2</v>
      </c>
      <c r="X148">
        <v>0.99432109999999996</v>
      </c>
      <c r="Y148">
        <v>8.9925679999999994E-2</v>
      </c>
      <c r="Z148">
        <v>-1.319963E-3</v>
      </c>
      <c r="AA148">
        <v>0.99594760000000004</v>
      </c>
      <c r="AB148">
        <v>27</v>
      </c>
      <c r="AC148">
        <v>60.860399999999899</v>
      </c>
      <c r="AD148">
        <v>-1.109522972041</v>
      </c>
      <c r="AE148">
        <v>-3.8188</v>
      </c>
      <c r="AF148">
        <v>5.5193027897393403</v>
      </c>
      <c r="AG148">
        <v>-1.109522972041</v>
      </c>
      <c r="AH148">
        <v>60.709537619235803</v>
      </c>
      <c r="AI148">
        <v>91.042717499499702</v>
      </c>
      <c r="AJ148">
        <v>84.805333419241606</v>
      </c>
      <c r="AK148">
        <v>60.970006580709203</v>
      </c>
      <c r="AL148">
        <v>84.783849304985196</v>
      </c>
      <c r="AM148">
        <v>86.815559371638599</v>
      </c>
      <c r="AN148">
        <v>1.0000000079135001</v>
      </c>
    </row>
    <row r="149" spans="1:40" x14ac:dyDescent="0.25">
      <c r="A149" t="str">
        <f>"20190312151224076"</f>
        <v>20190312151224076</v>
      </c>
      <c r="B149" t="str">
        <f>"1552374744070070"</f>
        <v>1552374744070070</v>
      </c>
      <c r="C149" t="s">
        <v>40</v>
      </c>
      <c r="D149">
        <v>4.2209450000000004</v>
      </c>
      <c r="E149">
        <v>0.51293</v>
      </c>
      <c r="F149" t="s">
        <v>42</v>
      </c>
      <c r="G149">
        <v>-387.41489999999999</v>
      </c>
      <c r="H149" s="1">
        <v>-2.4282610000000001E-6</v>
      </c>
      <c r="I149">
        <v>363.74400000000003</v>
      </c>
      <c r="J149">
        <v>-451.29570000000001</v>
      </c>
      <c r="K149">
        <v>1.1095269999999999</v>
      </c>
      <c r="L149">
        <v>367.77710000000002</v>
      </c>
      <c r="M149">
        <v>0.99957799999999997</v>
      </c>
      <c r="N149">
        <v>0</v>
      </c>
      <c r="O149">
        <v>2.7923469999999999E-2</v>
      </c>
      <c r="P149">
        <v>0.99617219999999995</v>
      </c>
      <c r="Q149">
        <v>8.2935439999999999E-2</v>
      </c>
      <c r="R149">
        <v>-2.7623109999999999E-2</v>
      </c>
      <c r="S149">
        <v>3.0106809999999999</v>
      </c>
      <c r="T149">
        <v>-5.2066210000000002E-2</v>
      </c>
      <c r="U149">
        <v>-0.18890380000000001</v>
      </c>
      <c r="V149">
        <v>5.544495E-2</v>
      </c>
      <c r="W149">
        <v>9.090761E-2</v>
      </c>
      <c r="X149">
        <v>0.9943147</v>
      </c>
      <c r="Y149">
        <v>9.0448890000000004E-2</v>
      </c>
      <c r="Z149">
        <v>-1.2637449999999999E-3</v>
      </c>
      <c r="AA149">
        <v>0.99590029999999996</v>
      </c>
      <c r="AB149">
        <v>27</v>
      </c>
      <c r="AC149">
        <v>63.880800000000001</v>
      </c>
      <c r="AD149">
        <v>-1.109529428261</v>
      </c>
      <c r="AE149">
        <v>-4.0330999999999904</v>
      </c>
      <c r="AF149">
        <v>5.8136111757737297</v>
      </c>
      <c r="AG149">
        <v>-1.109529428261</v>
      </c>
      <c r="AH149">
        <v>63.724119668339398</v>
      </c>
      <c r="AI149">
        <v>90.993377318867203</v>
      </c>
      <c r="AJ149">
        <v>84.787282326151399</v>
      </c>
      <c r="AK149">
        <v>63.998379338543401</v>
      </c>
      <c r="AL149">
        <v>84.784176785625107</v>
      </c>
      <c r="AM149">
        <v>86.808379525698498</v>
      </c>
      <c r="AN149">
        <v>1.0000000293362501</v>
      </c>
    </row>
    <row r="150" spans="1:40" x14ac:dyDescent="0.25">
      <c r="A150" t="str">
        <f>"20190312151224099"</f>
        <v>20190312151224099</v>
      </c>
      <c r="B150" t="str">
        <f>"1552374744089591"</f>
        <v>1552374744089591</v>
      </c>
      <c r="C150" t="s">
        <v>40</v>
      </c>
      <c r="D150">
        <v>4.1796530000000001</v>
      </c>
      <c r="E150">
        <v>0.51261729999999905</v>
      </c>
      <c r="F150" t="s">
        <v>42</v>
      </c>
      <c r="G150">
        <v>-385.21199999999999</v>
      </c>
      <c r="H150" s="1">
        <v>-3.2109520000000002E-6</v>
      </c>
      <c r="I150">
        <v>363.6198</v>
      </c>
      <c r="J150">
        <v>-451.0247</v>
      </c>
      <c r="K150">
        <v>1.10954</v>
      </c>
      <c r="L150">
        <v>367.78460000000001</v>
      </c>
      <c r="M150">
        <v>0.99957910000000005</v>
      </c>
      <c r="N150">
        <v>0</v>
      </c>
      <c r="O150">
        <v>2.7851810000000001E-2</v>
      </c>
      <c r="P150">
        <v>0.99613399999999996</v>
      </c>
      <c r="Q150">
        <v>8.3378389999999997E-2</v>
      </c>
      <c r="R150">
        <v>-2.7664270000000001E-2</v>
      </c>
      <c r="S150">
        <v>3.010529</v>
      </c>
      <c r="T150">
        <v>-5.0546050000000002E-2</v>
      </c>
      <c r="U150">
        <v>-0.18939210000000001</v>
      </c>
      <c r="V150">
        <v>5.5414289999999998E-2</v>
      </c>
      <c r="W150">
        <v>9.1460810000000003E-2</v>
      </c>
      <c r="X150">
        <v>0.99426570000000003</v>
      </c>
      <c r="Y150">
        <v>9.0542590000000006E-2</v>
      </c>
      <c r="Z150">
        <v>-1.2264929999999999E-3</v>
      </c>
      <c r="AA150">
        <v>0.99589179999999999</v>
      </c>
      <c r="AB150">
        <v>27</v>
      </c>
      <c r="AC150">
        <v>65.812700000000007</v>
      </c>
      <c r="AD150">
        <v>-1.109543210952</v>
      </c>
      <c r="AE150">
        <v>-4.1648000000000103</v>
      </c>
      <c r="AF150">
        <v>5.9945503983646704</v>
      </c>
      <c r="AG150">
        <v>-1.109543210952</v>
      </c>
      <c r="AH150">
        <v>65.652580137635198</v>
      </c>
      <c r="AI150">
        <v>90.964209048618201</v>
      </c>
      <c r="AJ150">
        <v>84.782951382929795</v>
      </c>
      <c r="AK150">
        <v>65.935021038474801</v>
      </c>
      <c r="AL150">
        <v>84.752348287436703</v>
      </c>
      <c r="AM150">
        <v>86.8099839053815</v>
      </c>
      <c r="AN150">
        <v>1.0000000527492701</v>
      </c>
    </row>
    <row r="151" spans="1:40" x14ac:dyDescent="0.25">
      <c r="A151" t="str">
        <f>"20190312151224121"</f>
        <v>20190312151224121</v>
      </c>
      <c r="B151" t="str">
        <f>"1552374744109110"</f>
        <v>1552374744109110</v>
      </c>
      <c r="C151" t="s">
        <v>40</v>
      </c>
      <c r="D151">
        <v>4.2075769999999997</v>
      </c>
      <c r="E151">
        <v>0.51223649999999998</v>
      </c>
      <c r="F151" t="s">
        <v>42</v>
      </c>
      <c r="G151">
        <v>-382.92</v>
      </c>
      <c r="H151" s="1">
        <v>-4.0943099999999998E-6</v>
      </c>
      <c r="I151">
        <v>363.5575</v>
      </c>
      <c r="J151">
        <v>-450.74950000000001</v>
      </c>
      <c r="K151">
        <v>1.109558</v>
      </c>
      <c r="L151">
        <v>367.79219999999998</v>
      </c>
      <c r="M151">
        <v>0.99958020000000003</v>
      </c>
      <c r="N151">
        <v>0</v>
      </c>
      <c r="O151">
        <v>2.7777880000000001E-2</v>
      </c>
      <c r="P151">
        <v>0.99613220000000002</v>
      </c>
      <c r="Q151">
        <v>8.3395880000000006E-2</v>
      </c>
      <c r="R151">
        <v>-2.768114E-2</v>
      </c>
      <c r="S151">
        <v>3.0105590000000002</v>
      </c>
      <c r="T151">
        <v>-4.9047229999999997E-2</v>
      </c>
      <c r="U151">
        <v>-0.1868591</v>
      </c>
      <c r="V151">
        <v>5.535793E-2</v>
      </c>
      <c r="W151">
        <v>9.1589500000000004E-2</v>
      </c>
      <c r="X151">
        <v>0.9942569</v>
      </c>
      <c r="Y151">
        <v>8.9634729999999996E-2</v>
      </c>
      <c r="Z151">
        <v>-1.1815560000000001E-3</v>
      </c>
      <c r="AA151">
        <v>0.99597400000000003</v>
      </c>
      <c r="AB151">
        <v>27</v>
      </c>
      <c r="AC151">
        <v>67.829499999999996</v>
      </c>
      <c r="AD151">
        <v>-1.10956209431</v>
      </c>
      <c r="AE151">
        <v>-4.2346999999999699</v>
      </c>
      <c r="AF151">
        <v>6.1156592833495402</v>
      </c>
      <c r="AG151">
        <v>-1.10956209431</v>
      </c>
      <c r="AH151">
        <v>67.667652492935005</v>
      </c>
      <c r="AI151">
        <v>90.935595321838605</v>
      </c>
      <c r="AJ151">
        <v>84.835758944517096</v>
      </c>
      <c r="AK151">
        <v>67.952509964060596</v>
      </c>
      <c r="AL151">
        <v>84.744943327193894</v>
      </c>
      <c r="AM151">
        <v>86.813193524813798</v>
      </c>
      <c r="AN151">
        <v>0.999999960060871</v>
      </c>
    </row>
    <row r="152" spans="1:40" x14ac:dyDescent="0.25">
      <c r="A152" t="str">
        <f>"20190312151224144"</f>
        <v>20190312151224144</v>
      </c>
      <c r="B152" t="str">
        <f>"1552374744139368"</f>
        <v>1552374744139368</v>
      </c>
      <c r="C152" t="s">
        <v>40</v>
      </c>
      <c r="D152">
        <v>4.2362159999999998</v>
      </c>
      <c r="E152">
        <v>0.51165039999999995</v>
      </c>
      <c r="F152" t="s">
        <v>42</v>
      </c>
      <c r="G152">
        <v>-384.51549999999997</v>
      </c>
      <c r="H152" s="1">
        <v>-3.416207E-6</v>
      </c>
      <c r="I152">
        <v>363.73919999999998</v>
      </c>
      <c r="J152">
        <v>-450.47149999999999</v>
      </c>
      <c r="K152">
        <v>1.109569</v>
      </c>
      <c r="L152">
        <v>367.79989999999998</v>
      </c>
      <c r="M152">
        <v>0.99958119999999995</v>
      </c>
      <c r="N152">
        <v>0</v>
      </c>
      <c r="O152">
        <v>2.7702689999999999E-2</v>
      </c>
      <c r="P152">
        <v>0.99615359999999997</v>
      </c>
      <c r="Q152">
        <v>8.3225859999999999E-2</v>
      </c>
      <c r="R152">
        <v>-2.7411640000000001E-2</v>
      </c>
      <c r="S152">
        <v>3.0107729999999999</v>
      </c>
      <c r="T152">
        <v>-5.0436849999999998E-2</v>
      </c>
      <c r="U152">
        <v>-0.1842346</v>
      </c>
      <c r="V152">
        <v>5.501458E-2</v>
      </c>
      <c r="W152">
        <v>9.153203E-2</v>
      </c>
      <c r="X152">
        <v>0.99428130000000003</v>
      </c>
      <c r="Y152">
        <v>8.8689779999999996E-2</v>
      </c>
      <c r="Z152">
        <v>-1.2058080000000001E-3</v>
      </c>
      <c r="AA152">
        <v>0.99605860000000002</v>
      </c>
      <c r="AB152">
        <v>28</v>
      </c>
      <c r="AC152">
        <v>65.956000000000003</v>
      </c>
      <c r="AD152">
        <v>-1.109572416207</v>
      </c>
      <c r="AE152">
        <v>-4.06069999999999</v>
      </c>
      <c r="AF152">
        <v>5.8847048395227697</v>
      </c>
      <c r="AG152">
        <v>-1.109572416207</v>
      </c>
      <c r="AH152">
        <v>65.7996368416715</v>
      </c>
      <c r="AI152">
        <v>90.962241394281406</v>
      </c>
      <c r="AJ152">
        <v>84.889423082812002</v>
      </c>
      <c r="AK152">
        <v>66.071575662238899</v>
      </c>
      <c r="AL152">
        <v>84.748250268665501</v>
      </c>
      <c r="AM152">
        <v>86.832996457251994</v>
      </c>
      <c r="AN152">
        <v>1.00000001002909</v>
      </c>
    </row>
    <row r="153" spans="1:40" x14ac:dyDescent="0.25">
      <c r="A153" t="str">
        <f>"20190312151224167"</f>
        <v>20190312151224167</v>
      </c>
      <c r="B153" t="str">
        <f>"1552374744159863"</f>
        <v>1552374744159863</v>
      </c>
      <c r="C153" t="s">
        <v>40</v>
      </c>
      <c r="D153">
        <v>4.2525029999999999</v>
      </c>
      <c r="E153">
        <v>0.51127699999999998</v>
      </c>
      <c r="F153" t="s">
        <v>42</v>
      </c>
      <c r="G153">
        <v>-388.1968</v>
      </c>
      <c r="H153" s="1">
        <v>-2.0652320000000002E-6</v>
      </c>
      <c r="I153">
        <v>364.10820000000001</v>
      </c>
      <c r="J153">
        <v>-450.18259999999998</v>
      </c>
      <c r="K153">
        <v>1.1095809999999999</v>
      </c>
      <c r="L153">
        <v>367.80779999999999</v>
      </c>
      <c r="M153">
        <v>0.99958259999999999</v>
      </c>
      <c r="N153">
        <v>0</v>
      </c>
      <c r="O153">
        <v>2.7623579999999998E-2</v>
      </c>
      <c r="P153">
        <v>0.99619230000000003</v>
      </c>
      <c r="Q153">
        <v>8.2668889999999995E-2</v>
      </c>
      <c r="R153">
        <v>-2.76923E-2</v>
      </c>
      <c r="S153">
        <v>3.011139</v>
      </c>
      <c r="T153">
        <v>-5.3650499999999997E-2</v>
      </c>
      <c r="U153">
        <v>-0.1784973</v>
      </c>
      <c r="V153">
        <v>5.5217509999999997E-2</v>
      </c>
      <c r="W153">
        <v>9.1085669999999994E-2</v>
      </c>
      <c r="X153">
        <v>0.99431099999999994</v>
      </c>
      <c r="Y153">
        <v>8.6710609999999994E-2</v>
      </c>
      <c r="Z153">
        <v>-1.263517E-3</v>
      </c>
      <c r="AA153">
        <v>0.99623269999999997</v>
      </c>
      <c r="AB153">
        <v>28</v>
      </c>
      <c r="AC153">
        <v>61.985799999999898</v>
      </c>
      <c r="AD153">
        <v>-1.109583065232</v>
      </c>
      <c r="AE153">
        <v>-3.69959999999997</v>
      </c>
      <c r="AF153">
        <v>5.4087920982867796</v>
      </c>
      <c r="AG153">
        <v>-1.109583065232</v>
      </c>
      <c r="AH153">
        <v>61.840199219429202</v>
      </c>
      <c r="AI153">
        <v>91.024024817135</v>
      </c>
      <c r="AJ153">
        <v>85.001401544560494</v>
      </c>
      <c r="AK153">
        <v>62.086201736294299</v>
      </c>
      <c r="AL153">
        <v>84.773931878914595</v>
      </c>
      <c r="AM153">
        <v>86.821433125749195</v>
      </c>
      <c r="AN153">
        <v>0.99999996870547303</v>
      </c>
    </row>
    <row r="154" spans="1:40" x14ac:dyDescent="0.25">
      <c r="A154" t="str">
        <f>"20190312151224190"</f>
        <v>20190312151224190</v>
      </c>
      <c r="B154" t="str">
        <f>"1552374744179383"</f>
        <v>1552374744179383</v>
      </c>
      <c r="C154" t="s">
        <v>40</v>
      </c>
      <c r="D154">
        <v>4.2737879999999997</v>
      </c>
      <c r="E154">
        <v>0.51094410000000001</v>
      </c>
      <c r="F154" t="s">
        <v>42</v>
      </c>
      <c r="G154">
        <v>-391.72879999999998</v>
      </c>
      <c r="H154" s="1">
        <v>-4.4582869999999996E-6</v>
      </c>
      <c r="I154">
        <v>364.38670000000002</v>
      </c>
      <c r="J154">
        <v>-449.8974</v>
      </c>
      <c r="K154">
        <v>1.109594</v>
      </c>
      <c r="L154">
        <v>367.81560000000002</v>
      </c>
      <c r="M154">
        <v>0.99958380000000002</v>
      </c>
      <c r="N154">
        <v>0</v>
      </c>
      <c r="O154">
        <v>2.754496E-2</v>
      </c>
      <c r="P154">
        <v>0.99618249999999997</v>
      </c>
      <c r="Q154">
        <v>8.280274E-2</v>
      </c>
      <c r="R154">
        <v>-2.7645200000000002E-2</v>
      </c>
      <c r="S154">
        <v>3.0113219999999998</v>
      </c>
      <c r="T154">
        <v>-5.7161570000000002E-2</v>
      </c>
      <c r="U154">
        <v>-0.17623900000000001</v>
      </c>
      <c r="V154">
        <v>5.5092049999999997E-2</v>
      </c>
      <c r="W154">
        <v>9.1323580000000001E-2</v>
      </c>
      <c r="X154">
        <v>0.99429619999999996</v>
      </c>
      <c r="Y154">
        <v>8.5881869999999999E-2</v>
      </c>
      <c r="Z154">
        <v>-1.33679E-3</v>
      </c>
      <c r="AA154">
        <v>0.99630450000000004</v>
      </c>
      <c r="AB154">
        <v>28</v>
      </c>
      <c r="AC154">
        <v>58.168599999999998</v>
      </c>
      <c r="AD154">
        <v>-1.109598458287</v>
      </c>
      <c r="AE154">
        <v>-3.4288999999999898</v>
      </c>
      <c r="AF154">
        <v>5.0280862407475801</v>
      </c>
      <c r="AG154">
        <v>-1.109598458287</v>
      </c>
      <c r="AH154">
        <v>58.031031794826603</v>
      </c>
      <c r="AI154">
        <v>91.091318596598498</v>
      </c>
      <c r="AJ154">
        <v>85.0479869367623</v>
      </c>
      <c r="AK154">
        <v>58.259020856475203</v>
      </c>
      <c r="AL154">
        <v>84.7602439205709</v>
      </c>
      <c r="AM154">
        <v>86.828593297091999</v>
      </c>
      <c r="AN154">
        <v>1.00000003178582</v>
      </c>
    </row>
    <row r="155" spans="1:40" x14ac:dyDescent="0.25">
      <c r="A155" t="str">
        <f>"20190312151224212"</f>
        <v>20190312151224212</v>
      </c>
      <c r="B155" t="str">
        <f>"1552374744209638"</f>
        <v>1552374744209638</v>
      </c>
      <c r="C155" t="s">
        <v>40</v>
      </c>
      <c r="D155">
        <v>4.3120750000000001</v>
      </c>
      <c r="E155">
        <v>0.51045980000000002</v>
      </c>
      <c r="F155" t="s">
        <v>42</v>
      </c>
      <c r="G155">
        <v>-392.2088</v>
      </c>
      <c r="H155" s="1">
        <v>-4.2334659999999997E-6</v>
      </c>
      <c r="I155">
        <v>364.4932</v>
      </c>
      <c r="J155">
        <v>-449.62909999999999</v>
      </c>
      <c r="K155">
        <v>1.1096060000000001</v>
      </c>
      <c r="L155">
        <v>367.8229</v>
      </c>
      <c r="M155">
        <v>0.99958499999999995</v>
      </c>
      <c r="N155">
        <v>0</v>
      </c>
      <c r="O155">
        <v>2.7470560000000002E-2</v>
      </c>
      <c r="P155">
        <v>0.99615980000000004</v>
      </c>
      <c r="Q155">
        <v>8.2995070000000004E-2</v>
      </c>
      <c r="R155">
        <v>-2.788587E-2</v>
      </c>
      <c r="S155">
        <v>3.0114749999999999</v>
      </c>
      <c r="T155">
        <v>-5.792344E-2</v>
      </c>
      <c r="U155">
        <v>-0.17343140000000001</v>
      </c>
      <c r="V155">
        <v>5.5258259999999997E-2</v>
      </c>
      <c r="W155">
        <v>9.1609430000000006E-2</v>
      </c>
      <c r="X155">
        <v>0.9942607</v>
      </c>
      <c r="Y155">
        <v>8.487865E-2</v>
      </c>
      <c r="Z155">
        <v>-1.343501E-3</v>
      </c>
      <c r="AA155">
        <v>0.99639040000000001</v>
      </c>
      <c r="AB155">
        <v>28</v>
      </c>
      <c r="AC155">
        <v>57.420299999999997</v>
      </c>
      <c r="AD155">
        <v>-1.1096102334660001</v>
      </c>
      <c r="AE155">
        <v>-3.3296999999999999</v>
      </c>
      <c r="AF155">
        <v>4.90404524200087</v>
      </c>
      <c r="AG155">
        <v>-1.1096102334660001</v>
      </c>
      <c r="AH155">
        <v>57.285835934740803</v>
      </c>
      <c r="AI155">
        <v>91.105621213195306</v>
      </c>
      <c r="AJ155">
        <v>85.107032937398998</v>
      </c>
      <c r="AK155">
        <v>57.506068317594497</v>
      </c>
      <c r="AL155">
        <v>84.743797082079197</v>
      </c>
      <c r="AM155">
        <v>86.818931595967896</v>
      </c>
      <c r="AN155">
        <v>1.0000000512638201</v>
      </c>
    </row>
    <row r="156" spans="1:40" x14ac:dyDescent="0.25">
      <c r="A156" t="str">
        <f>"20190312151224234"</f>
        <v>20190312151224234</v>
      </c>
      <c r="B156" t="str">
        <f>"1552374744229159"</f>
        <v>1552374744229159</v>
      </c>
      <c r="C156" t="s">
        <v>40</v>
      </c>
      <c r="D156">
        <v>4.323296</v>
      </c>
      <c r="E156">
        <v>0.51014159999999997</v>
      </c>
      <c r="F156" t="s">
        <v>42</v>
      </c>
      <c r="G156">
        <v>-393.78660000000002</v>
      </c>
      <c r="H156" s="1">
        <v>-3.5258070000000002E-6</v>
      </c>
      <c r="I156">
        <v>364.66660000000002</v>
      </c>
      <c r="J156">
        <v>-449.35919999999999</v>
      </c>
      <c r="K156">
        <v>1.109612</v>
      </c>
      <c r="L156">
        <v>367.83030000000002</v>
      </c>
      <c r="M156">
        <v>0.99958639999999999</v>
      </c>
      <c r="N156">
        <v>0</v>
      </c>
      <c r="O156">
        <v>2.7394330000000001E-2</v>
      </c>
      <c r="P156">
        <v>0.99615770000000003</v>
      </c>
      <c r="Q156">
        <v>8.2855479999999995E-2</v>
      </c>
      <c r="R156">
        <v>-2.837514E-2</v>
      </c>
      <c r="S156">
        <v>3.0117799999999999</v>
      </c>
      <c r="T156">
        <v>-5.9845089999999997E-2</v>
      </c>
      <c r="U156">
        <v>-0.17022709999999999</v>
      </c>
      <c r="V156">
        <v>5.5671640000000001E-2</v>
      </c>
      <c r="W156">
        <v>9.1557200000000005E-2</v>
      </c>
      <c r="X156">
        <v>0.99424239999999997</v>
      </c>
      <c r="Y156">
        <v>8.3739019999999997E-2</v>
      </c>
      <c r="Z156">
        <v>-1.3751379999999999E-3</v>
      </c>
      <c r="AA156">
        <v>0.99648680000000001</v>
      </c>
      <c r="AB156">
        <v>28</v>
      </c>
      <c r="AC156">
        <v>55.572599999999902</v>
      </c>
      <c r="AD156">
        <v>-1.109615525807</v>
      </c>
      <c r="AE156">
        <v>-3.1637</v>
      </c>
      <c r="AF156">
        <v>4.6830840091877297</v>
      </c>
      <c r="AG156">
        <v>-1.109615525807</v>
      </c>
      <c r="AH156">
        <v>55.4430389360598</v>
      </c>
      <c r="AI156">
        <v>91.142475268148303</v>
      </c>
      <c r="AJ156">
        <v>85.171881798433006</v>
      </c>
      <c r="AK156">
        <v>55.651532673572198</v>
      </c>
      <c r="AL156">
        <v>84.746802006120305</v>
      </c>
      <c r="AM156">
        <v>86.795124985074807</v>
      </c>
      <c r="AN156">
        <v>1.0000000011649399</v>
      </c>
    </row>
    <row r="157" spans="1:40" x14ac:dyDescent="0.25">
      <c r="A157" t="str">
        <f>"20190312151224255"</f>
        <v>20190312151224255</v>
      </c>
      <c r="B157" t="str">
        <f>"1552374744249655"</f>
        <v>1552374744249655</v>
      </c>
      <c r="C157" t="s">
        <v>40</v>
      </c>
      <c r="D157">
        <v>4.5360189999999996</v>
      </c>
      <c r="E157">
        <v>0.5098355</v>
      </c>
      <c r="F157" t="s">
        <v>42</v>
      </c>
      <c r="G157">
        <v>-395.56040000000002</v>
      </c>
      <c r="H157" s="1">
        <v>-2.7763509999999999E-6</v>
      </c>
      <c r="I157">
        <v>364.8075</v>
      </c>
      <c r="J157">
        <v>-449.08530000000002</v>
      </c>
      <c r="K157">
        <v>1.109615</v>
      </c>
      <c r="L157">
        <v>367.83760000000001</v>
      </c>
      <c r="M157">
        <v>0.99958780000000003</v>
      </c>
      <c r="N157">
        <v>0</v>
      </c>
      <c r="O157">
        <v>2.7315309999999999E-2</v>
      </c>
      <c r="P157">
        <v>0.99619420000000003</v>
      </c>
      <c r="Q157">
        <v>8.2412089999999993E-2</v>
      </c>
      <c r="R157">
        <v>-2.837889E-2</v>
      </c>
      <c r="S157">
        <v>3.011841</v>
      </c>
      <c r="T157">
        <v>-6.2119960000000002E-2</v>
      </c>
      <c r="U157">
        <v>-0.16922000000000001</v>
      </c>
      <c r="V157">
        <v>5.5598130000000003E-2</v>
      </c>
      <c r="W157">
        <v>9.1196319999999997E-2</v>
      </c>
      <c r="X157">
        <v>0.99427969999999999</v>
      </c>
      <c r="Y157">
        <v>8.3325399999999994E-2</v>
      </c>
      <c r="Z157">
        <v>-1.4214939999999999E-3</v>
      </c>
      <c r="AA157">
        <v>0.9965214</v>
      </c>
      <c r="AB157">
        <v>28</v>
      </c>
      <c r="AC157">
        <v>53.524900000000002</v>
      </c>
      <c r="AD157">
        <v>-1.109617776351</v>
      </c>
      <c r="AE157">
        <v>-3.0301</v>
      </c>
      <c r="AF157">
        <v>4.48915248247856</v>
      </c>
      <c r="AG157">
        <v>-1.109617776351</v>
      </c>
      <c r="AH157">
        <v>53.399279155027401</v>
      </c>
      <c r="AI157">
        <v>91.186231145528296</v>
      </c>
      <c r="AJ157">
        <v>85.194577160549102</v>
      </c>
      <c r="AK157">
        <v>53.599130178549302</v>
      </c>
      <c r="AL157">
        <v>84.767565880419596</v>
      </c>
      <c r="AM157">
        <v>86.799467786763898</v>
      </c>
      <c r="AN157">
        <v>1.0000000213365601</v>
      </c>
    </row>
    <row r="158" spans="1:40" x14ac:dyDescent="0.25">
      <c r="A158" t="str">
        <f>"20190312151224278"</f>
        <v>20190312151224278</v>
      </c>
      <c r="B158" t="str">
        <f>"1552374744269175"</f>
        <v>1552374744269175</v>
      </c>
      <c r="C158" t="s">
        <v>40</v>
      </c>
      <c r="D158">
        <v>4.6163420000000004</v>
      </c>
      <c r="E158">
        <v>0.50955030000000001</v>
      </c>
      <c r="F158" t="s">
        <v>42</v>
      </c>
      <c r="G158">
        <v>-397.11160000000001</v>
      </c>
      <c r="H158" s="1">
        <v>-2.2088130000000001E-6</v>
      </c>
      <c r="I158">
        <v>364.95659999999998</v>
      </c>
      <c r="J158">
        <v>-448.79469999999998</v>
      </c>
      <c r="K158">
        <v>1.109621</v>
      </c>
      <c r="L158">
        <v>367.84550000000002</v>
      </c>
      <c r="M158">
        <v>0.99958950000000002</v>
      </c>
      <c r="N158">
        <v>0</v>
      </c>
      <c r="O158">
        <v>2.7227950000000001E-2</v>
      </c>
      <c r="P158">
        <v>0.99622860000000002</v>
      </c>
      <c r="Q158">
        <v>8.2051399999999997E-2</v>
      </c>
      <c r="R158">
        <v>-2.821564E-2</v>
      </c>
      <c r="S158">
        <v>3.012054</v>
      </c>
      <c r="T158">
        <v>-6.4306020000000005E-2</v>
      </c>
      <c r="U158">
        <v>-0.16696169999999999</v>
      </c>
      <c r="V158">
        <v>5.5349469999999998E-2</v>
      </c>
      <c r="W158">
        <v>9.0914720000000004E-2</v>
      </c>
      <c r="X158">
        <v>0.99431930000000002</v>
      </c>
      <c r="Y158">
        <v>8.2488039999999999E-2</v>
      </c>
      <c r="Z158">
        <v>-1.46063799999999E-3</v>
      </c>
      <c r="AA158">
        <v>0.996591</v>
      </c>
      <c r="AB158">
        <v>28</v>
      </c>
      <c r="AC158">
        <v>51.683099999999897</v>
      </c>
      <c r="AD158">
        <v>-1.109623208813</v>
      </c>
      <c r="AE158">
        <v>-2.8889000000000302</v>
      </c>
      <c r="AF158">
        <v>4.2931368809064496</v>
      </c>
      <c r="AG158">
        <v>-1.109623208813</v>
      </c>
      <c r="AH158">
        <v>51.561581759306399</v>
      </c>
      <c r="AI158">
        <v>91.228584860355895</v>
      </c>
      <c r="AJ158">
        <v>85.240399080167194</v>
      </c>
      <c r="AK158">
        <v>51.751898530057602</v>
      </c>
      <c r="AL158">
        <v>84.783767357317799</v>
      </c>
      <c r="AM158">
        <v>86.813879090913701</v>
      </c>
      <c r="AN158">
        <v>0.99999996024722304</v>
      </c>
    </row>
    <row r="159" spans="1:40" x14ac:dyDescent="0.25">
      <c r="A159" t="str">
        <f>"20190312151224301"</f>
        <v>20190312151224301</v>
      </c>
      <c r="B159" t="str">
        <f>"1552374744289674"</f>
        <v>1552374744289674</v>
      </c>
      <c r="C159" t="s">
        <v>40</v>
      </c>
      <c r="D159">
        <v>4.2974809999999897</v>
      </c>
      <c r="E159">
        <v>0.50927159999999905</v>
      </c>
      <c r="F159" t="s">
        <v>42</v>
      </c>
      <c r="G159">
        <v>-398.62389999999999</v>
      </c>
      <c r="H159" s="1">
        <v>-1.6539519999999999E-6</v>
      </c>
      <c r="I159">
        <v>365.10770000000002</v>
      </c>
      <c r="J159">
        <v>-448.51240000000001</v>
      </c>
      <c r="K159">
        <v>1.1096220000000001</v>
      </c>
      <c r="L159">
        <v>367.85309999999998</v>
      </c>
      <c r="M159">
        <v>0.99959140000000002</v>
      </c>
      <c r="N159">
        <v>0</v>
      </c>
      <c r="O159">
        <v>2.7138300000000001E-2</v>
      </c>
      <c r="P159">
        <v>0.99621389999999999</v>
      </c>
      <c r="Q159">
        <v>8.2171330000000001E-2</v>
      </c>
      <c r="R159">
        <v>-2.8393140000000001E-2</v>
      </c>
      <c r="S159">
        <v>3.0121769999999999</v>
      </c>
      <c r="T159">
        <v>-6.6619869999999998E-2</v>
      </c>
      <c r="U159">
        <v>-0.16436770000000001</v>
      </c>
      <c r="V159">
        <v>5.5437840000000002E-2</v>
      </c>
      <c r="W159">
        <v>9.1103240000000002E-2</v>
      </c>
      <c r="X159">
        <v>0.99429710000000004</v>
      </c>
      <c r="Y159">
        <v>8.1539189999999998E-2</v>
      </c>
      <c r="Z159">
        <v>-1.5006889999999999E-3</v>
      </c>
      <c r="AA159">
        <v>0.99666900000000003</v>
      </c>
      <c r="AB159">
        <v>28</v>
      </c>
      <c r="AC159">
        <v>49.888500000000001</v>
      </c>
      <c r="AD159">
        <v>-1.1096236539519999</v>
      </c>
      <c r="AE159">
        <v>-2.7453999999999601</v>
      </c>
      <c r="AF159">
        <v>4.0963119967200896</v>
      </c>
      <c r="AG159">
        <v>-1.1096236539519999</v>
      </c>
      <c r="AH159">
        <v>49.771067627390103</v>
      </c>
      <c r="AI159">
        <v>91.272869776034696</v>
      </c>
      <c r="AJ159">
        <v>85.294985545026904</v>
      </c>
      <c r="AK159">
        <v>49.951678744543898</v>
      </c>
      <c r="AL159">
        <v>84.772920832028802</v>
      </c>
      <c r="AM159">
        <v>86.808731587433996</v>
      </c>
      <c r="AN159">
        <v>0.99999993875538395</v>
      </c>
    </row>
    <row r="160" spans="1:40" x14ac:dyDescent="0.25">
      <c r="A160" t="str">
        <f>"20190312151224333"</f>
        <v>20190312151224333</v>
      </c>
      <c r="B160" t="str">
        <f>"1552374744329687"</f>
        <v>1552374744329687</v>
      </c>
      <c r="C160" t="s">
        <v>40</v>
      </c>
      <c r="D160">
        <v>4.3270949999999999</v>
      </c>
      <c r="E160">
        <v>0.50874379999999997</v>
      </c>
      <c r="F160" t="s">
        <v>42</v>
      </c>
      <c r="G160">
        <v>-398.76280000000003</v>
      </c>
      <c r="H160" s="1">
        <v>-1.589239E-6</v>
      </c>
      <c r="I160">
        <v>365.17320000000001</v>
      </c>
      <c r="J160">
        <v>-448.11020000000002</v>
      </c>
      <c r="K160">
        <v>1.1096220000000001</v>
      </c>
      <c r="L160">
        <v>367.8639</v>
      </c>
      <c r="M160">
        <v>0.99959430000000005</v>
      </c>
      <c r="N160">
        <v>0</v>
      </c>
      <c r="O160">
        <v>2.6997449999999999E-2</v>
      </c>
      <c r="P160">
        <v>0.99619930000000001</v>
      </c>
      <c r="Q160">
        <v>8.2406999999999994E-2</v>
      </c>
      <c r="R160">
        <v>-2.821137E-2</v>
      </c>
      <c r="S160">
        <v>3.0123289999999998</v>
      </c>
      <c r="T160">
        <v>-6.7187549999999999E-2</v>
      </c>
      <c r="U160">
        <v>-0.16226199999999999</v>
      </c>
      <c r="V160">
        <v>5.5117239999999998E-2</v>
      </c>
      <c r="W160">
        <v>9.1424259999999993E-2</v>
      </c>
      <c r="X160">
        <v>0.99428550000000004</v>
      </c>
      <c r="Y160">
        <v>8.0701129999999996E-2</v>
      </c>
      <c r="Z160">
        <v>-1.50094799999999E-3</v>
      </c>
      <c r="AA160">
        <v>0.99673719999999999</v>
      </c>
      <c r="AB160">
        <v>28</v>
      </c>
      <c r="AC160">
        <v>49.347399999999901</v>
      </c>
      <c r="AD160">
        <v>-1.1096235892389901</v>
      </c>
      <c r="AE160">
        <v>-2.6906999999999899</v>
      </c>
      <c r="AF160">
        <v>4.0200014426588897</v>
      </c>
      <c r="AG160">
        <v>-1.1096235892389901</v>
      </c>
      <c r="AH160">
        <v>49.2319476914547</v>
      </c>
      <c r="AI160">
        <v>91.286871701422101</v>
      </c>
      <c r="AJ160">
        <v>85.331908156739004</v>
      </c>
      <c r="AK160">
        <v>49.408261956912703</v>
      </c>
      <c r="AL160">
        <v>84.754450878647205</v>
      </c>
      <c r="AM160">
        <v>86.827112106862302</v>
      </c>
      <c r="AN160">
        <v>0.99999998048600702</v>
      </c>
    </row>
    <row r="161" spans="1:40" x14ac:dyDescent="0.25">
      <c r="A161" t="str">
        <f>"20190312151224357"</f>
        <v>20190312151224357</v>
      </c>
      <c r="B161" t="str">
        <f>"1552374744349207"</f>
        <v>1552374744349207</v>
      </c>
      <c r="C161" t="s">
        <v>40</v>
      </c>
      <c r="D161">
        <v>4.3176300000000003</v>
      </c>
      <c r="E161">
        <v>0.50849630000000001</v>
      </c>
      <c r="F161" t="s">
        <v>43</v>
      </c>
      <c r="G161">
        <v>-398.10520000000002</v>
      </c>
      <c r="H161">
        <v>-0.05</v>
      </c>
      <c r="I161">
        <v>365.24669999999998</v>
      </c>
      <c r="J161">
        <v>-447.81849999999997</v>
      </c>
      <c r="K161">
        <v>1.1096220000000001</v>
      </c>
      <c r="L161">
        <v>367.87169999999998</v>
      </c>
      <c r="M161">
        <v>0.99959690000000001</v>
      </c>
      <c r="N161">
        <v>0</v>
      </c>
      <c r="O161">
        <v>2.6884870000000002E-2</v>
      </c>
      <c r="P161">
        <v>0.996197</v>
      </c>
      <c r="Q161">
        <v>8.2456890000000005E-2</v>
      </c>
      <c r="R161">
        <v>-2.8154120000000001E-2</v>
      </c>
      <c r="S161">
        <v>3.012756</v>
      </c>
      <c r="T161">
        <v>-6.986618E-2</v>
      </c>
      <c r="U161">
        <v>-0.157684299999999</v>
      </c>
      <c r="V161">
        <v>5.4949369999999997E-2</v>
      </c>
      <c r="W161">
        <v>9.152776E-2</v>
      </c>
      <c r="X161">
        <v>0.99428530000000004</v>
      </c>
      <c r="Y161">
        <v>7.906929E-2</v>
      </c>
      <c r="Z161">
        <v>-1.539096E-3</v>
      </c>
      <c r="AA161">
        <v>0.99686799999999998</v>
      </c>
      <c r="AB161">
        <v>28</v>
      </c>
      <c r="AC161">
        <v>49.713299999999897</v>
      </c>
      <c r="AD161">
        <v>-1.1596219999999999</v>
      </c>
      <c r="AE161">
        <v>-2.625</v>
      </c>
      <c r="AF161">
        <v>3.9584944453491602</v>
      </c>
      <c r="AG161">
        <v>-1.1596219999999999</v>
      </c>
      <c r="AH161">
        <v>49.597841531681802</v>
      </c>
      <c r="AI161">
        <v>91.335115569403698</v>
      </c>
      <c r="AJ161">
        <v>85.436791744161994</v>
      </c>
      <c r="AK161">
        <v>49.769069571959697</v>
      </c>
      <c r="AL161">
        <v>84.748495957819699</v>
      </c>
      <c r="AM161">
        <v>86.836755448616898</v>
      </c>
      <c r="AN161">
        <v>1.00000001095505</v>
      </c>
    </row>
    <row r="162" spans="1:40" x14ac:dyDescent="0.25">
      <c r="A162" t="str">
        <f>"20190312151224393"</f>
        <v>20190312151224393</v>
      </c>
      <c r="B162" t="str">
        <f>"1552374744389223"</f>
        <v>1552374744389223</v>
      </c>
      <c r="C162" t="s">
        <v>40</v>
      </c>
      <c r="D162">
        <v>4.2813559999999997</v>
      </c>
      <c r="E162">
        <v>0.50805069999999997</v>
      </c>
      <c r="F162" t="s">
        <v>43</v>
      </c>
      <c r="G162">
        <v>-398.19580000000002</v>
      </c>
      <c r="H162">
        <v>-0.05</v>
      </c>
      <c r="I162">
        <v>365.31180000000001</v>
      </c>
      <c r="J162">
        <v>-447.37560000000002</v>
      </c>
      <c r="K162">
        <v>1.1096250000000001</v>
      </c>
      <c r="L162">
        <v>367.88330000000002</v>
      </c>
      <c r="M162">
        <v>0.99960139999999997</v>
      </c>
      <c r="N162">
        <v>0</v>
      </c>
      <c r="O162">
        <v>2.668889E-2</v>
      </c>
      <c r="P162">
        <v>0.99619440000000004</v>
      </c>
      <c r="Q162">
        <v>8.243404E-2</v>
      </c>
      <c r="R162">
        <v>-2.8313169999999999E-2</v>
      </c>
      <c r="S162">
        <v>3.0128780000000002</v>
      </c>
      <c r="T162">
        <v>-7.0407269999999994E-2</v>
      </c>
      <c r="U162">
        <v>-0.15542600000000001</v>
      </c>
      <c r="V162">
        <v>5.4916369999999999E-2</v>
      </c>
      <c r="W162">
        <v>9.1582369999999996E-2</v>
      </c>
      <c r="X162">
        <v>0.99428209999999995</v>
      </c>
      <c r="Y162">
        <v>7.8126409999999993E-2</v>
      </c>
      <c r="Z162">
        <v>-1.535394E-3</v>
      </c>
      <c r="AA162">
        <v>0.99694229999999995</v>
      </c>
      <c r="AB162">
        <v>28</v>
      </c>
      <c r="AC162">
        <v>49.1798</v>
      </c>
      <c r="AD162">
        <v>-1.1596249999999999</v>
      </c>
      <c r="AE162">
        <v>-2.5715000000000101</v>
      </c>
      <c r="AF162">
        <v>3.88104190468695</v>
      </c>
      <c r="AG162">
        <v>-1.1596249999999999</v>
      </c>
      <c r="AH162">
        <v>49.066440964437803</v>
      </c>
      <c r="AI162">
        <v>91.349649412979403</v>
      </c>
      <c r="AJ162">
        <v>85.477452468668204</v>
      </c>
      <c r="AK162">
        <v>49.233350945504597</v>
      </c>
      <c r="AL162">
        <v>84.745353866564599</v>
      </c>
      <c r="AM162">
        <v>86.838641135838998</v>
      </c>
      <c r="AN162">
        <v>1.0000000162845999</v>
      </c>
    </row>
    <row r="163" spans="1:40" x14ac:dyDescent="0.25">
      <c r="A163" t="str">
        <f>"20190312151224413"</f>
        <v>20190312151224413</v>
      </c>
      <c r="B163" t="str">
        <f>"1552374744409719"</f>
        <v>1552374744409719</v>
      </c>
      <c r="C163" t="s">
        <v>40</v>
      </c>
      <c r="D163">
        <v>4.2588470000000003</v>
      </c>
      <c r="E163">
        <v>0.50783820000000002</v>
      </c>
      <c r="F163" t="s">
        <v>43</v>
      </c>
      <c r="G163">
        <v>-398.74380000000002</v>
      </c>
      <c r="H163">
        <v>-0.05</v>
      </c>
      <c r="I163">
        <v>365.41849999999999</v>
      </c>
      <c r="J163">
        <v>-447.1096</v>
      </c>
      <c r="K163">
        <v>1.109626</v>
      </c>
      <c r="L163">
        <v>367.89030000000002</v>
      </c>
      <c r="M163">
        <v>0.99960450000000001</v>
      </c>
      <c r="N163">
        <v>0</v>
      </c>
      <c r="O163">
        <v>2.6551290000000002E-2</v>
      </c>
      <c r="P163">
        <v>0.99617509999999998</v>
      </c>
      <c r="Q163">
        <v>8.2522760000000001E-2</v>
      </c>
      <c r="R163">
        <v>-2.8729480000000002E-2</v>
      </c>
      <c r="S163">
        <v>3.0130620000000001</v>
      </c>
      <c r="T163">
        <v>-7.1846489999999999E-2</v>
      </c>
      <c r="U163">
        <v>-0.15270999999999901</v>
      </c>
      <c r="V163">
        <v>5.5197490000000002E-2</v>
      </c>
      <c r="W163">
        <v>9.1723869999999999E-2</v>
      </c>
      <c r="X163">
        <v>0.99425350000000001</v>
      </c>
      <c r="Y163">
        <v>7.7088859999999995E-2</v>
      </c>
      <c r="Z163">
        <v>-1.5510700000000001E-3</v>
      </c>
      <c r="AA163">
        <v>0.99702299999999999</v>
      </c>
      <c r="AB163">
        <v>28</v>
      </c>
      <c r="AC163">
        <v>48.365799999999901</v>
      </c>
      <c r="AD163">
        <v>-1.159626</v>
      </c>
      <c r="AE163">
        <v>-2.47180000000002</v>
      </c>
      <c r="AF163">
        <v>3.75300620277079</v>
      </c>
      <c r="AG163">
        <v>-1.159626</v>
      </c>
      <c r="AH163">
        <v>48.255447316098902</v>
      </c>
      <c r="AI163">
        <v>91.372466145149005</v>
      </c>
      <c r="AJ163">
        <v>85.552845590838103</v>
      </c>
      <c r="AK163">
        <v>48.415059472179799</v>
      </c>
      <c r="AL163">
        <v>84.737212300978797</v>
      </c>
      <c r="AM163">
        <v>86.822399823835795</v>
      </c>
      <c r="AN163">
        <v>1.00000002674616</v>
      </c>
    </row>
    <row r="164" spans="1:40" x14ac:dyDescent="0.25">
      <c r="A164" t="str">
        <f>"20190312151224434"</f>
        <v>20190312151224434</v>
      </c>
      <c r="B164" t="str">
        <f>"1552374744429239"</f>
        <v>1552374744429239</v>
      </c>
      <c r="C164" t="s">
        <v>40</v>
      </c>
      <c r="D164">
        <v>4.245177</v>
      </c>
      <c r="E164">
        <v>0.50760530000000004</v>
      </c>
      <c r="F164" t="s">
        <v>43</v>
      </c>
      <c r="G164">
        <v>-399.0256</v>
      </c>
      <c r="H164">
        <v>-0.05</v>
      </c>
      <c r="I164">
        <v>365.45960000000002</v>
      </c>
      <c r="J164">
        <v>-446.84589999999997</v>
      </c>
      <c r="K164">
        <v>1.109631</v>
      </c>
      <c r="L164">
        <v>367.8972</v>
      </c>
      <c r="M164">
        <v>0.99960800000000005</v>
      </c>
      <c r="N164">
        <v>0</v>
      </c>
      <c r="O164">
        <v>2.6399619999999999E-2</v>
      </c>
      <c r="P164">
        <v>0.9961508</v>
      </c>
      <c r="Q164">
        <v>8.269116E-2</v>
      </c>
      <c r="R164">
        <v>-2.9085159999999999E-2</v>
      </c>
      <c r="S164">
        <v>3.0131230000000002</v>
      </c>
      <c r="T164">
        <v>-7.2666529999999993E-2</v>
      </c>
      <c r="U164">
        <v>-0.15231320000000001</v>
      </c>
      <c r="V164">
        <v>5.5404429999999998E-2</v>
      </c>
      <c r="W164">
        <v>9.1952729999999996E-2</v>
      </c>
      <c r="X164">
        <v>0.99422080000000002</v>
      </c>
      <c r="Y164">
        <v>7.6805079999999998E-2</v>
      </c>
      <c r="Z164">
        <v>-1.56166799999999E-3</v>
      </c>
      <c r="AA164">
        <v>0.99704490000000001</v>
      </c>
      <c r="AB164">
        <v>28</v>
      </c>
      <c r="AC164">
        <v>47.820299999999897</v>
      </c>
      <c r="AD164">
        <v>-1.1596309999999901</v>
      </c>
      <c r="AE164">
        <v>-2.43759999999997</v>
      </c>
      <c r="AF164">
        <v>3.6970745222981498</v>
      </c>
      <c r="AG164">
        <v>-1.1596309999999901</v>
      </c>
      <c r="AH164">
        <v>47.711293233902801</v>
      </c>
      <c r="AI164">
        <v>91.388149755265403</v>
      </c>
      <c r="AJ164">
        <v>85.569092667145895</v>
      </c>
      <c r="AK164">
        <v>47.868367489721699</v>
      </c>
      <c r="AL164">
        <v>84.724043677136393</v>
      </c>
      <c r="AM164">
        <v>86.810406599456996</v>
      </c>
      <c r="AN164">
        <v>0.99999997728535805</v>
      </c>
    </row>
    <row r="165" spans="1:40" x14ac:dyDescent="0.25">
      <c r="A165" t="str">
        <f>"20190312151224456"</f>
        <v>20190312151224456</v>
      </c>
      <c r="B165" t="str">
        <f>"1552374744449735"</f>
        <v>1552374744449735</v>
      </c>
      <c r="C165" t="s">
        <v>40</v>
      </c>
      <c r="D165">
        <v>4.2247659999999998</v>
      </c>
      <c r="E165">
        <v>0.50736309999999996</v>
      </c>
      <c r="F165" t="s">
        <v>43</v>
      </c>
      <c r="G165">
        <v>-399.11559999999997</v>
      </c>
      <c r="H165">
        <v>-0.05</v>
      </c>
      <c r="I165">
        <v>365.50139999999999</v>
      </c>
      <c r="J165">
        <v>-446.56060000000002</v>
      </c>
      <c r="K165">
        <v>1.1096299999999999</v>
      </c>
      <c r="L165">
        <v>367.90449999999998</v>
      </c>
      <c r="M165">
        <v>0.99961199999999995</v>
      </c>
      <c r="N165">
        <v>0</v>
      </c>
      <c r="O165">
        <v>2.6213219999999999E-2</v>
      </c>
      <c r="P165">
        <v>0.99611620000000001</v>
      </c>
      <c r="Q165">
        <v>8.289386E-2</v>
      </c>
      <c r="R165">
        <v>-2.9686690000000002E-2</v>
      </c>
      <c r="S165">
        <v>3.013245</v>
      </c>
      <c r="T165">
        <v>-7.3208090000000003E-2</v>
      </c>
      <c r="U165">
        <v>-0.15124509999999999</v>
      </c>
      <c r="V165">
        <v>5.582318E-2</v>
      </c>
      <c r="W165">
        <v>9.2234780000000002E-2</v>
      </c>
      <c r="X165">
        <v>0.99417129999999998</v>
      </c>
      <c r="Y165">
        <v>7.6264360000000003E-2</v>
      </c>
      <c r="Z165">
        <v>-1.562164E-3</v>
      </c>
      <c r="AA165">
        <v>0.99708640000000004</v>
      </c>
      <c r="AB165">
        <v>28</v>
      </c>
      <c r="AC165">
        <v>47.445</v>
      </c>
      <c r="AD165">
        <v>-1.1596299999999999</v>
      </c>
      <c r="AE165">
        <v>-2.40309999999999</v>
      </c>
      <c r="AF165">
        <v>3.6438443284825999</v>
      </c>
      <c r="AG165">
        <v>-1.1596299999999999</v>
      </c>
      <c r="AH165">
        <v>47.337492873795803</v>
      </c>
      <c r="AI165">
        <v>91.399160769150896</v>
      </c>
      <c r="AJ165">
        <v>85.598288073824605</v>
      </c>
      <c r="AK165">
        <v>47.491689534104601</v>
      </c>
      <c r="AL165">
        <v>84.707814701991097</v>
      </c>
      <c r="AM165">
        <v>86.786190127819694</v>
      </c>
      <c r="AN165">
        <v>1.0000000279053201</v>
      </c>
    </row>
    <row r="166" spans="1:40" x14ac:dyDescent="0.25">
      <c r="A166" t="str">
        <f>"20190312151224479"</f>
        <v>20190312151224479</v>
      </c>
      <c r="B166" t="str">
        <f>"1552374744469255"</f>
        <v>1552374744469255</v>
      </c>
      <c r="C166" t="s">
        <v>40</v>
      </c>
      <c r="D166">
        <v>4.2052019999999999</v>
      </c>
      <c r="E166">
        <v>0.5071504</v>
      </c>
      <c r="F166" t="s">
        <v>43</v>
      </c>
      <c r="G166">
        <v>-399.17160000000001</v>
      </c>
      <c r="H166">
        <v>-0.05</v>
      </c>
      <c r="I166">
        <v>365.52879999999999</v>
      </c>
      <c r="J166">
        <v>-446.28059999999999</v>
      </c>
      <c r="K166">
        <v>1.109632</v>
      </c>
      <c r="L166">
        <v>367.91160000000002</v>
      </c>
      <c r="M166">
        <v>0.99961659999999997</v>
      </c>
      <c r="N166">
        <v>0</v>
      </c>
      <c r="O166">
        <v>2.6003990000000001E-2</v>
      </c>
      <c r="P166">
        <v>0.99613399999999996</v>
      </c>
      <c r="Q166">
        <v>8.2718550000000002E-2</v>
      </c>
      <c r="R166">
        <v>-2.9585179999999999E-2</v>
      </c>
      <c r="S166">
        <v>3.0133359999999998</v>
      </c>
      <c r="T166">
        <v>-7.3737620000000004E-2</v>
      </c>
      <c r="U166">
        <v>-0.151062</v>
      </c>
      <c r="V166">
        <v>5.5518070000000003E-2</v>
      </c>
      <c r="W166">
        <v>9.2156890000000005E-2</v>
      </c>
      <c r="X166">
        <v>0.99419559999999996</v>
      </c>
      <c r="Y166">
        <v>7.5993430000000001E-2</v>
      </c>
      <c r="Z166">
        <v>-1.5649870000000001E-3</v>
      </c>
      <c r="AA166">
        <v>0.99710710000000002</v>
      </c>
      <c r="AB166">
        <v>28</v>
      </c>
      <c r="AC166">
        <v>47.108999999999902</v>
      </c>
      <c r="AD166">
        <v>-1.159632</v>
      </c>
      <c r="AE166">
        <v>-2.3828000000000298</v>
      </c>
      <c r="AF166">
        <v>3.6048927352520899</v>
      </c>
      <c r="AG166">
        <v>-1.159632</v>
      </c>
      <c r="AH166">
        <v>47.002694696991703</v>
      </c>
      <c r="AI166">
        <v>91.409155527213997</v>
      </c>
      <c r="AJ166">
        <v>85.614260318368494</v>
      </c>
      <c r="AK166">
        <v>47.154992384547299</v>
      </c>
      <c r="AL166">
        <v>84.7122965156709</v>
      </c>
      <c r="AM166">
        <v>86.803797130766398</v>
      </c>
      <c r="AN166">
        <v>1.0000000197651699</v>
      </c>
    </row>
    <row r="167" spans="1:40" x14ac:dyDescent="0.25">
      <c r="A167" t="str">
        <f>"20190312151224502"</f>
        <v>20190312151224502</v>
      </c>
      <c r="B167" t="str">
        <f>"1552374744489758"</f>
        <v>1552374744489758</v>
      </c>
      <c r="C167" t="s">
        <v>40</v>
      </c>
      <c r="D167">
        <v>4.1865220000000001</v>
      </c>
      <c r="E167">
        <v>0.50697950000000003</v>
      </c>
      <c r="F167" t="s">
        <v>43</v>
      </c>
      <c r="G167">
        <v>-399.92720000000003</v>
      </c>
      <c r="H167">
        <v>-0.05</v>
      </c>
      <c r="I167">
        <v>365.62180000000001</v>
      </c>
      <c r="J167">
        <v>-445.99099999999999</v>
      </c>
      <c r="K167">
        <v>1.1096250000000001</v>
      </c>
      <c r="L167">
        <v>367.91890000000001</v>
      </c>
      <c r="M167">
        <v>0.99962169999999895</v>
      </c>
      <c r="N167">
        <v>0</v>
      </c>
      <c r="O167">
        <v>2.5759830000000001E-2</v>
      </c>
      <c r="P167">
        <v>0.99616249999999995</v>
      </c>
      <c r="Q167">
        <v>8.236665E-2</v>
      </c>
      <c r="R167">
        <v>-2.9601539999999999E-2</v>
      </c>
      <c r="S167">
        <v>3.0135190000000001</v>
      </c>
      <c r="T167">
        <v>-7.5389860000000003E-2</v>
      </c>
      <c r="U167">
        <v>-0.14886469999999999</v>
      </c>
      <c r="V167">
        <v>5.529713E-2</v>
      </c>
      <c r="W167">
        <v>9.1928040000000003E-2</v>
      </c>
      <c r="X167">
        <v>0.99422909999999998</v>
      </c>
      <c r="Y167">
        <v>7.5020619999999996E-2</v>
      </c>
      <c r="Z167">
        <v>-1.5817100000000001E-3</v>
      </c>
      <c r="AA167">
        <v>0.99718070000000003</v>
      </c>
      <c r="AB167">
        <v>28</v>
      </c>
      <c r="AC167">
        <v>46.063799999999901</v>
      </c>
      <c r="AD167">
        <v>-1.1596249999999999</v>
      </c>
      <c r="AE167">
        <v>-2.2970999999999999</v>
      </c>
      <c r="AF167">
        <v>3.4807879666858801</v>
      </c>
      <c r="AG167">
        <v>-1.1596249999999999</v>
      </c>
      <c r="AH167">
        <v>45.960282221326203</v>
      </c>
      <c r="AI167">
        <v>91.441199043691</v>
      </c>
      <c r="AJ167">
        <v>85.668989495832307</v>
      </c>
      <c r="AK167">
        <v>46.1064871452337</v>
      </c>
      <c r="AL167">
        <v>84.725464554135499</v>
      </c>
      <c r="AM167">
        <v>86.816597587534005</v>
      </c>
      <c r="AN167">
        <v>1.0000000202056401</v>
      </c>
    </row>
    <row r="168" spans="1:40" x14ac:dyDescent="0.25">
      <c r="A168" t="str">
        <f>"20190312151224523"</f>
        <v>20190312151224523</v>
      </c>
      <c r="B168" t="str">
        <f>"1552374744520008"</f>
        <v>1552374744520008</v>
      </c>
      <c r="C168" t="s">
        <v>40</v>
      </c>
      <c r="D168">
        <v>4.1891889999999998</v>
      </c>
      <c r="E168">
        <v>0.50670439999999894</v>
      </c>
      <c r="F168" t="s">
        <v>43</v>
      </c>
      <c r="G168">
        <v>-400.4006</v>
      </c>
      <c r="H168">
        <v>-0.05</v>
      </c>
      <c r="I168">
        <v>365.68329999999997</v>
      </c>
      <c r="J168">
        <v>-445.709</v>
      </c>
      <c r="K168">
        <v>1.1096239999999999</v>
      </c>
      <c r="L168">
        <v>367.92590000000001</v>
      </c>
      <c r="M168">
        <v>0.99962709999999999</v>
      </c>
      <c r="N168">
        <v>0</v>
      </c>
      <c r="O168">
        <v>2.5494570000000001E-2</v>
      </c>
      <c r="P168">
        <v>0.99619800000000003</v>
      </c>
      <c r="Q168">
        <v>8.1849580000000005E-2</v>
      </c>
      <c r="R168">
        <v>-2.9838549999999998E-2</v>
      </c>
      <c r="S168">
        <v>3.0134889999999999</v>
      </c>
      <c r="T168">
        <v>-7.6650380000000004E-2</v>
      </c>
      <c r="U168">
        <v>-0.14776610000000001</v>
      </c>
      <c r="V168">
        <v>5.5275749999999998E-2</v>
      </c>
      <c r="W168">
        <v>9.1552910000000001E-2</v>
      </c>
      <c r="X168">
        <v>0.99426490000000001</v>
      </c>
      <c r="Y168">
        <v>7.4393089999999995E-2</v>
      </c>
      <c r="Z168">
        <v>-1.593461E-3</v>
      </c>
      <c r="AA168">
        <v>0.99722770000000005</v>
      </c>
      <c r="AB168">
        <v>28</v>
      </c>
      <c r="AC168">
        <v>45.308399999999999</v>
      </c>
      <c r="AD168">
        <v>-1.159624</v>
      </c>
      <c r="AE168">
        <v>-2.2426000000000301</v>
      </c>
      <c r="AF168">
        <v>3.3948260828376999</v>
      </c>
      <c r="AG168">
        <v>-1.159624</v>
      </c>
      <c r="AH168">
        <v>45.206954104411302</v>
      </c>
      <c r="AI168">
        <v>91.465273752790097</v>
      </c>
      <c r="AJ168">
        <v>85.705421624568302</v>
      </c>
      <c r="AK168">
        <v>45.349071339471102</v>
      </c>
      <c r="AL168">
        <v>84.747048928399096</v>
      </c>
      <c r="AM168">
        <v>86.817940226974301</v>
      </c>
      <c r="AN168">
        <v>1.0000000176197701</v>
      </c>
    </row>
    <row r="169" spans="1:40" x14ac:dyDescent="0.25">
      <c r="A169" t="str">
        <f>"20190312151224546"</f>
        <v>20190312151224546</v>
      </c>
      <c r="B169" t="str">
        <f>"1552374744539527"</f>
        <v>1552374744539527</v>
      </c>
      <c r="C169" t="s">
        <v>40</v>
      </c>
      <c r="D169">
        <v>4.1871850000000004</v>
      </c>
      <c r="E169">
        <v>0.5065132</v>
      </c>
      <c r="F169" t="s">
        <v>43</v>
      </c>
      <c r="G169">
        <v>-401.39299999999997</v>
      </c>
      <c r="H169">
        <v>-0.05</v>
      </c>
      <c r="I169">
        <v>365.77539999999999</v>
      </c>
      <c r="J169">
        <v>-445.43020000000001</v>
      </c>
      <c r="K169">
        <v>1.109632</v>
      </c>
      <c r="L169">
        <v>367.93270000000001</v>
      </c>
      <c r="M169">
        <v>0.99963279999999999</v>
      </c>
      <c r="N169">
        <v>0</v>
      </c>
      <c r="O169">
        <v>2.5207830000000001E-2</v>
      </c>
      <c r="P169">
        <v>0.99623759999999995</v>
      </c>
      <c r="Q169">
        <v>8.1326099999999998E-2</v>
      </c>
      <c r="R169">
        <v>-2.9945719999999999E-2</v>
      </c>
      <c r="S169">
        <v>3.0135800000000001</v>
      </c>
      <c r="T169">
        <v>-7.8856949999999995E-2</v>
      </c>
      <c r="U169">
        <v>-0.14624019999999999</v>
      </c>
      <c r="V169">
        <v>5.5103029999999997E-2</v>
      </c>
      <c r="W169">
        <v>9.1189199999999998E-2</v>
      </c>
      <c r="X169">
        <v>0.99430790000000002</v>
      </c>
      <c r="Y169">
        <v>7.3600319999999997E-2</v>
      </c>
      <c r="Z169">
        <v>-1.6214249999999999E-3</v>
      </c>
      <c r="AA169">
        <v>0.99728649999999996</v>
      </c>
      <c r="AB169">
        <v>28</v>
      </c>
      <c r="AC169">
        <v>44.037199999999899</v>
      </c>
      <c r="AD169">
        <v>-1.159632</v>
      </c>
      <c r="AE169">
        <v>-2.1573000000000202</v>
      </c>
      <c r="AF169">
        <v>3.2644932524680601</v>
      </c>
      <c r="AG169">
        <v>-1.159632</v>
      </c>
      <c r="AH169">
        <v>43.9384263073499</v>
      </c>
      <c r="AI169">
        <v>91.507657550826806</v>
      </c>
      <c r="AJ169">
        <v>85.750902405036101</v>
      </c>
      <c r="AK169">
        <v>44.074788359528696</v>
      </c>
      <c r="AL169">
        <v>84.767975458359302</v>
      </c>
      <c r="AM169">
        <v>86.827999766536905</v>
      </c>
      <c r="AN169">
        <v>1.00000000705711</v>
      </c>
    </row>
    <row r="170" spans="1:40" x14ac:dyDescent="0.25">
      <c r="A170" t="str">
        <f>"20190312151224569"</f>
        <v>20190312151224569</v>
      </c>
      <c r="B170" t="str">
        <f>"1552374744560023"</f>
        <v>1552374744560023</v>
      </c>
      <c r="C170" t="s">
        <v>40</v>
      </c>
      <c r="D170">
        <v>4.1835420000000001</v>
      </c>
      <c r="E170">
        <v>0.50634860000000004</v>
      </c>
      <c r="F170" t="s">
        <v>43</v>
      </c>
      <c r="G170">
        <v>-402.14920000000001</v>
      </c>
      <c r="H170">
        <v>-0.05</v>
      </c>
      <c r="I170">
        <v>365.84989999999999</v>
      </c>
      <c r="J170">
        <v>-445.12869999999998</v>
      </c>
      <c r="K170">
        <v>1.10964</v>
      </c>
      <c r="L170">
        <v>367.93990000000002</v>
      </c>
      <c r="M170">
        <v>0.99963930000000001</v>
      </c>
      <c r="N170">
        <v>0</v>
      </c>
      <c r="O170">
        <v>2.4874460000000001E-2</v>
      </c>
      <c r="P170">
        <v>0.99625580000000002</v>
      </c>
      <c r="Q170">
        <v>8.1007579999999996E-2</v>
      </c>
      <c r="R170">
        <v>-3.020757E-2</v>
      </c>
      <c r="S170">
        <v>3.01355</v>
      </c>
      <c r="T170">
        <v>-8.0742359999999999E-2</v>
      </c>
      <c r="U170">
        <v>-0.1450195</v>
      </c>
      <c r="V170">
        <v>5.5037290000000003E-2</v>
      </c>
      <c r="W170">
        <v>9.1056239999999997E-2</v>
      </c>
      <c r="X170">
        <v>0.99432370000000003</v>
      </c>
      <c r="Y170">
        <v>7.2863990000000003E-2</v>
      </c>
      <c r="Z170">
        <v>-1.641429E-3</v>
      </c>
      <c r="AA170">
        <v>0.99734060000000002</v>
      </c>
      <c r="AB170">
        <v>28</v>
      </c>
      <c r="AC170">
        <v>42.979499999999902</v>
      </c>
      <c r="AD170">
        <v>-1.15964</v>
      </c>
      <c r="AE170">
        <v>-2.0900000000000301</v>
      </c>
      <c r="AF170">
        <v>3.1562076591177202</v>
      </c>
      <c r="AG170">
        <v>-1.15964</v>
      </c>
      <c r="AH170">
        <v>42.883065081154797</v>
      </c>
      <c r="AI170">
        <v>91.544833322566504</v>
      </c>
      <c r="AJ170">
        <v>85.790601663491799</v>
      </c>
      <c r="AK170">
        <v>43.014691472468201</v>
      </c>
      <c r="AL170">
        <v>84.775625195983096</v>
      </c>
      <c r="AM170">
        <v>86.831826610067594</v>
      </c>
      <c r="AN170">
        <v>0.99999998125758505</v>
      </c>
    </row>
    <row r="171" spans="1:40" x14ac:dyDescent="0.25">
      <c r="A171" t="str">
        <f>"20190312151224593"</f>
        <v>20190312151224593</v>
      </c>
      <c r="B171" t="str">
        <f>"1552374744589303"</f>
        <v>1552374744589303</v>
      </c>
      <c r="C171" t="s">
        <v>40</v>
      </c>
      <c r="D171">
        <v>4.1917450000000001</v>
      </c>
      <c r="E171">
        <v>0.50609139999999997</v>
      </c>
      <c r="F171" t="s">
        <v>43</v>
      </c>
      <c r="G171">
        <v>-402.57889999999998</v>
      </c>
      <c r="H171">
        <v>-0.05</v>
      </c>
      <c r="I171">
        <v>365.90269999999998</v>
      </c>
      <c r="J171">
        <v>-444.83150000000001</v>
      </c>
      <c r="K171">
        <v>1.109653</v>
      </c>
      <c r="L171">
        <v>367.947</v>
      </c>
      <c r="M171">
        <v>0.99964589999999998</v>
      </c>
      <c r="N171">
        <v>0</v>
      </c>
      <c r="O171">
        <v>2.453133E-2</v>
      </c>
      <c r="P171">
        <v>0.99628030000000001</v>
      </c>
      <c r="Q171">
        <v>8.0629699999999999E-2</v>
      </c>
      <c r="R171">
        <v>-3.0409970000000001E-2</v>
      </c>
      <c r="S171">
        <v>3.013611</v>
      </c>
      <c r="T171">
        <v>-8.2131979999999993E-2</v>
      </c>
      <c r="U171">
        <v>-0.1442871</v>
      </c>
      <c r="V171">
        <v>5.4901079999999998E-2</v>
      </c>
      <c r="W171">
        <v>9.0862009999999993E-2</v>
      </c>
      <c r="X171">
        <v>0.99434900000000004</v>
      </c>
      <c r="Y171">
        <v>7.227799E-2</v>
      </c>
      <c r="Z171">
        <v>-1.6523200000000001E-3</v>
      </c>
      <c r="AA171">
        <v>0.99738320000000003</v>
      </c>
      <c r="AB171">
        <v>28</v>
      </c>
      <c r="AC171">
        <v>42.252600000000001</v>
      </c>
      <c r="AD171">
        <v>-1.159653</v>
      </c>
      <c r="AE171">
        <v>-2.0442999999999598</v>
      </c>
      <c r="AF171">
        <v>3.0779391924512902</v>
      </c>
      <c r="AG171">
        <v>-1.159653</v>
      </c>
      <c r="AH171">
        <v>42.1580490328436</v>
      </c>
      <c r="AI171">
        <v>91.571472762042404</v>
      </c>
      <c r="AJ171">
        <v>85.824271180368399</v>
      </c>
      <c r="AK171">
        <v>42.286163257128003</v>
      </c>
      <c r="AL171">
        <v>84.786800091898996</v>
      </c>
      <c r="AM171">
        <v>86.839731754097599</v>
      </c>
      <c r="AN171">
        <v>0.99999998362370301</v>
      </c>
    </row>
    <row r="172" spans="1:40" x14ac:dyDescent="0.25">
      <c r="A172" t="str">
        <f>"20190312151224613"</f>
        <v>20190312151224613</v>
      </c>
      <c r="B172" t="str">
        <f>"1552374744609799"</f>
        <v>1552374744609799</v>
      </c>
      <c r="C172" t="s">
        <v>40</v>
      </c>
      <c r="D172">
        <v>4.1799400000000002</v>
      </c>
      <c r="E172">
        <v>0.50595249999999903</v>
      </c>
      <c r="F172" t="s">
        <v>43</v>
      </c>
      <c r="G172">
        <v>-403.53199999999998</v>
      </c>
      <c r="H172">
        <v>-0.05</v>
      </c>
      <c r="I172">
        <v>365.9855</v>
      </c>
      <c r="J172">
        <v>-444.58</v>
      </c>
      <c r="K172">
        <v>1.109664</v>
      </c>
      <c r="L172">
        <v>367.95280000000002</v>
      </c>
      <c r="M172">
        <v>0.99965139999999997</v>
      </c>
      <c r="N172">
        <v>0</v>
      </c>
      <c r="O172">
        <v>2.4233480000000002E-2</v>
      </c>
      <c r="P172">
        <v>0.99634330000000004</v>
      </c>
      <c r="Q172">
        <v>7.9714129999999994E-2</v>
      </c>
      <c r="R172">
        <v>-3.075315E-2</v>
      </c>
      <c r="S172">
        <v>3.0136720000000001</v>
      </c>
      <c r="T172">
        <v>-8.4621310000000005E-2</v>
      </c>
      <c r="U172">
        <v>-0.14312739999999999</v>
      </c>
      <c r="V172">
        <v>5.4950230000000003E-2</v>
      </c>
      <c r="W172">
        <v>9.0099830000000006E-2</v>
      </c>
      <c r="X172">
        <v>0.99441559999999996</v>
      </c>
      <c r="Y172">
        <v>7.1595140000000002E-2</v>
      </c>
      <c r="Z172">
        <v>-1.684425E-3</v>
      </c>
      <c r="AA172">
        <v>0.9974324</v>
      </c>
      <c r="AB172">
        <v>28</v>
      </c>
      <c r="AC172">
        <v>41.048000000000002</v>
      </c>
      <c r="AD172">
        <v>-1.159664</v>
      </c>
      <c r="AE172">
        <v>-1.96730000000002</v>
      </c>
      <c r="AF172">
        <v>2.9591562875623101</v>
      </c>
      <c r="AG172">
        <v>-1.159664</v>
      </c>
      <c r="AH172">
        <v>40.955653278363698</v>
      </c>
      <c r="AI172">
        <v>91.617688395724002</v>
      </c>
      <c r="AJ172">
        <v>85.867406920625498</v>
      </c>
      <c r="AK172">
        <v>41.078789685002398</v>
      </c>
      <c r="AL172">
        <v>84.830649460257703</v>
      </c>
      <c r="AM172">
        <v>86.837119692227603</v>
      </c>
      <c r="AN172">
        <v>0.99999994633321898</v>
      </c>
    </row>
    <row r="173" spans="1:40" x14ac:dyDescent="0.25">
      <c r="A173" t="str">
        <f>"20190312151224635"</f>
        <v>20190312151224635</v>
      </c>
      <c r="B173" t="str">
        <f>"1552374744629318"</f>
        <v>1552374744629318</v>
      </c>
      <c r="C173" t="s">
        <v>40</v>
      </c>
      <c r="D173">
        <v>4.1662059999999999</v>
      </c>
      <c r="E173">
        <v>0.50589510000000004</v>
      </c>
      <c r="F173" t="s">
        <v>43</v>
      </c>
      <c r="G173">
        <v>-404.71199999999999</v>
      </c>
      <c r="H173">
        <v>-0.05</v>
      </c>
      <c r="I173">
        <v>366.05930000000001</v>
      </c>
      <c r="J173">
        <v>-444.30059999999997</v>
      </c>
      <c r="K173">
        <v>1.1096760000000001</v>
      </c>
      <c r="L173">
        <v>367.95920000000001</v>
      </c>
      <c r="M173">
        <v>0.99965789999999999</v>
      </c>
      <c r="N173">
        <v>0</v>
      </c>
      <c r="O173">
        <v>2.3896230000000001E-2</v>
      </c>
      <c r="P173">
        <v>0.99634350000000005</v>
      </c>
      <c r="Q173">
        <v>7.9439679999999999E-2</v>
      </c>
      <c r="R173">
        <v>-3.145328E-2</v>
      </c>
      <c r="S173">
        <v>3.0135800000000001</v>
      </c>
      <c r="T173">
        <v>-8.7657570000000004E-2</v>
      </c>
      <c r="U173">
        <v>-0.14312739999999999</v>
      </c>
      <c r="V173">
        <v>5.5315349999999999E-2</v>
      </c>
      <c r="W173">
        <v>8.9992050000000004E-2</v>
      </c>
      <c r="X173">
        <v>0.99440519999999999</v>
      </c>
      <c r="Y173">
        <v>7.125766E-2</v>
      </c>
      <c r="Z173">
        <v>-1.7301839999999901E-3</v>
      </c>
      <c r="AA173">
        <v>0.99745640000000002</v>
      </c>
      <c r="AB173">
        <v>28</v>
      </c>
      <c r="AC173">
        <v>39.5885999999999</v>
      </c>
      <c r="AD173">
        <v>-1.1596759999999999</v>
      </c>
      <c r="AE173">
        <v>-1.8998999999999999</v>
      </c>
      <c r="AF173">
        <v>2.8429952408643602</v>
      </c>
      <c r="AG173">
        <v>-1.1596759999999999</v>
      </c>
      <c r="AH173">
        <v>39.498075918851697</v>
      </c>
      <c r="AI173">
        <v>91.677402005932507</v>
      </c>
      <c r="AJ173">
        <v>85.883060361218597</v>
      </c>
      <c r="AK173">
        <v>39.617237052272102</v>
      </c>
      <c r="AL173">
        <v>84.836850418698006</v>
      </c>
      <c r="AM173">
        <v>86.816113614392506</v>
      </c>
      <c r="AN173">
        <v>1.0000000293979301</v>
      </c>
    </row>
    <row r="174" spans="1:40" x14ac:dyDescent="0.25">
      <c r="A174" t="str">
        <f>"20190312151224657"</f>
        <v>20190312151224657</v>
      </c>
      <c r="B174" t="str">
        <f>"1552374744649815"</f>
        <v>1552374744649815</v>
      </c>
      <c r="C174" t="s">
        <v>40</v>
      </c>
      <c r="D174">
        <v>4.1558029999999997</v>
      </c>
      <c r="E174">
        <v>0.50606300000000004</v>
      </c>
      <c r="F174" t="s">
        <v>43</v>
      </c>
      <c r="G174">
        <v>-404.85070000000002</v>
      </c>
      <c r="H174">
        <v>-0.05</v>
      </c>
      <c r="I174">
        <v>366.06670000000003</v>
      </c>
      <c r="J174">
        <v>-444.0136</v>
      </c>
      <c r="K174">
        <v>1.1096919999999999</v>
      </c>
      <c r="L174">
        <v>367.96559999999999</v>
      </c>
      <c r="M174">
        <v>0.9996642</v>
      </c>
      <c r="N174">
        <v>0</v>
      </c>
      <c r="O174">
        <v>2.3546399999999999E-2</v>
      </c>
      <c r="P174">
        <v>0.99632209999999999</v>
      </c>
      <c r="Q174">
        <v>7.9422909999999999E-2</v>
      </c>
      <c r="R174">
        <v>-3.2162499999999997E-2</v>
      </c>
      <c r="S174">
        <v>3.0135190000000001</v>
      </c>
      <c r="T174">
        <v>-8.8585849999999994E-2</v>
      </c>
      <c r="U174">
        <v>-0.14456179999999999</v>
      </c>
      <c r="V174">
        <v>5.5676370000000003E-2</v>
      </c>
      <c r="W174">
        <v>9.014258E-2</v>
      </c>
      <c r="X174">
        <v>0.99437140000000002</v>
      </c>
      <c r="Y174">
        <v>7.1382500000000002E-2</v>
      </c>
      <c r="Z174">
        <v>-1.740073E-3</v>
      </c>
      <c r="AA174">
        <v>0.99744750000000004</v>
      </c>
      <c r="AB174">
        <v>28</v>
      </c>
      <c r="AC174">
        <v>39.162899999999901</v>
      </c>
      <c r="AD174">
        <v>-1.1596919999999999</v>
      </c>
      <c r="AE174">
        <v>-1.8988999999999601</v>
      </c>
      <c r="AF174">
        <v>2.8181074225642702</v>
      </c>
      <c r="AG174">
        <v>-1.1596919999999999</v>
      </c>
      <c r="AH174">
        <v>39.073144006688402</v>
      </c>
      <c r="AI174">
        <v>91.695639319941407</v>
      </c>
      <c r="AJ174">
        <v>85.874748181010304</v>
      </c>
      <c r="AK174">
        <v>39.1918001314992</v>
      </c>
      <c r="AL174">
        <v>84.828190398416595</v>
      </c>
      <c r="AM174">
        <v>86.795268196244095</v>
      </c>
      <c r="AN174">
        <v>1.0000000120216901</v>
      </c>
    </row>
    <row r="175" spans="1:40" x14ac:dyDescent="0.25">
      <c r="A175" t="str">
        <f>"20190312151224681"</f>
        <v>20190312151224681</v>
      </c>
      <c r="B175" t="str">
        <f>"1552374744669338"</f>
        <v>1552374744669338</v>
      </c>
      <c r="C175" t="s">
        <v>40</v>
      </c>
      <c r="D175">
        <v>4.1383400000000004</v>
      </c>
      <c r="E175">
        <v>0.50629079999999904</v>
      </c>
      <c r="F175" t="s">
        <v>43</v>
      </c>
      <c r="G175">
        <v>-404.50830000000002</v>
      </c>
      <c r="H175">
        <v>-0.05</v>
      </c>
      <c r="I175">
        <v>366.02</v>
      </c>
      <c r="J175">
        <v>-443.7276</v>
      </c>
      <c r="K175">
        <v>1.109704</v>
      </c>
      <c r="L175">
        <v>367.97199999999998</v>
      </c>
      <c r="M175">
        <v>0.99967059999999996</v>
      </c>
      <c r="N175">
        <v>0</v>
      </c>
      <c r="O175">
        <v>2.3197479999999999E-2</v>
      </c>
      <c r="P175">
        <v>0.99632609999999999</v>
      </c>
      <c r="Q175">
        <v>7.9077869999999995E-2</v>
      </c>
      <c r="R175">
        <v>-3.288539E-2</v>
      </c>
      <c r="S175">
        <v>3.0133359999999998</v>
      </c>
      <c r="T175">
        <v>-8.8457579999999994E-2</v>
      </c>
      <c r="U175">
        <v>-0.14840699999999901</v>
      </c>
      <c r="V175">
        <v>5.605214E-2</v>
      </c>
      <c r="W175">
        <v>8.9961659999999999E-2</v>
      </c>
      <c r="X175">
        <v>0.99436659999999999</v>
      </c>
      <c r="Y175">
        <v>7.2306930000000005E-2</v>
      </c>
      <c r="Z175">
        <v>-1.7409319999999999E-3</v>
      </c>
      <c r="AA175">
        <v>0.99738090000000001</v>
      </c>
      <c r="AB175">
        <v>28</v>
      </c>
      <c r="AC175">
        <v>39.219299999999897</v>
      </c>
      <c r="AD175">
        <v>-1.1597040000000001</v>
      </c>
      <c r="AE175">
        <v>-1.95199999999999</v>
      </c>
      <c r="AF175">
        <v>2.8588249457061798</v>
      </c>
      <c r="AG175">
        <v>-1.1597040000000001</v>
      </c>
      <c r="AH175">
        <v>39.129331769525699</v>
      </c>
      <c r="AI175">
        <v>91.693108895588495</v>
      </c>
      <c r="AJ175">
        <v>85.821342213030704</v>
      </c>
      <c r="AK175">
        <v>39.250763026563199</v>
      </c>
      <c r="AL175">
        <v>84.838598260584305</v>
      </c>
      <c r="AM175">
        <v>86.773668874080101</v>
      </c>
      <c r="AN175">
        <v>0.99999993893204497</v>
      </c>
    </row>
    <row r="176" spans="1:40" x14ac:dyDescent="0.25">
      <c r="A176" t="str">
        <f>"20190312151224703"</f>
        <v>20190312151224703</v>
      </c>
      <c r="B176" t="str">
        <f>"1552374744699591"</f>
        <v>1552374744699591</v>
      </c>
      <c r="C176" t="s">
        <v>40</v>
      </c>
      <c r="D176">
        <v>4.2383220000000001</v>
      </c>
      <c r="E176">
        <v>0.50664160000000003</v>
      </c>
      <c r="F176" t="s">
        <v>43</v>
      </c>
      <c r="G176">
        <v>-404.31310000000002</v>
      </c>
      <c r="H176">
        <v>-0.05</v>
      </c>
      <c r="I176">
        <v>365.97629999999998</v>
      </c>
      <c r="J176">
        <v>-443.44810000000001</v>
      </c>
      <c r="K176">
        <v>1.1097269999999999</v>
      </c>
      <c r="L176">
        <v>367.97800000000001</v>
      </c>
      <c r="M176">
        <v>0.99967669999999997</v>
      </c>
      <c r="N176">
        <v>0</v>
      </c>
      <c r="O176">
        <v>2.2860479999999999E-2</v>
      </c>
      <c r="P176">
        <v>0.9963554</v>
      </c>
      <c r="Q176">
        <v>7.8599589999999997E-2</v>
      </c>
      <c r="R176">
        <v>-3.3141219999999999E-2</v>
      </c>
      <c r="S176">
        <v>3.0130620000000001</v>
      </c>
      <c r="T176">
        <v>-8.8654159999999996E-2</v>
      </c>
      <c r="U176">
        <v>-0.15255739999999901</v>
      </c>
      <c r="V176">
        <v>5.5973250000000002E-2</v>
      </c>
      <c r="W176">
        <v>8.9638699999999905E-2</v>
      </c>
      <c r="X176">
        <v>0.99440030000000001</v>
      </c>
      <c r="Y176">
        <v>7.3345140000000003E-2</v>
      </c>
      <c r="Z176">
        <v>-1.75025299999999E-3</v>
      </c>
      <c r="AA176">
        <v>0.99730510000000006</v>
      </c>
      <c r="AB176">
        <v>28</v>
      </c>
      <c r="AC176">
        <v>39.134999999999899</v>
      </c>
      <c r="AD176">
        <v>-1.159727</v>
      </c>
      <c r="AE176">
        <v>-2.00170000000002</v>
      </c>
      <c r="AF176">
        <v>2.8933429013670202</v>
      </c>
      <c r="AG176">
        <v>-1.159727</v>
      </c>
      <c r="AH176">
        <v>39.044810043002798</v>
      </c>
      <c r="AI176">
        <v>91.696676177775004</v>
      </c>
      <c r="AJ176">
        <v>85.761949117761901</v>
      </c>
      <c r="AK176">
        <v>39.169038680488299</v>
      </c>
      <c r="AL176">
        <v>84.857178035022301</v>
      </c>
      <c r="AM176">
        <v>86.778309123652903</v>
      </c>
      <c r="AN176">
        <v>1.0000000289466699</v>
      </c>
    </row>
    <row r="177" spans="1:40" x14ac:dyDescent="0.25">
      <c r="A177" t="str">
        <f>"20190312151224724"</f>
        <v>20190312151224724</v>
      </c>
      <c r="B177" t="str">
        <f>"1552374744720087"</f>
        <v>1552374744720087</v>
      </c>
      <c r="C177" t="s">
        <v>40</v>
      </c>
      <c r="D177">
        <v>4.1490530000000003</v>
      </c>
      <c r="E177">
        <v>0.50685290000000005</v>
      </c>
      <c r="F177" t="s">
        <v>43</v>
      </c>
      <c r="G177">
        <v>-403.96179999999998</v>
      </c>
      <c r="H177">
        <v>-0.05</v>
      </c>
      <c r="I177">
        <v>365.93180000000001</v>
      </c>
      <c r="J177">
        <v>-443.16219999999998</v>
      </c>
      <c r="K177">
        <v>1.109739</v>
      </c>
      <c r="L177">
        <v>367.98419999999999</v>
      </c>
      <c r="M177">
        <v>0.99968270000000004</v>
      </c>
      <c r="N177">
        <v>0</v>
      </c>
      <c r="O177">
        <v>2.2519890000000001E-2</v>
      </c>
      <c r="P177">
        <v>0.99634520000000004</v>
      </c>
      <c r="Q177">
        <v>7.8529940000000006E-2</v>
      </c>
      <c r="R177">
        <v>-3.3606160000000003E-2</v>
      </c>
      <c r="S177">
        <v>3.0127869999999999</v>
      </c>
      <c r="T177">
        <v>-8.8486670000000003E-2</v>
      </c>
      <c r="U177">
        <v>-0.15612789999999999</v>
      </c>
      <c r="V177">
        <v>5.6099040000000003E-2</v>
      </c>
      <c r="W177">
        <v>8.9717050000000007E-2</v>
      </c>
      <c r="X177">
        <v>0.99438610000000005</v>
      </c>
      <c r="Y177">
        <v>7.4188729999999994E-2</v>
      </c>
      <c r="Z177">
        <v>-1.749439E-3</v>
      </c>
      <c r="AA177">
        <v>0.99724270000000004</v>
      </c>
      <c r="AB177">
        <v>28</v>
      </c>
      <c r="AC177">
        <v>39.200400000000002</v>
      </c>
      <c r="AD177">
        <v>-1.1597389999999901</v>
      </c>
      <c r="AE177">
        <v>-2.0523999999999698</v>
      </c>
      <c r="AF177">
        <v>2.9321649443837101</v>
      </c>
      <c r="AG177">
        <v>-1.1597389999999901</v>
      </c>
      <c r="AH177">
        <v>39.110096439323101</v>
      </c>
      <c r="AI177">
        <v>91.693754052410299</v>
      </c>
      <c r="AJ177">
        <v>85.712437912238101</v>
      </c>
      <c r="AK177">
        <v>39.237000768437298</v>
      </c>
      <c r="AL177">
        <v>84.852670516190003</v>
      </c>
      <c r="AM177">
        <v>86.7710382327421</v>
      </c>
      <c r="AN177">
        <v>0.99999998361141695</v>
      </c>
    </row>
    <row r="178" spans="1:40" x14ac:dyDescent="0.25">
      <c r="A178" t="str">
        <f>"20190312151224748"</f>
        <v>20190312151224748</v>
      </c>
      <c r="B178" t="str">
        <f>"1552374744739607"</f>
        <v>1552374744739607</v>
      </c>
      <c r="C178" t="s">
        <v>40</v>
      </c>
      <c r="D178">
        <v>4.1354870000000004</v>
      </c>
      <c r="E178">
        <v>0.50706960000000001</v>
      </c>
      <c r="F178" t="s">
        <v>43</v>
      </c>
      <c r="G178">
        <v>-403.41419999999999</v>
      </c>
      <c r="H178">
        <v>-0.05</v>
      </c>
      <c r="I178">
        <v>365.87950000000001</v>
      </c>
      <c r="J178">
        <v>-442.87490000000003</v>
      </c>
      <c r="K178">
        <v>1.1097509999999999</v>
      </c>
      <c r="L178">
        <v>367.99020000000002</v>
      </c>
      <c r="M178">
        <v>0.99968900000000005</v>
      </c>
      <c r="N178">
        <v>0</v>
      </c>
      <c r="O178">
        <v>2.2177909999999999E-2</v>
      </c>
      <c r="P178">
        <v>0.99637260000000005</v>
      </c>
      <c r="Q178">
        <v>7.8049350000000003E-2</v>
      </c>
      <c r="R178">
        <v>-3.3917750000000003E-2</v>
      </c>
      <c r="S178">
        <v>3.012543</v>
      </c>
      <c r="T178">
        <v>-8.7897899999999904E-2</v>
      </c>
      <c r="U178">
        <v>-0.1595154</v>
      </c>
      <c r="V178">
        <v>5.6070099999999998E-2</v>
      </c>
      <c r="W178">
        <v>8.9371790000000007E-2</v>
      </c>
      <c r="X178">
        <v>0.99441889999999999</v>
      </c>
      <c r="Y178">
        <v>7.4970430000000005E-2</v>
      </c>
      <c r="Z178">
        <v>-1.739319E-3</v>
      </c>
      <c r="AA178">
        <v>0.99718419999999997</v>
      </c>
      <c r="AB178">
        <v>28</v>
      </c>
      <c r="AC178">
        <v>39.460700000000003</v>
      </c>
      <c r="AD178">
        <v>-1.159751</v>
      </c>
      <c r="AE178">
        <v>-2.1107</v>
      </c>
      <c r="AF178">
        <v>2.9828244127100301</v>
      </c>
      <c r="AG178">
        <v>-1.159751</v>
      </c>
      <c r="AH178">
        <v>39.370269038872699</v>
      </c>
      <c r="AI178">
        <v>91.682485264375799</v>
      </c>
      <c r="AJ178">
        <v>85.667355705087701</v>
      </c>
      <c r="AK178">
        <v>39.500130987786399</v>
      </c>
      <c r="AL178">
        <v>84.872532642346002</v>
      </c>
      <c r="AM178">
        <v>86.772806670653395</v>
      </c>
      <c r="AN178">
        <v>1.0000000608195101</v>
      </c>
    </row>
    <row r="179" spans="1:40" x14ac:dyDescent="0.25">
      <c r="A179" t="str">
        <f>"20190312151224772"</f>
        <v>20190312151224772</v>
      </c>
      <c r="B179" t="str">
        <f>"1552374744769862"</f>
        <v>1552374744769862</v>
      </c>
      <c r="C179" t="s">
        <v>40</v>
      </c>
      <c r="D179">
        <v>4.1413339999999996</v>
      </c>
      <c r="E179">
        <v>0.50735220000000003</v>
      </c>
      <c r="F179" t="s">
        <v>43</v>
      </c>
      <c r="G179">
        <v>-403.36040000000003</v>
      </c>
      <c r="H179">
        <v>-0.05</v>
      </c>
      <c r="I179">
        <v>365.8698</v>
      </c>
      <c r="J179">
        <v>-442.56420000000003</v>
      </c>
      <c r="K179">
        <v>1.109772</v>
      </c>
      <c r="L179">
        <v>367.99669999999998</v>
      </c>
      <c r="M179">
        <v>0.99969549999999996</v>
      </c>
      <c r="N179">
        <v>0</v>
      </c>
      <c r="O179">
        <v>2.18082E-2</v>
      </c>
      <c r="P179">
        <v>0.99637260000000005</v>
      </c>
      <c r="Q179">
        <v>7.7914709999999998E-2</v>
      </c>
      <c r="R179">
        <v>-3.422306E-2</v>
      </c>
      <c r="S179">
        <v>3.0123899999999999</v>
      </c>
      <c r="T179">
        <v>-8.8413599999999995E-2</v>
      </c>
      <c r="U179">
        <v>-0.16165160000000001</v>
      </c>
      <c r="V179">
        <v>5.6006309999999997E-2</v>
      </c>
      <c r="W179">
        <v>8.9371800000000001E-2</v>
      </c>
      <c r="X179">
        <v>0.99442240000000004</v>
      </c>
      <c r="Y179">
        <v>7.5309020000000004E-2</v>
      </c>
      <c r="Z179">
        <v>-1.7436979999999999E-3</v>
      </c>
      <c r="AA179">
        <v>0.99715869999999995</v>
      </c>
      <c r="AB179">
        <v>28</v>
      </c>
      <c r="AC179">
        <v>39.203800000000001</v>
      </c>
      <c r="AD179">
        <v>-1.159772</v>
      </c>
      <c r="AE179">
        <v>-2.1268999999999698</v>
      </c>
      <c r="AF179">
        <v>2.97881610369057</v>
      </c>
      <c r="AG179">
        <v>-1.159772</v>
      </c>
      <c r="AH179">
        <v>39.113957451266799</v>
      </c>
      <c r="AI179">
        <v>91.693484381096695</v>
      </c>
      <c r="AJ179">
        <v>85.6449109342567</v>
      </c>
      <c r="AK179">
        <v>39.244363722337297</v>
      </c>
      <c r="AL179">
        <v>84.872531587355198</v>
      </c>
      <c r="AM179">
        <v>86.776481768178897</v>
      </c>
      <c r="AN179">
        <v>0.99999996750840703</v>
      </c>
    </row>
    <row r="180" spans="1:40" x14ac:dyDescent="0.25">
      <c r="A180" t="str">
        <f>"20190312151224795"</f>
        <v>20190312151224795</v>
      </c>
      <c r="B180" t="str">
        <f>"1552374744789384"</f>
        <v>1552374744789384</v>
      </c>
      <c r="C180" t="s">
        <v>40</v>
      </c>
      <c r="D180">
        <v>4.1166400000000003</v>
      </c>
      <c r="E180">
        <v>0.50753029999999999</v>
      </c>
      <c r="F180" t="s">
        <v>43</v>
      </c>
      <c r="G180">
        <v>-402.69630000000001</v>
      </c>
      <c r="H180">
        <v>-0.05</v>
      </c>
      <c r="I180">
        <v>365.81110000000001</v>
      </c>
      <c r="J180">
        <v>-442.28339999999997</v>
      </c>
      <c r="K180">
        <v>1.1097840000000001</v>
      </c>
      <c r="L180">
        <v>368.00240000000002</v>
      </c>
      <c r="M180">
        <v>0.99970139999999996</v>
      </c>
      <c r="N180">
        <v>0</v>
      </c>
      <c r="O180">
        <v>2.147568E-2</v>
      </c>
      <c r="P180">
        <v>0.99637030000000004</v>
      </c>
      <c r="Q180">
        <v>7.787123E-2</v>
      </c>
      <c r="R180">
        <v>-3.4383619999999997E-2</v>
      </c>
      <c r="S180">
        <v>3.0121769999999999</v>
      </c>
      <c r="T180">
        <v>-8.7625270000000005E-2</v>
      </c>
      <c r="U180">
        <v>-0.16513059999999999</v>
      </c>
      <c r="V180">
        <v>5.5835170000000003E-2</v>
      </c>
      <c r="W180">
        <v>8.9440649999999997E-2</v>
      </c>
      <c r="X180">
        <v>0.99442589999999997</v>
      </c>
      <c r="Y180">
        <v>7.6129970000000005E-2</v>
      </c>
      <c r="Z180">
        <v>-1.7304929999999901E-3</v>
      </c>
      <c r="AA180">
        <v>0.99709639999999999</v>
      </c>
      <c r="AB180">
        <v>28</v>
      </c>
      <c r="AC180">
        <v>39.5870999999999</v>
      </c>
      <c r="AD180">
        <v>-1.1597839999999999</v>
      </c>
      <c r="AE180">
        <v>-2.1913000000000098</v>
      </c>
      <c r="AF180">
        <v>3.0384122731505299</v>
      </c>
      <c r="AG180">
        <v>-1.1597839999999999</v>
      </c>
      <c r="AH180">
        <v>39.4971085542537</v>
      </c>
      <c r="AI180">
        <v>91.676984882388695</v>
      </c>
      <c r="AJ180">
        <v>85.601044940444595</v>
      </c>
      <c r="AK180">
        <v>39.630778849459801</v>
      </c>
      <c r="AL180">
        <v>84.868571249962201</v>
      </c>
      <c r="AM180">
        <v>86.786322569643005</v>
      </c>
      <c r="AN180">
        <v>1.0000000333360799</v>
      </c>
    </row>
    <row r="181" spans="1:40" x14ac:dyDescent="0.25">
      <c r="A181" t="str">
        <f>"20190312151224837"</f>
        <v>20190312151224837</v>
      </c>
      <c r="B181" t="str">
        <f>"1552374744829399"</f>
        <v>1552374744829399</v>
      </c>
      <c r="C181" t="s">
        <v>40</v>
      </c>
      <c r="D181">
        <v>4.1267370000000003</v>
      </c>
      <c r="E181">
        <v>0.50785859999999905</v>
      </c>
      <c r="F181" t="s">
        <v>43</v>
      </c>
      <c r="G181">
        <v>-402.16660000000002</v>
      </c>
      <c r="H181">
        <v>-0.05</v>
      </c>
      <c r="I181">
        <v>365.7758</v>
      </c>
      <c r="J181">
        <v>-441.755</v>
      </c>
      <c r="K181">
        <v>1.1098030000000001</v>
      </c>
      <c r="L181">
        <v>368.0129</v>
      </c>
      <c r="M181">
        <v>0.99971209999999999</v>
      </c>
      <c r="N181">
        <v>0</v>
      </c>
      <c r="O181">
        <v>2.085998E-2</v>
      </c>
      <c r="P181">
        <v>0.99633499999999997</v>
      </c>
      <c r="Q181">
        <v>7.7557810000000005E-2</v>
      </c>
      <c r="R181">
        <v>-3.6072529999999998E-2</v>
      </c>
      <c r="S181">
        <v>3.0119630000000002</v>
      </c>
      <c r="T181">
        <v>-8.7076310000000004E-2</v>
      </c>
      <c r="U181">
        <v>-0.1671753</v>
      </c>
      <c r="V181">
        <v>5.6908710000000001E-2</v>
      </c>
      <c r="W181">
        <v>8.9315749999999999E-2</v>
      </c>
      <c r="X181">
        <v>0.99437620000000004</v>
      </c>
      <c r="Y181">
        <v>7.6195369999999998E-2</v>
      </c>
      <c r="Z181">
        <v>-1.7029059999999999E-3</v>
      </c>
      <c r="AA181">
        <v>0.99709150000000002</v>
      </c>
      <c r="AB181">
        <v>28</v>
      </c>
      <c r="AC181">
        <v>39.588399999999901</v>
      </c>
      <c r="AD181">
        <v>-1.1598029999999999</v>
      </c>
      <c r="AE181">
        <v>-2.2370999999999901</v>
      </c>
      <c r="AF181">
        <v>3.0598665539905601</v>
      </c>
      <c r="AG181">
        <v>-1.1598029999999999</v>
      </c>
      <c r="AH181">
        <v>39.499321642801497</v>
      </c>
      <c r="AI181">
        <v>91.676849131956601</v>
      </c>
      <c r="AJ181">
        <v>85.570354262309394</v>
      </c>
      <c r="AK181">
        <v>39.634635567499899</v>
      </c>
      <c r="AL181">
        <v>84.875755901677707</v>
      </c>
      <c r="AM181">
        <v>86.7245032679334</v>
      </c>
      <c r="AN181">
        <v>0.99999996579918204</v>
      </c>
    </row>
    <row r="182" spans="1:40" x14ac:dyDescent="0.25">
      <c r="A182" t="str">
        <f>"20190312151224858"</f>
        <v>20190312151224858</v>
      </c>
      <c r="B182" t="str">
        <f>"1552374744849895"</f>
        <v>1552374744849895</v>
      </c>
      <c r="C182" t="s">
        <v>40</v>
      </c>
      <c r="D182">
        <v>4.169098</v>
      </c>
      <c r="E182">
        <v>0.50797519999999996</v>
      </c>
      <c r="F182" t="s">
        <v>43</v>
      </c>
      <c r="G182">
        <v>-401.66019999999997</v>
      </c>
      <c r="H182">
        <v>-0.05</v>
      </c>
      <c r="I182">
        <v>365.68849999999998</v>
      </c>
      <c r="J182">
        <v>-441.47210000000001</v>
      </c>
      <c r="K182">
        <v>1.1098140000000001</v>
      </c>
      <c r="L182">
        <v>368.01839999999999</v>
      </c>
      <c r="M182">
        <v>0.99971770000000004</v>
      </c>
      <c r="N182">
        <v>0</v>
      </c>
      <c r="O182">
        <v>2.0537420000000001E-2</v>
      </c>
      <c r="P182">
        <v>0.99634639999999997</v>
      </c>
      <c r="Q182">
        <v>7.7092800000000003E-2</v>
      </c>
      <c r="R182">
        <v>-3.6755089999999997E-2</v>
      </c>
      <c r="S182">
        <v>3.011536</v>
      </c>
      <c r="T182">
        <v>-8.7113380000000004E-2</v>
      </c>
      <c r="U182">
        <v>-0.1745911</v>
      </c>
      <c r="V182">
        <v>5.7269550000000002E-2</v>
      </c>
      <c r="W182">
        <v>8.8947209999999999E-2</v>
      </c>
      <c r="X182">
        <v>0.99438859999999996</v>
      </c>
      <c r="Y182">
        <v>7.8327930000000004E-2</v>
      </c>
      <c r="Z182">
        <v>-1.7252459999999999E-3</v>
      </c>
      <c r="AA182">
        <v>0.99692610000000004</v>
      </c>
      <c r="AB182">
        <v>28</v>
      </c>
      <c r="AC182">
        <v>39.811900000000001</v>
      </c>
      <c r="AD182">
        <v>-1.1598139999999999</v>
      </c>
      <c r="AE182">
        <v>-2.3298999999999999</v>
      </c>
      <c r="AF182">
        <v>3.1444410307731299</v>
      </c>
      <c r="AG182">
        <v>-1.1598139999999999</v>
      </c>
      <c r="AH182">
        <v>39.722051540260601</v>
      </c>
      <c r="AI182">
        <v>91.667247988171994</v>
      </c>
      <c r="AJ182">
        <v>85.473842058625095</v>
      </c>
      <c r="AK182">
        <v>39.863191749754797</v>
      </c>
      <c r="AL182">
        <v>84.896956487437095</v>
      </c>
      <c r="AM182">
        <v>86.703821051408497</v>
      </c>
      <c r="AN182">
        <v>1.0000000476669699</v>
      </c>
    </row>
    <row r="183" spans="1:40" x14ac:dyDescent="0.25">
      <c r="A183" t="str">
        <f>"20190312151224883"</f>
        <v>20190312151224883</v>
      </c>
      <c r="B183" t="str">
        <f>"1552374744880151"</f>
        <v>1552374744880151</v>
      </c>
      <c r="C183" t="s">
        <v>40</v>
      </c>
      <c r="D183">
        <v>4.1801380000000004</v>
      </c>
      <c r="E183">
        <v>0.50812079999999904</v>
      </c>
      <c r="F183" t="s">
        <v>43</v>
      </c>
      <c r="G183">
        <v>-402.12950000000001</v>
      </c>
      <c r="H183">
        <v>-0.05</v>
      </c>
      <c r="I183">
        <v>365.6995</v>
      </c>
      <c r="J183">
        <v>-441.17290000000003</v>
      </c>
      <c r="K183">
        <v>1.1096980000000001</v>
      </c>
      <c r="L183">
        <v>368.024</v>
      </c>
      <c r="M183">
        <v>0.9997123</v>
      </c>
      <c r="N183">
        <v>0</v>
      </c>
      <c r="O183">
        <v>2.0912480000000001E-2</v>
      </c>
      <c r="P183">
        <v>0.99629909999999999</v>
      </c>
      <c r="Q183">
        <v>7.7583399999999997E-2</v>
      </c>
      <c r="R183">
        <v>-3.7003429999999997E-2</v>
      </c>
      <c r="S183">
        <v>3.0112920000000001</v>
      </c>
      <c r="T183">
        <v>-8.8772539999999997E-2</v>
      </c>
      <c r="U183">
        <v>-0.17749019999999999</v>
      </c>
      <c r="V183">
        <v>5.79E-2</v>
      </c>
      <c r="W183">
        <v>8.9238339999999999E-2</v>
      </c>
      <c r="X183">
        <v>0.99432589999999998</v>
      </c>
      <c r="Y183">
        <v>7.9660709999999996E-2</v>
      </c>
      <c r="Z183">
        <v>-1.788855E-3</v>
      </c>
      <c r="AA183">
        <v>0.99682040000000005</v>
      </c>
      <c r="AB183">
        <v>28</v>
      </c>
      <c r="AC183">
        <v>39.043399999999998</v>
      </c>
      <c r="AD183">
        <v>-1.1596979999999999</v>
      </c>
      <c r="AE183">
        <v>-2.3245</v>
      </c>
      <c r="AF183">
        <v>3.1377836947600999</v>
      </c>
      <c r="AG183">
        <v>-1.1596979999999999</v>
      </c>
      <c r="AH183">
        <v>38.952001762460299</v>
      </c>
      <c r="AI183">
        <v>91.6998311019954</v>
      </c>
      <c r="AJ183">
        <v>85.394475610998896</v>
      </c>
      <c r="AK183">
        <v>39.095383707913903</v>
      </c>
      <c r="AL183">
        <v>84.880208834746199</v>
      </c>
      <c r="AM183">
        <v>86.667406843029298</v>
      </c>
      <c r="AN183">
        <v>0.99999994336838105</v>
      </c>
    </row>
    <row r="184" spans="1:40" x14ac:dyDescent="0.25">
      <c r="A184" t="str">
        <f>"20190312151224903"</f>
        <v>20190312151224903</v>
      </c>
      <c r="B184" t="str">
        <f>"1552374744899671"</f>
        <v>1552374744899671</v>
      </c>
      <c r="C184" t="s">
        <v>40</v>
      </c>
      <c r="D184">
        <v>4.1936099999999996</v>
      </c>
      <c r="E184">
        <v>0.50822369999999994</v>
      </c>
      <c r="F184" t="s">
        <v>43</v>
      </c>
      <c r="G184">
        <v>-401.36599999999999</v>
      </c>
      <c r="H184">
        <v>-0.05</v>
      </c>
      <c r="I184">
        <v>365.649</v>
      </c>
      <c r="J184">
        <v>-440.90879999999999</v>
      </c>
      <c r="K184">
        <v>1.109607</v>
      </c>
      <c r="L184">
        <v>368.02890000000002</v>
      </c>
      <c r="M184">
        <v>0.99971460000000001</v>
      </c>
      <c r="N184">
        <v>0</v>
      </c>
      <c r="O184">
        <v>2.112176E-2</v>
      </c>
      <c r="P184">
        <v>0.99630339999999995</v>
      </c>
      <c r="Q184">
        <v>7.7452430000000003E-2</v>
      </c>
      <c r="R184">
        <v>-3.7161E-2</v>
      </c>
      <c r="S184">
        <v>3.0112920000000001</v>
      </c>
      <c r="T184">
        <v>-8.7728020000000004E-2</v>
      </c>
      <c r="U184">
        <v>-0.17965699999999901</v>
      </c>
      <c r="V184">
        <v>5.8240599999999997E-2</v>
      </c>
      <c r="W184">
        <v>8.8546810000000004E-2</v>
      </c>
      <c r="X184">
        <v>0.99436789999999997</v>
      </c>
      <c r="Y184">
        <v>8.0584500000000003E-2</v>
      </c>
      <c r="Z184">
        <v>-1.7873089999999999E-3</v>
      </c>
      <c r="AA184">
        <v>0.99674620000000003</v>
      </c>
      <c r="AB184">
        <v>28</v>
      </c>
      <c r="AC184">
        <v>39.5428</v>
      </c>
      <c r="AD184">
        <v>-1.1596070000000001</v>
      </c>
      <c r="AE184">
        <v>-2.3799000000000201</v>
      </c>
      <c r="AF184">
        <v>3.2118823937271599</v>
      </c>
      <c r="AG184">
        <v>-1.1596070000000001</v>
      </c>
      <c r="AH184">
        <v>39.449902956623298</v>
      </c>
      <c r="AI184">
        <v>91.678141814621796</v>
      </c>
      <c r="AJ184">
        <v>85.345430999904494</v>
      </c>
      <c r="AK184">
        <v>39.597420625497598</v>
      </c>
      <c r="AL184">
        <v>84.919988419129496</v>
      </c>
      <c r="AM184">
        <v>86.6479885170871</v>
      </c>
      <c r="AN184">
        <v>1.00000001279997</v>
      </c>
    </row>
    <row r="185" spans="1:40" x14ac:dyDescent="0.25">
      <c r="A185" t="str">
        <f>"20190312151224927"</f>
        <v>20190312151224927</v>
      </c>
      <c r="B185" t="str">
        <f>"1552374744920168"</f>
        <v>1552374744920168</v>
      </c>
      <c r="C185" t="s">
        <v>40</v>
      </c>
      <c r="D185">
        <v>4.1614740000000001</v>
      </c>
      <c r="E185">
        <v>0.50832500000000003</v>
      </c>
      <c r="F185" t="s">
        <v>43</v>
      </c>
      <c r="G185">
        <v>-401.11689999999999</v>
      </c>
      <c r="H185">
        <v>-0.05</v>
      </c>
      <c r="I185">
        <v>365.64109999999999</v>
      </c>
      <c r="J185">
        <v>-440.60860000000002</v>
      </c>
      <c r="K185">
        <v>1.1095649999999999</v>
      </c>
      <c r="L185">
        <v>368.03449999999998</v>
      </c>
      <c r="M185">
        <v>0.99972839999999996</v>
      </c>
      <c r="N185">
        <v>0</v>
      </c>
      <c r="O185">
        <v>2.068443E-2</v>
      </c>
      <c r="P185">
        <v>0.99623949999999994</v>
      </c>
      <c r="Q185">
        <v>7.8104259999999995E-2</v>
      </c>
      <c r="R185">
        <v>-3.750626E-2</v>
      </c>
      <c r="S185">
        <v>3.0112299999999999</v>
      </c>
      <c r="T185">
        <v>-8.7752699999999906E-2</v>
      </c>
      <c r="U185">
        <v>-0.18069460000000001</v>
      </c>
      <c r="V185">
        <v>5.8087279999999998E-2</v>
      </c>
      <c r="W185">
        <v>8.8800909999999997E-2</v>
      </c>
      <c r="X185">
        <v>0.99435419999999997</v>
      </c>
      <c r="Y185">
        <v>8.0492010000000003E-2</v>
      </c>
      <c r="Z185">
        <v>-1.7737479999999999E-3</v>
      </c>
      <c r="AA185">
        <v>0.99675369999999996</v>
      </c>
      <c r="AB185">
        <v>28</v>
      </c>
      <c r="AC185">
        <v>39.491700000000002</v>
      </c>
      <c r="AD185">
        <v>-1.159565</v>
      </c>
      <c r="AE185">
        <v>-2.3933999999999802</v>
      </c>
      <c r="AF185">
        <v>3.20704346901391</v>
      </c>
      <c r="AG185">
        <v>-1.159565</v>
      </c>
      <c r="AH185">
        <v>39.399897000518202</v>
      </c>
      <c r="AI185">
        <v>91.680212297918601</v>
      </c>
      <c r="AJ185">
        <v>85.346539907967696</v>
      </c>
      <c r="AK185">
        <v>39.547207264898198</v>
      </c>
      <c r="AL185">
        <v>84.905371940407406</v>
      </c>
      <c r="AM185">
        <v>86.656746780956794</v>
      </c>
      <c r="AN185">
        <v>1.0000000043861299</v>
      </c>
    </row>
    <row r="186" spans="1:40" x14ac:dyDescent="0.25">
      <c r="A186" t="str">
        <f>"20190312151224948"</f>
        <v>20190312151224948</v>
      </c>
      <c r="B186" t="str">
        <f>"1552374744939687"</f>
        <v>1552374744939687</v>
      </c>
      <c r="C186" t="s">
        <v>40</v>
      </c>
      <c r="D186">
        <v>4.1141059999999996</v>
      </c>
      <c r="E186">
        <v>0.50845340000000006</v>
      </c>
      <c r="F186" t="s">
        <v>43</v>
      </c>
      <c r="G186">
        <v>-399.70030000000003</v>
      </c>
      <c r="H186">
        <v>-0.05</v>
      </c>
      <c r="I186">
        <v>365.55799999999999</v>
      </c>
      <c r="J186">
        <v>-440.327</v>
      </c>
      <c r="K186">
        <v>1.1093999999999999</v>
      </c>
      <c r="L186">
        <v>368.03980000000001</v>
      </c>
      <c r="M186">
        <v>0.99974229999999997</v>
      </c>
      <c r="N186">
        <v>0</v>
      </c>
      <c r="O186">
        <v>1.990186E-2</v>
      </c>
      <c r="P186">
        <v>0.99619999999999997</v>
      </c>
      <c r="Q186">
        <v>7.8078259999999997E-2</v>
      </c>
      <c r="R186">
        <v>-3.859419E-2</v>
      </c>
      <c r="S186">
        <v>3.0111080000000001</v>
      </c>
      <c r="T186">
        <v>-8.535123E-2</v>
      </c>
      <c r="U186">
        <v>-0.18228150000000001</v>
      </c>
      <c r="V186">
        <v>5.8345479999999998E-2</v>
      </c>
      <c r="W186">
        <v>8.8998499999999994E-2</v>
      </c>
      <c r="X186">
        <v>0.99432140000000002</v>
      </c>
      <c r="Y186">
        <v>8.0240350000000002E-2</v>
      </c>
      <c r="Z186">
        <v>-1.6995459999999999E-3</v>
      </c>
      <c r="AA186">
        <v>0.9967741</v>
      </c>
      <c r="AB186">
        <v>29</v>
      </c>
      <c r="AC186">
        <v>40.6266999999999</v>
      </c>
      <c r="AD186">
        <v>-1.1594</v>
      </c>
      <c r="AE186">
        <v>-2.4817999999999598</v>
      </c>
      <c r="AF186">
        <v>3.2872362941480699</v>
      </c>
      <c r="AG186">
        <v>-1.1594</v>
      </c>
      <c r="AH186">
        <v>40.536366554283099</v>
      </c>
      <c r="AI186">
        <v>91.632939826686993</v>
      </c>
      <c r="AJ186">
        <v>85.363829033378295</v>
      </c>
      <c r="AK186">
        <v>40.6859575804326</v>
      </c>
      <c r="AL186">
        <v>84.894005776691003</v>
      </c>
      <c r="AM186">
        <v>86.641809316260705</v>
      </c>
      <c r="AN186">
        <v>0.99999998726831996</v>
      </c>
    </row>
    <row r="187" spans="1:40" x14ac:dyDescent="0.25">
      <c r="A187" t="str">
        <f>"20190312151224971"</f>
        <v>20190312151224971</v>
      </c>
      <c r="B187" t="str">
        <f>"1552374744959211"</f>
        <v>1552374744959211</v>
      </c>
      <c r="C187" t="s">
        <v>40</v>
      </c>
      <c r="D187">
        <v>4.1326450000000001</v>
      </c>
      <c r="E187">
        <v>0.50858079999999894</v>
      </c>
      <c r="F187" t="s">
        <v>43</v>
      </c>
      <c r="G187">
        <v>-398.90390000000002</v>
      </c>
      <c r="H187">
        <v>-0.05</v>
      </c>
      <c r="I187">
        <v>365.47280000000001</v>
      </c>
      <c r="J187">
        <v>-440.02319999999997</v>
      </c>
      <c r="K187">
        <v>1.1089070000000001</v>
      </c>
      <c r="L187">
        <v>368.04559999999998</v>
      </c>
      <c r="M187">
        <v>0.99974940000000001</v>
      </c>
      <c r="N187">
        <v>0</v>
      </c>
      <c r="O187">
        <v>1.909574E-2</v>
      </c>
      <c r="P187">
        <v>0.99621280000000001</v>
      </c>
      <c r="Q187">
        <v>7.7615030000000002E-2</v>
      </c>
      <c r="R187">
        <v>-3.919305E-2</v>
      </c>
      <c r="S187">
        <v>3.0108640000000002</v>
      </c>
      <c r="T187">
        <v>-8.4271670000000007E-2</v>
      </c>
      <c r="U187">
        <v>-0.18658449999999999</v>
      </c>
      <c r="V187">
        <v>5.8116149999999998E-2</v>
      </c>
      <c r="W187">
        <v>8.9302930000000003E-2</v>
      </c>
      <c r="X187">
        <v>0.99430759999999996</v>
      </c>
      <c r="Y187">
        <v>8.0861959999999997E-2</v>
      </c>
      <c r="Z187">
        <v>-1.664275E-3</v>
      </c>
      <c r="AA187">
        <v>0.9967239</v>
      </c>
      <c r="AB187">
        <v>29</v>
      </c>
      <c r="AC187">
        <v>41.119299999999903</v>
      </c>
      <c r="AD187">
        <v>-1.1589069999999999</v>
      </c>
      <c r="AE187">
        <v>-2.5727999999999702</v>
      </c>
      <c r="AF187">
        <v>3.3549333031893398</v>
      </c>
      <c r="AG187">
        <v>-1.1589069999999999</v>
      </c>
      <c r="AH187">
        <v>41.030203615112299</v>
      </c>
      <c r="AI187">
        <v>91.612522806445696</v>
      </c>
      <c r="AJ187">
        <v>85.325472067067594</v>
      </c>
      <c r="AK187">
        <v>41.183446329818899</v>
      </c>
      <c r="AL187">
        <v>84.876493822451906</v>
      </c>
      <c r="AM187">
        <v>86.654932510996801</v>
      </c>
      <c r="AN187">
        <v>1.00000005180758</v>
      </c>
    </row>
    <row r="188" spans="1:40" x14ac:dyDescent="0.25">
      <c r="A188" t="str">
        <f>"20190312151224996"</f>
        <v>20190312151224996</v>
      </c>
      <c r="B188" t="str">
        <f>"1552374744989463"</f>
        <v>1552374744989463</v>
      </c>
      <c r="C188" t="s">
        <v>40</v>
      </c>
      <c r="D188">
        <v>4.163958</v>
      </c>
      <c r="E188">
        <v>0.50856950000000001</v>
      </c>
      <c r="F188" t="s">
        <v>43</v>
      </c>
      <c r="G188">
        <v>-398.75</v>
      </c>
      <c r="H188">
        <v>-0.05</v>
      </c>
      <c r="I188">
        <v>365.4554</v>
      </c>
      <c r="J188">
        <v>-439.71420000000001</v>
      </c>
      <c r="K188">
        <v>1.108053</v>
      </c>
      <c r="L188">
        <v>368.05130000000003</v>
      </c>
      <c r="M188">
        <v>0.99974719999999995</v>
      </c>
      <c r="N188">
        <v>0</v>
      </c>
      <c r="O188">
        <v>1.833686E-2</v>
      </c>
      <c r="P188">
        <v>0.996255</v>
      </c>
      <c r="Q188">
        <v>7.6804819999999996E-2</v>
      </c>
      <c r="R188">
        <v>-3.9709670000000002E-2</v>
      </c>
      <c r="S188">
        <v>3.0106199999999999</v>
      </c>
      <c r="T188">
        <v>-8.4534999999999999E-2</v>
      </c>
      <c r="U188">
        <v>-0.1889343</v>
      </c>
      <c r="V188">
        <v>5.7874269999999998E-2</v>
      </c>
      <c r="W188">
        <v>8.9813939999999995E-2</v>
      </c>
      <c r="X188">
        <v>0.99427560000000004</v>
      </c>
      <c r="Y188">
        <v>8.0885659999999998E-2</v>
      </c>
      <c r="Z188">
        <v>-1.6486210000000001E-3</v>
      </c>
      <c r="AA188">
        <v>0.996722</v>
      </c>
      <c r="AB188">
        <v>29</v>
      </c>
      <c r="AC188">
        <v>40.964199999999998</v>
      </c>
      <c r="AD188">
        <v>-1.158053</v>
      </c>
      <c r="AE188">
        <v>-2.5959000000000199</v>
      </c>
      <c r="AF188">
        <v>3.34402005307608</v>
      </c>
      <c r="AG188">
        <v>-1.158053</v>
      </c>
      <c r="AH188">
        <v>40.877168858799699</v>
      </c>
      <c r="AI188">
        <v>91.617359294179195</v>
      </c>
      <c r="AJ188">
        <v>85.323244310351001</v>
      </c>
      <c r="AK188">
        <v>41.030068130299398</v>
      </c>
      <c r="AL188">
        <v>84.847096565062898</v>
      </c>
      <c r="AM188">
        <v>86.668716327701802</v>
      </c>
      <c r="AN188">
        <v>0.99999997185085698</v>
      </c>
    </row>
    <row r="189" spans="1:40" x14ac:dyDescent="0.25">
      <c r="A189" t="str">
        <f>"20190312151225017"</f>
        <v>20190312151225017</v>
      </c>
      <c r="B189" t="str">
        <f>"1552374745009959"</f>
        <v>1552374745009959</v>
      </c>
      <c r="C189" t="s">
        <v>40</v>
      </c>
      <c r="D189">
        <v>4.3507579999999999</v>
      </c>
      <c r="E189">
        <v>0.50834449999999998</v>
      </c>
      <c r="F189" t="s">
        <v>43</v>
      </c>
      <c r="G189">
        <v>-399.09589999999997</v>
      </c>
      <c r="H189">
        <v>-0.05</v>
      </c>
      <c r="I189">
        <v>365.47719999999998</v>
      </c>
      <c r="J189">
        <v>-439.43970000000002</v>
      </c>
      <c r="K189">
        <v>1.1070420000000001</v>
      </c>
      <c r="L189">
        <v>368.05630000000002</v>
      </c>
      <c r="M189">
        <v>0.99973420000000002</v>
      </c>
      <c r="N189">
        <v>0</v>
      </c>
      <c r="O189">
        <v>1.7716659999999999E-2</v>
      </c>
      <c r="P189">
        <v>0.99638159999999998</v>
      </c>
      <c r="Q189">
        <v>7.4915480000000007E-2</v>
      </c>
      <c r="R189">
        <v>-4.0147429999999998E-2</v>
      </c>
      <c r="S189">
        <v>3.0102540000000002</v>
      </c>
      <c r="T189">
        <v>-8.5824369999999997E-2</v>
      </c>
      <c r="U189">
        <v>-0.1907654</v>
      </c>
      <c r="V189">
        <v>5.7709490000000002E-2</v>
      </c>
      <c r="W189">
        <v>8.9655789999999999E-2</v>
      </c>
      <c r="X189">
        <v>0.9942995</v>
      </c>
      <c r="Y189">
        <v>8.0878270000000002E-2</v>
      </c>
      <c r="Z189">
        <v>-1.65617E-3</v>
      </c>
      <c r="AA189">
        <v>0.99672260000000001</v>
      </c>
      <c r="AB189">
        <v>29</v>
      </c>
      <c r="AC189">
        <v>40.343800000000002</v>
      </c>
      <c r="AD189">
        <v>-1.1570419999999999</v>
      </c>
      <c r="AE189">
        <v>-2.5791000000000301</v>
      </c>
      <c r="AF189">
        <v>3.2908345508297798</v>
      </c>
      <c r="AG189">
        <v>-1.1570419999999999</v>
      </c>
      <c r="AH189">
        <v>40.258789813120799</v>
      </c>
      <c r="AI189">
        <v>91.640764316451097</v>
      </c>
      <c r="AJ189">
        <v>85.326917256251505</v>
      </c>
      <c r="AK189">
        <v>40.409633696035101</v>
      </c>
      <c r="AL189">
        <v>84.856194849656006</v>
      </c>
      <c r="AM189">
        <v>86.678259578019706</v>
      </c>
      <c r="AN189">
        <v>1.0000000208084101</v>
      </c>
    </row>
    <row r="190" spans="1:40" x14ac:dyDescent="0.25">
      <c r="A190" t="str">
        <f>"20190312151225038"</f>
        <v>20190312151225038</v>
      </c>
      <c r="B190" t="str">
        <f>"1552374745029479"</f>
        <v>1552374745029479</v>
      </c>
      <c r="C190" t="s">
        <v>40</v>
      </c>
      <c r="D190">
        <v>4.1558390000000003</v>
      </c>
      <c r="E190">
        <v>0.50813739999999996</v>
      </c>
      <c r="F190" t="s">
        <v>43</v>
      </c>
      <c r="G190">
        <v>-400.98079999999999</v>
      </c>
      <c r="H190">
        <v>-0.05</v>
      </c>
      <c r="I190">
        <v>365.62130000000002</v>
      </c>
      <c r="J190">
        <v>-439.18290000000002</v>
      </c>
      <c r="K190">
        <v>1.1059060000000001</v>
      </c>
      <c r="L190">
        <v>368.06079999999997</v>
      </c>
      <c r="M190">
        <v>0.99970939999999997</v>
      </c>
      <c r="N190">
        <v>0</v>
      </c>
      <c r="O190">
        <v>1.7296550000000001E-2</v>
      </c>
      <c r="P190">
        <v>0.99652050000000003</v>
      </c>
      <c r="Q190">
        <v>7.2658899999999998E-2</v>
      </c>
      <c r="R190">
        <v>-4.0837440000000003E-2</v>
      </c>
      <c r="S190">
        <v>3.0100709999999999</v>
      </c>
      <c r="T190">
        <v>-9.055829E-2</v>
      </c>
      <c r="U190">
        <v>-0.19058230000000001</v>
      </c>
      <c r="V190">
        <v>5.8008259999999999E-2</v>
      </c>
      <c r="W190">
        <v>8.9402670000000004E-2</v>
      </c>
      <c r="X190">
        <v>0.99430490000000005</v>
      </c>
      <c r="Y190">
        <v>8.0399280000000004E-2</v>
      </c>
      <c r="Z190">
        <v>-1.727784E-3</v>
      </c>
      <c r="AA190">
        <v>0.99676129999999996</v>
      </c>
      <c r="AB190">
        <v>29</v>
      </c>
      <c r="AC190">
        <v>38.202100000000002</v>
      </c>
      <c r="AD190">
        <v>-1.1559059999999901</v>
      </c>
      <c r="AE190">
        <v>-2.43949999999995</v>
      </c>
      <c r="AF190">
        <v>3.09716863663999</v>
      </c>
      <c r="AG190">
        <v>-1.1559059999999901</v>
      </c>
      <c r="AH190">
        <v>38.119425023806599</v>
      </c>
      <c r="AI190">
        <v>91.731162574858004</v>
      </c>
      <c r="AJ190">
        <v>85.354973308416604</v>
      </c>
      <c r="AK190">
        <v>38.262503007386101</v>
      </c>
      <c r="AL190">
        <v>84.870756001569902</v>
      </c>
      <c r="AM190">
        <v>86.661119368794502</v>
      </c>
      <c r="AN190">
        <v>1.00000001489768</v>
      </c>
    </row>
    <row r="191" spans="1:40" x14ac:dyDescent="0.25">
      <c r="A191" t="str">
        <f>"20190312151225061"</f>
        <v>20190312151225061</v>
      </c>
      <c r="B191" t="str">
        <f>"1552374745049976"</f>
        <v>1552374745049976</v>
      </c>
      <c r="C191" t="s">
        <v>40</v>
      </c>
      <c r="D191">
        <v>4.1963100000000004</v>
      </c>
      <c r="E191">
        <v>0.50792729999999997</v>
      </c>
      <c r="F191" t="s">
        <v>43</v>
      </c>
      <c r="G191">
        <v>-403.04790000000003</v>
      </c>
      <c r="H191">
        <v>-0.05</v>
      </c>
      <c r="I191">
        <v>365.77440000000001</v>
      </c>
      <c r="J191">
        <v>-438.89069999999998</v>
      </c>
      <c r="K191">
        <v>1.10442</v>
      </c>
      <c r="L191">
        <v>368.06569999999999</v>
      </c>
      <c r="M191">
        <v>0.99966929999999998</v>
      </c>
      <c r="N191">
        <v>0</v>
      </c>
      <c r="O191">
        <v>1.7020770000000001E-2</v>
      </c>
      <c r="P191">
        <v>0.99670979999999998</v>
      </c>
      <c r="Q191">
        <v>6.9873229999999995E-2</v>
      </c>
      <c r="R191">
        <v>-4.107835E-2</v>
      </c>
      <c r="S191">
        <v>3.0097049999999999</v>
      </c>
      <c r="T191">
        <v>-9.6276039999999993E-2</v>
      </c>
      <c r="U191">
        <v>-0.19042970000000001</v>
      </c>
      <c r="V191">
        <v>5.8012809999999998E-2</v>
      </c>
      <c r="W191">
        <v>8.9077340000000005E-2</v>
      </c>
      <c r="X191">
        <v>0.99433380000000005</v>
      </c>
      <c r="Y191">
        <v>8.0076949999999994E-2</v>
      </c>
      <c r="Z191">
        <v>-1.8231079999999999E-3</v>
      </c>
      <c r="AA191">
        <v>0.99678699999999998</v>
      </c>
      <c r="AB191">
        <v>28</v>
      </c>
      <c r="AC191">
        <v>35.842799999999897</v>
      </c>
      <c r="AD191">
        <v>-1.15442</v>
      </c>
      <c r="AE191">
        <v>-2.2912999999999699</v>
      </c>
      <c r="AF191">
        <v>2.89815922393477</v>
      </c>
      <c r="AG191">
        <v>-1.15442</v>
      </c>
      <c r="AH191">
        <v>35.761652567768301</v>
      </c>
      <c r="AI191">
        <v>91.842882350804402</v>
      </c>
      <c r="AJ191">
        <v>85.3668194302318</v>
      </c>
      <c r="AK191">
        <v>35.897462400585503</v>
      </c>
      <c r="AL191">
        <v>84.889470538739502</v>
      </c>
      <c r="AM191">
        <v>86.660954900757403</v>
      </c>
      <c r="AN191">
        <v>0.99999998222400499</v>
      </c>
    </row>
    <row r="192" spans="1:40" x14ac:dyDescent="0.25">
      <c r="A192" t="str">
        <f>"20190312151225082"</f>
        <v>20190312151225082</v>
      </c>
      <c r="B192" t="str">
        <f>"1552374745079256"</f>
        <v>1552374745079256</v>
      </c>
      <c r="C192" t="s">
        <v>40</v>
      </c>
      <c r="D192">
        <v>4.1750040000000004</v>
      </c>
      <c r="E192">
        <v>0.50764639999999905</v>
      </c>
      <c r="F192" t="s">
        <v>43</v>
      </c>
      <c r="G192">
        <v>-405.37079999999997</v>
      </c>
      <c r="H192">
        <v>-0.05</v>
      </c>
      <c r="I192">
        <v>365.95100000000002</v>
      </c>
      <c r="J192">
        <v>-438.62369999999999</v>
      </c>
      <c r="K192">
        <v>1.1029469999999999</v>
      </c>
      <c r="L192">
        <v>368.06990000000002</v>
      </c>
      <c r="M192">
        <v>0.99962689999999998</v>
      </c>
      <c r="N192">
        <v>0</v>
      </c>
      <c r="O192">
        <v>1.688253E-2</v>
      </c>
      <c r="P192">
        <v>0.99685060000000003</v>
      </c>
      <c r="Q192">
        <v>6.7950360000000001E-2</v>
      </c>
      <c r="R192">
        <v>-4.0888189999999998E-2</v>
      </c>
      <c r="S192">
        <v>3.0093079999999999</v>
      </c>
      <c r="T192">
        <v>-0.1036398</v>
      </c>
      <c r="U192">
        <v>-0.18984989999999999</v>
      </c>
      <c r="V192">
        <v>5.7714410000000001E-2</v>
      </c>
      <c r="W192">
        <v>8.9325730000000006E-2</v>
      </c>
      <c r="X192">
        <v>0.99432889999999996</v>
      </c>
      <c r="Y192">
        <v>7.9749219999999996E-2</v>
      </c>
      <c r="Z192">
        <v>-1.952374E-3</v>
      </c>
      <c r="AA192">
        <v>0.99681310000000001</v>
      </c>
      <c r="AB192">
        <v>28</v>
      </c>
      <c r="AC192">
        <v>33.252899999999997</v>
      </c>
      <c r="AD192">
        <v>-1.1529469999999999</v>
      </c>
      <c r="AE192">
        <v>-2.1189000000000502</v>
      </c>
      <c r="AF192">
        <v>2.67691536668366</v>
      </c>
      <c r="AG192">
        <v>-1.1529469999999999</v>
      </c>
      <c r="AH192">
        <v>33.172660628742101</v>
      </c>
      <c r="AI192">
        <v>91.984122854353203</v>
      </c>
      <c r="AJ192">
        <v>85.386432055653202</v>
      </c>
      <c r="AK192">
        <v>33.300459093755599</v>
      </c>
      <c r="AL192">
        <v>84.875181972146294</v>
      </c>
      <c r="AM192">
        <v>86.678075023101599</v>
      </c>
      <c r="AN192">
        <v>1.0000000002684399</v>
      </c>
    </row>
    <row r="193" spans="1:40" x14ac:dyDescent="0.25">
      <c r="A193" t="str">
        <f>"20190312151225104"</f>
        <v>20190312151225104</v>
      </c>
      <c r="B193" t="str">
        <f>"1552374745100115"</f>
        <v>1552374745100115</v>
      </c>
      <c r="C193" t="s">
        <v>40</v>
      </c>
      <c r="D193">
        <v>4.2182029999999999</v>
      </c>
      <c r="E193">
        <v>0.50746959999999997</v>
      </c>
      <c r="F193" t="s">
        <v>43</v>
      </c>
      <c r="G193">
        <v>-406.4973</v>
      </c>
      <c r="H193">
        <v>-0.05</v>
      </c>
      <c r="I193">
        <v>366.07459999999998</v>
      </c>
      <c r="J193">
        <v>-438.34410000000003</v>
      </c>
      <c r="K193">
        <v>1.1013010000000001</v>
      </c>
      <c r="L193">
        <v>368.07429999999999</v>
      </c>
      <c r="M193">
        <v>0.99958970000000003</v>
      </c>
      <c r="N193">
        <v>0</v>
      </c>
      <c r="O193">
        <v>1.670661E-2</v>
      </c>
      <c r="P193">
        <v>0.99695429999999996</v>
      </c>
      <c r="Q193">
        <v>6.60723E-2</v>
      </c>
      <c r="R193">
        <v>-4.1434369999999998E-2</v>
      </c>
      <c r="S193">
        <v>3.0091549999999998</v>
      </c>
      <c r="T193">
        <v>-0.1079919</v>
      </c>
      <c r="U193">
        <v>-0.18688959999999999</v>
      </c>
      <c r="V193">
        <v>5.8102760000000003E-2</v>
      </c>
      <c r="W193">
        <v>8.9222659999999995E-2</v>
      </c>
      <c r="X193">
        <v>0.99431559999999997</v>
      </c>
      <c r="Y193">
        <v>7.859679E-2</v>
      </c>
      <c r="Z193">
        <v>-2.0075359999999999E-3</v>
      </c>
      <c r="AA193">
        <v>0.99690449999999997</v>
      </c>
      <c r="AB193">
        <v>28</v>
      </c>
      <c r="AC193">
        <v>31.846800000000002</v>
      </c>
      <c r="AD193">
        <v>-1.1513009999999999</v>
      </c>
      <c r="AE193">
        <v>-1.99970000000001</v>
      </c>
      <c r="AF193">
        <v>2.5283255708627199</v>
      </c>
      <c r="AG193">
        <v>-1.1513009999999999</v>
      </c>
      <c r="AH193">
        <v>31.767581268999301</v>
      </c>
      <c r="AI193">
        <v>92.069032887526802</v>
      </c>
      <c r="AJ193">
        <v>85.449522145053805</v>
      </c>
      <c r="AK193">
        <v>31.8888247489203</v>
      </c>
      <c r="AL193">
        <v>84.881111445157998</v>
      </c>
      <c r="AM193">
        <v>86.6557283135528</v>
      </c>
      <c r="AN193">
        <v>1.0000000630902199</v>
      </c>
    </row>
    <row r="194" spans="1:40" x14ac:dyDescent="0.25">
      <c r="A194" t="str">
        <f>"20190312151225126"</f>
        <v>20190312151225126</v>
      </c>
      <c r="B194" t="str">
        <f>"1552374745119636"</f>
        <v>1552374745119636</v>
      </c>
      <c r="C194" t="s">
        <v>40</v>
      </c>
      <c r="D194">
        <v>4.2201120000000003</v>
      </c>
      <c r="E194">
        <v>0.50727670000000002</v>
      </c>
      <c r="F194" t="s">
        <v>43</v>
      </c>
      <c r="G194">
        <v>-407.60570000000001</v>
      </c>
      <c r="H194">
        <v>-0.05</v>
      </c>
      <c r="I194">
        <v>366.16129999999998</v>
      </c>
      <c r="J194">
        <v>-438.07499999999999</v>
      </c>
      <c r="K194">
        <v>1.099612</v>
      </c>
      <c r="L194">
        <v>368.07850000000002</v>
      </c>
      <c r="M194">
        <v>0.99956449999999997</v>
      </c>
      <c r="N194">
        <v>0</v>
      </c>
      <c r="O194">
        <v>1.6446240000000001E-2</v>
      </c>
      <c r="P194">
        <v>0.99704409999999999</v>
      </c>
      <c r="Q194">
        <v>6.4325880000000002E-2</v>
      </c>
      <c r="R194">
        <v>-4.2014870000000003E-2</v>
      </c>
      <c r="S194">
        <v>3.0088810000000001</v>
      </c>
      <c r="T194">
        <v>-0.11269709999999999</v>
      </c>
      <c r="U194">
        <v>-0.1872559</v>
      </c>
      <c r="V194">
        <v>5.8429870000000002E-2</v>
      </c>
      <c r="W194">
        <v>8.8703560000000001E-2</v>
      </c>
      <c r="X194">
        <v>0.99434279999999997</v>
      </c>
      <c r="Y194">
        <v>7.8458940000000005E-2</v>
      </c>
      <c r="Z194">
        <v>-2.082824E-3</v>
      </c>
      <c r="AA194">
        <v>0.9969152</v>
      </c>
      <c r="AB194">
        <v>28</v>
      </c>
      <c r="AC194">
        <v>30.469299999999901</v>
      </c>
      <c r="AD194">
        <v>-1.1496120000000001</v>
      </c>
      <c r="AE194">
        <v>-1.91720000000003</v>
      </c>
      <c r="AF194">
        <v>2.4147724170532001</v>
      </c>
      <c r="AG194">
        <v>-1.1496120000000001</v>
      </c>
      <c r="AH194">
        <v>30.390544060974602</v>
      </c>
      <c r="AI194">
        <v>92.159548959332497</v>
      </c>
      <c r="AJ194">
        <v>85.456935833035303</v>
      </c>
      <c r="AK194">
        <v>30.507997343299099</v>
      </c>
      <c r="AL194">
        <v>84.910971697279905</v>
      </c>
      <c r="AM194">
        <v>86.637035433996203</v>
      </c>
      <c r="AN194">
        <v>0.99999998758836495</v>
      </c>
    </row>
    <row r="195" spans="1:40" x14ac:dyDescent="0.25">
      <c r="A195" t="str">
        <f>"20190312151225148"</f>
        <v>20190312151225148</v>
      </c>
      <c r="B195" t="str">
        <f>"1552374745140131"</f>
        <v>1552374745140131</v>
      </c>
      <c r="C195" t="s">
        <v>40</v>
      </c>
      <c r="D195">
        <v>4.1978479999999996</v>
      </c>
      <c r="E195">
        <v>0.50708679999999995</v>
      </c>
      <c r="F195" t="s">
        <v>43</v>
      </c>
      <c r="G195">
        <v>-408.60930000000002</v>
      </c>
      <c r="H195">
        <v>-0.05</v>
      </c>
      <c r="I195">
        <v>366.24360000000001</v>
      </c>
      <c r="J195">
        <v>-437.78429999999997</v>
      </c>
      <c r="K195">
        <v>1.0976629999999901</v>
      </c>
      <c r="L195">
        <v>368.0829</v>
      </c>
      <c r="M195">
        <v>0.99954379999999998</v>
      </c>
      <c r="N195">
        <v>0</v>
      </c>
      <c r="O195">
        <v>1.610557E-2</v>
      </c>
      <c r="P195">
        <v>0.99708529999999995</v>
      </c>
      <c r="Q195">
        <v>6.321678E-2</v>
      </c>
      <c r="R195">
        <v>-4.2717579999999998E-2</v>
      </c>
      <c r="S195">
        <v>3.0085449999999998</v>
      </c>
      <c r="T195">
        <v>-0.11737930000000001</v>
      </c>
      <c r="U195">
        <v>-0.1873474</v>
      </c>
      <c r="V195">
        <v>5.8796439999999998E-2</v>
      </c>
      <c r="W195">
        <v>8.8638969999999997E-2</v>
      </c>
      <c r="X195">
        <v>0.99432690000000001</v>
      </c>
      <c r="Y195">
        <v>7.8151540000000005E-2</v>
      </c>
      <c r="Z195">
        <v>-2.1502819999999999E-3</v>
      </c>
      <c r="AA195">
        <v>0.99693920000000003</v>
      </c>
      <c r="AB195">
        <v>28</v>
      </c>
      <c r="AC195">
        <v>29.174999999999901</v>
      </c>
      <c r="AD195">
        <v>-1.1476630000000001</v>
      </c>
      <c r="AE195">
        <v>-1.83929999999998</v>
      </c>
      <c r="AF195">
        <v>2.3055412230272601</v>
      </c>
      <c r="AG195">
        <v>-1.1476630000000001</v>
      </c>
      <c r="AH195">
        <v>29.0967342872604</v>
      </c>
      <c r="AI195">
        <v>92.251697266022404</v>
      </c>
      <c r="AJ195">
        <v>85.469513604071594</v>
      </c>
      <c r="AK195">
        <v>29.210487789081501</v>
      </c>
      <c r="AL195">
        <v>84.9146868048134</v>
      </c>
      <c r="AM195">
        <v>86.615932179594694</v>
      </c>
      <c r="AN195">
        <v>0.99999993621146999</v>
      </c>
    </row>
    <row r="196" spans="1:40" x14ac:dyDescent="0.25">
      <c r="A196" t="str">
        <f>"20190312151225173"</f>
        <v>20190312151225173</v>
      </c>
      <c r="B196" t="str">
        <f>"1552374745169412"</f>
        <v>1552374745169412</v>
      </c>
      <c r="C196" t="s">
        <v>40</v>
      </c>
      <c r="D196">
        <v>4.1703440000000001</v>
      </c>
      <c r="E196">
        <v>0.50680289999999995</v>
      </c>
      <c r="F196" t="s">
        <v>43</v>
      </c>
      <c r="G196">
        <v>-409.01310000000001</v>
      </c>
      <c r="H196">
        <v>-0.05</v>
      </c>
      <c r="I196">
        <v>366.28379999999999</v>
      </c>
      <c r="J196">
        <v>-437.48910000000001</v>
      </c>
      <c r="K196">
        <v>1.095521</v>
      </c>
      <c r="L196">
        <v>368.08730000000003</v>
      </c>
      <c r="M196">
        <v>0.99952759999999996</v>
      </c>
      <c r="N196">
        <v>0</v>
      </c>
      <c r="O196">
        <v>1.5765580000000001E-2</v>
      </c>
      <c r="P196">
        <v>0.99708580000000002</v>
      </c>
      <c r="Q196">
        <v>6.2615279999999995E-2</v>
      </c>
      <c r="R196">
        <v>-4.3583120000000003E-2</v>
      </c>
      <c r="S196">
        <v>3.008362</v>
      </c>
      <c r="T196">
        <v>-0.12000130000000001</v>
      </c>
      <c r="U196">
        <v>-0.18811040000000001</v>
      </c>
      <c r="V196">
        <v>5.9330389999999997E-2</v>
      </c>
      <c r="W196">
        <v>8.8861229999999999E-2</v>
      </c>
      <c r="X196">
        <v>0.99427540000000003</v>
      </c>
      <c r="Y196">
        <v>7.8065510000000005E-2</v>
      </c>
      <c r="Z196">
        <v>-2.1831440000000001E-3</v>
      </c>
      <c r="AA196">
        <v>0.99694590000000005</v>
      </c>
      <c r="AB196">
        <v>28</v>
      </c>
      <c r="AC196">
        <v>28.475999999999999</v>
      </c>
      <c r="AD196">
        <v>-1.145521</v>
      </c>
      <c r="AE196">
        <v>-1.8035000000000401</v>
      </c>
      <c r="AF196">
        <v>2.2487481518881598</v>
      </c>
      <c r="AG196">
        <v>-1.145521</v>
      </c>
      <c r="AH196">
        <v>28.398243163015199</v>
      </c>
      <c r="AI196">
        <v>92.302729551270502</v>
      </c>
      <c r="AJ196">
        <v>85.472414141449306</v>
      </c>
      <c r="AK196">
        <v>28.510161370251801</v>
      </c>
      <c r="AL196">
        <v>84.901902079629096</v>
      </c>
      <c r="AM196">
        <v>86.585096277632005</v>
      </c>
      <c r="AN196">
        <v>0.99999999220991198</v>
      </c>
    </row>
    <row r="197" spans="1:40" x14ac:dyDescent="0.25">
      <c r="A197" t="str">
        <f>"20190312151225194"</f>
        <v>20190312151225194</v>
      </c>
      <c r="B197" t="str">
        <f>"1552374745189907"</f>
        <v>1552374745189907</v>
      </c>
      <c r="C197" t="s">
        <v>40</v>
      </c>
      <c r="D197">
        <v>4.220307</v>
      </c>
      <c r="E197">
        <v>0.50661699999999998</v>
      </c>
      <c r="F197" t="s">
        <v>43</v>
      </c>
      <c r="G197">
        <v>-408.91520000000003</v>
      </c>
      <c r="H197">
        <v>-0.05</v>
      </c>
      <c r="I197">
        <v>366.29840000000002</v>
      </c>
      <c r="J197">
        <v>-437.22039999999998</v>
      </c>
      <c r="K197">
        <v>1.0933999999999999</v>
      </c>
      <c r="L197">
        <v>368.09129999999999</v>
      </c>
      <c r="M197">
        <v>0.99951990000000002</v>
      </c>
      <c r="N197">
        <v>0</v>
      </c>
      <c r="O197">
        <v>1.547814E-2</v>
      </c>
      <c r="P197">
        <v>0.99705759999999999</v>
      </c>
      <c r="Q197">
        <v>6.2241360000000003E-2</v>
      </c>
      <c r="R197">
        <v>-4.474587E-2</v>
      </c>
      <c r="S197">
        <v>3.0081180000000001</v>
      </c>
      <c r="T197">
        <v>-0.12059449999999999</v>
      </c>
      <c r="U197">
        <v>-0.18832399999999999</v>
      </c>
      <c r="V197">
        <v>6.0215530000000003E-2</v>
      </c>
      <c r="W197">
        <v>8.8939119999999997E-2</v>
      </c>
      <c r="X197">
        <v>0.99421530000000002</v>
      </c>
      <c r="Y197">
        <v>7.7854199999999998E-2</v>
      </c>
      <c r="Z197">
        <v>-2.1783639999999999E-3</v>
      </c>
      <c r="AA197">
        <v>0.99696240000000003</v>
      </c>
      <c r="AB197">
        <v>28</v>
      </c>
      <c r="AC197">
        <v>28.3051999999999</v>
      </c>
      <c r="AD197">
        <v>-1.1434</v>
      </c>
      <c r="AE197">
        <v>-1.79289999999997</v>
      </c>
      <c r="AF197">
        <v>2.2273347924364701</v>
      </c>
      <c r="AG197">
        <v>-1.1434</v>
      </c>
      <c r="AH197">
        <v>28.228167682559</v>
      </c>
      <c r="AI197">
        <v>92.312354922817605</v>
      </c>
      <c r="AJ197">
        <v>85.488441753317005</v>
      </c>
      <c r="AK197">
        <v>28.338980831220201</v>
      </c>
      <c r="AL197">
        <v>84.897421968594699</v>
      </c>
      <c r="AM197">
        <v>86.534064187913799</v>
      </c>
      <c r="AN197">
        <v>1.0000000699368199</v>
      </c>
    </row>
    <row r="198" spans="1:40" x14ac:dyDescent="0.25">
      <c r="A198" t="str">
        <f>"20190312151225216"</f>
        <v>20190312151225216</v>
      </c>
      <c r="B198" t="str">
        <f>"1552374745209427"</f>
        <v>1552374745209427</v>
      </c>
      <c r="C198" t="s">
        <v>40</v>
      </c>
      <c r="D198">
        <v>4.2241489999999997</v>
      </c>
      <c r="E198">
        <v>0.50643209999999905</v>
      </c>
      <c r="F198" t="s">
        <v>43</v>
      </c>
      <c r="G198">
        <v>-408.74860000000001</v>
      </c>
      <c r="H198">
        <v>-0.05</v>
      </c>
      <c r="I198">
        <v>366.28840000000002</v>
      </c>
      <c r="J198">
        <v>-436.9495</v>
      </c>
      <c r="K198">
        <v>1.0911010000000001</v>
      </c>
      <c r="L198">
        <v>368.09519999999998</v>
      </c>
      <c r="M198">
        <v>0.99952079999999999</v>
      </c>
      <c r="N198">
        <v>0</v>
      </c>
      <c r="O198">
        <v>1.519416E-2</v>
      </c>
      <c r="P198">
        <v>0.99707599999999996</v>
      </c>
      <c r="Q198">
        <v>6.139522E-2</v>
      </c>
      <c r="R198">
        <v>-4.5499159999999997E-2</v>
      </c>
      <c r="S198">
        <v>3.0078740000000002</v>
      </c>
      <c r="T198">
        <v>-0.1207935</v>
      </c>
      <c r="U198">
        <v>-0.1904602</v>
      </c>
      <c r="V198">
        <v>6.0694089999999999E-2</v>
      </c>
      <c r="W198">
        <v>8.8207220000000003E-2</v>
      </c>
      <c r="X198">
        <v>0.99425129999999995</v>
      </c>
      <c r="Y198">
        <v>7.8280929999999999E-2</v>
      </c>
      <c r="Z198">
        <v>-2.1792479999999999E-3</v>
      </c>
      <c r="AA198">
        <v>0.99692890000000001</v>
      </c>
      <c r="AB198">
        <v>28</v>
      </c>
      <c r="AC198">
        <v>28.200899999999901</v>
      </c>
      <c r="AD198">
        <v>-1.1411009999999999</v>
      </c>
      <c r="AE198">
        <v>-1.80679999999995</v>
      </c>
      <c r="AF198">
        <v>2.2315973614612901</v>
      </c>
      <c r="AG198">
        <v>-1.1411009999999999</v>
      </c>
      <c r="AH198">
        <v>28.1243203130037</v>
      </c>
      <c r="AI198">
        <v>92.316141811718396</v>
      </c>
      <c r="AJ198">
        <v>85.463222631533995</v>
      </c>
      <c r="AK198">
        <v>28.235784588785801</v>
      </c>
      <c r="AL198">
        <v>84.939521692520103</v>
      </c>
      <c r="AM198">
        <v>86.506712956714907</v>
      </c>
      <c r="AN198">
        <v>0.99999996688637205</v>
      </c>
    </row>
    <row r="199" spans="1:40" x14ac:dyDescent="0.25">
      <c r="A199" t="str">
        <f>"20190312151225239"</f>
        <v>20190312151225239</v>
      </c>
      <c r="B199" t="str">
        <f>"1552374745229923"</f>
        <v>1552374745229923</v>
      </c>
      <c r="C199" t="s">
        <v>40</v>
      </c>
      <c r="D199">
        <v>4.1717000000000004</v>
      </c>
      <c r="E199">
        <v>0.50623079999999998</v>
      </c>
      <c r="F199" t="s">
        <v>43</v>
      </c>
      <c r="G199">
        <v>-408.91309999999999</v>
      </c>
      <c r="H199">
        <v>-0.05</v>
      </c>
      <c r="I199">
        <v>366.31599999999997</v>
      </c>
      <c r="J199">
        <v>-436.6617</v>
      </c>
      <c r="K199">
        <v>1.088516</v>
      </c>
      <c r="L199">
        <v>368.0992</v>
      </c>
      <c r="M199">
        <v>0.99953080000000005</v>
      </c>
      <c r="N199">
        <v>0</v>
      </c>
      <c r="O199">
        <v>1.4894330000000001E-2</v>
      </c>
      <c r="P199">
        <v>0.99707469999999998</v>
      </c>
      <c r="Q199">
        <v>6.1232700000000001E-2</v>
      </c>
      <c r="R199">
        <v>-4.5749129999999999E-2</v>
      </c>
      <c r="S199">
        <v>3.00766</v>
      </c>
      <c r="T199">
        <v>-0.1224141</v>
      </c>
      <c r="U199">
        <v>-0.1908569</v>
      </c>
      <c r="V199">
        <v>6.0651499999999997E-2</v>
      </c>
      <c r="W199">
        <v>8.7843370000000004E-2</v>
      </c>
      <c r="X199">
        <v>0.99428609999999995</v>
      </c>
      <c r="Y199">
        <v>7.8115569999999995E-2</v>
      </c>
      <c r="Z199">
        <v>-2.1930529999999999E-3</v>
      </c>
      <c r="AA199">
        <v>0.99694190000000005</v>
      </c>
      <c r="AB199">
        <v>28</v>
      </c>
      <c r="AC199">
        <v>27.7486</v>
      </c>
      <c r="AD199">
        <v>-1.1385160000000001</v>
      </c>
      <c r="AE199">
        <v>-1.7832000000000201</v>
      </c>
      <c r="AF199">
        <v>2.19277076550074</v>
      </c>
      <c r="AG199">
        <v>-1.1385160000000001</v>
      </c>
      <c r="AH199">
        <v>27.672557309292699</v>
      </c>
      <c r="AI199">
        <v>92.348604786519999</v>
      </c>
      <c r="AJ199">
        <v>85.469354729417603</v>
      </c>
      <c r="AK199">
        <v>27.7826364902321</v>
      </c>
      <c r="AL199">
        <v>84.960449943248094</v>
      </c>
      <c r="AM199">
        <v>86.509280064760503</v>
      </c>
      <c r="AN199">
        <v>0.99999995537920705</v>
      </c>
    </row>
    <row r="200" spans="1:40" x14ac:dyDescent="0.25">
      <c r="A200" t="str">
        <f>"20190312151225261"</f>
        <v>20190312151225261</v>
      </c>
      <c r="B200" t="str">
        <f>"1552374745249443"</f>
        <v>1552374745249443</v>
      </c>
      <c r="C200" t="s">
        <v>40</v>
      </c>
      <c r="D200">
        <v>4.3439969999999999</v>
      </c>
      <c r="E200">
        <v>0.50608409999999904</v>
      </c>
      <c r="F200" t="s">
        <v>43</v>
      </c>
      <c r="G200">
        <v>-408.5523</v>
      </c>
      <c r="H200">
        <v>-0.05</v>
      </c>
      <c r="I200">
        <v>366.32139999999998</v>
      </c>
      <c r="J200">
        <v>-436.39109999999999</v>
      </c>
      <c r="K200">
        <v>1.0860190000000001</v>
      </c>
      <c r="L200">
        <v>368.1028</v>
      </c>
      <c r="M200">
        <v>0.99954390000000004</v>
      </c>
      <c r="N200">
        <v>0</v>
      </c>
      <c r="O200">
        <v>1.460669E-2</v>
      </c>
      <c r="P200">
        <v>0.99703399999999998</v>
      </c>
      <c r="Q200">
        <v>6.1583899999999997E-2</v>
      </c>
      <c r="R200">
        <v>-4.6158699999999997E-2</v>
      </c>
      <c r="S200">
        <v>3.0075989999999999</v>
      </c>
      <c r="T200">
        <v>-0.1218171</v>
      </c>
      <c r="U200">
        <v>-0.1902161</v>
      </c>
      <c r="V200">
        <v>6.0777100000000001E-2</v>
      </c>
      <c r="W200">
        <v>8.7856199999999995E-2</v>
      </c>
      <c r="X200">
        <v>0.99427739999999998</v>
      </c>
      <c r="Y200">
        <v>7.7619629999999995E-2</v>
      </c>
      <c r="Z200">
        <v>-2.1607509999999998E-3</v>
      </c>
      <c r="AA200">
        <v>0.99698070000000005</v>
      </c>
      <c r="AB200">
        <v>28</v>
      </c>
      <c r="AC200">
        <v>27.8387999999999</v>
      </c>
      <c r="AD200">
        <v>-1.1360189999999999</v>
      </c>
      <c r="AE200">
        <v>-1.7814000000000101</v>
      </c>
      <c r="AF200">
        <v>2.1843620638251999</v>
      </c>
      <c r="AG200">
        <v>-1.1360189999999999</v>
      </c>
      <c r="AH200">
        <v>27.763754466050599</v>
      </c>
      <c r="AI200">
        <v>92.335873514349998</v>
      </c>
      <c r="AJ200">
        <v>85.501420927043299</v>
      </c>
      <c r="AK200">
        <v>27.872711365157599</v>
      </c>
      <c r="AL200">
        <v>84.959712503579993</v>
      </c>
      <c r="AM200">
        <v>86.502038715274097</v>
      </c>
      <c r="AN200">
        <v>1.0000000579568</v>
      </c>
    </row>
    <row r="201" spans="1:40" x14ac:dyDescent="0.25">
      <c r="A201" t="str">
        <f>"20190312151225283"</f>
        <v>20190312151225283</v>
      </c>
      <c r="B201" t="str">
        <f>"1552374745269938"</f>
        <v>1552374745269938</v>
      </c>
      <c r="C201" t="s">
        <v>40</v>
      </c>
      <c r="D201">
        <v>4.1410600000000004</v>
      </c>
      <c r="E201">
        <v>0.50588900000000003</v>
      </c>
      <c r="F201" t="s">
        <v>43</v>
      </c>
      <c r="G201">
        <v>-407.995</v>
      </c>
      <c r="H201">
        <v>-0.05</v>
      </c>
      <c r="I201">
        <v>366.30489999999998</v>
      </c>
      <c r="J201">
        <v>-436.12450000000001</v>
      </c>
      <c r="K201">
        <v>1.0835410000000001</v>
      </c>
      <c r="L201">
        <v>368.10640000000001</v>
      </c>
      <c r="M201">
        <v>0.99955950000000005</v>
      </c>
      <c r="N201">
        <v>0</v>
      </c>
      <c r="O201">
        <v>1.4298730000000001E-2</v>
      </c>
      <c r="P201">
        <v>0.99701079999999997</v>
      </c>
      <c r="Q201">
        <v>6.1902520000000003E-2</v>
      </c>
      <c r="R201">
        <v>-4.6237130000000001E-2</v>
      </c>
      <c r="S201">
        <v>3.0075379999999998</v>
      </c>
      <c r="T201">
        <v>-0.1203198</v>
      </c>
      <c r="U201">
        <v>-0.19042970000000001</v>
      </c>
      <c r="V201">
        <v>6.0548650000000002E-2</v>
      </c>
      <c r="W201">
        <v>8.7754070000000003E-2</v>
      </c>
      <c r="X201">
        <v>0.99430030000000003</v>
      </c>
      <c r="Y201">
        <v>7.7386389999999999E-2</v>
      </c>
      <c r="Z201">
        <v>-2.1172780000000002E-3</v>
      </c>
      <c r="AA201">
        <v>0.99699890000000002</v>
      </c>
      <c r="AB201">
        <v>28</v>
      </c>
      <c r="AC201">
        <v>28.1295</v>
      </c>
      <c r="AD201">
        <v>-1.1335409999999999</v>
      </c>
      <c r="AE201">
        <v>-1.8015000000000301</v>
      </c>
      <c r="AF201">
        <v>2.2001098267047201</v>
      </c>
      <c r="AG201">
        <v>-1.1335409999999999</v>
      </c>
      <c r="AH201">
        <v>28.055482164145399</v>
      </c>
      <c r="AI201">
        <v>92.306620344404493</v>
      </c>
      <c r="AJ201">
        <v>85.516043807778999</v>
      </c>
      <c r="AK201">
        <v>28.1644364032182</v>
      </c>
      <c r="AL201">
        <v>84.965586523230598</v>
      </c>
      <c r="AM201">
        <v>86.515234511291297</v>
      </c>
      <c r="AN201">
        <v>1.00000000119923</v>
      </c>
    </row>
    <row r="202" spans="1:40" x14ac:dyDescent="0.25">
      <c r="A202" t="str">
        <f>"20190312151225306"</f>
        <v>20190312151225306</v>
      </c>
      <c r="B202" t="str">
        <f>"1552374745299220"</f>
        <v>1552374745299220</v>
      </c>
      <c r="C202" t="s">
        <v>40</v>
      </c>
      <c r="D202">
        <v>4.2102199999999996</v>
      </c>
      <c r="E202">
        <v>0.50562439999999997</v>
      </c>
      <c r="F202" t="s">
        <v>43</v>
      </c>
      <c r="G202">
        <v>-407.45359999999999</v>
      </c>
      <c r="H202">
        <v>-0.05</v>
      </c>
      <c r="I202">
        <v>366.30560000000003</v>
      </c>
      <c r="J202">
        <v>-435.84559999999999</v>
      </c>
      <c r="K202">
        <v>1.0809679999999999</v>
      </c>
      <c r="L202">
        <v>368.11</v>
      </c>
      <c r="M202">
        <v>0.99957949999999995</v>
      </c>
      <c r="N202">
        <v>0</v>
      </c>
      <c r="O202">
        <v>1.395477E-2</v>
      </c>
      <c r="P202">
        <v>0.99693419999999999</v>
      </c>
      <c r="Q202">
        <v>6.2915699999999894E-2</v>
      </c>
      <c r="R202">
        <v>-4.6520609999999997E-2</v>
      </c>
      <c r="S202">
        <v>3.0076290000000001</v>
      </c>
      <c r="T202">
        <v>-0.1189104</v>
      </c>
      <c r="U202">
        <v>-0.18890380000000001</v>
      </c>
      <c r="V202">
        <v>6.0488569999999998E-2</v>
      </c>
      <c r="W202">
        <v>8.8181090000000004E-2</v>
      </c>
      <c r="X202">
        <v>0.99426619999999999</v>
      </c>
      <c r="Y202">
        <v>7.6539979999999994E-2</v>
      </c>
      <c r="Z202">
        <v>-2.0621609999999999E-3</v>
      </c>
      <c r="AA202">
        <v>0.99706439999999996</v>
      </c>
      <c r="AB202">
        <v>28</v>
      </c>
      <c r="AC202">
        <v>28.391999999999999</v>
      </c>
      <c r="AD202">
        <v>-1.130968</v>
      </c>
      <c r="AE202">
        <v>-1.80439999999998</v>
      </c>
      <c r="AF202">
        <v>2.19708387060385</v>
      </c>
      <c r="AG202">
        <v>-1.130968</v>
      </c>
      <c r="AH202">
        <v>28.3192906007259</v>
      </c>
      <c r="AI202">
        <v>92.2801222235951</v>
      </c>
      <c r="AJ202">
        <v>85.563731590091706</v>
      </c>
      <c r="AK202">
        <v>28.426897232724102</v>
      </c>
      <c r="AL202">
        <v>84.941024978194605</v>
      </c>
      <c r="AM202">
        <v>86.518564692359803</v>
      </c>
      <c r="AN202">
        <v>1.00000002409833</v>
      </c>
    </row>
    <row r="203" spans="1:40" x14ac:dyDescent="0.25">
      <c r="A203" t="str">
        <f>"20190312151225327"</f>
        <v>20190312151225327</v>
      </c>
      <c r="B203" t="str">
        <f>"1552374745319715"</f>
        <v>1552374745319715</v>
      </c>
      <c r="C203" t="s">
        <v>40</v>
      </c>
      <c r="D203">
        <v>4.2117990000000001</v>
      </c>
      <c r="E203">
        <v>0.50545129999999905</v>
      </c>
      <c r="F203" t="s">
        <v>43</v>
      </c>
      <c r="G203">
        <v>-406.03039999999999</v>
      </c>
      <c r="H203">
        <v>-0.05</v>
      </c>
      <c r="I203">
        <v>366.25200000000001</v>
      </c>
      <c r="J203">
        <v>-435.58479999999997</v>
      </c>
      <c r="K203">
        <v>1.0786309999999999</v>
      </c>
      <c r="L203">
        <v>368.11329999999998</v>
      </c>
      <c r="M203">
        <v>0.99960150000000003</v>
      </c>
      <c r="N203">
        <v>0</v>
      </c>
      <c r="O203">
        <v>1.3633060000000001E-2</v>
      </c>
      <c r="P203">
        <v>0.99685429999999997</v>
      </c>
      <c r="Q203">
        <v>6.366347E-2</v>
      </c>
      <c r="R203">
        <v>-4.7211379999999997E-2</v>
      </c>
      <c r="S203">
        <v>3.0076900000000002</v>
      </c>
      <c r="T203">
        <v>-0.11409</v>
      </c>
      <c r="U203">
        <v>-0.18743899999999999</v>
      </c>
      <c r="V203">
        <v>6.0858339999999997E-2</v>
      </c>
      <c r="W203">
        <v>8.8228109999999998E-2</v>
      </c>
      <c r="X203">
        <v>0.9942394</v>
      </c>
      <c r="Y203">
        <v>7.5740230000000006E-2</v>
      </c>
      <c r="Z203">
        <v>-1.951265E-3</v>
      </c>
      <c r="AA203">
        <v>0.9971257</v>
      </c>
      <c r="AB203">
        <v>27</v>
      </c>
      <c r="AC203">
        <v>29.554399999999902</v>
      </c>
      <c r="AD203">
        <v>-1.1286309999999999</v>
      </c>
      <c r="AE203">
        <v>-1.8613000000000199</v>
      </c>
      <c r="AF203">
        <v>2.26088285084588</v>
      </c>
      <c r="AG203">
        <v>-1.1286309999999999</v>
      </c>
      <c r="AH203">
        <v>29.483441626013299</v>
      </c>
      <c r="AI203">
        <v>92.185810542763093</v>
      </c>
      <c r="AJ203">
        <v>85.614961461620794</v>
      </c>
      <c r="AK203">
        <v>29.591531378317399</v>
      </c>
      <c r="AL203">
        <v>84.938320067640902</v>
      </c>
      <c r="AM203">
        <v>86.497241128676507</v>
      </c>
      <c r="AN203">
        <v>0.999999960727043</v>
      </c>
    </row>
    <row r="204" spans="1:40" x14ac:dyDescent="0.25">
      <c r="A204" t="str">
        <f>"20190312151225349"</f>
        <v>20190312151225349</v>
      </c>
      <c r="B204" t="str">
        <f>"1552374745339239"</f>
        <v>1552374745339239</v>
      </c>
      <c r="C204" t="s">
        <v>40</v>
      </c>
      <c r="D204">
        <v>4.1870880000000001</v>
      </c>
      <c r="E204">
        <v>0.50528050000000002</v>
      </c>
      <c r="F204" t="s">
        <v>43</v>
      </c>
      <c r="G204">
        <v>-404.94929999999999</v>
      </c>
      <c r="H204">
        <v>-0.05</v>
      </c>
      <c r="I204">
        <v>366.19690000000003</v>
      </c>
      <c r="J204">
        <v>-435.3066</v>
      </c>
      <c r="K204">
        <v>1.0762799999999999</v>
      </c>
      <c r="L204">
        <v>368.11669999999998</v>
      </c>
      <c r="M204">
        <v>0.99962620000000002</v>
      </c>
      <c r="N204">
        <v>0</v>
      </c>
      <c r="O204">
        <v>1.330596E-2</v>
      </c>
      <c r="P204">
        <v>0.99676439999999999</v>
      </c>
      <c r="Q204">
        <v>6.4899100000000001E-2</v>
      </c>
      <c r="R204">
        <v>-4.7421699999999997E-2</v>
      </c>
      <c r="S204">
        <v>3.0076290000000001</v>
      </c>
      <c r="T204">
        <v>-0.1108029</v>
      </c>
      <c r="U204">
        <v>-0.1881409</v>
      </c>
      <c r="V204">
        <v>6.074338E-2</v>
      </c>
      <c r="W204">
        <v>8.8632779999999994E-2</v>
      </c>
      <c r="X204">
        <v>0.9942105</v>
      </c>
      <c r="Y204">
        <v>7.565065E-2</v>
      </c>
      <c r="Z204">
        <v>-1.8814120000000001E-3</v>
      </c>
      <c r="AA204">
        <v>0.99713260000000004</v>
      </c>
      <c r="AB204">
        <v>27</v>
      </c>
      <c r="AC204">
        <v>30.357299999999999</v>
      </c>
      <c r="AD204">
        <v>-1.1262799999999999</v>
      </c>
      <c r="AE204">
        <v>-1.91979999999995</v>
      </c>
      <c r="AF204">
        <v>2.3204968505649899</v>
      </c>
      <c r="AG204">
        <v>-1.1262799999999999</v>
      </c>
      <c r="AH204">
        <v>30.2875351293841</v>
      </c>
      <c r="AI204">
        <v>92.123416857911394</v>
      </c>
      <c r="AJ204">
        <v>85.618810109325196</v>
      </c>
      <c r="AK204">
        <v>30.397170863183302</v>
      </c>
      <c r="AL204">
        <v>84.915043310164194</v>
      </c>
      <c r="AM204">
        <v>86.503739956709495</v>
      </c>
      <c r="AN204">
        <v>1.0000000231073001</v>
      </c>
    </row>
    <row r="205" spans="1:40" x14ac:dyDescent="0.25">
      <c r="A205" t="str">
        <f>"20190312151225372"</f>
        <v>20190312151225372</v>
      </c>
      <c r="B205" t="str">
        <f>"1552374745369491"</f>
        <v>1552374745369491</v>
      </c>
      <c r="C205" t="s">
        <v>40</v>
      </c>
      <c r="D205">
        <v>4.1996140000000004</v>
      </c>
      <c r="E205">
        <v>0.50502369999999996</v>
      </c>
      <c r="F205" t="s">
        <v>43</v>
      </c>
      <c r="G205">
        <v>-403.33440000000002</v>
      </c>
      <c r="H205">
        <v>-0.05</v>
      </c>
      <c r="I205">
        <v>366.12740000000002</v>
      </c>
      <c r="J205">
        <v>-435.03559999999999</v>
      </c>
      <c r="K205">
        <v>1.0741540000000001</v>
      </c>
      <c r="L205">
        <v>368.11989999999997</v>
      </c>
      <c r="M205">
        <v>0.99964960000000003</v>
      </c>
      <c r="N205">
        <v>0</v>
      </c>
      <c r="O205">
        <v>1.3002919999999999E-2</v>
      </c>
      <c r="P205">
        <v>0.99667099999999997</v>
      </c>
      <c r="Q205">
        <v>6.5849500000000005E-2</v>
      </c>
      <c r="R205">
        <v>-4.8072410000000003E-2</v>
      </c>
      <c r="S205">
        <v>3.0077210000000001</v>
      </c>
      <c r="T205">
        <v>-0.1059524</v>
      </c>
      <c r="U205">
        <v>-0.18713379999999999</v>
      </c>
      <c r="V205">
        <v>6.109204E-2</v>
      </c>
      <c r="W205">
        <v>8.8760069999999996E-2</v>
      </c>
      <c r="X205">
        <v>0.9941778</v>
      </c>
      <c r="Y205">
        <v>7.5019349999999999E-2</v>
      </c>
      <c r="Z205">
        <v>-1.777287E-3</v>
      </c>
      <c r="AA205">
        <v>0.99718050000000003</v>
      </c>
      <c r="AB205">
        <v>27</v>
      </c>
      <c r="AC205">
        <v>31.701199999999901</v>
      </c>
      <c r="AD205">
        <v>-1.1241540000000001</v>
      </c>
      <c r="AE205">
        <v>-1.99249999999995</v>
      </c>
      <c r="AF205">
        <v>2.4016411115937202</v>
      </c>
      <c r="AG205">
        <v>-1.1241540000000001</v>
      </c>
      <c r="AH205">
        <v>31.632982057650501</v>
      </c>
      <c r="AI205">
        <v>92.029450916252898</v>
      </c>
      <c r="AJ205">
        <v>85.658315749567706</v>
      </c>
      <c r="AK205">
        <v>31.743931012151801</v>
      </c>
      <c r="AL205">
        <v>84.907721372255693</v>
      </c>
      <c r="AM205">
        <v>86.483606669640807</v>
      </c>
      <c r="AN205">
        <v>1.0000000426953</v>
      </c>
    </row>
    <row r="206" spans="1:40" x14ac:dyDescent="0.25">
      <c r="A206" t="str">
        <f>"20190312151225396"</f>
        <v>20190312151225396</v>
      </c>
      <c r="B206" t="str">
        <f>"1552374745389987"</f>
        <v>1552374745389987</v>
      </c>
      <c r="C206" t="s">
        <v>40</v>
      </c>
      <c r="D206">
        <v>4.214334</v>
      </c>
      <c r="E206">
        <v>0.50486089999999995</v>
      </c>
      <c r="F206" t="s">
        <v>43</v>
      </c>
      <c r="G206">
        <v>-401.67140000000001</v>
      </c>
      <c r="H206">
        <v>-0.05</v>
      </c>
      <c r="I206">
        <v>366.04169999999999</v>
      </c>
      <c r="J206">
        <v>-434.74149999999997</v>
      </c>
      <c r="K206">
        <v>1.0720970000000001</v>
      </c>
      <c r="L206">
        <v>368.12329999999997</v>
      </c>
      <c r="M206">
        <v>0.99967340000000005</v>
      </c>
      <c r="N206">
        <v>0</v>
      </c>
      <c r="O206">
        <v>1.266494E-2</v>
      </c>
      <c r="P206">
        <v>0.99662439999999997</v>
      </c>
      <c r="Q206">
        <v>6.6013130000000003E-2</v>
      </c>
      <c r="R206">
        <v>-4.8811439999999998E-2</v>
      </c>
      <c r="S206">
        <v>3.0076900000000002</v>
      </c>
      <c r="T206">
        <v>-0.1013396</v>
      </c>
      <c r="U206">
        <v>-0.1873474</v>
      </c>
      <c r="V206">
        <v>6.1491520000000001E-2</v>
      </c>
      <c r="W206">
        <v>8.8064240000000002E-2</v>
      </c>
      <c r="X206">
        <v>0.99421499999999996</v>
      </c>
      <c r="Y206">
        <v>7.4758110000000003E-2</v>
      </c>
      <c r="Z206">
        <v>-1.6841860000000001E-3</v>
      </c>
      <c r="AA206">
        <v>0.99720030000000004</v>
      </c>
      <c r="AB206">
        <v>27</v>
      </c>
      <c r="AC206">
        <v>33.070099999999897</v>
      </c>
      <c r="AD206">
        <v>-1.1220969999999999</v>
      </c>
      <c r="AE206">
        <v>-2.0815999999999799</v>
      </c>
      <c r="AF206">
        <v>2.4975029777037299</v>
      </c>
      <c r="AG206">
        <v>-1.1220969999999999</v>
      </c>
      <c r="AH206">
        <v>33.003229738005402</v>
      </c>
      <c r="AI206">
        <v>91.941736558866793</v>
      </c>
      <c r="AJ206">
        <v>85.672418655658404</v>
      </c>
      <c r="AK206">
        <v>33.116609064646298</v>
      </c>
      <c r="AL206">
        <v>84.947745974122398</v>
      </c>
      <c r="AM206">
        <v>86.460803375596299</v>
      </c>
      <c r="AN206">
        <v>0.99999999181184396</v>
      </c>
    </row>
    <row r="207" spans="1:40" x14ac:dyDescent="0.25">
      <c r="A207" t="str">
        <f>"20190312151225418"</f>
        <v>20190312151225418</v>
      </c>
      <c r="B207" t="str">
        <f>"1552374745409507"</f>
        <v>1552374745409507</v>
      </c>
      <c r="C207" t="s">
        <v>40</v>
      </c>
      <c r="D207">
        <v>4.2328400000000004</v>
      </c>
      <c r="E207">
        <v>0.50471920000000003</v>
      </c>
      <c r="F207" t="s">
        <v>43</v>
      </c>
      <c r="G207">
        <v>-400.8528</v>
      </c>
      <c r="H207">
        <v>-0.05</v>
      </c>
      <c r="I207">
        <v>365.99959999999999</v>
      </c>
      <c r="J207">
        <v>-434.48450000000003</v>
      </c>
      <c r="K207">
        <v>1.0705</v>
      </c>
      <c r="L207">
        <v>368.12619999999998</v>
      </c>
      <c r="M207">
        <v>0.9996929</v>
      </c>
      <c r="N207">
        <v>0</v>
      </c>
      <c r="O207">
        <v>1.2357109999999999E-2</v>
      </c>
      <c r="P207">
        <v>0.99656610000000001</v>
      </c>
      <c r="Q207">
        <v>6.6380099999999997E-2</v>
      </c>
      <c r="R207">
        <v>-4.9495480000000001E-2</v>
      </c>
      <c r="S207">
        <v>3.0075379999999998</v>
      </c>
      <c r="T207">
        <v>-9.9583389999999994E-2</v>
      </c>
      <c r="U207">
        <v>-0.18847659999999999</v>
      </c>
      <c r="V207">
        <v>6.1865660000000003E-2</v>
      </c>
      <c r="W207">
        <v>8.7722229999999998E-2</v>
      </c>
      <c r="X207">
        <v>0.99422200000000005</v>
      </c>
      <c r="Y207">
        <v>7.4828740000000005E-2</v>
      </c>
      <c r="Z207">
        <v>-1.6460589999999901E-3</v>
      </c>
      <c r="AA207">
        <v>0.9971951</v>
      </c>
      <c r="AB207">
        <v>27</v>
      </c>
      <c r="AC207">
        <v>33.631700000000002</v>
      </c>
      <c r="AD207">
        <v>-1.1205000000000001</v>
      </c>
      <c r="AE207">
        <v>-2.1265999999999901</v>
      </c>
      <c r="AF207">
        <v>2.5393166461078098</v>
      </c>
      <c r="AG207">
        <v>-1.1205000000000001</v>
      </c>
      <c r="AH207">
        <v>33.565736414579703</v>
      </c>
      <c r="AI207">
        <v>91.906508495931305</v>
      </c>
      <c r="AJ207">
        <v>85.673697952295299</v>
      </c>
      <c r="AK207">
        <v>33.680295579644799</v>
      </c>
      <c r="AL207">
        <v>84.967417712838198</v>
      </c>
      <c r="AM207">
        <v>86.439349669435003</v>
      </c>
      <c r="AN207">
        <v>0.99999996740370301</v>
      </c>
    </row>
    <row r="208" spans="1:40" x14ac:dyDescent="0.25">
      <c r="A208" t="str">
        <f>"20190312151225439"</f>
        <v>20190312151225439</v>
      </c>
      <c r="B208" t="str">
        <f>"1552374745430003"</f>
        <v>1552374745430003</v>
      </c>
      <c r="C208" t="s">
        <v>40</v>
      </c>
      <c r="D208">
        <v>4.2277189999999996</v>
      </c>
      <c r="E208">
        <v>0.5046235</v>
      </c>
      <c r="F208" t="s">
        <v>43</v>
      </c>
      <c r="G208">
        <v>-400.1404</v>
      </c>
      <c r="H208">
        <v>-0.05</v>
      </c>
      <c r="I208">
        <v>365.96730000000002</v>
      </c>
      <c r="J208">
        <v>-434.22629999999998</v>
      </c>
      <c r="K208">
        <v>1.0690679999999999</v>
      </c>
      <c r="L208">
        <v>368.12909999999999</v>
      </c>
      <c r="M208">
        <v>0.99971069999999995</v>
      </c>
      <c r="N208">
        <v>0</v>
      </c>
      <c r="O208">
        <v>1.204306E-2</v>
      </c>
      <c r="P208">
        <v>0.99653879999999995</v>
      </c>
      <c r="Q208">
        <v>6.6705299999999995E-2</v>
      </c>
      <c r="R208">
        <v>-4.9608659999999999E-2</v>
      </c>
      <c r="S208">
        <v>3.0075069999999999</v>
      </c>
      <c r="T208">
        <v>-9.8121879999999995E-2</v>
      </c>
      <c r="U208">
        <v>-0.18905640000000001</v>
      </c>
      <c r="V208">
        <v>6.1663219999999998E-2</v>
      </c>
      <c r="W208">
        <v>8.7384519999999993E-2</v>
      </c>
      <c r="X208">
        <v>0.99426440000000005</v>
      </c>
      <c r="Y208">
        <v>7.4709059999999994E-2</v>
      </c>
      <c r="Z208">
        <v>-1.609727E-3</v>
      </c>
      <c r="AA208">
        <v>0.99720410000000004</v>
      </c>
      <c r="AB208">
        <v>27</v>
      </c>
      <c r="AC208">
        <v>34.085899999999903</v>
      </c>
      <c r="AD208">
        <v>-1.119068</v>
      </c>
      <c r="AE208">
        <v>-2.1617999999999702</v>
      </c>
      <c r="AF208">
        <v>2.5694722544155399</v>
      </c>
      <c r="AG208">
        <v>-1.119068</v>
      </c>
      <c r="AH208">
        <v>34.020863767441099</v>
      </c>
      <c r="AI208">
        <v>91.878637391490997</v>
      </c>
      <c r="AJ208">
        <v>85.680857917012901</v>
      </c>
      <c r="AK208">
        <v>34.136105113759299</v>
      </c>
      <c r="AL208">
        <v>84.986842088082</v>
      </c>
      <c r="AM208">
        <v>86.451122144249993</v>
      </c>
      <c r="AN208">
        <v>1.0000000520718699</v>
      </c>
    </row>
    <row r="209" spans="1:40" x14ac:dyDescent="0.25">
      <c r="A209" t="str">
        <f>"20190312151225461"</f>
        <v>20190312151225461</v>
      </c>
      <c r="B209" t="str">
        <f>"1552374745449523"</f>
        <v>1552374745449523</v>
      </c>
      <c r="C209" t="s">
        <v>40</v>
      </c>
      <c r="D209">
        <v>4.1635790000000004</v>
      </c>
      <c r="E209">
        <v>0.50452920000000001</v>
      </c>
      <c r="F209" t="s">
        <v>43</v>
      </c>
      <c r="G209">
        <v>-399.65690000000001</v>
      </c>
      <c r="H209">
        <v>-0.05</v>
      </c>
      <c r="I209">
        <v>365.9588</v>
      </c>
      <c r="J209">
        <v>-433.96260000000001</v>
      </c>
      <c r="K209">
        <v>1.067779</v>
      </c>
      <c r="L209">
        <v>368.13189999999997</v>
      </c>
      <c r="M209">
        <v>0.99972740000000004</v>
      </c>
      <c r="N209">
        <v>0</v>
      </c>
      <c r="O209">
        <v>1.172568E-2</v>
      </c>
      <c r="P209">
        <v>0.99646449999999998</v>
      </c>
      <c r="Q209">
        <v>6.7402390000000006E-2</v>
      </c>
      <c r="R209">
        <v>-5.0153929999999999E-2</v>
      </c>
      <c r="S209">
        <v>3.0075379999999998</v>
      </c>
      <c r="T209">
        <v>-9.7359180000000003E-2</v>
      </c>
      <c r="U209">
        <v>-0.18881229999999999</v>
      </c>
      <c r="V209">
        <v>6.1890569999999999E-2</v>
      </c>
      <c r="W209">
        <v>8.7454329999999997E-2</v>
      </c>
      <c r="X209">
        <v>0.99424409999999996</v>
      </c>
      <c r="Y209">
        <v>7.4312149999999993E-2</v>
      </c>
      <c r="Z209">
        <v>-1.580524E-3</v>
      </c>
      <c r="AA209">
        <v>0.9972337</v>
      </c>
      <c r="AB209">
        <v>27</v>
      </c>
      <c r="AC209">
        <v>34.305700000000002</v>
      </c>
      <c r="AD209">
        <v>-1.1177790000000001</v>
      </c>
      <c r="AE209">
        <v>-2.1730999999999701</v>
      </c>
      <c r="AF209">
        <v>2.5725699740904702</v>
      </c>
      <c r="AG209">
        <v>-1.1177790000000001</v>
      </c>
      <c r="AH209">
        <v>34.2416471261445</v>
      </c>
      <c r="AI209">
        <v>91.864439789508296</v>
      </c>
      <c r="AJ209">
        <v>85.703448231874603</v>
      </c>
      <c r="AK209">
        <v>34.356337757040301</v>
      </c>
      <c r="AL209">
        <v>84.982826718903894</v>
      </c>
      <c r="AM209">
        <v>86.437998650047405</v>
      </c>
      <c r="AN209">
        <v>1.0000000164377401</v>
      </c>
    </row>
    <row r="210" spans="1:40" x14ac:dyDescent="0.25">
      <c r="A210" t="str">
        <f>"20190312151225484"</f>
        <v>20190312151225484</v>
      </c>
      <c r="B210" t="str">
        <f>"1552374745479780"</f>
        <v>1552374745479780</v>
      </c>
      <c r="C210" t="s">
        <v>40</v>
      </c>
      <c r="D210">
        <v>4.1915519999999997</v>
      </c>
      <c r="E210">
        <v>0.50437330000000002</v>
      </c>
      <c r="F210" t="s">
        <v>43</v>
      </c>
      <c r="G210">
        <v>-398.77019999999999</v>
      </c>
      <c r="H210">
        <v>-0.05</v>
      </c>
      <c r="I210">
        <v>365.91579999999999</v>
      </c>
      <c r="J210">
        <v>-433.68779999999998</v>
      </c>
      <c r="K210">
        <v>1.0666020000000001</v>
      </c>
      <c r="L210">
        <v>368.13470000000001</v>
      </c>
      <c r="M210">
        <v>0.9997431</v>
      </c>
      <c r="N210">
        <v>0</v>
      </c>
      <c r="O210">
        <v>1.1402260000000001E-2</v>
      </c>
      <c r="P210">
        <v>0.99642819999999999</v>
      </c>
      <c r="Q210">
        <v>6.7585110000000004E-2</v>
      </c>
      <c r="R210">
        <v>-5.0626869999999997E-2</v>
      </c>
      <c r="S210">
        <v>3.0075989999999999</v>
      </c>
      <c r="T210">
        <v>-9.5527409999999993E-2</v>
      </c>
      <c r="U210">
        <v>-0.18939210000000001</v>
      </c>
      <c r="V210">
        <v>6.2040530000000003E-2</v>
      </c>
      <c r="W210">
        <v>8.7041069999999998E-2</v>
      </c>
      <c r="X210">
        <v>0.99427100000000002</v>
      </c>
      <c r="Y210">
        <v>7.4181549999999999E-2</v>
      </c>
      <c r="Z210">
        <v>-1.538422E-3</v>
      </c>
      <c r="AA210">
        <v>0.99724360000000001</v>
      </c>
      <c r="AB210">
        <v>27</v>
      </c>
      <c r="AC210">
        <v>34.917599999999901</v>
      </c>
      <c r="AD210">
        <v>-1.1166020000000001</v>
      </c>
      <c r="AE210">
        <v>-2.2189000000000099</v>
      </c>
      <c r="AF210">
        <v>2.6143090080561699</v>
      </c>
      <c r="AG210">
        <v>-1.1166020000000001</v>
      </c>
      <c r="AH210">
        <v>34.854524809985897</v>
      </c>
      <c r="AI210">
        <v>91.829767694978202</v>
      </c>
      <c r="AJ210">
        <v>85.710487622707902</v>
      </c>
      <c r="AK210">
        <v>34.970263243875202</v>
      </c>
      <c r="AL210">
        <v>85.006595320279104</v>
      </c>
      <c r="AM210">
        <v>86.429486624130703</v>
      </c>
      <c r="AN210">
        <v>0.99999999833521203</v>
      </c>
    </row>
    <row r="211" spans="1:40" x14ac:dyDescent="0.25">
      <c r="A211" t="str">
        <f>"20190312151225506"</f>
        <v>20190312151225506</v>
      </c>
      <c r="B211" t="str">
        <f>"1552374745499300"</f>
        <v>1552374745499300</v>
      </c>
      <c r="C211" t="s">
        <v>40</v>
      </c>
      <c r="D211">
        <v>4.2397640000000001</v>
      </c>
      <c r="E211">
        <v>0.50425810000000004</v>
      </c>
      <c r="F211" t="s">
        <v>43</v>
      </c>
      <c r="G211">
        <v>-399.11799999999999</v>
      </c>
      <c r="H211">
        <v>-0.05</v>
      </c>
      <c r="I211">
        <v>365.95440000000002</v>
      </c>
      <c r="J211">
        <v>-433.42910000000001</v>
      </c>
      <c r="K211">
        <v>1.0656479999999999</v>
      </c>
      <c r="L211">
        <v>368.13740000000001</v>
      </c>
      <c r="M211">
        <v>0.99975639999999999</v>
      </c>
      <c r="N211">
        <v>0</v>
      </c>
      <c r="O211">
        <v>1.1101679999999999E-2</v>
      </c>
      <c r="P211">
        <v>0.99635689999999999</v>
      </c>
      <c r="Q211">
        <v>6.8309700000000001E-2</v>
      </c>
      <c r="R211">
        <v>-5.1058850000000003E-2</v>
      </c>
      <c r="S211">
        <v>3.0076900000000002</v>
      </c>
      <c r="T211">
        <v>-9.7148300000000007E-2</v>
      </c>
      <c r="U211">
        <v>-0.18969730000000001</v>
      </c>
      <c r="V211">
        <v>6.2172199999999997E-2</v>
      </c>
      <c r="W211">
        <v>8.7253410000000003E-2</v>
      </c>
      <c r="X211">
        <v>0.99424420000000002</v>
      </c>
      <c r="Y211">
        <v>7.397927E-2</v>
      </c>
      <c r="Z211">
        <v>-1.5514940000000001E-3</v>
      </c>
      <c r="AA211">
        <v>0.99725850000000005</v>
      </c>
      <c r="AB211">
        <v>27</v>
      </c>
      <c r="AC211">
        <v>34.311099999999897</v>
      </c>
      <c r="AD211">
        <v>-1.115648</v>
      </c>
      <c r="AE211">
        <v>-2.1829999999999901</v>
      </c>
      <c r="AF211">
        <v>2.56114869586481</v>
      </c>
      <c r="AG211">
        <v>-1.115648</v>
      </c>
      <c r="AH211">
        <v>34.248681362486202</v>
      </c>
      <c r="AI211">
        <v>91.860554231286201</v>
      </c>
      <c r="AJ211">
        <v>85.723327699991898</v>
      </c>
      <c r="AK211">
        <v>34.362426110089302</v>
      </c>
      <c r="AL211">
        <v>84.994382852778003</v>
      </c>
      <c r="AM211">
        <v>86.421832312682199</v>
      </c>
      <c r="AN211">
        <v>1.0000000346215501</v>
      </c>
    </row>
    <row r="212" spans="1:40" x14ac:dyDescent="0.25">
      <c r="A212" t="str">
        <f>"20190312151225528"</f>
        <v>20190312151225528</v>
      </c>
      <c r="B212" t="str">
        <f>"1552374745519795"</f>
        <v>1552374745519795</v>
      </c>
      <c r="C212" t="s">
        <v>40</v>
      </c>
      <c r="D212">
        <v>4.2109670000000001</v>
      </c>
      <c r="E212">
        <v>0.50414250000000005</v>
      </c>
      <c r="F212" t="s">
        <v>43</v>
      </c>
      <c r="G212">
        <v>-398.45209999999997</v>
      </c>
      <c r="H212">
        <v>-0.05</v>
      </c>
      <c r="I212">
        <v>365.92579999999998</v>
      </c>
      <c r="J212">
        <v>-433.16079999999999</v>
      </c>
      <c r="K212">
        <v>1.0648</v>
      </c>
      <c r="L212">
        <v>368.14</v>
      </c>
      <c r="M212">
        <v>0.99976900000000002</v>
      </c>
      <c r="N212">
        <v>0</v>
      </c>
      <c r="O212">
        <v>1.079099E-2</v>
      </c>
      <c r="P212">
        <v>0.99629310000000004</v>
      </c>
      <c r="Q212">
        <v>6.8941870000000002E-2</v>
      </c>
      <c r="R212">
        <v>-5.1451360000000002E-2</v>
      </c>
      <c r="S212">
        <v>3.0078130000000001</v>
      </c>
      <c r="T212">
        <v>-9.5939159999999996E-2</v>
      </c>
      <c r="U212">
        <v>-0.19018550000000001</v>
      </c>
      <c r="V212">
        <v>6.2254879999999999E-2</v>
      </c>
      <c r="W212">
        <v>8.7399249999999998E-2</v>
      </c>
      <c r="X212">
        <v>0.99422619999999895</v>
      </c>
      <c r="Y212">
        <v>7.38293E-2</v>
      </c>
      <c r="Z212">
        <v>-1.5198309999999999E-3</v>
      </c>
      <c r="AA212">
        <v>0.99726970000000004</v>
      </c>
      <c r="AB212">
        <v>27</v>
      </c>
      <c r="AC212">
        <v>34.7087</v>
      </c>
      <c r="AD212">
        <v>-1.1148</v>
      </c>
      <c r="AE212">
        <v>-2.2141999999999999</v>
      </c>
      <c r="AF212">
        <v>2.58602002696884</v>
      </c>
      <c r="AG212">
        <v>-1.1148</v>
      </c>
      <c r="AH212">
        <v>34.647183219487403</v>
      </c>
      <c r="AI212">
        <v>91.837791882068998</v>
      </c>
      <c r="AJ212">
        <v>85.731433528647798</v>
      </c>
      <c r="AK212">
        <v>34.7614381702572</v>
      </c>
      <c r="AL212">
        <v>84.985994707983707</v>
      </c>
      <c r="AM212">
        <v>86.4170215583583</v>
      </c>
      <c r="AN212">
        <v>1.0000000178754</v>
      </c>
    </row>
    <row r="213" spans="1:40" x14ac:dyDescent="0.25">
      <c r="A213" t="str">
        <f>"20190312151225551"</f>
        <v>20190312151225551</v>
      </c>
      <c r="B213" t="str">
        <f>"1552374745539319"</f>
        <v>1552374745539319</v>
      </c>
      <c r="C213" t="s">
        <v>40</v>
      </c>
      <c r="D213">
        <v>4.2073280000000004</v>
      </c>
      <c r="E213">
        <v>0.50403560000000003</v>
      </c>
      <c r="F213" t="s">
        <v>42</v>
      </c>
      <c r="G213">
        <v>-399.54230000000001</v>
      </c>
      <c r="H213" s="1">
        <v>-1.100035E-6</v>
      </c>
      <c r="I213">
        <v>366.01490000000001</v>
      </c>
      <c r="J213">
        <v>-432.8888</v>
      </c>
      <c r="K213">
        <v>1.064068</v>
      </c>
      <c r="L213">
        <v>368.14260000000002</v>
      </c>
      <c r="M213">
        <v>0.99978080000000003</v>
      </c>
      <c r="N213">
        <v>0</v>
      </c>
      <c r="O213">
        <v>1.0472260000000001E-2</v>
      </c>
      <c r="P213">
        <v>0.9962645</v>
      </c>
      <c r="Q213">
        <v>6.9078509999999996E-2</v>
      </c>
      <c r="R213">
        <v>-5.1820480000000002E-2</v>
      </c>
      <c r="S213">
        <v>3.0079039999999999</v>
      </c>
      <c r="T213">
        <v>-9.5269439999999997E-2</v>
      </c>
      <c r="U213">
        <v>-0.1901245</v>
      </c>
      <c r="V213">
        <v>6.2305590000000001E-2</v>
      </c>
      <c r="W213">
        <v>8.7085739999999995E-2</v>
      </c>
      <c r="X213">
        <v>0.99425050000000004</v>
      </c>
      <c r="Y213">
        <v>7.3490130000000001E-2</v>
      </c>
      <c r="Z213">
        <v>-1.4937289999999901E-3</v>
      </c>
      <c r="AA213">
        <v>0.99729480000000004</v>
      </c>
      <c r="AB213">
        <v>27</v>
      </c>
      <c r="AC213">
        <v>33.346499999999899</v>
      </c>
      <c r="AD213">
        <v>-1.064069100035</v>
      </c>
      <c r="AE213">
        <v>-2.1276999999999999</v>
      </c>
      <c r="AF213">
        <v>2.4743447129640899</v>
      </c>
      <c r="AG213">
        <v>-1.064069100035</v>
      </c>
      <c r="AH213">
        <v>33.288627811985897</v>
      </c>
      <c r="AI213">
        <v>91.825799598298403</v>
      </c>
      <c r="AJ213">
        <v>85.749020294846204</v>
      </c>
      <c r="AK213">
        <v>33.397415564877797</v>
      </c>
      <c r="AL213">
        <v>85.004026093847997</v>
      </c>
      <c r="AM213">
        <v>86.414198051171994</v>
      </c>
      <c r="AN213">
        <v>0.999999984703422</v>
      </c>
    </row>
    <row r="214" spans="1:40" x14ac:dyDescent="0.25">
      <c r="A214" t="str">
        <f>"20190312151225573"</f>
        <v>20190312151225573</v>
      </c>
      <c r="B214" t="str">
        <f>"1552374745569572"</f>
        <v>1552374745569572</v>
      </c>
      <c r="C214" t="s">
        <v>40</v>
      </c>
      <c r="D214">
        <v>4.2543790000000001</v>
      </c>
      <c r="E214">
        <v>0.50388630000000001</v>
      </c>
      <c r="F214" t="s">
        <v>42</v>
      </c>
      <c r="G214">
        <v>-399.346</v>
      </c>
      <c r="H214" s="1">
        <v>-1.1665960000000001E-6</v>
      </c>
      <c r="I214">
        <v>366.01589999999999</v>
      </c>
      <c r="J214">
        <v>-432.62979999999999</v>
      </c>
      <c r="K214">
        <v>1.063469</v>
      </c>
      <c r="L214">
        <v>368.14499999999998</v>
      </c>
      <c r="M214">
        <v>0.99979079999999998</v>
      </c>
      <c r="N214">
        <v>0</v>
      </c>
      <c r="O214">
        <v>1.016709E-2</v>
      </c>
      <c r="P214">
        <v>0.99626760000000003</v>
      </c>
      <c r="Q214">
        <v>6.8997820000000001E-2</v>
      </c>
      <c r="R214">
        <v>-5.1864380000000002E-2</v>
      </c>
      <c r="S214">
        <v>3.0079349999999998</v>
      </c>
      <c r="T214">
        <v>-9.5419649999999995E-2</v>
      </c>
      <c r="U214">
        <v>-0.19070429999999999</v>
      </c>
      <c r="V214">
        <v>6.204519E-2</v>
      </c>
      <c r="W214">
        <v>8.6613540000000003E-2</v>
      </c>
      <c r="X214">
        <v>0.99430810000000003</v>
      </c>
      <c r="Y214">
        <v>7.3376570000000002E-2</v>
      </c>
      <c r="Z214">
        <v>-1.484586E-3</v>
      </c>
      <c r="AA214">
        <v>0.99730319999999995</v>
      </c>
      <c r="AB214">
        <v>27</v>
      </c>
      <c r="AC214">
        <v>33.2837999999999</v>
      </c>
      <c r="AD214">
        <v>-1.063470166596</v>
      </c>
      <c r="AE214">
        <v>-2.12909999999999</v>
      </c>
      <c r="AF214">
        <v>2.4649364108700298</v>
      </c>
      <c r="AG214">
        <v>-1.063470166596</v>
      </c>
      <c r="AH214">
        <v>33.226646011811603</v>
      </c>
      <c r="AI214">
        <v>91.828193767589894</v>
      </c>
      <c r="AJ214">
        <v>85.757254033468598</v>
      </c>
      <c r="AK214">
        <v>33.334919911394799</v>
      </c>
      <c r="AL214">
        <v>85.031184125569894</v>
      </c>
      <c r="AM214">
        <v>86.429352018549096</v>
      </c>
      <c r="AN214">
        <v>1.00000005431953</v>
      </c>
    </row>
    <row r="215" spans="1:40" x14ac:dyDescent="0.25">
      <c r="A215" t="str">
        <f>"20190312151225596"</f>
        <v>20190312151225596</v>
      </c>
      <c r="B215" t="str">
        <f>"1552374745590067"</f>
        <v>1552374745590067</v>
      </c>
      <c r="C215" t="s">
        <v>40</v>
      </c>
      <c r="D215">
        <v>4.6945129999999997</v>
      </c>
      <c r="E215">
        <v>0.50378610000000001</v>
      </c>
      <c r="F215" t="s">
        <v>42</v>
      </c>
      <c r="G215">
        <v>-399.33420000000001</v>
      </c>
      <c r="H215" s="1">
        <v>-1.1635299999999999E-6</v>
      </c>
      <c r="I215">
        <v>366.04239999999999</v>
      </c>
      <c r="J215">
        <v>-432.34620000000001</v>
      </c>
      <c r="K215">
        <v>1.0629120000000001</v>
      </c>
      <c r="L215">
        <v>368.1474</v>
      </c>
      <c r="M215">
        <v>0.99980119999999895</v>
      </c>
      <c r="N215">
        <v>0</v>
      </c>
      <c r="O215">
        <v>9.8312590000000002E-3</v>
      </c>
      <c r="P215">
        <v>0.99624690000000005</v>
      </c>
      <c r="Q215">
        <v>6.9198430000000005E-2</v>
      </c>
      <c r="R215">
        <v>-5.1997069999999999E-2</v>
      </c>
      <c r="S215">
        <v>3.0080260000000001</v>
      </c>
      <c r="T215">
        <v>-9.6076969999999998E-2</v>
      </c>
      <c r="U215">
        <v>-0.18994140000000001</v>
      </c>
      <c r="V215">
        <v>6.1842630000000003E-2</v>
      </c>
      <c r="W215">
        <v>8.6422570000000004E-2</v>
      </c>
      <c r="X215">
        <v>0.99433729999999998</v>
      </c>
      <c r="Y215">
        <v>7.2787519999999994E-2</v>
      </c>
      <c r="Z215">
        <v>-1.4746609999999999E-3</v>
      </c>
      <c r="AA215">
        <v>0.99734639999999997</v>
      </c>
      <c r="AB215">
        <v>27</v>
      </c>
      <c r="AC215">
        <v>33.012</v>
      </c>
      <c r="AD215">
        <v>-1.06291316352999</v>
      </c>
      <c r="AE215">
        <v>-2.1050000000000102</v>
      </c>
      <c r="AF215">
        <v>2.4269907360108101</v>
      </c>
      <c r="AG215">
        <v>-1.06291316352999</v>
      </c>
      <c r="AH215">
        <v>32.955679493426302</v>
      </c>
      <c r="AI215">
        <v>91.842323665699496</v>
      </c>
      <c r="AJ215">
        <v>85.788108310064601</v>
      </c>
      <c r="AK215">
        <v>33.062015656933703</v>
      </c>
      <c r="AL215">
        <v>85.042166906598396</v>
      </c>
      <c r="AM215">
        <v>86.441083409468106</v>
      </c>
      <c r="AN215">
        <v>1.0000000188310001</v>
      </c>
    </row>
    <row r="216" spans="1:40" x14ac:dyDescent="0.25">
      <c r="A216" t="str">
        <f>"20190312151225620"</f>
        <v>20190312151225620</v>
      </c>
      <c r="B216" t="str">
        <f>"1552374745609587"</f>
        <v>1552374745609587</v>
      </c>
      <c r="C216" t="s">
        <v>40</v>
      </c>
      <c r="D216">
        <v>4.2157869999999997</v>
      </c>
      <c r="E216">
        <v>0.50368939999999995</v>
      </c>
      <c r="F216" t="s">
        <v>42</v>
      </c>
      <c r="G216">
        <v>-398.94380000000001</v>
      </c>
      <c r="H216" s="1">
        <v>-1.295993E-6</v>
      </c>
      <c r="I216">
        <v>366.04390000000001</v>
      </c>
      <c r="J216">
        <v>-432.07209999999998</v>
      </c>
      <c r="K216">
        <v>1.0624579999999999</v>
      </c>
      <c r="L216">
        <v>368.1497</v>
      </c>
      <c r="M216">
        <v>0.99981050000000005</v>
      </c>
      <c r="N216">
        <v>0</v>
      </c>
      <c r="O216">
        <v>9.5068050000000001E-3</v>
      </c>
      <c r="P216">
        <v>0.99620149999999996</v>
      </c>
      <c r="Q216">
        <v>6.9484619999999997E-2</v>
      </c>
      <c r="R216">
        <v>-5.2484210000000003E-2</v>
      </c>
      <c r="S216">
        <v>3.008057</v>
      </c>
      <c r="T216">
        <v>-9.5720410000000006E-2</v>
      </c>
      <c r="U216">
        <v>-0.1894226</v>
      </c>
      <c r="V216">
        <v>6.2005680000000001E-2</v>
      </c>
      <c r="W216">
        <v>8.6360809999999996E-2</v>
      </c>
      <c r="X216">
        <v>0.99433249999999995</v>
      </c>
      <c r="Y216">
        <v>7.229257E-2</v>
      </c>
      <c r="Z216">
        <v>-1.4510020000000001E-3</v>
      </c>
      <c r="AA216">
        <v>0.9973824</v>
      </c>
      <c r="AB216">
        <v>27</v>
      </c>
      <c r="AC216">
        <v>33.128299999999903</v>
      </c>
      <c r="AD216">
        <v>-1.0624592959929999</v>
      </c>
      <c r="AE216">
        <v>-2.1057999999999799</v>
      </c>
      <c r="AF216">
        <v>2.4182172987969399</v>
      </c>
      <c r="AG216">
        <v>-1.0624592959929999</v>
      </c>
      <c r="AH216">
        <v>33.072899850404902</v>
      </c>
      <c r="AI216">
        <v>91.835085475074393</v>
      </c>
      <c r="AJ216">
        <v>85.818101150290502</v>
      </c>
      <c r="AK216">
        <v>33.178205183143298</v>
      </c>
      <c r="AL216">
        <v>85.045718715684302</v>
      </c>
      <c r="AM216">
        <v>86.431707247032094</v>
      </c>
      <c r="AN216">
        <v>1.0000000072061801</v>
      </c>
    </row>
    <row r="217" spans="1:40" x14ac:dyDescent="0.25">
      <c r="A217" t="str">
        <f>"20190312151225641"</f>
        <v>20190312151225641</v>
      </c>
      <c r="B217" t="str">
        <f>"1552374745630084"</f>
        <v>1552374745630084</v>
      </c>
      <c r="C217" t="s">
        <v>40</v>
      </c>
      <c r="D217">
        <v>4.2593300000000003</v>
      </c>
      <c r="E217">
        <v>0.50358420000000004</v>
      </c>
      <c r="F217" t="s">
        <v>42</v>
      </c>
      <c r="G217">
        <v>-398.48750000000001</v>
      </c>
      <c r="H217" s="1">
        <v>-1.4561590000000001E-6</v>
      </c>
      <c r="I217">
        <v>366.0256</v>
      </c>
      <c r="J217">
        <v>-431.8168</v>
      </c>
      <c r="K217">
        <v>1.0620879999999999</v>
      </c>
      <c r="L217">
        <v>368.15179999999998</v>
      </c>
      <c r="M217">
        <v>0.99981830000000005</v>
      </c>
      <c r="N217">
        <v>0</v>
      </c>
      <c r="O217">
        <v>9.2054630000000005E-3</v>
      </c>
      <c r="P217">
        <v>0.99617610000000001</v>
      </c>
      <c r="Q217">
        <v>6.9837120000000003E-2</v>
      </c>
      <c r="R217">
        <v>-5.2494249999999999E-2</v>
      </c>
      <c r="S217">
        <v>3.008057</v>
      </c>
      <c r="T217">
        <v>-9.5160369999999994E-2</v>
      </c>
      <c r="U217">
        <v>-0.19024659999999999</v>
      </c>
      <c r="V217">
        <v>6.1715289999999999E-2</v>
      </c>
      <c r="W217">
        <v>8.6413069999999995E-2</v>
      </c>
      <c r="X217">
        <v>0.99434599999999995</v>
      </c>
      <c r="Y217">
        <v>7.2264699999999904E-2</v>
      </c>
      <c r="Z217">
        <v>-1.432539E-3</v>
      </c>
      <c r="AA217">
        <v>0.99738450000000001</v>
      </c>
      <c r="AB217">
        <v>27</v>
      </c>
      <c r="AC217">
        <v>33.329299999999897</v>
      </c>
      <c r="AD217">
        <v>-1.062089456159</v>
      </c>
      <c r="AE217">
        <v>-2.1261999999999799</v>
      </c>
      <c r="AF217">
        <v>2.43050615727085</v>
      </c>
      <c r="AG217">
        <v>-1.062089456159</v>
      </c>
      <c r="AH217">
        <v>33.274659347036398</v>
      </c>
      <c r="AI217">
        <v>91.823341365964694</v>
      </c>
      <c r="AJ217">
        <v>85.822320269373094</v>
      </c>
      <c r="AK217">
        <v>33.380208939650601</v>
      </c>
      <c r="AL217">
        <v>85.042713075889395</v>
      </c>
      <c r="AM217">
        <v>86.448423783841207</v>
      </c>
      <c r="AN217">
        <v>0.999999981701304</v>
      </c>
    </row>
    <row r="218" spans="1:40" x14ac:dyDescent="0.25">
      <c r="A218" t="str">
        <f>"20190312151225662"</f>
        <v>20190312151225662</v>
      </c>
      <c r="B218" t="str">
        <f>"1552374745659364"</f>
        <v>1552374745659364</v>
      </c>
      <c r="C218" t="s">
        <v>40</v>
      </c>
      <c r="D218">
        <v>4.2273860000000001</v>
      </c>
      <c r="E218">
        <v>0.50342379999999998</v>
      </c>
      <c r="F218" t="s">
        <v>42</v>
      </c>
      <c r="G218">
        <v>-397.9665</v>
      </c>
      <c r="H218" s="1">
        <v>-1.6344219999999999E-6</v>
      </c>
      <c r="I218">
        <v>366.02190000000002</v>
      </c>
      <c r="J218">
        <v>-431.5677</v>
      </c>
      <c r="K218">
        <v>1.061785</v>
      </c>
      <c r="L218">
        <v>368.15379999999999</v>
      </c>
      <c r="M218">
        <v>0.99982570000000004</v>
      </c>
      <c r="N218">
        <v>0</v>
      </c>
      <c r="O218">
        <v>8.9112459999999994E-3</v>
      </c>
      <c r="P218">
        <v>0.99613339999999995</v>
      </c>
      <c r="Q218">
        <v>6.9954290000000002E-2</v>
      </c>
      <c r="R218">
        <v>-5.3152369999999997E-2</v>
      </c>
      <c r="S218">
        <v>3.0081180000000001</v>
      </c>
      <c r="T218">
        <v>-9.4382640000000004E-2</v>
      </c>
      <c r="U218">
        <v>-0.18926999999999999</v>
      </c>
      <c r="V218">
        <v>6.207936E-2</v>
      </c>
      <c r="W218">
        <v>8.6253940000000001E-2</v>
      </c>
      <c r="X218">
        <v>0.99433720000000003</v>
      </c>
      <c r="Y218">
        <v>7.1648459999999997E-2</v>
      </c>
      <c r="Z218">
        <v>-1.401944E-3</v>
      </c>
      <c r="AA218">
        <v>0.99742900000000001</v>
      </c>
      <c r="AB218">
        <v>27</v>
      </c>
      <c r="AC218">
        <v>33.601199999999999</v>
      </c>
      <c r="AD218">
        <v>-1.0617866344219999</v>
      </c>
      <c r="AE218">
        <v>-2.1318999999999702</v>
      </c>
      <c r="AF218">
        <v>2.4288685969437598</v>
      </c>
      <c r="AG218">
        <v>-1.0617866344219999</v>
      </c>
      <c r="AH218">
        <v>33.547500859372697</v>
      </c>
      <c r="AI218">
        <v>91.808090762906403</v>
      </c>
      <c r="AJ218">
        <v>85.858960655120399</v>
      </c>
      <c r="AK218">
        <v>33.652066911675298</v>
      </c>
      <c r="AL218">
        <v>85.051864953707096</v>
      </c>
      <c r="AM218">
        <v>86.427494939983006</v>
      </c>
      <c r="AN218">
        <v>1.0000000282036801</v>
      </c>
    </row>
    <row r="219" spans="1:40" x14ac:dyDescent="0.25">
      <c r="A219" t="str">
        <f>"20190312151225686"</f>
        <v>20190312151225686</v>
      </c>
      <c r="B219" t="str">
        <f>"1552374745679860"</f>
        <v>1552374745679860</v>
      </c>
      <c r="C219" t="s">
        <v>40</v>
      </c>
      <c r="D219">
        <v>4.2049050000000001</v>
      </c>
      <c r="E219">
        <v>0.50332349999999904</v>
      </c>
      <c r="F219" t="s">
        <v>42</v>
      </c>
      <c r="G219">
        <v>-397.73450000000003</v>
      </c>
      <c r="H219" s="1">
        <v>-1.71502E-6</v>
      </c>
      <c r="I219">
        <v>366.01569999999998</v>
      </c>
      <c r="J219">
        <v>-431.28969999999998</v>
      </c>
      <c r="K219">
        <v>1.06149</v>
      </c>
      <c r="L219">
        <v>368.15589999999997</v>
      </c>
      <c r="M219">
        <v>0.99983319999999998</v>
      </c>
      <c r="N219">
        <v>0</v>
      </c>
      <c r="O219">
        <v>8.5839109999999996E-3</v>
      </c>
      <c r="P219">
        <v>0.99614080000000005</v>
      </c>
      <c r="Q219">
        <v>6.9542859999999998E-2</v>
      </c>
      <c r="R219">
        <v>-5.3547619999999997E-2</v>
      </c>
      <c r="S219">
        <v>3.0081180000000001</v>
      </c>
      <c r="T219">
        <v>-9.440374E-2</v>
      </c>
      <c r="U219">
        <v>-0.19009400000000001</v>
      </c>
      <c r="V219">
        <v>6.214836E-2</v>
      </c>
      <c r="W219">
        <v>8.5552249999999996E-2</v>
      </c>
      <c r="X219">
        <v>0.99439350000000004</v>
      </c>
      <c r="Y219">
        <v>7.1594160000000004E-2</v>
      </c>
      <c r="Z219">
        <v>-1.39113E-3</v>
      </c>
      <c r="AA219">
        <v>0.99743289999999996</v>
      </c>
      <c r="AB219">
        <v>27</v>
      </c>
      <c r="AC219">
        <v>33.5551999999999</v>
      </c>
      <c r="AD219">
        <v>-1.0614917150200001</v>
      </c>
      <c r="AE219">
        <v>-2.1401999999999899</v>
      </c>
      <c r="AF219">
        <v>2.4257757231106698</v>
      </c>
      <c r="AG219">
        <v>-1.0614917150200001</v>
      </c>
      <c r="AH219">
        <v>33.502199188373702</v>
      </c>
      <c r="AI219">
        <v>91.810030754533102</v>
      </c>
      <c r="AJ219">
        <v>85.858642501772493</v>
      </c>
      <c r="AK219">
        <v>33.606673488718798</v>
      </c>
      <c r="AL219">
        <v>85.092217951185802</v>
      </c>
      <c r="AM219">
        <v>86.423736435622601</v>
      </c>
      <c r="AN219">
        <v>1.0000000194865</v>
      </c>
    </row>
    <row r="220" spans="1:40" x14ac:dyDescent="0.25">
      <c r="A220" t="str">
        <f>"20190312151225707"</f>
        <v>20190312151225707</v>
      </c>
      <c r="B220" t="str">
        <f>"1552374745699380"</f>
        <v>1552374745699380</v>
      </c>
      <c r="C220" t="s">
        <v>40</v>
      </c>
      <c r="D220">
        <v>4.2162129999999998</v>
      </c>
      <c r="E220">
        <v>0.50321590000000005</v>
      </c>
      <c r="F220" t="s">
        <v>42</v>
      </c>
      <c r="G220">
        <v>-398.029</v>
      </c>
      <c r="H220" s="1">
        <v>-1.606522E-6</v>
      </c>
      <c r="I220">
        <v>366.04689999999999</v>
      </c>
      <c r="J220">
        <v>-431.03219999999999</v>
      </c>
      <c r="K220">
        <v>1.0612779999999999</v>
      </c>
      <c r="L220">
        <v>368.15769999999998</v>
      </c>
      <c r="M220">
        <v>0.99983979999999995</v>
      </c>
      <c r="N220">
        <v>0</v>
      </c>
      <c r="O220">
        <v>8.2810330000000001E-3</v>
      </c>
      <c r="P220">
        <v>0.9960833</v>
      </c>
      <c r="Q220">
        <v>6.9812979999999997E-2</v>
      </c>
      <c r="R220">
        <v>-5.4262190000000002E-2</v>
      </c>
      <c r="S220">
        <v>3.0081180000000001</v>
      </c>
      <c r="T220">
        <v>-9.6001740000000002E-2</v>
      </c>
      <c r="U220">
        <v>-0.19073490000000001</v>
      </c>
      <c r="V220">
        <v>6.2560859999999996E-2</v>
      </c>
      <c r="W220">
        <v>8.5572190000000006E-2</v>
      </c>
      <c r="X220">
        <v>0.99436590000000002</v>
      </c>
      <c r="Y220">
        <v>7.1502479999999993E-2</v>
      </c>
      <c r="Z220">
        <v>-1.403538E-3</v>
      </c>
      <c r="AA220">
        <v>0.99743939999999998</v>
      </c>
      <c r="AB220">
        <v>26</v>
      </c>
      <c r="AC220">
        <v>33.0031999999999</v>
      </c>
      <c r="AD220">
        <v>-1.061279606522</v>
      </c>
      <c r="AE220">
        <v>-2.1107999999999798</v>
      </c>
      <c r="AF220">
        <v>2.3816099043232599</v>
      </c>
      <c r="AG220">
        <v>-1.061279606522</v>
      </c>
      <c r="AH220">
        <v>32.9506520022776</v>
      </c>
      <c r="AI220">
        <v>91.839956948521902</v>
      </c>
      <c r="AJ220">
        <v>85.865959897361606</v>
      </c>
      <c r="AK220">
        <v>33.053651046666403</v>
      </c>
      <c r="AL220">
        <v>85.091071182202896</v>
      </c>
      <c r="AM220">
        <v>86.399962104786596</v>
      </c>
      <c r="AN220">
        <v>1.00000000199407</v>
      </c>
    </row>
    <row r="221" spans="1:40" x14ac:dyDescent="0.25">
      <c r="A221" t="str">
        <f>"20190312151225730"</f>
        <v>20190312151225730</v>
      </c>
      <c r="B221" t="str">
        <f>"1552374745719875"</f>
        <v>1552374745719875</v>
      </c>
      <c r="C221" t="s">
        <v>40</v>
      </c>
      <c r="D221">
        <v>4.1926959999999998</v>
      </c>
      <c r="E221">
        <v>0.50312170000000001</v>
      </c>
      <c r="F221" t="s">
        <v>42</v>
      </c>
      <c r="G221">
        <v>-397.69220000000001</v>
      </c>
      <c r="H221" s="1">
        <v>-1.725868E-6</v>
      </c>
      <c r="I221">
        <v>366.02910000000003</v>
      </c>
      <c r="J221">
        <v>-430.76069999999999</v>
      </c>
      <c r="K221">
        <v>1.0610850000000001</v>
      </c>
      <c r="L221">
        <v>368.15960000000001</v>
      </c>
      <c r="M221">
        <v>0.99984609999999996</v>
      </c>
      <c r="N221">
        <v>0</v>
      </c>
      <c r="O221">
        <v>7.9610119999999999E-3</v>
      </c>
      <c r="P221">
        <v>0.99605270000000001</v>
      </c>
      <c r="Q221">
        <v>6.9902069999999997E-2</v>
      </c>
      <c r="R221">
        <v>-5.4702679999999997E-2</v>
      </c>
      <c r="S221">
        <v>3.0080260000000001</v>
      </c>
      <c r="T221">
        <v>-9.5751290000000003E-2</v>
      </c>
      <c r="U221">
        <v>-0.1920471</v>
      </c>
      <c r="V221">
        <v>6.2682009999999996E-2</v>
      </c>
      <c r="W221">
        <v>8.5422070000000003E-2</v>
      </c>
      <c r="X221">
        <v>0.99437120000000001</v>
      </c>
      <c r="Y221">
        <v>7.1618799999999996E-2</v>
      </c>
      <c r="Z221">
        <v>-1.3915729999999999E-3</v>
      </c>
      <c r="AA221">
        <v>0.99743110000000001</v>
      </c>
      <c r="AB221">
        <v>26</v>
      </c>
      <c r="AC221">
        <v>33.068499999999901</v>
      </c>
      <c r="AD221">
        <v>-1.0610867258679999</v>
      </c>
      <c r="AE221">
        <v>-2.1304999999999801</v>
      </c>
      <c r="AF221">
        <v>2.3912714708364402</v>
      </c>
      <c r="AG221">
        <v>-1.0610867258679999</v>
      </c>
      <c r="AH221">
        <v>33.016635076851301</v>
      </c>
      <c r="AI221">
        <v>91.835929280373904</v>
      </c>
      <c r="AJ221">
        <v>85.857513967172196</v>
      </c>
      <c r="AK221">
        <v>33.120118902036197</v>
      </c>
      <c r="AL221">
        <v>85.099704142154593</v>
      </c>
      <c r="AM221">
        <v>86.393028141779595</v>
      </c>
      <c r="AN221">
        <v>1.0000000239050799</v>
      </c>
    </row>
    <row r="222" spans="1:40" x14ac:dyDescent="0.25">
      <c r="A222" t="str">
        <f>"20190312151225753"</f>
        <v>20190312151225753</v>
      </c>
      <c r="B222" t="str">
        <f>"1552374745750132"</f>
        <v>1552374745750132</v>
      </c>
      <c r="C222" t="s">
        <v>40</v>
      </c>
      <c r="D222">
        <v>4.1843170000000001</v>
      </c>
      <c r="E222">
        <v>0.50298710000000002</v>
      </c>
      <c r="F222" t="s">
        <v>42</v>
      </c>
      <c r="G222">
        <v>-397.55399999999997</v>
      </c>
      <c r="H222" s="1">
        <v>-1.771381E-6</v>
      </c>
      <c r="I222">
        <v>366.03480000000002</v>
      </c>
      <c r="J222">
        <v>-430.4939</v>
      </c>
      <c r="K222">
        <v>1.060926</v>
      </c>
      <c r="L222">
        <v>368.16140000000001</v>
      </c>
      <c r="M222">
        <v>0.99985190000000002</v>
      </c>
      <c r="N222">
        <v>0</v>
      </c>
      <c r="O222">
        <v>7.6461050000000003E-3</v>
      </c>
      <c r="P222">
        <v>0.9960407</v>
      </c>
      <c r="Q222">
        <v>6.965826E-2</v>
      </c>
      <c r="R222">
        <v>-5.5233699999999997E-2</v>
      </c>
      <c r="S222">
        <v>3.0080870000000002</v>
      </c>
      <c r="T222">
        <v>-9.6120120000000003E-2</v>
      </c>
      <c r="U222">
        <v>-0.19247439999999999</v>
      </c>
      <c r="V222">
        <v>6.2898780000000001E-2</v>
      </c>
      <c r="W222">
        <v>8.4966910000000007E-2</v>
      </c>
      <c r="X222">
        <v>0.99439650000000002</v>
      </c>
      <c r="Y222">
        <v>7.1444389999999997E-2</v>
      </c>
      <c r="Z222">
        <v>-1.384061E-3</v>
      </c>
      <c r="AA222">
        <v>0.99744359999999999</v>
      </c>
      <c r="AB222">
        <v>26</v>
      </c>
      <c r="AC222">
        <v>32.939899999999902</v>
      </c>
      <c r="AD222">
        <v>-1.0609277713809999</v>
      </c>
      <c r="AE222">
        <v>-2.1265999999999901</v>
      </c>
      <c r="AF222">
        <v>2.3759751982155901</v>
      </c>
      <c r="AG222">
        <v>-1.0609277713809999</v>
      </c>
      <c r="AH222">
        <v>32.888699114663403</v>
      </c>
      <c r="AI222">
        <v>91.842814458854306</v>
      </c>
      <c r="AJ222">
        <v>85.867964825404698</v>
      </c>
      <c r="AK222">
        <v>32.991473979400901</v>
      </c>
      <c r="AL222">
        <v>85.125878008408307</v>
      </c>
      <c r="AM222">
        <v>86.380679278623504</v>
      </c>
      <c r="AN222">
        <v>1.00000001576634</v>
      </c>
    </row>
    <row r="223" spans="1:40" x14ac:dyDescent="0.25">
      <c r="A223" t="str">
        <f>"20190312151225777"</f>
        <v>20190312151225777</v>
      </c>
      <c r="B223" t="str">
        <f>"1552374745769652"</f>
        <v>1552374745769652</v>
      </c>
      <c r="C223" t="s">
        <v>40</v>
      </c>
      <c r="D223">
        <v>4.1434860000000002</v>
      </c>
      <c r="E223">
        <v>0.50288859999999902</v>
      </c>
      <c r="F223" t="s">
        <v>42</v>
      </c>
      <c r="G223">
        <v>-397.66419999999999</v>
      </c>
      <c r="H223" s="1">
        <v>-1.7288639999999999E-6</v>
      </c>
      <c r="I223">
        <v>366.05369999999999</v>
      </c>
      <c r="J223">
        <v>-430.21719999999999</v>
      </c>
      <c r="K223">
        <v>1.0607879999999901</v>
      </c>
      <c r="L223">
        <v>368.16309999999999</v>
      </c>
      <c r="M223">
        <v>0.99985740000000001</v>
      </c>
      <c r="N223">
        <v>0</v>
      </c>
      <c r="O223">
        <v>7.3197239999999997E-3</v>
      </c>
      <c r="P223">
        <v>0.99603019999999998</v>
      </c>
      <c r="Q223">
        <v>6.9506990000000005E-2</v>
      </c>
      <c r="R223">
        <v>-5.5611819999999999E-2</v>
      </c>
      <c r="S223">
        <v>3.008057</v>
      </c>
      <c r="T223">
        <v>-9.7208379999999997E-2</v>
      </c>
      <c r="U223">
        <v>-0.19311519999999999</v>
      </c>
      <c r="V223">
        <v>6.2951199999999999E-2</v>
      </c>
      <c r="W223">
        <v>8.4620070000000006E-2</v>
      </c>
      <c r="X223">
        <v>0.99442269999999999</v>
      </c>
      <c r="Y223">
        <v>7.1330359999999995E-2</v>
      </c>
      <c r="Z223">
        <v>-1.3873500000000001E-3</v>
      </c>
      <c r="AA223">
        <v>0.9974518</v>
      </c>
      <c r="AB223">
        <v>26</v>
      </c>
      <c r="AC223">
        <v>32.552999999999997</v>
      </c>
      <c r="AD223">
        <v>-1.06078972886399</v>
      </c>
      <c r="AE223">
        <v>-2.1093999999999902</v>
      </c>
      <c r="AF223">
        <v>2.3451701670693299</v>
      </c>
      <c r="AG223">
        <v>-1.06078972886399</v>
      </c>
      <c r="AH223">
        <v>32.502316367672599</v>
      </c>
      <c r="AI223">
        <v>91.864475640948299</v>
      </c>
      <c r="AJ223">
        <v>85.873035799727802</v>
      </c>
      <c r="AK223">
        <v>32.604074396088201</v>
      </c>
      <c r="AL223">
        <v>85.145822023982703</v>
      </c>
      <c r="AM223">
        <v>86.377766138675497</v>
      </c>
      <c r="AN223">
        <v>0.999999958051766</v>
      </c>
    </row>
    <row r="224" spans="1:40" x14ac:dyDescent="0.25">
      <c r="A224" t="str">
        <f>"20190312151225799"</f>
        <v>20190312151225799</v>
      </c>
      <c r="B224" t="str">
        <f>"1552374745789172"</f>
        <v>1552374745789172</v>
      </c>
      <c r="C224" t="s">
        <v>40</v>
      </c>
      <c r="D224">
        <v>4.3251629999999999</v>
      </c>
      <c r="E224">
        <v>0.50280550000000002</v>
      </c>
      <c r="F224" t="s">
        <v>42</v>
      </c>
      <c r="G224">
        <v>-397.59519999999998</v>
      </c>
      <c r="H224" s="1">
        <v>-1.750277E-6</v>
      </c>
      <c r="I224">
        <v>366.06139999999999</v>
      </c>
      <c r="J224">
        <v>-429.95190000000002</v>
      </c>
      <c r="K224">
        <v>1.0606799999999901</v>
      </c>
      <c r="L224">
        <v>368.16469999999998</v>
      </c>
      <c r="M224">
        <v>0.99986229999999998</v>
      </c>
      <c r="N224">
        <v>0</v>
      </c>
      <c r="O224">
        <v>7.0066149999999999E-3</v>
      </c>
      <c r="P224">
        <v>0.99596629999999997</v>
      </c>
      <c r="Q224">
        <v>7.0004999999999998E-2</v>
      </c>
      <c r="R224">
        <v>-5.6131720000000003E-2</v>
      </c>
      <c r="S224">
        <v>3.007965</v>
      </c>
      <c r="T224">
        <v>-9.7811460000000003E-2</v>
      </c>
      <c r="U224">
        <v>-0.1937866</v>
      </c>
      <c r="V224">
        <v>6.3158889999999995E-2</v>
      </c>
      <c r="W224">
        <v>8.4950769999999995E-2</v>
      </c>
      <c r="X224">
        <v>0.99438139999999997</v>
      </c>
      <c r="Y224">
        <v>7.1241360000000004E-2</v>
      </c>
      <c r="Z224">
        <v>-1.38437E-3</v>
      </c>
      <c r="AA224">
        <v>0.99745819999999996</v>
      </c>
      <c r="AB224">
        <v>26</v>
      </c>
      <c r="AC224">
        <v>32.356699999999996</v>
      </c>
      <c r="AD224">
        <v>-1.0606817502769901</v>
      </c>
      <c r="AE224">
        <v>-2.10329999999998</v>
      </c>
      <c r="AF224">
        <v>2.32749438199306</v>
      </c>
      <c r="AG224">
        <v>-1.0606817502769901</v>
      </c>
      <c r="AH224">
        <v>32.3065967041465</v>
      </c>
      <c r="AI224">
        <v>91.875586942190196</v>
      </c>
      <c r="AJ224">
        <v>85.879305945042205</v>
      </c>
      <c r="AK224">
        <v>32.4076914709756</v>
      </c>
      <c r="AL224">
        <v>85.126806156586497</v>
      </c>
      <c r="AM224">
        <v>86.365697024061703</v>
      </c>
      <c r="AN224">
        <v>1.00000002368779</v>
      </c>
    </row>
    <row r="225" spans="1:40" x14ac:dyDescent="0.25">
      <c r="A225" t="str">
        <f>"20190312151225822"</f>
        <v>20190312151225822</v>
      </c>
      <c r="B225" t="str">
        <f>"1552374745810644"</f>
        <v>1552374745810644</v>
      </c>
      <c r="C225" t="s">
        <v>40</v>
      </c>
      <c r="D225">
        <v>4.1127200000000004</v>
      </c>
      <c r="E225">
        <v>0.50272410000000001</v>
      </c>
      <c r="F225" t="s">
        <v>42</v>
      </c>
      <c r="G225">
        <v>-396.90449999999998</v>
      </c>
      <c r="H225" s="1">
        <v>-1.9933469999999999E-6</v>
      </c>
      <c r="I225">
        <v>366.03129999999999</v>
      </c>
      <c r="J225">
        <v>-429.68110000000001</v>
      </c>
      <c r="K225">
        <v>1.0605899999999999</v>
      </c>
      <c r="L225">
        <v>368.16629999999998</v>
      </c>
      <c r="M225">
        <v>0.99986660000000005</v>
      </c>
      <c r="N225">
        <v>0</v>
      </c>
      <c r="O225">
        <v>6.6871090000000001E-3</v>
      </c>
      <c r="P225">
        <v>0.99591819999999998</v>
      </c>
      <c r="Q225">
        <v>7.0457469999999994E-2</v>
      </c>
      <c r="R225">
        <v>-5.6414560000000002E-2</v>
      </c>
      <c r="S225">
        <v>3.0079959999999999</v>
      </c>
      <c r="T225">
        <v>-9.6543790000000004E-2</v>
      </c>
      <c r="U225">
        <v>-0.1941833</v>
      </c>
      <c r="V225">
        <v>6.3123399999999996E-2</v>
      </c>
      <c r="W225">
        <v>8.5252460000000002E-2</v>
      </c>
      <c r="X225">
        <v>0.99435779999999996</v>
      </c>
      <c r="Y225">
        <v>7.1054279999999997E-2</v>
      </c>
      <c r="Z225">
        <v>-1.3531750000000001E-3</v>
      </c>
      <c r="AA225">
        <v>0.99747149999999996</v>
      </c>
      <c r="AB225">
        <v>26</v>
      </c>
      <c r="AC225">
        <v>32.776600000000002</v>
      </c>
      <c r="AD225">
        <v>-1.0605919933469901</v>
      </c>
      <c r="AE225">
        <v>-2.13499999999999</v>
      </c>
      <c r="AF225">
        <v>2.3517053322305799</v>
      </c>
      <c r="AG225">
        <v>-1.0605919933469901</v>
      </c>
      <c r="AH225">
        <v>32.727465795195599</v>
      </c>
      <c r="AI225">
        <v>91.851352298006304</v>
      </c>
      <c r="AJ225">
        <v>85.889947796315298</v>
      </c>
      <c r="AK225">
        <v>32.828987049887601</v>
      </c>
      <c r="AL225">
        <v>85.109457492477205</v>
      </c>
      <c r="AM225">
        <v>86.367647751794195</v>
      </c>
      <c r="AN225">
        <v>0.99999998999222595</v>
      </c>
    </row>
    <row r="226" spans="1:40" x14ac:dyDescent="0.25">
      <c r="A226" t="str">
        <f>"20190312151225843"</f>
        <v>20190312151225843</v>
      </c>
      <c r="B226" t="str">
        <f>"1552374745839924"</f>
        <v>1552374745839924</v>
      </c>
      <c r="C226" t="s">
        <v>40</v>
      </c>
      <c r="D226">
        <v>4.1091350000000002</v>
      </c>
      <c r="E226">
        <v>0.50260720000000003</v>
      </c>
      <c r="F226" t="s">
        <v>42</v>
      </c>
      <c r="G226">
        <v>-396.2149</v>
      </c>
      <c r="H226" s="1">
        <v>-2.2476170000000001E-6</v>
      </c>
      <c r="I226">
        <v>365.99970000000002</v>
      </c>
      <c r="J226">
        <v>-429.4357</v>
      </c>
      <c r="K226">
        <v>1.0605290000000001</v>
      </c>
      <c r="L226">
        <v>368.16759999999999</v>
      </c>
      <c r="M226">
        <v>0.99987040000000005</v>
      </c>
      <c r="N226">
        <v>0</v>
      </c>
      <c r="O226">
        <v>6.3977460000000002E-3</v>
      </c>
      <c r="P226">
        <v>0.99593960000000004</v>
      </c>
      <c r="Q226">
        <v>7.0242449999999998E-2</v>
      </c>
      <c r="R226">
        <v>-5.6309659999999997E-2</v>
      </c>
      <c r="S226">
        <v>3.0080260000000001</v>
      </c>
      <c r="T226">
        <v>-9.5328570000000001E-2</v>
      </c>
      <c r="U226">
        <v>-0.19473270000000001</v>
      </c>
      <c r="V226">
        <v>6.2729930000000003E-2</v>
      </c>
      <c r="W226">
        <v>8.4917510000000002E-2</v>
      </c>
      <c r="X226">
        <v>0.9944113</v>
      </c>
      <c r="Y226">
        <v>7.0947549999999998E-2</v>
      </c>
      <c r="Z226">
        <v>-1.3252800000000001E-3</v>
      </c>
      <c r="AA226">
        <v>0.99747909999999995</v>
      </c>
      <c r="AB226">
        <v>26</v>
      </c>
      <c r="AC226">
        <v>33.220799999999997</v>
      </c>
      <c r="AD226">
        <v>-1.0605312476169999</v>
      </c>
      <c r="AE226">
        <v>-2.1678999999999702</v>
      </c>
      <c r="AF226">
        <v>2.3780038574371498</v>
      </c>
      <c r="AG226">
        <v>-1.0605312476169999</v>
      </c>
      <c r="AH226">
        <v>33.172585174298298</v>
      </c>
      <c r="AI226">
        <v>91.826445053655803</v>
      </c>
      <c r="AJ226">
        <v>85.899719242544194</v>
      </c>
      <c r="AK226">
        <v>33.274615490178597</v>
      </c>
      <c r="AL226">
        <v>85.128718270528196</v>
      </c>
      <c r="AM226">
        <v>86.3904231012895</v>
      </c>
      <c r="AN226">
        <v>0.99999993059504499</v>
      </c>
    </row>
    <row r="227" spans="1:40" x14ac:dyDescent="0.25">
      <c r="A227" t="str">
        <f>"20190312151225863"</f>
        <v>20190312151225863</v>
      </c>
      <c r="B227" t="str">
        <f>"1552374745859444"</f>
        <v>1552374745859444</v>
      </c>
      <c r="C227" t="s">
        <v>40</v>
      </c>
      <c r="D227">
        <v>4.091145</v>
      </c>
      <c r="E227">
        <v>0.50252529999999995</v>
      </c>
      <c r="F227" t="s">
        <v>42</v>
      </c>
      <c r="G227">
        <v>-396.25470000000001</v>
      </c>
      <c r="H227" s="1">
        <v>-2.225197E-6</v>
      </c>
      <c r="I227">
        <v>366.0299</v>
      </c>
      <c r="J227">
        <v>-429.20530000000002</v>
      </c>
      <c r="K227">
        <v>1.0604769999999999</v>
      </c>
      <c r="L227">
        <v>368.1687</v>
      </c>
      <c r="M227">
        <v>0.99987329999999996</v>
      </c>
      <c r="N227">
        <v>0</v>
      </c>
      <c r="O227">
        <v>6.1263450000000001E-3</v>
      </c>
      <c r="P227">
        <v>0.99595639999999996</v>
      </c>
      <c r="Q227">
        <v>6.9831799999999999E-2</v>
      </c>
      <c r="R227">
        <v>-5.651921E-2</v>
      </c>
      <c r="S227">
        <v>3.0080870000000002</v>
      </c>
      <c r="T227">
        <v>-9.6144080000000007E-2</v>
      </c>
      <c r="U227">
        <v>-0.1937866</v>
      </c>
      <c r="V227">
        <v>6.2668779999999993E-2</v>
      </c>
      <c r="W227">
        <v>8.4406750000000003E-2</v>
      </c>
      <c r="X227">
        <v>0.99445870000000003</v>
      </c>
      <c r="Y227">
        <v>7.0362850000000005E-2</v>
      </c>
      <c r="Z227">
        <v>-1.318601E-3</v>
      </c>
      <c r="AA227">
        <v>0.99752059999999998</v>
      </c>
      <c r="AB227">
        <v>26</v>
      </c>
      <c r="AC227">
        <v>32.950600000000001</v>
      </c>
      <c r="AD227">
        <v>-1.0604792251970001</v>
      </c>
      <c r="AE227">
        <v>-2.1387999999999998</v>
      </c>
      <c r="AF227">
        <v>2.33823659394288</v>
      </c>
      <c r="AG227">
        <v>-1.0604792251970001</v>
      </c>
      <c r="AH227">
        <v>32.902939052027897</v>
      </c>
      <c r="AI227">
        <v>91.841393771750205</v>
      </c>
      <c r="AJ227">
        <v>85.935127781187106</v>
      </c>
      <c r="AK227">
        <v>33.002959940250697</v>
      </c>
      <c r="AL227">
        <v>85.158088403100805</v>
      </c>
      <c r="AM227">
        <v>86.394103903963995</v>
      </c>
      <c r="AN227">
        <v>0.99999999071897006</v>
      </c>
    </row>
    <row r="228" spans="1:40" x14ac:dyDescent="0.25">
      <c r="A228" t="str">
        <f>"20190312151225887"</f>
        <v>20190312151225887</v>
      </c>
      <c r="B228" t="str">
        <f>"1552374745879940"</f>
        <v>1552374745879940</v>
      </c>
      <c r="C228" t="s">
        <v>40</v>
      </c>
      <c r="D228">
        <v>4.3314890000000004</v>
      </c>
      <c r="E228">
        <v>0.50243700000000002</v>
      </c>
      <c r="F228" t="s">
        <v>42</v>
      </c>
      <c r="G228">
        <v>-396.49130000000002</v>
      </c>
      <c r="H228" s="1">
        <v>-2.1258270000000002E-6</v>
      </c>
      <c r="I228">
        <v>366.06180000000001</v>
      </c>
      <c r="J228">
        <v>-428.92610000000002</v>
      </c>
      <c r="K228">
        <v>1.060419</v>
      </c>
      <c r="L228">
        <v>368.17009999999999</v>
      </c>
      <c r="M228">
        <v>0.99987700000000002</v>
      </c>
      <c r="N228">
        <v>0</v>
      </c>
      <c r="O228">
        <v>5.7984389999999999E-3</v>
      </c>
      <c r="P228">
        <v>0.99591580000000002</v>
      </c>
      <c r="Q228">
        <v>6.9854410000000006E-2</v>
      </c>
      <c r="R228">
        <v>-5.720285E-2</v>
      </c>
      <c r="S228">
        <v>3.008057</v>
      </c>
      <c r="T228">
        <v>-9.7511050000000002E-2</v>
      </c>
      <c r="U228">
        <v>-0.1937256</v>
      </c>
      <c r="V228">
        <v>6.3025390000000001E-2</v>
      </c>
      <c r="W228">
        <v>8.432075E-2</v>
      </c>
      <c r="X228">
        <v>0.99444350000000004</v>
      </c>
      <c r="Y228">
        <v>7.0015419999999995E-2</v>
      </c>
      <c r="Z228">
        <v>-1.321111E-3</v>
      </c>
      <c r="AA228">
        <v>0.99754509999999996</v>
      </c>
      <c r="AB228">
        <v>26</v>
      </c>
      <c r="AC228">
        <v>32.434800000000003</v>
      </c>
      <c r="AD228">
        <v>-1.060421125827</v>
      </c>
      <c r="AE228">
        <v>-2.1082999999999799</v>
      </c>
      <c r="AF228">
        <v>2.2939140989965101</v>
      </c>
      <c r="AG228">
        <v>-1.060421125827</v>
      </c>
      <c r="AH228">
        <v>32.387555291133303</v>
      </c>
      <c r="AI228">
        <v>91.870604192658107</v>
      </c>
      <c r="AJ228">
        <v>85.948675955965996</v>
      </c>
      <c r="AK228">
        <v>32.486001178875398</v>
      </c>
      <c r="AL228">
        <v>85.163033667820102</v>
      </c>
      <c r="AM228">
        <v>86.373584255945403</v>
      </c>
      <c r="AN228">
        <v>1.0000000316787301</v>
      </c>
    </row>
    <row r="229" spans="1:40" x14ac:dyDescent="0.25">
      <c r="A229" t="str">
        <f>"20190312151225909"</f>
        <v>20190312151225909</v>
      </c>
      <c r="B229" t="str">
        <f>"1552374745899460"</f>
        <v>1552374745899460</v>
      </c>
      <c r="C229" t="s">
        <v>40</v>
      </c>
      <c r="D229">
        <v>4.0618309999999997</v>
      </c>
      <c r="E229">
        <v>0.50234909999999999</v>
      </c>
      <c r="F229" t="s">
        <v>42</v>
      </c>
      <c r="G229">
        <v>-396.22620000000001</v>
      </c>
      <c r="H229" s="1">
        <v>-2.2330820000000002E-6</v>
      </c>
      <c r="I229">
        <v>366.05439999999999</v>
      </c>
      <c r="J229">
        <v>-428.66329999999999</v>
      </c>
      <c r="K229">
        <v>1.0603860000000001</v>
      </c>
      <c r="L229">
        <v>368.1712</v>
      </c>
      <c r="M229">
        <v>0.99988010000000005</v>
      </c>
      <c r="N229">
        <v>0</v>
      </c>
      <c r="O229">
        <v>5.4909609999999999E-3</v>
      </c>
      <c r="P229">
        <v>0.99590780000000001</v>
      </c>
      <c r="Q229">
        <v>6.9850049999999997E-2</v>
      </c>
      <c r="R229">
        <v>-5.7350970000000001E-2</v>
      </c>
      <c r="S229">
        <v>3.007965</v>
      </c>
      <c r="T229">
        <v>-9.7544790000000006E-2</v>
      </c>
      <c r="U229">
        <v>-0.19461059999999999</v>
      </c>
      <c r="V229">
        <v>6.2866989999999998E-2</v>
      </c>
      <c r="W229">
        <v>8.4232849999999998E-2</v>
      </c>
      <c r="X229">
        <v>0.99446089999999998</v>
      </c>
      <c r="Y229">
        <v>7.0003029999999994E-2</v>
      </c>
      <c r="Z229">
        <v>-1.3114349999999999E-3</v>
      </c>
      <c r="AA229">
        <v>0.99754589999999999</v>
      </c>
      <c r="AB229">
        <v>26</v>
      </c>
      <c r="AC229">
        <v>32.437099999999901</v>
      </c>
      <c r="AD229">
        <v>-1.060388233082</v>
      </c>
      <c r="AE229">
        <v>-2.1168000000000098</v>
      </c>
      <c r="AF229">
        <v>2.29245810053696</v>
      </c>
      <c r="AG229">
        <v>-1.060388233082</v>
      </c>
      <c r="AH229">
        <v>32.390518252318799</v>
      </c>
      <c r="AI229">
        <v>91.870381993412494</v>
      </c>
      <c r="AJ229">
        <v>85.951608000991797</v>
      </c>
      <c r="AK229">
        <v>32.4888513185888</v>
      </c>
      <c r="AL229">
        <v>85.168087583949202</v>
      </c>
      <c r="AM229">
        <v>86.382737322048499</v>
      </c>
      <c r="AN229">
        <v>0.99999995653979501</v>
      </c>
    </row>
    <row r="230" spans="1:40" x14ac:dyDescent="0.25">
      <c r="A230" t="str">
        <f>"20190312151225931"</f>
        <v>20190312151225931</v>
      </c>
      <c r="B230" t="str">
        <f>"1552374745919956"</f>
        <v>1552374745919956</v>
      </c>
      <c r="C230" t="s">
        <v>40</v>
      </c>
      <c r="D230">
        <v>4.0333699999999997</v>
      </c>
      <c r="E230">
        <v>0.50227089999999996</v>
      </c>
      <c r="F230" t="s">
        <v>42</v>
      </c>
      <c r="G230">
        <v>-395.9966</v>
      </c>
      <c r="H230" s="1">
        <v>-2.3315850000000001E-6</v>
      </c>
      <c r="I230">
        <v>366.05439999999999</v>
      </c>
      <c r="J230">
        <v>-428.4049</v>
      </c>
      <c r="K230">
        <v>1.060357</v>
      </c>
      <c r="L230">
        <v>368.17230000000001</v>
      </c>
      <c r="M230">
        <v>0.99988259999999995</v>
      </c>
      <c r="N230">
        <v>0</v>
      </c>
      <c r="O230">
        <v>5.1891949999999997E-3</v>
      </c>
      <c r="P230">
        <v>0.99585619999999997</v>
      </c>
      <c r="Q230">
        <v>7.0204879999999997E-2</v>
      </c>
      <c r="R230">
        <v>-5.7811899999999999E-2</v>
      </c>
      <c r="S230">
        <v>3.007965</v>
      </c>
      <c r="T230">
        <v>-9.7640749999999998E-2</v>
      </c>
      <c r="U230">
        <v>-0.1949158</v>
      </c>
      <c r="V230">
        <v>6.3026990000000005E-2</v>
      </c>
      <c r="W230">
        <v>8.4519830000000004E-2</v>
      </c>
      <c r="X230">
        <v>0.99442649999999999</v>
      </c>
      <c r="Y230">
        <v>6.9802920000000004E-2</v>
      </c>
      <c r="Z230">
        <v>-1.2996920000000001E-3</v>
      </c>
      <c r="AA230">
        <v>0.99756</v>
      </c>
      <c r="AB230">
        <v>26</v>
      </c>
      <c r="AC230">
        <v>32.408299999999997</v>
      </c>
      <c r="AD230">
        <v>-1.060359331585</v>
      </c>
      <c r="AE230">
        <v>-2.1179000000000201</v>
      </c>
      <c r="AF230">
        <v>2.2836276813135798</v>
      </c>
      <c r="AG230">
        <v>-1.060359331585</v>
      </c>
      <c r="AH230">
        <v>32.3623750762493</v>
      </c>
      <c r="AI230">
        <v>91.871984180065596</v>
      </c>
      <c r="AJ230">
        <v>85.963655140019199</v>
      </c>
      <c r="AK230">
        <v>32.460170022271598</v>
      </c>
      <c r="AL230">
        <v>85.151586369122995</v>
      </c>
      <c r="AM230">
        <v>86.373430608566693</v>
      </c>
      <c r="AN230">
        <v>1.0000000335169601</v>
      </c>
    </row>
    <row r="231" spans="1:40" x14ac:dyDescent="0.25">
      <c r="A231" t="str">
        <f>"20190312151225964"</f>
        <v>20190312151225964</v>
      </c>
      <c r="B231" t="str">
        <f>"1552374745959972"</f>
        <v>1552374745959972</v>
      </c>
      <c r="C231" t="s">
        <v>40</v>
      </c>
      <c r="D231">
        <v>4.0096080000000001</v>
      </c>
      <c r="E231">
        <v>0.50211519999999998</v>
      </c>
      <c r="F231" t="s">
        <v>42</v>
      </c>
      <c r="G231">
        <v>-395.42450000000002</v>
      </c>
      <c r="H231" s="1">
        <v>-2.5820960000000001E-6</v>
      </c>
      <c r="I231">
        <v>366.02569999999997</v>
      </c>
      <c r="J231">
        <v>-428.01949999999999</v>
      </c>
      <c r="K231">
        <v>1.0603199999999999</v>
      </c>
      <c r="L231">
        <v>368.17380000000003</v>
      </c>
      <c r="M231">
        <v>0.99988589999999999</v>
      </c>
      <c r="N231">
        <v>0</v>
      </c>
      <c r="O231">
        <v>4.7397960000000001E-3</v>
      </c>
      <c r="P231">
        <v>0.99585429999999997</v>
      </c>
      <c r="Q231">
        <v>7.0151549999999993E-2</v>
      </c>
      <c r="R231">
        <v>-5.790874E-2</v>
      </c>
      <c r="S231">
        <v>3.0079349999999998</v>
      </c>
      <c r="T231">
        <v>-9.6708299999999997E-2</v>
      </c>
      <c r="U231">
        <v>-0.19577030000000001</v>
      </c>
      <c r="V231">
        <v>6.2676010000000004E-2</v>
      </c>
      <c r="W231">
        <v>8.439344E-2</v>
      </c>
      <c r="X231">
        <v>0.99445939999999999</v>
      </c>
      <c r="Y231">
        <v>6.9638469999999994E-2</v>
      </c>
      <c r="Z231">
        <v>-1.2702150000000001E-3</v>
      </c>
      <c r="AA231">
        <v>0.99757150000000006</v>
      </c>
      <c r="AB231">
        <v>26</v>
      </c>
      <c r="AC231">
        <v>32.594999999999899</v>
      </c>
      <c r="AD231">
        <v>-1.0603225820960001</v>
      </c>
      <c r="AE231">
        <v>-2.1481000000000501</v>
      </c>
      <c r="AF231">
        <v>2.30016186933155</v>
      </c>
      <c r="AG231">
        <v>-1.0603225820960001</v>
      </c>
      <c r="AH231">
        <v>32.550155065862903</v>
      </c>
      <c r="AI231">
        <v>91.8611147856749</v>
      </c>
      <c r="AJ231">
        <v>85.957903875216303</v>
      </c>
      <c r="AK231">
        <v>32.648547033749402</v>
      </c>
      <c r="AL231">
        <v>85.158853866274498</v>
      </c>
      <c r="AM231">
        <v>86.393691526899005</v>
      </c>
      <c r="AN231">
        <v>1.00000001659645</v>
      </c>
    </row>
    <row r="232" spans="1:40" x14ac:dyDescent="0.25">
      <c r="A232" t="str">
        <f>"20190312151225988"</f>
        <v>20190312151225988</v>
      </c>
      <c r="B232" t="str">
        <f>"1552374745979492"</f>
        <v>1552374745979492</v>
      </c>
      <c r="C232" t="s">
        <v>40</v>
      </c>
      <c r="D232">
        <v>4.0114570000000001</v>
      </c>
      <c r="E232">
        <v>0.50202279999999999</v>
      </c>
      <c r="F232" t="s">
        <v>42</v>
      </c>
      <c r="G232">
        <v>-395.20589999999999</v>
      </c>
      <c r="H232" s="1">
        <v>-2.6716189999999999E-6</v>
      </c>
      <c r="I232">
        <v>366.04969999999997</v>
      </c>
      <c r="J232">
        <v>-427.75819999999999</v>
      </c>
      <c r="K232">
        <v>1.0603070000000001</v>
      </c>
      <c r="L232">
        <v>368.1746</v>
      </c>
      <c r="M232">
        <v>0.99988779999999999</v>
      </c>
      <c r="N232">
        <v>0</v>
      </c>
      <c r="O232">
        <v>4.4365139999999999E-3</v>
      </c>
      <c r="P232">
        <v>0.99584419999999996</v>
      </c>
      <c r="Q232">
        <v>7.0152699999999998E-2</v>
      </c>
      <c r="R232">
        <v>-5.8078159999999997E-2</v>
      </c>
      <c r="S232">
        <v>3.0080260000000001</v>
      </c>
      <c r="T232">
        <v>-9.7199560000000004E-2</v>
      </c>
      <c r="U232">
        <v>-0.19470209999999999</v>
      </c>
      <c r="V232">
        <v>6.2543059999999998E-2</v>
      </c>
      <c r="W232">
        <v>8.4363980000000005E-2</v>
      </c>
      <c r="X232">
        <v>0.99447019999999997</v>
      </c>
      <c r="Y232">
        <v>6.8981280000000006E-2</v>
      </c>
      <c r="Z232">
        <v>-1.256247E-3</v>
      </c>
      <c r="AA232">
        <v>0.99761719999999998</v>
      </c>
      <c r="AB232">
        <v>26</v>
      </c>
      <c r="AC232">
        <v>32.552300000000002</v>
      </c>
      <c r="AD232">
        <v>-1.0603096716189999</v>
      </c>
      <c r="AE232">
        <v>-2.1249000000000202</v>
      </c>
      <c r="AF232">
        <v>2.2669176811177798</v>
      </c>
      <c r="AG232">
        <v>-1.0603096716189999</v>
      </c>
      <c r="AH232">
        <v>32.508207648703603</v>
      </c>
      <c r="AI232">
        <v>91.863613104997896</v>
      </c>
      <c r="AJ232">
        <v>86.011010664908</v>
      </c>
      <c r="AK232">
        <v>32.604397508678503</v>
      </c>
      <c r="AL232">
        <v>85.160547503820297</v>
      </c>
      <c r="AM232">
        <v>86.401360178286296</v>
      </c>
      <c r="AN232">
        <v>0.99999994708182005</v>
      </c>
    </row>
    <row r="233" spans="1:40" x14ac:dyDescent="0.25">
      <c r="A233" t="str">
        <f>"20190312151226010"</f>
        <v>20190312151226010</v>
      </c>
      <c r="B233" t="str">
        <f>"1552374745999988"</f>
        <v>1552374745999988</v>
      </c>
      <c r="C233" t="s">
        <v>40</v>
      </c>
      <c r="D233">
        <v>4.0027410000000003</v>
      </c>
      <c r="E233">
        <v>0.5019266</v>
      </c>
      <c r="F233" t="s">
        <v>42</v>
      </c>
      <c r="G233">
        <v>-395.10480000000001</v>
      </c>
      <c r="H233" s="1">
        <v>-2.713302E-6</v>
      </c>
      <c r="I233">
        <v>366.05930000000001</v>
      </c>
      <c r="J233">
        <v>-427.48790000000002</v>
      </c>
      <c r="K233">
        <v>1.060289</v>
      </c>
      <c r="L233">
        <v>368.1755</v>
      </c>
      <c r="M233">
        <v>0.99988940000000004</v>
      </c>
      <c r="N233">
        <v>0</v>
      </c>
      <c r="O233">
        <v>4.1239809999999997E-3</v>
      </c>
      <c r="P233">
        <v>0.99585449999999998</v>
      </c>
      <c r="Q233">
        <v>6.9795830000000003E-2</v>
      </c>
      <c r="R233">
        <v>-5.833348E-2</v>
      </c>
      <c r="S233">
        <v>3.0080260000000001</v>
      </c>
      <c r="T233">
        <v>-9.7675200000000004E-2</v>
      </c>
      <c r="U233">
        <v>-0.19485469999999999</v>
      </c>
      <c r="V233">
        <v>6.2486439999999997E-2</v>
      </c>
      <c r="W233">
        <v>8.3987210000000007E-2</v>
      </c>
      <c r="X233">
        <v>0.99450570000000005</v>
      </c>
      <c r="Y233">
        <v>6.8719769999999999E-2</v>
      </c>
      <c r="Z233">
        <v>-1.2480119999999999E-3</v>
      </c>
      <c r="AA233">
        <v>0.99763520000000006</v>
      </c>
      <c r="AB233">
        <v>26</v>
      </c>
      <c r="AC233">
        <v>32.383099999999999</v>
      </c>
      <c r="AD233">
        <v>-1.060291713302</v>
      </c>
      <c r="AE233">
        <v>-2.1161999999999899</v>
      </c>
      <c r="AF233">
        <v>2.2473439122669898</v>
      </c>
      <c r="AG233">
        <v>-1.060291713302</v>
      </c>
      <c r="AH233">
        <v>32.339574386637203</v>
      </c>
      <c r="AI233">
        <v>91.873323556644394</v>
      </c>
      <c r="AJ233">
        <v>86.024788517736994</v>
      </c>
      <c r="AK233">
        <v>32.434901644465299</v>
      </c>
      <c r="AL233">
        <v>85.182211964604207</v>
      </c>
      <c r="AM233">
        <v>86.404737468974304</v>
      </c>
      <c r="AN233">
        <v>0.99999999697997299</v>
      </c>
    </row>
    <row r="234" spans="1:40" x14ac:dyDescent="0.25">
      <c r="A234" t="str">
        <f>"20190312151226034"</f>
        <v>20190312151226034</v>
      </c>
      <c r="B234" t="str">
        <f>"1552374746030245"</f>
        <v>1552374746030245</v>
      </c>
      <c r="C234" t="s">
        <v>40</v>
      </c>
      <c r="D234">
        <v>4.3060850000000004</v>
      </c>
      <c r="E234">
        <v>0.50179629999999997</v>
      </c>
      <c r="F234" t="s">
        <v>42</v>
      </c>
      <c r="G234">
        <v>-395.37670000000003</v>
      </c>
      <c r="H234" s="1">
        <v>-2.5902659999999999E-6</v>
      </c>
      <c r="I234">
        <v>366.09530000000001</v>
      </c>
      <c r="J234">
        <v>-427.21910000000003</v>
      </c>
      <c r="K234">
        <v>1.0602799999999999</v>
      </c>
      <c r="L234">
        <v>368.17619999999999</v>
      </c>
      <c r="M234">
        <v>0.99989079999999997</v>
      </c>
      <c r="N234">
        <v>0</v>
      </c>
      <c r="O234">
        <v>3.8150749999999998E-3</v>
      </c>
      <c r="P234">
        <v>0.99583829999999995</v>
      </c>
      <c r="Q234">
        <v>6.9805110000000004E-2</v>
      </c>
      <c r="R234">
        <v>-5.8595420000000002E-2</v>
      </c>
      <c r="S234">
        <v>3.0080260000000001</v>
      </c>
      <c r="T234">
        <v>-9.9322919999999995E-2</v>
      </c>
      <c r="U234">
        <v>-0.19485469999999999</v>
      </c>
      <c r="V234">
        <v>6.2440370000000002E-2</v>
      </c>
      <c r="W234">
        <v>8.3984349999999999E-2</v>
      </c>
      <c r="X234">
        <v>0.99450890000000003</v>
      </c>
      <c r="Y234">
        <v>6.8410609999999997E-2</v>
      </c>
      <c r="Z234">
        <v>-1.2537679999999999E-3</v>
      </c>
      <c r="AA234">
        <v>0.99765649999999995</v>
      </c>
      <c r="AB234">
        <v>26</v>
      </c>
      <c r="AC234">
        <v>31.842400000000001</v>
      </c>
      <c r="AD234">
        <v>-1.06028259026599</v>
      </c>
      <c r="AE234">
        <v>-2.0808999999999802</v>
      </c>
      <c r="AF234">
        <v>2.1999495697847702</v>
      </c>
      <c r="AG234">
        <v>-1.06028259026599</v>
      </c>
      <c r="AH234">
        <v>31.799121435876799</v>
      </c>
      <c r="AI234">
        <v>91.905163266387504</v>
      </c>
      <c r="AJ234">
        <v>86.042428324329293</v>
      </c>
      <c r="AK234">
        <v>31.892759387899499</v>
      </c>
      <c r="AL234">
        <v>85.182376723172695</v>
      </c>
      <c r="AM234">
        <v>86.407392768658298</v>
      </c>
      <c r="AN234">
        <v>1.00000006151493</v>
      </c>
    </row>
    <row r="235" spans="1:40" x14ac:dyDescent="0.25">
      <c r="A235" t="str">
        <f>"20190312151226076"</f>
        <v>20190312151226076</v>
      </c>
      <c r="B235" t="str">
        <f>"1552374746069284"</f>
        <v>1552374746069284</v>
      </c>
      <c r="C235" t="s">
        <v>40</v>
      </c>
      <c r="D235">
        <v>3.9243239999999999</v>
      </c>
      <c r="E235">
        <v>0.50164010000000003</v>
      </c>
      <c r="F235" t="s">
        <v>42</v>
      </c>
      <c r="G235">
        <v>-395.27670000000001</v>
      </c>
      <c r="H235" s="1">
        <v>-2.630174E-6</v>
      </c>
      <c r="I235">
        <v>366.11219999999997</v>
      </c>
      <c r="J235">
        <v>-426.73649999999998</v>
      </c>
      <c r="K235">
        <v>1.0602849999999999</v>
      </c>
      <c r="L235">
        <v>368.1773</v>
      </c>
      <c r="M235">
        <v>0.99989269999999997</v>
      </c>
      <c r="N235">
        <v>0</v>
      </c>
      <c r="O235">
        <v>3.2709610000000002E-3</v>
      </c>
      <c r="P235">
        <v>0.99578679999999997</v>
      </c>
      <c r="Q235">
        <v>6.9822179999999998E-2</v>
      </c>
      <c r="R235">
        <v>-5.9444259999999999E-2</v>
      </c>
      <c r="S235">
        <v>3.0080870000000002</v>
      </c>
      <c r="T235">
        <v>-9.9848870000000006E-2</v>
      </c>
      <c r="U235">
        <v>-0.1943665</v>
      </c>
      <c r="V235">
        <v>6.2746120000000002E-2</v>
      </c>
      <c r="W235">
        <v>8.4000969999999994E-2</v>
      </c>
      <c r="X235">
        <v>0.99448820000000004</v>
      </c>
      <c r="Y235">
        <v>6.7705390000000004E-2</v>
      </c>
      <c r="Z235">
        <v>-1.2306559999999999E-3</v>
      </c>
      <c r="AA235">
        <v>0.99770460000000005</v>
      </c>
      <c r="AB235">
        <v>26</v>
      </c>
      <c r="AC235">
        <v>31.459799999999898</v>
      </c>
      <c r="AD235">
        <v>-1.0602876301740001</v>
      </c>
      <c r="AE235">
        <v>-2.0651000000000201</v>
      </c>
      <c r="AF235">
        <v>2.1655539484644701</v>
      </c>
      <c r="AG235">
        <v>-1.0602876301740001</v>
      </c>
      <c r="AH235">
        <v>31.417342649839199</v>
      </c>
      <c r="AI235">
        <v>91.928339957858896</v>
      </c>
      <c r="AJ235">
        <v>86.056918051027395</v>
      </c>
      <c r="AK235">
        <v>31.509732670078499</v>
      </c>
      <c r="AL235">
        <v>85.181420838029197</v>
      </c>
      <c r="AM235">
        <v>86.389772415971507</v>
      </c>
      <c r="AN235">
        <v>1.00000000923761</v>
      </c>
    </row>
    <row r="236" spans="1:40" x14ac:dyDescent="0.25">
      <c r="A236" t="str">
        <f>"20190312151226097"</f>
        <v>20190312151226097</v>
      </c>
      <c r="B236" t="str">
        <f>"1552374746089780"</f>
        <v>1552374746089780</v>
      </c>
      <c r="C236" t="s">
        <v>40</v>
      </c>
      <c r="D236">
        <v>3.9159649999999999</v>
      </c>
      <c r="E236">
        <v>0.50156309999999904</v>
      </c>
      <c r="F236" t="s">
        <v>42</v>
      </c>
      <c r="G236">
        <v>-394.95440000000002</v>
      </c>
      <c r="H236" s="1">
        <v>-2.7685630000000001E-6</v>
      </c>
      <c r="I236">
        <v>366.1114</v>
      </c>
      <c r="J236">
        <v>-426.47699999999998</v>
      </c>
      <c r="K236">
        <v>1.0602849999999999</v>
      </c>
      <c r="L236">
        <v>368.17790000000002</v>
      </c>
      <c r="M236">
        <v>0.99989360000000005</v>
      </c>
      <c r="N236">
        <v>0</v>
      </c>
      <c r="O236">
        <v>2.9865809999999999E-3</v>
      </c>
      <c r="P236">
        <v>0.99571469999999995</v>
      </c>
      <c r="Q236">
        <v>7.0486960000000001E-2</v>
      </c>
      <c r="R236">
        <v>-5.986706E-2</v>
      </c>
      <c r="S236">
        <v>3.008057</v>
      </c>
      <c r="T236">
        <v>-0.100352</v>
      </c>
      <c r="U236">
        <v>-0.19552610000000001</v>
      </c>
      <c r="V236">
        <v>6.2884990000000002E-2</v>
      </c>
      <c r="W236">
        <v>8.4670919999999997E-2</v>
      </c>
      <c r="X236">
        <v>0.99442260000000005</v>
      </c>
      <c r="Y236">
        <v>6.7805009999999999E-2</v>
      </c>
      <c r="Z236">
        <v>-1.2290339999999999E-3</v>
      </c>
      <c r="AA236">
        <v>0.99769779999999997</v>
      </c>
      <c r="AB236">
        <v>26</v>
      </c>
      <c r="AC236">
        <v>31.522599999999901</v>
      </c>
      <c r="AD236">
        <v>-1.0602877685629899</v>
      </c>
      <c r="AE236">
        <v>-2.0665000000000102</v>
      </c>
      <c r="AF236">
        <v>2.1582138952498502</v>
      </c>
      <c r="AG236">
        <v>-1.0602877685629899</v>
      </c>
      <c r="AH236">
        <v>31.480823037896698</v>
      </c>
      <c r="AI236">
        <v>91.924503645493701</v>
      </c>
      <c r="AJ236">
        <v>86.078140533505405</v>
      </c>
      <c r="AK236">
        <v>31.572524709202199</v>
      </c>
      <c r="AL236">
        <v>85.142898229427601</v>
      </c>
      <c r="AM236">
        <v>86.381565395082404</v>
      </c>
      <c r="AN236">
        <v>0.99999999702585296</v>
      </c>
    </row>
    <row r="237" spans="1:40" x14ac:dyDescent="0.25">
      <c r="A237" t="str">
        <f>"20190312151226121"</f>
        <v>20190312151226121</v>
      </c>
      <c r="B237" t="str">
        <f>"1552374746109300"</f>
        <v>1552374746109300</v>
      </c>
      <c r="C237" t="s">
        <v>40</v>
      </c>
      <c r="D237">
        <v>3.9144359999999998</v>
      </c>
      <c r="E237">
        <v>0.50147520000000001</v>
      </c>
      <c r="F237" t="s">
        <v>42</v>
      </c>
      <c r="G237">
        <v>-394.05180000000001</v>
      </c>
      <c r="H237" s="1">
        <v>-3.1651649999999999E-6</v>
      </c>
      <c r="I237">
        <v>366.05829999999997</v>
      </c>
      <c r="J237">
        <v>-426.20960000000002</v>
      </c>
      <c r="K237">
        <v>1.060289</v>
      </c>
      <c r="L237">
        <v>368.17840000000001</v>
      </c>
      <c r="M237">
        <v>0.99989430000000001</v>
      </c>
      <c r="N237">
        <v>0</v>
      </c>
      <c r="O237">
        <v>2.7005929999999998E-3</v>
      </c>
      <c r="P237">
        <v>0.99567269999999997</v>
      </c>
      <c r="Q237">
        <v>7.0852349999999995E-2</v>
      </c>
      <c r="R237">
        <v>-6.0132190000000002E-2</v>
      </c>
      <c r="S237">
        <v>3.008057</v>
      </c>
      <c r="T237">
        <v>-9.8361850000000001E-2</v>
      </c>
      <c r="U237">
        <v>-0.19662479999999999</v>
      </c>
      <c r="V237">
        <v>6.2864450000000002E-2</v>
      </c>
      <c r="W237">
        <v>8.5045309999999999E-2</v>
      </c>
      <c r="X237">
        <v>0.99439200000000005</v>
      </c>
      <c r="Y237">
        <v>6.7884150000000004E-2</v>
      </c>
      <c r="Z237">
        <v>-1.196611E-3</v>
      </c>
      <c r="AA237">
        <v>0.99769249999999998</v>
      </c>
      <c r="AB237">
        <v>26</v>
      </c>
      <c r="AC237">
        <v>32.157800000000002</v>
      </c>
      <c r="AD237">
        <v>-1.0602921651649999</v>
      </c>
      <c r="AE237">
        <v>-2.1201000000000301</v>
      </c>
      <c r="AF237">
        <v>2.2045600058335899</v>
      </c>
      <c r="AG237">
        <v>-1.0602921651649999</v>
      </c>
      <c r="AH237">
        <v>32.117192381078098</v>
      </c>
      <c r="AI237">
        <v>91.886396322020204</v>
      </c>
      <c r="AJ237">
        <v>86.073312880764902</v>
      </c>
      <c r="AK237">
        <v>32.210221215291398</v>
      </c>
      <c r="AL237">
        <v>85.121369852732897</v>
      </c>
      <c r="AM237">
        <v>86.382633122024302</v>
      </c>
      <c r="AN237">
        <v>1.00000004674539</v>
      </c>
    </row>
    <row r="238" spans="1:40" x14ac:dyDescent="0.25">
      <c r="A238" t="str">
        <f>"20190312151226142"</f>
        <v>20190312151226142</v>
      </c>
      <c r="B238" t="str">
        <f>"1552374746139556"</f>
        <v>1552374746139556</v>
      </c>
      <c r="C238" t="s">
        <v>40</v>
      </c>
      <c r="D238">
        <v>3.9149280000000002</v>
      </c>
      <c r="E238">
        <v>0.50135419999999997</v>
      </c>
      <c r="F238" t="s">
        <v>42</v>
      </c>
      <c r="G238">
        <v>-393.52730000000003</v>
      </c>
      <c r="H238" s="1">
        <v>-3.393292E-6</v>
      </c>
      <c r="I238">
        <v>366.041</v>
      </c>
      <c r="J238">
        <v>-425.95920000000001</v>
      </c>
      <c r="K238">
        <v>1.060297</v>
      </c>
      <c r="L238">
        <v>368.17869999999999</v>
      </c>
      <c r="M238">
        <v>0.99989459999999997</v>
      </c>
      <c r="N238">
        <v>0</v>
      </c>
      <c r="O238">
        <v>2.4420729999999999E-3</v>
      </c>
      <c r="P238">
        <v>0.99560119999999996</v>
      </c>
      <c r="Q238">
        <v>7.1402530000000006E-2</v>
      </c>
      <c r="R238">
        <v>-6.0664950000000002E-2</v>
      </c>
      <c r="S238">
        <v>3.008057</v>
      </c>
      <c r="T238">
        <v>-9.7588179999999997E-2</v>
      </c>
      <c r="U238">
        <v>-0.19671630000000001</v>
      </c>
      <c r="V238">
        <v>6.3138150000000004E-2</v>
      </c>
      <c r="W238">
        <v>8.5608299999999998E-2</v>
      </c>
      <c r="X238">
        <v>0.9943263</v>
      </c>
      <c r="Y238">
        <v>6.7657289999999995E-2</v>
      </c>
      <c r="Z238">
        <v>-1.1751509999999999E-3</v>
      </c>
      <c r="AA238">
        <v>0.99770789999999998</v>
      </c>
      <c r="AB238">
        <v>26</v>
      </c>
      <c r="AC238">
        <v>32.431899999999899</v>
      </c>
      <c r="AD238">
        <v>-1.0603003932920001</v>
      </c>
      <c r="AE238">
        <v>-2.1376999999999899</v>
      </c>
      <c r="AF238">
        <v>2.21454604590014</v>
      </c>
      <c r="AG238">
        <v>-1.0603003932920001</v>
      </c>
      <c r="AH238">
        <v>32.392110074421304</v>
      </c>
      <c r="AI238">
        <v>91.870447015896502</v>
      </c>
      <c r="AJ238">
        <v>86.0889547574007</v>
      </c>
      <c r="AK238">
        <v>32.485031109525799</v>
      </c>
      <c r="AL238">
        <v>85.088994596449993</v>
      </c>
      <c r="AM238">
        <v>86.366686465306003</v>
      </c>
      <c r="AN238">
        <v>0.99999999894300096</v>
      </c>
    </row>
    <row r="239" spans="1:40" x14ac:dyDescent="0.25">
      <c r="A239" t="str">
        <f>"20190312151226164"</f>
        <v>20190312151226164</v>
      </c>
      <c r="B239" t="str">
        <f>"1552374746160052"</f>
        <v>1552374746160052</v>
      </c>
      <c r="C239" t="s">
        <v>40</v>
      </c>
      <c r="D239">
        <v>3.925389</v>
      </c>
      <c r="E239">
        <v>0.50127639999999996</v>
      </c>
      <c r="F239" t="s">
        <v>42</v>
      </c>
      <c r="G239">
        <v>-392.92610000000002</v>
      </c>
      <c r="H239" s="1">
        <v>-3.6563879999999999E-6</v>
      </c>
      <c r="I239">
        <v>366.01179999999999</v>
      </c>
      <c r="J239">
        <v>-425.70080000000002</v>
      </c>
      <c r="K239">
        <v>1.0603070000000001</v>
      </c>
      <c r="L239">
        <v>368.17910000000001</v>
      </c>
      <c r="M239">
        <v>0.99989510000000004</v>
      </c>
      <c r="N239">
        <v>0</v>
      </c>
      <c r="O239">
        <v>2.1849809999999999E-3</v>
      </c>
      <c r="P239">
        <v>0.9956159</v>
      </c>
      <c r="Q239">
        <v>7.1242559999999996E-2</v>
      </c>
      <c r="R239">
        <v>-6.0610810000000001E-2</v>
      </c>
      <c r="S239">
        <v>3.0081479999999998</v>
      </c>
      <c r="T239">
        <v>-9.6555589999999997E-2</v>
      </c>
      <c r="U239">
        <v>-0.19732669999999999</v>
      </c>
      <c r="V239">
        <v>6.2826409999999999E-2</v>
      </c>
      <c r="W239">
        <v>8.5466249999999994E-2</v>
      </c>
      <c r="X239">
        <v>0.99435819999999997</v>
      </c>
      <c r="Y239">
        <v>6.760128E-2</v>
      </c>
      <c r="Z239">
        <v>-1.15354E-3</v>
      </c>
      <c r="AA239">
        <v>0.99771180000000004</v>
      </c>
      <c r="AB239">
        <v>26</v>
      </c>
      <c r="AC239">
        <v>32.774700000000003</v>
      </c>
      <c r="AD239">
        <v>-1.06031065638799</v>
      </c>
      <c r="AE239">
        <v>-2.1673000000000102</v>
      </c>
      <c r="AF239">
        <v>2.2365836037442799</v>
      </c>
      <c r="AG239">
        <v>-1.06031065638799</v>
      </c>
      <c r="AH239">
        <v>32.735773025156597</v>
      </c>
      <c r="AI239">
        <v>91.850848136987395</v>
      </c>
      <c r="AJ239">
        <v>86.0914940437479</v>
      </c>
      <c r="AK239">
        <v>32.829215654035302</v>
      </c>
      <c r="AL239">
        <v>85.097163080657495</v>
      </c>
      <c r="AM239">
        <v>86.384693664824994</v>
      </c>
      <c r="AN239">
        <v>0.99999993379489305</v>
      </c>
    </row>
    <row r="240" spans="1:40" x14ac:dyDescent="0.25">
      <c r="A240" t="str">
        <f>"20190312151226187"</f>
        <v>20190312151226187</v>
      </c>
      <c r="B240" t="str">
        <f>"1552374746179573"</f>
        <v>1552374746179573</v>
      </c>
      <c r="C240" t="s">
        <v>40</v>
      </c>
      <c r="D240">
        <v>3.8944930000000002</v>
      </c>
      <c r="E240">
        <v>0.50120329999999902</v>
      </c>
      <c r="F240" t="s">
        <v>42</v>
      </c>
      <c r="G240">
        <v>-392.93099999999998</v>
      </c>
      <c r="H240" s="1">
        <v>-3.6495989999999999E-6</v>
      </c>
      <c r="I240">
        <v>366.03809999999999</v>
      </c>
      <c r="J240">
        <v>-425.45170000000002</v>
      </c>
      <c r="K240">
        <v>1.060308</v>
      </c>
      <c r="L240">
        <v>368.17939999999999</v>
      </c>
      <c r="M240">
        <v>0.99989530000000004</v>
      </c>
      <c r="N240">
        <v>0</v>
      </c>
      <c r="O240">
        <v>1.946171E-3</v>
      </c>
      <c r="P240">
        <v>0.99561330000000003</v>
      </c>
      <c r="Q240">
        <v>7.1386489999999997E-2</v>
      </c>
      <c r="R240">
        <v>-6.0483120000000001E-2</v>
      </c>
      <c r="S240">
        <v>3.0082089999999999</v>
      </c>
      <c r="T240">
        <v>-9.7334379999999998E-2</v>
      </c>
      <c r="U240">
        <v>-0.19653319999999999</v>
      </c>
      <c r="V240">
        <v>6.2459630000000002E-2</v>
      </c>
      <c r="W240">
        <v>8.5626830000000001E-2</v>
      </c>
      <c r="X240">
        <v>0.99436749999999996</v>
      </c>
      <c r="Y240">
        <v>6.7099439999999996E-2</v>
      </c>
      <c r="Z240">
        <v>-1.147E-3</v>
      </c>
      <c r="AA240">
        <v>0.99774560000000001</v>
      </c>
      <c r="AB240">
        <v>26</v>
      </c>
      <c r="AC240">
        <v>32.520699999999998</v>
      </c>
      <c r="AD240">
        <v>-1.0603116495989999</v>
      </c>
      <c r="AE240">
        <v>-2.1413000000000002</v>
      </c>
      <c r="AF240">
        <v>2.2022623199440599</v>
      </c>
      <c r="AG240">
        <v>-1.0603116495989999</v>
      </c>
      <c r="AH240">
        <v>32.482090113484198</v>
      </c>
      <c r="AI240">
        <v>91.865360757731494</v>
      </c>
      <c r="AJ240">
        <v>86.121323231695698</v>
      </c>
      <c r="AK240">
        <v>32.5739220583066</v>
      </c>
      <c r="AL240">
        <v>85.087928713554703</v>
      </c>
      <c r="AM240">
        <v>86.405777827376198</v>
      </c>
      <c r="AN240">
        <v>0.99999994222591604</v>
      </c>
    </row>
    <row r="241" spans="1:40" x14ac:dyDescent="0.25">
      <c r="A241" t="str">
        <f>"20190312151226211"</f>
        <v>20190312151226211</v>
      </c>
      <c r="B241" t="str">
        <f>"1552374746200068"</f>
        <v>1552374746200068</v>
      </c>
      <c r="C241" t="s">
        <v>40</v>
      </c>
      <c r="D241">
        <v>3.8851830000000001</v>
      </c>
      <c r="E241">
        <v>0.50112559999999995</v>
      </c>
      <c r="F241" t="s">
        <v>42</v>
      </c>
      <c r="G241">
        <v>-392.6558</v>
      </c>
      <c r="H241" s="1">
        <v>-3.7662419999999999E-6</v>
      </c>
      <c r="I241">
        <v>366.04599999999999</v>
      </c>
      <c r="J241">
        <v>-425.1728</v>
      </c>
      <c r="K241">
        <v>1.060311</v>
      </c>
      <c r="L241">
        <v>368.17959999999999</v>
      </c>
      <c r="M241">
        <v>0.9998956</v>
      </c>
      <c r="N241">
        <v>0</v>
      </c>
      <c r="O241">
        <v>1.6856519999999999E-3</v>
      </c>
      <c r="P241">
        <v>0.99557620000000002</v>
      </c>
      <c r="Q241">
        <v>7.1533700000000006E-2</v>
      </c>
      <c r="R241">
        <v>-6.0920620000000002E-2</v>
      </c>
      <c r="S241">
        <v>3.00827</v>
      </c>
      <c r="T241">
        <v>-9.7259040000000005E-2</v>
      </c>
      <c r="U241">
        <v>-0.19567870000000001</v>
      </c>
      <c r="V241">
        <v>6.2636549999999999E-2</v>
      </c>
      <c r="W241">
        <v>8.5790259999999993E-2</v>
      </c>
      <c r="X241">
        <v>0.99434230000000001</v>
      </c>
      <c r="Y241">
        <v>6.6556420000000005E-2</v>
      </c>
      <c r="Z241">
        <v>-1.1289200000000001E-3</v>
      </c>
      <c r="AA241">
        <v>0.99778210000000001</v>
      </c>
      <c r="AB241">
        <v>26</v>
      </c>
      <c r="AC241">
        <v>32.517000000000003</v>
      </c>
      <c r="AD241">
        <v>-1.0603147662420001</v>
      </c>
      <c r="AE241">
        <v>-2.1335999999999999</v>
      </c>
      <c r="AF241">
        <v>2.1861004814528</v>
      </c>
      <c r="AG241">
        <v>-1.0603147662420001</v>
      </c>
      <c r="AH241">
        <v>32.478970637503501</v>
      </c>
      <c r="AI241">
        <v>91.865606837909198</v>
      </c>
      <c r="AJ241">
        <v>86.149333219664101</v>
      </c>
      <c r="AK241">
        <v>32.569722694403403</v>
      </c>
      <c r="AL241">
        <v>85.078530356913404</v>
      </c>
      <c r="AM241">
        <v>86.395532709534606</v>
      </c>
      <c r="AN241">
        <v>0.99999995783802897</v>
      </c>
    </row>
    <row r="242" spans="1:40" x14ac:dyDescent="0.25">
      <c r="A242" t="str">
        <f>"20190312151226234"</f>
        <v>20190312151226234</v>
      </c>
      <c r="B242" t="str">
        <f>"1552374746229348"</f>
        <v>1552374746229348</v>
      </c>
      <c r="C242" t="s">
        <v>40</v>
      </c>
      <c r="D242">
        <v>3.89086</v>
      </c>
      <c r="E242">
        <v>0.50100730000000004</v>
      </c>
      <c r="F242" t="s">
        <v>42</v>
      </c>
      <c r="G242">
        <v>-392.34550000000002</v>
      </c>
      <c r="H242" s="1">
        <v>-3.9010439999999999E-6</v>
      </c>
      <c r="I242">
        <v>366.03660000000002</v>
      </c>
      <c r="J242">
        <v>-424.92230000000001</v>
      </c>
      <c r="K242">
        <v>1.0603129999999901</v>
      </c>
      <c r="L242">
        <v>368.17970000000003</v>
      </c>
      <c r="M242">
        <v>0.9998958</v>
      </c>
      <c r="N242">
        <v>0</v>
      </c>
      <c r="O242">
        <v>1.4573450000000001E-3</v>
      </c>
      <c r="P242">
        <v>0.99554529999999997</v>
      </c>
      <c r="Q242">
        <v>7.1413870000000004E-2</v>
      </c>
      <c r="R242">
        <v>-6.1563010000000001E-2</v>
      </c>
      <c r="S242">
        <v>3.0083310000000001</v>
      </c>
      <c r="T242">
        <v>-9.7168210000000005E-2</v>
      </c>
      <c r="U242">
        <v>-0.19638059999999999</v>
      </c>
      <c r="V242">
        <v>6.3050599999999998E-2</v>
      </c>
      <c r="W242">
        <v>8.5683369999999995E-2</v>
      </c>
      <c r="X242">
        <v>0.99432540000000003</v>
      </c>
      <c r="Y242">
        <v>6.6559279999999998E-2</v>
      </c>
      <c r="Z242">
        <v>-1.120516E-3</v>
      </c>
      <c r="AA242">
        <v>0.9977819</v>
      </c>
      <c r="AB242">
        <v>26</v>
      </c>
      <c r="AC242">
        <v>32.576799999999899</v>
      </c>
      <c r="AD242">
        <v>-1.0603169010439999</v>
      </c>
      <c r="AE242">
        <v>-2.1431</v>
      </c>
      <c r="AF242">
        <v>2.1882700227486098</v>
      </c>
      <c r="AG242">
        <v>-1.0603169010439999</v>
      </c>
      <c r="AH242">
        <v>32.539318662478202</v>
      </c>
      <c r="AI242">
        <v>91.862160281764204</v>
      </c>
      <c r="AJ242">
        <v>86.152650329821398</v>
      </c>
      <c r="AK242">
        <v>32.630048370197102</v>
      </c>
      <c r="AL242">
        <v>85.084677592241903</v>
      </c>
      <c r="AM242">
        <v>86.371707827044602</v>
      </c>
      <c r="AN242">
        <v>1.0000000095700301</v>
      </c>
    </row>
    <row r="243" spans="1:40" x14ac:dyDescent="0.25">
      <c r="A243" t="str">
        <f>"20190312151226254"</f>
        <v>20190312151226254</v>
      </c>
      <c r="B243" t="str">
        <f>"1552374746249844"</f>
        <v>1552374746249844</v>
      </c>
      <c r="C243" t="s">
        <v>40</v>
      </c>
      <c r="D243">
        <v>3.9208419999999999</v>
      </c>
      <c r="E243">
        <v>0.50092890000000001</v>
      </c>
      <c r="F243" t="s">
        <v>42</v>
      </c>
      <c r="G243">
        <v>-392.43869999999998</v>
      </c>
      <c r="H243" s="1">
        <v>-3.8593679999999998E-6</v>
      </c>
      <c r="I243">
        <v>366.0462</v>
      </c>
      <c r="J243">
        <v>-424.6764</v>
      </c>
      <c r="K243">
        <v>1.0603199999999999</v>
      </c>
      <c r="L243">
        <v>368.1798</v>
      </c>
      <c r="M243">
        <v>0.9998958</v>
      </c>
      <c r="N243">
        <v>0</v>
      </c>
      <c r="O243">
        <v>1.2368240000000001E-3</v>
      </c>
      <c r="P243">
        <v>0.9955543</v>
      </c>
      <c r="Q243">
        <v>7.1183200000000002E-2</v>
      </c>
      <c r="R243">
        <v>-6.1679650000000003E-2</v>
      </c>
      <c r="S243">
        <v>3.0082399999999998</v>
      </c>
      <c r="T243">
        <v>-9.8193409999999995E-2</v>
      </c>
      <c r="U243">
        <v>-0.19757079999999999</v>
      </c>
      <c r="V243">
        <v>6.2947310000000006E-2</v>
      </c>
      <c r="W243">
        <v>8.5465769999999996E-2</v>
      </c>
      <c r="X243">
        <v>0.99435070000000003</v>
      </c>
      <c r="Y243">
        <v>6.6733550000000003E-2</v>
      </c>
      <c r="Z243">
        <v>-1.128003E-3</v>
      </c>
      <c r="AA243">
        <v>0.99777020000000005</v>
      </c>
      <c r="AB243">
        <v>26</v>
      </c>
      <c r="AC243">
        <v>32.237699999999997</v>
      </c>
      <c r="AD243">
        <v>-1.060323859368</v>
      </c>
      <c r="AE243">
        <v>-2.1335999999999999</v>
      </c>
      <c r="AF243">
        <v>2.1711363505602699</v>
      </c>
      <c r="AG243">
        <v>-1.060323859368</v>
      </c>
      <c r="AH243">
        <v>32.200353592429998</v>
      </c>
      <c r="AI243">
        <v>91.881738934501598</v>
      </c>
      <c r="AJ243">
        <v>86.142621577365006</v>
      </c>
      <c r="AK243">
        <v>32.2908793812895</v>
      </c>
      <c r="AL243">
        <v>85.097191196438303</v>
      </c>
      <c r="AM243">
        <v>86.377727806608405</v>
      </c>
      <c r="AN243">
        <v>1.0000000381342</v>
      </c>
    </row>
    <row r="244" spans="1:40" x14ac:dyDescent="0.25">
      <c r="A244" t="str">
        <f>"20190312151226277"</f>
        <v>20190312151226277</v>
      </c>
      <c r="B244" t="str">
        <f>"1552374746269364"</f>
        <v>1552374746269364</v>
      </c>
      <c r="C244" t="s">
        <v>40</v>
      </c>
      <c r="D244">
        <v>3.8899089999999998</v>
      </c>
      <c r="E244">
        <v>0.5008454</v>
      </c>
      <c r="F244" t="s">
        <v>42</v>
      </c>
      <c r="G244">
        <v>-392.5643</v>
      </c>
      <c r="H244" s="1">
        <v>-3.800428E-6</v>
      </c>
      <c r="I244">
        <v>366.07459999999998</v>
      </c>
      <c r="J244">
        <v>-424.42439999999999</v>
      </c>
      <c r="K244">
        <v>1.060319</v>
      </c>
      <c r="L244">
        <v>368.17989999999998</v>
      </c>
      <c r="M244">
        <v>0.99989589999999995</v>
      </c>
      <c r="N244">
        <v>0</v>
      </c>
      <c r="O244">
        <v>1.0124579999999999E-3</v>
      </c>
      <c r="P244">
        <v>0.99553440000000004</v>
      </c>
      <c r="Q244">
        <v>7.1235279999999998E-2</v>
      </c>
      <c r="R244">
        <v>-6.194243E-2</v>
      </c>
      <c r="S244">
        <v>3.00827</v>
      </c>
      <c r="T244">
        <v>-9.9331020000000006E-2</v>
      </c>
      <c r="U244">
        <v>-0.19720460000000001</v>
      </c>
      <c r="V244">
        <v>6.2986520000000004E-2</v>
      </c>
      <c r="W244">
        <v>8.5533250000000005E-2</v>
      </c>
      <c r="X244">
        <v>0.99434239999999996</v>
      </c>
      <c r="Y244">
        <v>6.6387520000000005E-2</v>
      </c>
      <c r="Z244">
        <v>-1.127952E-3</v>
      </c>
      <c r="AA244">
        <v>0.99779329999999999</v>
      </c>
      <c r="AB244">
        <v>25</v>
      </c>
      <c r="AC244">
        <v>31.8600999999999</v>
      </c>
      <c r="AD244">
        <v>-1.0603228004279901</v>
      </c>
      <c r="AE244">
        <v>-2.1053000000000002</v>
      </c>
      <c r="AF244">
        <v>2.1352046101848199</v>
      </c>
      <c r="AG244">
        <v>-1.0603228004279901</v>
      </c>
      <c r="AH244">
        <v>31.822858239811801</v>
      </c>
      <c r="AI244">
        <v>91.904084583310905</v>
      </c>
      <c r="AJ244">
        <v>86.161403255242504</v>
      </c>
      <c r="AK244">
        <v>31.912030485690199</v>
      </c>
      <c r="AL244">
        <v>85.093310595719402</v>
      </c>
      <c r="AM244">
        <v>86.375447325160295</v>
      </c>
      <c r="AN244">
        <v>1.0000000234975099</v>
      </c>
    </row>
    <row r="245" spans="1:40" x14ac:dyDescent="0.25">
      <c r="A245" t="str">
        <f>"20190312151226299"</f>
        <v>20190312151226299</v>
      </c>
      <c r="B245" t="str">
        <f>"1552374746289860"</f>
        <v>1552374746289860</v>
      </c>
      <c r="C245" t="s">
        <v>40</v>
      </c>
      <c r="D245">
        <v>3.926428</v>
      </c>
      <c r="E245">
        <v>0.50077490000000002</v>
      </c>
      <c r="F245" t="s">
        <v>42</v>
      </c>
      <c r="G245">
        <v>-392.3981</v>
      </c>
      <c r="H245" s="1">
        <v>-3.8704969999999997E-6</v>
      </c>
      <c r="I245">
        <v>366.08170000000001</v>
      </c>
      <c r="J245">
        <v>-424.16419999999999</v>
      </c>
      <c r="K245">
        <v>1.0603209999999901</v>
      </c>
      <c r="L245">
        <v>368.1798</v>
      </c>
      <c r="M245">
        <v>0.9998958</v>
      </c>
      <c r="N245">
        <v>0</v>
      </c>
      <c r="O245">
        <v>7.8168580000000001E-4</v>
      </c>
      <c r="P245">
        <v>0.99551299999999998</v>
      </c>
      <c r="Q245">
        <v>7.126188E-2</v>
      </c>
      <c r="R245">
        <v>-6.2258389999999997E-2</v>
      </c>
      <c r="S245">
        <v>3.0083009999999999</v>
      </c>
      <c r="T245">
        <v>-9.959817E-2</v>
      </c>
      <c r="U245">
        <v>-0.19708249999999999</v>
      </c>
      <c r="V245">
        <v>6.307227E-2</v>
      </c>
      <c r="W245">
        <v>8.5577909999999993E-2</v>
      </c>
      <c r="X245">
        <v>0.99433309999999997</v>
      </c>
      <c r="Y245">
        <v>6.6116330000000001E-2</v>
      </c>
      <c r="Z245">
        <v>-1.11886E-3</v>
      </c>
      <c r="AA245">
        <v>0.99781129999999996</v>
      </c>
      <c r="AB245">
        <v>25</v>
      </c>
      <c r="AC245">
        <v>31.766099999999899</v>
      </c>
      <c r="AD245">
        <v>-1.0603248704970001</v>
      </c>
      <c r="AE245">
        <v>-2.0980999999999801</v>
      </c>
      <c r="AF245">
        <v>2.1205806304892798</v>
      </c>
      <c r="AG245">
        <v>-1.0603248704970001</v>
      </c>
      <c r="AH245">
        <v>31.7292519456973</v>
      </c>
      <c r="AI245">
        <v>91.9097349579731</v>
      </c>
      <c r="AJ245">
        <v>86.176402122321207</v>
      </c>
      <c r="AK245">
        <v>31.817708592463699</v>
      </c>
      <c r="AL245">
        <v>85.090742242946803</v>
      </c>
      <c r="AM245">
        <v>86.370492175707</v>
      </c>
      <c r="AN245">
        <v>1.0000000018392601</v>
      </c>
    </row>
    <row r="246" spans="1:40" x14ac:dyDescent="0.25">
      <c r="A246" t="str">
        <f>"20190312151226322"</f>
        <v>20190312151226322</v>
      </c>
      <c r="B246" t="str">
        <f>"1552374746309383"</f>
        <v>1552374746309383</v>
      </c>
      <c r="C246" t="s">
        <v>40</v>
      </c>
      <c r="D246">
        <v>3.9316390000000001</v>
      </c>
      <c r="E246">
        <v>0.5007028</v>
      </c>
      <c r="F246" t="s">
        <v>42</v>
      </c>
      <c r="G246">
        <v>-392.26580000000001</v>
      </c>
      <c r="H246" s="1">
        <v>-3.9265179999999997E-6</v>
      </c>
      <c r="I246">
        <v>366.08580000000001</v>
      </c>
      <c r="J246">
        <v>-423.91559999999998</v>
      </c>
      <c r="K246">
        <v>1.060324</v>
      </c>
      <c r="L246">
        <v>368.17970000000003</v>
      </c>
      <c r="M246">
        <v>0.9998958</v>
      </c>
      <c r="N246">
        <v>0</v>
      </c>
      <c r="O246">
        <v>5.5997709999999995E-4</v>
      </c>
      <c r="P246">
        <v>0.99549900000000002</v>
      </c>
      <c r="Q246">
        <v>7.1091979999999999E-2</v>
      </c>
      <c r="R246">
        <v>-6.2672119999999998E-2</v>
      </c>
      <c r="S246">
        <v>3.0083009999999999</v>
      </c>
      <c r="T246">
        <v>-9.9997639999999999E-2</v>
      </c>
      <c r="U246">
        <v>-0.19747919999999999</v>
      </c>
      <c r="V246">
        <v>6.3265199999999994E-2</v>
      </c>
      <c r="W246">
        <v>8.5424920000000001E-2</v>
      </c>
      <c r="X246">
        <v>0.99433400000000005</v>
      </c>
      <c r="Y246">
        <v>6.6026009999999996E-2</v>
      </c>
      <c r="Z246">
        <v>-1.1144810000000001E-3</v>
      </c>
      <c r="AA246">
        <v>0.99781730000000002</v>
      </c>
      <c r="AB246">
        <v>25</v>
      </c>
      <c r="AC246">
        <v>31.6497999999999</v>
      </c>
      <c r="AD246">
        <v>-1.0603279265179999</v>
      </c>
      <c r="AE246">
        <v>-2.0939000000000099</v>
      </c>
      <c r="AF246">
        <v>2.1092676039643798</v>
      </c>
      <c r="AG246">
        <v>-1.0603279265179999</v>
      </c>
      <c r="AH246">
        <v>31.6132949934502</v>
      </c>
      <c r="AI246">
        <v>91.916754485268299</v>
      </c>
      <c r="AJ246">
        <v>86.1828313864915</v>
      </c>
      <c r="AK246">
        <v>31.701320563657799</v>
      </c>
      <c r="AL246">
        <v>85.099540147530803</v>
      </c>
      <c r="AM246">
        <v>86.359423075047403</v>
      </c>
      <c r="AN246">
        <v>1.00000000302202</v>
      </c>
    </row>
    <row r="247" spans="1:40" x14ac:dyDescent="0.25">
      <c r="A247" t="str">
        <f>"20190312151226343"</f>
        <v>20190312151226343</v>
      </c>
      <c r="B247" t="str">
        <f>"1552374746339637"</f>
        <v>1552374746339637</v>
      </c>
      <c r="C247" t="s">
        <v>40</v>
      </c>
      <c r="D247">
        <v>4.2385739999999998</v>
      </c>
      <c r="E247">
        <v>0.50061279999999997</v>
      </c>
      <c r="F247" t="s">
        <v>42</v>
      </c>
      <c r="G247">
        <v>-392.3141</v>
      </c>
      <c r="H247" s="1">
        <v>-3.9033709999999996E-6</v>
      </c>
      <c r="I247">
        <v>366.0994</v>
      </c>
      <c r="J247">
        <v>-423.6755</v>
      </c>
      <c r="K247">
        <v>1.060324</v>
      </c>
      <c r="L247">
        <v>368.17970000000003</v>
      </c>
      <c r="M247">
        <v>0.9998956</v>
      </c>
      <c r="N247">
        <v>0</v>
      </c>
      <c r="O247">
        <v>3.456674E-4</v>
      </c>
      <c r="P247">
        <v>0.99544270000000001</v>
      </c>
      <c r="Q247">
        <v>7.1172769999999996E-2</v>
      </c>
      <c r="R247">
        <v>-6.346889E-2</v>
      </c>
      <c r="S247">
        <v>3.0083009999999999</v>
      </c>
      <c r="T247">
        <v>-0.1009376</v>
      </c>
      <c r="U247">
        <v>-0.1980286</v>
      </c>
      <c r="V247">
        <v>6.3848349999999998E-2</v>
      </c>
      <c r="W247">
        <v>8.5519929999999994E-2</v>
      </c>
      <c r="X247">
        <v>0.99428859999999997</v>
      </c>
      <c r="Y247">
        <v>6.5992999999999996E-2</v>
      </c>
      <c r="Z247">
        <v>-1.1172090000000001E-3</v>
      </c>
      <c r="AA247">
        <v>0.99781949999999997</v>
      </c>
      <c r="AB247">
        <v>25</v>
      </c>
      <c r="AC247">
        <v>31.3614</v>
      </c>
      <c r="AD247">
        <v>-1.060327903371</v>
      </c>
      <c r="AE247">
        <v>-2.0803000000000198</v>
      </c>
      <c r="AF247">
        <v>2.0887643850016002</v>
      </c>
      <c r="AG247">
        <v>-1.060327903371</v>
      </c>
      <c r="AH247">
        <v>31.325027753438501</v>
      </c>
      <c r="AI247">
        <v>91.934385158497804</v>
      </c>
      <c r="AJ247">
        <v>86.185143599056204</v>
      </c>
      <c r="AK247">
        <v>31.412491077156101</v>
      </c>
      <c r="AL247">
        <v>85.094076688666604</v>
      </c>
      <c r="AM247">
        <v>86.325790079156306</v>
      </c>
      <c r="AN247">
        <v>1.00000004515744</v>
      </c>
    </row>
    <row r="248" spans="1:40" x14ac:dyDescent="0.25">
      <c r="A248" t="str">
        <f>"20190312151226364"</f>
        <v>20190312151226364</v>
      </c>
      <c r="B248" t="str">
        <f>"1552374746360132"</f>
        <v>1552374746360132</v>
      </c>
      <c r="C248" t="s">
        <v>40</v>
      </c>
      <c r="D248">
        <v>3.9595729999999998</v>
      </c>
      <c r="E248">
        <v>0.50054779999999999</v>
      </c>
      <c r="F248" t="s">
        <v>42</v>
      </c>
      <c r="G248">
        <v>-392.06779999999998</v>
      </c>
      <c r="H248" s="1">
        <v>-4.0120730000000004E-6</v>
      </c>
      <c r="I248">
        <v>366.0822</v>
      </c>
      <c r="J248">
        <v>-423.44110000000001</v>
      </c>
      <c r="K248">
        <v>1.0603260000000001</v>
      </c>
      <c r="L248">
        <v>368.17950000000002</v>
      </c>
      <c r="M248">
        <v>0.99989550000000005</v>
      </c>
      <c r="N248">
        <v>0</v>
      </c>
      <c r="O248">
        <v>1.3655589999999999E-4</v>
      </c>
      <c r="P248">
        <v>0.99537909999999996</v>
      </c>
      <c r="Q248">
        <v>7.1223049999999996E-2</v>
      </c>
      <c r="R248">
        <v>-6.4402669999999995E-2</v>
      </c>
      <c r="S248">
        <v>3.0082089999999999</v>
      </c>
      <c r="T248">
        <v>-0.10091459999999999</v>
      </c>
      <c r="U248">
        <v>-0.1996155</v>
      </c>
      <c r="V248">
        <v>6.4574019999999996E-2</v>
      </c>
      <c r="W248">
        <v>8.5581690000000002E-2</v>
      </c>
      <c r="X248">
        <v>0.99423640000000002</v>
      </c>
      <c r="Y248">
        <v>6.6310380000000002E-2</v>
      </c>
      <c r="Z248">
        <v>-1.11528E-3</v>
      </c>
      <c r="AA248">
        <v>0.99779839999999997</v>
      </c>
      <c r="AB248">
        <v>25</v>
      </c>
      <c r="AC248">
        <v>31.3733</v>
      </c>
      <c r="AD248">
        <v>-1.0603300120729999</v>
      </c>
      <c r="AE248">
        <v>-2.0973000000000099</v>
      </c>
      <c r="AF248">
        <v>2.0991974939717601</v>
      </c>
      <c r="AG248">
        <v>-1.0603300120729999</v>
      </c>
      <c r="AH248">
        <v>31.3373773686173</v>
      </c>
      <c r="AI248">
        <v>91.933587843765295</v>
      </c>
      <c r="AJ248">
        <v>86.167651932893193</v>
      </c>
      <c r="AK248">
        <v>31.425501590210601</v>
      </c>
      <c r="AL248">
        <v>85.0905249784701</v>
      </c>
      <c r="AM248">
        <v>86.283952551041693</v>
      </c>
      <c r="AN248">
        <v>1.00000002440358</v>
      </c>
    </row>
    <row r="249" spans="1:40" x14ac:dyDescent="0.25">
      <c r="A249" t="str">
        <f>"20190312151226388"</f>
        <v>20190312151226388</v>
      </c>
      <c r="B249" t="str">
        <f>"1552374746379652"</f>
        <v>1552374746379652</v>
      </c>
      <c r="C249" t="s">
        <v>40</v>
      </c>
      <c r="D249">
        <v>3.9480270000000002</v>
      </c>
      <c r="E249">
        <v>0.50047920000000001</v>
      </c>
      <c r="F249" t="s">
        <v>42</v>
      </c>
      <c r="G249">
        <v>-391.89069999999998</v>
      </c>
      <c r="H249" s="1">
        <v>-4.0917689999999997E-6</v>
      </c>
      <c r="I249">
        <v>366.06110000000001</v>
      </c>
      <c r="J249">
        <v>-423.16919999999999</v>
      </c>
      <c r="K249">
        <v>1.0603260000000001</v>
      </c>
      <c r="L249">
        <v>368.17919999999998</v>
      </c>
      <c r="M249">
        <v>0.99989539999999999</v>
      </c>
      <c r="N249">
        <v>0</v>
      </c>
      <c r="O249">
        <v>-1.05568E-4</v>
      </c>
      <c r="P249">
        <v>0.99534469999999997</v>
      </c>
      <c r="Q249">
        <v>7.1217879999999997E-2</v>
      </c>
      <c r="R249">
        <v>-6.4940880000000006E-2</v>
      </c>
      <c r="S249">
        <v>3.0080870000000002</v>
      </c>
      <c r="T249">
        <v>-0.1010942</v>
      </c>
      <c r="U249">
        <v>-0.20196529999999999</v>
      </c>
      <c r="V249">
        <v>6.4871010000000007E-2</v>
      </c>
      <c r="W249">
        <v>8.5589299999999993E-2</v>
      </c>
      <c r="X249">
        <v>0.9942164</v>
      </c>
      <c r="Y249">
        <v>6.6847119999999996E-2</v>
      </c>
      <c r="Z249">
        <v>-1.11816E-3</v>
      </c>
      <c r="AA249">
        <v>0.99776260000000006</v>
      </c>
      <c r="AB249">
        <v>25</v>
      </c>
      <c r="AC249">
        <v>31.278500000000001</v>
      </c>
      <c r="AD249">
        <v>-1.0603300917689999</v>
      </c>
      <c r="AE249">
        <v>-2.1180999999999699</v>
      </c>
      <c r="AF249">
        <v>2.1123811960819001</v>
      </c>
      <c r="AG249">
        <v>-1.0603300917689999</v>
      </c>
      <c r="AH249">
        <v>31.242983344340701</v>
      </c>
      <c r="AI249">
        <v>91.939344397378903</v>
      </c>
      <c r="AJ249">
        <v>86.132040020531093</v>
      </c>
      <c r="AK249">
        <v>31.3322591345697</v>
      </c>
      <c r="AL249">
        <v>85.090087296339505</v>
      </c>
      <c r="AM249">
        <v>86.266834972333697</v>
      </c>
      <c r="AN249">
        <v>1.0000000131209299</v>
      </c>
    </row>
    <row r="250" spans="1:40" x14ac:dyDescent="0.25">
      <c r="A250" t="str">
        <f>"20190312151226412"</f>
        <v>20190312151226412</v>
      </c>
      <c r="B250" t="str">
        <f>"1552374746409909"</f>
        <v>1552374746409909</v>
      </c>
      <c r="C250" t="s">
        <v>40</v>
      </c>
      <c r="D250">
        <v>3.9584350000000001</v>
      </c>
      <c r="E250">
        <v>0.47781649999999998</v>
      </c>
      <c r="F250" t="s">
        <v>42</v>
      </c>
      <c r="G250">
        <v>-391.78559999999999</v>
      </c>
      <c r="H250" s="1">
        <v>-4.1372269999999996E-6</v>
      </c>
      <c r="I250">
        <v>366.05930000000001</v>
      </c>
      <c r="J250">
        <v>-422.89800000000002</v>
      </c>
      <c r="K250">
        <v>1.060324</v>
      </c>
      <c r="L250">
        <v>368.1789</v>
      </c>
      <c r="M250">
        <v>0.99989499999999998</v>
      </c>
      <c r="N250">
        <v>0</v>
      </c>
      <c r="O250">
        <v>-3.4473769999999998E-4</v>
      </c>
      <c r="P250">
        <v>0.99533559999999999</v>
      </c>
      <c r="Q250">
        <v>7.1016720000000005E-2</v>
      </c>
      <c r="R250">
        <v>-6.5295010000000001E-2</v>
      </c>
      <c r="S250">
        <v>3.008057</v>
      </c>
      <c r="T250">
        <v>-0.1016302</v>
      </c>
      <c r="U250">
        <v>-0.20318600000000001</v>
      </c>
      <c r="V250">
        <v>6.4986760000000005E-2</v>
      </c>
      <c r="W250">
        <v>8.5398790000000002E-2</v>
      </c>
      <c r="X250">
        <v>0.99422520000000003</v>
      </c>
      <c r="Y250">
        <v>6.7011849999999998E-2</v>
      </c>
      <c r="Z250">
        <v>-1.1187899999999999E-3</v>
      </c>
      <c r="AA250">
        <v>0.99775150000000001</v>
      </c>
      <c r="AB250">
        <v>25</v>
      </c>
      <c r="AC250">
        <v>31.112400000000001</v>
      </c>
      <c r="AD250">
        <v>-1.0603281372269999</v>
      </c>
      <c r="AE250">
        <v>-2.1195999999999899</v>
      </c>
      <c r="AF250">
        <v>2.1064378384772202</v>
      </c>
      <c r="AG250">
        <v>-1.0603281372269999</v>
      </c>
      <c r="AH250">
        <v>31.077199994400299</v>
      </c>
      <c r="AI250">
        <v>91.949656158798604</v>
      </c>
      <c r="AJ250">
        <v>86.122376546796104</v>
      </c>
      <c r="AK250">
        <v>31.166548343021901</v>
      </c>
      <c r="AL250">
        <v>85.101042714840204</v>
      </c>
      <c r="AM250">
        <v>86.260225742314304</v>
      </c>
      <c r="AN250">
        <v>0.99999999031190001</v>
      </c>
    </row>
    <row r="251" spans="1:40" x14ac:dyDescent="0.25">
      <c r="A251" t="str">
        <f>"20190312151226435"</f>
        <v>20190312151226435</v>
      </c>
      <c r="B251" t="str">
        <f>"1552374746429428"</f>
        <v>1552374746429428</v>
      </c>
      <c r="C251" t="s">
        <v>40</v>
      </c>
      <c r="D251">
        <v>4.062824</v>
      </c>
      <c r="E251">
        <v>0.47616350000000002</v>
      </c>
      <c r="F251" t="s">
        <v>43</v>
      </c>
      <c r="G251">
        <v>-405.1891</v>
      </c>
      <c r="H251">
        <v>-0.05</v>
      </c>
      <c r="I251">
        <v>368.03320000000002</v>
      </c>
      <c r="J251">
        <v>-422.64960000000002</v>
      </c>
      <c r="K251">
        <v>1.060322</v>
      </c>
      <c r="L251">
        <v>368.17860000000002</v>
      </c>
      <c r="M251">
        <v>0.99989490000000003</v>
      </c>
      <c r="N251">
        <v>0</v>
      </c>
      <c r="O251">
        <v>-5.6195319999999998E-4</v>
      </c>
      <c r="P251">
        <v>0.99533309999999997</v>
      </c>
      <c r="Q251">
        <v>7.0988540000000003E-2</v>
      </c>
      <c r="R251">
        <v>-6.5366389999999996E-2</v>
      </c>
      <c r="S251">
        <v>3.02597</v>
      </c>
      <c r="T251">
        <v>-0.18972459999999999</v>
      </c>
      <c r="U251">
        <v>-2.4902339999999999E-2</v>
      </c>
      <c r="V251">
        <v>6.4841480000000007E-2</v>
      </c>
      <c r="W251">
        <v>8.5378830000000003E-2</v>
      </c>
      <c r="X251">
        <v>0.99423640000000002</v>
      </c>
      <c r="Y251">
        <v>7.653343E-3</v>
      </c>
      <c r="Z251">
        <v>-2.0448579999999999E-4</v>
      </c>
      <c r="AA251">
        <v>0.99997069999999999</v>
      </c>
      <c r="AB251">
        <v>25</v>
      </c>
      <c r="AC251">
        <v>17.4605</v>
      </c>
      <c r="AD251">
        <v>-1.110322</v>
      </c>
      <c r="AE251">
        <v>-0.14539999999999501</v>
      </c>
      <c r="AF251">
        <v>0.13504092919595301</v>
      </c>
      <c r="AG251">
        <v>-1.110322</v>
      </c>
      <c r="AH251">
        <v>17.390261924671901</v>
      </c>
      <c r="AI251">
        <v>93.653114668197006</v>
      </c>
      <c r="AJ251">
        <v>89.555088944381396</v>
      </c>
      <c r="AK251">
        <v>17.4261946736783</v>
      </c>
      <c r="AL251">
        <v>85.102190532249395</v>
      </c>
      <c r="AM251">
        <v>86.268604398011604</v>
      </c>
      <c r="AN251">
        <v>0.99999999061285905</v>
      </c>
    </row>
    <row r="252" spans="1:40" x14ac:dyDescent="0.25">
      <c r="A252" t="str">
        <f>"20190312151226454"</f>
        <v>20190312151226454</v>
      </c>
      <c r="B252" t="str">
        <f>"1552374746449925"</f>
        <v>1552374746449925</v>
      </c>
      <c r="C252" t="s">
        <v>40</v>
      </c>
      <c r="D252">
        <v>4.0002060000000004</v>
      </c>
      <c r="E252">
        <v>0.47548659999999998</v>
      </c>
      <c r="F252" t="s">
        <v>43</v>
      </c>
      <c r="G252">
        <v>-404.36189999999999</v>
      </c>
      <c r="H252">
        <v>-0.05</v>
      </c>
      <c r="I252">
        <v>368.10700000000003</v>
      </c>
      <c r="J252">
        <v>-422.42160000000001</v>
      </c>
      <c r="K252">
        <v>1.0603209999999901</v>
      </c>
      <c r="L252">
        <v>368.17829999999998</v>
      </c>
      <c r="M252">
        <v>0.99989459999999997</v>
      </c>
      <c r="N252">
        <v>0</v>
      </c>
      <c r="O252">
        <v>-7.5971369999999999E-4</v>
      </c>
      <c r="P252">
        <v>0.99533590000000005</v>
      </c>
      <c r="Q252">
        <v>7.0937520000000004E-2</v>
      </c>
      <c r="R252">
        <v>-6.5380369999999993E-2</v>
      </c>
      <c r="S252">
        <v>3.0263979999999999</v>
      </c>
      <c r="T252">
        <v>-0.18374560000000001</v>
      </c>
      <c r="U252">
        <v>-1.184082E-2</v>
      </c>
      <c r="V252">
        <v>6.4657870000000006E-2</v>
      </c>
      <c r="W252">
        <v>8.5334179999999996E-2</v>
      </c>
      <c r="X252">
        <v>0.99425220000000003</v>
      </c>
      <c r="Y252">
        <v>3.1482960000000001E-3</v>
      </c>
      <c r="Z252" s="1">
        <v>-4.9397319999999997E-5</v>
      </c>
      <c r="AA252">
        <v>0.99999510000000003</v>
      </c>
      <c r="AB252">
        <v>25</v>
      </c>
      <c r="AC252">
        <v>18.059699999999999</v>
      </c>
      <c r="AD252">
        <v>-1.1103209999999999</v>
      </c>
      <c r="AE252">
        <v>-7.1300000000007899E-2</v>
      </c>
      <c r="AF252">
        <v>5.7361520309505698E-2</v>
      </c>
      <c r="AG252">
        <v>-1.1103209999999999</v>
      </c>
      <c r="AH252">
        <v>17.991743696488001</v>
      </c>
      <c r="AI252">
        <v>93.531386920764007</v>
      </c>
      <c r="AJ252">
        <v>89.817329440658</v>
      </c>
      <c r="AK252">
        <v>18.026062917541601</v>
      </c>
      <c r="AL252">
        <v>85.104758204617795</v>
      </c>
      <c r="AM252">
        <v>86.279199736803207</v>
      </c>
      <c r="AN252">
        <v>0.99999999981702403</v>
      </c>
    </row>
    <row r="253" spans="1:40" x14ac:dyDescent="0.25">
      <c r="A253" t="str">
        <f>"20190312151226478"</f>
        <v>20190312151226478</v>
      </c>
      <c r="B253" t="str">
        <f>"1552374746469444"</f>
        <v>1552374746469444</v>
      </c>
      <c r="C253" t="s">
        <v>40</v>
      </c>
      <c r="D253">
        <v>3.9583409999999999</v>
      </c>
      <c r="E253">
        <v>0.47506510000000002</v>
      </c>
      <c r="F253" t="s">
        <v>43</v>
      </c>
      <c r="G253">
        <v>-403.94869999999997</v>
      </c>
      <c r="H253">
        <v>-0.05</v>
      </c>
      <c r="I253">
        <v>368.13909999999998</v>
      </c>
      <c r="J253">
        <v>-422.16520000000003</v>
      </c>
      <c r="K253">
        <v>1.060325</v>
      </c>
      <c r="L253">
        <v>368.17770000000002</v>
      </c>
      <c r="M253">
        <v>0.99989459999999997</v>
      </c>
      <c r="N253">
        <v>0</v>
      </c>
      <c r="O253">
        <v>-9.793918999999999E-4</v>
      </c>
      <c r="P253">
        <v>0.99533459999999996</v>
      </c>
      <c r="Q253">
        <v>7.1036539999999995E-2</v>
      </c>
      <c r="R253">
        <v>-6.5295930000000002E-2</v>
      </c>
      <c r="S253">
        <v>3.0265810000000002</v>
      </c>
      <c r="T253">
        <v>-0.18191370000000001</v>
      </c>
      <c r="U253">
        <v>-6.4086909999999898E-3</v>
      </c>
      <c r="V253">
        <v>6.4354140000000004E-2</v>
      </c>
      <c r="W253">
        <v>8.5438689999999998E-2</v>
      </c>
      <c r="X253">
        <v>0.99426289999999995</v>
      </c>
      <c r="Y253">
        <v>1.137685E-3</v>
      </c>
      <c r="Z253" s="1">
        <v>2.466008E-5</v>
      </c>
      <c r="AA253">
        <v>0.99999930000000004</v>
      </c>
      <c r="AB253">
        <v>25</v>
      </c>
      <c r="AC253">
        <v>18.2165</v>
      </c>
      <c r="AD253">
        <v>-1.110325</v>
      </c>
      <c r="AE253">
        <v>-3.8600000000030797E-2</v>
      </c>
      <c r="AF253">
        <v>2.0680188250748601E-2</v>
      </c>
      <c r="AG253">
        <v>-1.110325</v>
      </c>
      <c r="AH253">
        <v>18.149103660586199</v>
      </c>
      <c r="AI253">
        <v>93.500872931776996</v>
      </c>
      <c r="AJ253">
        <v>89.934713745887606</v>
      </c>
      <c r="AK253">
        <v>18.183047405716</v>
      </c>
      <c r="AL253">
        <v>85.098748125914895</v>
      </c>
      <c r="AM253">
        <v>86.296669165311101</v>
      </c>
      <c r="AN253">
        <v>0.99999996970023197</v>
      </c>
    </row>
    <row r="254" spans="1:40" x14ac:dyDescent="0.25">
      <c r="A254" t="str">
        <f>"20190312151226501"</f>
        <v>20190312151226501</v>
      </c>
      <c r="B254" t="str">
        <f>"1552374746489940"</f>
        <v>1552374746489940</v>
      </c>
      <c r="C254" t="s">
        <v>40</v>
      </c>
      <c r="D254">
        <v>3.9841790000000001</v>
      </c>
      <c r="E254">
        <v>0.47504679999999999</v>
      </c>
      <c r="F254" t="s">
        <v>43</v>
      </c>
      <c r="G254">
        <v>-403.6807</v>
      </c>
      <c r="H254">
        <v>-0.05</v>
      </c>
      <c r="I254">
        <v>368.15929999999997</v>
      </c>
      <c r="J254">
        <v>-421.90530000000001</v>
      </c>
      <c r="K254">
        <v>1.060325</v>
      </c>
      <c r="L254">
        <v>368.1773</v>
      </c>
      <c r="M254">
        <v>0.99989399999999995</v>
      </c>
      <c r="N254">
        <v>0</v>
      </c>
      <c r="O254">
        <v>-1.1987059999999999E-3</v>
      </c>
      <c r="P254">
        <v>0.99532849999999995</v>
      </c>
      <c r="Q254">
        <v>7.1068499999999896E-2</v>
      </c>
      <c r="R254">
        <v>-6.5346749999999995E-2</v>
      </c>
      <c r="S254">
        <v>3.0268549999999999</v>
      </c>
      <c r="T254">
        <v>-0.18181710000000001</v>
      </c>
      <c r="U254">
        <v>-3.0212400000000001E-3</v>
      </c>
      <c r="V254">
        <v>6.4186450000000006E-2</v>
      </c>
      <c r="W254">
        <v>8.5474800000000004E-2</v>
      </c>
      <c r="X254">
        <v>0.99427069999999995</v>
      </c>
      <c r="Y254">
        <v>-1.9817009999999999E-4</v>
      </c>
      <c r="Z254" s="1">
        <v>7.7893029999999996E-5</v>
      </c>
      <c r="AA254">
        <v>1</v>
      </c>
      <c r="AB254">
        <v>25</v>
      </c>
      <c r="AC254">
        <v>18.224599999999999</v>
      </c>
      <c r="AD254">
        <v>-1.110325</v>
      </c>
      <c r="AE254">
        <v>-1.80000000000291E-2</v>
      </c>
      <c r="AF254">
        <v>-3.8340194287925498E-3</v>
      </c>
      <c r="AG254">
        <v>-1.110325</v>
      </c>
      <c r="AH254">
        <v>18.157212659438201</v>
      </c>
      <c r="AI254">
        <v>93.499315518480401</v>
      </c>
      <c r="AJ254">
        <v>90.012098394874599</v>
      </c>
      <c r="AK254">
        <v>18.1911299227231</v>
      </c>
      <c r="AL254">
        <v>85.096671891802202</v>
      </c>
      <c r="AM254">
        <v>86.306321220831094</v>
      </c>
      <c r="AN254">
        <v>1.0000000333385599</v>
      </c>
    </row>
    <row r="255" spans="1:40" x14ac:dyDescent="0.25">
      <c r="A255" t="str">
        <f>"20190312151226523"</f>
        <v>20190312151226523</v>
      </c>
      <c r="B255" t="str">
        <f>"1552374746520196"</f>
        <v>1552374746520196</v>
      </c>
      <c r="C255" t="s">
        <v>40</v>
      </c>
      <c r="D255">
        <v>4.3154070000000004</v>
      </c>
      <c r="E255">
        <v>0.47486109999999998</v>
      </c>
      <c r="F255" t="s">
        <v>43</v>
      </c>
      <c r="G255">
        <v>-403.5437</v>
      </c>
      <c r="H255">
        <v>-0.05</v>
      </c>
      <c r="I255">
        <v>368.15949999999998</v>
      </c>
      <c r="J255">
        <v>-421.66460000000001</v>
      </c>
      <c r="K255">
        <v>1.0603260000000001</v>
      </c>
      <c r="L255">
        <v>368.17680000000001</v>
      </c>
      <c r="M255">
        <v>0.99989380000000005</v>
      </c>
      <c r="N255">
        <v>0</v>
      </c>
      <c r="O255">
        <v>-1.3997879999999999E-3</v>
      </c>
      <c r="P255">
        <v>0.99532529999999997</v>
      </c>
      <c r="Q255">
        <v>7.1023810000000007E-2</v>
      </c>
      <c r="R255">
        <v>-6.5448309999999996E-2</v>
      </c>
      <c r="S255">
        <v>3.0269469999999998</v>
      </c>
      <c r="T255">
        <v>-0.18303929999999999</v>
      </c>
      <c r="U255">
        <v>-2.9296880000000002E-3</v>
      </c>
      <c r="V255">
        <v>6.4087290000000005E-2</v>
      </c>
      <c r="W255">
        <v>8.5432999999999995E-2</v>
      </c>
      <c r="X255">
        <v>0.99428059999999996</v>
      </c>
      <c r="Y255">
        <v>-4.2872690000000002E-4</v>
      </c>
      <c r="Z255" s="1">
        <v>9.7527430000000006E-5</v>
      </c>
      <c r="AA255">
        <v>0.99999990000000005</v>
      </c>
      <c r="AB255">
        <v>25</v>
      </c>
      <c r="AC255">
        <v>18.120899999999999</v>
      </c>
      <c r="AD255">
        <v>-1.1103259999999999</v>
      </c>
      <c r="AE255">
        <v>-1.7300000000034201E-2</v>
      </c>
      <c r="AF255">
        <v>-8.03792692529115E-3</v>
      </c>
      <c r="AG255">
        <v>-1.1103259999999999</v>
      </c>
      <c r="AH255">
        <v>18.0531277127713</v>
      </c>
      <c r="AI255">
        <v>93.519443078015897</v>
      </c>
      <c r="AJ255">
        <v>90.0255102199324</v>
      </c>
      <c r="AK255">
        <v>18.0872415986567</v>
      </c>
      <c r="AL255">
        <v>85.099075213366902</v>
      </c>
      <c r="AM255">
        <v>86.312048349709897</v>
      </c>
      <c r="AN255">
        <v>0.99999994488245003</v>
      </c>
    </row>
    <row r="256" spans="1:40" x14ac:dyDescent="0.25">
      <c r="A256" t="str">
        <f>"20190312151226544"</f>
        <v>20190312151226544</v>
      </c>
      <c r="B256" t="str">
        <f>"1552374746539716"</f>
        <v>1552374746539716</v>
      </c>
      <c r="C256" t="s">
        <v>40</v>
      </c>
      <c r="D256">
        <v>3.989106</v>
      </c>
      <c r="E256">
        <v>0.47494219999999998</v>
      </c>
      <c r="F256" t="s">
        <v>43</v>
      </c>
      <c r="G256">
        <v>-403.22449999999998</v>
      </c>
      <c r="H256">
        <v>-0.05</v>
      </c>
      <c r="I256">
        <v>368.16539999999998</v>
      </c>
      <c r="J256">
        <v>-421.4282</v>
      </c>
      <c r="K256">
        <v>1.0603340000000001</v>
      </c>
      <c r="L256">
        <v>368.17619999999999</v>
      </c>
      <c r="M256">
        <v>0.99989349999999999</v>
      </c>
      <c r="N256">
        <v>0</v>
      </c>
      <c r="O256">
        <v>-1.5957409999999999E-3</v>
      </c>
      <c r="P256">
        <v>0.99533970000000005</v>
      </c>
      <c r="Q256">
        <v>7.0867449999999999E-2</v>
      </c>
      <c r="R256">
        <v>-6.5398620000000005E-2</v>
      </c>
      <c r="S256">
        <v>3.0269170000000001</v>
      </c>
      <c r="T256">
        <v>-0.18225939999999999</v>
      </c>
      <c r="U256">
        <v>-1.8615719999999999E-3</v>
      </c>
      <c r="V256">
        <v>6.3842159999999995E-2</v>
      </c>
      <c r="W256">
        <v>8.5277640000000002E-2</v>
      </c>
      <c r="X256">
        <v>0.99430980000000002</v>
      </c>
      <c r="Y256">
        <v>-9.762452E-4</v>
      </c>
      <c r="Z256">
        <v>1.2537200000000001E-4</v>
      </c>
      <c r="AA256">
        <v>0.99999950000000004</v>
      </c>
      <c r="AB256">
        <v>25</v>
      </c>
      <c r="AC256">
        <v>18.203700000000001</v>
      </c>
      <c r="AD256">
        <v>-1.1103339999999999</v>
      </c>
      <c r="AE256">
        <v>-1.08000000000174E-2</v>
      </c>
      <c r="AF256">
        <v>-1.81838104221217E-2</v>
      </c>
      <c r="AG256">
        <v>-1.1103339999999999</v>
      </c>
      <c r="AH256">
        <v>18.136220347375801</v>
      </c>
      <c r="AI256">
        <v>93.503382471937101</v>
      </c>
      <c r="AJ256">
        <v>90.057446106387502</v>
      </c>
      <c r="AK256">
        <v>18.170186040079098</v>
      </c>
      <c r="AL256">
        <v>85.108009746205596</v>
      </c>
      <c r="AM256">
        <v>86.326223429504296</v>
      </c>
      <c r="AN256">
        <v>1.00000003782673</v>
      </c>
    </row>
    <row r="257" spans="1:40" x14ac:dyDescent="0.25">
      <c r="A257" t="str">
        <f>"20190312151226568"</f>
        <v>20190312151226568</v>
      </c>
      <c r="B257" t="str">
        <f>"1552374746559236"</f>
        <v>1552374746559236</v>
      </c>
      <c r="C257" t="s">
        <v>40</v>
      </c>
      <c r="D257">
        <v>4.0018349999999998</v>
      </c>
      <c r="E257">
        <v>0.47484219999999999</v>
      </c>
      <c r="F257" t="s">
        <v>43</v>
      </c>
      <c r="G257">
        <v>-402.72140000000002</v>
      </c>
      <c r="H257">
        <v>-0.05</v>
      </c>
      <c r="I257">
        <v>368.16329999999999</v>
      </c>
      <c r="J257">
        <v>-421.16879999999998</v>
      </c>
      <c r="K257">
        <v>1.0603370000000001</v>
      </c>
      <c r="L257">
        <v>368.1755</v>
      </c>
      <c r="M257">
        <v>0.99989309999999998</v>
      </c>
      <c r="N257">
        <v>0</v>
      </c>
      <c r="O257">
        <v>-1.810292E-3</v>
      </c>
      <c r="P257">
        <v>0.9953052</v>
      </c>
      <c r="Q257">
        <v>7.0909440000000004E-2</v>
      </c>
      <c r="R257">
        <v>-6.5872180000000002E-2</v>
      </c>
      <c r="S257">
        <v>3.026672</v>
      </c>
      <c r="T257">
        <v>-0.17964649999999999</v>
      </c>
      <c r="U257">
        <v>-2.0751950000000002E-3</v>
      </c>
      <c r="V257">
        <v>6.410225E-2</v>
      </c>
      <c r="W257">
        <v>8.5319930000000002E-2</v>
      </c>
      <c r="X257">
        <v>0.99428939999999999</v>
      </c>
      <c r="Y257">
        <v>-1.1196909999999999E-3</v>
      </c>
      <c r="Z257">
        <v>1.405658E-4</v>
      </c>
      <c r="AA257">
        <v>0.99999930000000004</v>
      </c>
      <c r="AB257">
        <v>25</v>
      </c>
      <c r="AC257">
        <v>18.447399999999899</v>
      </c>
      <c r="AD257">
        <v>-1.1103369999999999</v>
      </c>
      <c r="AE257">
        <v>-1.2200000000007E-2</v>
      </c>
      <c r="AF257">
        <v>-2.1122195659464701E-2</v>
      </c>
      <c r="AG257">
        <v>-1.1103369999999999</v>
      </c>
      <c r="AH257">
        <v>18.380802687641001</v>
      </c>
      <c r="AI257">
        <v>93.456887639546295</v>
      </c>
      <c r="AJ257">
        <v>90.065841092644007</v>
      </c>
      <c r="AK257">
        <v>18.414320564243202</v>
      </c>
      <c r="AL257">
        <v>85.105577658586199</v>
      </c>
      <c r="AM257">
        <v>86.311222399683302</v>
      </c>
      <c r="AN257">
        <v>0.99999999993131305</v>
      </c>
    </row>
    <row r="258" spans="1:40" x14ac:dyDescent="0.25">
      <c r="A258" t="str">
        <f>"20190312151226590"</f>
        <v>20190312151226590</v>
      </c>
      <c r="B258" t="str">
        <f>"1552374746579735"</f>
        <v>1552374746579735</v>
      </c>
      <c r="C258" t="s">
        <v>40</v>
      </c>
      <c r="D258">
        <v>3.9966339999999998</v>
      </c>
      <c r="E258">
        <v>0.474798</v>
      </c>
      <c r="F258" t="s">
        <v>43</v>
      </c>
      <c r="G258">
        <v>-402.19799999999998</v>
      </c>
      <c r="H258">
        <v>-0.05</v>
      </c>
      <c r="I258">
        <v>368.15750000000003</v>
      </c>
      <c r="J258">
        <v>-420.92020000000002</v>
      </c>
      <c r="K258">
        <v>1.0603389999999999</v>
      </c>
      <c r="L258">
        <v>368.1748</v>
      </c>
      <c r="M258">
        <v>0.99989280000000003</v>
      </c>
      <c r="N258">
        <v>0</v>
      </c>
      <c r="O258">
        <v>-2.0155490000000002E-3</v>
      </c>
      <c r="P258">
        <v>0.99522339999999998</v>
      </c>
      <c r="Q258">
        <v>7.1343649999999995E-2</v>
      </c>
      <c r="R258">
        <v>-6.663927E-2</v>
      </c>
      <c r="S258">
        <v>3.0266109999999999</v>
      </c>
      <c r="T258">
        <v>-0.17714379999999999</v>
      </c>
      <c r="U258">
        <v>-2.8686520000000002E-3</v>
      </c>
      <c r="V258">
        <v>6.4665130000000001E-2</v>
      </c>
      <c r="W258">
        <v>8.575178E-2</v>
      </c>
      <c r="X258">
        <v>0.99421579999999998</v>
      </c>
      <c r="Y258">
        <v>-1.0626850000000001E-3</v>
      </c>
      <c r="Z258">
        <v>1.489513E-4</v>
      </c>
      <c r="AA258">
        <v>0.99999939999999998</v>
      </c>
      <c r="AB258">
        <v>25</v>
      </c>
      <c r="AC258">
        <v>18.722199999999901</v>
      </c>
      <c r="AD258">
        <v>-1.110339</v>
      </c>
      <c r="AE258">
        <v>-1.7299999999977399E-2</v>
      </c>
      <c r="AF258">
        <v>-2.0367877743920001E-2</v>
      </c>
      <c r="AG258">
        <v>-1.110339</v>
      </c>
      <c r="AH258">
        <v>18.656577920939799</v>
      </c>
      <c r="AI258">
        <v>93.4059166226223</v>
      </c>
      <c r="AJ258">
        <v>90.062551287469603</v>
      </c>
      <c r="AK258">
        <v>18.689600511125501</v>
      </c>
      <c r="AL258">
        <v>85.080743470639604</v>
      </c>
      <c r="AM258">
        <v>86.278647269301104</v>
      </c>
      <c r="AN258">
        <v>1.0000000018903601</v>
      </c>
    </row>
    <row r="259" spans="1:40" x14ac:dyDescent="0.25">
      <c r="A259" t="str">
        <f>"20190312151226611"</f>
        <v>20190312151226611</v>
      </c>
      <c r="B259" t="str">
        <f>"1552374746600235"</f>
        <v>1552374746600235</v>
      </c>
      <c r="C259" t="s">
        <v>40</v>
      </c>
      <c r="D259">
        <v>3.9990839999999999</v>
      </c>
      <c r="E259">
        <v>0.47475210000000001</v>
      </c>
      <c r="F259" t="s">
        <v>43</v>
      </c>
      <c r="G259">
        <v>-401.91489999999999</v>
      </c>
      <c r="H259">
        <v>-0.05</v>
      </c>
      <c r="I259">
        <v>368.14780000000002</v>
      </c>
      <c r="J259">
        <v>-420.67680000000001</v>
      </c>
      <c r="K259">
        <v>1.0603389999999999</v>
      </c>
      <c r="L259">
        <v>368.17410000000001</v>
      </c>
      <c r="M259">
        <v>0.99989249999999996</v>
      </c>
      <c r="N259">
        <v>0</v>
      </c>
      <c r="O259">
        <v>-2.2166320000000001E-3</v>
      </c>
      <c r="P259">
        <v>0.99520169999999997</v>
      </c>
      <c r="Q259">
        <v>7.1715619999999994E-2</v>
      </c>
      <c r="R259">
        <v>-6.6566009999999995E-2</v>
      </c>
      <c r="S259">
        <v>3.0267940000000002</v>
      </c>
      <c r="T259">
        <v>-0.1768323</v>
      </c>
      <c r="U259">
        <v>-4.3029790000000002E-3</v>
      </c>
      <c r="V259">
        <v>6.4391610000000002E-2</v>
      </c>
      <c r="W259">
        <v>8.6122809999999994E-2</v>
      </c>
      <c r="X259">
        <v>0.99420149999999996</v>
      </c>
      <c r="Y259">
        <v>-7.9011130000000002E-4</v>
      </c>
      <c r="Z259">
        <v>1.5246420000000001E-4</v>
      </c>
      <c r="AA259">
        <v>0.99999970000000005</v>
      </c>
      <c r="AB259">
        <v>25</v>
      </c>
      <c r="AC259">
        <v>18.761900000000001</v>
      </c>
      <c r="AD259">
        <v>-1.110339</v>
      </c>
      <c r="AE259">
        <v>-2.6299999999992E-2</v>
      </c>
      <c r="AF259">
        <v>-1.5239288584967901E-2</v>
      </c>
      <c r="AG259">
        <v>-1.110339</v>
      </c>
      <c r="AH259">
        <v>18.6964311837297</v>
      </c>
      <c r="AI259">
        <v>93.398674510530299</v>
      </c>
      <c r="AJ259">
        <v>90.046701250990296</v>
      </c>
      <c r="AK259">
        <v>18.729378631945501</v>
      </c>
      <c r="AL259">
        <v>85.059406171617397</v>
      </c>
      <c r="AM259">
        <v>86.294290712164198</v>
      </c>
      <c r="AN259">
        <v>1.0000000202214601</v>
      </c>
    </row>
    <row r="260" spans="1:40" x14ac:dyDescent="0.25">
      <c r="A260" t="str">
        <f>"20190312151226656"</f>
        <v>20190312151226656</v>
      </c>
      <c r="B260" t="str">
        <f>"1552374746650005"</f>
        <v>1552374746650005</v>
      </c>
      <c r="C260" t="s">
        <v>40</v>
      </c>
      <c r="D260">
        <v>3.9885660000000001</v>
      </c>
      <c r="E260">
        <v>0.47464119999999999</v>
      </c>
      <c r="F260" t="s">
        <v>43</v>
      </c>
      <c r="G260">
        <v>-401.64780000000002</v>
      </c>
      <c r="H260">
        <v>-0.05</v>
      </c>
      <c r="I260">
        <v>368.1472</v>
      </c>
      <c r="J260">
        <v>-420.19049999999999</v>
      </c>
      <c r="K260">
        <v>1.060343</v>
      </c>
      <c r="L260">
        <v>368.17250000000001</v>
      </c>
      <c r="M260">
        <v>0.99989130000000004</v>
      </c>
      <c r="N260">
        <v>0</v>
      </c>
      <c r="O260">
        <v>-2.6193800000000001E-3</v>
      </c>
      <c r="P260">
        <v>0.99520299999999995</v>
      </c>
      <c r="Q260">
        <v>7.0827550000000003E-2</v>
      </c>
      <c r="R260">
        <v>-6.7486080000000004E-2</v>
      </c>
      <c r="S260">
        <v>3.0269170000000001</v>
      </c>
      <c r="T260">
        <v>-0.1766199</v>
      </c>
      <c r="U260">
        <v>-4.272461E-3</v>
      </c>
      <c r="V260">
        <v>6.4910689999999993E-2</v>
      </c>
      <c r="W260">
        <v>8.5230600000000004E-2</v>
      </c>
      <c r="X260">
        <v>0.99424460000000003</v>
      </c>
      <c r="Y260">
        <v>-1.2016710000000001E-3</v>
      </c>
      <c r="Z260">
        <v>1.8775500000000001E-4</v>
      </c>
      <c r="AA260">
        <v>0.99999930000000004</v>
      </c>
      <c r="AB260">
        <v>25</v>
      </c>
      <c r="AC260">
        <v>18.5426999999999</v>
      </c>
      <c r="AD260">
        <v>-1.1103430000000001</v>
      </c>
      <c r="AE260">
        <v>-2.5300000000015602E-2</v>
      </c>
      <c r="AF260">
        <v>-2.3192418003645399E-2</v>
      </c>
      <c r="AG260">
        <v>-1.1103430000000001</v>
      </c>
      <c r="AH260">
        <v>18.476452609652501</v>
      </c>
      <c r="AI260">
        <v>93.439052996404001</v>
      </c>
      <c r="AJ260">
        <v>90.071920026991705</v>
      </c>
      <c r="AK260">
        <v>18.509800120548</v>
      </c>
      <c r="AL260">
        <v>85.110714547400605</v>
      </c>
      <c r="AM260">
        <v>86.264663599620206</v>
      </c>
      <c r="AN260">
        <v>0.99999998874089802</v>
      </c>
    </row>
    <row r="261" spans="1:40" x14ac:dyDescent="0.25">
      <c r="A261" t="str">
        <f>"20190312151226678"</f>
        <v>20190312151226678</v>
      </c>
      <c r="B261" t="str">
        <f>"1552374746669524"</f>
        <v>1552374746669524</v>
      </c>
      <c r="C261" t="s">
        <v>40</v>
      </c>
      <c r="D261">
        <v>3.9726870000000001</v>
      </c>
      <c r="E261">
        <v>0.47463870000000002</v>
      </c>
      <c r="F261" t="s">
        <v>43</v>
      </c>
      <c r="G261">
        <v>-401.56549999999999</v>
      </c>
      <c r="H261">
        <v>-0.05</v>
      </c>
      <c r="I261">
        <v>368.1361</v>
      </c>
      <c r="J261">
        <v>-419.94299999999998</v>
      </c>
      <c r="K261">
        <v>1.0603419999999999</v>
      </c>
      <c r="L261">
        <v>368.17160000000001</v>
      </c>
      <c r="M261">
        <v>0.99989090000000003</v>
      </c>
      <c r="N261">
        <v>0</v>
      </c>
      <c r="O261">
        <v>-2.8248610000000001E-3</v>
      </c>
      <c r="P261">
        <v>0.99519939999999996</v>
      </c>
      <c r="Q261">
        <v>7.0557739999999994E-2</v>
      </c>
      <c r="R261">
        <v>-6.7823759999999997E-2</v>
      </c>
      <c r="S261">
        <v>3.0269170000000001</v>
      </c>
      <c r="T261">
        <v>-0.18045140000000001</v>
      </c>
      <c r="U261">
        <v>-5.9204100000000001E-3</v>
      </c>
      <c r="V261">
        <v>6.5043539999999997E-2</v>
      </c>
      <c r="W261">
        <v>8.4958370000000005E-2</v>
      </c>
      <c r="X261">
        <v>0.99425920000000001</v>
      </c>
      <c r="Y261">
        <v>-8.6269560000000001E-4</v>
      </c>
      <c r="Z261">
        <v>1.9396579999999999E-4</v>
      </c>
      <c r="AA261">
        <v>0.99999959999999999</v>
      </c>
      <c r="AB261">
        <v>25</v>
      </c>
      <c r="AC261">
        <v>18.377500000000001</v>
      </c>
      <c r="AD261">
        <v>-1.1103419999999999</v>
      </c>
      <c r="AE261">
        <v>-3.5500000000013097E-2</v>
      </c>
      <c r="AF261">
        <v>-1.6359762439718002E-2</v>
      </c>
      <c r="AG261">
        <v>-1.1103419999999999</v>
      </c>
      <c r="AH261">
        <v>18.310685841210098</v>
      </c>
      <c r="AI261">
        <v>93.470109256583498</v>
      </c>
      <c r="AJ261">
        <v>90.051191151459093</v>
      </c>
      <c r="AK261">
        <v>18.344327269602498</v>
      </c>
      <c r="AL261">
        <v>85.126368875035695</v>
      </c>
      <c r="AM261">
        <v>86.257095158847505</v>
      </c>
      <c r="AN261">
        <v>0.99999997175671296</v>
      </c>
    </row>
    <row r="262" spans="1:40" x14ac:dyDescent="0.25">
      <c r="A262" t="str">
        <f>"20190312151226701"</f>
        <v>20190312151226701</v>
      </c>
      <c r="B262" t="str">
        <f>"1552374746690020"</f>
        <v>1552374746690020</v>
      </c>
      <c r="C262" t="s">
        <v>40</v>
      </c>
      <c r="D262">
        <v>3.961627</v>
      </c>
      <c r="E262">
        <v>0.47462349999999998</v>
      </c>
      <c r="F262" t="s">
        <v>43</v>
      </c>
      <c r="G262">
        <v>-401.48039999999997</v>
      </c>
      <c r="H262">
        <v>-0.05</v>
      </c>
      <c r="I262">
        <v>368.13049999999998</v>
      </c>
      <c r="J262">
        <v>-419.69150000000002</v>
      </c>
      <c r="K262">
        <v>1.060333</v>
      </c>
      <c r="L262">
        <v>368.17070000000001</v>
      </c>
      <c r="M262">
        <v>0.99989039999999996</v>
      </c>
      <c r="N262">
        <v>0</v>
      </c>
      <c r="O262">
        <v>-3.0341529999999999E-3</v>
      </c>
      <c r="P262">
        <v>0.99520989999999998</v>
      </c>
      <c r="Q262">
        <v>7.0376079999999994E-2</v>
      </c>
      <c r="R262">
        <v>-6.7858119999999994E-2</v>
      </c>
      <c r="S262">
        <v>3.0269170000000001</v>
      </c>
      <c r="T262">
        <v>-0.18203929999999999</v>
      </c>
      <c r="U262">
        <v>-6.7443850000000003E-3</v>
      </c>
      <c r="V262">
        <v>6.4869360000000001E-2</v>
      </c>
      <c r="W262">
        <v>8.4773539999999994E-2</v>
      </c>
      <c r="X262">
        <v>0.99428640000000001</v>
      </c>
      <c r="Y262">
        <v>-7.9941599999999995E-4</v>
      </c>
      <c r="Z262">
        <v>2.0634510000000001E-4</v>
      </c>
      <c r="AA262">
        <v>0.99999959999999999</v>
      </c>
      <c r="AB262">
        <v>25</v>
      </c>
      <c r="AC262">
        <v>18.211099999999998</v>
      </c>
      <c r="AD262">
        <v>-1.110333</v>
      </c>
      <c r="AE262">
        <v>-4.0200000000027103E-2</v>
      </c>
      <c r="AF262">
        <v>-1.5005470594250499E-2</v>
      </c>
      <c r="AG262">
        <v>-1.110333</v>
      </c>
      <c r="AH262">
        <v>18.1436919108491</v>
      </c>
      <c r="AI262">
        <v>93.501940786804695</v>
      </c>
      <c r="AJ262">
        <v>90.0473856116419</v>
      </c>
      <c r="AK262">
        <v>18.177640679990599</v>
      </c>
      <c r="AL262">
        <v>85.136997413357705</v>
      </c>
      <c r="AM262">
        <v>86.267191730699395</v>
      </c>
      <c r="AN262">
        <v>1.0000000160879501</v>
      </c>
    </row>
    <row r="263" spans="1:40" x14ac:dyDescent="0.25">
      <c r="A263" t="str">
        <f>"20190312151226723"</f>
        <v>20190312151226723</v>
      </c>
      <c r="B263" t="str">
        <f>"1552374746720276"</f>
        <v>1552374746720276</v>
      </c>
      <c r="C263" t="s">
        <v>40</v>
      </c>
      <c r="D263">
        <v>3.9912040000000002</v>
      </c>
      <c r="E263">
        <v>0.47457749999999999</v>
      </c>
      <c r="F263" t="s">
        <v>43</v>
      </c>
      <c r="G263">
        <v>-401.32979999999998</v>
      </c>
      <c r="H263">
        <v>-0.05</v>
      </c>
      <c r="I263">
        <v>368.1266</v>
      </c>
      <c r="J263">
        <v>-419.45589999999999</v>
      </c>
      <c r="K263">
        <v>1.060333</v>
      </c>
      <c r="L263">
        <v>368.16969999999998</v>
      </c>
      <c r="M263">
        <v>0.99988980000000005</v>
      </c>
      <c r="N263">
        <v>0</v>
      </c>
      <c r="O263">
        <v>-3.230569E-3</v>
      </c>
      <c r="P263">
        <v>0.99520719999999996</v>
      </c>
      <c r="Q263">
        <v>7.0192400000000002E-2</v>
      </c>
      <c r="R263">
        <v>-6.8087889999999998E-2</v>
      </c>
      <c r="S263">
        <v>3.0268860000000002</v>
      </c>
      <c r="T263">
        <v>-0.18303620000000001</v>
      </c>
      <c r="U263">
        <v>-7.2631839999999998E-3</v>
      </c>
      <c r="V263">
        <v>6.4903559999999999E-2</v>
      </c>
      <c r="W263">
        <v>8.4586819999999993E-2</v>
      </c>
      <c r="X263">
        <v>0.99430010000000002</v>
      </c>
      <c r="Y263">
        <v>-8.2395530000000002E-4</v>
      </c>
      <c r="Z263">
        <v>2.2008410000000001E-4</v>
      </c>
      <c r="AA263">
        <v>0.99999959999999999</v>
      </c>
      <c r="AB263">
        <v>25</v>
      </c>
      <c r="AC263">
        <v>18.126100000000001</v>
      </c>
      <c r="AD263">
        <v>-1.110333</v>
      </c>
      <c r="AE263">
        <v>-4.3099999999981202E-2</v>
      </c>
      <c r="AF263">
        <v>-1.5406181483984699E-2</v>
      </c>
      <c r="AG263">
        <v>-1.110333</v>
      </c>
      <c r="AH263">
        <v>18.058384520709499</v>
      </c>
      <c r="AI263">
        <v>93.518442336441893</v>
      </c>
      <c r="AJ263">
        <v>90.048880837722606</v>
      </c>
      <c r="AK263">
        <v>18.092493698192001</v>
      </c>
      <c r="AL263">
        <v>85.147734389136701</v>
      </c>
      <c r="AM263">
        <v>86.265280626356002</v>
      </c>
      <c r="AN263">
        <v>1.00000004553919</v>
      </c>
    </row>
    <row r="264" spans="1:40" x14ac:dyDescent="0.25">
      <c r="A264" t="str">
        <f>"20190312151226746"</f>
        <v>20190312151226746</v>
      </c>
      <c r="B264" t="str">
        <f>"1552374746739796"</f>
        <v>1552374746739796</v>
      </c>
      <c r="C264" t="s">
        <v>40</v>
      </c>
      <c r="D264">
        <v>3.9891559999999999</v>
      </c>
      <c r="E264">
        <v>0.47452919999999998</v>
      </c>
      <c r="F264" t="s">
        <v>43</v>
      </c>
      <c r="G264">
        <v>-401.26249999999999</v>
      </c>
      <c r="H264">
        <v>-0.05</v>
      </c>
      <c r="I264">
        <v>368.12430000000001</v>
      </c>
      <c r="J264">
        <v>-419.20549999999997</v>
      </c>
      <c r="K264">
        <v>1.0603370000000001</v>
      </c>
      <c r="L264">
        <v>368.1687</v>
      </c>
      <c r="M264">
        <v>0.99988920000000003</v>
      </c>
      <c r="N264">
        <v>0</v>
      </c>
      <c r="O264">
        <v>-3.4392590000000001E-3</v>
      </c>
      <c r="P264">
        <v>0.99525269999999999</v>
      </c>
      <c r="Q264">
        <v>6.9870779999999993E-2</v>
      </c>
      <c r="R264">
        <v>-6.7750240000000003E-2</v>
      </c>
      <c r="S264">
        <v>3.0268860000000002</v>
      </c>
      <c r="T264">
        <v>-0.18472849999999999</v>
      </c>
      <c r="U264">
        <v>-7.5683590000000002E-3</v>
      </c>
      <c r="V264">
        <v>6.4357990000000004E-2</v>
      </c>
      <c r="W264">
        <v>8.4262779999999995E-2</v>
      </c>
      <c r="X264">
        <v>0.994363</v>
      </c>
      <c r="Y264">
        <v>-9.3112190000000001E-4</v>
      </c>
      <c r="Z264">
        <v>2.3810779999999999E-4</v>
      </c>
      <c r="AA264">
        <v>0.99999950000000004</v>
      </c>
      <c r="AB264">
        <v>24</v>
      </c>
      <c r="AC264">
        <v>17.942999999999898</v>
      </c>
      <c r="AD264">
        <v>-1.1103369999999999</v>
      </c>
      <c r="AE264">
        <v>-4.4399999999995998E-2</v>
      </c>
      <c r="AF264">
        <v>-1.7251300073370598E-2</v>
      </c>
      <c r="AG264">
        <v>-1.1103369999999999</v>
      </c>
      <c r="AH264">
        <v>17.8745997726888</v>
      </c>
      <c r="AI264">
        <v>93.554538720139902</v>
      </c>
      <c r="AJ264">
        <v>90.055297818747803</v>
      </c>
      <c r="AK264">
        <v>17.9090609160484</v>
      </c>
      <c r="AL264">
        <v>85.166366674670599</v>
      </c>
      <c r="AM264">
        <v>86.296820019038805</v>
      </c>
      <c r="AN264">
        <v>0.99999997136958296</v>
      </c>
    </row>
    <row r="265" spans="1:40" x14ac:dyDescent="0.25">
      <c r="A265" t="str">
        <f>"20190312151226770"</f>
        <v>20190312151226770</v>
      </c>
      <c r="B265" t="str">
        <f>"1552374746760295"</f>
        <v>1552374746760295</v>
      </c>
      <c r="C265" t="s">
        <v>40</v>
      </c>
      <c r="D265">
        <v>3.9765480000000002</v>
      </c>
      <c r="E265">
        <v>0.4744601</v>
      </c>
      <c r="F265" t="s">
        <v>43</v>
      </c>
      <c r="G265">
        <v>-401.16149999999999</v>
      </c>
      <c r="H265">
        <v>-0.05</v>
      </c>
      <c r="I265">
        <v>368.13279999999997</v>
      </c>
      <c r="J265">
        <v>-418.952</v>
      </c>
      <c r="K265">
        <v>1.06033</v>
      </c>
      <c r="L265">
        <v>368.16750000000002</v>
      </c>
      <c r="M265">
        <v>0.99988849999999996</v>
      </c>
      <c r="N265">
        <v>0</v>
      </c>
      <c r="O265">
        <v>-3.6502129999999998E-3</v>
      </c>
      <c r="P265">
        <v>0.9952609</v>
      </c>
      <c r="Q265">
        <v>7.000555E-2</v>
      </c>
      <c r="R265">
        <v>-6.7492269999999993E-2</v>
      </c>
      <c r="S265">
        <v>3.0270079999999999</v>
      </c>
      <c r="T265">
        <v>-0.18626709999999999</v>
      </c>
      <c r="U265">
        <v>-6.0119630000000004E-3</v>
      </c>
      <c r="V265">
        <v>6.3889650000000006E-2</v>
      </c>
      <c r="W265">
        <v>8.439439E-2</v>
      </c>
      <c r="X265">
        <v>0.99438210000000005</v>
      </c>
      <c r="Y265">
        <v>-1.654464E-3</v>
      </c>
      <c r="Z265">
        <v>2.7528220000000003E-4</v>
      </c>
      <c r="AA265">
        <v>0.99999859999999896</v>
      </c>
      <c r="AB265">
        <v>24</v>
      </c>
      <c r="AC265">
        <v>17.790500000000002</v>
      </c>
      <c r="AD265">
        <v>-1.11032999999999</v>
      </c>
      <c r="AE265">
        <v>-3.4700000000043398E-2</v>
      </c>
      <c r="AF265">
        <v>-3.0128797623306301E-2</v>
      </c>
      <c r="AG265">
        <v>-1.11032999999999</v>
      </c>
      <c r="AH265">
        <v>17.721479988757199</v>
      </c>
      <c r="AI265">
        <v>93.585145368852594</v>
      </c>
      <c r="AJ265">
        <v>90.097410108157305</v>
      </c>
      <c r="AK265">
        <v>17.7562550512563</v>
      </c>
      <c r="AL265">
        <v>85.158799308460701</v>
      </c>
      <c r="AM265">
        <v>86.323764704889797</v>
      </c>
      <c r="AN265">
        <v>1.0000000306204999</v>
      </c>
    </row>
    <row r="266" spans="1:40" x14ac:dyDescent="0.25">
      <c r="A266" t="str">
        <f>"20190312151226792"</f>
        <v>20190312151226792</v>
      </c>
      <c r="B266" t="str">
        <f>"1552374746779813"</f>
        <v>1552374746779813</v>
      </c>
      <c r="C266" t="s">
        <v>40</v>
      </c>
      <c r="D266">
        <v>3.97668</v>
      </c>
      <c r="E266">
        <v>0.47441410000000001</v>
      </c>
      <c r="F266" t="s">
        <v>43</v>
      </c>
      <c r="G266">
        <v>-400.9914</v>
      </c>
      <c r="H266">
        <v>-0.05</v>
      </c>
      <c r="I266">
        <v>368.1377</v>
      </c>
      <c r="J266">
        <v>-418.7056</v>
      </c>
      <c r="K266">
        <v>1.0603309999999999</v>
      </c>
      <c r="L266">
        <v>368.16640000000001</v>
      </c>
      <c r="M266">
        <v>0.99988770000000005</v>
      </c>
      <c r="N266">
        <v>0</v>
      </c>
      <c r="O266">
        <v>-3.8555619999999999E-3</v>
      </c>
      <c r="P266">
        <v>0.99527160000000003</v>
      </c>
      <c r="Q266">
        <v>6.9778870000000007E-2</v>
      </c>
      <c r="R266">
        <v>-6.7566429999999997E-2</v>
      </c>
      <c r="S266">
        <v>3.027069</v>
      </c>
      <c r="T266">
        <v>-0.1871343</v>
      </c>
      <c r="U266">
        <v>-5.0353999999999998E-3</v>
      </c>
      <c r="V266">
        <v>6.3759300000000005E-2</v>
      </c>
      <c r="W266">
        <v>8.4163940000000007E-2</v>
      </c>
      <c r="X266">
        <v>0.99441000000000002</v>
      </c>
      <c r="Y266">
        <v>-2.180993E-3</v>
      </c>
      <c r="Z266">
        <v>3.0549929999999998E-4</v>
      </c>
      <c r="AA266">
        <v>0.99999760000000004</v>
      </c>
      <c r="AB266">
        <v>24</v>
      </c>
      <c r="AC266">
        <v>17.714200000000002</v>
      </c>
      <c r="AD266">
        <v>-1.110331</v>
      </c>
      <c r="AE266">
        <v>-2.87000000000148E-2</v>
      </c>
      <c r="AF266">
        <v>-3.9450578974929498E-2</v>
      </c>
      <c r="AG266">
        <v>-1.110331</v>
      </c>
      <c r="AH266">
        <v>17.6448557400937</v>
      </c>
      <c r="AI266">
        <v>93.600672738087297</v>
      </c>
      <c r="AJ266">
        <v>90.128102373945495</v>
      </c>
      <c r="AK266">
        <v>17.67979992439</v>
      </c>
      <c r="AL266">
        <v>85.172050274621</v>
      </c>
      <c r="AM266">
        <v>86.331347241613003</v>
      </c>
      <c r="AN266">
        <v>1.0000000326164</v>
      </c>
    </row>
    <row r="267" spans="1:40" x14ac:dyDescent="0.25">
      <c r="A267" t="str">
        <f>"20190312151226812"</f>
        <v>20190312151226812</v>
      </c>
      <c r="B267" t="str">
        <f>"1552374746810069"</f>
        <v>1552374746810069</v>
      </c>
      <c r="C267" t="s">
        <v>40</v>
      </c>
      <c r="D267">
        <v>3.9919099999999998</v>
      </c>
      <c r="E267">
        <v>0.4742999</v>
      </c>
      <c r="F267" t="s">
        <v>43</v>
      </c>
      <c r="G267">
        <v>-400.86700000000002</v>
      </c>
      <c r="H267">
        <v>-0.05</v>
      </c>
      <c r="I267">
        <v>368.13850000000002</v>
      </c>
      <c r="J267">
        <v>-418.48050000000001</v>
      </c>
      <c r="K267">
        <v>1.060333</v>
      </c>
      <c r="L267">
        <v>368.1653</v>
      </c>
      <c r="M267">
        <v>0.99988710000000003</v>
      </c>
      <c r="N267">
        <v>0</v>
      </c>
      <c r="O267">
        <v>-4.0432799999999998E-3</v>
      </c>
      <c r="P267">
        <v>0.99526060000000005</v>
      </c>
      <c r="Q267">
        <v>7.0007700000000006E-2</v>
      </c>
      <c r="R267">
        <v>-6.7494269999999995E-2</v>
      </c>
      <c r="S267">
        <v>3.027161</v>
      </c>
      <c r="T267">
        <v>-0.1884197</v>
      </c>
      <c r="U267">
        <v>-4.7302250000000002E-3</v>
      </c>
      <c r="V267">
        <v>6.3500360000000006E-2</v>
      </c>
      <c r="W267">
        <v>8.4390110000000004E-2</v>
      </c>
      <c r="X267">
        <v>0.99440740000000005</v>
      </c>
      <c r="Y267">
        <v>-2.4685150000000001E-3</v>
      </c>
      <c r="Z267">
        <v>3.2819780000000002E-4</v>
      </c>
      <c r="AA267">
        <v>0.99999689999999997</v>
      </c>
      <c r="AB267">
        <v>24</v>
      </c>
      <c r="AC267">
        <v>17.613499999999998</v>
      </c>
      <c r="AD267">
        <v>-1.110333</v>
      </c>
      <c r="AE267">
        <v>-2.67999999999801E-2</v>
      </c>
      <c r="AF267">
        <v>-4.4248153689166E-2</v>
      </c>
      <c r="AG267">
        <v>-1.110333</v>
      </c>
      <c r="AH267">
        <v>17.5437477127041</v>
      </c>
      <c r="AI267">
        <v>93.621373096063493</v>
      </c>
      <c r="AJ267">
        <v>90.144508865687399</v>
      </c>
      <c r="AK267">
        <v>17.5789044333543</v>
      </c>
      <c r="AL267">
        <v>85.1590454179658</v>
      </c>
      <c r="AM267">
        <v>86.346196446025999</v>
      </c>
      <c r="AN267">
        <v>1.0000000317803499</v>
      </c>
    </row>
    <row r="268" spans="1:40" x14ac:dyDescent="0.25">
      <c r="A268" t="str">
        <f>"20190312151226837"</f>
        <v>20190312151226837</v>
      </c>
      <c r="B268" t="str">
        <f>"1552374746829588"</f>
        <v>1552374746829588</v>
      </c>
      <c r="C268" t="s">
        <v>40</v>
      </c>
      <c r="D268">
        <v>4.2444790000000001</v>
      </c>
      <c r="E268">
        <v>0.4639509</v>
      </c>
      <c r="F268" t="s">
        <v>43</v>
      </c>
      <c r="G268">
        <v>-400.68650000000002</v>
      </c>
      <c r="H268">
        <v>-0.05</v>
      </c>
      <c r="I268">
        <v>368.14429999999999</v>
      </c>
      <c r="J268">
        <v>-418.21469999999999</v>
      </c>
      <c r="K268">
        <v>1.060338</v>
      </c>
      <c r="L268">
        <v>368.16399999999999</v>
      </c>
      <c r="M268">
        <v>0.99988619999999995</v>
      </c>
      <c r="N268">
        <v>0</v>
      </c>
      <c r="O268">
        <v>-4.2646439999999997E-3</v>
      </c>
      <c r="P268">
        <v>0.99523119999999998</v>
      </c>
      <c r="Q268">
        <v>7.0059940000000001E-2</v>
      </c>
      <c r="R268">
        <v>-6.787232E-2</v>
      </c>
      <c r="S268">
        <v>3.027374</v>
      </c>
      <c r="T268">
        <v>-0.1889063</v>
      </c>
      <c r="U268">
        <v>-3.5705569999999998E-3</v>
      </c>
      <c r="V268">
        <v>6.3657889999999995E-2</v>
      </c>
      <c r="W268">
        <v>8.4444270000000002E-2</v>
      </c>
      <c r="X268">
        <v>0.99439270000000002</v>
      </c>
      <c r="Y268">
        <v>-3.071406E-3</v>
      </c>
      <c r="Z268">
        <v>3.6161340000000002E-4</v>
      </c>
      <c r="AA268">
        <v>0.99999519999999997</v>
      </c>
      <c r="AB268">
        <v>24</v>
      </c>
      <c r="AC268">
        <v>17.528199999999899</v>
      </c>
      <c r="AD268">
        <v>-1.1103379999999901</v>
      </c>
      <c r="AE268">
        <v>-1.97000000000002E-2</v>
      </c>
      <c r="AF268">
        <v>-5.48394861931766E-2</v>
      </c>
      <c r="AG268">
        <v>-1.1103379999999901</v>
      </c>
      <c r="AH268">
        <v>17.458070830760199</v>
      </c>
      <c r="AI268">
        <v>93.639107614835595</v>
      </c>
      <c r="AJ268">
        <v>90.179977547666397</v>
      </c>
      <c r="AK268">
        <v>17.493430051746</v>
      </c>
      <c r="AL268">
        <v>85.1559310165093</v>
      </c>
      <c r="AM268">
        <v>86.337102833336999</v>
      </c>
      <c r="AN268">
        <v>1.0000000017541799</v>
      </c>
    </row>
    <row r="269" spans="1:40" x14ac:dyDescent="0.25">
      <c r="A269" t="str">
        <f>"20190312151226860"</f>
        <v>20190312151226860</v>
      </c>
      <c r="B269" t="str">
        <f>"1552374746850085"</f>
        <v>1552374746850085</v>
      </c>
      <c r="C269" t="s">
        <v>40</v>
      </c>
      <c r="D269">
        <v>4.2152050000000001</v>
      </c>
      <c r="E269">
        <v>0.46279710000000002</v>
      </c>
      <c r="F269" t="s">
        <v>43</v>
      </c>
      <c r="G269">
        <v>-399.81400000000002</v>
      </c>
      <c r="H269">
        <v>-0.05</v>
      </c>
      <c r="I269">
        <v>368.63319999999999</v>
      </c>
      <c r="J269">
        <v>-417.96870000000001</v>
      </c>
      <c r="K269">
        <v>1.0603419999999999</v>
      </c>
      <c r="L269">
        <v>368.16269999999997</v>
      </c>
      <c r="M269">
        <v>0.99988520000000003</v>
      </c>
      <c r="N269">
        <v>0</v>
      </c>
      <c r="O269">
        <v>-4.4698250000000002E-3</v>
      </c>
      <c r="P269">
        <v>0.99518079999999998</v>
      </c>
      <c r="Q269">
        <v>7.01238E-2</v>
      </c>
      <c r="R269">
        <v>-6.8543080000000006E-2</v>
      </c>
      <c r="S269">
        <v>3.032562</v>
      </c>
      <c r="T269">
        <v>-0.1829915</v>
      </c>
      <c r="U269">
        <v>7.7331540000000004E-2</v>
      </c>
      <c r="V269">
        <v>6.4124500000000001E-2</v>
      </c>
      <c r="W269">
        <v>8.4513179999999993E-2</v>
      </c>
      <c r="X269">
        <v>0.99435689999999999</v>
      </c>
      <c r="Y269">
        <v>-2.989822E-2</v>
      </c>
      <c r="Z269">
        <v>1.1705589999999901E-3</v>
      </c>
      <c r="AA269">
        <v>0.9995522</v>
      </c>
      <c r="AB269">
        <v>24</v>
      </c>
      <c r="AC269">
        <v>18.154699999999899</v>
      </c>
      <c r="AD269">
        <v>-1.1103419999999999</v>
      </c>
      <c r="AE269">
        <v>0.47050000000001502</v>
      </c>
      <c r="AF269">
        <v>-0.54959771924974898</v>
      </c>
      <c r="AG269">
        <v>-1.1103419999999999</v>
      </c>
      <c r="AH269">
        <v>18.084813596350099</v>
      </c>
      <c r="AI269">
        <v>93.511725871018001</v>
      </c>
      <c r="AJ269">
        <v>91.740683741680201</v>
      </c>
      <c r="AK269">
        <v>18.127200551235099</v>
      </c>
      <c r="AL269">
        <v>85.151968770315506</v>
      </c>
      <c r="AM269">
        <v>86.310195355894294</v>
      </c>
      <c r="AN269">
        <v>1.00000003683578</v>
      </c>
    </row>
    <row r="270" spans="1:40" x14ac:dyDescent="0.25">
      <c r="A270" t="str">
        <f>"20190312151226881"</f>
        <v>20190312151226881</v>
      </c>
      <c r="B270" t="str">
        <f>"1552374746869616"</f>
        <v>1552374746869616</v>
      </c>
      <c r="C270" t="s">
        <v>40</v>
      </c>
      <c r="D270">
        <v>4.4501999999999997</v>
      </c>
      <c r="E270">
        <v>0.4624239</v>
      </c>
      <c r="F270" t="s">
        <v>43</v>
      </c>
      <c r="G270">
        <v>-399.92930000000001</v>
      </c>
      <c r="H270">
        <v>-0.05</v>
      </c>
      <c r="I270">
        <v>368.66699999999997</v>
      </c>
      <c r="J270">
        <v>-417.74180000000001</v>
      </c>
      <c r="K270">
        <v>1.0603499999999999</v>
      </c>
      <c r="L270">
        <v>368.16149999999999</v>
      </c>
      <c r="M270">
        <v>0.99988410000000005</v>
      </c>
      <c r="N270">
        <v>0</v>
      </c>
      <c r="O270">
        <v>-4.6590399999999997E-3</v>
      </c>
      <c r="P270">
        <v>0.99510989999999999</v>
      </c>
      <c r="Q270">
        <v>7.0770200000000005E-2</v>
      </c>
      <c r="R270">
        <v>-6.8907049999999997E-2</v>
      </c>
      <c r="S270">
        <v>3.0335390000000002</v>
      </c>
      <c r="T270">
        <v>-0.1867173</v>
      </c>
      <c r="U270">
        <v>8.4808350000000005E-2</v>
      </c>
      <c r="V270">
        <v>6.430044E-2</v>
      </c>
      <c r="W270">
        <v>8.5165519999999995E-2</v>
      </c>
      <c r="X270">
        <v>0.9942898</v>
      </c>
      <c r="Y270">
        <v>-3.2533069999999997E-2</v>
      </c>
      <c r="Z270">
        <v>1.286555E-3</v>
      </c>
      <c r="AA270">
        <v>0.99946979999999996</v>
      </c>
      <c r="AB270">
        <v>24</v>
      </c>
      <c r="AC270">
        <v>17.8125</v>
      </c>
      <c r="AD270">
        <v>-1.1103499999999999</v>
      </c>
      <c r="AE270">
        <v>0.50549999999998296</v>
      </c>
      <c r="AF270">
        <v>-0.58621634913107201</v>
      </c>
      <c r="AG270">
        <v>-1.1103499999999999</v>
      </c>
      <c r="AH270">
        <v>17.741070117066698</v>
      </c>
      <c r="AI270">
        <v>93.579317979045499</v>
      </c>
      <c r="AJ270">
        <v>91.892529954805198</v>
      </c>
      <c r="AK270">
        <v>17.7854461745879</v>
      </c>
      <c r="AL270">
        <v>85.114456820289504</v>
      </c>
      <c r="AM270">
        <v>86.299850633168205</v>
      </c>
      <c r="AN270">
        <v>0.99999995938255104</v>
      </c>
    </row>
    <row r="271" spans="1:40" x14ac:dyDescent="0.25">
      <c r="A271" t="str">
        <f>"20190312151226901"</f>
        <v>20190312151226901</v>
      </c>
      <c r="B271" t="str">
        <f>"1552374746890101"</f>
        <v>1552374746890101</v>
      </c>
      <c r="C271" t="s">
        <v>40</v>
      </c>
      <c r="D271">
        <v>4.0174469999999998</v>
      </c>
      <c r="E271">
        <v>0.4624682</v>
      </c>
      <c r="F271" t="s">
        <v>43</v>
      </c>
      <c r="G271">
        <v>-400.36099999999999</v>
      </c>
      <c r="H271">
        <v>-0.05</v>
      </c>
      <c r="I271">
        <v>368.65550000000002</v>
      </c>
      <c r="J271">
        <v>-417.51850000000002</v>
      </c>
      <c r="K271">
        <v>1.0603560000000001</v>
      </c>
      <c r="L271">
        <v>368.16030000000001</v>
      </c>
      <c r="M271">
        <v>0.99988339999999998</v>
      </c>
      <c r="N271">
        <v>0</v>
      </c>
      <c r="O271">
        <v>-4.8456300000000001E-3</v>
      </c>
      <c r="P271">
        <v>0.99507420000000002</v>
      </c>
      <c r="Q271">
        <v>7.0995199999999994E-2</v>
      </c>
      <c r="R271">
        <v>-6.9193110000000002E-2</v>
      </c>
      <c r="S271">
        <v>3.0344850000000001</v>
      </c>
      <c r="T271">
        <v>-0.19385479999999999</v>
      </c>
      <c r="U271">
        <v>8.6242680000000002E-2</v>
      </c>
      <c r="V271">
        <v>6.4400799999999994E-2</v>
      </c>
      <c r="W271">
        <v>8.5395929999999995E-2</v>
      </c>
      <c r="X271">
        <v>0.99426360000000003</v>
      </c>
      <c r="Y271">
        <v>-3.3175799999999998E-2</v>
      </c>
      <c r="Z271">
        <v>1.367626E-3</v>
      </c>
      <c r="AA271">
        <v>0.99944860000000002</v>
      </c>
      <c r="AB271">
        <v>24</v>
      </c>
      <c r="AC271">
        <v>17.157499999999999</v>
      </c>
      <c r="AD271">
        <v>-1.1103559999999999</v>
      </c>
      <c r="AE271">
        <v>0.49520000000001102</v>
      </c>
      <c r="AF271">
        <v>-0.57593175154606102</v>
      </c>
      <c r="AG271">
        <v>-1.1103559999999999</v>
      </c>
      <c r="AH271">
        <v>17.0834113279316</v>
      </c>
      <c r="AI271">
        <v>93.716668840944607</v>
      </c>
      <c r="AJ271">
        <v>91.930876974536204</v>
      </c>
      <c r="AK271">
        <v>17.129142723104302</v>
      </c>
      <c r="AL271">
        <v>85.101207313088693</v>
      </c>
      <c r="AM271">
        <v>86.293994145684195</v>
      </c>
      <c r="AN271">
        <v>1.0000000170930801</v>
      </c>
    </row>
    <row r="272" spans="1:40" x14ac:dyDescent="0.25">
      <c r="A272" t="str">
        <f>"20190312151226925"</f>
        <v>20190312151226925</v>
      </c>
      <c r="B272" t="str">
        <f>"1552374746919887"</f>
        <v>1552374746919887</v>
      </c>
      <c r="C272" t="s">
        <v>40</v>
      </c>
      <c r="D272">
        <v>4.0391849999999998</v>
      </c>
      <c r="E272">
        <v>0.46247569999999999</v>
      </c>
      <c r="F272" t="s">
        <v>43</v>
      </c>
      <c r="G272">
        <v>-400.19450000000001</v>
      </c>
      <c r="H272">
        <v>-0.05</v>
      </c>
      <c r="I272">
        <v>368.64510000000001</v>
      </c>
      <c r="J272">
        <v>-417.2638</v>
      </c>
      <c r="K272">
        <v>1.06036</v>
      </c>
      <c r="L272">
        <v>368.15879999999999</v>
      </c>
      <c r="M272">
        <v>0.99988200000000005</v>
      </c>
      <c r="N272">
        <v>0</v>
      </c>
      <c r="O272">
        <v>-5.057967E-3</v>
      </c>
      <c r="P272">
        <v>0.9950196</v>
      </c>
      <c r="Q272">
        <v>7.1228680000000003E-2</v>
      </c>
      <c r="R272">
        <v>-6.9731619999999994E-2</v>
      </c>
      <c r="S272">
        <v>3.034637</v>
      </c>
      <c r="T272">
        <v>-0.19450129999999999</v>
      </c>
      <c r="U272">
        <v>8.4930420000000006E-2</v>
      </c>
      <c r="V272">
        <v>6.4728599999999997E-2</v>
      </c>
      <c r="W272">
        <v>8.5634920000000003E-2</v>
      </c>
      <c r="X272">
        <v>0.99422169999999999</v>
      </c>
      <c r="Y272">
        <v>-3.2954280000000002E-2</v>
      </c>
      <c r="Z272">
        <v>1.378621E-3</v>
      </c>
      <c r="AA272">
        <v>0.99945589999999995</v>
      </c>
      <c r="AB272">
        <v>24</v>
      </c>
      <c r="AC272">
        <v>17.069299999999998</v>
      </c>
      <c r="AD272">
        <v>-1.11036</v>
      </c>
      <c r="AE272">
        <v>0.48630000000002799</v>
      </c>
      <c r="AF272">
        <v>-0.57022784586149899</v>
      </c>
      <c r="AG272">
        <v>-1.11036</v>
      </c>
      <c r="AH272">
        <v>16.994766325002299</v>
      </c>
      <c r="AI272">
        <v>93.736033707924506</v>
      </c>
      <c r="AJ272">
        <v>91.921732600011595</v>
      </c>
      <c r="AK272">
        <v>17.040544051386</v>
      </c>
      <c r="AL272">
        <v>85.087463569206903</v>
      </c>
      <c r="AM272">
        <v>86.275027015570103</v>
      </c>
      <c r="AN272">
        <v>0.99999995996612701</v>
      </c>
    </row>
    <row r="273" spans="1:40" x14ac:dyDescent="0.25">
      <c r="A273" t="str">
        <f>"20190312151226947"</f>
        <v>20190312151226947</v>
      </c>
      <c r="B273" t="str">
        <f>"1552374746939407"</f>
        <v>1552374746939407</v>
      </c>
      <c r="C273" t="s">
        <v>40</v>
      </c>
      <c r="D273">
        <v>4.0629559999999998</v>
      </c>
      <c r="E273">
        <v>0.4605552</v>
      </c>
      <c r="F273" t="s">
        <v>43</v>
      </c>
      <c r="G273">
        <v>-399.93979999999999</v>
      </c>
      <c r="H273">
        <v>-0.05</v>
      </c>
      <c r="I273">
        <v>368.637</v>
      </c>
      <c r="J273">
        <v>-417.03489999999999</v>
      </c>
      <c r="K273">
        <v>1.0603610000000001</v>
      </c>
      <c r="L273">
        <v>368.1574</v>
      </c>
      <c r="M273">
        <v>0.99988100000000002</v>
      </c>
      <c r="N273">
        <v>0</v>
      </c>
      <c r="O273">
        <v>-5.2494280000000004E-3</v>
      </c>
      <c r="P273">
        <v>0.99501030000000001</v>
      </c>
      <c r="Q273">
        <v>7.0925890000000005E-2</v>
      </c>
      <c r="R273">
        <v>-7.0172960000000006E-2</v>
      </c>
      <c r="S273">
        <v>3.034821</v>
      </c>
      <c r="T273">
        <v>-0.19451270000000001</v>
      </c>
      <c r="U273">
        <v>8.3770750000000005E-2</v>
      </c>
      <c r="V273">
        <v>6.4978930000000004E-2</v>
      </c>
      <c r="W273">
        <v>8.5336549999999997E-2</v>
      </c>
      <c r="X273">
        <v>0.99423099999999998</v>
      </c>
      <c r="Y273">
        <v>-3.2762350000000003E-2</v>
      </c>
      <c r="Z273">
        <v>1.3847410000000001E-3</v>
      </c>
      <c r="AA273">
        <v>0.99946219999999997</v>
      </c>
      <c r="AB273">
        <v>24</v>
      </c>
      <c r="AC273">
        <v>17.095099999999999</v>
      </c>
      <c r="AD273">
        <v>-1.1103609999999999</v>
      </c>
      <c r="AE273">
        <v>0.47959999999994801</v>
      </c>
      <c r="AF273">
        <v>-0.56695237400880305</v>
      </c>
      <c r="AG273">
        <v>-1.1103609999999999</v>
      </c>
      <c r="AH273">
        <v>17.020597127764599</v>
      </c>
      <c r="AI273">
        <v>93.730413430096903</v>
      </c>
      <c r="AJ273">
        <v>91.907804518005094</v>
      </c>
      <c r="AK273">
        <v>17.066196504505101</v>
      </c>
      <c r="AL273">
        <v>85.104621597103502</v>
      </c>
      <c r="AM273">
        <v>86.2606968066343</v>
      </c>
      <c r="AN273">
        <v>0.99999993473542104</v>
      </c>
    </row>
    <row r="274" spans="1:40" x14ac:dyDescent="0.25">
      <c r="A274" t="str">
        <f>"20190312151226970"</f>
        <v>20190312151226970</v>
      </c>
      <c r="B274" t="str">
        <f>"1552374746959903"</f>
        <v>1552374746959903</v>
      </c>
      <c r="C274" t="s">
        <v>40</v>
      </c>
      <c r="D274">
        <v>4.2290089999999996</v>
      </c>
      <c r="E274">
        <v>0.46107629999999999</v>
      </c>
      <c r="F274" t="s">
        <v>43</v>
      </c>
      <c r="G274">
        <v>-403.76710000000003</v>
      </c>
      <c r="H274">
        <v>-0.05</v>
      </c>
      <c r="I274">
        <v>368.58049999999997</v>
      </c>
      <c r="J274">
        <v>-416.78440000000001</v>
      </c>
      <c r="K274">
        <v>1.0603670000000001</v>
      </c>
      <c r="L274">
        <v>368.1558</v>
      </c>
      <c r="M274">
        <v>0.99987979999999999</v>
      </c>
      <c r="N274">
        <v>0</v>
      </c>
      <c r="O274">
        <v>-5.458531E-3</v>
      </c>
      <c r="P274">
        <v>0.99502860000000004</v>
      </c>
      <c r="Q274">
        <v>7.0653160000000007E-2</v>
      </c>
      <c r="R274">
        <v>-7.0187079999999999E-2</v>
      </c>
      <c r="S274">
        <v>3.0400390000000002</v>
      </c>
      <c r="T274">
        <v>-0.254415</v>
      </c>
      <c r="U274">
        <v>9.6954349999999995E-2</v>
      </c>
      <c r="V274">
        <v>6.4784560000000005E-2</v>
      </c>
      <c r="W274">
        <v>8.5068610000000003E-2</v>
      </c>
      <c r="X274">
        <v>0.99426669999999995</v>
      </c>
      <c r="Y274">
        <v>-3.71832E-2</v>
      </c>
      <c r="Z274">
        <v>2.0087460000000001E-3</v>
      </c>
      <c r="AA274">
        <v>0.99930640000000004</v>
      </c>
      <c r="AB274">
        <v>24</v>
      </c>
      <c r="AC274">
        <v>13.017299999999899</v>
      </c>
      <c r="AD274">
        <v>-1.1103670000000001</v>
      </c>
      <c r="AE274">
        <v>0.42469999999997199</v>
      </c>
      <c r="AF274">
        <v>-0.49217921367977702</v>
      </c>
      <c r="AG274">
        <v>-1.1103670000000001</v>
      </c>
      <c r="AH274">
        <v>12.920875528931999</v>
      </c>
      <c r="AI274">
        <v>94.908154745354395</v>
      </c>
      <c r="AJ274">
        <v>92.181443846968193</v>
      </c>
      <c r="AK274">
        <v>12.9778341678118</v>
      </c>
      <c r="AL274">
        <v>85.120029724026693</v>
      </c>
      <c r="AM274">
        <v>86.271983992354706</v>
      </c>
      <c r="AN274">
        <v>0.99999998917530697</v>
      </c>
    </row>
    <row r="275" spans="1:40" x14ac:dyDescent="0.25">
      <c r="A275" t="str">
        <f>"20190312151226994"</f>
        <v>20190312151226994</v>
      </c>
      <c r="B275" t="str">
        <f>"1552374746990158"</f>
        <v>1552374746990158</v>
      </c>
      <c r="C275" t="s">
        <v>40</v>
      </c>
      <c r="D275">
        <v>4.0632159999999997</v>
      </c>
      <c r="E275">
        <v>0.4595767</v>
      </c>
      <c r="F275" t="s">
        <v>43</v>
      </c>
      <c r="G275">
        <v>-401.32279999999997</v>
      </c>
      <c r="H275">
        <v>-0.05</v>
      </c>
      <c r="I275">
        <v>368.6284</v>
      </c>
      <c r="J275">
        <v>-416.53339999999997</v>
      </c>
      <c r="K275">
        <v>1.060368</v>
      </c>
      <c r="L275">
        <v>368.1542</v>
      </c>
      <c r="M275">
        <v>0.99987859999999995</v>
      </c>
      <c r="N275">
        <v>0</v>
      </c>
      <c r="O275">
        <v>-5.6683410000000004E-3</v>
      </c>
      <c r="P275">
        <v>0.99497179999999996</v>
      </c>
      <c r="Q275">
        <v>7.0592929999999998E-2</v>
      </c>
      <c r="R275">
        <v>-7.1050360000000007E-2</v>
      </c>
      <c r="S275">
        <v>3.0370180000000002</v>
      </c>
      <c r="T275">
        <v>-0.2181014</v>
      </c>
      <c r="U275">
        <v>9.2834470000000002E-2</v>
      </c>
      <c r="V275">
        <v>6.5439159999999996E-2</v>
      </c>
      <c r="W275">
        <v>8.5011089999999997E-2</v>
      </c>
      <c r="X275">
        <v>0.99422880000000002</v>
      </c>
      <c r="Y275">
        <v>-3.6111659999999997E-2</v>
      </c>
      <c r="Z275">
        <v>1.7011979999999999E-3</v>
      </c>
      <c r="AA275">
        <v>0.99934630000000002</v>
      </c>
      <c r="AB275">
        <v>24</v>
      </c>
      <c r="AC275">
        <v>15.210599999999999</v>
      </c>
      <c r="AD275">
        <v>-1.110368</v>
      </c>
      <c r="AE275">
        <v>0.47419999999999601</v>
      </c>
      <c r="AF275">
        <v>-0.55745258120742402</v>
      </c>
      <c r="AG275">
        <v>-1.110368</v>
      </c>
      <c r="AH275">
        <v>15.1271339942005</v>
      </c>
      <c r="AI275">
        <v>94.195281584347299</v>
      </c>
      <c r="AJ275">
        <v>92.110461495349796</v>
      </c>
      <c r="AK275">
        <v>15.178071463602199</v>
      </c>
      <c r="AL275">
        <v>85.123337597312499</v>
      </c>
      <c r="AM275">
        <v>86.234279857290801</v>
      </c>
      <c r="AN275">
        <v>1.00000003791696</v>
      </c>
    </row>
    <row r="276" spans="1:40" x14ac:dyDescent="0.25">
      <c r="A276" t="str">
        <f>"20190312151227014"</f>
        <v>20190312151227014</v>
      </c>
      <c r="B276" t="str">
        <f>"1552374747010187"</f>
        <v>1552374747010187</v>
      </c>
      <c r="C276" t="s">
        <v>40</v>
      </c>
      <c r="D276">
        <v>4.0870490000000004</v>
      </c>
      <c r="E276">
        <v>0.45963229999999999</v>
      </c>
      <c r="F276" t="s">
        <v>43</v>
      </c>
      <c r="G276">
        <v>-404.03160000000003</v>
      </c>
      <c r="H276">
        <v>-0.05</v>
      </c>
      <c r="I276">
        <v>368.5718</v>
      </c>
      <c r="J276">
        <v>-416.31670000000003</v>
      </c>
      <c r="K276">
        <v>1.060368</v>
      </c>
      <c r="L276">
        <v>368.15269999999998</v>
      </c>
      <c r="M276">
        <v>0.99987749999999997</v>
      </c>
      <c r="N276">
        <v>0</v>
      </c>
      <c r="O276">
        <v>-5.849295E-3</v>
      </c>
      <c r="P276">
        <v>0.99495679999999997</v>
      </c>
      <c r="Q276">
        <v>7.0562379999999994E-2</v>
      </c>
      <c r="R276">
        <v>-7.1286020000000005E-2</v>
      </c>
      <c r="S276">
        <v>3.041595</v>
      </c>
      <c r="T276">
        <v>-0.27014470000000002</v>
      </c>
      <c r="U276">
        <v>0.101593</v>
      </c>
      <c r="V276">
        <v>6.5494849999999993E-2</v>
      </c>
      <c r="W276">
        <v>8.4981639999999997E-2</v>
      </c>
      <c r="X276">
        <v>0.99422759999999999</v>
      </c>
      <c r="Y276">
        <v>-3.9052129999999997E-2</v>
      </c>
      <c r="Z276">
        <v>2.2487729999999999E-3</v>
      </c>
      <c r="AA276">
        <v>0.99923459999999997</v>
      </c>
      <c r="AB276">
        <v>24</v>
      </c>
      <c r="AC276">
        <v>12.2851</v>
      </c>
      <c r="AD276">
        <v>-1.110368</v>
      </c>
      <c r="AE276">
        <v>0.41910000000001402</v>
      </c>
      <c r="AF276">
        <v>-0.48698594377946902</v>
      </c>
      <c r="AG276">
        <v>-1.110368</v>
      </c>
      <c r="AH276">
        <v>12.1830288840519</v>
      </c>
      <c r="AI276">
        <v>95.2034492412579</v>
      </c>
      <c r="AJ276">
        <v>92.289036086824098</v>
      </c>
      <c r="AK276">
        <v>12.243213025775001</v>
      </c>
      <c r="AL276">
        <v>85.125030840154594</v>
      </c>
      <c r="AM276">
        <v>86.231079852845198</v>
      </c>
      <c r="AN276">
        <v>0.99999998755768504</v>
      </c>
    </row>
    <row r="277" spans="1:40" x14ac:dyDescent="0.25">
      <c r="A277" t="str">
        <f>"20190312151227038"</f>
        <v>20190312151227038</v>
      </c>
      <c r="B277" t="str">
        <f>"1552374747029708"</f>
        <v>1552374747029708</v>
      </c>
      <c r="C277" t="s">
        <v>40</v>
      </c>
      <c r="D277">
        <v>4.1054570000000004</v>
      </c>
      <c r="E277">
        <v>0.4597908</v>
      </c>
      <c r="F277" t="s">
        <v>43</v>
      </c>
      <c r="G277">
        <v>-403.81900000000002</v>
      </c>
      <c r="H277">
        <v>-0.05</v>
      </c>
      <c r="I277">
        <v>368.56639999999999</v>
      </c>
      <c r="J277">
        <v>-416.06200000000001</v>
      </c>
      <c r="K277">
        <v>1.0603689999999999</v>
      </c>
      <c r="L277">
        <v>368.15100000000001</v>
      </c>
      <c r="M277">
        <v>0.9998764</v>
      </c>
      <c r="N277">
        <v>0</v>
      </c>
      <c r="O277">
        <v>-6.0620689999999998E-3</v>
      </c>
      <c r="P277">
        <v>0.99498310000000001</v>
      </c>
      <c r="Q277">
        <v>7.0106829999999995E-2</v>
      </c>
      <c r="R277">
        <v>-7.1373660000000005E-2</v>
      </c>
      <c r="S277">
        <v>3.0415649999999999</v>
      </c>
      <c r="T277">
        <v>-0.2702292</v>
      </c>
      <c r="U277">
        <v>0.1006775</v>
      </c>
      <c r="V277">
        <v>6.5369979999999994E-2</v>
      </c>
      <c r="W277">
        <v>8.4527909999999998E-2</v>
      </c>
      <c r="X277">
        <v>0.99427449999999995</v>
      </c>
      <c r="Y277">
        <v>-3.896405E-2</v>
      </c>
      <c r="Z277">
        <v>2.2644679999999999E-3</v>
      </c>
      <c r="AA277">
        <v>0.99923810000000002</v>
      </c>
      <c r="AB277">
        <v>24</v>
      </c>
      <c r="AC277">
        <v>12.242999999999901</v>
      </c>
      <c r="AD277">
        <v>-1.1103689999999999</v>
      </c>
      <c r="AE277">
        <v>0.41539999999997601</v>
      </c>
      <c r="AF277">
        <v>-0.48562817617711401</v>
      </c>
      <c r="AG277">
        <v>-1.1103689999999999</v>
      </c>
      <c r="AH277">
        <v>12.1405103765356</v>
      </c>
      <c r="AI277">
        <v>95.221571046439294</v>
      </c>
      <c r="AJ277">
        <v>92.2906466118434</v>
      </c>
      <c r="AK277">
        <v>12.200850226292699</v>
      </c>
      <c r="AL277">
        <v>85.1511215528771</v>
      </c>
      <c r="AM277">
        <v>86.238421814587596</v>
      </c>
      <c r="AN277">
        <v>0.99999999160220898</v>
      </c>
    </row>
    <row r="278" spans="1:40" x14ac:dyDescent="0.25">
      <c r="A278" t="str">
        <f>"20190312151227059"</f>
        <v>20190312151227059</v>
      </c>
      <c r="B278" t="str">
        <f>"1552374747050203"</f>
        <v>1552374747050203</v>
      </c>
      <c r="C278" t="s">
        <v>40</v>
      </c>
      <c r="D278">
        <v>4.0984389999999999</v>
      </c>
      <c r="E278">
        <v>0.47543920000000001</v>
      </c>
      <c r="F278" t="s">
        <v>43</v>
      </c>
      <c r="G278">
        <v>-403.65890000000002</v>
      </c>
      <c r="H278">
        <v>-0.05</v>
      </c>
      <c r="I278">
        <v>368.55459999999999</v>
      </c>
      <c r="J278">
        <v>-415.82580000000002</v>
      </c>
      <c r="K278">
        <v>1.060371</v>
      </c>
      <c r="L278">
        <v>368.14929999999998</v>
      </c>
      <c r="M278">
        <v>0.99987499999999996</v>
      </c>
      <c r="N278">
        <v>0</v>
      </c>
      <c r="O278">
        <v>-6.2583819999999998E-3</v>
      </c>
      <c r="P278">
        <v>0.99495219999999995</v>
      </c>
      <c r="Q278">
        <v>7.0499679999999995E-2</v>
      </c>
      <c r="R278">
        <v>-7.141583E-2</v>
      </c>
      <c r="S278">
        <v>3.0414119999999998</v>
      </c>
      <c r="T278">
        <v>-0.2722791</v>
      </c>
      <c r="U278">
        <v>9.8968509999999996E-2</v>
      </c>
      <c r="V278">
        <v>6.5216880000000005E-2</v>
      </c>
      <c r="W278">
        <v>8.4920830000000003E-2</v>
      </c>
      <c r="X278">
        <v>0.99425110000000005</v>
      </c>
      <c r="Y278">
        <v>-3.8598979999999998E-2</v>
      </c>
      <c r="Z278">
        <v>2.2829450000000002E-3</v>
      </c>
      <c r="AA278">
        <v>0.99925220000000003</v>
      </c>
      <c r="AB278">
        <v>24</v>
      </c>
      <c r="AC278">
        <v>12.166899999999901</v>
      </c>
      <c r="AD278">
        <v>-1.110371</v>
      </c>
      <c r="AE278">
        <v>0.40530000000001098</v>
      </c>
      <c r="AF278">
        <v>-0.47747288410708399</v>
      </c>
      <c r="AG278">
        <v>-1.110371</v>
      </c>
      <c r="AH278">
        <v>12.063761011943701</v>
      </c>
      <c r="AI278">
        <v>95.254702101847002</v>
      </c>
      <c r="AJ278">
        <v>92.266532751756699</v>
      </c>
      <c r="AK278">
        <v>12.1241590993352</v>
      </c>
      <c r="AL278">
        <v>85.128527792229093</v>
      </c>
      <c r="AM278">
        <v>86.247118357483799</v>
      </c>
      <c r="AN278">
        <v>1.0000000193280101</v>
      </c>
    </row>
    <row r="279" spans="1:40" x14ac:dyDescent="0.25">
      <c r="A279" t="str">
        <f>"20190312151227081"</f>
        <v>20190312151227081</v>
      </c>
      <c r="B279" t="str">
        <f>"1552374747069722"</f>
        <v>1552374747069722</v>
      </c>
      <c r="C279" t="s">
        <v>40</v>
      </c>
      <c r="D279">
        <v>4.0668319999999998</v>
      </c>
      <c r="E279">
        <v>0.4823037</v>
      </c>
      <c r="F279" t="s">
        <v>42</v>
      </c>
      <c r="G279">
        <v>-397.84249999999997</v>
      </c>
      <c r="H279" s="1">
        <v>-1.1935990000000001E-6</v>
      </c>
      <c r="I279">
        <v>368.00560000000002</v>
      </c>
      <c r="J279">
        <v>-415.59739999999999</v>
      </c>
      <c r="K279">
        <v>1.060362</v>
      </c>
      <c r="L279">
        <v>368.14769999999999</v>
      </c>
      <c r="M279">
        <v>0.99987389999999998</v>
      </c>
      <c r="N279">
        <v>0</v>
      </c>
      <c r="O279">
        <v>-6.4471709999999998E-3</v>
      </c>
      <c r="P279">
        <v>0.99496419999999997</v>
      </c>
      <c r="Q279">
        <v>7.0134429999999998E-2</v>
      </c>
      <c r="R279">
        <v>-7.1607050000000005E-2</v>
      </c>
      <c r="S279">
        <v>3.0261230000000001</v>
      </c>
      <c r="T279">
        <v>-0.17843139999999999</v>
      </c>
      <c r="U279">
        <v>-2.4169920000000001E-2</v>
      </c>
      <c r="V279">
        <v>6.5219949999999999E-2</v>
      </c>
      <c r="W279">
        <v>8.4555480000000002E-2</v>
      </c>
      <c r="X279">
        <v>0.994282</v>
      </c>
      <c r="Y279">
        <v>1.5475370000000001E-3</v>
      </c>
      <c r="Z279">
        <v>3.3426480000000003E-4</v>
      </c>
      <c r="AA279">
        <v>0.99999870000000002</v>
      </c>
      <c r="AB279">
        <v>24</v>
      </c>
      <c r="AC279">
        <v>17.754899999999999</v>
      </c>
      <c r="AD279">
        <v>-1.0603631935989899</v>
      </c>
      <c r="AE279">
        <v>-0.14209999999997</v>
      </c>
      <c r="AF279">
        <v>2.7517969714062399E-2</v>
      </c>
      <c r="AG279">
        <v>-1.0603631935989899</v>
      </c>
      <c r="AH279">
        <v>17.692346997988999</v>
      </c>
      <c r="AI279">
        <v>93.429826204911294</v>
      </c>
      <c r="AJ279">
        <v>89.910884505364194</v>
      </c>
      <c r="AK279">
        <v>17.724115482535201</v>
      </c>
      <c r="AL279">
        <v>85.149536192319104</v>
      </c>
      <c r="AM279">
        <v>86.247058503419694</v>
      </c>
      <c r="AN279">
        <v>0.99999998330001605</v>
      </c>
    </row>
    <row r="280" spans="1:40" x14ac:dyDescent="0.25">
      <c r="A280" t="str">
        <f>"20190312151227103"</f>
        <v>20190312151227103</v>
      </c>
      <c r="B280" t="str">
        <f>"1552374747099979"</f>
        <v>1552374747099979</v>
      </c>
      <c r="C280" t="s">
        <v>40</v>
      </c>
      <c r="D280">
        <v>4.3780060000000001</v>
      </c>
      <c r="E280">
        <v>0.4859733</v>
      </c>
      <c r="F280" t="s">
        <v>42</v>
      </c>
      <c r="G280">
        <v>-396.28199999999998</v>
      </c>
      <c r="H280" s="1">
        <v>-1.9277420000000001E-6</v>
      </c>
      <c r="I280">
        <v>367.64069999999998</v>
      </c>
      <c r="J280">
        <v>-415.36239999999998</v>
      </c>
      <c r="K280">
        <v>1.0603629999999999</v>
      </c>
      <c r="L280">
        <v>368.14589999999998</v>
      </c>
      <c r="M280">
        <v>0.99987269999999995</v>
      </c>
      <c r="N280">
        <v>0</v>
      </c>
      <c r="O280">
        <v>-6.6391610000000002E-3</v>
      </c>
      <c r="P280">
        <v>0.99495919999999904</v>
      </c>
      <c r="Q280">
        <v>6.9927370000000003E-2</v>
      </c>
      <c r="R280">
        <v>-7.1879189999999996E-2</v>
      </c>
      <c r="S280">
        <v>3.0211489999999999</v>
      </c>
      <c r="T280">
        <v>-0.16585229999999901</v>
      </c>
      <c r="U280">
        <v>-7.9284670000000002E-2</v>
      </c>
      <c r="V280">
        <v>6.5300410000000003E-2</v>
      </c>
      <c r="W280">
        <v>8.4347350000000001E-2</v>
      </c>
      <c r="X280">
        <v>0.99429440000000002</v>
      </c>
      <c r="Y280">
        <v>1.9576570000000001E-2</v>
      </c>
      <c r="Z280">
        <v>-1.7268979999999999E-4</v>
      </c>
      <c r="AA280">
        <v>0.99980840000000004</v>
      </c>
      <c r="AB280">
        <v>24</v>
      </c>
      <c r="AC280">
        <v>19.080400000000001</v>
      </c>
      <c r="AD280">
        <v>-1.060364927742</v>
      </c>
      <c r="AE280">
        <v>-0.50520000000000198</v>
      </c>
      <c r="AF280">
        <v>0.37733313529204698</v>
      </c>
      <c r="AG280">
        <v>-1.060364927742</v>
      </c>
      <c r="AH280">
        <v>19.024619075665399</v>
      </c>
      <c r="AI280">
        <v>93.189537206710497</v>
      </c>
      <c r="AJ280">
        <v>88.863747980285893</v>
      </c>
      <c r="AK280">
        <v>19.0578824912199</v>
      </c>
      <c r="AL280">
        <v>85.161503931855194</v>
      </c>
      <c r="AM280">
        <v>86.242488588736606</v>
      </c>
      <c r="AN280">
        <v>0.99999998643477495</v>
      </c>
    </row>
    <row r="281" spans="1:40" x14ac:dyDescent="0.25">
      <c r="A281" t="str">
        <f>"20190312151227127"</f>
        <v>20190312151227127</v>
      </c>
      <c r="B281" t="str">
        <f>"1552374747119500"</f>
        <v>1552374747119500</v>
      </c>
      <c r="C281" t="s">
        <v>40</v>
      </c>
      <c r="D281">
        <v>4.0375880000000004</v>
      </c>
      <c r="E281">
        <v>0.48725550000000001</v>
      </c>
      <c r="F281" t="s">
        <v>42</v>
      </c>
      <c r="G281">
        <v>-394.52420000000001</v>
      </c>
      <c r="H281" s="1">
        <v>-2.7256210000000002E-6</v>
      </c>
      <c r="I281">
        <v>367.39389999999997</v>
      </c>
      <c r="J281">
        <v>-415.1259</v>
      </c>
      <c r="K281">
        <v>1.0603659999999999</v>
      </c>
      <c r="L281">
        <v>368.14420000000001</v>
      </c>
      <c r="M281">
        <v>0.99987139999999997</v>
      </c>
      <c r="N281">
        <v>0</v>
      </c>
      <c r="O281">
        <v>-6.8306390000000003E-3</v>
      </c>
      <c r="P281">
        <v>0.99498640000000005</v>
      </c>
      <c r="Q281">
        <v>6.9261729999999994E-2</v>
      </c>
      <c r="R281">
        <v>-7.2146329999999995E-2</v>
      </c>
      <c r="S281">
        <v>3.0181269999999998</v>
      </c>
      <c r="T281">
        <v>-0.1535792</v>
      </c>
      <c r="U281">
        <v>-0.10891720000000001</v>
      </c>
      <c r="V281">
        <v>6.5376080000000003E-2</v>
      </c>
      <c r="W281">
        <v>8.3676929999999997E-2</v>
      </c>
      <c r="X281">
        <v>0.99434610000000001</v>
      </c>
      <c r="Y281">
        <v>2.9207549999999999E-2</v>
      </c>
      <c r="Z281">
        <v>-3.9513269999999999E-4</v>
      </c>
      <c r="AA281">
        <v>0.9995733</v>
      </c>
      <c r="AB281">
        <v>24</v>
      </c>
      <c r="AC281">
        <v>20.601699999999902</v>
      </c>
      <c r="AD281">
        <v>-1.0603687256209999</v>
      </c>
      <c r="AE281">
        <v>-0.75030000000003805</v>
      </c>
      <c r="AF281">
        <v>0.60793651579748198</v>
      </c>
      <c r="AG281">
        <v>-1.0603687256209999</v>
      </c>
      <c r="AH281">
        <v>20.5519715668154</v>
      </c>
      <c r="AI281">
        <v>92.952239236284498</v>
      </c>
      <c r="AJ281">
        <v>88.305659271655401</v>
      </c>
      <c r="AK281">
        <v>20.588285599454402</v>
      </c>
      <c r="AL281">
        <v>85.200052579296795</v>
      </c>
      <c r="AM281">
        <v>86.238341918639094</v>
      </c>
      <c r="AN281">
        <v>1.0000000135178</v>
      </c>
    </row>
    <row r="282" spans="1:40" x14ac:dyDescent="0.25">
      <c r="A282" t="str">
        <f>"20190312151227149"</f>
        <v>20190312151227149</v>
      </c>
      <c r="B282" t="str">
        <f>"1552374747139998"</f>
        <v>1552374747139998</v>
      </c>
      <c r="C282" t="s">
        <v>40</v>
      </c>
      <c r="D282">
        <v>4.1063640000000001</v>
      </c>
      <c r="E282">
        <v>0.48811549999999998</v>
      </c>
      <c r="F282" t="s">
        <v>42</v>
      </c>
      <c r="G282">
        <v>-392.90309999999999</v>
      </c>
      <c r="H282" s="1">
        <v>-3.444506E-6</v>
      </c>
      <c r="I282">
        <v>367.26170000000002</v>
      </c>
      <c r="J282">
        <v>-414.88659999999999</v>
      </c>
      <c r="K282">
        <v>1.060362</v>
      </c>
      <c r="L282">
        <v>368.14229999999998</v>
      </c>
      <c r="M282">
        <v>0.99987040000000005</v>
      </c>
      <c r="N282">
        <v>0</v>
      </c>
      <c r="O282">
        <v>-7.0217969999999998E-3</v>
      </c>
      <c r="P282">
        <v>0.99499740000000003</v>
      </c>
      <c r="Q282">
        <v>6.8988960000000002E-2</v>
      </c>
      <c r="R282">
        <v>-7.2256360000000006E-2</v>
      </c>
      <c r="S282">
        <v>3.0164789999999999</v>
      </c>
      <c r="T282">
        <v>-0.14393249999999999</v>
      </c>
      <c r="U282">
        <v>-0.1197815</v>
      </c>
      <c r="V282">
        <v>6.5295080000000005E-2</v>
      </c>
      <c r="W282">
        <v>8.3389450000000004E-2</v>
      </c>
      <c r="X282">
        <v>0.99437560000000003</v>
      </c>
      <c r="Y282">
        <v>3.2630699999999999E-2</v>
      </c>
      <c r="Z282">
        <v>-4.4299759999999997E-4</v>
      </c>
      <c r="AA282">
        <v>0.99946740000000001</v>
      </c>
      <c r="AB282">
        <v>24</v>
      </c>
      <c r="AC282">
        <v>21.9834999999999</v>
      </c>
      <c r="AD282">
        <v>-1.060365444506</v>
      </c>
      <c r="AE282">
        <v>-0.88059999999995797</v>
      </c>
      <c r="AF282">
        <v>0.72451546956419299</v>
      </c>
      <c r="AG282">
        <v>-1.060365444506</v>
      </c>
      <c r="AH282">
        <v>21.938182861355099</v>
      </c>
      <c r="AI282">
        <v>92.7656890456214</v>
      </c>
      <c r="AJ282">
        <v>88.108476127741298</v>
      </c>
      <c r="AK282">
        <v>21.975740369775899</v>
      </c>
      <c r="AL282">
        <v>85.216581870404198</v>
      </c>
      <c r="AM282">
        <v>86.2431003407183</v>
      </c>
      <c r="AN282">
        <v>1.0000000408594301</v>
      </c>
    </row>
    <row r="283" spans="1:40" x14ac:dyDescent="0.25">
      <c r="A283" t="str">
        <f>"20190312151227171"</f>
        <v>20190312151227171</v>
      </c>
      <c r="B283" t="str">
        <f>"1552374747159515"</f>
        <v>1552374747159515</v>
      </c>
      <c r="C283" t="s">
        <v>40</v>
      </c>
      <c r="D283">
        <v>4.077699</v>
      </c>
      <c r="E283">
        <v>0.48857669999999997</v>
      </c>
      <c r="F283" t="s">
        <v>42</v>
      </c>
      <c r="G283">
        <v>-392.17</v>
      </c>
      <c r="H283" s="1">
        <v>-3.7722640000000001E-6</v>
      </c>
      <c r="I283">
        <v>367.18709999999999</v>
      </c>
      <c r="J283">
        <v>-414.65719999999999</v>
      </c>
      <c r="K283">
        <v>1.060357</v>
      </c>
      <c r="L283">
        <v>368.14049999999997</v>
      </c>
      <c r="M283">
        <v>0.99986929999999996</v>
      </c>
      <c r="N283">
        <v>0</v>
      </c>
      <c r="O283">
        <v>-7.2024109999999997E-3</v>
      </c>
      <c r="P283">
        <v>0.99501059999999997</v>
      </c>
      <c r="Q283">
        <v>6.8884600000000004E-2</v>
      </c>
      <c r="R283">
        <v>-7.2172340000000001E-2</v>
      </c>
      <c r="S283">
        <v>3.015625</v>
      </c>
      <c r="T283">
        <v>-0.14076259999999999</v>
      </c>
      <c r="U283">
        <v>-0.12680050000000001</v>
      </c>
      <c r="V283">
        <v>6.5030649999999995E-2</v>
      </c>
      <c r="W283">
        <v>8.3262100000000006E-2</v>
      </c>
      <c r="X283">
        <v>0.9944035</v>
      </c>
      <c r="Y283">
        <v>3.4782859999999999E-2</v>
      </c>
      <c r="Z283">
        <v>-4.7511169999999998E-4</v>
      </c>
      <c r="AA283">
        <v>0.99939480000000003</v>
      </c>
      <c r="AB283">
        <v>24</v>
      </c>
      <c r="AC283">
        <v>22.487199999999898</v>
      </c>
      <c r="AD283">
        <v>-1.0603607722640001</v>
      </c>
      <c r="AE283">
        <v>-0.95339999999998704</v>
      </c>
      <c r="AF283">
        <v>0.78964362054102599</v>
      </c>
      <c r="AG283">
        <v>-1.0603607722640001</v>
      </c>
      <c r="AH283">
        <v>22.44367021974</v>
      </c>
      <c r="AI283">
        <v>92.703281982855302</v>
      </c>
      <c r="AJ283">
        <v>87.984973411637597</v>
      </c>
      <c r="AK283">
        <v>22.482576252450698</v>
      </c>
      <c r="AL283">
        <v>85.223903476845905</v>
      </c>
      <c r="AM283">
        <v>86.258376291824504</v>
      </c>
      <c r="AN283">
        <v>0.99999994177403895</v>
      </c>
    </row>
    <row r="284" spans="1:40" x14ac:dyDescent="0.25">
      <c r="A284" t="str">
        <f>"20190312151227192"</f>
        <v>20190312151227192</v>
      </c>
      <c r="B284" t="str">
        <f>"1552374747189771"</f>
        <v>1552374747189771</v>
      </c>
      <c r="C284" t="s">
        <v>40</v>
      </c>
      <c r="D284">
        <v>4.1452859999999996</v>
      </c>
      <c r="E284">
        <v>0.48897960000000001</v>
      </c>
      <c r="F284" t="s">
        <v>42</v>
      </c>
      <c r="G284">
        <v>-392.6986</v>
      </c>
      <c r="H284" s="1">
        <v>-3.5447359999999999E-6</v>
      </c>
      <c r="I284">
        <v>367.19130000000001</v>
      </c>
      <c r="J284">
        <v>-414.42649999999998</v>
      </c>
      <c r="K284">
        <v>1.0603530000000001</v>
      </c>
      <c r="L284">
        <v>368.1386</v>
      </c>
      <c r="M284">
        <v>0.99986870000000005</v>
      </c>
      <c r="N284">
        <v>0</v>
      </c>
      <c r="O284">
        <v>-7.3819009999999997E-3</v>
      </c>
      <c r="P284">
        <v>0.99495999999999996</v>
      </c>
      <c r="Q284">
        <v>6.9152850000000002E-2</v>
      </c>
      <c r="R284">
        <v>-7.2615269999999996E-2</v>
      </c>
      <c r="S284">
        <v>3.0156860000000001</v>
      </c>
      <c r="T284">
        <v>-0.14562429999999901</v>
      </c>
      <c r="U284">
        <v>-0.1303406</v>
      </c>
      <c r="V284">
        <v>6.5294840000000007E-2</v>
      </c>
      <c r="W284">
        <v>8.3497299999999997E-2</v>
      </c>
      <c r="X284">
        <v>0.99436650000000004</v>
      </c>
      <c r="Y284">
        <v>3.5770589999999998E-2</v>
      </c>
      <c r="Z284">
        <v>-5.0664589999999999E-4</v>
      </c>
      <c r="AA284">
        <v>0.99935989999999997</v>
      </c>
      <c r="AB284">
        <v>24</v>
      </c>
      <c r="AC284">
        <v>21.727899999999899</v>
      </c>
      <c r="AD284">
        <v>-1.0603565447359999</v>
      </c>
      <c r="AE284">
        <v>-0.94729999999998404</v>
      </c>
      <c r="AF284">
        <v>0.784998283550571</v>
      </c>
      <c r="AG284">
        <v>-1.0603565447359999</v>
      </c>
      <c r="AH284">
        <v>21.6827598359253</v>
      </c>
      <c r="AI284">
        <v>92.797886961311505</v>
      </c>
      <c r="AJ284">
        <v>87.926580673491301</v>
      </c>
      <c r="AK284">
        <v>21.7228601341894</v>
      </c>
      <c r="AL284">
        <v>85.210380582626001</v>
      </c>
      <c r="AM284">
        <v>86.243079827227504</v>
      </c>
      <c r="AN284">
        <v>0.99999997578008204</v>
      </c>
    </row>
    <row r="285" spans="1:40" x14ac:dyDescent="0.25">
      <c r="A285" t="str">
        <f>"20190312151227214"</f>
        <v>20190312151227214</v>
      </c>
      <c r="B285" t="str">
        <f>"1552374747210267"</f>
        <v>1552374747210267</v>
      </c>
      <c r="C285" t="s">
        <v>40</v>
      </c>
      <c r="D285">
        <v>4.1516999999999999</v>
      </c>
      <c r="E285">
        <v>0.48923699999999998</v>
      </c>
      <c r="F285" t="s">
        <v>42</v>
      </c>
      <c r="G285">
        <v>-392.00290000000001</v>
      </c>
      <c r="H285" s="1">
        <v>-3.8530420000000001E-6</v>
      </c>
      <c r="I285">
        <v>367.13569999999999</v>
      </c>
      <c r="J285">
        <v>-414.19900000000001</v>
      </c>
      <c r="K285">
        <v>1.0603479999999901</v>
      </c>
      <c r="L285">
        <v>368.13670000000002</v>
      </c>
      <c r="M285">
        <v>0.99986790000000003</v>
      </c>
      <c r="N285">
        <v>0</v>
      </c>
      <c r="O285">
        <v>-7.5576269999999999E-3</v>
      </c>
      <c r="P285">
        <v>0.99496070000000003</v>
      </c>
      <c r="Q285">
        <v>6.9233100000000006E-2</v>
      </c>
      <c r="R285">
        <v>-7.2527889999999998E-2</v>
      </c>
      <c r="S285">
        <v>3.0152589999999999</v>
      </c>
      <c r="T285">
        <v>-0.14258409999999999</v>
      </c>
      <c r="U285">
        <v>-0.13485720000000001</v>
      </c>
      <c r="V285">
        <v>6.5032380000000001E-2</v>
      </c>
      <c r="W285">
        <v>8.3534839999999999E-2</v>
      </c>
      <c r="X285">
        <v>0.99438059999999995</v>
      </c>
      <c r="Y285">
        <v>3.7095179999999998E-2</v>
      </c>
      <c r="Z285">
        <v>-5.1911929999999995E-4</v>
      </c>
      <c r="AA285">
        <v>0.99931159999999997</v>
      </c>
      <c r="AB285">
        <v>24</v>
      </c>
      <c r="AC285">
        <v>22.196100000000001</v>
      </c>
      <c r="AD285">
        <v>-1.06035185304199</v>
      </c>
      <c r="AE285">
        <v>-1.0010000000000301</v>
      </c>
      <c r="AF285">
        <v>0.83131085522782799</v>
      </c>
      <c r="AG285">
        <v>-1.06035185304199</v>
      </c>
      <c r="AH285">
        <v>22.152578750646601</v>
      </c>
      <c r="AI285">
        <v>92.738494540856706</v>
      </c>
      <c r="AJ285">
        <v>87.850892920801101</v>
      </c>
      <c r="AK285">
        <v>22.193516375145901</v>
      </c>
      <c r="AL285">
        <v>85.208222413055907</v>
      </c>
      <c r="AM285">
        <v>86.258191111885793</v>
      </c>
      <c r="AN285">
        <v>1.00000002879932</v>
      </c>
    </row>
    <row r="286" spans="1:40" x14ac:dyDescent="0.25">
      <c r="A286" t="str">
        <f>"20190312151227239"</f>
        <v>20190312151227239</v>
      </c>
      <c r="B286" t="str">
        <f>"1552374747229787"</f>
        <v>1552374747229787</v>
      </c>
      <c r="C286" t="s">
        <v>40</v>
      </c>
      <c r="D286">
        <v>4.1648100000000001</v>
      </c>
      <c r="E286">
        <v>0.48946020000000001</v>
      </c>
      <c r="F286" t="s">
        <v>42</v>
      </c>
      <c r="G286">
        <v>-391.46480000000003</v>
      </c>
      <c r="H286" s="1">
        <v>-4.0890390000000002E-6</v>
      </c>
      <c r="I286">
        <v>367.10669999999999</v>
      </c>
      <c r="J286">
        <v>-413.94639999999998</v>
      </c>
      <c r="K286">
        <v>1.060335</v>
      </c>
      <c r="L286">
        <v>368.13459999999998</v>
      </c>
      <c r="M286">
        <v>0.99986730000000001</v>
      </c>
      <c r="N286">
        <v>0</v>
      </c>
      <c r="O286">
        <v>-7.7520130000000003E-3</v>
      </c>
      <c r="P286">
        <v>0.99491289999999999</v>
      </c>
      <c r="Q286">
        <v>6.9369620000000007E-2</v>
      </c>
      <c r="R286">
        <v>-7.3050039999999997E-2</v>
      </c>
      <c r="S286">
        <v>3.0149539999999999</v>
      </c>
      <c r="T286">
        <v>-0.14062089999999999</v>
      </c>
      <c r="U286">
        <v>-0.13659669999999999</v>
      </c>
      <c r="V286">
        <v>6.5361249999999996E-2</v>
      </c>
      <c r="W286">
        <v>8.3603259999999999E-2</v>
      </c>
      <c r="X286">
        <v>0.99435320000000005</v>
      </c>
      <c r="Y286">
        <v>3.7481500000000001E-2</v>
      </c>
      <c r="Z286">
        <v>-5.1196830000000001E-4</v>
      </c>
      <c r="AA286">
        <v>0.9992972</v>
      </c>
      <c r="AB286">
        <v>23</v>
      </c>
      <c r="AC286">
        <v>22.481599999999901</v>
      </c>
      <c r="AD286">
        <v>-1.0603390890389901</v>
      </c>
      <c r="AE286">
        <v>-1.0278999999999801</v>
      </c>
      <c r="AF286">
        <v>0.85168293306909204</v>
      </c>
      <c r="AG286">
        <v>-1.0603390890389901</v>
      </c>
      <c r="AH286">
        <v>22.439081545828</v>
      </c>
      <c r="AI286">
        <v>92.703505466579799</v>
      </c>
      <c r="AJ286">
        <v>87.826362686224698</v>
      </c>
      <c r="AK286">
        <v>22.480259416264399</v>
      </c>
      <c r="AL286">
        <v>85.204288058780193</v>
      </c>
      <c r="AM286">
        <v>86.239219545566797</v>
      </c>
      <c r="AN286">
        <v>0.999999942217213</v>
      </c>
    </row>
    <row r="287" spans="1:40" x14ac:dyDescent="0.25">
      <c r="A287" t="str">
        <f>"20190312151227261"</f>
        <v>20190312151227261</v>
      </c>
      <c r="B287" t="str">
        <f>"1552374747260043"</f>
        <v>1552374747260043</v>
      </c>
      <c r="C287" t="s">
        <v>40</v>
      </c>
      <c r="D287">
        <v>4.16805</v>
      </c>
      <c r="E287">
        <v>0.4897552</v>
      </c>
      <c r="F287" t="s">
        <v>42</v>
      </c>
      <c r="G287">
        <v>-390.94029999999998</v>
      </c>
      <c r="H287" s="1">
        <v>-4.3215750000000002E-6</v>
      </c>
      <c r="I287">
        <v>367.06420000000003</v>
      </c>
      <c r="J287">
        <v>-413.70420000000001</v>
      </c>
      <c r="K287">
        <v>1.060317</v>
      </c>
      <c r="L287">
        <v>368.13249999999999</v>
      </c>
      <c r="M287">
        <v>0.99986730000000001</v>
      </c>
      <c r="N287">
        <v>0</v>
      </c>
      <c r="O287">
        <v>-7.9380309999999999E-3</v>
      </c>
      <c r="P287">
        <v>0.99488120000000002</v>
      </c>
      <c r="Q287">
        <v>6.9354509999999994E-2</v>
      </c>
      <c r="R287">
        <v>-7.349638E-2</v>
      </c>
      <c r="S287">
        <v>3.0147400000000002</v>
      </c>
      <c r="T287">
        <v>-0.1389474</v>
      </c>
      <c r="U287">
        <v>-0.14025879999999999</v>
      </c>
      <c r="V287">
        <v>6.5622749999999994E-2</v>
      </c>
      <c r="W287">
        <v>8.3497769999999999E-2</v>
      </c>
      <c r="X287">
        <v>0.99434489999999998</v>
      </c>
      <c r="Y287">
        <v>3.8509969999999998E-2</v>
      </c>
      <c r="Z287">
        <v>-5.2101559999999999E-4</v>
      </c>
      <c r="AA287">
        <v>0.99925810000000004</v>
      </c>
      <c r="AB287">
        <v>23</v>
      </c>
      <c r="AC287">
        <v>22.7639</v>
      </c>
      <c r="AD287">
        <v>-1.060321321575</v>
      </c>
      <c r="AE287">
        <v>-1.0682999999999601</v>
      </c>
      <c r="AF287">
        <v>0.88563025413839203</v>
      </c>
      <c r="AG287">
        <v>-1.060321321575</v>
      </c>
      <c r="AH287">
        <v>22.722473131204399</v>
      </c>
      <c r="AI287">
        <v>92.669687632362397</v>
      </c>
      <c r="AJ287">
        <v>87.767971649084501</v>
      </c>
      <c r="AK287">
        <v>22.7644329481395</v>
      </c>
      <c r="AL287">
        <v>85.210353682884502</v>
      </c>
      <c r="AM287">
        <v>86.2241852708447</v>
      </c>
      <c r="AN287">
        <v>1.00000000153427</v>
      </c>
    </row>
    <row r="288" spans="1:40" x14ac:dyDescent="0.25">
      <c r="A288" t="str">
        <f>"20190312151227282"</f>
        <v>20190312151227282</v>
      </c>
      <c r="B288" t="str">
        <f>"1552374747279563"</f>
        <v>1552374747279563</v>
      </c>
      <c r="C288" t="s">
        <v>40</v>
      </c>
      <c r="D288">
        <v>4.1674389999999999</v>
      </c>
      <c r="E288">
        <v>0.48983779999999999</v>
      </c>
      <c r="F288" t="s">
        <v>42</v>
      </c>
      <c r="G288">
        <v>-390.42009999999999</v>
      </c>
      <c r="H288" s="1">
        <v>-4.5521859999999901E-6</v>
      </c>
      <c r="I288">
        <v>367.0222</v>
      </c>
      <c r="J288">
        <v>-413.48500000000001</v>
      </c>
      <c r="K288">
        <v>1.0603020000000001</v>
      </c>
      <c r="L288">
        <v>368.13060000000002</v>
      </c>
      <c r="M288">
        <v>0.99986739999999996</v>
      </c>
      <c r="N288">
        <v>0</v>
      </c>
      <c r="O288">
        <v>-8.1050229999999994E-3</v>
      </c>
      <c r="P288">
        <v>0.99486280000000005</v>
      </c>
      <c r="Q288">
        <v>6.9344580000000003E-2</v>
      </c>
      <c r="R288">
        <v>-7.3754009999999995E-2</v>
      </c>
      <c r="S288">
        <v>3.0143430000000002</v>
      </c>
      <c r="T288">
        <v>-0.13726839999999901</v>
      </c>
      <c r="U288">
        <v>-0.1437378</v>
      </c>
      <c r="V288">
        <v>6.5714419999999996E-2</v>
      </c>
      <c r="W288">
        <v>8.3384219999999995E-2</v>
      </c>
      <c r="X288">
        <v>0.99434829999999996</v>
      </c>
      <c r="Y288">
        <v>3.9499850000000003E-2</v>
      </c>
      <c r="Z288">
        <v>-5.2969930000000001E-4</v>
      </c>
      <c r="AA288">
        <v>0.99921939999999998</v>
      </c>
      <c r="AB288">
        <v>23</v>
      </c>
      <c r="AC288">
        <v>23.064900000000002</v>
      </c>
      <c r="AD288">
        <v>-1.060306552186</v>
      </c>
      <c r="AE288">
        <v>-1.10840000000001</v>
      </c>
      <c r="AF288">
        <v>0.91946476999098403</v>
      </c>
      <c r="AG288">
        <v>-1.060306552186</v>
      </c>
      <c r="AH288">
        <v>23.024581177209701</v>
      </c>
      <c r="AI288">
        <v>92.634572111727493</v>
      </c>
      <c r="AJ288">
        <v>87.713162602587801</v>
      </c>
      <c r="AK288">
        <v>23.0673146212077</v>
      </c>
      <c r="AL288">
        <v>85.216882030770293</v>
      </c>
      <c r="AM288">
        <v>86.218938925171798</v>
      </c>
      <c r="AN288">
        <v>0.99999992742691401</v>
      </c>
    </row>
    <row r="289" spans="1:40" x14ac:dyDescent="0.25">
      <c r="A289" t="str">
        <f>"20190312151227305"</f>
        <v>20190312151227305</v>
      </c>
      <c r="B289" t="str">
        <f>"1552374747300059"</f>
        <v>1552374747300059</v>
      </c>
      <c r="C289" t="s">
        <v>40</v>
      </c>
      <c r="D289">
        <v>4.2011669999999999</v>
      </c>
      <c r="E289">
        <v>0.48997200000000002</v>
      </c>
      <c r="F289" t="s">
        <v>42</v>
      </c>
      <c r="G289">
        <v>-390.04050000000001</v>
      </c>
      <c r="H289" s="1">
        <v>-4.7189300000000002E-6</v>
      </c>
      <c r="I289">
        <v>367.00040000000001</v>
      </c>
      <c r="J289">
        <v>-413.24790000000002</v>
      </c>
      <c r="K289">
        <v>1.060271</v>
      </c>
      <c r="L289">
        <v>368.1284</v>
      </c>
      <c r="M289">
        <v>0.99986770000000003</v>
      </c>
      <c r="N289">
        <v>0</v>
      </c>
      <c r="O289">
        <v>-8.2822150000000008E-3</v>
      </c>
      <c r="P289">
        <v>0.99487559999999997</v>
      </c>
      <c r="Q289">
        <v>6.8940299999999996E-2</v>
      </c>
      <c r="R289">
        <v>-7.3960010000000007E-2</v>
      </c>
      <c r="S289">
        <v>3.014221</v>
      </c>
      <c r="T289">
        <v>-0.13632139999999901</v>
      </c>
      <c r="U289">
        <v>-0.14529420000000001</v>
      </c>
      <c r="V289">
        <v>6.5744360000000002E-2</v>
      </c>
      <c r="W289">
        <v>8.2846779999999995E-2</v>
      </c>
      <c r="X289">
        <v>0.99439129999999998</v>
      </c>
      <c r="Y289">
        <v>3.9839739999999998E-2</v>
      </c>
      <c r="Z289">
        <v>-5.2573729999999996E-4</v>
      </c>
      <c r="AA289">
        <v>0.99920589999999998</v>
      </c>
      <c r="AB289">
        <v>23</v>
      </c>
      <c r="AC289">
        <v>23.2074</v>
      </c>
      <c r="AD289">
        <v>-1.0602757189299901</v>
      </c>
      <c r="AE289">
        <v>-1.1279999999999799</v>
      </c>
      <c r="AF289">
        <v>0.93378928614033996</v>
      </c>
      <c r="AG289">
        <v>-1.0602757189299901</v>
      </c>
      <c r="AH289">
        <v>23.167703179572701</v>
      </c>
      <c r="AI289">
        <v>92.618204412164701</v>
      </c>
      <c r="AJ289">
        <v>87.6919058137522</v>
      </c>
      <c r="AK289">
        <v>23.210743582398401</v>
      </c>
      <c r="AL289">
        <v>85.247782261365799</v>
      </c>
      <c r="AM289">
        <v>86.217384346925897</v>
      </c>
      <c r="AN289">
        <v>0.99999998367193299</v>
      </c>
    </row>
    <row r="290" spans="1:40" x14ac:dyDescent="0.25">
      <c r="A290" t="str">
        <f>"20190312151227327"</f>
        <v>20190312151227327</v>
      </c>
      <c r="B290" t="str">
        <f>"1552374747319580"</f>
        <v>1552374747319580</v>
      </c>
      <c r="C290" t="s">
        <v>40</v>
      </c>
      <c r="D290">
        <v>4.2694190000000001</v>
      </c>
      <c r="E290">
        <v>0.49003069999999999</v>
      </c>
      <c r="F290" t="s">
        <v>42</v>
      </c>
      <c r="G290">
        <v>-389.94389999999999</v>
      </c>
      <c r="H290" s="1">
        <v>-7.0409169999999897E-7</v>
      </c>
      <c r="I290">
        <v>366.98939999999999</v>
      </c>
      <c r="J290">
        <v>-413.02569999999997</v>
      </c>
      <c r="K290">
        <v>1.060241</v>
      </c>
      <c r="L290">
        <v>368.12639999999999</v>
      </c>
      <c r="M290">
        <v>0.99986850000000005</v>
      </c>
      <c r="N290">
        <v>0</v>
      </c>
      <c r="O290">
        <v>-8.4488580000000001E-3</v>
      </c>
      <c r="P290">
        <v>0.99495800000000001</v>
      </c>
      <c r="Q290">
        <v>6.799318E-2</v>
      </c>
      <c r="R290">
        <v>-7.3728379999999996E-2</v>
      </c>
      <c r="S290">
        <v>3.0140380000000002</v>
      </c>
      <c r="T290">
        <v>-0.13713040000000001</v>
      </c>
      <c r="U290">
        <v>-0.147308299999999</v>
      </c>
      <c r="V290">
        <v>6.5346609999999999E-2</v>
      </c>
      <c r="W290">
        <v>8.1756140000000005E-2</v>
      </c>
      <c r="X290">
        <v>0.99450780000000005</v>
      </c>
      <c r="Y290">
        <v>4.034157E-2</v>
      </c>
      <c r="Z290">
        <v>-5.327086E-4</v>
      </c>
      <c r="AA290">
        <v>0.99918580000000001</v>
      </c>
      <c r="AB290">
        <v>23</v>
      </c>
      <c r="AC290">
        <v>23.081799999999902</v>
      </c>
      <c r="AD290">
        <v>-1.0602417040917</v>
      </c>
      <c r="AE290">
        <v>-1.137</v>
      </c>
      <c r="AF290">
        <v>0.939947441053396</v>
      </c>
      <c r="AG290">
        <v>-1.0602417040917</v>
      </c>
      <c r="AH290">
        <v>23.042083509272299</v>
      </c>
      <c r="AI290">
        <v>92.632322025915101</v>
      </c>
      <c r="AJ290">
        <v>87.664048964614693</v>
      </c>
      <c r="AK290">
        <v>23.085606470511301</v>
      </c>
      <c r="AL290">
        <v>85.310484152146003</v>
      </c>
      <c r="AM290">
        <v>86.240642311638695</v>
      </c>
      <c r="AN290">
        <v>1.0000000050635101</v>
      </c>
    </row>
    <row r="291" spans="1:40" x14ac:dyDescent="0.25">
      <c r="A291" t="str">
        <f>"20190312151227348"</f>
        <v>20190312151227348</v>
      </c>
      <c r="B291" t="str">
        <f>"1552374747340075"</f>
        <v>1552374747340075</v>
      </c>
      <c r="C291" t="s">
        <v>40</v>
      </c>
      <c r="D291">
        <v>4.2317289999999996</v>
      </c>
      <c r="E291">
        <v>0.4908709</v>
      </c>
      <c r="F291" t="s">
        <v>42</v>
      </c>
      <c r="G291">
        <v>-390.19159999999999</v>
      </c>
      <c r="H291" s="1">
        <v>-4.6518990000000001E-6</v>
      </c>
      <c r="I291">
        <v>367.01280000000003</v>
      </c>
      <c r="J291">
        <v>-412.78890000000001</v>
      </c>
      <c r="K291">
        <v>1.0602069999999999</v>
      </c>
      <c r="L291">
        <v>368.12419999999997</v>
      </c>
      <c r="M291">
        <v>0.99986909999999896</v>
      </c>
      <c r="N291">
        <v>0</v>
      </c>
      <c r="O291">
        <v>-8.6390849999999995E-3</v>
      </c>
      <c r="P291">
        <v>0.99497869999999999</v>
      </c>
      <c r="Q291">
        <v>6.7569820000000003E-2</v>
      </c>
      <c r="R291">
        <v>-7.3838639999999997E-2</v>
      </c>
      <c r="S291">
        <v>3.0138850000000001</v>
      </c>
      <c r="T291">
        <v>-0.13994189999999901</v>
      </c>
      <c r="U291">
        <v>-0.14697270000000001</v>
      </c>
      <c r="V291">
        <v>6.5266759999999993E-2</v>
      </c>
      <c r="W291">
        <v>8.1162559999999995E-2</v>
      </c>
      <c r="X291">
        <v>0.99456169999999999</v>
      </c>
      <c r="Y291">
        <v>4.0042090000000002E-2</v>
      </c>
      <c r="Z291">
        <v>-5.2788119999999997E-4</v>
      </c>
      <c r="AA291">
        <v>0.99919780000000002</v>
      </c>
      <c r="AB291">
        <v>23</v>
      </c>
      <c r="AC291">
        <v>22.597300000000001</v>
      </c>
      <c r="AD291">
        <v>-1.0602116518989999</v>
      </c>
      <c r="AE291">
        <v>-1.11139999999994</v>
      </c>
      <c r="AF291">
        <v>0.91411290407222301</v>
      </c>
      <c r="AG291">
        <v>-1.0602116518989999</v>
      </c>
      <c r="AH291">
        <v>22.556525902781299</v>
      </c>
      <c r="AI291">
        <v>92.688856799230507</v>
      </c>
      <c r="AJ291">
        <v>87.679333779183494</v>
      </c>
      <c r="AK291">
        <v>22.599922830643902</v>
      </c>
      <c r="AL291">
        <v>85.344607361054798</v>
      </c>
      <c r="AM291">
        <v>86.245425800265807</v>
      </c>
      <c r="AN291">
        <v>1.0000000431067599</v>
      </c>
    </row>
    <row r="292" spans="1:40" x14ac:dyDescent="0.25">
      <c r="A292" t="str">
        <f>"20190312151227371"</f>
        <v>20190312151227371</v>
      </c>
      <c r="B292" t="str">
        <f>"1552374747359600"</f>
        <v>1552374747359600</v>
      </c>
      <c r="C292" t="s">
        <v>40</v>
      </c>
      <c r="D292">
        <v>4.270975</v>
      </c>
      <c r="E292">
        <v>0.51555189999999995</v>
      </c>
      <c r="F292" t="s">
        <v>42</v>
      </c>
      <c r="G292">
        <v>-392.75959999999998</v>
      </c>
      <c r="H292" s="1">
        <v>-3.5347359999999999E-6</v>
      </c>
      <c r="I292">
        <v>367.1001</v>
      </c>
      <c r="J292">
        <v>-412.55529999999999</v>
      </c>
      <c r="K292">
        <v>1.060181</v>
      </c>
      <c r="L292">
        <v>368.12189999999998</v>
      </c>
      <c r="M292">
        <v>0.99986980000000003</v>
      </c>
      <c r="N292">
        <v>0</v>
      </c>
      <c r="O292">
        <v>-8.8307819999999902E-3</v>
      </c>
      <c r="P292">
        <v>0.99500140000000004</v>
      </c>
      <c r="Q292">
        <v>6.7611899999999905E-2</v>
      </c>
      <c r="R292">
        <v>-7.3489789999999999E-2</v>
      </c>
      <c r="S292">
        <v>3.014526</v>
      </c>
      <c r="T292">
        <v>-0.15956689999999901</v>
      </c>
      <c r="U292">
        <v>-0.1541138</v>
      </c>
      <c r="V292">
        <v>6.4726080000000005E-2</v>
      </c>
      <c r="W292">
        <v>8.1030900000000003E-2</v>
      </c>
      <c r="X292">
        <v>0.99460769999999998</v>
      </c>
      <c r="Y292">
        <v>4.2188400000000001E-2</v>
      </c>
      <c r="Z292">
        <v>-6.4824709999999897E-4</v>
      </c>
      <c r="AA292">
        <v>0.99910940000000004</v>
      </c>
      <c r="AB292">
        <v>23</v>
      </c>
      <c r="AC292">
        <v>19.7957</v>
      </c>
      <c r="AD292">
        <v>-1.0601845347359999</v>
      </c>
      <c r="AE292">
        <v>-1.0217999999999801</v>
      </c>
      <c r="AF292">
        <v>0.84451682223868496</v>
      </c>
      <c r="AG292">
        <v>-1.0601845347359999</v>
      </c>
      <c r="AH292">
        <v>19.747461405645002</v>
      </c>
      <c r="AI292">
        <v>93.070294715296697</v>
      </c>
      <c r="AJ292">
        <v>87.551189886231995</v>
      </c>
      <c r="AK292">
        <v>19.793924115197001</v>
      </c>
      <c r="AL292">
        <v>85.352175532515702</v>
      </c>
      <c r="AM292">
        <v>86.276613138670399</v>
      </c>
      <c r="AN292">
        <v>0.99999997454313205</v>
      </c>
    </row>
    <row r="293" spans="1:40" x14ac:dyDescent="0.25">
      <c r="A293" t="str">
        <f>"20190312151227393"</f>
        <v>20190312151227393</v>
      </c>
      <c r="B293" t="str">
        <f>"1552374747389852"</f>
        <v>1552374747389852</v>
      </c>
      <c r="C293" t="s">
        <v>40</v>
      </c>
      <c r="D293">
        <v>4.2678649999999996</v>
      </c>
      <c r="E293">
        <v>0.51702939999999997</v>
      </c>
      <c r="F293" t="s">
        <v>41</v>
      </c>
      <c r="G293">
        <v>-411.75459999999998</v>
      </c>
      <c r="H293">
        <v>0.83974020000000005</v>
      </c>
      <c r="I293">
        <v>368.02699999999999</v>
      </c>
      <c r="J293">
        <v>-412.32670000000002</v>
      </c>
      <c r="K293">
        <v>1.0601609999999999</v>
      </c>
      <c r="L293">
        <v>368.11970000000002</v>
      </c>
      <c r="M293">
        <v>0.99987060000000005</v>
      </c>
      <c r="N293">
        <v>0</v>
      </c>
      <c r="O293">
        <v>-9.0174780000000006E-3</v>
      </c>
      <c r="P293">
        <v>0.995008</v>
      </c>
      <c r="Q293">
        <v>6.7901829999999996E-2</v>
      </c>
      <c r="R293">
        <v>-7.3133809999999994E-2</v>
      </c>
      <c r="S293">
        <v>3.0455320000000001</v>
      </c>
      <c r="T293">
        <v>-0.83847669999999996</v>
      </c>
      <c r="U293">
        <v>-0.35916140000000002</v>
      </c>
      <c r="V293">
        <v>6.418335E-2</v>
      </c>
      <c r="W293">
        <v>8.1144969999999997E-2</v>
      </c>
      <c r="X293">
        <v>0.99463360000000001</v>
      </c>
      <c r="Y293">
        <v>0.1046488</v>
      </c>
      <c r="Z293">
        <v>-1.166708E-2</v>
      </c>
      <c r="AA293">
        <v>0.99444080000000001</v>
      </c>
      <c r="AB293">
        <v>23</v>
      </c>
      <c r="AC293">
        <v>0.57210000000003403</v>
      </c>
      <c r="AD293">
        <v>-0.2204208</v>
      </c>
      <c r="AE293">
        <v>-9.2700000000036198E-2</v>
      </c>
      <c r="AF293">
        <v>7.6475073844317204E-2</v>
      </c>
      <c r="AG293">
        <v>-0.2204208</v>
      </c>
      <c r="AH293">
        <v>0.50051528743477802</v>
      </c>
      <c r="AI293">
        <v>113.525201338952</v>
      </c>
      <c r="AJ293">
        <v>81.312810871270798</v>
      </c>
      <c r="AK293">
        <v>0.55222216448459605</v>
      </c>
      <c r="AL293">
        <v>85.345618343850106</v>
      </c>
      <c r="AM293">
        <v>86.307842994876296</v>
      </c>
      <c r="AN293">
        <v>1.00000000341124</v>
      </c>
    </row>
    <row r="294" spans="1:40" x14ac:dyDescent="0.25">
      <c r="A294" t="str">
        <f>"20190312151227426"</f>
        <v>20190312151227426</v>
      </c>
      <c r="B294" t="str">
        <f>"1552374747420107"</f>
        <v>1552374747420107</v>
      </c>
      <c r="C294" t="s">
        <v>40</v>
      </c>
      <c r="D294">
        <v>4.2795249999999996</v>
      </c>
      <c r="E294">
        <v>0.51680740000000003</v>
      </c>
      <c r="F294" t="s">
        <v>41</v>
      </c>
      <c r="G294">
        <v>-411.5462</v>
      </c>
      <c r="H294">
        <v>0.83837079999999997</v>
      </c>
      <c r="I294">
        <v>368.02429999999998</v>
      </c>
      <c r="J294">
        <v>-411.98320000000001</v>
      </c>
      <c r="K294">
        <v>1.0601320000000001</v>
      </c>
      <c r="L294">
        <v>368.11630000000002</v>
      </c>
      <c r="M294">
        <v>0.99987179999999998</v>
      </c>
      <c r="N294">
        <v>0</v>
      </c>
      <c r="O294">
        <v>-9.2918710000000002E-3</v>
      </c>
      <c r="P294">
        <v>0.99500540000000004</v>
      </c>
      <c r="Q294">
        <v>6.7741369999999995E-2</v>
      </c>
      <c r="R294">
        <v>-7.3319620000000002E-2</v>
      </c>
      <c r="S294">
        <v>3.0469360000000001</v>
      </c>
      <c r="T294">
        <v>-0.86597139999999995</v>
      </c>
      <c r="U294">
        <v>-0.37075809999999998</v>
      </c>
      <c r="V294">
        <v>6.4094899999999996E-2</v>
      </c>
      <c r="W294">
        <v>8.0709149999999993E-2</v>
      </c>
      <c r="X294">
        <v>0.99467470000000002</v>
      </c>
      <c r="Y294">
        <v>0.1077203</v>
      </c>
      <c r="Z294">
        <v>-1.2377920000000001E-2</v>
      </c>
      <c r="AA294">
        <v>0.99410419999999999</v>
      </c>
      <c r="AB294">
        <v>23</v>
      </c>
      <c r="AC294">
        <v>0.43700000000001099</v>
      </c>
      <c r="AD294">
        <v>-0.22176119999999999</v>
      </c>
      <c r="AE294">
        <v>-9.2000000000041299E-2</v>
      </c>
      <c r="AF294">
        <v>7.0540585988637702E-2</v>
      </c>
      <c r="AG294">
        <v>-0.22176119999999999</v>
      </c>
      <c r="AH294">
        <v>0.35122720922879602</v>
      </c>
      <c r="AI294">
        <v>121.75867501175</v>
      </c>
      <c r="AJ294">
        <v>78.643779886014997</v>
      </c>
      <c r="AK294">
        <v>0.42132476381018602</v>
      </c>
      <c r="AL294">
        <v>85.370670873443004</v>
      </c>
      <c r="AM294">
        <v>86.313068979763202</v>
      </c>
      <c r="AN294">
        <v>0.99999994095990896</v>
      </c>
    </row>
    <row r="295" spans="1:40" x14ac:dyDescent="0.25">
      <c r="A295" t="str">
        <f>"20190312151227451"</f>
        <v>20190312151227451</v>
      </c>
      <c r="B295" t="str">
        <f>"1552374747439627"</f>
        <v>1552374747439627</v>
      </c>
      <c r="C295" t="s">
        <v>40</v>
      </c>
      <c r="D295">
        <v>4.3146750000000003</v>
      </c>
      <c r="E295">
        <v>0.51673249999999904</v>
      </c>
      <c r="F295" t="s">
        <v>41</v>
      </c>
      <c r="G295">
        <v>-411.13679999999999</v>
      </c>
      <c r="H295">
        <v>0.81646439999999998</v>
      </c>
      <c r="I295">
        <v>368.0136</v>
      </c>
      <c r="J295">
        <v>-411.72280000000001</v>
      </c>
      <c r="K295">
        <v>1.0601039999999999</v>
      </c>
      <c r="L295">
        <v>368.11360000000002</v>
      </c>
      <c r="M295">
        <v>0.99987250000000005</v>
      </c>
      <c r="N295">
        <v>0</v>
      </c>
      <c r="O295">
        <v>-9.493965E-3</v>
      </c>
      <c r="P295">
        <v>0.99500299999999997</v>
      </c>
      <c r="Q295">
        <v>6.7214699999999905E-2</v>
      </c>
      <c r="R295">
        <v>-7.3833060000000006E-2</v>
      </c>
      <c r="S295">
        <v>3.0476380000000001</v>
      </c>
      <c r="T295">
        <v>-0.87738930000000004</v>
      </c>
      <c r="U295">
        <v>-0.3692627</v>
      </c>
      <c r="V295">
        <v>6.4406969999999994E-2</v>
      </c>
      <c r="W295">
        <v>7.9971E-2</v>
      </c>
      <c r="X295">
        <v>0.99471419999999999</v>
      </c>
      <c r="Y295">
        <v>0.10695159999999999</v>
      </c>
      <c r="Z295">
        <v>-1.236756E-2</v>
      </c>
      <c r="AA295">
        <v>0.9941873</v>
      </c>
      <c r="AB295">
        <v>23</v>
      </c>
      <c r="AC295">
        <v>0.58600000000001196</v>
      </c>
      <c r="AD295">
        <v>-0.24363960000000001</v>
      </c>
      <c r="AE295">
        <v>-0.100000000000022</v>
      </c>
      <c r="AF295">
        <v>8.0850959447054005E-2</v>
      </c>
      <c r="AG295">
        <v>-0.24363960000000001</v>
      </c>
      <c r="AH295">
        <v>0.50251512704824397</v>
      </c>
      <c r="AI295">
        <v>115.579701984976</v>
      </c>
      <c r="AJ295">
        <v>80.859865036396698</v>
      </c>
      <c r="AK295">
        <v>0.56428590735901096</v>
      </c>
      <c r="AL295">
        <v>85.4131010867561</v>
      </c>
      <c r="AM295">
        <v>86.295314360454597</v>
      </c>
      <c r="AN295">
        <v>0.99999997915361005</v>
      </c>
    </row>
    <row r="296" spans="1:40" x14ac:dyDescent="0.25">
      <c r="A296" t="str">
        <f>"20190312151227472"</f>
        <v>20190312151227472</v>
      </c>
      <c r="B296" t="str">
        <f>"1552374747469883"</f>
        <v>1552374747469883</v>
      </c>
      <c r="C296" t="s">
        <v>40</v>
      </c>
      <c r="D296">
        <v>4.3755269999999999</v>
      </c>
      <c r="E296">
        <v>0.516374</v>
      </c>
      <c r="F296" t="s">
        <v>41</v>
      </c>
      <c r="G296">
        <v>-410.92290000000003</v>
      </c>
      <c r="H296">
        <v>0.82814989999999999</v>
      </c>
      <c r="I296">
        <v>368.0163</v>
      </c>
      <c r="J296">
        <v>-411.49610000000001</v>
      </c>
      <c r="K296">
        <v>1.0600849999999999</v>
      </c>
      <c r="L296">
        <v>368.11130000000003</v>
      </c>
      <c r="M296">
        <v>0.99987320000000002</v>
      </c>
      <c r="N296">
        <v>0</v>
      </c>
      <c r="O296">
        <v>-9.6679399999999999E-3</v>
      </c>
      <c r="P296">
        <v>0.99497139999999995</v>
      </c>
      <c r="Q296">
        <v>6.7254739999999993E-2</v>
      </c>
      <c r="R296">
        <v>-7.4221079999999995E-2</v>
      </c>
      <c r="S296">
        <v>3.0473330000000001</v>
      </c>
      <c r="T296">
        <v>-0.88359430000000005</v>
      </c>
      <c r="U296">
        <v>-0.36895749999999999</v>
      </c>
      <c r="V296">
        <v>6.4622509999999994E-2</v>
      </c>
      <c r="W296">
        <v>7.9831739999999998E-2</v>
      </c>
      <c r="X296">
        <v>0.99471140000000002</v>
      </c>
      <c r="Y296">
        <v>0.106656399999999</v>
      </c>
      <c r="Z296">
        <v>-1.2361840000000001E-2</v>
      </c>
      <c r="AA296">
        <v>0.99421910000000002</v>
      </c>
      <c r="AB296">
        <v>23</v>
      </c>
      <c r="AC296">
        <v>0.57319999999998505</v>
      </c>
      <c r="AD296">
        <v>-0.23193509999999901</v>
      </c>
      <c r="AE296">
        <v>-9.5000000000027202E-2</v>
      </c>
      <c r="AF296">
        <v>7.7158280235377297E-2</v>
      </c>
      <c r="AG296">
        <v>-0.23193509999999901</v>
      </c>
      <c r="AH296">
        <v>0.495184140039508</v>
      </c>
      <c r="AI296">
        <v>114.834561623498</v>
      </c>
      <c r="AJ296">
        <v>81.143540712333603</v>
      </c>
      <c r="AK296">
        <v>0.55222696725853404</v>
      </c>
      <c r="AL296">
        <v>85.421105658716698</v>
      </c>
      <c r="AM296">
        <v>86.282940776051902</v>
      </c>
      <c r="AN296">
        <v>0.99999997240004301</v>
      </c>
    </row>
    <row r="297" spans="1:40" x14ac:dyDescent="0.25">
      <c r="A297" t="str">
        <f>"20190312151227494"</f>
        <v>20190312151227494</v>
      </c>
      <c r="B297" t="str">
        <f>"1552374747489404"</f>
        <v>1552374747489404</v>
      </c>
      <c r="C297" t="s">
        <v>40</v>
      </c>
      <c r="D297">
        <v>4.3313639999999998</v>
      </c>
      <c r="E297">
        <v>0.53524430000000001</v>
      </c>
      <c r="F297" t="s">
        <v>41</v>
      </c>
      <c r="G297">
        <v>-410.7124</v>
      </c>
      <c r="H297">
        <v>0.83095859999999899</v>
      </c>
      <c r="I297">
        <v>368.01639999999998</v>
      </c>
      <c r="J297">
        <v>-411.27390000000003</v>
      </c>
      <c r="K297">
        <v>1.060063</v>
      </c>
      <c r="L297">
        <v>368.10890000000001</v>
      </c>
      <c r="M297">
        <v>0.99987360000000003</v>
      </c>
      <c r="N297">
        <v>0</v>
      </c>
      <c r="O297">
        <v>-9.8386329999999994E-3</v>
      </c>
      <c r="P297">
        <v>0.9949481</v>
      </c>
      <c r="Q297">
        <v>6.7108619999999994E-2</v>
      </c>
      <c r="R297">
        <v>-7.4663859999999999E-2</v>
      </c>
      <c r="S297">
        <v>3.047882</v>
      </c>
      <c r="T297">
        <v>-0.89104499999999998</v>
      </c>
      <c r="U297">
        <v>-0.36871340000000002</v>
      </c>
      <c r="V297">
        <v>6.4895610000000006E-2</v>
      </c>
      <c r="W297">
        <v>7.9513749999999994E-2</v>
      </c>
      <c r="X297">
        <v>0.99471909999999997</v>
      </c>
      <c r="Y297">
        <v>0.1063429</v>
      </c>
      <c r="Z297">
        <v>-1.2366429999999999E-2</v>
      </c>
      <c r="AA297">
        <v>0.99425260000000004</v>
      </c>
      <c r="AB297">
        <v>23</v>
      </c>
      <c r="AC297">
        <v>0.56150000000002298</v>
      </c>
      <c r="AD297">
        <v>-0.22910440000000001</v>
      </c>
      <c r="AE297">
        <v>-9.2500000000029503E-2</v>
      </c>
      <c r="AF297">
        <v>7.48403284219024E-2</v>
      </c>
      <c r="AG297">
        <v>-0.22910440000000001</v>
      </c>
      <c r="AH297">
        <v>0.483943744354423</v>
      </c>
      <c r="AI297">
        <v>115.072534909209</v>
      </c>
      <c r="AJ297">
        <v>81.209032817078906</v>
      </c>
      <c r="AK297">
        <v>0.54063985106301404</v>
      </c>
      <c r="AL297">
        <v>85.439383292440297</v>
      </c>
      <c r="AM297">
        <v>86.267305310643707</v>
      </c>
      <c r="AN297">
        <v>0.99999998227057196</v>
      </c>
    </row>
    <row r="298" spans="1:40" x14ac:dyDescent="0.25">
      <c r="A298" t="str">
        <f>"20190312151227515"</f>
        <v>20190312151227515</v>
      </c>
      <c r="B298" t="str">
        <f>"1552374747509899"</f>
        <v>1552374747509899</v>
      </c>
      <c r="C298" t="s">
        <v>40</v>
      </c>
      <c r="D298">
        <v>4.3393899999999999</v>
      </c>
      <c r="E298">
        <v>0.53673570000000004</v>
      </c>
      <c r="F298" t="s">
        <v>41</v>
      </c>
      <c r="G298">
        <v>-410.50139999999999</v>
      </c>
      <c r="H298">
        <v>0.83146319999999996</v>
      </c>
      <c r="I298">
        <v>367.97629999999998</v>
      </c>
      <c r="J298">
        <v>-411.04730000000001</v>
      </c>
      <c r="K298">
        <v>1.0600419999999999</v>
      </c>
      <c r="L298">
        <v>368.10649999999998</v>
      </c>
      <c r="M298">
        <v>0.99987409999999999</v>
      </c>
      <c r="N298">
        <v>0</v>
      </c>
      <c r="O298">
        <v>-1.0013269999999999E-2</v>
      </c>
      <c r="P298">
        <v>0.99495880000000003</v>
      </c>
      <c r="Q298">
        <v>6.6727910000000001E-2</v>
      </c>
      <c r="R298">
        <v>-7.4862349999999994E-2</v>
      </c>
      <c r="S298">
        <v>3.0367739999999999</v>
      </c>
      <c r="T298">
        <v>-0.89858700000000002</v>
      </c>
      <c r="U298">
        <v>-0.52084350000000001</v>
      </c>
      <c r="V298">
        <v>6.4920309999999995E-2</v>
      </c>
      <c r="W298">
        <v>7.8960939999999993E-2</v>
      </c>
      <c r="X298">
        <v>0.99476149999999997</v>
      </c>
      <c r="Y298">
        <v>0.153202799999999</v>
      </c>
      <c r="Z298">
        <v>-1.9159180000000001E-2</v>
      </c>
      <c r="AA298">
        <v>0.98800900000000003</v>
      </c>
      <c r="AB298">
        <v>23</v>
      </c>
      <c r="AC298">
        <v>0.54590000000001704</v>
      </c>
      <c r="AD298">
        <v>-0.2285788</v>
      </c>
      <c r="AE298">
        <v>-0.13020000000000201</v>
      </c>
      <c r="AF298">
        <v>0.10697998969974901</v>
      </c>
      <c r="AG298">
        <v>-0.2285788</v>
      </c>
      <c r="AH298">
        <v>0.46932114985630402</v>
      </c>
      <c r="AI298">
        <v>115.401210166825</v>
      </c>
      <c r="AJ298">
        <v>77.1590454031344</v>
      </c>
      <c r="AK298">
        <v>0.53287458909957597</v>
      </c>
      <c r="AL298">
        <v>85.471156772180905</v>
      </c>
      <c r="AM298">
        <v>86.266047333567798</v>
      </c>
      <c r="AN298">
        <v>0.99999995928921404</v>
      </c>
    </row>
    <row r="299" spans="1:40" x14ac:dyDescent="0.25">
      <c r="A299" t="str">
        <f>"20190312151227539"</f>
        <v>20190312151227539</v>
      </c>
      <c r="B299" t="str">
        <f>"1552374747529419"</f>
        <v>1552374747529419</v>
      </c>
      <c r="C299" t="s">
        <v>40</v>
      </c>
      <c r="D299">
        <v>4.5213839999999896</v>
      </c>
      <c r="E299">
        <v>0.53810550000000001</v>
      </c>
      <c r="F299" t="s">
        <v>41</v>
      </c>
      <c r="G299">
        <v>-410.29259999999999</v>
      </c>
      <c r="H299">
        <v>0.82926009999999994</v>
      </c>
      <c r="I299">
        <v>367.97399999999999</v>
      </c>
      <c r="J299">
        <v>-410.80029999999999</v>
      </c>
      <c r="K299">
        <v>1.0600149999999999</v>
      </c>
      <c r="L299">
        <v>368.10379999999998</v>
      </c>
      <c r="M299">
        <v>0.99987440000000005</v>
      </c>
      <c r="N299">
        <v>0</v>
      </c>
      <c r="O299">
        <v>-1.020515E-2</v>
      </c>
      <c r="P299">
        <v>0.99494970000000005</v>
      </c>
      <c r="Q299">
        <v>6.6644949999999994E-2</v>
      </c>
      <c r="R299">
        <v>-7.5056139999999993E-2</v>
      </c>
      <c r="S299">
        <v>3.0372919999999999</v>
      </c>
      <c r="T299">
        <v>-0.92888470000000001</v>
      </c>
      <c r="U299">
        <v>-0.53375240000000002</v>
      </c>
      <c r="V299">
        <v>6.49232E-2</v>
      </c>
      <c r="W299">
        <v>7.869806E-2</v>
      </c>
      <c r="X299">
        <v>0.99478219999999995</v>
      </c>
      <c r="Y299">
        <v>0.1565291</v>
      </c>
      <c r="Z299">
        <v>-2.0204860000000002E-2</v>
      </c>
      <c r="AA299">
        <v>0.98746659999999997</v>
      </c>
      <c r="AB299">
        <v>23</v>
      </c>
      <c r="AC299">
        <v>0.50769999999999904</v>
      </c>
      <c r="AD299">
        <v>-0.23075489999999901</v>
      </c>
      <c r="AE299">
        <v>-0.12979999999998801</v>
      </c>
      <c r="AF299">
        <v>0.104373187283858</v>
      </c>
      <c r="AG299">
        <v>-0.23075489999999901</v>
      </c>
      <c r="AH299">
        <v>0.426330524650118</v>
      </c>
      <c r="AI299">
        <v>117.732360132222</v>
      </c>
      <c r="AJ299">
        <v>76.243562318045903</v>
      </c>
      <c r="AK299">
        <v>0.49588234728234298</v>
      </c>
      <c r="AL299">
        <v>85.486265961120097</v>
      </c>
      <c r="AM299">
        <v>86.265959064623303</v>
      </c>
      <c r="AN299">
        <v>1.00000001599142</v>
      </c>
    </row>
    <row r="300" spans="1:40" x14ac:dyDescent="0.25">
      <c r="A300" t="str">
        <f>"20190312151227561"</f>
        <v>20190312151227561</v>
      </c>
      <c r="B300" t="str">
        <f>"1552374747549915"</f>
        <v>1552374747549915</v>
      </c>
      <c r="C300" t="s">
        <v>40</v>
      </c>
      <c r="D300">
        <v>4.6307219999999996</v>
      </c>
      <c r="E300">
        <v>0.54009819999999997</v>
      </c>
      <c r="F300" t="s">
        <v>41</v>
      </c>
      <c r="G300">
        <v>-410.08010000000002</v>
      </c>
      <c r="H300">
        <v>0.83547139999999998</v>
      </c>
      <c r="I300">
        <v>367.97399999999999</v>
      </c>
      <c r="J300">
        <v>-410.56729999999999</v>
      </c>
      <c r="K300">
        <v>1.0599970000000001</v>
      </c>
      <c r="L300">
        <v>368.10129999999998</v>
      </c>
      <c r="M300">
        <v>0.9998745</v>
      </c>
      <c r="N300">
        <v>0</v>
      </c>
      <c r="O300">
        <v>-1.038714E-2</v>
      </c>
      <c r="P300">
        <v>0.99492510000000001</v>
      </c>
      <c r="Q300">
        <v>6.6712010000000002E-2</v>
      </c>
      <c r="R300">
        <v>-7.5325310000000006E-2</v>
      </c>
      <c r="S300">
        <v>3.0374759999999998</v>
      </c>
      <c r="T300">
        <v>-0.94709529999999997</v>
      </c>
      <c r="U300">
        <v>-0.54586789999999996</v>
      </c>
      <c r="V300">
        <v>6.5011319999999997E-2</v>
      </c>
      <c r="W300">
        <v>7.8605380000000002E-2</v>
      </c>
      <c r="X300">
        <v>0.9947838</v>
      </c>
      <c r="Y300">
        <v>0.159771</v>
      </c>
      <c r="Z300">
        <v>-2.101076E-2</v>
      </c>
      <c r="AA300">
        <v>0.98693050000000004</v>
      </c>
      <c r="AB300">
        <v>23</v>
      </c>
      <c r="AC300">
        <v>0.48719999999997199</v>
      </c>
      <c r="AD300">
        <v>-0.22452559999999899</v>
      </c>
      <c r="AE300">
        <v>-0.127299999999991</v>
      </c>
      <c r="AF300">
        <v>0.101961352445134</v>
      </c>
      <c r="AG300">
        <v>-0.22452559999999899</v>
      </c>
      <c r="AH300">
        <v>0.40748461109893902</v>
      </c>
      <c r="AI300">
        <v>118.125592240842</v>
      </c>
      <c r="AJ300">
        <v>75.951820367262997</v>
      </c>
      <c r="AK300">
        <v>0.47628937709154801</v>
      </c>
      <c r="AL300">
        <v>85.491592757641001</v>
      </c>
      <c r="AM300">
        <v>86.260911230333093</v>
      </c>
      <c r="AN300">
        <v>1.00000004311776</v>
      </c>
    </row>
    <row r="301" spans="1:40" x14ac:dyDescent="0.25">
      <c r="A301" t="str">
        <f>"20190312151227584"</f>
        <v>20190312151227584</v>
      </c>
      <c r="B301" t="str">
        <f>"1552374747580171"</f>
        <v>1552374747580171</v>
      </c>
      <c r="C301" t="s">
        <v>40</v>
      </c>
      <c r="D301">
        <v>4.324967</v>
      </c>
      <c r="E301">
        <v>0.53998579999999996</v>
      </c>
      <c r="F301" t="s">
        <v>41</v>
      </c>
      <c r="G301">
        <v>-409.86880000000002</v>
      </c>
      <c r="H301">
        <v>0.83833489999999999</v>
      </c>
      <c r="I301">
        <v>367.97129999999999</v>
      </c>
      <c r="J301">
        <v>-410.33850000000001</v>
      </c>
      <c r="K301">
        <v>1.0599799999999999</v>
      </c>
      <c r="L301">
        <v>368.09870000000001</v>
      </c>
      <c r="M301">
        <v>0.99987420000000005</v>
      </c>
      <c r="N301">
        <v>0</v>
      </c>
      <c r="O301">
        <v>-1.056554E-2</v>
      </c>
      <c r="P301">
        <v>0.99493690000000001</v>
      </c>
      <c r="Q301">
        <v>6.6690630000000001E-2</v>
      </c>
      <c r="R301">
        <v>-7.5185959999999996E-2</v>
      </c>
      <c r="S301">
        <v>3.0372919999999999</v>
      </c>
      <c r="T301">
        <v>-0.96385969999999999</v>
      </c>
      <c r="U301">
        <v>-0.56292719999999996</v>
      </c>
      <c r="V301">
        <v>6.4694139999999997E-2</v>
      </c>
      <c r="W301">
        <v>7.8436140000000001E-2</v>
      </c>
      <c r="X301">
        <v>0.99481779999999997</v>
      </c>
      <c r="Y301">
        <v>0.16451869999999999</v>
      </c>
      <c r="Z301">
        <v>-2.2031720000000001E-2</v>
      </c>
      <c r="AA301">
        <v>0.98612789999999995</v>
      </c>
      <c r="AB301">
        <v>23</v>
      </c>
      <c r="AC301">
        <v>0.46969999999998802</v>
      </c>
      <c r="AD301">
        <v>-0.22164510000000001</v>
      </c>
      <c r="AE301">
        <v>-0.127400000000022</v>
      </c>
      <c r="AF301">
        <v>0.10139817103896701</v>
      </c>
      <c r="AG301">
        <v>-0.22164510000000001</v>
      </c>
      <c r="AH301">
        <v>0.390105327189461</v>
      </c>
      <c r="AI301">
        <v>118.80618136210001</v>
      </c>
      <c r="AJ301">
        <v>75.4298029275907</v>
      </c>
      <c r="AK301">
        <v>0.45998946264632401</v>
      </c>
      <c r="AL301">
        <v>85.501319366011799</v>
      </c>
      <c r="AM301">
        <v>86.279229095500199</v>
      </c>
      <c r="AN301">
        <v>1.0000000075026301</v>
      </c>
    </row>
    <row r="302" spans="1:40" x14ac:dyDescent="0.25">
      <c r="A302" t="str">
        <f>"20190312151227606"</f>
        <v>20190312151227606</v>
      </c>
      <c r="B302" t="str">
        <f>"1552374747599693"</f>
        <v>1552374747599693</v>
      </c>
      <c r="C302" t="s">
        <v>40</v>
      </c>
      <c r="D302">
        <v>4.3421409999999998</v>
      </c>
      <c r="E302">
        <v>0.54004469999999904</v>
      </c>
      <c r="F302" t="s">
        <v>41</v>
      </c>
      <c r="G302">
        <v>-409.65699999999998</v>
      </c>
      <c r="H302">
        <v>0.84208749999999999</v>
      </c>
      <c r="I302">
        <v>367.97239999999999</v>
      </c>
      <c r="J302">
        <v>-410.10079999999999</v>
      </c>
      <c r="K302">
        <v>1.0599719999999999</v>
      </c>
      <c r="L302">
        <v>368.09589999999997</v>
      </c>
      <c r="M302">
        <v>0.99987409999999999</v>
      </c>
      <c r="N302">
        <v>0</v>
      </c>
      <c r="O302">
        <v>-1.075157E-2</v>
      </c>
      <c r="P302">
        <v>0.99492499999999995</v>
      </c>
      <c r="Q302">
        <v>6.6648540000000006E-2</v>
      </c>
      <c r="R302">
        <v>-7.5382959999999999E-2</v>
      </c>
      <c r="S302">
        <v>3.0379640000000001</v>
      </c>
      <c r="T302">
        <v>-0.97140119999999996</v>
      </c>
      <c r="U302">
        <v>-0.56124879999999999</v>
      </c>
      <c r="V302">
        <v>6.4705869999999999E-2</v>
      </c>
      <c r="W302">
        <v>7.8247899999999995E-2</v>
      </c>
      <c r="X302">
        <v>0.99483189999999999</v>
      </c>
      <c r="Y302">
        <v>0.16370760000000001</v>
      </c>
      <c r="Z302">
        <v>-2.200947E-2</v>
      </c>
      <c r="AA302">
        <v>0.98626329999999995</v>
      </c>
      <c r="AB302">
        <v>23</v>
      </c>
      <c r="AC302">
        <v>0.44380000000001002</v>
      </c>
      <c r="AD302">
        <v>-0.21788449999999901</v>
      </c>
      <c r="AE302">
        <v>-0.123499999999978</v>
      </c>
      <c r="AF302">
        <v>9.7017257503977605E-2</v>
      </c>
      <c r="AG302">
        <v>-0.21788449999999901</v>
      </c>
      <c r="AH302">
        <v>0.36373180823305001</v>
      </c>
      <c r="AI302">
        <v>120.061840782894</v>
      </c>
      <c r="AJ302">
        <v>75.065331482380202</v>
      </c>
      <c r="AK302">
        <v>0.43495612642463999</v>
      </c>
      <c r="AL302">
        <v>85.512138148785795</v>
      </c>
      <c r="AM302">
        <v>86.278608957290302</v>
      </c>
      <c r="AN302">
        <v>1.0000000463622301</v>
      </c>
    </row>
    <row r="303" spans="1:40" x14ac:dyDescent="0.25">
      <c r="A303" t="str">
        <f>"20190312151227628"</f>
        <v>20190312151227628</v>
      </c>
      <c r="B303" t="str">
        <f>"1552374747620188"</f>
        <v>1552374747620188</v>
      </c>
      <c r="C303" t="s">
        <v>40</v>
      </c>
      <c r="D303">
        <v>4.3148330000000001</v>
      </c>
      <c r="E303">
        <v>0.53953839999999997</v>
      </c>
      <c r="F303" t="s">
        <v>41</v>
      </c>
      <c r="G303">
        <v>-409.25740000000002</v>
      </c>
      <c r="H303">
        <v>0.78920290000000004</v>
      </c>
      <c r="I303">
        <v>367.9391</v>
      </c>
      <c r="J303">
        <v>-409.8553</v>
      </c>
      <c r="K303">
        <v>1.0599559999999999</v>
      </c>
      <c r="L303">
        <v>368.09300000000002</v>
      </c>
      <c r="M303">
        <v>0.99987380000000003</v>
      </c>
      <c r="N303">
        <v>0</v>
      </c>
      <c r="O303">
        <v>-1.094322E-2</v>
      </c>
      <c r="P303">
        <v>0.99488849999999995</v>
      </c>
      <c r="Q303">
        <v>6.7051920000000001E-2</v>
      </c>
      <c r="R303">
        <v>-7.5506580000000004E-2</v>
      </c>
      <c r="S303">
        <v>3.0379640000000001</v>
      </c>
      <c r="T303">
        <v>-0.97526959999999996</v>
      </c>
      <c r="U303">
        <v>-0.56277469999999996</v>
      </c>
      <c r="V303">
        <v>6.4639189999999999E-2</v>
      </c>
      <c r="W303">
        <v>7.8503169999999997E-2</v>
      </c>
      <c r="X303">
        <v>0.99481609999999998</v>
      </c>
      <c r="Y303">
        <v>0.16393920000000001</v>
      </c>
      <c r="Z303">
        <v>-2.2068560000000001E-2</v>
      </c>
      <c r="AA303">
        <v>0.98622359999999998</v>
      </c>
      <c r="AB303">
        <v>24</v>
      </c>
      <c r="AC303">
        <v>0.597899999999981</v>
      </c>
      <c r="AD303">
        <v>-0.27075309999999903</v>
      </c>
      <c r="AE303">
        <v>-0.15390000000002099</v>
      </c>
      <c r="AF303">
        <v>0.123580222886219</v>
      </c>
      <c r="AG303">
        <v>-0.27075309999999903</v>
      </c>
      <c r="AH303">
        <v>0.50284113637389505</v>
      </c>
      <c r="AI303">
        <v>117.604480462501</v>
      </c>
      <c r="AJ303">
        <v>76.192414193235393</v>
      </c>
      <c r="AK303">
        <v>0.58431885223566704</v>
      </c>
      <c r="AL303">
        <v>85.497467019602695</v>
      </c>
      <c r="AM303">
        <v>86.282374247681005</v>
      </c>
      <c r="AN303">
        <v>1.00000002270155</v>
      </c>
    </row>
    <row r="304" spans="1:40" x14ac:dyDescent="0.25">
      <c r="A304" t="str">
        <f>"20190312151227651"</f>
        <v>20190312151227651</v>
      </c>
      <c r="B304" t="str">
        <f>"1552374747639711"</f>
        <v>1552374747639711</v>
      </c>
      <c r="C304" t="s">
        <v>40</v>
      </c>
      <c r="D304">
        <v>4.6696859999999996</v>
      </c>
      <c r="E304">
        <v>0.53967290000000001</v>
      </c>
      <c r="F304" t="s">
        <v>41</v>
      </c>
      <c r="G304">
        <v>-409.04250000000002</v>
      </c>
      <c r="H304">
        <v>0.79910599999999998</v>
      </c>
      <c r="I304">
        <v>367.9434</v>
      </c>
      <c r="J304">
        <v>-409.61939999999998</v>
      </c>
      <c r="K304">
        <v>1.0599379999999901</v>
      </c>
      <c r="L304">
        <v>368.09030000000001</v>
      </c>
      <c r="M304">
        <v>0.99987329999999996</v>
      </c>
      <c r="N304">
        <v>0</v>
      </c>
      <c r="O304">
        <v>-1.112732E-2</v>
      </c>
      <c r="P304">
        <v>0.99488569999999998</v>
      </c>
      <c r="Q304">
        <v>6.7341010000000007E-2</v>
      </c>
      <c r="R304">
        <v>-7.5284249999999997E-2</v>
      </c>
      <c r="S304">
        <v>3.0386350000000002</v>
      </c>
      <c r="T304">
        <v>-0.97517310000000001</v>
      </c>
      <c r="U304">
        <v>-0.55947880000000005</v>
      </c>
      <c r="V304">
        <v>6.4233730000000003E-2</v>
      </c>
      <c r="W304">
        <v>7.8656699999999996E-2</v>
      </c>
      <c r="X304">
        <v>0.9948302</v>
      </c>
      <c r="Y304">
        <v>0.1627536</v>
      </c>
      <c r="Z304">
        <v>-2.1822609999999999E-2</v>
      </c>
      <c r="AA304">
        <v>0.98642540000000001</v>
      </c>
      <c r="AB304">
        <v>24</v>
      </c>
      <c r="AC304">
        <v>0.576899999999966</v>
      </c>
      <c r="AD304">
        <v>-0.26083199999999901</v>
      </c>
      <c r="AE304">
        <v>-0.14690000000001599</v>
      </c>
      <c r="AF304">
        <v>0.11784774990948001</v>
      </c>
      <c r="AG304">
        <v>-0.26083199999999901</v>
      </c>
      <c r="AH304">
        <v>0.485329622828237</v>
      </c>
      <c r="AI304">
        <v>117.57611352043401</v>
      </c>
      <c r="AJ304">
        <v>76.351589271203196</v>
      </c>
      <c r="AK304">
        <v>0.56344144964434895</v>
      </c>
      <c r="AL304">
        <v>85.488642955296598</v>
      </c>
      <c r="AM304">
        <v>86.305681102441696</v>
      </c>
      <c r="AN304">
        <v>0.99999998767832099</v>
      </c>
    </row>
    <row r="305" spans="1:40" x14ac:dyDescent="0.25">
      <c r="A305" t="str">
        <f>"20190312151227674"</f>
        <v>20190312151227674</v>
      </c>
      <c r="B305" t="str">
        <f>"1552374747669963"</f>
        <v>1552374747669963</v>
      </c>
      <c r="C305" t="s">
        <v>40</v>
      </c>
      <c r="D305">
        <v>4.351515</v>
      </c>
      <c r="E305">
        <v>0.5390682</v>
      </c>
      <c r="F305" t="s">
        <v>41</v>
      </c>
      <c r="G305">
        <v>-408.82870000000003</v>
      </c>
      <c r="H305">
        <v>0.80552650000000003</v>
      </c>
      <c r="I305">
        <v>367.94420000000002</v>
      </c>
      <c r="J305">
        <v>-409.37880000000001</v>
      </c>
      <c r="K305">
        <v>1.059925</v>
      </c>
      <c r="L305">
        <v>368.0874</v>
      </c>
      <c r="M305">
        <v>0.99987269999999995</v>
      </c>
      <c r="N305">
        <v>0</v>
      </c>
      <c r="O305">
        <v>-1.1314899999999999E-2</v>
      </c>
      <c r="P305">
        <v>0.99489629999999996</v>
      </c>
      <c r="Q305">
        <v>6.746038E-2</v>
      </c>
      <c r="R305">
        <v>-7.5035350000000001E-2</v>
      </c>
      <c r="S305">
        <v>3.0392459999999999</v>
      </c>
      <c r="T305">
        <v>-0.97780670000000003</v>
      </c>
      <c r="U305">
        <v>-0.55969239999999998</v>
      </c>
      <c r="V305">
        <v>6.3798229999999997E-2</v>
      </c>
      <c r="W305">
        <v>7.8643400000000002E-2</v>
      </c>
      <c r="X305">
        <v>0.9948593</v>
      </c>
      <c r="Y305">
        <v>0.16258220000000001</v>
      </c>
      <c r="Z305">
        <v>-2.1789469999999998E-2</v>
      </c>
      <c r="AA305">
        <v>0.98645439999999995</v>
      </c>
      <c r="AB305">
        <v>24</v>
      </c>
      <c r="AC305">
        <v>0.55009999999998604</v>
      </c>
      <c r="AD305">
        <v>-0.25439850000000003</v>
      </c>
      <c r="AE305">
        <v>-0.14319999999997801</v>
      </c>
      <c r="AF305">
        <v>0.11411036595841099</v>
      </c>
      <c r="AG305">
        <v>-0.25439850000000003</v>
      </c>
      <c r="AH305">
        <v>0.45962462368729301</v>
      </c>
      <c r="AI305">
        <v>118.243986403459</v>
      </c>
      <c r="AJ305">
        <v>76.057160524667907</v>
      </c>
      <c r="AK305">
        <v>0.53758214918382297</v>
      </c>
      <c r="AL305">
        <v>85.489407469966594</v>
      </c>
      <c r="AM305">
        <v>86.330766689290698</v>
      </c>
      <c r="AN305">
        <v>1.0000000126555899</v>
      </c>
    </row>
    <row r="306" spans="1:40" x14ac:dyDescent="0.25">
      <c r="A306" t="str">
        <f>"20190312151227696"</f>
        <v>20190312151227696</v>
      </c>
      <c r="B306" t="str">
        <f>"1552374747689484"</f>
        <v>1552374747689484</v>
      </c>
      <c r="C306" t="s">
        <v>40</v>
      </c>
      <c r="D306">
        <v>4.321053</v>
      </c>
      <c r="E306">
        <v>0.53894900000000001</v>
      </c>
      <c r="F306" t="s">
        <v>41</v>
      </c>
      <c r="G306">
        <v>-408.61279999999999</v>
      </c>
      <c r="H306">
        <v>0.81638180000000005</v>
      </c>
      <c r="I306">
        <v>367.94740000000002</v>
      </c>
      <c r="J306">
        <v>-409.14229999999998</v>
      </c>
      <c r="K306">
        <v>1.0599099999999999</v>
      </c>
      <c r="L306">
        <v>368.08449999999999</v>
      </c>
      <c r="M306">
        <v>0.99987199999999998</v>
      </c>
      <c r="N306">
        <v>0</v>
      </c>
      <c r="O306">
        <v>-1.149942E-2</v>
      </c>
      <c r="P306">
        <v>0.99485120000000005</v>
      </c>
      <c r="Q306">
        <v>6.8264729999999996E-2</v>
      </c>
      <c r="R306">
        <v>-7.4907650000000006E-2</v>
      </c>
      <c r="S306">
        <v>3.0390630000000001</v>
      </c>
      <c r="T306">
        <v>-0.96619960000000005</v>
      </c>
      <c r="U306">
        <v>-0.55474849999999998</v>
      </c>
      <c r="V306">
        <v>6.3487550000000004E-2</v>
      </c>
      <c r="W306">
        <v>7.9319340000000002E-2</v>
      </c>
      <c r="X306">
        <v>0.99482550000000003</v>
      </c>
      <c r="Y306">
        <v>0.16110459999999999</v>
      </c>
      <c r="Z306">
        <v>-2.1262630000000001E-2</v>
      </c>
      <c r="AA306">
        <v>0.98670829999999998</v>
      </c>
      <c r="AB306">
        <v>24</v>
      </c>
      <c r="AC306">
        <v>0.52949999999998398</v>
      </c>
      <c r="AD306">
        <v>-0.2435282</v>
      </c>
      <c r="AE306">
        <v>-0.13709999999997499</v>
      </c>
      <c r="AF306">
        <v>0.10932860840403701</v>
      </c>
      <c r="AG306">
        <v>-0.2435282</v>
      </c>
      <c r="AH306">
        <v>0.44318572194924499</v>
      </c>
      <c r="AI306">
        <v>118.079979348637</v>
      </c>
      <c r="AJ306">
        <v>76.142495199129101</v>
      </c>
      <c r="AK306">
        <v>0.51737057603856496</v>
      </c>
      <c r="AL306">
        <v>85.450557544290007</v>
      </c>
      <c r="AM306">
        <v>86.348462673408605</v>
      </c>
      <c r="AN306">
        <v>1.0000000010766401</v>
      </c>
    </row>
    <row r="307" spans="1:40" x14ac:dyDescent="0.25">
      <c r="A307" t="str">
        <f>"20190312151227717"</f>
        <v>20190312151227717</v>
      </c>
      <c r="B307" t="str">
        <f>"1552374747709980"</f>
        <v>1552374747709980</v>
      </c>
      <c r="C307" t="s">
        <v>40</v>
      </c>
      <c r="D307">
        <v>4.6144489999999996</v>
      </c>
      <c r="E307">
        <v>0.53925119999999904</v>
      </c>
      <c r="F307" t="s">
        <v>41</v>
      </c>
      <c r="G307">
        <v>-408.39819999999997</v>
      </c>
      <c r="H307">
        <v>0.82330179999999997</v>
      </c>
      <c r="I307">
        <v>367.94880000000001</v>
      </c>
      <c r="J307">
        <v>-408.91629999999998</v>
      </c>
      <c r="K307">
        <v>1.059895</v>
      </c>
      <c r="L307">
        <v>368.08170000000001</v>
      </c>
      <c r="M307">
        <v>0.99987130000000002</v>
      </c>
      <c r="N307">
        <v>0</v>
      </c>
      <c r="O307">
        <v>-1.1675649999999999E-2</v>
      </c>
      <c r="P307">
        <v>0.99477179999999998</v>
      </c>
      <c r="Q307">
        <v>6.8815459999999995E-2</v>
      </c>
      <c r="R307">
        <v>-7.5458999999999998E-2</v>
      </c>
      <c r="S307">
        <v>3.0401919999999998</v>
      </c>
      <c r="T307">
        <v>-0.96671819999999997</v>
      </c>
      <c r="U307">
        <v>-0.552948</v>
      </c>
      <c r="V307">
        <v>6.3864249999999997E-2</v>
      </c>
      <c r="W307">
        <v>7.9750000000000001E-2</v>
      </c>
      <c r="X307">
        <v>0.99476699999999996</v>
      </c>
      <c r="Y307">
        <v>0.16034200000000001</v>
      </c>
      <c r="Z307">
        <v>-2.1095470000000002E-2</v>
      </c>
      <c r="AA307">
        <v>0.98683609999999999</v>
      </c>
      <c r="AB307">
        <v>24</v>
      </c>
      <c r="AC307">
        <v>0.518100000000004</v>
      </c>
      <c r="AD307">
        <v>-0.2365932</v>
      </c>
      <c r="AE307">
        <v>-0.13290000000000601</v>
      </c>
      <c r="AF307">
        <v>0.10608486619994401</v>
      </c>
      <c r="AG307">
        <v>-0.2365932</v>
      </c>
      <c r="AH307">
        <v>0.43458551391497202</v>
      </c>
      <c r="AI307">
        <v>117.873545404453</v>
      </c>
      <c r="AJ307">
        <v>76.282039314317998</v>
      </c>
      <c r="AK307">
        <v>0.50605820814175195</v>
      </c>
      <c r="AL307">
        <v>85.425804326922503</v>
      </c>
      <c r="AM307">
        <v>86.326640193988197</v>
      </c>
      <c r="AN307">
        <v>1.00000004460853</v>
      </c>
    </row>
    <row r="308" spans="1:40" x14ac:dyDescent="0.25">
      <c r="A308" t="str">
        <f>"20190312151227742"</f>
        <v>20190312151227742</v>
      </c>
      <c r="B308" t="str">
        <f>"1552374747729503"</f>
        <v>1552374747729503</v>
      </c>
      <c r="C308" t="s">
        <v>40</v>
      </c>
      <c r="D308">
        <v>4.3338729999999996</v>
      </c>
      <c r="E308">
        <v>0.53926160000000001</v>
      </c>
      <c r="F308" t="s">
        <v>41</v>
      </c>
      <c r="G308">
        <v>-408.18490000000003</v>
      </c>
      <c r="H308">
        <v>0.82639059999999898</v>
      </c>
      <c r="I308">
        <v>367.9477</v>
      </c>
      <c r="J308">
        <v>-408.66579999999999</v>
      </c>
      <c r="K308">
        <v>1.059879</v>
      </c>
      <c r="L308">
        <v>368.07859999999999</v>
      </c>
      <c r="M308">
        <v>0.99987040000000005</v>
      </c>
      <c r="N308">
        <v>0</v>
      </c>
      <c r="O308">
        <v>-1.18715E-2</v>
      </c>
      <c r="P308">
        <v>0.99476980000000004</v>
      </c>
      <c r="Q308">
        <v>6.8509699999999896E-2</v>
      </c>
      <c r="R308">
        <v>-7.575896E-2</v>
      </c>
      <c r="S308">
        <v>3.0407410000000001</v>
      </c>
      <c r="T308">
        <v>-0.97073830000000005</v>
      </c>
      <c r="U308">
        <v>-0.55606080000000002</v>
      </c>
      <c r="V308">
        <v>6.3969399999999996E-2</v>
      </c>
      <c r="W308">
        <v>7.9316010000000006E-2</v>
      </c>
      <c r="X308">
        <v>0.99479490000000004</v>
      </c>
      <c r="Y308">
        <v>0.16101840000000001</v>
      </c>
      <c r="Z308">
        <v>-2.1217799999999998E-2</v>
      </c>
      <c r="AA308">
        <v>0.98672329999999997</v>
      </c>
      <c r="AB308">
        <v>24</v>
      </c>
      <c r="AC308">
        <v>0.48089999999996202</v>
      </c>
      <c r="AD308">
        <v>-0.23348840000000001</v>
      </c>
      <c r="AE308">
        <v>-0.13089999999999599</v>
      </c>
      <c r="AF308">
        <v>0.10265213392568601</v>
      </c>
      <c r="AG308">
        <v>-0.23348840000000001</v>
      </c>
      <c r="AH308">
        <v>0.39559749210254203</v>
      </c>
      <c r="AI308">
        <v>119.73918889091</v>
      </c>
      <c r="AJ308">
        <v>75.453355817076897</v>
      </c>
      <c r="AK308">
        <v>0.47069275466261201</v>
      </c>
      <c r="AL308">
        <v>85.450748952493697</v>
      </c>
      <c r="AM308">
        <v>86.320711659163194</v>
      </c>
      <c r="AN308">
        <v>1.00000000332234</v>
      </c>
    </row>
    <row r="309" spans="1:40" x14ac:dyDescent="0.25">
      <c r="A309" t="str">
        <f>"20190312151227764"</f>
        <v>20190312151227764</v>
      </c>
      <c r="B309" t="str">
        <f>"1552374747759756"</f>
        <v>1552374747759756</v>
      </c>
      <c r="C309" t="s">
        <v>40</v>
      </c>
      <c r="D309">
        <v>4.265631</v>
      </c>
      <c r="E309">
        <v>0.53867109999999996</v>
      </c>
      <c r="F309" t="s">
        <v>41</v>
      </c>
      <c r="G309">
        <v>-407.96839999999997</v>
      </c>
      <c r="H309">
        <v>0.83647749999999998</v>
      </c>
      <c r="I309">
        <v>367.95010000000002</v>
      </c>
      <c r="J309">
        <v>-408.42869999999999</v>
      </c>
      <c r="K309">
        <v>1.0598650000000001</v>
      </c>
      <c r="L309">
        <v>368.07549999999998</v>
      </c>
      <c r="M309">
        <v>0.99986949999999997</v>
      </c>
      <c r="N309">
        <v>0</v>
      </c>
      <c r="O309">
        <v>-1.205636E-2</v>
      </c>
      <c r="P309">
        <v>0.99475979999999997</v>
      </c>
      <c r="Q309">
        <v>6.8080860000000007E-2</v>
      </c>
      <c r="R309">
        <v>-7.6278360000000003E-2</v>
      </c>
      <c r="S309">
        <v>3.040375</v>
      </c>
      <c r="T309">
        <v>-0.97396479999999996</v>
      </c>
      <c r="U309">
        <v>-0.55767819999999901</v>
      </c>
      <c r="V309">
        <v>6.4304689999999998E-2</v>
      </c>
      <c r="W309">
        <v>7.8772229999999999E-2</v>
      </c>
      <c r="X309">
        <v>0.99481649999999999</v>
      </c>
      <c r="Y309">
        <v>0.16131239999999999</v>
      </c>
      <c r="Z309">
        <v>-2.1274789999999998E-2</v>
      </c>
      <c r="AA309">
        <v>0.9866741</v>
      </c>
      <c r="AB309">
        <v>24</v>
      </c>
      <c r="AC309">
        <v>0.46030000000001697</v>
      </c>
      <c r="AD309">
        <v>-0.22338749999999999</v>
      </c>
      <c r="AE309">
        <v>-0.12539999999995599</v>
      </c>
      <c r="AF309">
        <v>9.8290628022290397E-2</v>
      </c>
      <c r="AG309">
        <v>-0.22338749999999999</v>
      </c>
      <c r="AH309">
        <v>0.37873924854894397</v>
      </c>
      <c r="AI309">
        <v>119.722324010322</v>
      </c>
      <c r="AJ309">
        <v>75.451516440271803</v>
      </c>
      <c r="AK309">
        <v>0.45056236094982999</v>
      </c>
      <c r="AL309">
        <v>85.4820030860283</v>
      </c>
      <c r="AM309">
        <v>86.301560461048297</v>
      </c>
      <c r="AN309">
        <v>1.0000000130236999</v>
      </c>
    </row>
    <row r="310" spans="1:40" x14ac:dyDescent="0.25">
      <c r="A310" t="str">
        <f>"20190312151227787"</f>
        <v>20190312151227787</v>
      </c>
      <c r="B310" t="str">
        <f>"1552374747780252"</f>
        <v>1552374747780252</v>
      </c>
      <c r="C310" t="s">
        <v>40</v>
      </c>
      <c r="D310">
        <v>4.9691869999999998</v>
      </c>
      <c r="E310">
        <v>0.53845730000000003</v>
      </c>
      <c r="F310" t="s">
        <v>41</v>
      </c>
      <c r="G310">
        <v>-407.7525</v>
      </c>
      <c r="H310">
        <v>0.84453489999999998</v>
      </c>
      <c r="I310">
        <v>367.95190000000002</v>
      </c>
      <c r="J310">
        <v>-408.19069999999999</v>
      </c>
      <c r="K310">
        <v>1.059852</v>
      </c>
      <c r="L310">
        <v>368.07240000000002</v>
      </c>
      <c r="M310">
        <v>0.99986839999999999</v>
      </c>
      <c r="N310">
        <v>0</v>
      </c>
      <c r="O310">
        <v>-1.2242100000000001E-2</v>
      </c>
      <c r="P310">
        <v>0.99471370000000003</v>
      </c>
      <c r="Q310">
        <v>6.8074560000000006E-2</v>
      </c>
      <c r="R310">
        <v>-7.6883279999999998E-2</v>
      </c>
      <c r="S310">
        <v>3.0394589999999999</v>
      </c>
      <c r="T310">
        <v>-0.96786859999999997</v>
      </c>
      <c r="U310">
        <v>-0.55572509999999997</v>
      </c>
      <c r="V310">
        <v>6.4725179999999993E-2</v>
      </c>
      <c r="W310">
        <v>7.8658619999999999E-2</v>
      </c>
      <c r="X310">
        <v>0.99479819999999997</v>
      </c>
      <c r="Y310">
        <v>0.16069029999999901</v>
      </c>
      <c r="Z310">
        <v>-2.100173E-2</v>
      </c>
      <c r="AA310">
        <v>0.98678140000000003</v>
      </c>
      <c r="AB310">
        <v>24</v>
      </c>
      <c r="AC310">
        <v>0.43819999999999398</v>
      </c>
      <c r="AD310">
        <v>-0.21531710000000001</v>
      </c>
      <c r="AE310">
        <v>-0.120499999999992</v>
      </c>
      <c r="AF310">
        <v>9.4021404262669597E-2</v>
      </c>
      <c r="AG310">
        <v>-0.21531710000000001</v>
      </c>
      <c r="AH310">
        <v>0.359047771748637</v>
      </c>
      <c r="AI310">
        <v>120.119248896412</v>
      </c>
      <c r="AJ310">
        <v>75.325834481493501</v>
      </c>
      <c r="AK310">
        <v>0.42908831306573197</v>
      </c>
      <c r="AL310">
        <v>85.488532629896696</v>
      </c>
      <c r="AM310">
        <v>86.277375765002702</v>
      </c>
      <c r="AN310">
        <v>0.99999999307478804</v>
      </c>
    </row>
    <row r="311" spans="1:40" x14ac:dyDescent="0.25">
      <c r="A311" t="str">
        <f>"20190312151227807"</f>
        <v>20190312151227807</v>
      </c>
      <c r="B311" t="str">
        <f>"1552374747799772"</f>
        <v>1552374747799772</v>
      </c>
      <c r="C311" t="s">
        <v>40</v>
      </c>
      <c r="D311">
        <v>4.3095030000000003</v>
      </c>
      <c r="E311">
        <v>0.53800599999999998</v>
      </c>
      <c r="F311" t="s">
        <v>41</v>
      </c>
      <c r="G311">
        <v>-407.3476</v>
      </c>
      <c r="H311">
        <v>0.79189339999999997</v>
      </c>
      <c r="I311">
        <v>367.91789999999997</v>
      </c>
      <c r="J311">
        <v>-407.96469999999999</v>
      </c>
      <c r="K311">
        <v>1.0598320000000001</v>
      </c>
      <c r="L311">
        <v>368.06950000000001</v>
      </c>
      <c r="M311">
        <v>0.99986710000000001</v>
      </c>
      <c r="N311">
        <v>0</v>
      </c>
      <c r="O311">
        <v>-1.2417920000000001E-2</v>
      </c>
      <c r="P311">
        <v>0.99470380000000003</v>
      </c>
      <c r="Q311">
        <v>6.7844669999999996E-2</v>
      </c>
      <c r="R311">
        <v>-7.7210780000000007E-2</v>
      </c>
      <c r="S311">
        <v>3.0390630000000001</v>
      </c>
      <c r="T311">
        <v>-0.96579479999999995</v>
      </c>
      <c r="U311">
        <v>-0.55596919999999905</v>
      </c>
      <c r="V311">
        <v>6.4877729999999995E-2</v>
      </c>
      <c r="W311">
        <v>7.8338690000000002E-2</v>
      </c>
      <c r="X311">
        <v>0.99481350000000002</v>
      </c>
      <c r="Y311">
        <v>0.16065470000000001</v>
      </c>
      <c r="Z311">
        <v>-2.0901659999999999E-2</v>
      </c>
      <c r="AA311">
        <v>0.98678929999999998</v>
      </c>
      <c r="AB311">
        <v>24</v>
      </c>
      <c r="AC311">
        <v>0.61709999999999299</v>
      </c>
      <c r="AD311">
        <v>-0.26793859999999903</v>
      </c>
      <c r="AE311">
        <v>-0.15160000000002999</v>
      </c>
      <c r="AF311">
        <v>0.122198920719423</v>
      </c>
      <c r="AG311">
        <v>-0.26793859999999903</v>
      </c>
      <c r="AH311">
        <v>0.52550503298110796</v>
      </c>
      <c r="AI311">
        <v>116.409853093035</v>
      </c>
      <c r="AJ311">
        <v>76.909301838581499</v>
      </c>
      <c r="AK311">
        <v>0.60239456279371095</v>
      </c>
      <c r="AL311">
        <v>85.506919971863397</v>
      </c>
      <c r="AM311">
        <v>86.268683939946897</v>
      </c>
      <c r="AN311">
        <v>0.99999998499155895</v>
      </c>
    </row>
    <row r="312" spans="1:40" x14ac:dyDescent="0.25">
      <c r="A312" t="str">
        <f>"20190312151227830"</f>
        <v>20190312151227830</v>
      </c>
      <c r="B312" t="str">
        <f>"1552374747820268"</f>
        <v>1552374747820268</v>
      </c>
      <c r="C312" t="s">
        <v>40</v>
      </c>
      <c r="D312">
        <v>4.3210839999999999</v>
      </c>
      <c r="E312">
        <v>0.53812459999999995</v>
      </c>
      <c r="F312" t="s">
        <v>41</v>
      </c>
      <c r="G312">
        <v>-407.13209999999998</v>
      </c>
      <c r="H312">
        <v>0.79663379999999995</v>
      </c>
      <c r="I312">
        <v>367.91759999999999</v>
      </c>
      <c r="J312">
        <v>-407.72699999999998</v>
      </c>
      <c r="K312">
        <v>1.05982</v>
      </c>
      <c r="L312">
        <v>368.06630000000001</v>
      </c>
      <c r="M312">
        <v>0.99986580000000003</v>
      </c>
      <c r="N312">
        <v>0</v>
      </c>
      <c r="O312">
        <v>-1.2603079999999999E-2</v>
      </c>
      <c r="P312">
        <v>0.99470959999999997</v>
      </c>
      <c r="Q312">
        <v>6.8066639999999998E-2</v>
      </c>
      <c r="R312">
        <v>-7.6944159999999998E-2</v>
      </c>
      <c r="S312">
        <v>3.0385439999999999</v>
      </c>
      <c r="T312">
        <v>-0.96063050000000005</v>
      </c>
      <c r="U312">
        <v>-0.55316160000000003</v>
      </c>
      <c r="V312">
        <v>6.4426789999999998E-2</v>
      </c>
      <c r="W312">
        <v>7.8476080000000004E-2</v>
      </c>
      <c r="X312">
        <v>0.99483200000000005</v>
      </c>
      <c r="Y312">
        <v>0.15974140000000001</v>
      </c>
      <c r="Z312">
        <v>-2.0603389999999999E-2</v>
      </c>
      <c r="AA312">
        <v>0.98694380000000004</v>
      </c>
      <c r="AB312">
        <v>24</v>
      </c>
      <c r="AC312">
        <v>0.59489999999999499</v>
      </c>
      <c r="AD312">
        <v>-0.26318619999999898</v>
      </c>
      <c r="AE312">
        <v>-0.14870000000001901</v>
      </c>
      <c r="AF312">
        <v>0.119227135532691</v>
      </c>
      <c r="AG312">
        <v>-0.26318619999999898</v>
      </c>
      <c r="AH312">
        <v>0.50390210781578804</v>
      </c>
      <c r="AI312">
        <v>116.942542535809</v>
      </c>
      <c r="AJ312">
        <v>76.688184678108101</v>
      </c>
      <c r="AK312">
        <v>0.58086092998149297</v>
      </c>
      <c r="AL312">
        <v>85.499023896113997</v>
      </c>
      <c r="AM312">
        <v>86.294615082501394</v>
      </c>
      <c r="AN312">
        <v>1.00000000731293</v>
      </c>
    </row>
    <row r="313" spans="1:40" x14ac:dyDescent="0.25">
      <c r="A313" t="str">
        <f>"20190312151227851"</f>
        <v>20190312151227851</v>
      </c>
      <c r="B313" t="str">
        <f>"1552374747839788"</f>
        <v>1552374747839788</v>
      </c>
      <c r="C313" t="s">
        <v>40</v>
      </c>
      <c r="D313">
        <v>4.2804060000000002</v>
      </c>
      <c r="E313">
        <v>0.53800550000000003</v>
      </c>
      <c r="F313" t="s">
        <v>41</v>
      </c>
      <c r="G313">
        <v>-406.91590000000002</v>
      </c>
      <c r="H313">
        <v>0.80240419999999901</v>
      </c>
      <c r="I313">
        <v>367.91860000000003</v>
      </c>
      <c r="J313">
        <v>-407.49439999999998</v>
      </c>
      <c r="K313">
        <v>1.059812</v>
      </c>
      <c r="L313">
        <v>368.06310000000002</v>
      </c>
      <c r="M313">
        <v>0.99986419999999998</v>
      </c>
      <c r="N313">
        <v>0</v>
      </c>
      <c r="O313">
        <v>-1.2784129999999999E-2</v>
      </c>
      <c r="P313">
        <v>0.9947298</v>
      </c>
      <c r="Q313">
        <v>6.7947370000000007E-2</v>
      </c>
      <c r="R313">
        <v>-7.6786640000000003E-2</v>
      </c>
      <c r="S313">
        <v>3.0390929999999998</v>
      </c>
      <c r="T313">
        <v>-0.96445060000000005</v>
      </c>
      <c r="U313">
        <v>-0.553253199999999</v>
      </c>
      <c r="V313">
        <v>6.4088800000000001E-2</v>
      </c>
      <c r="W313">
        <v>7.8284969999999995E-2</v>
      </c>
      <c r="X313">
        <v>0.99486889999999994</v>
      </c>
      <c r="Y313">
        <v>0.15952740000000001</v>
      </c>
      <c r="Z313">
        <v>-2.05895E-2</v>
      </c>
      <c r="AA313">
        <v>0.98697880000000004</v>
      </c>
      <c r="AB313">
        <v>24</v>
      </c>
      <c r="AC313">
        <v>0.57849999999996204</v>
      </c>
      <c r="AD313">
        <v>-0.25740780000000002</v>
      </c>
      <c r="AE313">
        <v>-0.144499999999993</v>
      </c>
      <c r="AF313">
        <v>0.115557007611785</v>
      </c>
      <c r="AG313">
        <v>-0.25740780000000002</v>
      </c>
      <c r="AH313">
        <v>0.48914351297636899</v>
      </c>
      <c r="AI313">
        <v>117.11899476705</v>
      </c>
      <c r="AJ313">
        <v>76.707945382175595</v>
      </c>
      <c r="AK313">
        <v>0.564688917720096</v>
      </c>
      <c r="AL313">
        <v>85.510007538155904</v>
      </c>
      <c r="AM313">
        <v>86.314136544935195</v>
      </c>
      <c r="AN313">
        <v>1.0000000195002701</v>
      </c>
    </row>
    <row r="314" spans="1:40" x14ac:dyDescent="0.25">
      <c r="A314" t="str">
        <f>"20190312151227876"</f>
        <v>20190312151227876</v>
      </c>
      <c r="B314" t="str">
        <f>"1552374747870044"</f>
        <v>1552374747870044</v>
      </c>
      <c r="C314" t="s">
        <v>40</v>
      </c>
      <c r="D314">
        <v>6.84375</v>
      </c>
      <c r="E314">
        <v>0.5378636</v>
      </c>
      <c r="F314" t="s">
        <v>41</v>
      </c>
      <c r="G314">
        <v>-406.7</v>
      </c>
      <c r="H314">
        <v>0.80663759999999995</v>
      </c>
      <c r="I314">
        <v>367.91879999999998</v>
      </c>
      <c r="J314">
        <v>-407.23110000000003</v>
      </c>
      <c r="K314">
        <v>1.0598099999999999</v>
      </c>
      <c r="L314">
        <v>368.05959999999999</v>
      </c>
      <c r="M314">
        <v>0.99986220000000003</v>
      </c>
      <c r="N314">
        <v>0</v>
      </c>
      <c r="O314">
        <v>-1.2989499999999999E-2</v>
      </c>
      <c r="P314">
        <v>0.99470449999999999</v>
      </c>
      <c r="Q314">
        <v>6.8073649999999999E-2</v>
      </c>
      <c r="R314">
        <v>-7.6999629999999999E-2</v>
      </c>
      <c r="S314">
        <v>3.03952</v>
      </c>
      <c r="T314">
        <v>-0.96855349999999996</v>
      </c>
      <c r="U314">
        <v>-0.55120849999999999</v>
      </c>
      <c r="V314">
        <v>6.4097959999999995E-2</v>
      </c>
      <c r="W314">
        <v>7.8340110000000004E-2</v>
      </c>
      <c r="X314">
        <v>0.99486390000000002</v>
      </c>
      <c r="Y314">
        <v>0.15865219999999999</v>
      </c>
      <c r="Z314">
        <v>-2.0473089999999999E-2</v>
      </c>
      <c r="AA314">
        <v>0.98712219999999995</v>
      </c>
      <c r="AB314">
        <v>24</v>
      </c>
      <c r="AC314">
        <v>0.53110000000003699</v>
      </c>
      <c r="AD314">
        <v>-0.25317240000000002</v>
      </c>
      <c r="AE314">
        <v>-0.140800000000012</v>
      </c>
      <c r="AF314">
        <v>0.11044076223425001</v>
      </c>
      <c r="AG314">
        <v>-0.25317240000000002</v>
      </c>
      <c r="AH314">
        <v>0.43955908109470199</v>
      </c>
      <c r="AI314">
        <v>119.18802469874601</v>
      </c>
      <c r="AJ314">
        <v>75.896180385344806</v>
      </c>
      <c r="AK314">
        <v>0.51913929908788503</v>
      </c>
      <c r="AL314">
        <v>85.506838205376695</v>
      </c>
      <c r="AM314">
        <v>86.313592713200606</v>
      </c>
      <c r="AN314">
        <v>0.99999995041709</v>
      </c>
    </row>
    <row r="315" spans="1:40" x14ac:dyDescent="0.25">
      <c r="A315" t="str">
        <f>"20190312151227897"</f>
        <v>20190312151227897</v>
      </c>
      <c r="B315" t="str">
        <f>"1552374747889564"</f>
        <v>1552374747889564</v>
      </c>
      <c r="C315" t="s">
        <v>40</v>
      </c>
      <c r="D315">
        <v>4.3011369999999998</v>
      </c>
      <c r="E315">
        <v>0.53788349999999996</v>
      </c>
      <c r="F315" t="s">
        <v>41</v>
      </c>
      <c r="G315">
        <v>-406.47989999999999</v>
      </c>
      <c r="H315">
        <v>0.82026469999999996</v>
      </c>
      <c r="I315">
        <v>367.92360000000002</v>
      </c>
      <c r="J315">
        <v>-407.00299999999999</v>
      </c>
      <c r="K315">
        <v>1.0598050000000001</v>
      </c>
      <c r="L315">
        <v>368.0564</v>
      </c>
      <c r="M315">
        <v>0.99986050000000004</v>
      </c>
      <c r="N315">
        <v>0</v>
      </c>
      <c r="O315">
        <v>-1.31672E-2</v>
      </c>
      <c r="P315">
        <v>0.99468219999999996</v>
      </c>
      <c r="Q315">
        <v>6.7731979999999997E-2</v>
      </c>
      <c r="R315">
        <v>-7.7589809999999995E-2</v>
      </c>
      <c r="S315">
        <v>3.0397639999999999</v>
      </c>
      <c r="T315">
        <v>-0.96928110000000001</v>
      </c>
      <c r="U315">
        <v>-0.55010990000000004</v>
      </c>
      <c r="V315">
        <v>6.4511120000000005E-2</v>
      </c>
      <c r="W315">
        <v>7.794508E-2</v>
      </c>
      <c r="X315">
        <v>0.99486830000000004</v>
      </c>
      <c r="Y315">
        <v>0.158141</v>
      </c>
      <c r="Z315">
        <v>-2.0353050000000001E-2</v>
      </c>
      <c r="AA315">
        <v>0.98720680000000005</v>
      </c>
      <c r="AB315">
        <v>24</v>
      </c>
      <c r="AC315">
        <v>0.52310000000005596</v>
      </c>
      <c r="AD315">
        <v>-0.23954029999999901</v>
      </c>
      <c r="AE315">
        <v>-0.13279999999997399</v>
      </c>
      <c r="AF315">
        <v>0.105180075350506</v>
      </c>
      <c r="AG315">
        <v>-0.23954029999999901</v>
      </c>
      <c r="AH315">
        <v>0.43843286192331898</v>
      </c>
      <c r="AI315">
        <v>117.98087770673401</v>
      </c>
      <c r="AJ315">
        <v>76.509680443957905</v>
      </c>
      <c r="AK315">
        <v>0.51055438298882605</v>
      </c>
      <c r="AL315">
        <v>85.5295415238202</v>
      </c>
      <c r="AM315">
        <v>86.289913538092506</v>
      </c>
      <c r="AN315">
        <v>1.0000000272223699</v>
      </c>
    </row>
    <row r="316" spans="1:40" x14ac:dyDescent="0.25">
      <c r="A316" t="str">
        <f>"20190312151227918"</f>
        <v>20190312151227918</v>
      </c>
      <c r="B316" t="str">
        <f>"1552374747910060"</f>
        <v>1552374747910060</v>
      </c>
      <c r="C316" t="s">
        <v>40</v>
      </c>
      <c r="D316">
        <v>4.2689640000000004</v>
      </c>
      <c r="E316">
        <v>0.53790719999999903</v>
      </c>
      <c r="F316" t="s">
        <v>41</v>
      </c>
      <c r="G316">
        <v>-406.26389999999998</v>
      </c>
      <c r="H316">
        <v>0.82315490000000002</v>
      </c>
      <c r="I316">
        <v>367.92200000000003</v>
      </c>
      <c r="J316">
        <v>-406.76940000000002</v>
      </c>
      <c r="K316">
        <v>1.059798</v>
      </c>
      <c r="L316">
        <v>368.05309999999997</v>
      </c>
      <c r="M316">
        <v>0.99985860000000004</v>
      </c>
      <c r="N316">
        <v>0</v>
      </c>
      <c r="O316">
        <v>-1.3349110000000001E-2</v>
      </c>
      <c r="P316">
        <v>0.99462280000000003</v>
      </c>
      <c r="Q316">
        <v>6.8004079999999995E-2</v>
      </c>
      <c r="R316">
        <v>-7.8110460000000007E-2</v>
      </c>
      <c r="S316">
        <v>3.0392760000000001</v>
      </c>
      <c r="T316">
        <v>-0.97321120000000005</v>
      </c>
      <c r="U316">
        <v>-0.55206299999999997</v>
      </c>
      <c r="V316">
        <v>6.4851590000000001E-2</v>
      </c>
      <c r="W316">
        <v>7.8170400000000001E-2</v>
      </c>
      <c r="X316">
        <v>0.9948285</v>
      </c>
      <c r="Y316">
        <v>0.15853680000000001</v>
      </c>
      <c r="Z316">
        <v>-2.0438729999999999E-2</v>
      </c>
      <c r="AA316">
        <v>0.98714150000000001</v>
      </c>
      <c r="AB316">
        <v>24</v>
      </c>
      <c r="AC316">
        <v>0.50550000000004003</v>
      </c>
      <c r="AD316">
        <v>-0.236643099999999</v>
      </c>
      <c r="AE316">
        <v>-0.13110000000000299</v>
      </c>
      <c r="AF316">
        <v>0.10315755825219999</v>
      </c>
      <c r="AG316">
        <v>-0.236643099999999</v>
      </c>
      <c r="AH316">
        <v>0.42079817850579798</v>
      </c>
      <c r="AI316">
        <v>118.643114545545</v>
      </c>
      <c r="AJ316">
        <v>76.225735131766797</v>
      </c>
      <c r="AK316">
        <v>0.49367250848711802</v>
      </c>
      <c r="AL316">
        <v>85.516592196105293</v>
      </c>
      <c r="AM316">
        <v>86.270239165864098</v>
      </c>
      <c r="AN316">
        <v>1.0000000422869599</v>
      </c>
    </row>
    <row r="317" spans="1:40" x14ac:dyDescent="0.25">
      <c r="A317" t="str">
        <f>"20190312151227941"</f>
        <v>20190312151227941</v>
      </c>
      <c r="B317" t="str">
        <f>"1552374747929583"</f>
        <v>1552374747929583</v>
      </c>
      <c r="C317" t="s">
        <v>40</v>
      </c>
      <c r="D317">
        <v>4.2831650000000003</v>
      </c>
      <c r="E317">
        <v>0.53786179999999995</v>
      </c>
      <c r="F317" t="s">
        <v>41</v>
      </c>
      <c r="G317">
        <v>-406.04680000000002</v>
      </c>
      <c r="H317">
        <v>0.82804829999999996</v>
      </c>
      <c r="I317">
        <v>367.9212</v>
      </c>
      <c r="J317">
        <v>-406.5308</v>
      </c>
      <c r="K317">
        <v>1.0597970000000001</v>
      </c>
      <c r="L317">
        <v>368.04969999999997</v>
      </c>
      <c r="M317">
        <v>0.99985639999999998</v>
      </c>
      <c r="N317">
        <v>0</v>
      </c>
      <c r="O317">
        <v>-1.3534859999999999E-2</v>
      </c>
      <c r="P317">
        <v>0.99457810000000002</v>
      </c>
      <c r="Q317">
        <v>6.798506E-2</v>
      </c>
      <c r="R317">
        <v>-7.8693139999999995E-2</v>
      </c>
      <c r="S317">
        <v>3.039307</v>
      </c>
      <c r="T317">
        <v>-0.97476289999999999</v>
      </c>
      <c r="U317">
        <v>-0.55407709999999999</v>
      </c>
      <c r="V317">
        <v>6.5249970000000004E-2</v>
      </c>
      <c r="W317">
        <v>7.810955E-2</v>
      </c>
      <c r="X317">
        <v>0.9948072</v>
      </c>
      <c r="Y317">
        <v>0.15895310000000001</v>
      </c>
      <c r="Z317">
        <v>-2.0475480000000001E-2</v>
      </c>
      <c r="AA317">
        <v>0.9870738</v>
      </c>
      <c r="AB317">
        <v>24</v>
      </c>
      <c r="AC317">
        <v>0.48399999999998</v>
      </c>
      <c r="AD317">
        <v>-0.231748699999999</v>
      </c>
      <c r="AE317">
        <v>-0.128499999999974</v>
      </c>
      <c r="AF317">
        <v>0.100428148866831</v>
      </c>
      <c r="AG317">
        <v>-0.231748699999999</v>
      </c>
      <c r="AH317">
        <v>0.40002166469037498</v>
      </c>
      <c r="AI317">
        <v>119.33175067313699</v>
      </c>
      <c r="AJ317">
        <v>75.906783687966495</v>
      </c>
      <c r="AK317">
        <v>0.47308625562170697</v>
      </c>
      <c r="AL317">
        <v>85.520089204543893</v>
      </c>
      <c r="AM317">
        <v>86.247312584605993</v>
      </c>
      <c r="AN317">
        <v>1.0000000127790201</v>
      </c>
    </row>
    <row r="318" spans="1:40" x14ac:dyDescent="0.25">
      <c r="A318" t="str">
        <f>"20190312151227962"</f>
        <v>20190312151227962</v>
      </c>
      <c r="B318" t="str">
        <f>"1552374747959836"</f>
        <v>1552374747959836</v>
      </c>
      <c r="C318" t="s">
        <v>40</v>
      </c>
      <c r="D318">
        <v>4.3498289999999997</v>
      </c>
      <c r="E318">
        <v>0.51688409999999996</v>
      </c>
      <c r="F318" t="s">
        <v>41</v>
      </c>
      <c r="G318">
        <v>-405.82889999999998</v>
      </c>
      <c r="H318">
        <v>0.8339126</v>
      </c>
      <c r="I318">
        <v>367.92090000000002</v>
      </c>
      <c r="J318">
        <v>-406.29640000000001</v>
      </c>
      <c r="K318">
        <v>1.059788</v>
      </c>
      <c r="L318">
        <v>368.04640000000001</v>
      </c>
      <c r="M318">
        <v>0.99985429999999997</v>
      </c>
      <c r="N318">
        <v>0</v>
      </c>
      <c r="O318">
        <v>-1.371731E-2</v>
      </c>
      <c r="P318">
        <v>0.9945484</v>
      </c>
      <c r="Q318">
        <v>6.8319770000000002E-2</v>
      </c>
      <c r="R318">
        <v>-7.8780139999999999E-2</v>
      </c>
      <c r="S318">
        <v>3.0392459999999999</v>
      </c>
      <c r="T318">
        <v>-0.97809990000000002</v>
      </c>
      <c r="U318">
        <v>-0.55621339999999997</v>
      </c>
      <c r="V318">
        <v>6.5155740000000004E-2</v>
      </c>
      <c r="W318">
        <v>7.8409980000000004E-2</v>
      </c>
      <c r="X318">
        <v>0.9947897</v>
      </c>
      <c r="Y318">
        <v>0.15938929999999901</v>
      </c>
      <c r="Z318">
        <v>-2.0552620000000001E-2</v>
      </c>
      <c r="AA318">
        <v>0.98700180000000004</v>
      </c>
      <c r="AB318">
        <v>24</v>
      </c>
      <c r="AC318">
        <v>0.467500000000029</v>
      </c>
      <c r="AD318">
        <v>-0.225875399999999</v>
      </c>
      <c r="AE318">
        <v>-0.12549999999998801</v>
      </c>
      <c r="AF318">
        <v>9.7782996958808502E-2</v>
      </c>
      <c r="AG318">
        <v>-0.225875399999999</v>
      </c>
      <c r="AH318">
        <v>0.38528311704558998</v>
      </c>
      <c r="AI318">
        <v>119.60709962223601</v>
      </c>
      <c r="AJ318">
        <v>75.759283393811103</v>
      </c>
      <c r="AK318">
        <v>0.45719174434778698</v>
      </c>
      <c r="AL318">
        <v>85.502822691037295</v>
      </c>
      <c r="AM318">
        <v>86.252650800091303</v>
      </c>
      <c r="AN318">
        <v>0.99999997132231799</v>
      </c>
    </row>
    <row r="319" spans="1:40" x14ac:dyDescent="0.25">
      <c r="A319" t="str">
        <f>"20190312151227986"</f>
        <v>20190312151227986</v>
      </c>
      <c r="B319" t="str">
        <f>"1552374747979356"</f>
        <v>1552374747979356</v>
      </c>
      <c r="C319" t="s">
        <v>40</v>
      </c>
      <c r="D319">
        <v>4.2997079999999999</v>
      </c>
      <c r="E319">
        <v>0.50603580000000004</v>
      </c>
      <c r="F319" t="s">
        <v>41</v>
      </c>
      <c r="G319">
        <v>-405.57909999999998</v>
      </c>
      <c r="H319">
        <v>0.91047560000000005</v>
      </c>
      <c r="I319">
        <v>367.9556</v>
      </c>
      <c r="J319">
        <v>-406.0523</v>
      </c>
      <c r="K319">
        <v>1.0597829999999999</v>
      </c>
      <c r="L319">
        <v>368.0428</v>
      </c>
      <c r="M319">
        <v>0.99985210000000002</v>
      </c>
      <c r="N319">
        <v>0</v>
      </c>
      <c r="O319">
        <v>-1.39074E-2</v>
      </c>
      <c r="P319">
        <v>0.99454889999999996</v>
      </c>
      <c r="Q319">
        <v>6.7927119999999994E-2</v>
      </c>
      <c r="R319">
        <v>-7.9110990000000006E-2</v>
      </c>
      <c r="S319">
        <v>3.0293269999999999</v>
      </c>
      <c r="T319">
        <v>-0.63049769999999905</v>
      </c>
      <c r="U319">
        <v>-0.3837585</v>
      </c>
      <c r="V319">
        <v>6.5297309999999997E-2</v>
      </c>
      <c r="W319">
        <v>7.7984540000000005E-2</v>
      </c>
      <c r="X319">
        <v>0.99481390000000003</v>
      </c>
      <c r="Y319">
        <v>0.109843899999999</v>
      </c>
      <c r="Z319">
        <v>-8.4138790000000008E-3</v>
      </c>
      <c r="AA319">
        <v>0.99391320000000005</v>
      </c>
      <c r="AB319">
        <v>24</v>
      </c>
      <c r="AC319">
        <v>0.47320000000001899</v>
      </c>
      <c r="AD319">
        <v>-0.14930739999999901</v>
      </c>
      <c r="AE319">
        <v>-8.7199999999995698E-2</v>
      </c>
      <c r="AF319">
        <v>7.3530202379681497E-2</v>
      </c>
      <c r="AG319">
        <v>-0.14930739999999901</v>
      </c>
      <c r="AH319">
        <v>0.43270308722108702</v>
      </c>
      <c r="AI319">
        <v>108.787311085665</v>
      </c>
      <c r="AJ319">
        <v>80.355728359441002</v>
      </c>
      <c r="AK319">
        <v>0.46360689387391202</v>
      </c>
      <c r="AL319">
        <v>85.527273658608493</v>
      </c>
      <c r="AM319">
        <v>86.244622952117197</v>
      </c>
      <c r="AN319">
        <v>1.0000000114027201</v>
      </c>
    </row>
    <row r="320" spans="1:40" x14ac:dyDescent="0.25">
      <c r="A320" t="str">
        <f>"20190312151228008"</f>
        <v>20190312151228008</v>
      </c>
      <c r="B320" t="str">
        <f>"1552374747999852"</f>
        <v>1552374747999852</v>
      </c>
      <c r="C320" t="s">
        <v>40</v>
      </c>
      <c r="D320">
        <v>4.2407589999999997</v>
      </c>
      <c r="E320">
        <v>0.49870160000000002</v>
      </c>
      <c r="F320" t="s">
        <v>41</v>
      </c>
      <c r="G320">
        <v>-405.34039999999999</v>
      </c>
      <c r="H320">
        <v>0.95617189999999996</v>
      </c>
      <c r="I320">
        <v>367.97309999999999</v>
      </c>
      <c r="J320">
        <v>-405.80919999999998</v>
      </c>
      <c r="K320">
        <v>1.0597760000000001</v>
      </c>
      <c r="L320">
        <v>368.03919999999999</v>
      </c>
      <c r="M320">
        <v>0.99984969999999995</v>
      </c>
      <c r="N320">
        <v>0</v>
      </c>
      <c r="O320">
        <v>-1.409665E-2</v>
      </c>
      <c r="P320">
        <v>0.99456230000000001</v>
      </c>
      <c r="Q320">
        <v>6.7733660000000001E-2</v>
      </c>
      <c r="R320">
        <v>-7.9108310000000001E-2</v>
      </c>
      <c r="S320">
        <v>3.02298</v>
      </c>
      <c r="T320">
        <v>-0.44000590000000001</v>
      </c>
      <c r="U320">
        <v>-0.29571530000000001</v>
      </c>
      <c r="V320">
        <v>6.5105999999999997E-2</v>
      </c>
      <c r="W320">
        <v>7.7758240000000006E-2</v>
      </c>
      <c r="X320">
        <v>0.99484410000000001</v>
      </c>
      <c r="Y320">
        <v>8.260286E-2</v>
      </c>
      <c r="Z320">
        <v>-3.9300649999999999E-3</v>
      </c>
      <c r="AA320">
        <v>0.99657479999999998</v>
      </c>
      <c r="AB320">
        <v>24</v>
      </c>
      <c r="AC320">
        <v>0.468799999999987</v>
      </c>
      <c r="AD320">
        <v>-0.10360409999999901</v>
      </c>
      <c r="AE320">
        <v>-6.6100000000005807E-2</v>
      </c>
      <c r="AF320">
        <v>5.6766151094534201E-2</v>
      </c>
      <c r="AG320">
        <v>-0.10360409999999901</v>
      </c>
      <c r="AH320">
        <v>0.44822072343104102</v>
      </c>
      <c r="AI320">
        <v>102.91540323175499</v>
      </c>
      <c r="AJ320">
        <v>82.782045282607697</v>
      </c>
      <c r="AK320">
        <v>0.46352780106477198</v>
      </c>
      <c r="AL320">
        <v>85.540278952591507</v>
      </c>
      <c r="AM320">
        <v>86.2557075647006</v>
      </c>
      <c r="AN320">
        <v>0.99999995921435303</v>
      </c>
    </row>
    <row r="321" spans="1:40" x14ac:dyDescent="0.25">
      <c r="A321" t="str">
        <f>"20190312151228031"</f>
        <v>20190312151228031</v>
      </c>
      <c r="B321" t="str">
        <f>"1552374748019372"</f>
        <v>1552374748019372</v>
      </c>
      <c r="C321" t="s">
        <v>40</v>
      </c>
      <c r="D321">
        <v>4.2199589999999896</v>
      </c>
      <c r="E321">
        <v>0.49496250000000003</v>
      </c>
      <c r="F321" t="s">
        <v>41</v>
      </c>
      <c r="G321">
        <v>-404.90440000000001</v>
      </c>
      <c r="H321">
        <v>0.96208629999999995</v>
      </c>
      <c r="I321">
        <v>367.9683</v>
      </c>
      <c r="J321">
        <v>-405.5598</v>
      </c>
      <c r="K321">
        <v>1.059769</v>
      </c>
      <c r="L321">
        <v>368.03550000000001</v>
      </c>
      <c r="M321">
        <v>0.99984729999999999</v>
      </c>
      <c r="N321">
        <v>0</v>
      </c>
      <c r="O321">
        <v>-1.4290560000000001E-2</v>
      </c>
      <c r="P321">
        <v>0.99456040000000001</v>
      </c>
      <c r="Q321">
        <v>6.7584050000000007E-2</v>
      </c>
      <c r="R321">
        <v>-7.9262470000000002E-2</v>
      </c>
      <c r="S321">
        <v>3.0199579999999999</v>
      </c>
      <c r="T321">
        <v>-0.32635710000000001</v>
      </c>
      <c r="U321">
        <v>-0.23513790000000001</v>
      </c>
      <c r="V321">
        <v>6.5067079999999999E-2</v>
      </c>
      <c r="W321">
        <v>7.7576640000000002E-2</v>
      </c>
      <c r="X321">
        <v>0.99486090000000005</v>
      </c>
      <c r="Y321">
        <v>6.3087969999999993E-2</v>
      </c>
      <c r="Z321">
        <v>-1.856499E-3</v>
      </c>
      <c r="AA321">
        <v>0.99800619999999995</v>
      </c>
      <c r="AB321">
        <v>24</v>
      </c>
      <c r="AC321">
        <v>0.65539999999998599</v>
      </c>
      <c r="AD321">
        <v>-9.7682699999999803E-2</v>
      </c>
      <c r="AE321">
        <v>-6.7200000000013901E-2</v>
      </c>
      <c r="AF321">
        <v>5.6582789306845002E-2</v>
      </c>
      <c r="AG321">
        <v>-9.7682699999999803E-2</v>
      </c>
      <c r="AH321">
        <v>0.64217667976484705</v>
      </c>
      <c r="AI321">
        <v>98.616190255929496</v>
      </c>
      <c r="AJ321">
        <v>84.964619072280897</v>
      </c>
      <c r="AK321">
        <v>0.65202332010353403</v>
      </c>
      <c r="AL321">
        <v>85.550715730302898</v>
      </c>
      <c r="AM321">
        <v>86.258002531859901</v>
      </c>
      <c r="AN321">
        <v>1.00000003516111</v>
      </c>
    </row>
    <row r="322" spans="1:40" x14ac:dyDescent="0.25">
      <c r="A322" t="str">
        <f>"20190312151228051"</f>
        <v>20190312151228051</v>
      </c>
      <c r="B322" t="str">
        <f>"1552374748039872"</f>
        <v>1552374748039872</v>
      </c>
      <c r="C322" t="s">
        <v>40</v>
      </c>
      <c r="D322">
        <v>4.2280430000000004</v>
      </c>
      <c r="E322">
        <v>0.49289630000000001</v>
      </c>
      <c r="F322" t="s">
        <v>41</v>
      </c>
      <c r="G322">
        <v>-404.67700000000002</v>
      </c>
      <c r="H322">
        <v>0.98288609999999998</v>
      </c>
      <c r="I322">
        <v>367.97550000000001</v>
      </c>
      <c r="J322">
        <v>-405.3329</v>
      </c>
      <c r="K322">
        <v>1.0597559999999999</v>
      </c>
      <c r="L322">
        <v>368.03199999999998</v>
      </c>
      <c r="M322">
        <v>0.99984499999999998</v>
      </c>
      <c r="N322">
        <v>0</v>
      </c>
      <c r="O322">
        <v>-1.446733E-2</v>
      </c>
      <c r="P322">
        <v>0.99456789999999995</v>
      </c>
      <c r="Q322">
        <v>6.7321229999999996E-2</v>
      </c>
      <c r="R322">
        <v>-7.9389619999999994E-2</v>
      </c>
      <c r="S322">
        <v>3.0179140000000002</v>
      </c>
      <c r="T322">
        <v>-0.26286009999999999</v>
      </c>
      <c r="U322">
        <v>-0.2048645</v>
      </c>
      <c r="V322">
        <v>6.5018149999999997E-2</v>
      </c>
      <c r="W322">
        <v>7.7288079999999995E-2</v>
      </c>
      <c r="X322">
        <v>0.99488650000000001</v>
      </c>
      <c r="Y322">
        <v>5.3139319999999997E-2</v>
      </c>
      <c r="Z322">
        <v>-1.051041E-3</v>
      </c>
      <c r="AA322">
        <v>0.99858650000000004</v>
      </c>
      <c r="AB322">
        <v>24</v>
      </c>
      <c r="AC322">
        <v>0.65590000000003101</v>
      </c>
      <c r="AD322">
        <v>-7.6869900000000005E-2</v>
      </c>
      <c r="AE322">
        <v>-5.6499999999971302E-2</v>
      </c>
      <c r="AF322">
        <v>4.6372242757615603E-2</v>
      </c>
      <c r="AG322">
        <v>-7.6869900000000005E-2</v>
      </c>
      <c r="AH322">
        <v>0.64781639614348796</v>
      </c>
      <c r="AI322">
        <v>96.749964088632197</v>
      </c>
      <c r="AJ322">
        <v>85.905615175833702</v>
      </c>
      <c r="AK322">
        <v>0.65400722437654901</v>
      </c>
      <c r="AL322">
        <v>85.567298532703902</v>
      </c>
      <c r="AM322">
        <v>86.260904444771796</v>
      </c>
      <c r="AN322">
        <v>0.99999997751087899</v>
      </c>
    </row>
    <row r="323" spans="1:40" x14ac:dyDescent="0.25">
      <c r="A323" t="str">
        <f>"20190312151228077"</f>
        <v>20190312151228077</v>
      </c>
      <c r="B323" t="str">
        <f>"1552374748070125"</f>
        <v>1552374748070125</v>
      </c>
      <c r="C323" t="s">
        <v>40</v>
      </c>
      <c r="D323">
        <v>4.4827329999999996</v>
      </c>
      <c r="E323">
        <v>0.49121239999999999</v>
      </c>
      <c r="F323" t="s">
        <v>41</v>
      </c>
      <c r="G323">
        <v>-404.45429999999999</v>
      </c>
      <c r="H323">
        <v>0.99366500000000002</v>
      </c>
      <c r="I323">
        <v>367.97699999999998</v>
      </c>
      <c r="J323">
        <v>-405.05919999999998</v>
      </c>
      <c r="K323">
        <v>1.0597570000000001</v>
      </c>
      <c r="L323">
        <v>368.02789999999999</v>
      </c>
      <c r="M323">
        <v>0.99984220000000001</v>
      </c>
      <c r="N323">
        <v>0</v>
      </c>
      <c r="O323">
        <v>-1.467998E-2</v>
      </c>
      <c r="P323">
        <v>0.99451800000000001</v>
      </c>
      <c r="Q323">
        <v>6.7550520000000003E-2</v>
      </c>
      <c r="R323">
        <v>-7.9817139999999995E-2</v>
      </c>
      <c r="S323">
        <v>3.0166930000000001</v>
      </c>
      <c r="T323">
        <v>-0.2270393</v>
      </c>
      <c r="U323">
        <v>-0.1882935</v>
      </c>
      <c r="V323">
        <v>6.5234879999999995E-2</v>
      </c>
      <c r="W323">
        <v>7.7490130000000004E-2</v>
      </c>
      <c r="X323">
        <v>0.99485659999999998</v>
      </c>
      <c r="Y323">
        <v>4.7544459999999997E-2</v>
      </c>
      <c r="Z323">
        <v>-6.8276459999999997E-4</v>
      </c>
      <c r="AA323">
        <v>0.99886889999999995</v>
      </c>
      <c r="AB323">
        <v>24</v>
      </c>
      <c r="AC323">
        <v>0.604899999999986</v>
      </c>
      <c r="AD323">
        <v>-6.6092000000000095E-2</v>
      </c>
      <c r="AE323">
        <v>-5.0900000000012803E-2</v>
      </c>
      <c r="AF323">
        <v>4.1521947536273501E-2</v>
      </c>
      <c r="AG323">
        <v>-6.6092000000000095E-2</v>
      </c>
      <c r="AH323">
        <v>0.59848756408165604</v>
      </c>
      <c r="AI323">
        <v>96.286745822760693</v>
      </c>
      <c r="AJ323">
        <v>86.0312854254054</v>
      </c>
      <c r="AK323">
        <v>0.60355578777077401</v>
      </c>
      <c r="AL323">
        <v>85.555687117918694</v>
      </c>
      <c r="AM323">
        <v>86.248363735051399</v>
      </c>
      <c r="AN323">
        <v>0.99999998218979502</v>
      </c>
    </row>
    <row r="324" spans="1:40" x14ac:dyDescent="0.25">
      <c r="A324" t="str">
        <f>"20190312151228099"</f>
        <v>20190312151228099</v>
      </c>
      <c r="B324" t="str">
        <f>"1552374748089644"</f>
        <v>1552374748089644</v>
      </c>
      <c r="C324" t="s">
        <v>40</v>
      </c>
      <c r="D324">
        <v>4.4441199999999998</v>
      </c>
      <c r="E324">
        <v>0.4903826</v>
      </c>
      <c r="F324" t="s">
        <v>42</v>
      </c>
      <c r="G324">
        <v>-388.42630000000003</v>
      </c>
      <c r="H324" s="1">
        <v>-1.202334E-6</v>
      </c>
      <c r="I324">
        <v>367.05790000000002</v>
      </c>
      <c r="J324">
        <v>-404.81959999999998</v>
      </c>
      <c r="K324">
        <v>1.0597540000000001</v>
      </c>
      <c r="L324">
        <v>368.02409999999998</v>
      </c>
      <c r="M324">
        <v>0.9998397</v>
      </c>
      <c r="N324">
        <v>0</v>
      </c>
      <c r="O324">
        <v>-1.4866209999999999E-2</v>
      </c>
      <c r="P324">
        <v>0.99452390000000002</v>
      </c>
      <c r="Q324">
        <v>6.7588570000000001E-2</v>
      </c>
      <c r="R324">
        <v>-7.9712870000000005E-2</v>
      </c>
      <c r="S324">
        <v>3.0154719999999999</v>
      </c>
      <c r="T324">
        <v>-0.1921284</v>
      </c>
      <c r="U324">
        <v>-0.17584229999999901</v>
      </c>
      <c r="V324">
        <v>6.4945059999999999E-2</v>
      </c>
      <c r="W324">
        <v>7.7507709999999994E-2</v>
      </c>
      <c r="X324">
        <v>0.99487420000000004</v>
      </c>
      <c r="Y324">
        <v>4.3308819999999998E-2</v>
      </c>
      <c r="Z324">
        <v>-4.3178239999999999E-4</v>
      </c>
      <c r="AA324">
        <v>0.99906159999999999</v>
      </c>
      <c r="AB324">
        <v>24</v>
      </c>
      <c r="AC324">
        <v>16.393299999999901</v>
      </c>
      <c r="AD324">
        <v>-1.059755202334</v>
      </c>
      <c r="AE324">
        <v>-0.96619999999995798</v>
      </c>
      <c r="AF324">
        <v>0.71937892340242104</v>
      </c>
      <c r="AG324">
        <v>-1.059755202334</v>
      </c>
      <c r="AH324">
        <v>16.337812372689999</v>
      </c>
      <c r="AI324">
        <v>93.707719561909201</v>
      </c>
      <c r="AJ324">
        <v>87.478807498820998</v>
      </c>
      <c r="AK324">
        <v>16.3879437468382</v>
      </c>
      <c r="AL324">
        <v>85.554676853799506</v>
      </c>
      <c r="AM324">
        <v>86.265049791091201</v>
      </c>
      <c r="AN324">
        <v>0.99999998987674299</v>
      </c>
    </row>
    <row r="325" spans="1:40" x14ac:dyDescent="0.25">
      <c r="A325" t="str">
        <f>"20190312151228119"</f>
        <v>20190312151228119</v>
      </c>
      <c r="B325" t="str">
        <f>"1552374748110140"</f>
        <v>1552374748110140</v>
      </c>
      <c r="C325" t="s">
        <v>40</v>
      </c>
      <c r="D325">
        <v>4.1923159999999999</v>
      </c>
      <c r="E325">
        <v>0.48961399999999999</v>
      </c>
      <c r="F325" t="s">
        <v>42</v>
      </c>
      <c r="G325">
        <v>-386.9162</v>
      </c>
      <c r="H325" s="1">
        <v>-1.7653840000000001E-6</v>
      </c>
      <c r="I325">
        <v>367.02229999999997</v>
      </c>
      <c r="J325">
        <v>-404.59199999999998</v>
      </c>
      <c r="K325">
        <v>1.0597529999999999</v>
      </c>
      <c r="L325">
        <v>368.02050000000003</v>
      </c>
      <c r="M325">
        <v>0.99983710000000003</v>
      </c>
      <c r="N325">
        <v>0</v>
      </c>
      <c r="O325">
        <v>-1.504315E-2</v>
      </c>
      <c r="P325">
        <v>0.99451330000000004</v>
      </c>
      <c r="Q325">
        <v>6.7411860000000004E-2</v>
      </c>
      <c r="R325">
        <v>-7.9996029999999996E-2</v>
      </c>
      <c r="S325">
        <v>3.0151669999999999</v>
      </c>
      <c r="T325">
        <v>-0.1784762</v>
      </c>
      <c r="U325">
        <v>-0.1687012</v>
      </c>
      <c r="V325">
        <v>6.5052090000000007E-2</v>
      </c>
      <c r="W325">
        <v>7.7314690000000005E-2</v>
      </c>
      <c r="X325">
        <v>0.99488220000000005</v>
      </c>
      <c r="Y325">
        <v>4.0791830000000001E-2</v>
      </c>
      <c r="Z325">
        <v>-3.163959E-4</v>
      </c>
      <c r="AA325">
        <v>0.99916760000000004</v>
      </c>
      <c r="AB325">
        <v>24</v>
      </c>
      <c r="AC325">
        <v>17.675799999999899</v>
      </c>
      <c r="AD325">
        <v>-1.059754765384</v>
      </c>
      <c r="AE325">
        <v>-0.99820000000005404</v>
      </c>
      <c r="AF325">
        <v>0.72955994915258704</v>
      </c>
      <c r="AG325">
        <v>-1.059754765384</v>
      </c>
      <c r="AH325">
        <v>17.625660442693501</v>
      </c>
      <c r="AI325">
        <v>93.437868531211706</v>
      </c>
      <c r="AJ325">
        <v>87.629770619130795</v>
      </c>
      <c r="AK325">
        <v>17.6725562362465</v>
      </c>
      <c r="AL325">
        <v>85.565769255247702</v>
      </c>
      <c r="AM325">
        <v>86.258942024615493</v>
      </c>
      <c r="AN325">
        <v>0.999999963790001</v>
      </c>
    </row>
    <row r="326" spans="1:40" x14ac:dyDescent="0.25">
      <c r="A326" t="str">
        <f>"20190312151228141"</f>
        <v>20190312151228141</v>
      </c>
      <c r="B326" t="str">
        <f>"1552374748129661"</f>
        <v>1552374748129661</v>
      </c>
      <c r="C326" t="s">
        <v>40</v>
      </c>
      <c r="D326">
        <v>4.3583600000000002</v>
      </c>
      <c r="E326">
        <v>0.48909770000000002</v>
      </c>
      <c r="F326" t="s">
        <v>42</v>
      </c>
      <c r="G326">
        <v>-385.80369999999999</v>
      </c>
      <c r="H326" s="1">
        <v>-2.2461859999999998E-6</v>
      </c>
      <c r="I326">
        <v>367.00229999999999</v>
      </c>
      <c r="J326">
        <v>-404.35610000000003</v>
      </c>
      <c r="K326">
        <v>1.059747</v>
      </c>
      <c r="L326">
        <v>368.01679999999999</v>
      </c>
      <c r="M326">
        <v>0.99983460000000002</v>
      </c>
      <c r="N326">
        <v>0</v>
      </c>
      <c r="O326">
        <v>-1.5226770000000001E-2</v>
      </c>
      <c r="P326">
        <v>0.99451920000000005</v>
      </c>
      <c r="Q326">
        <v>6.7131799999999894E-2</v>
      </c>
      <c r="R326">
        <v>-8.0157039999999999E-2</v>
      </c>
      <c r="S326">
        <v>3.014923</v>
      </c>
      <c r="T326">
        <v>-0.17005680000000001</v>
      </c>
      <c r="U326">
        <v>-0.16339110000000001</v>
      </c>
      <c r="V326">
        <v>6.5030180000000007E-2</v>
      </c>
      <c r="W326">
        <v>7.7020409999999997E-2</v>
      </c>
      <c r="X326">
        <v>0.99490650000000003</v>
      </c>
      <c r="Y326">
        <v>3.8865770000000001E-2</v>
      </c>
      <c r="Z326">
        <v>-2.369545E-4</v>
      </c>
      <c r="AA326">
        <v>0.99924440000000003</v>
      </c>
      <c r="AB326">
        <v>24</v>
      </c>
      <c r="AC326">
        <v>18.552399999999999</v>
      </c>
      <c r="AD326">
        <v>-1.0597492461859901</v>
      </c>
      <c r="AE326">
        <v>-1.01449999999999</v>
      </c>
      <c r="AF326">
        <v>0.72950206440944099</v>
      </c>
      <c r="AG326">
        <v>-1.0597492461859901</v>
      </c>
      <c r="AH326">
        <v>18.5054953765387</v>
      </c>
      <c r="AI326">
        <v>93.275024119608801</v>
      </c>
      <c r="AJ326">
        <v>87.7425214686819</v>
      </c>
      <c r="AK326">
        <v>18.5501644428793</v>
      </c>
      <c r="AL326">
        <v>85.582680871417196</v>
      </c>
      <c r="AM326">
        <v>86.260289546052405</v>
      </c>
      <c r="AN326">
        <v>1.00000000580482</v>
      </c>
    </row>
    <row r="327" spans="1:40" x14ac:dyDescent="0.25">
      <c r="A327" t="str">
        <f>"20190312151228163"</f>
        <v>20190312151228163</v>
      </c>
      <c r="B327" t="str">
        <f>"1552374748159916"</f>
        <v>1552374748159916</v>
      </c>
      <c r="C327" t="s">
        <v>40</v>
      </c>
      <c r="D327">
        <v>4.1957690000000003</v>
      </c>
      <c r="E327">
        <v>0.48873080000000002</v>
      </c>
      <c r="F327" t="s">
        <v>42</v>
      </c>
      <c r="G327">
        <v>-384.84989999999999</v>
      </c>
      <c r="H327" s="1">
        <v>-2.6590080000000001E-6</v>
      </c>
      <c r="I327">
        <v>366.98180000000002</v>
      </c>
      <c r="J327">
        <v>-404.10879999999997</v>
      </c>
      <c r="K327">
        <v>1.0597379999999901</v>
      </c>
      <c r="L327">
        <v>368.01280000000003</v>
      </c>
      <c r="M327">
        <v>0.99983180000000005</v>
      </c>
      <c r="N327">
        <v>0</v>
      </c>
      <c r="O327">
        <v>-1.5419199999999999E-2</v>
      </c>
      <c r="P327">
        <v>0.994506</v>
      </c>
      <c r="Q327">
        <v>6.7375110000000002E-2</v>
      </c>
      <c r="R327">
        <v>-8.0117659999999993E-2</v>
      </c>
      <c r="S327">
        <v>3.0147089999999999</v>
      </c>
      <c r="T327">
        <v>-0.16378470000000001</v>
      </c>
      <c r="U327">
        <v>-0.15994259999999999</v>
      </c>
      <c r="V327">
        <v>6.4799469999999998E-2</v>
      </c>
      <c r="W327">
        <v>7.7245770000000005E-2</v>
      </c>
      <c r="X327">
        <v>0.99490409999999996</v>
      </c>
      <c r="Y327">
        <v>3.7542430000000002E-2</v>
      </c>
      <c r="Z327">
        <v>-1.8191710000000001E-4</v>
      </c>
      <c r="AA327">
        <v>0.99929500000000004</v>
      </c>
      <c r="AB327">
        <v>24</v>
      </c>
      <c r="AC327">
        <v>19.258899999999901</v>
      </c>
      <c r="AD327">
        <v>-1.0597406590080001</v>
      </c>
      <c r="AE327">
        <v>-1.0309999999999999</v>
      </c>
      <c r="AF327">
        <v>0.73169679805397203</v>
      </c>
      <c r="AG327">
        <v>-1.0597406590080001</v>
      </c>
      <c r="AH327">
        <v>19.214495592056998</v>
      </c>
      <c r="AI327">
        <v>93.154564696769</v>
      </c>
      <c r="AJ327">
        <v>87.819204189931597</v>
      </c>
      <c r="AK327">
        <v>19.2576029485971</v>
      </c>
      <c r="AL327">
        <v>85.569730193623101</v>
      </c>
      <c r="AM327">
        <v>86.273510642538596</v>
      </c>
      <c r="AN327">
        <v>1.0000000242459901</v>
      </c>
    </row>
    <row r="328" spans="1:40" x14ac:dyDescent="0.25">
      <c r="A328" t="str">
        <f>"20190312151228187"</f>
        <v>20190312151228187</v>
      </c>
      <c r="B328" t="str">
        <f>"1552374748179436"</f>
        <v>1552374748179436</v>
      </c>
      <c r="C328" t="s">
        <v>40</v>
      </c>
      <c r="D328">
        <v>4.1605420000000004</v>
      </c>
      <c r="E328">
        <v>0.48857709999999999</v>
      </c>
      <c r="F328" t="s">
        <v>42</v>
      </c>
      <c r="G328">
        <v>-383.0086</v>
      </c>
      <c r="H328" s="1">
        <v>-3.4601129999999998E-6</v>
      </c>
      <c r="I328">
        <v>366.91849999999999</v>
      </c>
      <c r="J328">
        <v>-403.86399999999998</v>
      </c>
      <c r="K328">
        <v>1.0597190000000001</v>
      </c>
      <c r="L328">
        <v>368.00880000000001</v>
      </c>
      <c r="M328">
        <v>0.99982910000000003</v>
      </c>
      <c r="N328">
        <v>0</v>
      </c>
      <c r="O328">
        <v>-1.5609319999999999E-2</v>
      </c>
      <c r="P328">
        <v>0.99447759999999996</v>
      </c>
      <c r="Q328">
        <v>6.7725380000000002E-2</v>
      </c>
      <c r="R328">
        <v>-8.0174220000000004E-2</v>
      </c>
      <c r="S328">
        <v>3.0142519999999999</v>
      </c>
      <c r="T328">
        <v>-0.1513882</v>
      </c>
      <c r="U328">
        <v>-0.15631099999999901</v>
      </c>
      <c r="V328">
        <v>6.4667349999999998E-2</v>
      </c>
      <c r="W328">
        <v>7.7566650000000001E-2</v>
      </c>
      <c r="X328">
        <v>0.99488770000000004</v>
      </c>
      <c r="Y328">
        <v>3.6166459999999997E-2</v>
      </c>
      <c r="Z328">
        <v>-1.2415319999999999E-4</v>
      </c>
      <c r="AA328">
        <v>0.99934579999999995</v>
      </c>
      <c r="AB328">
        <v>24</v>
      </c>
      <c r="AC328">
        <v>20.855399999999999</v>
      </c>
      <c r="AD328">
        <v>-1.059722460113</v>
      </c>
      <c r="AE328">
        <v>-1.09030000000001</v>
      </c>
      <c r="AF328">
        <v>0.76264881690359299</v>
      </c>
      <c r="AG328">
        <v>-1.059722460113</v>
      </c>
      <c r="AH328">
        <v>20.816278531917799</v>
      </c>
      <c r="AI328">
        <v>92.912367294999001</v>
      </c>
      <c r="AJ328">
        <v>87.901785224393507</v>
      </c>
      <c r="AK328">
        <v>20.857183338811002</v>
      </c>
      <c r="AL328">
        <v>85.551289659252205</v>
      </c>
      <c r="AM328">
        <v>86.281026127282402</v>
      </c>
      <c r="AN328">
        <v>0.99999999347976698</v>
      </c>
    </row>
    <row r="329" spans="1:40" x14ac:dyDescent="0.25">
      <c r="A329" t="str">
        <f>"20190312151228208"</f>
        <v>20190312151228208</v>
      </c>
      <c r="B329" t="str">
        <f>"1552374748199932"</f>
        <v>1552374748199932</v>
      </c>
      <c r="C329" t="s">
        <v>40</v>
      </c>
      <c r="D329">
        <v>4.1778629999999897</v>
      </c>
      <c r="E329">
        <v>0.48841089999999998</v>
      </c>
      <c r="F329" t="s">
        <v>42</v>
      </c>
      <c r="G329">
        <v>-381.67110000000002</v>
      </c>
      <c r="H329" s="1">
        <v>-4.0433150000000001E-6</v>
      </c>
      <c r="I329">
        <v>366.86540000000002</v>
      </c>
      <c r="J329">
        <v>-403.61380000000003</v>
      </c>
      <c r="K329">
        <v>1.059704</v>
      </c>
      <c r="L329">
        <v>368.00470000000001</v>
      </c>
      <c r="M329">
        <v>0.99982660000000001</v>
      </c>
      <c r="N329">
        <v>0</v>
      </c>
      <c r="O329">
        <v>-1.580399E-2</v>
      </c>
      <c r="P329">
        <v>0.99451789999999995</v>
      </c>
      <c r="Q329">
        <v>6.740902E-2</v>
      </c>
      <c r="R329">
        <v>-7.9940769999999994E-2</v>
      </c>
      <c r="S329">
        <v>3.0139469999999999</v>
      </c>
      <c r="T329">
        <v>-0.143917299999999</v>
      </c>
      <c r="U329">
        <v>-0.15527340000000001</v>
      </c>
      <c r="V329">
        <v>6.4239530000000003E-2</v>
      </c>
      <c r="W329">
        <v>7.7204410000000001E-2</v>
      </c>
      <c r="X329">
        <v>0.99494360000000004</v>
      </c>
      <c r="Y329">
        <v>3.5637299999999997E-2</v>
      </c>
      <c r="Z329" s="1">
        <v>-9.6146130000000006E-5</v>
      </c>
      <c r="AA329">
        <v>0.99936480000000005</v>
      </c>
      <c r="AB329">
        <v>25</v>
      </c>
      <c r="AC329">
        <v>21.942699999999999</v>
      </c>
      <c r="AD329">
        <v>-1.0597080433149999</v>
      </c>
      <c r="AE329">
        <v>-1.13929999999999</v>
      </c>
      <c r="AF329">
        <v>0.79051985991674301</v>
      </c>
      <c r="AG329">
        <v>-1.0597080433149999</v>
      </c>
      <c r="AH329">
        <v>21.907008376945299</v>
      </c>
      <c r="AI329">
        <v>92.767612324151699</v>
      </c>
      <c r="AJ329">
        <v>87.933364217949602</v>
      </c>
      <c r="AK329">
        <v>21.9468658084369</v>
      </c>
      <c r="AL329">
        <v>85.572106949262903</v>
      </c>
      <c r="AM329">
        <v>86.305768383518696</v>
      </c>
      <c r="AN329">
        <v>1.0000000026595099</v>
      </c>
    </row>
    <row r="330" spans="1:40" x14ac:dyDescent="0.25">
      <c r="A330" t="str">
        <f>"20190312151228231"</f>
        <v>20190312151228231</v>
      </c>
      <c r="B330" t="str">
        <f>"1552374748219452"</f>
        <v>1552374748219452</v>
      </c>
      <c r="C330" t="s">
        <v>40</v>
      </c>
      <c r="D330">
        <v>4.1590160000000003</v>
      </c>
      <c r="E330">
        <v>0.48836200000000002</v>
      </c>
      <c r="F330" t="s">
        <v>42</v>
      </c>
      <c r="G330">
        <v>-380.8134</v>
      </c>
      <c r="H330" s="1">
        <v>-4.4150619999999997E-6</v>
      </c>
      <c r="I330">
        <v>366.8442</v>
      </c>
      <c r="J330">
        <v>-403.37139999999999</v>
      </c>
      <c r="K330">
        <v>1.0596909999999999</v>
      </c>
      <c r="L330">
        <v>368.00060000000002</v>
      </c>
      <c r="M330">
        <v>0.99982409999999999</v>
      </c>
      <c r="N330">
        <v>0</v>
      </c>
      <c r="O330">
        <v>-1.599277E-2</v>
      </c>
      <c r="P330">
        <v>0.99448409999999998</v>
      </c>
      <c r="Q330">
        <v>6.6946149999999996E-2</v>
      </c>
      <c r="R330">
        <v>-8.0744410000000003E-2</v>
      </c>
      <c r="S330">
        <v>3.0136720000000001</v>
      </c>
      <c r="T330">
        <v>-0.1400679</v>
      </c>
      <c r="U330">
        <v>-0.1533813</v>
      </c>
      <c r="V330">
        <v>6.4855410000000002E-2</v>
      </c>
      <c r="W330">
        <v>7.6686190000000001E-2</v>
      </c>
      <c r="X330">
        <v>0.99494369999999999</v>
      </c>
      <c r="Y330">
        <v>3.4829739999999998E-2</v>
      </c>
      <c r="Z330" s="1">
        <v>-6.6080769999999896E-5</v>
      </c>
      <c r="AA330">
        <v>0.99939330000000004</v>
      </c>
      <c r="AB330">
        <v>25</v>
      </c>
      <c r="AC330">
        <v>22.558</v>
      </c>
      <c r="AD330">
        <v>-1.0596954150619999</v>
      </c>
      <c r="AE330">
        <v>-1.1564000000000101</v>
      </c>
      <c r="AF330">
        <v>0.793722878788227</v>
      </c>
      <c r="AG330">
        <v>-1.0596954150619999</v>
      </c>
      <c r="AH330">
        <v>22.524034127835701</v>
      </c>
      <c r="AI330">
        <v>92.691958141394693</v>
      </c>
      <c r="AJ330">
        <v>87.981793108311706</v>
      </c>
      <c r="AK330">
        <v>22.5629134593235</v>
      </c>
      <c r="AL330">
        <v>85.601886961799707</v>
      </c>
      <c r="AM330">
        <v>86.270450747668306</v>
      </c>
      <c r="AN330">
        <v>0.99999998105633603</v>
      </c>
    </row>
    <row r="331" spans="1:40" x14ac:dyDescent="0.25">
      <c r="A331" t="str">
        <f>"20190312151228264"</f>
        <v>20190312151228264</v>
      </c>
      <c r="B331" t="str">
        <f>"1552374748259468"</f>
        <v>1552374748259468</v>
      </c>
      <c r="C331" t="s">
        <v>40</v>
      </c>
      <c r="D331">
        <v>4.139875</v>
      </c>
      <c r="E331">
        <v>0.48820150000000001</v>
      </c>
      <c r="F331" t="s">
        <v>42</v>
      </c>
      <c r="G331">
        <v>-380.01749999999998</v>
      </c>
      <c r="H331" s="1">
        <v>-4.7645989999999998E-6</v>
      </c>
      <c r="I331">
        <v>366.79849999999999</v>
      </c>
      <c r="J331">
        <v>-403.00130000000001</v>
      </c>
      <c r="K331">
        <v>1.05967099999999</v>
      </c>
      <c r="L331">
        <v>367.99439999999998</v>
      </c>
      <c r="M331">
        <v>0.9998205</v>
      </c>
      <c r="N331">
        <v>0</v>
      </c>
      <c r="O331">
        <v>-1.6280989999999999E-2</v>
      </c>
      <c r="P331">
        <v>0.99445490000000003</v>
      </c>
      <c r="Q331">
        <v>6.6813960000000006E-2</v>
      </c>
      <c r="R331">
        <v>-8.1213800000000003E-2</v>
      </c>
      <c r="S331">
        <v>3.013245</v>
      </c>
      <c r="T331">
        <v>-0.13672699999999999</v>
      </c>
      <c r="U331">
        <v>-0.15509029999999999</v>
      </c>
      <c r="V331">
        <v>6.5038170000000006E-2</v>
      </c>
      <c r="W331">
        <v>7.6453229999999997E-2</v>
      </c>
      <c r="X331">
        <v>0.99494970000000005</v>
      </c>
      <c r="Y331">
        <v>3.5115130000000001E-2</v>
      </c>
      <c r="Z331" s="1">
        <v>-5.7923900000000003E-5</v>
      </c>
      <c r="AA331">
        <v>0.99938329999999997</v>
      </c>
      <c r="AB331">
        <v>25</v>
      </c>
      <c r="AC331">
        <v>22.983799999999999</v>
      </c>
      <c r="AD331">
        <v>-1.05967576459899</v>
      </c>
      <c r="AE331">
        <v>-1.19589999999999</v>
      </c>
      <c r="AF331">
        <v>0.81978697086026098</v>
      </c>
      <c r="AG331">
        <v>-1.05967576459899</v>
      </c>
      <c r="AH331">
        <v>22.9515682380292</v>
      </c>
      <c r="AI331">
        <v>92.641791252196697</v>
      </c>
      <c r="AJ331">
        <v>87.954371847442602</v>
      </c>
      <c r="AK331">
        <v>22.990638268403501</v>
      </c>
      <c r="AL331">
        <v>85.615273895173701</v>
      </c>
      <c r="AM331">
        <v>86.259993301317607</v>
      </c>
      <c r="AN331">
        <v>0.999999982732235</v>
      </c>
    </row>
    <row r="332" spans="1:40" x14ac:dyDescent="0.25">
      <c r="A332" t="str">
        <f>"20190312151228288"</f>
        <v>20190312151228288</v>
      </c>
      <c r="B332" t="str">
        <f>"1552374748279964"</f>
        <v>1552374748279964</v>
      </c>
      <c r="C332" t="s">
        <v>40</v>
      </c>
      <c r="D332">
        <v>4.1295999999999999</v>
      </c>
      <c r="E332">
        <v>0.48814279999999999</v>
      </c>
      <c r="F332" t="s">
        <v>42</v>
      </c>
      <c r="G332">
        <v>-378.32639999999998</v>
      </c>
      <c r="H332" s="1">
        <v>-1.325659E-6</v>
      </c>
      <c r="I332">
        <v>366.72210000000001</v>
      </c>
      <c r="J332">
        <v>-402.74400000000003</v>
      </c>
      <c r="K332">
        <v>1.05965</v>
      </c>
      <c r="L332">
        <v>367.98989999999998</v>
      </c>
      <c r="M332">
        <v>0.99981810000000004</v>
      </c>
      <c r="N332">
        <v>0</v>
      </c>
      <c r="O332">
        <v>-1.6481180000000002E-2</v>
      </c>
      <c r="P332">
        <v>0.99448199999999998</v>
      </c>
      <c r="Q332">
        <v>6.6302550000000002E-2</v>
      </c>
      <c r="R332">
        <v>-8.1300449999999996E-2</v>
      </c>
      <c r="S332">
        <v>3.0127869999999999</v>
      </c>
      <c r="T332">
        <v>-0.1293849</v>
      </c>
      <c r="U332">
        <v>-0.15533449999999999</v>
      </c>
      <c r="V332">
        <v>6.4924990000000002E-2</v>
      </c>
      <c r="W332">
        <v>7.5851790000000002E-2</v>
      </c>
      <c r="X332">
        <v>0.99500319999999998</v>
      </c>
      <c r="Y332">
        <v>3.5005920000000003E-2</v>
      </c>
      <c r="Z332" s="1">
        <v>-4.3897889999999998E-5</v>
      </c>
      <c r="AA332">
        <v>0.99938709999999997</v>
      </c>
      <c r="AB332">
        <v>25</v>
      </c>
      <c r="AC332">
        <v>24.4176</v>
      </c>
      <c r="AD332">
        <v>-1.0596513256590001</v>
      </c>
      <c r="AE332">
        <v>-1.2677999999999601</v>
      </c>
      <c r="AF332">
        <v>0.863556419906232</v>
      </c>
      <c r="AG332">
        <v>-1.0596513256590001</v>
      </c>
      <c r="AH332">
        <v>24.389369943498899</v>
      </c>
      <c r="AI332">
        <v>92.486224122026698</v>
      </c>
      <c r="AJ332">
        <v>87.972170760984895</v>
      </c>
      <c r="AK332">
        <v>24.4276473869912</v>
      </c>
      <c r="AL332">
        <v>85.649834555756001</v>
      </c>
      <c r="AM332">
        <v>86.266683448744004</v>
      </c>
      <c r="AN332">
        <v>1.0000000581914701</v>
      </c>
    </row>
    <row r="333" spans="1:40" x14ac:dyDescent="0.25">
      <c r="A333" t="str">
        <f>"20190312151228311"</f>
        <v>20190312151228311</v>
      </c>
      <c r="B333" t="str">
        <f>"1552374748299484"</f>
        <v>1552374748299484</v>
      </c>
      <c r="C333" t="s">
        <v>40</v>
      </c>
      <c r="D333">
        <v>4.0995720000000002</v>
      </c>
      <c r="E333">
        <v>0.4880737</v>
      </c>
      <c r="F333" t="s">
        <v>42</v>
      </c>
      <c r="G333">
        <v>-377.86340000000001</v>
      </c>
      <c r="H333" s="1">
        <v>-1.487126E-6</v>
      </c>
      <c r="I333">
        <v>366.70740000000001</v>
      </c>
      <c r="J333">
        <v>-402.488</v>
      </c>
      <c r="K333">
        <v>1.0596299999999901</v>
      </c>
      <c r="L333">
        <v>367.9855</v>
      </c>
      <c r="M333">
        <v>0.99981569999999997</v>
      </c>
      <c r="N333">
        <v>0</v>
      </c>
      <c r="O333">
        <v>-1.6680210000000001E-2</v>
      </c>
      <c r="P333">
        <v>0.99448840000000005</v>
      </c>
      <c r="Q333">
        <v>6.5964599999999998E-2</v>
      </c>
      <c r="R333">
        <v>-8.1494510000000006E-2</v>
      </c>
      <c r="S333">
        <v>3.0125120000000001</v>
      </c>
      <c r="T333">
        <v>-0.1283011</v>
      </c>
      <c r="U333">
        <v>-0.15527340000000001</v>
      </c>
      <c r="V333">
        <v>6.4920740000000005E-2</v>
      </c>
      <c r="W333">
        <v>7.540674E-2</v>
      </c>
      <c r="X333">
        <v>0.99503730000000001</v>
      </c>
      <c r="Y333">
        <v>3.4792129999999998E-2</v>
      </c>
      <c r="Z333" s="1">
        <v>-3.0522699999999998E-5</v>
      </c>
      <c r="AA333">
        <v>0.99939460000000002</v>
      </c>
      <c r="AB333">
        <v>25</v>
      </c>
      <c r="AC333">
        <v>24.624600000000001</v>
      </c>
      <c r="AD333">
        <v>-1.05963148712599</v>
      </c>
      <c r="AE333">
        <v>-1.27809999999999</v>
      </c>
      <c r="AF333">
        <v>0.86556165906996896</v>
      </c>
      <c r="AG333">
        <v>-1.05963148712599</v>
      </c>
      <c r="AH333">
        <v>24.5970696496329</v>
      </c>
      <c r="AI333">
        <v>92.465229028433598</v>
      </c>
      <c r="AJ333">
        <v>87.984614616098895</v>
      </c>
      <c r="AK333">
        <v>24.635093895154</v>
      </c>
      <c r="AL333">
        <v>85.675407261632202</v>
      </c>
      <c r="AM333">
        <v>86.267054712116703</v>
      </c>
      <c r="AN333">
        <v>1.0000000536554301</v>
      </c>
    </row>
    <row r="334" spans="1:40" x14ac:dyDescent="0.25">
      <c r="A334" t="str">
        <f>"20190312151228330"</f>
        <v>20190312151228330</v>
      </c>
      <c r="B334" t="str">
        <f>"1552374748319980"</f>
        <v>1552374748319980</v>
      </c>
      <c r="C334" t="s">
        <v>40</v>
      </c>
      <c r="D334">
        <v>4.3631789999999997</v>
      </c>
      <c r="E334">
        <v>0.4880563</v>
      </c>
      <c r="F334" t="s">
        <v>42</v>
      </c>
      <c r="G334">
        <v>-377.23790000000002</v>
      </c>
      <c r="H334" s="1">
        <v>-1.7058390000000001E-6</v>
      </c>
      <c r="I334">
        <v>366.68540000000002</v>
      </c>
      <c r="J334">
        <v>-402.26369999999997</v>
      </c>
      <c r="K334">
        <v>1.059607</v>
      </c>
      <c r="L334">
        <v>367.98160000000001</v>
      </c>
      <c r="M334">
        <v>0.99981370000000003</v>
      </c>
      <c r="N334">
        <v>0</v>
      </c>
      <c r="O334">
        <v>-1.6854589999999999E-2</v>
      </c>
      <c r="P334">
        <v>0.9945349</v>
      </c>
      <c r="Q334">
        <v>6.5549629999999998E-2</v>
      </c>
      <c r="R334">
        <v>-8.1261319999999998E-2</v>
      </c>
      <c r="S334">
        <v>3.0123289999999998</v>
      </c>
      <c r="T334">
        <v>-0.12641350000000001</v>
      </c>
      <c r="U334">
        <v>-0.15509029999999999</v>
      </c>
      <c r="V334">
        <v>6.4513089999999995E-2</v>
      </c>
      <c r="W334">
        <v>7.4889410000000003E-2</v>
      </c>
      <c r="X334">
        <v>0.99510279999999995</v>
      </c>
      <c r="Y334">
        <v>3.4561199999999903E-2</v>
      </c>
      <c r="Z334" s="1">
        <v>-1.7928249999999999E-5</v>
      </c>
      <c r="AA334">
        <v>0.99940260000000003</v>
      </c>
      <c r="AB334">
        <v>25</v>
      </c>
      <c r="AC334">
        <v>25.025799999999901</v>
      </c>
      <c r="AD334">
        <v>-1.059608705839</v>
      </c>
      <c r="AE334">
        <v>-1.29619999999999</v>
      </c>
      <c r="AF334">
        <v>0.872637380001139</v>
      </c>
      <c r="AG334">
        <v>-1.059608705839</v>
      </c>
      <c r="AH334">
        <v>24.999395409890099</v>
      </c>
      <c r="AI334">
        <v>92.4255747741216</v>
      </c>
      <c r="AJ334">
        <v>88.000825778992706</v>
      </c>
      <c r="AK334">
        <v>25.037053290403399</v>
      </c>
      <c r="AL334">
        <v>85.705131787431696</v>
      </c>
      <c r="AM334">
        <v>86.290672440506995</v>
      </c>
      <c r="AN334">
        <v>0.99999997253966699</v>
      </c>
    </row>
    <row r="335" spans="1:40" x14ac:dyDescent="0.25">
      <c r="A335" t="str">
        <f>"20190312151228353"</f>
        <v>20190312151228353</v>
      </c>
      <c r="B335" t="str">
        <f>"1552374748350236"</f>
        <v>1552374748350236</v>
      </c>
      <c r="C335" t="s">
        <v>40</v>
      </c>
      <c r="D335">
        <v>4.1260949999999896</v>
      </c>
      <c r="E335">
        <v>0.48787130000000001</v>
      </c>
      <c r="F335" t="s">
        <v>42</v>
      </c>
      <c r="G335">
        <v>-376.67239999999998</v>
      </c>
      <c r="H335" s="1">
        <v>-1.9323020000000002E-6</v>
      </c>
      <c r="I335">
        <v>366.67110000000002</v>
      </c>
      <c r="J335">
        <v>-402.01490000000001</v>
      </c>
      <c r="K335">
        <v>1.0595840000000001</v>
      </c>
      <c r="L335">
        <v>367.97710000000001</v>
      </c>
      <c r="M335">
        <v>0.99981169999999997</v>
      </c>
      <c r="N335">
        <v>0</v>
      </c>
      <c r="O335">
        <v>-1.704845E-2</v>
      </c>
      <c r="P335">
        <v>0.9945872</v>
      </c>
      <c r="Q335">
        <v>6.4694299999999996E-2</v>
      </c>
      <c r="R335">
        <v>-8.1310439999999998E-2</v>
      </c>
      <c r="S335">
        <v>3.0120849999999999</v>
      </c>
      <c r="T335">
        <v>-0.1247149</v>
      </c>
      <c r="U335">
        <v>-0.15423580000000001</v>
      </c>
      <c r="V335">
        <v>6.4367679999999997E-2</v>
      </c>
      <c r="W335">
        <v>7.3914129999999995E-2</v>
      </c>
      <c r="X335">
        <v>0.99518510000000004</v>
      </c>
      <c r="Y335">
        <v>3.4089809999999998E-2</v>
      </c>
      <c r="Z335" s="1">
        <v>7.427298E-8</v>
      </c>
      <c r="AA335">
        <v>0.99941880000000005</v>
      </c>
      <c r="AB335">
        <v>25</v>
      </c>
      <c r="AC335">
        <v>25.342500000000001</v>
      </c>
      <c r="AD335">
        <v>-1.0595859323019901</v>
      </c>
      <c r="AE335">
        <v>-1.3059999999999801</v>
      </c>
      <c r="AF335">
        <v>0.87222055524285202</v>
      </c>
      <c r="AG335">
        <v>-1.0595859323019901</v>
      </c>
      <c r="AH335">
        <v>25.316942699111099</v>
      </c>
      <c r="AI335">
        <v>92.395172972763305</v>
      </c>
      <c r="AJ335">
        <v>88.026823421980097</v>
      </c>
      <c r="AK335">
        <v>25.354113644041998</v>
      </c>
      <c r="AL335">
        <v>85.761166389962099</v>
      </c>
      <c r="AM335">
        <v>86.299315072372707</v>
      </c>
      <c r="AN335">
        <v>0.999999940052123</v>
      </c>
    </row>
    <row r="336" spans="1:40" x14ac:dyDescent="0.25">
      <c r="A336" t="str">
        <f>"20190312151228375"</f>
        <v>20190312151228375</v>
      </c>
      <c r="B336" t="str">
        <f>"1552374748369756"</f>
        <v>1552374748369756</v>
      </c>
      <c r="C336" t="s">
        <v>40</v>
      </c>
      <c r="D336">
        <v>4.1226019999999997</v>
      </c>
      <c r="E336">
        <v>0.48779250000000002</v>
      </c>
      <c r="F336" t="s">
        <v>42</v>
      </c>
      <c r="G336">
        <v>-376.9914</v>
      </c>
      <c r="H336" s="1">
        <v>-1.78874E-6</v>
      </c>
      <c r="I336">
        <v>366.70890000000003</v>
      </c>
      <c r="J336">
        <v>-401.76170000000002</v>
      </c>
      <c r="K336">
        <v>1.059558</v>
      </c>
      <c r="L336">
        <v>367.9726</v>
      </c>
      <c r="M336">
        <v>0.99980939999999996</v>
      </c>
      <c r="N336">
        <v>0</v>
      </c>
      <c r="O336">
        <v>-1.7245480000000001E-2</v>
      </c>
      <c r="P336">
        <v>0.99464359999999996</v>
      </c>
      <c r="Q336">
        <v>6.4197850000000001E-2</v>
      </c>
      <c r="R336">
        <v>-8.1010719999999994E-2</v>
      </c>
      <c r="S336">
        <v>3.0121150000000001</v>
      </c>
      <c r="T336">
        <v>-0.1275434</v>
      </c>
      <c r="U336">
        <v>-0.1526489</v>
      </c>
      <c r="V336">
        <v>6.3870860000000002E-2</v>
      </c>
      <c r="W336">
        <v>7.3288779999999998E-2</v>
      </c>
      <c r="X336">
        <v>0.99526340000000002</v>
      </c>
      <c r="Y336">
        <v>3.3367319999999999E-2</v>
      </c>
      <c r="Z336" s="1">
        <v>2.3687430000000002E-5</v>
      </c>
      <c r="AA336">
        <v>0.99944319999999998</v>
      </c>
      <c r="AB336">
        <v>25</v>
      </c>
      <c r="AC336">
        <v>24.770299999999999</v>
      </c>
      <c r="AD336">
        <v>-1.0595597887399999</v>
      </c>
      <c r="AE336">
        <v>-1.2636999999999701</v>
      </c>
      <c r="AF336">
        <v>0.834794960978687</v>
      </c>
      <c r="AG336">
        <v>-1.0595597887399999</v>
      </c>
      <c r="AH336">
        <v>24.743253926941598</v>
      </c>
      <c r="AI336">
        <v>92.450638813392104</v>
      </c>
      <c r="AJ336">
        <v>88.067671591879204</v>
      </c>
      <c r="AK336">
        <v>24.779995247495499</v>
      </c>
      <c r="AL336">
        <v>85.797093936776093</v>
      </c>
      <c r="AM336">
        <v>86.328088348309507</v>
      </c>
      <c r="AN336">
        <v>0.99999998370529397</v>
      </c>
    </row>
    <row r="337" spans="1:40" x14ac:dyDescent="0.25">
      <c r="A337" t="str">
        <f>"20190312151228399"</f>
        <v>20190312151228399</v>
      </c>
      <c r="B337" t="str">
        <f>"1552374748390252"</f>
        <v>1552374748390252</v>
      </c>
      <c r="C337" t="s">
        <v>40</v>
      </c>
      <c r="D337">
        <v>4.1392499999999997</v>
      </c>
      <c r="E337">
        <v>0.48774390000000001</v>
      </c>
      <c r="F337" t="s">
        <v>42</v>
      </c>
      <c r="G337">
        <v>-377.06479999999999</v>
      </c>
      <c r="H337" s="1">
        <v>-1.753069E-6</v>
      </c>
      <c r="I337">
        <v>366.73250000000002</v>
      </c>
      <c r="J337">
        <v>-401.50569999999999</v>
      </c>
      <c r="K337">
        <v>1.0595349999999999</v>
      </c>
      <c r="L337">
        <v>367.96800000000002</v>
      </c>
      <c r="M337">
        <v>0.99980729999999995</v>
      </c>
      <c r="N337">
        <v>0</v>
      </c>
      <c r="O337">
        <v>-1.7444640000000001E-2</v>
      </c>
      <c r="P337">
        <v>0.99462519999999999</v>
      </c>
      <c r="Q337">
        <v>6.4268290000000006E-2</v>
      </c>
      <c r="R337">
        <v>-8.1182320000000002E-2</v>
      </c>
      <c r="S337">
        <v>3.0122070000000001</v>
      </c>
      <c r="T337">
        <v>-0.12923109999999999</v>
      </c>
      <c r="U337">
        <v>-0.15124509999999999</v>
      </c>
      <c r="V337">
        <v>6.3844579999999998E-2</v>
      </c>
      <c r="W337">
        <v>7.3220300000000002E-2</v>
      </c>
      <c r="X337">
        <v>0.99527010000000005</v>
      </c>
      <c r="Y337">
        <v>3.2702540000000002E-2</v>
      </c>
      <c r="Z337" s="1">
        <v>4.6777360000000001E-5</v>
      </c>
      <c r="AA337">
        <v>0.9994651</v>
      </c>
      <c r="AB337">
        <v>25</v>
      </c>
      <c r="AC337">
        <v>24.440899999999999</v>
      </c>
      <c r="AD337">
        <v>-1.0595367530689901</v>
      </c>
      <c r="AE337">
        <v>-1.2355</v>
      </c>
      <c r="AF337">
        <v>0.80741847957020796</v>
      </c>
      <c r="AG337">
        <v>-1.0595367530689901</v>
      </c>
      <c r="AH337">
        <v>24.412971747699899</v>
      </c>
      <c r="AI337">
        <v>92.483753279828093</v>
      </c>
      <c r="AJ337">
        <v>88.105727765978301</v>
      </c>
      <c r="AK337">
        <v>24.449288993470802</v>
      </c>
      <c r="AL337">
        <v>85.801028010985405</v>
      </c>
      <c r="AM337">
        <v>86.329619685793304</v>
      </c>
      <c r="AN337">
        <v>0.99999995734073699</v>
      </c>
    </row>
    <row r="338" spans="1:40" x14ac:dyDescent="0.25">
      <c r="A338" t="str">
        <f>"20190312151228421"</f>
        <v>20190312151228421</v>
      </c>
      <c r="B338" t="str">
        <f>"1552374748409776"</f>
        <v>1552374748409776</v>
      </c>
      <c r="C338" t="s">
        <v>40</v>
      </c>
      <c r="D338">
        <v>4.1462680000000001</v>
      </c>
      <c r="E338">
        <v>0.48769420000000002</v>
      </c>
      <c r="F338" t="s">
        <v>42</v>
      </c>
      <c r="G338">
        <v>-376.70030000000003</v>
      </c>
      <c r="H338" s="1">
        <v>-1.9108110000000001E-6</v>
      </c>
      <c r="I338">
        <v>366.72460000000001</v>
      </c>
      <c r="J338">
        <v>-401.25119999999998</v>
      </c>
      <c r="K338">
        <v>1.05951</v>
      </c>
      <c r="L338">
        <v>367.9633</v>
      </c>
      <c r="M338">
        <v>0.99980500000000005</v>
      </c>
      <c r="N338">
        <v>0</v>
      </c>
      <c r="O338">
        <v>-1.764222E-2</v>
      </c>
      <c r="P338">
        <v>0.9946237</v>
      </c>
      <c r="Q338">
        <v>6.3993939999999999E-2</v>
      </c>
      <c r="R338">
        <v>-8.1414840000000002E-2</v>
      </c>
      <c r="S338">
        <v>3.012238</v>
      </c>
      <c r="T338">
        <v>-0.12866440000000001</v>
      </c>
      <c r="U338">
        <v>-0.15097049999999901</v>
      </c>
      <c r="V338">
        <v>6.3880469999999995E-2</v>
      </c>
      <c r="W338">
        <v>7.2801320000000003E-2</v>
      </c>
      <c r="X338">
        <v>0.99529860000000003</v>
      </c>
      <c r="Y338">
        <v>3.2414190000000002E-2</v>
      </c>
      <c r="Z338" s="1">
        <v>6.1150699999999895E-5</v>
      </c>
      <c r="AA338">
        <v>0.99947450000000004</v>
      </c>
      <c r="AB338">
        <v>25</v>
      </c>
      <c r="AC338">
        <v>24.550899999999899</v>
      </c>
      <c r="AD338">
        <v>-1.059511910811</v>
      </c>
      <c r="AE338">
        <v>-1.2386999999999899</v>
      </c>
      <c r="AF338">
        <v>0.803864442549172</v>
      </c>
      <c r="AG338">
        <v>-1.059511910811</v>
      </c>
      <c r="AH338">
        <v>24.523376197984899</v>
      </c>
      <c r="AI338">
        <v>92.472551274124996</v>
      </c>
      <c r="AJ338">
        <v>88.122544232534594</v>
      </c>
      <c r="AK338">
        <v>24.559412527156201</v>
      </c>
      <c r="AL338">
        <v>85.825098319757998</v>
      </c>
      <c r="AM338">
        <v>86.327666910745094</v>
      </c>
      <c r="AN338">
        <v>1.0000000249015599</v>
      </c>
    </row>
    <row r="339" spans="1:40" x14ac:dyDescent="0.25">
      <c r="A339" t="str">
        <f>"20190312151228442"</f>
        <v>20190312151228442</v>
      </c>
      <c r="B339" t="str">
        <f>"1552374748440029"</f>
        <v>1552374748440029</v>
      </c>
      <c r="C339" t="s">
        <v>40</v>
      </c>
      <c r="D339">
        <v>4.1245989999999999</v>
      </c>
      <c r="E339">
        <v>0.48766280000000001</v>
      </c>
      <c r="F339" t="s">
        <v>42</v>
      </c>
      <c r="G339">
        <v>-376.64109999999999</v>
      </c>
      <c r="H339" s="1">
        <v>-1.9357930000000002E-6</v>
      </c>
      <c r="I339">
        <v>366.72699999999998</v>
      </c>
      <c r="J339">
        <v>-401.01389999999998</v>
      </c>
      <c r="K339">
        <v>1.0597639999999999</v>
      </c>
      <c r="L339">
        <v>367.959</v>
      </c>
      <c r="M339">
        <v>0.99979410000000002</v>
      </c>
      <c r="N339">
        <v>0</v>
      </c>
      <c r="O339">
        <v>-1.781071E-2</v>
      </c>
      <c r="P339">
        <v>0.99461980000000005</v>
      </c>
      <c r="Q339">
        <v>6.307045E-2</v>
      </c>
      <c r="R339">
        <v>-8.2179749999999996E-2</v>
      </c>
      <c r="S339">
        <v>3.012146</v>
      </c>
      <c r="T339">
        <v>-0.12967809999999999</v>
      </c>
      <c r="U339">
        <v>-0.1513062</v>
      </c>
      <c r="V339">
        <v>6.4476149999999996E-2</v>
      </c>
      <c r="W339">
        <v>7.2729039999999995E-2</v>
      </c>
      <c r="X339">
        <v>0.99526539999999997</v>
      </c>
      <c r="Y339">
        <v>3.2358240000000003E-2</v>
      </c>
      <c r="Z339" s="1">
        <v>7.0086449999999997E-5</v>
      </c>
      <c r="AA339">
        <v>0.99947629999999998</v>
      </c>
      <c r="AB339">
        <v>25</v>
      </c>
      <c r="AC339">
        <v>24.372799999999899</v>
      </c>
      <c r="AD339">
        <v>-1.0597659357929901</v>
      </c>
      <c r="AE339">
        <v>-1.23200000000002</v>
      </c>
      <c r="AF339">
        <v>0.79618569968764497</v>
      </c>
      <c r="AG339">
        <v>-1.0597659357929901</v>
      </c>
      <c r="AH339">
        <v>24.344967087238</v>
      </c>
      <c r="AI339">
        <v>92.491250844513303</v>
      </c>
      <c r="AJ339">
        <v>88.126847877280198</v>
      </c>
      <c r="AK339">
        <v>24.381026188119201</v>
      </c>
      <c r="AL339">
        <v>85.829250360654498</v>
      </c>
      <c r="AM339">
        <v>86.2933944368597</v>
      </c>
      <c r="AN339">
        <v>0.99999995180765</v>
      </c>
    </row>
    <row r="340" spans="1:40" x14ac:dyDescent="0.25">
      <c r="A340" t="str">
        <f>"20190312151228464"</f>
        <v>20190312151228464</v>
      </c>
      <c r="B340" t="str">
        <f>"1552374748459548"</f>
        <v>1552374748459548</v>
      </c>
      <c r="C340" t="s">
        <v>40</v>
      </c>
      <c r="D340">
        <v>4.1644240000000003</v>
      </c>
      <c r="E340">
        <v>0.46542339999999999</v>
      </c>
      <c r="F340" t="s">
        <v>42</v>
      </c>
      <c r="G340">
        <v>-377.04379999999998</v>
      </c>
      <c r="H340" s="1">
        <v>-1.7610409999999901E-6</v>
      </c>
      <c r="I340">
        <v>366.73820000000001</v>
      </c>
      <c r="J340">
        <v>-400.77760000000001</v>
      </c>
      <c r="K340">
        <v>1.0604260000000001</v>
      </c>
      <c r="L340">
        <v>367.9545</v>
      </c>
      <c r="M340">
        <v>0.99977709999999997</v>
      </c>
      <c r="N340">
        <v>0</v>
      </c>
      <c r="O340">
        <v>-1.7973329999999999E-2</v>
      </c>
      <c r="P340">
        <v>0.99466489999999996</v>
      </c>
      <c r="Q340">
        <v>6.2168399999999999E-2</v>
      </c>
      <c r="R340">
        <v>-8.2322850000000003E-2</v>
      </c>
      <c r="S340">
        <v>3.0119630000000002</v>
      </c>
      <c r="T340">
        <v>-0.1331648</v>
      </c>
      <c r="U340">
        <v>-0.1533813</v>
      </c>
      <c r="V340">
        <v>6.4454730000000002E-2</v>
      </c>
      <c r="W340">
        <v>7.3181319999999994E-2</v>
      </c>
      <c r="X340">
        <v>0.9952337</v>
      </c>
      <c r="Y340">
        <v>3.288423E-2</v>
      </c>
      <c r="Z340" s="1">
        <v>6.7547019999999997E-5</v>
      </c>
      <c r="AA340">
        <v>0.99945910000000004</v>
      </c>
      <c r="AB340">
        <v>25</v>
      </c>
      <c r="AC340">
        <v>23.733799999999999</v>
      </c>
      <c r="AD340">
        <v>-1.060427761041</v>
      </c>
      <c r="AE340">
        <v>-1.21629999999998</v>
      </c>
      <c r="AF340">
        <v>0.78793307134377599</v>
      </c>
      <c r="AG340">
        <v>-1.060427761041</v>
      </c>
      <c r="AH340">
        <v>23.7046302374054</v>
      </c>
      <c r="AI340">
        <v>92.560009702790495</v>
      </c>
      <c r="AJ340">
        <v>88.096210592375698</v>
      </c>
      <c r="AK340">
        <v>23.741416138331299</v>
      </c>
      <c r="AL340">
        <v>85.803267662205698</v>
      </c>
      <c r="AM340">
        <v>86.294504704746302</v>
      </c>
      <c r="AN340">
        <v>1.000000017716</v>
      </c>
    </row>
    <row r="341" spans="1:40" x14ac:dyDescent="0.25">
      <c r="A341" t="str">
        <f>"20190312151228489"</f>
        <v>20190312151228489</v>
      </c>
      <c r="B341" t="str">
        <f>"1552374748480044"</f>
        <v>1552374748480044</v>
      </c>
      <c r="C341" t="s">
        <v>40</v>
      </c>
      <c r="D341">
        <v>3.7840470000000002</v>
      </c>
      <c r="E341">
        <v>0.40635880000000002</v>
      </c>
      <c r="F341" t="s">
        <v>42</v>
      </c>
      <c r="G341">
        <v>-378.8931</v>
      </c>
      <c r="H341" s="1">
        <v>-7.6096729999999996E-7</v>
      </c>
      <c r="I341">
        <v>368.11970000000002</v>
      </c>
      <c r="J341">
        <v>-400.50709999999998</v>
      </c>
      <c r="K341">
        <v>1.0612269999999999</v>
      </c>
      <c r="L341">
        <v>367.94940000000003</v>
      </c>
      <c r="M341">
        <v>0.99977479999999996</v>
      </c>
      <c r="N341">
        <v>0</v>
      </c>
      <c r="O341">
        <v>-1.817386E-2</v>
      </c>
      <c r="P341">
        <v>0.99466030000000005</v>
      </c>
      <c r="Q341">
        <v>6.2409890000000003E-2</v>
      </c>
      <c r="R341">
        <v>-8.2193089999999996E-2</v>
      </c>
      <c r="S341">
        <v>3.027161</v>
      </c>
      <c r="T341">
        <v>-0.14668200000000001</v>
      </c>
      <c r="U341">
        <v>2.285767E-2</v>
      </c>
      <c r="V341">
        <v>6.4126840000000004E-2</v>
      </c>
      <c r="W341">
        <v>7.3299240000000002E-2</v>
      </c>
      <c r="X341">
        <v>0.99524619999999997</v>
      </c>
      <c r="Y341">
        <v>-2.567239E-2</v>
      </c>
      <c r="Z341">
        <v>1.5017310000000001E-3</v>
      </c>
      <c r="AA341">
        <v>0.99966929999999998</v>
      </c>
      <c r="AB341">
        <v>25</v>
      </c>
      <c r="AC341">
        <v>21.613999999999901</v>
      </c>
      <c r="AD341">
        <v>-1.0612277609673</v>
      </c>
      <c r="AE341">
        <v>0.17029999999999701</v>
      </c>
      <c r="AF341">
        <v>-0.56175112169878505</v>
      </c>
      <c r="AG341">
        <v>-1.0612277609673</v>
      </c>
      <c r="AH341">
        <v>21.555373885296401</v>
      </c>
      <c r="AI341">
        <v>92.817591071176096</v>
      </c>
      <c r="AJ341">
        <v>91.492838166323807</v>
      </c>
      <c r="AK341">
        <v>21.588791351492901</v>
      </c>
      <c r="AL341">
        <v>85.796493135910097</v>
      </c>
      <c r="AM341">
        <v>86.313349120939293</v>
      </c>
      <c r="AN341">
        <v>1.0000000144037</v>
      </c>
    </row>
    <row r="342" spans="1:40" x14ac:dyDescent="0.25">
      <c r="A342" t="str">
        <f>"20190312151228512"</f>
        <v>20190312151228512</v>
      </c>
      <c r="B342" t="str">
        <f>"1552374748510300"</f>
        <v>1552374748510300</v>
      </c>
      <c r="C342" t="s">
        <v>40</v>
      </c>
      <c r="D342">
        <v>3.6647609999999999</v>
      </c>
      <c r="E342">
        <v>0.33775179999999999</v>
      </c>
      <c r="F342" t="s">
        <v>42</v>
      </c>
      <c r="G342">
        <v>-391.67849999999999</v>
      </c>
      <c r="H342" s="1">
        <v>-3.5993769999999998E-6</v>
      </c>
      <c r="I342">
        <v>369.3503</v>
      </c>
      <c r="J342">
        <v>-400.25229999999999</v>
      </c>
      <c r="K342">
        <v>1.0619730000000001</v>
      </c>
      <c r="L342">
        <v>367.94459999999998</v>
      </c>
      <c r="M342">
        <v>0.99979050000000003</v>
      </c>
      <c r="N342">
        <v>0</v>
      </c>
      <c r="O342">
        <v>-1.8357559999999998E-2</v>
      </c>
      <c r="P342">
        <v>0.99451369999999895</v>
      </c>
      <c r="Q342">
        <v>6.4716099999999999E-2</v>
      </c>
      <c r="R342">
        <v>-8.2184049999999995E-2</v>
      </c>
      <c r="S342">
        <v>3.0797119999999998</v>
      </c>
      <c r="T342">
        <v>-0.37018899999999999</v>
      </c>
      <c r="U342">
        <v>0.488678</v>
      </c>
      <c r="V342">
        <v>6.3940440000000001E-2</v>
      </c>
      <c r="W342">
        <v>7.3705839999999995E-2</v>
      </c>
      <c r="X342">
        <v>0.99522820000000001</v>
      </c>
      <c r="Y342">
        <v>-0.17347290000000001</v>
      </c>
      <c r="Z342">
        <v>1.251062E-2</v>
      </c>
      <c r="AA342">
        <v>0.98475919999999895</v>
      </c>
      <c r="AB342">
        <v>25</v>
      </c>
      <c r="AC342">
        <v>8.5738000000000003</v>
      </c>
      <c r="AD342">
        <v>-1.0619765993770001</v>
      </c>
      <c r="AE342">
        <v>1.4057000000000199</v>
      </c>
      <c r="AF342">
        <v>-1.5398574571382799</v>
      </c>
      <c r="AG342">
        <v>-1.0619765993770001</v>
      </c>
      <c r="AH342">
        <v>8.4207392825715193</v>
      </c>
      <c r="AI342">
        <v>97.071826157539107</v>
      </c>
      <c r="AJ342">
        <v>100.36288792025999</v>
      </c>
      <c r="AK342">
        <v>8.6259959048779908</v>
      </c>
      <c r="AL342">
        <v>85.773133637388298</v>
      </c>
      <c r="AM342">
        <v>86.323969526288806</v>
      </c>
      <c r="AN342">
        <v>1.00000005039636</v>
      </c>
    </row>
    <row r="343" spans="1:40" x14ac:dyDescent="0.25">
      <c r="A343" t="str">
        <f>"20190312151228533"</f>
        <v>20190312151228533</v>
      </c>
      <c r="B343" t="str">
        <f>"1552374748529821"</f>
        <v>1552374748529821</v>
      </c>
      <c r="C343" t="s">
        <v>40</v>
      </c>
      <c r="D343">
        <v>3.978434</v>
      </c>
      <c r="E343">
        <v>0.25906620000000002</v>
      </c>
      <c r="F343" t="s">
        <v>42</v>
      </c>
      <c r="G343">
        <v>-394.84050000000002</v>
      </c>
      <c r="H343" s="1">
        <v>-2.2234920000000002E-6</v>
      </c>
      <c r="I343">
        <v>369.72050000000002</v>
      </c>
      <c r="J343">
        <v>-400.01459999999997</v>
      </c>
      <c r="K343">
        <v>1.0629360000000001</v>
      </c>
      <c r="L343">
        <v>367.94</v>
      </c>
      <c r="M343">
        <v>0.99980440000000004</v>
      </c>
      <c r="N343">
        <v>0</v>
      </c>
      <c r="O343">
        <v>-1.8534829999999999E-2</v>
      </c>
      <c r="P343">
        <v>0.99437180000000003</v>
      </c>
      <c r="Q343">
        <v>6.6657480000000005E-2</v>
      </c>
      <c r="R343">
        <v>-8.2350989999999999E-2</v>
      </c>
      <c r="S343">
        <v>3.1419069999999998</v>
      </c>
      <c r="T343">
        <v>-0.61653579999999997</v>
      </c>
      <c r="U343">
        <v>1.0310360000000001</v>
      </c>
      <c r="V343">
        <v>6.3933630000000005E-2</v>
      </c>
      <c r="W343">
        <v>7.3509920000000006E-2</v>
      </c>
      <c r="X343">
        <v>0.99524310000000005</v>
      </c>
      <c r="Y343">
        <v>-0.32345249999999998</v>
      </c>
      <c r="Z343">
        <v>3.4168980000000002E-2</v>
      </c>
      <c r="AA343">
        <v>0.94562729999999995</v>
      </c>
      <c r="AB343">
        <v>25</v>
      </c>
      <c r="AC343">
        <v>5.1740999999999504</v>
      </c>
      <c r="AD343">
        <v>-1.062938223492</v>
      </c>
      <c r="AE343">
        <v>1.78050000000001</v>
      </c>
      <c r="AF343">
        <v>-1.8078774849289201</v>
      </c>
      <c r="AG343">
        <v>-1.062938223492</v>
      </c>
      <c r="AH343">
        <v>4.95329715185306</v>
      </c>
      <c r="AI343">
        <v>101.397214026225</v>
      </c>
      <c r="AJ343">
        <v>110.051306635386</v>
      </c>
      <c r="AK343">
        <v>5.3789786523120702</v>
      </c>
      <c r="AL343">
        <v>85.784389443549401</v>
      </c>
      <c r="AM343">
        <v>86.324414847852097</v>
      </c>
      <c r="AN343">
        <v>1.0000000227404899</v>
      </c>
    </row>
    <row r="344" spans="1:40" x14ac:dyDescent="0.25">
      <c r="A344" t="str">
        <f>"20190312151228555"</f>
        <v>20190312151228555</v>
      </c>
      <c r="B344" t="str">
        <f>"1552374748550316"</f>
        <v>1552374748550316</v>
      </c>
      <c r="C344" t="s">
        <v>40</v>
      </c>
      <c r="D344">
        <v>4.0279059999999998</v>
      </c>
      <c r="E344">
        <v>0.21972520000000001</v>
      </c>
      <c r="F344" t="s">
        <v>42</v>
      </c>
      <c r="G344">
        <v>-397.18860000000001</v>
      </c>
      <c r="H344" s="1">
        <v>-1.2304929999999999E-6</v>
      </c>
      <c r="I344">
        <v>369.37889999999999</v>
      </c>
      <c r="J344">
        <v>-399.75810000000001</v>
      </c>
      <c r="K344">
        <v>1.0642799999999999</v>
      </c>
      <c r="L344">
        <v>367.935</v>
      </c>
      <c r="M344">
        <v>0.99981339999999996</v>
      </c>
      <c r="N344">
        <v>0</v>
      </c>
      <c r="O344">
        <v>-1.8737050000000002E-2</v>
      </c>
      <c r="P344">
        <v>0.99425600000000003</v>
      </c>
      <c r="Q344">
        <v>6.8488250000000001E-2</v>
      </c>
      <c r="R344">
        <v>-8.2246910000000006E-2</v>
      </c>
      <c r="S344">
        <v>3.2349239999999999</v>
      </c>
      <c r="T344">
        <v>-1.216728</v>
      </c>
      <c r="U344">
        <v>1.6471560000000001</v>
      </c>
      <c r="V344">
        <v>6.3628939999999995E-2</v>
      </c>
      <c r="W344">
        <v>7.3142310000000002E-2</v>
      </c>
      <c r="X344">
        <v>0.99528970000000005</v>
      </c>
      <c r="Y344">
        <v>-0.44494860000000003</v>
      </c>
      <c r="Z344">
        <v>8.3106459999999993E-2</v>
      </c>
      <c r="AA344">
        <v>0.89169169999999998</v>
      </c>
      <c r="AB344">
        <v>25</v>
      </c>
      <c r="AC344">
        <v>2.5695000000000001</v>
      </c>
      <c r="AD344">
        <v>-1.0642812304929901</v>
      </c>
      <c r="AE344">
        <v>1.44389999999998</v>
      </c>
      <c r="AF344">
        <v>-1.31971790648965</v>
      </c>
      <c r="AG344">
        <v>-1.0642812304929901</v>
      </c>
      <c r="AH344">
        <v>2.24878232017661</v>
      </c>
      <c r="AI344">
        <v>112.203952780767</v>
      </c>
      <c r="AJ344">
        <v>120.406920768864</v>
      </c>
      <c r="AK344">
        <v>2.8162691302196299</v>
      </c>
      <c r="AL344">
        <v>85.805508757639799</v>
      </c>
      <c r="AM344">
        <v>86.342054802616602</v>
      </c>
      <c r="AN344">
        <v>1.00000001322187</v>
      </c>
    </row>
    <row r="345" spans="1:40" x14ac:dyDescent="0.25">
      <c r="A345" t="str">
        <f>"20190312151228576"</f>
        <v>20190312151228576</v>
      </c>
      <c r="B345" t="str">
        <f>"1552374748569836"</f>
        <v>1552374748569836</v>
      </c>
      <c r="C345" t="s">
        <v>40</v>
      </c>
      <c r="D345">
        <v>4.0033130000000003</v>
      </c>
      <c r="E345">
        <v>0.22020190000000001</v>
      </c>
      <c r="F345" t="s">
        <v>42</v>
      </c>
      <c r="G345">
        <v>-397.73</v>
      </c>
      <c r="H345" s="1">
        <v>-1.0414629999999999E-6</v>
      </c>
      <c r="I345">
        <v>369.13529999999997</v>
      </c>
      <c r="J345">
        <v>-399.51420000000002</v>
      </c>
      <c r="K345">
        <v>1.0657289999999999</v>
      </c>
      <c r="L345">
        <v>367.93009999999998</v>
      </c>
      <c r="M345">
        <v>0.99981699999999996</v>
      </c>
      <c r="N345">
        <v>0</v>
      </c>
      <c r="O345">
        <v>-1.8936129999999999E-2</v>
      </c>
      <c r="P345">
        <v>0.99409990000000004</v>
      </c>
      <c r="Q345">
        <v>7.0126079999999993E-2</v>
      </c>
      <c r="R345">
        <v>-8.2750370000000004E-2</v>
      </c>
      <c r="S345">
        <v>3.298035</v>
      </c>
      <c r="T345">
        <v>-1.730594</v>
      </c>
      <c r="U345">
        <v>1.951935</v>
      </c>
      <c r="V345">
        <v>6.3935660000000005E-2</v>
      </c>
      <c r="W345">
        <v>7.2846969999999997E-2</v>
      </c>
      <c r="X345">
        <v>0.9952917</v>
      </c>
      <c r="Y345">
        <v>-0.47715600000000002</v>
      </c>
      <c r="Z345">
        <v>0.11880300000000001</v>
      </c>
      <c r="AA345">
        <v>0.87075139999999995</v>
      </c>
      <c r="AB345">
        <v>25</v>
      </c>
      <c r="AC345">
        <v>1.78419999999999</v>
      </c>
      <c r="AD345">
        <v>-1.065730041463</v>
      </c>
      <c r="AE345">
        <v>1.2051999999999901</v>
      </c>
      <c r="AF345">
        <v>-0.99499747558963003</v>
      </c>
      <c r="AG345">
        <v>-1.065730041463</v>
      </c>
      <c r="AH345">
        <v>1.41450682831327</v>
      </c>
      <c r="AI345">
        <v>121.643039015507</v>
      </c>
      <c r="AJ345">
        <v>125.123457847609</v>
      </c>
      <c r="AK345">
        <v>2.03141085579735</v>
      </c>
      <c r="AL345">
        <v>85.822475737099893</v>
      </c>
      <c r="AM345">
        <v>86.324477453943004</v>
      </c>
      <c r="AN345">
        <v>1.0000000088733501</v>
      </c>
    </row>
    <row r="346" spans="1:40" x14ac:dyDescent="0.25">
      <c r="A346" t="str">
        <f>"20190312151228601"</f>
        <v>20190312151228601</v>
      </c>
      <c r="B346" t="str">
        <f>"1552374748589360"</f>
        <v>1552374748589360</v>
      </c>
      <c r="C346" t="s">
        <v>40</v>
      </c>
      <c r="D346">
        <v>3.983466</v>
      </c>
      <c r="E346">
        <v>0.22035479999999999</v>
      </c>
      <c r="F346" t="s">
        <v>42</v>
      </c>
      <c r="G346">
        <v>-397.53199999999998</v>
      </c>
      <c r="H346" s="1">
        <v>-1.133407E-6</v>
      </c>
      <c r="I346">
        <v>369.09559999999999</v>
      </c>
      <c r="J346">
        <v>-399.24149999999997</v>
      </c>
      <c r="K346">
        <v>1.0674250000000001</v>
      </c>
      <c r="L346">
        <v>367.9248</v>
      </c>
      <c r="M346">
        <v>0.99981629999999999</v>
      </c>
      <c r="N346">
        <v>0</v>
      </c>
      <c r="O346">
        <v>-1.9158410000000001E-2</v>
      </c>
      <c r="P346">
        <v>0.99392550000000002</v>
      </c>
      <c r="Q346">
        <v>7.2201050000000003E-2</v>
      </c>
      <c r="R346">
        <v>-8.3060320000000007E-2</v>
      </c>
      <c r="S346">
        <v>3.304932</v>
      </c>
      <c r="T346">
        <v>-1.776902</v>
      </c>
      <c r="U346">
        <v>1.9433590000000001</v>
      </c>
      <c r="V346">
        <v>6.4026589999999994E-2</v>
      </c>
      <c r="W346">
        <v>7.291926E-2</v>
      </c>
      <c r="X346">
        <v>0.99528059999999996</v>
      </c>
      <c r="Y346">
        <v>-0.4728791</v>
      </c>
      <c r="Z346">
        <v>0.12063069999999999</v>
      </c>
      <c r="AA346">
        <v>0.87283080000000002</v>
      </c>
      <c r="AB346">
        <v>26</v>
      </c>
      <c r="AC346">
        <v>1.70949999999999</v>
      </c>
      <c r="AD346">
        <v>-1.0674261334070001</v>
      </c>
      <c r="AE346">
        <v>1.1707999999999801</v>
      </c>
      <c r="AF346">
        <v>-0.95095459422399597</v>
      </c>
      <c r="AG346">
        <v>-1.0674261334070001</v>
      </c>
      <c r="AH346">
        <v>1.3329838043558699</v>
      </c>
      <c r="AI346">
        <v>123.100054962074</v>
      </c>
      <c r="AJ346">
        <v>125.504172979228</v>
      </c>
      <c r="AK346">
        <v>1.95462503136305</v>
      </c>
      <c r="AL346">
        <v>85.818322943140103</v>
      </c>
      <c r="AM346">
        <v>86.319223508099697</v>
      </c>
      <c r="AN346">
        <v>1.0000000477211599</v>
      </c>
    </row>
    <row r="347" spans="1:40" x14ac:dyDescent="0.25">
      <c r="A347" t="str">
        <f>"20190312151228622"</f>
        <v>20190312151228622</v>
      </c>
      <c r="B347" t="str">
        <f>"1552374748619613"</f>
        <v>1552374748619613</v>
      </c>
      <c r="C347" t="s">
        <v>40</v>
      </c>
      <c r="D347">
        <v>3.9625560000000002</v>
      </c>
      <c r="E347">
        <v>0.22131029999999999</v>
      </c>
      <c r="F347" t="s">
        <v>42</v>
      </c>
      <c r="G347">
        <v>-397.22710000000001</v>
      </c>
      <c r="H347" s="1">
        <v>-1.2621810000000001E-6</v>
      </c>
      <c r="I347">
        <v>369.10719999999998</v>
      </c>
      <c r="J347">
        <v>-398.99250000000001</v>
      </c>
      <c r="K347">
        <v>1.0689690000000001</v>
      </c>
      <c r="L347">
        <v>367.91980000000001</v>
      </c>
      <c r="M347">
        <v>0.99981240000000005</v>
      </c>
      <c r="N347">
        <v>0</v>
      </c>
      <c r="O347">
        <v>-1.9353950000000002E-2</v>
      </c>
      <c r="P347">
        <v>0.99376790000000004</v>
      </c>
      <c r="Q347">
        <v>7.4038399999999893E-2</v>
      </c>
      <c r="R347">
        <v>-8.3330840000000003E-2</v>
      </c>
      <c r="S347">
        <v>3.307922</v>
      </c>
      <c r="T347">
        <v>-1.752813</v>
      </c>
      <c r="U347">
        <v>1.9418029999999999</v>
      </c>
      <c r="V347">
        <v>6.4105339999999997E-2</v>
      </c>
      <c r="W347">
        <v>7.3109019999999997E-2</v>
      </c>
      <c r="X347">
        <v>0.99526150000000002</v>
      </c>
      <c r="Y347">
        <v>-0.4736533</v>
      </c>
      <c r="Z347">
        <v>0.11935320000000001</v>
      </c>
      <c r="AA347">
        <v>0.87258649999999904</v>
      </c>
      <c r="AB347">
        <v>26</v>
      </c>
      <c r="AC347">
        <v>1.7653999999999901</v>
      </c>
      <c r="AD347">
        <v>-1.068970262181</v>
      </c>
      <c r="AE347">
        <v>1.18739999999996</v>
      </c>
      <c r="AF347">
        <v>-0.97517016979223903</v>
      </c>
      <c r="AG347">
        <v>-1.068970262181</v>
      </c>
      <c r="AH347">
        <v>1.3909522621592201</v>
      </c>
      <c r="AI347">
        <v>122.181132074281</v>
      </c>
      <c r="AJ347">
        <v>125.033566457208</v>
      </c>
      <c r="AK347">
        <v>2.0070880591259002</v>
      </c>
      <c r="AL347">
        <v>85.807420940126704</v>
      </c>
      <c r="AM347">
        <v>86.314638247707606</v>
      </c>
      <c r="AN347">
        <v>0.99999993840206103</v>
      </c>
    </row>
    <row r="348" spans="1:40" x14ac:dyDescent="0.25">
      <c r="A348" t="str">
        <f>"20190312151228644"</f>
        <v>20190312151228644</v>
      </c>
      <c r="B348" t="str">
        <f>"1552374748640108"</f>
        <v>1552374748640108</v>
      </c>
      <c r="C348" t="s">
        <v>40</v>
      </c>
      <c r="D348">
        <v>3.991117</v>
      </c>
      <c r="E348">
        <v>0.22143379999999999</v>
      </c>
      <c r="F348" t="s">
        <v>42</v>
      </c>
      <c r="G348">
        <v>-396.97820000000002</v>
      </c>
      <c r="H348" s="1">
        <v>-1.3710610000000001E-6</v>
      </c>
      <c r="I348">
        <v>369.09530000000001</v>
      </c>
      <c r="J348">
        <v>-398.7423</v>
      </c>
      <c r="K348">
        <v>1.0704750000000001</v>
      </c>
      <c r="L348">
        <v>367.91480000000001</v>
      </c>
      <c r="M348">
        <v>0.99980630000000004</v>
      </c>
      <c r="N348">
        <v>0</v>
      </c>
      <c r="O348">
        <v>-1.9542049999999998E-2</v>
      </c>
      <c r="P348">
        <v>0.99364160000000001</v>
      </c>
      <c r="Q348">
        <v>7.5629420000000003E-2</v>
      </c>
      <c r="R348">
        <v>-8.3407259999999997E-2</v>
      </c>
      <c r="S348">
        <v>3.3118590000000001</v>
      </c>
      <c r="T348">
        <v>-1.7575289999999999</v>
      </c>
      <c r="U348">
        <v>1.932739</v>
      </c>
      <c r="V348">
        <v>6.3997219999999994E-2</v>
      </c>
      <c r="W348">
        <v>7.3246459999999999E-2</v>
      </c>
      <c r="X348">
        <v>0.99525839999999999</v>
      </c>
      <c r="Y348">
        <v>-0.47154190000000001</v>
      </c>
      <c r="Z348">
        <v>0.1191928</v>
      </c>
      <c r="AA348">
        <v>0.87375130000000001</v>
      </c>
      <c r="AB348">
        <v>26</v>
      </c>
      <c r="AC348">
        <v>1.76409999999998</v>
      </c>
      <c r="AD348">
        <v>-1.0704763710609999</v>
      </c>
      <c r="AE348">
        <v>1.1804999999999899</v>
      </c>
      <c r="AF348">
        <v>-0.96844382321437705</v>
      </c>
      <c r="AG348">
        <v>-1.0704763710609999</v>
      </c>
      <c r="AH348">
        <v>1.38774703182946</v>
      </c>
      <c r="AI348">
        <v>122.31638566250901</v>
      </c>
      <c r="AJ348">
        <v>124.90938807406</v>
      </c>
      <c r="AK348">
        <v>2.00240977925935</v>
      </c>
      <c r="AL348">
        <v>85.799525235966598</v>
      </c>
      <c r="AM348">
        <v>86.320825459963501</v>
      </c>
      <c r="AN348">
        <v>0.99999998542041002</v>
      </c>
    </row>
    <row r="349" spans="1:40" x14ac:dyDescent="0.25">
      <c r="A349" t="str">
        <f>"20190312151228666"</f>
        <v>20190312151228666</v>
      </c>
      <c r="B349" t="str">
        <f>"1552374748659629"</f>
        <v>1552374748659629</v>
      </c>
      <c r="C349" t="s">
        <v>40</v>
      </c>
      <c r="D349">
        <v>3.9778820000000001</v>
      </c>
      <c r="E349">
        <v>0.22212109999999999</v>
      </c>
      <c r="F349" t="s">
        <v>42</v>
      </c>
      <c r="G349">
        <v>-396.71179999999998</v>
      </c>
      <c r="H349" s="1">
        <v>-1.484818E-6</v>
      </c>
      <c r="I349">
        <v>369.09820000000002</v>
      </c>
      <c r="J349">
        <v>-398.48930000000001</v>
      </c>
      <c r="K349">
        <v>1.0721259999999999</v>
      </c>
      <c r="L349">
        <v>367.90960000000001</v>
      </c>
      <c r="M349">
        <v>0.99980100000000005</v>
      </c>
      <c r="N349">
        <v>0</v>
      </c>
      <c r="O349">
        <v>-1.9735030000000001E-2</v>
      </c>
      <c r="P349">
        <v>0.99354909999999996</v>
      </c>
      <c r="Q349">
        <v>7.6633019999999996E-2</v>
      </c>
      <c r="R349">
        <v>-8.359374E-2</v>
      </c>
      <c r="S349">
        <v>3.3143919999999998</v>
      </c>
      <c r="T349">
        <v>-1.7473189999999901</v>
      </c>
      <c r="U349">
        <v>1.931854</v>
      </c>
      <c r="V349">
        <v>6.3993220000000003E-2</v>
      </c>
      <c r="W349">
        <v>7.3653999999999997E-2</v>
      </c>
      <c r="X349">
        <v>0.99522860000000002</v>
      </c>
      <c r="Y349">
        <v>-0.47179450000000001</v>
      </c>
      <c r="Z349">
        <v>0.1186507</v>
      </c>
      <c r="AA349">
        <v>0.87368869999999899</v>
      </c>
      <c r="AB349">
        <v>26</v>
      </c>
      <c r="AC349">
        <v>1.7775000000000301</v>
      </c>
      <c r="AD349">
        <v>-1.072127484818</v>
      </c>
      <c r="AE349">
        <v>1.1886000000000001</v>
      </c>
      <c r="AF349">
        <v>-0.97766536257596004</v>
      </c>
      <c r="AG349">
        <v>-1.072127484818</v>
      </c>
      <c r="AH349">
        <v>1.4013909356318099</v>
      </c>
      <c r="AI349">
        <v>122.10599284642799</v>
      </c>
      <c r="AJ349">
        <v>124.90114141486001</v>
      </c>
      <c r="AK349">
        <v>2.0172217179462399</v>
      </c>
      <c r="AL349">
        <v>85.776111753949806</v>
      </c>
      <c r="AM349">
        <v>86.320944931168498</v>
      </c>
      <c r="AN349">
        <v>1.00000000508996</v>
      </c>
    </row>
    <row r="350" spans="1:40" x14ac:dyDescent="0.25">
      <c r="A350" t="str">
        <f>"20190312151228690"</f>
        <v>20190312151228690</v>
      </c>
      <c r="B350" t="str">
        <f>"1552374748680124"</f>
        <v>1552374748680124</v>
      </c>
      <c r="C350" t="s">
        <v>40</v>
      </c>
      <c r="D350">
        <v>3.5889039999999999</v>
      </c>
      <c r="E350">
        <v>0.22256129999999999</v>
      </c>
      <c r="F350" t="s">
        <v>42</v>
      </c>
      <c r="G350">
        <v>-396.42079999999999</v>
      </c>
      <c r="H350" s="1">
        <v>-1.6072309999999901E-6</v>
      </c>
      <c r="I350">
        <v>369.11189999999999</v>
      </c>
      <c r="J350">
        <v>-398.20710000000003</v>
      </c>
      <c r="K350">
        <v>1.0745359999999999</v>
      </c>
      <c r="L350">
        <v>367.90390000000002</v>
      </c>
      <c r="M350">
        <v>0.99979779999999996</v>
      </c>
      <c r="N350">
        <v>0</v>
      </c>
      <c r="O350">
        <v>-1.9955770000000001E-2</v>
      </c>
      <c r="P350">
        <v>0.99354830000000005</v>
      </c>
      <c r="Q350">
        <v>7.6333239999999997E-2</v>
      </c>
      <c r="R350">
        <v>-8.3877289999999993E-2</v>
      </c>
      <c r="S350">
        <v>3.3140559999999999</v>
      </c>
      <c r="T350">
        <v>-1.71766</v>
      </c>
      <c r="U350">
        <v>1.926239</v>
      </c>
      <c r="V350">
        <v>6.405661E-2</v>
      </c>
      <c r="W350">
        <v>7.3780979999999996E-2</v>
      </c>
      <c r="X350">
        <v>0.99521510000000002</v>
      </c>
      <c r="Y350">
        <v>-0.47235870000000002</v>
      </c>
      <c r="Z350">
        <v>0.11710569999999999</v>
      </c>
      <c r="AA350">
        <v>0.87359229999999999</v>
      </c>
      <c r="AB350">
        <v>26</v>
      </c>
      <c r="AC350">
        <v>1.78630000000003</v>
      </c>
      <c r="AD350">
        <v>-1.074537607231</v>
      </c>
      <c r="AE350">
        <v>1.20799999999997</v>
      </c>
      <c r="AF350">
        <v>-0.99607932476903505</v>
      </c>
      <c r="AG350">
        <v>-1.074537607231</v>
      </c>
      <c r="AH350">
        <v>1.4113887797356801</v>
      </c>
      <c r="AI350">
        <v>121.88266721987</v>
      </c>
      <c r="AJ350">
        <v>125.212306212423</v>
      </c>
      <c r="AK350">
        <v>2.0344098353453401</v>
      </c>
      <c r="AL350">
        <v>85.768816417545295</v>
      </c>
      <c r="AM350">
        <v>86.317260762220002</v>
      </c>
      <c r="AN350">
        <v>0.99999998878123098</v>
      </c>
    </row>
    <row r="351" spans="1:40" x14ac:dyDescent="0.25">
      <c r="A351" t="str">
        <f>"20190312151228713"</f>
        <v>20190312151228713</v>
      </c>
      <c r="B351" t="str">
        <f>"1552374748710380"</f>
        <v>1552374748710380</v>
      </c>
      <c r="C351" t="s">
        <v>40</v>
      </c>
      <c r="D351">
        <v>3.6992720000000001</v>
      </c>
      <c r="E351">
        <v>0.22322549999999999</v>
      </c>
      <c r="F351" t="s">
        <v>42</v>
      </c>
      <c r="G351">
        <v>-396.11810000000003</v>
      </c>
      <c r="H351" s="1">
        <v>-1.73632999999999E-6</v>
      </c>
      <c r="I351">
        <v>369.11619999999999</v>
      </c>
      <c r="J351">
        <v>-397.9409</v>
      </c>
      <c r="K351">
        <v>1.077026</v>
      </c>
      <c r="L351">
        <v>367.89839999999998</v>
      </c>
      <c r="M351">
        <v>0.99979419999999997</v>
      </c>
      <c r="N351">
        <v>0</v>
      </c>
      <c r="O351">
        <v>-2.0160870000000001E-2</v>
      </c>
      <c r="P351">
        <v>0.99355009999999999</v>
      </c>
      <c r="Q351">
        <v>7.5945810000000002E-2</v>
      </c>
      <c r="R351">
        <v>-8.4206600000000006E-2</v>
      </c>
      <c r="S351">
        <v>3.3127439999999999</v>
      </c>
      <c r="T351">
        <v>-1.7039770000000001</v>
      </c>
      <c r="U351">
        <v>1.9226380000000001</v>
      </c>
      <c r="V351">
        <v>6.4182180000000005E-2</v>
      </c>
      <c r="W351">
        <v>7.3683960000000007E-2</v>
      </c>
      <c r="X351">
        <v>0.99521420000000005</v>
      </c>
      <c r="Y351">
        <v>-0.4725935</v>
      </c>
      <c r="Z351">
        <v>0.11646769999999999</v>
      </c>
      <c r="AA351">
        <v>0.87355059999999995</v>
      </c>
      <c r="AB351">
        <v>26</v>
      </c>
      <c r="AC351">
        <v>1.82279999999997</v>
      </c>
      <c r="AD351">
        <v>-1.07702773632999</v>
      </c>
      <c r="AE351">
        <v>1.21780000000001</v>
      </c>
      <c r="AF351">
        <v>-1.01040852267269</v>
      </c>
      <c r="AG351">
        <v>-1.07702773632999</v>
      </c>
      <c r="AH351">
        <v>1.4482884270121399</v>
      </c>
      <c r="AI351">
        <v>121.37888810460601</v>
      </c>
      <c r="AJ351">
        <v>124.901823369052</v>
      </c>
      <c r="AK351">
        <v>2.0684422871646801</v>
      </c>
      <c r="AL351">
        <v>85.7743904358191</v>
      </c>
      <c r="AM351">
        <v>86.310058096310598</v>
      </c>
      <c r="AN351">
        <v>0.99999999103623605</v>
      </c>
    </row>
    <row r="352" spans="1:40" x14ac:dyDescent="0.25">
      <c r="A352" t="str">
        <f>"20190312151228734"</f>
        <v>20190312151228734</v>
      </c>
      <c r="B352" t="str">
        <f>"1552374748729676"</f>
        <v>1552374748729676</v>
      </c>
      <c r="C352" t="s">
        <v>40</v>
      </c>
      <c r="D352">
        <v>3.9069579999999999</v>
      </c>
      <c r="E352">
        <v>0.22355659999999999</v>
      </c>
      <c r="F352" t="s">
        <v>42</v>
      </c>
      <c r="G352">
        <v>-395.82350000000002</v>
      </c>
      <c r="H352" s="1">
        <v>-1.8612470000000001E-6</v>
      </c>
      <c r="I352">
        <v>369.12450000000001</v>
      </c>
      <c r="J352">
        <v>-397.69779999999997</v>
      </c>
      <c r="K352">
        <v>1.0793790000000001</v>
      </c>
      <c r="L352">
        <v>367.89330000000001</v>
      </c>
      <c r="M352">
        <v>0.99979050000000003</v>
      </c>
      <c r="N352">
        <v>0</v>
      </c>
      <c r="O352">
        <v>-2.0340339999999998E-2</v>
      </c>
      <c r="P352">
        <v>0.99347149999999995</v>
      </c>
      <c r="Q352">
        <v>7.6276289999999997E-2</v>
      </c>
      <c r="R352">
        <v>-8.4831829999999997E-2</v>
      </c>
      <c r="S352">
        <v>3.3106689999999999</v>
      </c>
      <c r="T352">
        <v>-1.6839120000000001</v>
      </c>
      <c r="U352">
        <v>1.9170229999999999</v>
      </c>
      <c r="V352">
        <v>6.4630679999999996E-2</v>
      </c>
      <c r="W352">
        <v>7.3944079999999995E-2</v>
      </c>
      <c r="X352">
        <v>0.99516590000000005</v>
      </c>
      <c r="Y352">
        <v>-0.47279969999999999</v>
      </c>
      <c r="Z352">
        <v>0.1154449</v>
      </c>
      <c r="AA352">
        <v>0.87357479999999998</v>
      </c>
      <c r="AB352">
        <v>26</v>
      </c>
      <c r="AC352">
        <v>1.8742999999999399</v>
      </c>
      <c r="AD352">
        <v>-1.0793808612469999</v>
      </c>
      <c r="AE352">
        <v>1.2312000000000001</v>
      </c>
      <c r="AF352">
        <v>-1.03035995803638</v>
      </c>
      <c r="AG352">
        <v>-1.0793808612469999</v>
      </c>
      <c r="AH352">
        <v>1.50110065676786</v>
      </c>
      <c r="AI352">
        <v>120.661103798097</v>
      </c>
      <c r="AJ352">
        <v>124.46581985028099</v>
      </c>
      <c r="AK352">
        <v>2.1166029076092499</v>
      </c>
      <c r="AL352">
        <v>85.759445970288496</v>
      </c>
      <c r="AM352">
        <v>86.284165224931797</v>
      </c>
      <c r="AN352">
        <v>1.00000001014355</v>
      </c>
    </row>
    <row r="353" spans="1:40" x14ac:dyDescent="0.25">
      <c r="A353" t="str">
        <f>"20190312151228757"</f>
        <v>20190312151228757</v>
      </c>
      <c r="B353" t="str">
        <f>"1552374748750173"</f>
        <v>1552374748750173</v>
      </c>
      <c r="C353" t="s">
        <v>40</v>
      </c>
      <c r="D353">
        <v>3.8458350000000001</v>
      </c>
      <c r="E353">
        <v>0.2237169</v>
      </c>
      <c r="F353" t="s">
        <v>42</v>
      </c>
      <c r="G353">
        <v>-395.56</v>
      </c>
      <c r="H353" s="1">
        <v>-1.9736570000000001E-6</v>
      </c>
      <c r="I353">
        <v>369.12810000000002</v>
      </c>
      <c r="J353">
        <v>-397.43400000000003</v>
      </c>
      <c r="K353">
        <v>1.08206</v>
      </c>
      <c r="L353">
        <v>367.88780000000003</v>
      </c>
      <c r="M353">
        <v>0.99978699999999998</v>
      </c>
      <c r="N353">
        <v>0</v>
      </c>
      <c r="O353">
        <v>-2.051708E-2</v>
      </c>
      <c r="P353">
        <v>0.99342790000000003</v>
      </c>
      <c r="Q353">
        <v>7.6416570000000003E-2</v>
      </c>
      <c r="R353">
        <v>-8.5215540000000006E-2</v>
      </c>
      <c r="S353">
        <v>3.311401</v>
      </c>
      <c r="T353">
        <v>-1.6719189999999999</v>
      </c>
      <c r="U353">
        <v>1.912628</v>
      </c>
      <c r="V353">
        <v>6.4839450000000007E-2</v>
      </c>
      <c r="W353">
        <v>7.4133820000000003E-2</v>
      </c>
      <c r="X353">
        <v>0.99513819999999997</v>
      </c>
      <c r="Y353">
        <v>-0.47260639999999998</v>
      </c>
      <c r="Z353">
        <v>0.11474330000000001</v>
      </c>
      <c r="AA353">
        <v>0.87377179999999999</v>
      </c>
      <c r="AB353">
        <v>26</v>
      </c>
      <c r="AC353">
        <v>1.8740000000000201</v>
      </c>
      <c r="AD353">
        <v>-1.0820619736570001</v>
      </c>
      <c r="AE353">
        <v>1.24029999999999</v>
      </c>
      <c r="AF353">
        <v>-1.03786605555737</v>
      </c>
      <c r="AG353">
        <v>-1.0820619736570001</v>
      </c>
      <c r="AH353">
        <v>1.50031955865811</v>
      </c>
      <c r="AI353">
        <v>120.673592850587</v>
      </c>
      <c r="AJ353">
        <v>124.674063988567</v>
      </c>
      <c r="AK353">
        <v>2.12108058361882</v>
      </c>
      <c r="AL353">
        <v>85.748544737126295</v>
      </c>
      <c r="AM353">
        <v>86.272092654907297</v>
      </c>
      <c r="AN353">
        <v>1.0000000073216599</v>
      </c>
    </row>
    <row r="354" spans="1:40" x14ac:dyDescent="0.25">
      <c r="A354" t="str">
        <f>"20190312151228779"</f>
        <v>20190312151228779</v>
      </c>
      <c r="B354" t="str">
        <f>"1552374748769693"</f>
        <v>1552374748769693</v>
      </c>
      <c r="C354" t="s">
        <v>40</v>
      </c>
      <c r="D354">
        <v>3.8676870000000001</v>
      </c>
      <c r="E354">
        <v>0.22381519999999999</v>
      </c>
      <c r="F354" t="s">
        <v>42</v>
      </c>
      <c r="G354">
        <v>-395.28309999999999</v>
      </c>
      <c r="H354" s="1">
        <v>-2.0924460000000001E-6</v>
      </c>
      <c r="I354">
        <v>369.12799999999999</v>
      </c>
      <c r="J354">
        <v>-397.1626</v>
      </c>
      <c r="K354">
        <v>1.0849530000000001</v>
      </c>
      <c r="L354">
        <v>367.88200000000001</v>
      </c>
      <c r="M354">
        <v>0.99978469999999997</v>
      </c>
      <c r="N354">
        <v>0</v>
      </c>
      <c r="O354">
        <v>-2.0679389999999999E-2</v>
      </c>
      <c r="P354">
        <v>0.99345380000000005</v>
      </c>
      <c r="Q354">
        <v>7.5772110000000004E-2</v>
      </c>
      <c r="R354">
        <v>-8.549168E-2</v>
      </c>
      <c r="S354">
        <v>3.3118289999999999</v>
      </c>
      <c r="T354">
        <v>-1.666045</v>
      </c>
      <c r="U354">
        <v>1.9096070000000001</v>
      </c>
      <c r="V354">
        <v>6.4952960000000004E-2</v>
      </c>
      <c r="W354">
        <v>7.3981640000000001E-2</v>
      </c>
      <c r="X354">
        <v>0.99514210000000003</v>
      </c>
      <c r="Y354">
        <v>-0.47239389999999998</v>
      </c>
      <c r="Z354">
        <v>0.1144106</v>
      </c>
      <c r="AA354">
        <v>0.87393029999999905</v>
      </c>
      <c r="AB354">
        <v>26</v>
      </c>
      <c r="AC354">
        <v>1.8794999999999999</v>
      </c>
      <c r="AD354">
        <v>-1.0849550924460001</v>
      </c>
      <c r="AE354">
        <v>1.2460000000000899</v>
      </c>
      <c r="AF354">
        <v>-1.0431282910994499</v>
      </c>
      <c r="AG354">
        <v>-1.0849550924460001</v>
      </c>
      <c r="AH354">
        <v>1.5049523282355901</v>
      </c>
      <c r="AI354">
        <v>120.647132059813</v>
      </c>
      <c r="AJ354">
        <v>124.72700843931</v>
      </c>
      <c r="AK354">
        <v>2.1284091934067302</v>
      </c>
      <c r="AL354">
        <v>85.757287921786499</v>
      </c>
      <c r="AM354">
        <v>86.265599506913603</v>
      </c>
      <c r="AN354">
        <v>0.99999998463113005</v>
      </c>
    </row>
    <row r="355" spans="1:40" x14ac:dyDescent="0.25">
      <c r="A355" t="str">
        <f>"20190312151228802"</f>
        <v>20190312151228802</v>
      </c>
      <c r="B355" t="str">
        <f>"1552374748799949"</f>
        <v>1552374748799949</v>
      </c>
      <c r="C355" t="s">
        <v>40</v>
      </c>
      <c r="D355">
        <v>3.682744</v>
      </c>
      <c r="E355">
        <v>0.26983049999999997</v>
      </c>
      <c r="F355" t="s">
        <v>42</v>
      </c>
      <c r="G355">
        <v>-395.0204</v>
      </c>
      <c r="H355" s="1">
        <v>-2.207337E-6</v>
      </c>
      <c r="I355">
        <v>369.11579999999998</v>
      </c>
      <c r="J355">
        <v>-396.89080000000001</v>
      </c>
      <c r="K355">
        <v>1.0878380000000001</v>
      </c>
      <c r="L355">
        <v>367.87619999999998</v>
      </c>
      <c r="M355">
        <v>0.99978279999999997</v>
      </c>
      <c r="N355">
        <v>0</v>
      </c>
      <c r="O355">
        <v>-2.0825610000000001E-2</v>
      </c>
      <c r="P355">
        <v>0.99352479999999999</v>
      </c>
      <c r="Q355">
        <v>7.4666869999999996E-2</v>
      </c>
      <c r="R355">
        <v>-8.5638229999999996E-2</v>
      </c>
      <c r="S355">
        <v>3.31189</v>
      </c>
      <c r="T355">
        <v>-1.677241</v>
      </c>
      <c r="U355">
        <v>1.90744</v>
      </c>
      <c r="V355">
        <v>6.4951699999999904E-2</v>
      </c>
      <c r="W355">
        <v>7.3683009999999993E-2</v>
      </c>
      <c r="X355">
        <v>0.9951643</v>
      </c>
      <c r="Y355">
        <v>-0.47155150000000001</v>
      </c>
      <c r="Z355">
        <v>0.1150009</v>
      </c>
      <c r="AA355">
        <v>0.87430779999999997</v>
      </c>
      <c r="AB355">
        <v>26</v>
      </c>
      <c r="AC355">
        <v>1.8704000000000101</v>
      </c>
      <c r="AD355">
        <v>-1.0878402073369999</v>
      </c>
      <c r="AE355">
        <v>1.23959999999999</v>
      </c>
      <c r="AF355">
        <v>-1.0350189354224899</v>
      </c>
      <c r="AG355">
        <v>-1.0878402073369999</v>
      </c>
      <c r="AH355">
        <v>1.4932213873537299</v>
      </c>
      <c r="AI355">
        <v>120.910979177615</v>
      </c>
      <c r="AJ355">
        <v>124.727571300904</v>
      </c>
      <c r="AK355">
        <v>2.11763326027731</v>
      </c>
      <c r="AL355">
        <v>85.774444827256005</v>
      </c>
      <c r="AM355">
        <v>86.265754813490801</v>
      </c>
      <c r="AN355">
        <v>0.99999994664501801</v>
      </c>
    </row>
    <row r="356" spans="1:40" x14ac:dyDescent="0.25">
      <c r="A356" t="str">
        <f>"20190312151228822"</f>
        <v>20190312151228822</v>
      </c>
      <c r="B356" t="str">
        <f>"1552374748820443"</f>
        <v>1552374748820443</v>
      </c>
      <c r="C356" t="s">
        <v>40</v>
      </c>
      <c r="D356">
        <v>3.49708</v>
      </c>
      <c r="E356">
        <v>0.3688304</v>
      </c>
      <c r="F356" t="s">
        <v>42</v>
      </c>
      <c r="G356">
        <v>-393.73759999999999</v>
      </c>
      <c r="H356" s="1">
        <v>-2.709535E-6</v>
      </c>
      <c r="I356">
        <v>369.387</v>
      </c>
      <c r="J356">
        <v>-396.65</v>
      </c>
      <c r="K356">
        <v>1.0902609999999999</v>
      </c>
      <c r="L356">
        <v>367.87110000000001</v>
      </c>
      <c r="M356">
        <v>0.99978080000000003</v>
      </c>
      <c r="N356">
        <v>0</v>
      </c>
      <c r="O356">
        <v>-2.0944239999999999E-2</v>
      </c>
      <c r="P356">
        <v>0.99355769999999999</v>
      </c>
      <c r="Q356">
        <v>7.447484E-2</v>
      </c>
      <c r="R356">
        <v>-8.5421819999999996E-2</v>
      </c>
      <c r="S356">
        <v>3.2371219999999998</v>
      </c>
      <c r="T356">
        <v>-1.116763</v>
      </c>
      <c r="U356">
        <v>1.550964</v>
      </c>
      <c r="V356">
        <v>6.4616409999999999E-2</v>
      </c>
      <c r="W356">
        <v>7.4272190000000002E-2</v>
      </c>
      <c r="X356">
        <v>0.99514239999999998</v>
      </c>
      <c r="Y356">
        <v>-0.4295253</v>
      </c>
      <c r="Z356">
        <v>7.5255139999999998E-2</v>
      </c>
      <c r="AA356">
        <v>0.89991369999999904</v>
      </c>
      <c r="AB356">
        <v>26</v>
      </c>
      <c r="AC356">
        <v>2.9123999999999901</v>
      </c>
      <c r="AD356">
        <v>-1.0902637095350001</v>
      </c>
      <c r="AE356">
        <v>1.5158999999999301</v>
      </c>
      <c r="AF356">
        <v>-1.4199884321755001</v>
      </c>
      <c r="AG356">
        <v>-1.0902637095350001</v>
      </c>
      <c r="AH356">
        <v>2.5939826034185298</v>
      </c>
      <c r="AI356">
        <v>110.23789040352899</v>
      </c>
      <c r="AJ356">
        <v>118.697016410868</v>
      </c>
      <c r="AK356">
        <v>3.1517912130531802</v>
      </c>
      <c r="AL356">
        <v>85.740594846724207</v>
      </c>
      <c r="AM356">
        <v>86.284895873997002</v>
      </c>
      <c r="AN356">
        <v>1.00000001746322</v>
      </c>
    </row>
    <row r="357" spans="1:40" x14ac:dyDescent="0.25">
      <c r="A357" t="str">
        <f>"20190312151228844"</f>
        <v>20190312151228844</v>
      </c>
      <c r="B357" t="str">
        <f>"1552374748839964"</f>
        <v>1552374748839964</v>
      </c>
      <c r="C357" t="s">
        <v>40</v>
      </c>
      <c r="D357">
        <v>4.5848800000000001</v>
      </c>
      <c r="E357">
        <v>0.39211259999999998</v>
      </c>
      <c r="F357" t="s">
        <v>42</v>
      </c>
      <c r="G357">
        <v>-383.11880000000002</v>
      </c>
      <c r="H357" s="1">
        <v>-3.372334E-6</v>
      </c>
      <c r="I357">
        <v>371.26240000000001</v>
      </c>
      <c r="J357">
        <v>-396.39019999999999</v>
      </c>
      <c r="K357">
        <v>1.092695</v>
      </c>
      <c r="L357">
        <v>367.86540000000002</v>
      </c>
      <c r="M357">
        <v>0.9997779</v>
      </c>
      <c r="N357">
        <v>0</v>
      </c>
      <c r="O357">
        <v>-2.1073669999999999E-2</v>
      </c>
      <c r="P357">
        <v>0.99364169999999996</v>
      </c>
      <c r="Q357">
        <v>7.3707499999999995E-2</v>
      </c>
      <c r="R357">
        <v>-8.5109409999999996E-2</v>
      </c>
      <c r="S357">
        <v>3.1051030000000002</v>
      </c>
      <c r="T357">
        <v>-0.2501892</v>
      </c>
      <c r="U357">
        <v>0.77822880000000005</v>
      </c>
      <c r="V357">
        <v>6.4172000000000007E-2</v>
      </c>
      <c r="W357">
        <v>7.4321189999999995E-2</v>
      </c>
      <c r="X357">
        <v>0.99516749999999998</v>
      </c>
      <c r="Y357">
        <v>-0.262631</v>
      </c>
      <c r="Z357">
        <v>1.2073850000000001E-2</v>
      </c>
      <c r="AA357">
        <v>0.96482080000000003</v>
      </c>
      <c r="AB357">
        <v>26</v>
      </c>
      <c r="AC357">
        <v>13.2713999999999</v>
      </c>
      <c r="AD357">
        <v>-1.092698372334</v>
      </c>
      <c r="AE357">
        <v>3.39699999999999</v>
      </c>
      <c r="AF357">
        <v>-3.65268366351386</v>
      </c>
      <c r="AG357">
        <v>-1.092698372334</v>
      </c>
      <c r="AH357">
        <v>13.113435359115201</v>
      </c>
      <c r="AI357">
        <v>94.589337681875804</v>
      </c>
      <c r="AJ357">
        <v>105.564919960621</v>
      </c>
      <c r="AK357">
        <v>13.656437112083699</v>
      </c>
      <c r="AL357">
        <v>85.737779579069198</v>
      </c>
      <c r="AM357">
        <v>86.310469093656494</v>
      </c>
      <c r="AN357">
        <v>1.00000001896163</v>
      </c>
    </row>
    <row r="358" spans="1:40" x14ac:dyDescent="0.25">
      <c r="A358" t="str">
        <f>"20190312151228868"</f>
        <v>20190312151228868</v>
      </c>
      <c r="B358" t="str">
        <f>"1552374748859484"</f>
        <v>1552374748859484</v>
      </c>
      <c r="C358" t="s">
        <v>40</v>
      </c>
      <c r="D358">
        <v>3.7387130000000002</v>
      </c>
      <c r="E358">
        <v>0.50245139999999999</v>
      </c>
      <c r="F358" t="s">
        <v>42</v>
      </c>
      <c r="G358">
        <v>-381.69569999999999</v>
      </c>
      <c r="H358" s="1">
        <v>-3.8322469999999997E-6</v>
      </c>
      <c r="I358">
        <v>370.69639999999998</v>
      </c>
      <c r="J358">
        <v>-396.10980000000001</v>
      </c>
      <c r="K358">
        <v>1.095059</v>
      </c>
      <c r="L358">
        <v>367.85939999999999</v>
      </c>
      <c r="M358">
        <v>0.99977389999999999</v>
      </c>
      <c r="N358">
        <v>0</v>
      </c>
      <c r="O358">
        <v>-2.1218569999999999E-2</v>
      </c>
      <c r="P358">
        <v>0.99364140000000001</v>
      </c>
      <c r="Q358">
        <v>7.3386099999999996E-2</v>
      </c>
      <c r="R358">
        <v>-8.5389820000000005E-2</v>
      </c>
      <c r="S358">
        <v>3.0871580000000001</v>
      </c>
      <c r="T358">
        <v>-0.22956370000000001</v>
      </c>
      <c r="U358">
        <v>0.59475710000000004</v>
      </c>
      <c r="V358">
        <v>6.4306630000000004E-2</v>
      </c>
      <c r="W358">
        <v>7.4835199999999893E-2</v>
      </c>
      <c r="X358">
        <v>0.99512029999999996</v>
      </c>
      <c r="Y358">
        <v>-0.20935480000000001</v>
      </c>
      <c r="Z358">
        <v>9.2647010000000002E-3</v>
      </c>
      <c r="AA358">
        <v>0.97779579999999999</v>
      </c>
      <c r="AB358">
        <v>27</v>
      </c>
      <c r="AC358">
        <v>14.414099999999999</v>
      </c>
      <c r="AD358">
        <v>-1.095062832247</v>
      </c>
      <c r="AE358">
        <v>2.8369999999999802</v>
      </c>
      <c r="AF358">
        <v>-3.1248451428247699</v>
      </c>
      <c r="AG358">
        <v>-1.095062832247</v>
      </c>
      <c r="AH358">
        <v>14.2713596966481</v>
      </c>
      <c r="AI358">
        <v>94.286630954246206</v>
      </c>
      <c r="AJ358">
        <v>102.350524309736</v>
      </c>
      <c r="AK358">
        <v>14.6504446131958</v>
      </c>
      <c r="AL358">
        <v>85.708246781918803</v>
      </c>
      <c r="AM358">
        <v>86.302575189903607</v>
      </c>
      <c r="AN358">
        <v>1.00000003064654</v>
      </c>
    </row>
    <row r="359" spans="1:40" x14ac:dyDescent="0.25">
      <c r="A359" t="str">
        <f>"20190312151228891"</f>
        <v>20190312151228891</v>
      </c>
      <c r="B359" t="str">
        <f>"1552374748879980"</f>
        <v>1552374748879980</v>
      </c>
      <c r="C359" t="s">
        <v>40</v>
      </c>
      <c r="D359">
        <v>3.8716439999999999</v>
      </c>
      <c r="E359">
        <v>0.51401629999999998</v>
      </c>
      <c r="F359" t="s">
        <v>44</v>
      </c>
      <c r="G359">
        <v>0</v>
      </c>
      <c r="H359">
        <v>0</v>
      </c>
      <c r="I359">
        <v>0</v>
      </c>
      <c r="J359">
        <v>-395.8331</v>
      </c>
      <c r="K359">
        <v>1.0971379999999999</v>
      </c>
      <c r="L359">
        <v>367.85329999999999</v>
      </c>
      <c r="M359">
        <v>0.99976940000000003</v>
      </c>
      <c r="N359">
        <v>0</v>
      </c>
      <c r="O359">
        <v>-2.1361459999999999E-2</v>
      </c>
      <c r="P359">
        <v>0.99372110000000002</v>
      </c>
      <c r="Q359">
        <v>7.2535859999999994E-2</v>
      </c>
      <c r="R359">
        <v>-8.5188910000000007E-2</v>
      </c>
      <c r="S359">
        <v>2.984985</v>
      </c>
      <c r="T359">
        <v>0.1410816</v>
      </c>
      <c r="U359">
        <v>-0.2767944</v>
      </c>
      <c r="V359">
        <v>6.3960660000000003E-2</v>
      </c>
      <c r="W359">
        <v>7.4762919999999997E-2</v>
      </c>
      <c r="X359">
        <v>0.99514800000000003</v>
      </c>
      <c r="Y359">
        <v>7.0986569999999999E-2</v>
      </c>
      <c r="Z359">
        <v>6.6642719999999999E-4</v>
      </c>
      <c r="AA359">
        <v>0.99747710000000001</v>
      </c>
      <c r="AB359">
        <v>27</v>
      </c>
      <c r="AC359">
        <v>2.984985</v>
      </c>
      <c r="AD359">
        <v>0.1410816</v>
      </c>
      <c r="AE359">
        <v>-0.2767944</v>
      </c>
      <c r="AF359">
        <v>0.212496806593516</v>
      </c>
      <c r="AG359">
        <v>0.1410816</v>
      </c>
      <c r="AH359">
        <v>2.98360847354876</v>
      </c>
      <c r="AI359">
        <v>87.299583553020398</v>
      </c>
      <c r="AJ359">
        <v>85.926192537488703</v>
      </c>
      <c r="AK359">
        <v>2.9944913481429398</v>
      </c>
      <c r="AL359">
        <v>85.712399627710795</v>
      </c>
      <c r="AM359">
        <v>86.322514702266602</v>
      </c>
      <c r="AN359">
        <v>1.00000000106928</v>
      </c>
    </row>
    <row r="360" spans="1:40" x14ac:dyDescent="0.25">
      <c r="A360" t="str">
        <f>"20190312151228913"</f>
        <v>20190312151228913</v>
      </c>
      <c r="B360" t="str">
        <f>"1552374748910236"</f>
        <v>1552374748910236</v>
      </c>
      <c r="C360" t="s">
        <v>40</v>
      </c>
      <c r="D360">
        <v>3.8479730000000001</v>
      </c>
      <c r="E360">
        <v>0.5167659</v>
      </c>
      <c r="F360" t="s">
        <v>45</v>
      </c>
      <c r="G360">
        <v>-168.40299999999999</v>
      </c>
      <c r="H360">
        <v>8.7658570000000005</v>
      </c>
      <c r="I360">
        <v>339.70690000000002</v>
      </c>
      <c r="J360">
        <v>-395.56810000000002</v>
      </c>
      <c r="K360">
        <v>1.0988979999999999</v>
      </c>
      <c r="L360">
        <v>367.8476</v>
      </c>
      <c r="M360">
        <v>0.99976469999999995</v>
      </c>
      <c r="N360">
        <v>0</v>
      </c>
      <c r="O360">
        <v>-2.1495340000000002E-2</v>
      </c>
      <c r="P360">
        <v>0.99374240000000003</v>
      </c>
      <c r="Q360">
        <v>7.2083990000000001E-2</v>
      </c>
      <c r="R360">
        <v>-8.5324800000000006E-2</v>
      </c>
      <c r="S360">
        <v>2.9800420000000001</v>
      </c>
      <c r="T360">
        <v>0.10048410000000001</v>
      </c>
      <c r="U360">
        <v>-0.36880489999999999</v>
      </c>
      <c r="V360">
        <v>6.3962500000000005E-2</v>
      </c>
      <c r="W360">
        <v>7.5002570000000005E-2</v>
      </c>
      <c r="X360">
        <v>0.99512979999999995</v>
      </c>
      <c r="Y360">
        <v>0.10141559999999999</v>
      </c>
      <c r="Z360">
        <v>9.8127450000000003E-4</v>
      </c>
      <c r="AA360">
        <v>0.9948437</v>
      </c>
      <c r="AB360">
        <v>27</v>
      </c>
      <c r="AC360">
        <v>227.1651</v>
      </c>
      <c r="AD360">
        <v>7.6669589999999896</v>
      </c>
      <c r="AE360">
        <v>-28.140699999999899</v>
      </c>
      <c r="AF360">
        <v>23.225130219712099</v>
      </c>
      <c r="AG360">
        <v>7.6669589999999896</v>
      </c>
      <c r="AH360">
        <v>227.46232216743701</v>
      </c>
      <c r="AI360">
        <v>88.079468396824694</v>
      </c>
      <c r="AJ360">
        <v>84.169996046561806</v>
      </c>
      <c r="AK360">
        <v>228.77346205325699</v>
      </c>
      <c r="AL360">
        <v>85.698629826205206</v>
      </c>
      <c r="AM360">
        <v>86.322342124723605</v>
      </c>
      <c r="AN360">
        <v>0.99999995288044596</v>
      </c>
    </row>
    <row r="361" spans="1:40" x14ac:dyDescent="0.25">
      <c r="A361" t="str">
        <f>"20190312151228935"</f>
        <v>20190312151228935</v>
      </c>
      <c r="B361" t="str">
        <f>"1552374748930263"</f>
        <v>1552374748930263</v>
      </c>
      <c r="C361" t="s">
        <v>40</v>
      </c>
      <c r="D361">
        <v>3.880331</v>
      </c>
      <c r="E361">
        <v>0.51605369999999995</v>
      </c>
      <c r="F361" t="s">
        <v>45</v>
      </c>
      <c r="G361">
        <v>-169.69399999999999</v>
      </c>
      <c r="H361">
        <v>7.1050800000000001</v>
      </c>
      <c r="I361">
        <v>338.1748</v>
      </c>
      <c r="J361">
        <v>-395.30329999999998</v>
      </c>
      <c r="K361">
        <v>1.100436</v>
      </c>
      <c r="L361">
        <v>367.8417</v>
      </c>
      <c r="M361">
        <v>0.99975970000000003</v>
      </c>
      <c r="N361">
        <v>0</v>
      </c>
      <c r="O361">
        <v>-2.1625060000000002E-2</v>
      </c>
      <c r="P361">
        <v>0.99376220000000004</v>
      </c>
      <c r="Q361">
        <v>7.1350199999999905E-2</v>
      </c>
      <c r="R361">
        <v>-8.5709850000000004E-2</v>
      </c>
      <c r="S361">
        <v>2.9795530000000001</v>
      </c>
      <c r="T361">
        <v>7.9228880000000002E-2</v>
      </c>
      <c r="U361">
        <v>-0.3914185</v>
      </c>
      <c r="V361">
        <v>6.4218040000000004E-2</v>
      </c>
      <c r="W361">
        <v>7.4899869999999993E-2</v>
      </c>
      <c r="X361">
        <v>0.99512109999999998</v>
      </c>
      <c r="Y361">
        <v>0.10874739999999999</v>
      </c>
      <c r="Z361">
        <v>8.6716979999999896E-4</v>
      </c>
      <c r="AA361">
        <v>0.99406899999999998</v>
      </c>
      <c r="AB361">
        <v>27</v>
      </c>
      <c r="AC361">
        <v>225.60929999999999</v>
      </c>
      <c r="AD361">
        <v>6.0046439999999999</v>
      </c>
      <c r="AE361">
        <v>-29.666899999999998</v>
      </c>
      <c r="AF361">
        <v>24.7638723923911</v>
      </c>
      <c r="AG361">
        <v>6.0046439999999999</v>
      </c>
      <c r="AH361">
        <v>226.040694516141</v>
      </c>
      <c r="AI361">
        <v>88.487373851822696</v>
      </c>
      <c r="AJ361">
        <v>83.747898509614799</v>
      </c>
      <c r="AK361">
        <v>227.472417454892</v>
      </c>
      <c r="AL361">
        <v>85.7045307980422</v>
      </c>
      <c r="AM361">
        <v>86.307657690213205</v>
      </c>
      <c r="AN361">
        <v>0.99999997542633301</v>
      </c>
    </row>
    <row r="362" spans="1:40" x14ac:dyDescent="0.25">
      <c r="A362" t="str">
        <f>"20190312151228956"</f>
        <v>20190312151228956</v>
      </c>
      <c r="B362" t="str">
        <f>"1552374748949785"</f>
        <v>1552374748949785</v>
      </c>
      <c r="C362" t="s">
        <v>40</v>
      </c>
      <c r="D362">
        <v>3.8087049999999998</v>
      </c>
      <c r="E362">
        <v>0.51690659999999999</v>
      </c>
      <c r="F362" t="s">
        <v>45</v>
      </c>
      <c r="G362">
        <v>-169.69409999999999</v>
      </c>
      <c r="H362">
        <v>7.3641629999999996</v>
      </c>
      <c r="I362">
        <v>338.55470000000003</v>
      </c>
      <c r="J362">
        <v>-395.04160000000002</v>
      </c>
      <c r="K362">
        <v>1.1017650000000001</v>
      </c>
      <c r="L362">
        <v>367.83589999999998</v>
      </c>
      <c r="M362">
        <v>0.9997547</v>
      </c>
      <c r="N362">
        <v>0</v>
      </c>
      <c r="O362">
        <v>-2.1752110000000002E-2</v>
      </c>
      <c r="P362">
        <v>0.99377610000000005</v>
      </c>
      <c r="Q362">
        <v>7.0594619999999997E-2</v>
      </c>
      <c r="R362">
        <v>-8.617052E-2</v>
      </c>
      <c r="S362">
        <v>2.9795229999999999</v>
      </c>
      <c r="T362">
        <v>8.272243E-2</v>
      </c>
      <c r="U362">
        <v>-0.38677980000000001</v>
      </c>
      <c r="V362">
        <v>6.4552230000000002E-2</v>
      </c>
      <c r="W362">
        <v>7.4711089999999994E-2</v>
      </c>
      <c r="X362">
        <v>0.99511369999999999</v>
      </c>
      <c r="Y362">
        <v>0.1070985</v>
      </c>
      <c r="Z362">
        <v>8.7919039999999902E-4</v>
      </c>
      <c r="AA362">
        <v>0.99424800000000002</v>
      </c>
      <c r="AB362">
        <v>27</v>
      </c>
      <c r="AC362">
        <v>225.3475</v>
      </c>
      <c r="AD362">
        <v>6.2623980000000001</v>
      </c>
      <c r="AE362">
        <v>-29.281199999999899</v>
      </c>
      <c r="AF362">
        <v>24.353949745844599</v>
      </c>
      <c r="AG362">
        <v>6.2623980000000001</v>
      </c>
      <c r="AH362">
        <v>225.759658854777</v>
      </c>
      <c r="AI362">
        <v>88.420227673133596</v>
      </c>
      <c r="AJ362">
        <v>83.842995302919604</v>
      </c>
      <c r="AK362">
        <v>227.155796895344</v>
      </c>
      <c r="AL362">
        <v>85.715377620451804</v>
      </c>
      <c r="AM362">
        <v>86.2884688264636</v>
      </c>
      <c r="AN362">
        <v>1.00000000664732</v>
      </c>
    </row>
    <row r="363" spans="1:40" x14ac:dyDescent="0.25">
      <c r="A363" t="str">
        <f>"20190312151228979"</f>
        <v>20190312151228979</v>
      </c>
      <c r="B363" t="str">
        <f>"1552374748970279"</f>
        <v>1552374748970279</v>
      </c>
      <c r="C363" t="s">
        <v>40</v>
      </c>
      <c r="D363">
        <v>4.0714779999999999</v>
      </c>
      <c r="E363">
        <v>0.51742549999999998</v>
      </c>
      <c r="F363" t="s">
        <v>45</v>
      </c>
      <c r="G363">
        <v>-169.69409999999999</v>
      </c>
      <c r="H363">
        <v>7.1391149999999897</v>
      </c>
      <c r="I363">
        <v>337.9674</v>
      </c>
      <c r="J363">
        <v>-394.76710000000003</v>
      </c>
      <c r="K363">
        <v>1.1029719999999901</v>
      </c>
      <c r="L363">
        <v>367.82979999999998</v>
      </c>
      <c r="M363">
        <v>0.99974969999999996</v>
      </c>
      <c r="N363">
        <v>0</v>
      </c>
      <c r="O363">
        <v>-2.1885450000000001E-2</v>
      </c>
      <c r="P363">
        <v>0.99379439999999997</v>
      </c>
      <c r="Q363">
        <v>7.0337860000000002E-2</v>
      </c>
      <c r="R363">
        <v>-8.6170079999999996E-2</v>
      </c>
      <c r="S363">
        <v>2.9789119999999998</v>
      </c>
      <c r="T363">
        <v>7.9808950000000003E-2</v>
      </c>
      <c r="U363">
        <v>-0.39483639999999998</v>
      </c>
      <c r="V363">
        <v>6.4419219999999999E-2</v>
      </c>
      <c r="W363">
        <v>7.4991639999999998E-2</v>
      </c>
      <c r="X363">
        <v>0.99510120000000002</v>
      </c>
      <c r="Y363">
        <v>0.10963639999999999</v>
      </c>
      <c r="Z363">
        <v>8.7855309999999897E-4</v>
      </c>
      <c r="AA363">
        <v>0.9939713</v>
      </c>
      <c r="AB363">
        <v>27</v>
      </c>
      <c r="AC363">
        <v>225.07300000000001</v>
      </c>
      <c r="AD363">
        <v>6.0361429999999903</v>
      </c>
      <c r="AE363">
        <v>-29.862399999999901</v>
      </c>
      <c r="AF363">
        <v>24.911762834502099</v>
      </c>
      <c r="AG363">
        <v>6.0361429999999903</v>
      </c>
      <c r="AH363">
        <v>225.51325786782201</v>
      </c>
      <c r="AI363">
        <v>88.476039038623597</v>
      </c>
      <c r="AJ363">
        <v>83.696268181479994</v>
      </c>
      <c r="AK363">
        <v>226.965328682593</v>
      </c>
      <c r="AL363">
        <v>85.6992579981506</v>
      </c>
      <c r="AM363">
        <v>86.296048736268403</v>
      </c>
      <c r="AN363">
        <v>0.99999999010836904</v>
      </c>
    </row>
    <row r="364" spans="1:40" x14ac:dyDescent="0.25">
      <c r="A364" t="str">
        <f>"20190312151229002"</f>
        <v>20190312151229002</v>
      </c>
      <c r="B364" t="str">
        <f>"1552374748989799"</f>
        <v>1552374748989799</v>
      </c>
      <c r="C364" t="s">
        <v>40</v>
      </c>
      <c r="D364">
        <v>4.2334649999999998</v>
      </c>
      <c r="E364">
        <v>0.51782969999999995</v>
      </c>
      <c r="F364" t="s">
        <v>45</v>
      </c>
      <c r="G364">
        <v>-169.69409999999999</v>
      </c>
      <c r="H364">
        <v>7.2399110000000002</v>
      </c>
      <c r="I364">
        <v>337.67660000000001</v>
      </c>
      <c r="J364">
        <v>-394.49439999999998</v>
      </c>
      <c r="K364">
        <v>1.103998</v>
      </c>
      <c r="L364">
        <v>367.82369999999997</v>
      </c>
      <c r="M364">
        <v>0.99974410000000002</v>
      </c>
      <c r="N364">
        <v>0</v>
      </c>
      <c r="O364">
        <v>-2.2018780000000002E-2</v>
      </c>
      <c r="P364">
        <v>0.99378730000000004</v>
      </c>
      <c r="Q364">
        <v>6.9973190000000005E-2</v>
      </c>
      <c r="R364">
        <v>-8.6548769999999997E-2</v>
      </c>
      <c r="S364">
        <v>2.9783940000000002</v>
      </c>
      <c r="T364">
        <v>8.1210260000000006E-2</v>
      </c>
      <c r="U364">
        <v>-0.39901730000000002</v>
      </c>
      <c r="V364">
        <v>6.4665349999999996E-2</v>
      </c>
      <c r="W364">
        <v>7.5109090000000003E-2</v>
      </c>
      <c r="X364">
        <v>0.99507639999999997</v>
      </c>
      <c r="Y364">
        <v>0.1108956</v>
      </c>
      <c r="Z364">
        <v>9.0751899999999997E-4</v>
      </c>
      <c r="AA364">
        <v>0.99383160000000004</v>
      </c>
      <c r="AB364">
        <v>27</v>
      </c>
      <c r="AC364">
        <v>224.80029999999999</v>
      </c>
      <c r="AD364">
        <v>6.1359129999999897</v>
      </c>
      <c r="AE364">
        <v>-30.147099999999899</v>
      </c>
      <c r="AF364">
        <v>25.171474110361501</v>
      </c>
      <c r="AG364">
        <v>6.1359129999999897</v>
      </c>
      <c r="AH364">
        <v>225.24476272225101</v>
      </c>
      <c r="AI364">
        <v>88.449234891431701</v>
      </c>
      <c r="AJ364">
        <v>83.6235581397316</v>
      </c>
      <c r="AK364">
        <v>226.72991790020899</v>
      </c>
      <c r="AL364">
        <v>85.692509672549605</v>
      </c>
      <c r="AM364">
        <v>86.281844065638396</v>
      </c>
      <c r="AN364">
        <v>1.0000000123641</v>
      </c>
    </row>
    <row r="365" spans="1:40" x14ac:dyDescent="0.25">
      <c r="A365" t="str">
        <f>"20190312151229024"</f>
        <v>20190312151229024</v>
      </c>
      <c r="B365" t="str">
        <f>"1552374749020055"</f>
        <v>1552374749020055</v>
      </c>
      <c r="C365" t="s">
        <v>40</v>
      </c>
      <c r="D365">
        <v>3.8443049999999999</v>
      </c>
      <c r="E365">
        <v>0.51825739999999998</v>
      </c>
      <c r="F365" t="s">
        <v>45</v>
      </c>
      <c r="G365">
        <v>-169.69409999999999</v>
      </c>
      <c r="H365">
        <v>7.1832380000000002</v>
      </c>
      <c r="I365">
        <v>337.36340000000001</v>
      </c>
      <c r="J365">
        <v>-394.22089999999997</v>
      </c>
      <c r="K365">
        <v>1.1048849999999999</v>
      </c>
      <c r="L365">
        <v>367.8175</v>
      </c>
      <c r="M365">
        <v>0.99973880000000004</v>
      </c>
      <c r="N365">
        <v>0</v>
      </c>
      <c r="O365">
        <v>-2.2154469999999999E-2</v>
      </c>
      <c r="P365">
        <v>0.99380919999999895</v>
      </c>
      <c r="Q365">
        <v>6.9927890000000006E-2</v>
      </c>
      <c r="R365">
        <v>-8.6333480000000004E-2</v>
      </c>
      <c r="S365">
        <v>2.9779049999999998</v>
      </c>
      <c r="T365">
        <v>8.0531119999999998E-2</v>
      </c>
      <c r="U365">
        <v>-0.40350340000000001</v>
      </c>
      <c r="V365">
        <v>6.431489E-2</v>
      </c>
      <c r="W365">
        <v>7.5500880000000006E-2</v>
      </c>
      <c r="X365">
        <v>0.99506939999999999</v>
      </c>
      <c r="Y365">
        <v>0.11225259999999999</v>
      </c>
      <c r="Z365">
        <v>9.1460200000000004E-4</v>
      </c>
      <c r="AA365">
        <v>0.99367930000000004</v>
      </c>
      <c r="AB365">
        <v>27</v>
      </c>
      <c r="AC365">
        <v>224.52680000000001</v>
      </c>
      <c r="AD365">
        <v>6.0783529999999999</v>
      </c>
      <c r="AE365">
        <v>-30.454099999999901</v>
      </c>
      <c r="AF365">
        <v>25.4539566607666</v>
      </c>
      <c r="AG365">
        <v>6.0783529999999999</v>
      </c>
      <c r="AH365">
        <v>224.98448647253699</v>
      </c>
      <c r="AI365">
        <v>88.462235385573607</v>
      </c>
      <c r="AJ365">
        <v>83.545203020656302</v>
      </c>
      <c r="AK365">
        <v>226.5013674091</v>
      </c>
      <c r="AL365">
        <v>85.669997564747305</v>
      </c>
      <c r="AM365">
        <v>86.301912953294206</v>
      </c>
      <c r="AN365">
        <v>0.99999994938642101</v>
      </c>
    </row>
    <row r="366" spans="1:40" x14ac:dyDescent="0.25">
      <c r="A366" t="str">
        <f>"20190312151229046"</f>
        <v>20190312151229046</v>
      </c>
      <c r="B366" t="str">
        <f>"1552374749039575"</f>
        <v>1552374749039575</v>
      </c>
      <c r="C366" t="s">
        <v>40</v>
      </c>
      <c r="D366">
        <v>3.8070919999999999</v>
      </c>
      <c r="E366">
        <v>0.51799569999999995</v>
      </c>
      <c r="F366" t="s">
        <v>45</v>
      </c>
      <c r="G366">
        <v>-169.69399999999999</v>
      </c>
      <c r="H366">
        <v>7.0181779999999998</v>
      </c>
      <c r="I366">
        <v>337.19839999999999</v>
      </c>
      <c r="J366">
        <v>-393.96449999999999</v>
      </c>
      <c r="K366">
        <v>1.1055870000000001</v>
      </c>
      <c r="L366">
        <v>367.81169999999997</v>
      </c>
      <c r="M366">
        <v>0.99973400000000001</v>
      </c>
      <c r="N366">
        <v>0</v>
      </c>
      <c r="O366">
        <v>-2.228277E-2</v>
      </c>
      <c r="P366">
        <v>0.993838</v>
      </c>
      <c r="Q366">
        <v>6.9728620000000005E-2</v>
      </c>
      <c r="R366">
        <v>-8.6164119999999997E-2</v>
      </c>
      <c r="S366">
        <v>2.977875</v>
      </c>
      <c r="T366">
        <v>7.8427430000000006E-2</v>
      </c>
      <c r="U366">
        <v>-0.4060974</v>
      </c>
      <c r="V366">
        <v>6.4017470000000007E-2</v>
      </c>
      <c r="W366">
        <v>7.5669210000000001E-2</v>
      </c>
      <c r="X366">
        <v>0.99507579999999995</v>
      </c>
      <c r="Y366">
        <v>0.1129777</v>
      </c>
      <c r="Z366">
        <v>8.9681899999999998E-4</v>
      </c>
      <c r="AA366">
        <v>0.99359710000000001</v>
      </c>
      <c r="AB366">
        <v>27</v>
      </c>
      <c r="AC366">
        <v>224.2705</v>
      </c>
      <c r="AD366">
        <v>5.9125909999999999</v>
      </c>
      <c r="AE366">
        <v>-30.613299999999899</v>
      </c>
      <c r="AF366">
        <v>25.590780928641902</v>
      </c>
      <c r="AG366">
        <v>5.9125909999999999</v>
      </c>
      <c r="AH366">
        <v>224.74362564697199</v>
      </c>
      <c r="AI366">
        <v>88.502672302508799</v>
      </c>
      <c r="AJ366">
        <v>83.503906164113104</v>
      </c>
      <c r="AK366">
        <v>226.27316250456499</v>
      </c>
      <c r="AL366">
        <v>85.660325328923193</v>
      </c>
      <c r="AM366">
        <v>86.318990996470006</v>
      </c>
      <c r="AN366">
        <v>0.99999995677643105</v>
      </c>
    </row>
    <row r="367" spans="1:40" x14ac:dyDescent="0.25">
      <c r="A367" t="str">
        <f>"20190312151229069"</f>
        <v>20190312151229069</v>
      </c>
      <c r="B367" t="str">
        <f>"1552374749060071"</f>
        <v>1552374749060071</v>
      </c>
      <c r="C367" t="s">
        <v>40</v>
      </c>
      <c r="D367">
        <v>3.7716530000000001</v>
      </c>
      <c r="E367">
        <v>0.51831510000000003</v>
      </c>
      <c r="F367" t="s">
        <v>45</v>
      </c>
      <c r="G367">
        <v>-168.4023</v>
      </c>
      <c r="H367">
        <v>6.8463640000000003</v>
      </c>
      <c r="I367">
        <v>337.23610000000002</v>
      </c>
      <c r="J367">
        <v>-393.67720000000003</v>
      </c>
      <c r="K367">
        <v>1.1062510000000001</v>
      </c>
      <c r="L367">
        <v>367.80509999999998</v>
      </c>
      <c r="M367">
        <v>0.99972839999999996</v>
      </c>
      <c r="N367">
        <v>0</v>
      </c>
      <c r="O367">
        <v>-2.2424489999999998E-2</v>
      </c>
      <c r="P367">
        <v>0.99383549999999998</v>
      </c>
      <c r="Q367">
        <v>6.9559620000000003E-2</v>
      </c>
      <c r="R367">
        <v>-8.6329520000000007E-2</v>
      </c>
      <c r="S367">
        <v>2.9783019999999998</v>
      </c>
      <c r="T367">
        <v>7.5800779999999998E-2</v>
      </c>
      <c r="U367">
        <v>-0.40371699999999999</v>
      </c>
      <c r="V367">
        <v>6.404174E-2</v>
      </c>
      <c r="W367">
        <v>7.5868900000000003E-2</v>
      </c>
      <c r="X367">
        <v>0.99505909999999997</v>
      </c>
      <c r="Y367">
        <v>0.1120403</v>
      </c>
      <c r="Z367">
        <v>8.5125439999999999E-4</v>
      </c>
      <c r="AA367">
        <v>0.99370329999999996</v>
      </c>
      <c r="AB367">
        <v>27</v>
      </c>
      <c r="AC367">
        <v>225.2749</v>
      </c>
      <c r="AD367">
        <v>5.740113</v>
      </c>
      <c r="AE367">
        <v>-30.5689999999999</v>
      </c>
      <c r="AF367">
        <v>25.493283960184801</v>
      </c>
      <c r="AG367">
        <v>5.740113</v>
      </c>
      <c r="AH367">
        <v>225.759832504054</v>
      </c>
      <c r="AI367">
        <v>88.552719902560398</v>
      </c>
      <c r="AJ367">
        <v>83.557329702429598</v>
      </c>
      <c r="AK367">
        <v>227.26715204046999</v>
      </c>
      <c r="AL367">
        <v>85.648851240628204</v>
      </c>
      <c r="AM367">
        <v>86.317537677418699</v>
      </c>
      <c r="AN367">
        <v>1.0000000234711199</v>
      </c>
    </row>
    <row r="368" spans="1:40" x14ac:dyDescent="0.25">
      <c r="A368" t="str">
        <f>"20190312151229091"</f>
        <v>20190312151229091</v>
      </c>
      <c r="B368" t="str">
        <f>"1552374749079594"</f>
        <v>1552374749079594</v>
      </c>
      <c r="C368" t="s">
        <v>40</v>
      </c>
      <c r="D368">
        <v>4.0156090000000004</v>
      </c>
      <c r="E368">
        <v>0.51824359999999903</v>
      </c>
      <c r="F368" t="s">
        <v>45</v>
      </c>
      <c r="G368">
        <v>-168.4023</v>
      </c>
      <c r="H368">
        <v>6.7281820000000003</v>
      </c>
      <c r="I368">
        <v>337.03250000000003</v>
      </c>
      <c r="J368">
        <v>-393.41030000000001</v>
      </c>
      <c r="K368">
        <v>1.1067769999999999</v>
      </c>
      <c r="L368">
        <v>367.79899999999998</v>
      </c>
      <c r="M368">
        <v>0.99972360000000005</v>
      </c>
      <c r="N368">
        <v>0</v>
      </c>
      <c r="O368">
        <v>-2.2554270000000001E-2</v>
      </c>
      <c r="P368">
        <v>0.99380360000000001</v>
      </c>
      <c r="Q368">
        <v>6.8952739999999998E-2</v>
      </c>
      <c r="R368">
        <v>-8.7181259999999997E-2</v>
      </c>
      <c r="S368">
        <v>2.978027</v>
      </c>
      <c r="T368">
        <v>7.4319360000000001E-2</v>
      </c>
      <c r="U368">
        <v>-0.40679929999999997</v>
      </c>
      <c r="V368">
        <v>6.4764630000000004E-2</v>
      </c>
      <c r="W368">
        <v>7.5571730000000004E-2</v>
      </c>
      <c r="X368">
        <v>0.99503490000000006</v>
      </c>
      <c r="Y368">
        <v>0.1129341</v>
      </c>
      <c r="Z368">
        <v>8.4252100000000005E-4</v>
      </c>
      <c r="AA368">
        <v>0.99360210000000004</v>
      </c>
      <c r="AB368">
        <v>27</v>
      </c>
      <c r="AC368">
        <v>225.00799999999899</v>
      </c>
      <c r="AD368">
        <v>5.6214050000000002</v>
      </c>
      <c r="AE368">
        <v>-30.766500000000001</v>
      </c>
      <c r="AF368">
        <v>25.667943578032801</v>
      </c>
      <c r="AG368">
        <v>5.6214050000000002</v>
      </c>
      <c r="AH368">
        <v>225.50652298199901</v>
      </c>
      <c r="AI368">
        <v>88.581189575624904</v>
      </c>
      <c r="AJ368">
        <v>83.506340631281901</v>
      </c>
      <c r="AK368">
        <v>227.03223433937799</v>
      </c>
      <c r="AL368">
        <v>85.665926738685101</v>
      </c>
      <c r="AM368">
        <v>86.275996797645803</v>
      </c>
      <c r="AN368">
        <v>0.99999999794611905</v>
      </c>
    </row>
    <row r="369" spans="1:40" x14ac:dyDescent="0.25">
      <c r="A369" t="str">
        <f>"20190312151229114"</f>
        <v>20190312151229114</v>
      </c>
      <c r="B369" t="str">
        <f>"1552374749109847"</f>
        <v>1552374749109847</v>
      </c>
      <c r="C369" t="s">
        <v>40</v>
      </c>
      <c r="D369">
        <v>3.696787</v>
      </c>
      <c r="E369">
        <v>0.51840759999999997</v>
      </c>
      <c r="F369" t="s">
        <v>45</v>
      </c>
      <c r="G369">
        <v>-168.4023</v>
      </c>
      <c r="H369">
        <v>6.7582329999999997</v>
      </c>
      <c r="I369">
        <v>336.93650000000002</v>
      </c>
      <c r="J369">
        <v>-393.12599999999998</v>
      </c>
      <c r="K369">
        <v>1.1072550000000001</v>
      </c>
      <c r="L369">
        <v>367.79239999999999</v>
      </c>
      <c r="M369">
        <v>0.99971829999999995</v>
      </c>
      <c r="N369">
        <v>0</v>
      </c>
      <c r="O369">
        <v>-2.2690970000000001E-2</v>
      </c>
      <c r="P369">
        <v>0.99379300000000004</v>
      </c>
      <c r="Q369">
        <v>6.8449479999999993E-2</v>
      </c>
      <c r="R369">
        <v>-8.7695490000000001E-2</v>
      </c>
      <c r="S369">
        <v>2.9776310000000001</v>
      </c>
      <c r="T369">
        <v>7.478833E-2</v>
      </c>
      <c r="U369">
        <v>-0.40841670000000002</v>
      </c>
      <c r="V369">
        <v>6.5142770000000003E-2</v>
      </c>
      <c r="W369">
        <v>7.5365849999999998E-2</v>
      </c>
      <c r="X369">
        <v>0.99502579999999996</v>
      </c>
      <c r="Y369">
        <v>0.1133453</v>
      </c>
      <c r="Z369">
        <v>8.4964149999999902E-4</v>
      </c>
      <c r="AA369">
        <v>0.99355530000000003</v>
      </c>
      <c r="AB369">
        <v>27</v>
      </c>
      <c r="AC369">
        <v>224.72370000000001</v>
      </c>
      <c r="AD369">
        <v>5.6509780000000003</v>
      </c>
      <c r="AE369">
        <v>-30.855899999999899</v>
      </c>
      <c r="AF369">
        <v>25.732662150143</v>
      </c>
      <c r="AG369">
        <v>5.6509780000000003</v>
      </c>
      <c r="AH369">
        <v>225.22622029587501</v>
      </c>
      <c r="AI369">
        <v>88.572023217150502</v>
      </c>
      <c r="AJ369">
        <v>83.482075900471699</v>
      </c>
      <c r="AK369">
        <v>226.761887808458</v>
      </c>
      <c r="AL369">
        <v>85.677756397499394</v>
      </c>
      <c r="AM369">
        <v>86.254281092706094</v>
      </c>
      <c r="AN369">
        <v>0.99999996724756701</v>
      </c>
    </row>
    <row r="370" spans="1:40" x14ac:dyDescent="0.25">
      <c r="A370" t="str">
        <f>"20190312151229136"</f>
        <v>20190312151229136</v>
      </c>
      <c r="B370" t="str">
        <f>"1552374749130343"</f>
        <v>1552374749130343</v>
      </c>
      <c r="C370" t="s">
        <v>40</v>
      </c>
      <c r="D370">
        <v>3.6905839999999999</v>
      </c>
      <c r="E370">
        <v>0.51854500000000003</v>
      </c>
      <c r="F370" t="s">
        <v>46</v>
      </c>
      <c r="G370">
        <v>-244.18950000000001</v>
      </c>
      <c r="H370">
        <v>4.6554339999999996</v>
      </c>
      <c r="I370">
        <v>347.21210000000002</v>
      </c>
      <c r="J370">
        <v>-392.8596</v>
      </c>
      <c r="K370">
        <v>1.107629</v>
      </c>
      <c r="L370">
        <v>367.78620000000001</v>
      </c>
      <c r="M370">
        <v>0.99971359999999998</v>
      </c>
      <c r="N370">
        <v>0</v>
      </c>
      <c r="O370">
        <v>-2.2818140000000001E-2</v>
      </c>
      <c r="P370">
        <v>0.99378310000000003</v>
      </c>
      <c r="Q370">
        <v>6.8189650000000004E-2</v>
      </c>
      <c r="R370">
        <v>-8.8010950000000004E-2</v>
      </c>
      <c r="S370">
        <v>2.977509</v>
      </c>
      <c r="T370">
        <v>7.0935960000000006E-2</v>
      </c>
      <c r="U370">
        <v>-0.41143800000000003</v>
      </c>
      <c r="V370">
        <v>6.5331669999999994E-2</v>
      </c>
      <c r="W370">
        <v>7.5361570000000003E-2</v>
      </c>
      <c r="X370">
        <v>0.99501379999999995</v>
      </c>
      <c r="Y370">
        <v>0.11421630000000001</v>
      </c>
      <c r="Z370">
        <v>8.1317970000000005E-4</v>
      </c>
      <c r="AA370">
        <v>0.99345559999999999</v>
      </c>
      <c r="AB370">
        <v>27</v>
      </c>
      <c r="AC370">
        <v>148.67009999999999</v>
      </c>
      <c r="AD370">
        <v>3.5478049999999901</v>
      </c>
      <c r="AE370">
        <v>-20.574099999999898</v>
      </c>
      <c r="AF370">
        <v>17.1666872027801</v>
      </c>
      <c r="AG370">
        <v>3.5478049999999901</v>
      </c>
      <c r="AH370">
        <v>149.01759734529199</v>
      </c>
      <c r="AI370">
        <v>88.6451192043329</v>
      </c>
      <c r="AJ370">
        <v>83.428547397603893</v>
      </c>
      <c r="AK370">
        <v>150.045081186955</v>
      </c>
      <c r="AL370">
        <v>85.678002584877703</v>
      </c>
      <c r="AM370">
        <v>86.243405195884094</v>
      </c>
      <c r="AN370">
        <v>1.0000000277641401</v>
      </c>
    </row>
    <row r="371" spans="1:40" x14ac:dyDescent="0.25">
      <c r="A371" t="str">
        <f>"20190312151229158"</f>
        <v>20190312151229158</v>
      </c>
      <c r="B371" t="str">
        <f>"1552374749149863"</f>
        <v>1552374749149863</v>
      </c>
      <c r="C371" t="s">
        <v>40</v>
      </c>
      <c r="D371">
        <v>3.6711619999999998</v>
      </c>
      <c r="E371">
        <v>0.51858230000000005</v>
      </c>
      <c r="F371" t="s">
        <v>46</v>
      </c>
      <c r="G371">
        <v>-244.18950000000001</v>
      </c>
      <c r="H371">
        <v>4.4824219999999997</v>
      </c>
      <c r="I371">
        <v>347.1345</v>
      </c>
      <c r="J371">
        <v>-392.59179999999998</v>
      </c>
      <c r="K371">
        <v>1.1079460000000001</v>
      </c>
      <c r="L371">
        <v>367.78</v>
      </c>
      <c r="M371">
        <v>0.99970899999999996</v>
      </c>
      <c r="N371">
        <v>0</v>
      </c>
      <c r="O371">
        <v>-2.2945150000000001E-2</v>
      </c>
      <c r="P371">
        <v>0.99374640000000003</v>
      </c>
      <c r="Q371">
        <v>6.7933569999999999E-2</v>
      </c>
      <c r="R371">
        <v>-8.8619909999999996E-2</v>
      </c>
      <c r="S371">
        <v>2.977509</v>
      </c>
      <c r="T371">
        <v>6.7590590000000006E-2</v>
      </c>
      <c r="U371">
        <v>-0.41360469999999999</v>
      </c>
      <c r="V371">
        <v>6.5814929999999994E-2</v>
      </c>
      <c r="W371">
        <v>7.5343980000000005E-2</v>
      </c>
      <c r="X371">
        <v>0.99498330000000001</v>
      </c>
      <c r="Y371">
        <v>0.1148016</v>
      </c>
      <c r="Z371">
        <v>7.7854550000000002E-4</v>
      </c>
      <c r="AA371">
        <v>0.9933881</v>
      </c>
      <c r="AB371">
        <v>27</v>
      </c>
      <c r="AC371">
        <v>148.402299999999</v>
      </c>
      <c r="AD371">
        <v>3.374476</v>
      </c>
      <c r="AE371">
        <v>-20.645499999999899</v>
      </c>
      <c r="AF371">
        <v>17.226119208676501</v>
      </c>
      <c r="AG371">
        <v>3.374476</v>
      </c>
      <c r="AH371">
        <v>148.761497948781</v>
      </c>
      <c r="AI371">
        <v>88.709159496007103</v>
      </c>
      <c r="AJ371">
        <v>83.394745051753603</v>
      </c>
      <c r="AK371">
        <v>149.79355641425801</v>
      </c>
      <c r="AL371">
        <v>85.679013360560006</v>
      </c>
      <c r="AM371">
        <v>86.215582352344299</v>
      </c>
      <c r="AN371">
        <v>1.0000000438060099</v>
      </c>
    </row>
    <row r="372" spans="1:40" x14ac:dyDescent="0.25">
      <c r="A372" t="str">
        <f>"20190312151229181"</f>
        <v>20190312151229181</v>
      </c>
      <c r="B372" t="str">
        <f>"1552374749170359"</f>
        <v>1552374749170359</v>
      </c>
      <c r="C372" t="s">
        <v>40</v>
      </c>
      <c r="D372">
        <v>3.9969169999999998</v>
      </c>
      <c r="E372">
        <v>0.51871339999999999</v>
      </c>
      <c r="F372" t="s">
        <v>46</v>
      </c>
      <c r="G372">
        <v>-244.0324</v>
      </c>
      <c r="H372">
        <v>4.3558379999999897</v>
      </c>
      <c r="I372">
        <v>347.04079999999999</v>
      </c>
      <c r="J372">
        <v>-392.30599999999998</v>
      </c>
      <c r="K372">
        <v>1.1082350000000001</v>
      </c>
      <c r="L372">
        <v>367.77330000000001</v>
      </c>
      <c r="M372">
        <v>0.99970389999999998</v>
      </c>
      <c r="N372">
        <v>0</v>
      </c>
      <c r="O372">
        <v>-2.3079949999999998E-2</v>
      </c>
      <c r="P372">
        <v>0.99374560000000001</v>
      </c>
      <c r="Q372">
        <v>6.7963079999999995E-2</v>
      </c>
      <c r="R372">
        <v>-8.8604790000000003E-2</v>
      </c>
      <c r="S372">
        <v>2.9773860000000001</v>
      </c>
      <c r="T372">
        <v>6.509471E-2</v>
      </c>
      <c r="U372">
        <v>-0.4156494</v>
      </c>
      <c r="V372">
        <v>6.5665680000000004E-2</v>
      </c>
      <c r="W372">
        <v>7.5611200000000003E-2</v>
      </c>
      <c r="X372">
        <v>0.99497279999999999</v>
      </c>
      <c r="Y372">
        <v>0.1153439</v>
      </c>
      <c r="Z372">
        <v>7.5276819999999997E-4</v>
      </c>
      <c r="AA372">
        <v>0.99332540000000003</v>
      </c>
      <c r="AB372">
        <v>27</v>
      </c>
      <c r="AC372">
        <v>148.27359999999999</v>
      </c>
      <c r="AD372">
        <v>3.2476029999999998</v>
      </c>
      <c r="AE372">
        <v>-20.732500000000002</v>
      </c>
      <c r="AF372">
        <v>17.2965894367819</v>
      </c>
      <c r="AG372">
        <v>3.2476029999999998</v>
      </c>
      <c r="AH372">
        <v>148.64267905024801</v>
      </c>
      <c r="AI372">
        <v>88.756764716417294</v>
      </c>
      <c r="AJ372">
        <v>83.362709787108301</v>
      </c>
      <c r="AK372">
        <v>149.68087709064699</v>
      </c>
      <c r="AL372">
        <v>85.663658594070299</v>
      </c>
      <c r="AM372">
        <v>86.224099775846597</v>
      </c>
      <c r="AN372">
        <v>0.99999995391757002</v>
      </c>
    </row>
    <row r="373" spans="1:40" x14ac:dyDescent="0.25">
      <c r="A373" t="str">
        <f>"20190312151229202"</f>
        <v>20190312151229202</v>
      </c>
      <c r="B373" t="str">
        <f>"1552374749199639"</f>
        <v>1552374749199639</v>
      </c>
      <c r="C373" t="s">
        <v>40</v>
      </c>
      <c r="D373">
        <v>3.673346</v>
      </c>
      <c r="E373">
        <v>0.51894810000000002</v>
      </c>
      <c r="F373" t="s">
        <v>46</v>
      </c>
      <c r="G373">
        <v>-244.0324</v>
      </c>
      <c r="H373">
        <v>4.3574299999999999</v>
      </c>
      <c r="I373">
        <v>347.02910000000003</v>
      </c>
      <c r="J373">
        <v>-392.0428</v>
      </c>
      <c r="K373">
        <v>1.1084560000000001</v>
      </c>
      <c r="L373">
        <v>367.76710000000003</v>
      </c>
      <c r="M373">
        <v>0.99969960000000002</v>
      </c>
      <c r="N373">
        <v>0</v>
      </c>
      <c r="O373">
        <v>-2.320355E-2</v>
      </c>
      <c r="P373">
        <v>0.99378379999999999</v>
      </c>
      <c r="Q373">
        <v>6.7722340000000006E-2</v>
      </c>
      <c r="R373">
        <v>-8.8361770000000006E-2</v>
      </c>
      <c r="S373">
        <v>2.9772639999999999</v>
      </c>
      <c r="T373">
        <v>6.5243839999999997E-2</v>
      </c>
      <c r="U373">
        <v>-0.41653440000000003</v>
      </c>
      <c r="V373">
        <v>6.5298910000000002E-2</v>
      </c>
      <c r="W373">
        <v>7.557411E-2</v>
      </c>
      <c r="X373">
        <v>0.99499979999999999</v>
      </c>
      <c r="Y373">
        <v>0.1155162</v>
      </c>
      <c r="Z373">
        <v>7.5369259999999905E-4</v>
      </c>
      <c r="AA373">
        <v>0.99330529999999995</v>
      </c>
      <c r="AB373">
        <v>27</v>
      </c>
      <c r="AC373">
        <v>148.0104</v>
      </c>
      <c r="AD373">
        <v>3.248974</v>
      </c>
      <c r="AE373">
        <v>-20.738</v>
      </c>
      <c r="AF373">
        <v>17.2897718676974</v>
      </c>
      <c r="AG373">
        <v>3.248974</v>
      </c>
      <c r="AH373">
        <v>148.38163711341599</v>
      </c>
      <c r="AI373">
        <v>88.754075350409394</v>
      </c>
      <c r="AJ373">
        <v>83.353734765527804</v>
      </c>
      <c r="AK373">
        <v>149.42088968998601</v>
      </c>
      <c r="AL373">
        <v>85.6657899833382</v>
      </c>
      <c r="AM373">
        <v>86.245230839002403</v>
      </c>
      <c r="AN373">
        <v>0.99999999787476002</v>
      </c>
    </row>
    <row r="374" spans="1:40" x14ac:dyDescent="0.25">
      <c r="A374" t="str">
        <f>"20190312151229224"</f>
        <v>20190312151229224</v>
      </c>
      <c r="B374" t="str">
        <f>"1552374749220136"</f>
        <v>1552374749220136</v>
      </c>
      <c r="C374" t="s">
        <v>40</v>
      </c>
      <c r="D374">
        <v>3.6312350000000002</v>
      </c>
      <c r="E374">
        <v>0.51884929999999996</v>
      </c>
      <c r="F374" t="s">
        <v>46</v>
      </c>
      <c r="G374">
        <v>-244.18950000000001</v>
      </c>
      <c r="H374">
        <v>4.3884569999999998</v>
      </c>
      <c r="I374">
        <v>347.02300000000002</v>
      </c>
      <c r="J374">
        <v>-391.7731</v>
      </c>
      <c r="K374">
        <v>1.108649</v>
      </c>
      <c r="L374">
        <v>367.76069999999999</v>
      </c>
      <c r="M374">
        <v>0.99969509999999995</v>
      </c>
      <c r="N374">
        <v>0</v>
      </c>
      <c r="O374">
        <v>-2.333023E-2</v>
      </c>
      <c r="P374">
        <v>0.99379450000000003</v>
      </c>
      <c r="Q374">
        <v>6.7754030000000007E-2</v>
      </c>
      <c r="R374">
        <v>-8.8215070000000007E-2</v>
      </c>
      <c r="S374">
        <v>2.977112</v>
      </c>
      <c r="T374">
        <v>6.6046240000000006E-2</v>
      </c>
      <c r="U374">
        <v>-0.41769410000000001</v>
      </c>
      <c r="V374">
        <v>6.5026219999999996E-2</v>
      </c>
      <c r="W374">
        <v>7.5800430000000002E-2</v>
      </c>
      <c r="X374">
        <v>0.99500040000000001</v>
      </c>
      <c r="Y374">
        <v>0.11577610000000001</v>
      </c>
      <c r="Z374">
        <v>7.630534E-4</v>
      </c>
      <c r="AA374">
        <v>0.99327500000000002</v>
      </c>
      <c r="AB374">
        <v>28</v>
      </c>
      <c r="AC374">
        <v>147.58359999999999</v>
      </c>
      <c r="AD374">
        <v>3.2798080000000001</v>
      </c>
      <c r="AE374">
        <v>-20.737699999999901</v>
      </c>
      <c r="AF374">
        <v>17.2804139693535</v>
      </c>
      <c r="AG374">
        <v>3.2798080000000001</v>
      </c>
      <c r="AH374">
        <v>147.95560084620001</v>
      </c>
      <c r="AI374">
        <v>88.738673852698497</v>
      </c>
      <c r="AJ374">
        <v>83.338343927959301</v>
      </c>
      <c r="AK374">
        <v>148.997414974989</v>
      </c>
      <c r="AL374">
        <v>85.652785314757693</v>
      </c>
      <c r="AM374">
        <v>86.260868529494999</v>
      </c>
      <c r="AN374">
        <v>0.99999995523791496</v>
      </c>
    </row>
    <row r="375" spans="1:40" x14ac:dyDescent="0.25">
      <c r="A375" t="str">
        <f>"20190312151229247"</f>
        <v>20190312151229247</v>
      </c>
      <c r="B375" t="str">
        <f>"1552374749239655"</f>
        <v>1552374749239655</v>
      </c>
      <c r="C375" t="s">
        <v>40</v>
      </c>
      <c r="D375">
        <v>3.6973440000000002</v>
      </c>
      <c r="E375">
        <v>0.49694339999999998</v>
      </c>
      <c r="F375" t="s">
        <v>46</v>
      </c>
      <c r="G375">
        <v>-244.18950000000001</v>
      </c>
      <c r="H375">
        <v>4.3973500000000003</v>
      </c>
      <c r="I375">
        <v>347.10809999999998</v>
      </c>
      <c r="J375">
        <v>-391.49329999999998</v>
      </c>
      <c r="K375">
        <v>1.108816</v>
      </c>
      <c r="L375">
        <v>367.75400000000002</v>
      </c>
      <c r="M375">
        <v>0.99969050000000004</v>
      </c>
      <c r="N375">
        <v>0</v>
      </c>
      <c r="O375">
        <v>-2.3462259999999999E-2</v>
      </c>
      <c r="P375">
        <v>0.99382230000000005</v>
      </c>
      <c r="Q375">
        <v>6.7589419999999997E-2</v>
      </c>
      <c r="R375">
        <v>-8.802973E-2</v>
      </c>
      <c r="S375">
        <v>2.9772029999999998</v>
      </c>
      <c r="T375">
        <v>6.6344500000000001E-2</v>
      </c>
      <c r="U375">
        <v>-0.416626</v>
      </c>
      <c r="V375">
        <v>6.4708550000000004E-2</v>
      </c>
      <c r="W375">
        <v>7.5823249999999995E-2</v>
      </c>
      <c r="X375">
        <v>0.9950194</v>
      </c>
      <c r="Y375">
        <v>0.1152912</v>
      </c>
      <c r="Z375">
        <v>7.5819149999999905E-4</v>
      </c>
      <c r="AA375">
        <v>0.99333139999999998</v>
      </c>
      <c r="AB375">
        <v>28</v>
      </c>
      <c r="AC375">
        <v>147.303799999999</v>
      </c>
      <c r="AD375">
        <v>3.2885339999999998</v>
      </c>
      <c r="AE375">
        <v>-20.645900000000001</v>
      </c>
      <c r="AF375">
        <v>17.175622588285901</v>
      </c>
      <c r="AG375">
        <v>3.2885339999999998</v>
      </c>
      <c r="AH375">
        <v>147.675480720698</v>
      </c>
      <c r="AI375">
        <v>88.732849921658001</v>
      </c>
      <c r="AJ375">
        <v>83.365933077342902</v>
      </c>
      <c r="AK375">
        <v>148.70731008680701</v>
      </c>
      <c r="AL375">
        <v>85.651474176823896</v>
      </c>
      <c r="AM375">
        <v>86.279154569382101</v>
      </c>
      <c r="AN375">
        <v>0.999999984030012</v>
      </c>
    </row>
    <row r="376" spans="1:40" x14ac:dyDescent="0.25">
      <c r="A376" t="str">
        <f>"20190312151229269"</f>
        <v>20190312151229269</v>
      </c>
      <c r="B376" t="str">
        <f>"1552374749260151"</f>
        <v>1552374749260151</v>
      </c>
      <c r="C376" t="s">
        <v>40</v>
      </c>
      <c r="D376">
        <v>3.7011949999999998</v>
      </c>
      <c r="E376">
        <v>0.49553629999999999</v>
      </c>
      <c r="F376" t="s">
        <v>41</v>
      </c>
      <c r="G376">
        <v>-390.5702</v>
      </c>
      <c r="H376">
        <v>0.97439770000000003</v>
      </c>
      <c r="I376">
        <v>367.67750000000001</v>
      </c>
      <c r="J376">
        <v>-391.21510000000001</v>
      </c>
      <c r="K376">
        <v>1.108949</v>
      </c>
      <c r="L376">
        <v>367.7473</v>
      </c>
      <c r="M376">
        <v>0.99968590000000002</v>
      </c>
      <c r="N376">
        <v>0</v>
      </c>
      <c r="O376">
        <v>-2.3593639999999999E-2</v>
      </c>
      <c r="P376">
        <v>0.99381200000000003</v>
      </c>
      <c r="Q376">
        <v>6.7479890000000001E-2</v>
      </c>
      <c r="R376">
        <v>-8.8230210000000003E-2</v>
      </c>
      <c r="S376">
        <v>3.026459</v>
      </c>
      <c r="T376">
        <v>-0.4407256</v>
      </c>
      <c r="U376">
        <v>-0.25030520000000001</v>
      </c>
      <c r="V376">
        <v>6.4778370000000002E-2</v>
      </c>
      <c r="W376">
        <v>7.5885530000000007E-2</v>
      </c>
      <c r="X376">
        <v>0.99501010000000001</v>
      </c>
      <c r="Y376">
        <v>5.8521320000000002E-2</v>
      </c>
      <c r="Z376">
        <v>-8.2049079999999995E-4</v>
      </c>
      <c r="AA376">
        <v>0.9982858</v>
      </c>
      <c r="AB376">
        <v>28</v>
      </c>
      <c r="AC376">
        <v>0.64490000000000602</v>
      </c>
      <c r="AD376">
        <v>-0.13455130000000001</v>
      </c>
      <c r="AE376">
        <v>-6.9799999999986498E-2</v>
      </c>
      <c r="AF376">
        <v>5.2313629558889602E-2</v>
      </c>
      <c r="AG376">
        <v>-0.13455130000000001</v>
      </c>
      <c r="AH376">
        <v>0.61970385699500496</v>
      </c>
      <c r="AI376">
        <v>102.20792341910401</v>
      </c>
      <c r="AJ376">
        <v>85.174694363564498</v>
      </c>
      <c r="AK376">
        <v>0.63629681638666202</v>
      </c>
      <c r="AL376">
        <v>85.647895445661007</v>
      </c>
      <c r="AM376">
        <v>86.275116386982205</v>
      </c>
      <c r="AN376">
        <v>0.99999997499262305</v>
      </c>
    </row>
    <row r="377" spans="1:40" x14ac:dyDescent="0.25">
      <c r="A377" t="str">
        <f>"20190312151229291"</f>
        <v>20190312151229291</v>
      </c>
      <c r="B377" t="str">
        <f>"1552374749279674"</f>
        <v>1552374749279674</v>
      </c>
      <c r="C377" t="s">
        <v>40</v>
      </c>
      <c r="D377">
        <v>3.656088</v>
      </c>
      <c r="E377">
        <v>0.49518849999999998</v>
      </c>
      <c r="F377" t="s">
        <v>41</v>
      </c>
      <c r="G377">
        <v>-390.33139999999997</v>
      </c>
      <c r="H377">
        <v>0.95595110000000005</v>
      </c>
      <c r="I377">
        <v>367.67700000000002</v>
      </c>
      <c r="J377">
        <v>-390.94529999999997</v>
      </c>
      <c r="K377">
        <v>1.109064</v>
      </c>
      <c r="L377">
        <v>367.74079999999998</v>
      </c>
      <c r="M377">
        <v>0.9996815</v>
      </c>
      <c r="N377">
        <v>0</v>
      </c>
      <c r="O377">
        <v>-2.3721019999999999E-2</v>
      </c>
      <c r="P377">
        <v>0.99377629999999995</v>
      </c>
      <c r="Q377">
        <v>6.7406469999999996E-2</v>
      </c>
      <c r="R377">
        <v>-8.8685609999999998E-2</v>
      </c>
      <c r="S377">
        <v>3.032959</v>
      </c>
      <c r="T377">
        <v>-0.52514669999999997</v>
      </c>
      <c r="U377">
        <v>-0.24078369999999999</v>
      </c>
      <c r="V377">
        <v>6.5107730000000003E-2</v>
      </c>
      <c r="W377">
        <v>7.5965420000000006E-2</v>
      </c>
      <c r="X377">
        <v>0.99498249999999999</v>
      </c>
      <c r="Y377">
        <v>5.5007830000000001E-2</v>
      </c>
      <c r="Z377">
        <v>-6.5024620000000001E-4</v>
      </c>
      <c r="AA377">
        <v>0.99848570000000003</v>
      </c>
      <c r="AB377">
        <v>28</v>
      </c>
      <c r="AC377">
        <v>0.613900000000001</v>
      </c>
      <c r="AD377">
        <v>-0.1531129</v>
      </c>
      <c r="AE377">
        <v>-6.3800000000014706E-2</v>
      </c>
      <c r="AF377">
        <v>4.63657863410896E-2</v>
      </c>
      <c r="AG377">
        <v>-0.1531129</v>
      </c>
      <c r="AH377">
        <v>0.57957332304549602</v>
      </c>
      <c r="AI377">
        <v>104.753361247763</v>
      </c>
      <c r="AJ377">
        <v>85.426086549625197</v>
      </c>
      <c r="AK377">
        <v>0.60124752230294998</v>
      </c>
      <c r="AL377">
        <v>85.643304806225899</v>
      </c>
      <c r="AM377">
        <v>86.256127709929302</v>
      </c>
      <c r="AN377">
        <v>0.99999996842388905</v>
      </c>
    </row>
    <row r="378" spans="1:40" x14ac:dyDescent="0.25">
      <c r="A378" t="str">
        <f>"20190312151229316"</f>
        <v>20190312151229316</v>
      </c>
      <c r="B378" t="str">
        <f>"1552374749309928"</f>
        <v>1552374749309928</v>
      </c>
      <c r="C378" t="s">
        <v>40</v>
      </c>
      <c r="D378">
        <v>3.700869</v>
      </c>
      <c r="E378">
        <v>0.49472500000000003</v>
      </c>
      <c r="F378" t="s">
        <v>41</v>
      </c>
      <c r="G378">
        <v>-390.08530000000002</v>
      </c>
      <c r="H378">
        <v>0.95187909999999998</v>
      </c>
      <c r="I378">
        <v>367.67239999999998</v>
      </c>
      <c r="J378">
        <v>-390.64150000000001</v>
      </c>
      <c r="K378">
        <v>1.109173</v>
      </c>
      <c r="L378">
        <v>367.73349999999999</v>
      </c>
      <c r="M378">
        <v>0.99967680000000003</v>
      </c>
      <c r="N378">
        <v>0</v>
      </c>
      <c r="O378">
        <v>-2.386452E-2</v>
      </c>
      <c r="P378">
        <v>0.99372559999999999</v>
      </c>
      <c r="Q378">
        <v>6.7820820000000004E-2</v>
      </c>
      <c r="R378">
        <v>-8.8938939999999994E-2</v>
      </c>
      <c r="S378">
        <v>3.035034</v>
      </c>
      <c r="T378">
        <v>-0.55487989999999998</v>
      </c>
      <c r="U378">
        <v>-0.2398682</v>
      </c>
      <c r="V378">
        <v>6.5219449999999998E-2</v>
      </c>
      <c r="W378">
        <v>7.6534060000000001E-2</v>
      </c>
      <c r="X378">
        <v>0.99493160000000003</v>
      </c>
      <c r="Y378">
        <v>5.4469770000000001E-2</v>
      </c>
      <c r="Z378">
        <v>-6.1134669999999896E-4</v>
      </c>
      <c r="AA378">
        <v>0.99851520000000005</v>
      </c>
      <c r="AB378">
        <v>28</v>
      </c>
      <c r="AC378">
        <v>0.55619999999998904</v>
      </c>
      <c r="AD378">
        <v>-0.15729389999999999</v>
      </c>
      <c r="AE378">
        <v>-6.1100000000010299E-2</v>
      </c>
      <c r="AF378">
        <v>4.4307351969839398E-2</v>
      </c>
      <c r="AG378">
        <v>-0.15729389999999999</v>
      </c>
      <c r="AH378">
        <v>0.51667098618921103</v>
      </c>
      <c r="AI378">
        <v>106.873808913872</v>
      </c>
      <c r="AJ378">
        <v>85.098566321128601</v>
      </c>
      <c r="AK378">
        <v>0.54189797968392694</v>
      </c>
      <c r="AL378">
        <v>85.610628985116506</v>
      </c>
      <c r="AM378">
        <v>86.249530508336306</v>
      </c>
      <c r="AN378">
        <v>0.99999996383847201</v>
      </c>
    </row>
    <row r="379" spans="1:40" x14ac:dyDescent="0.25">
      <c r="A379" t="str">
        <f>"20190312151229359"</f>
        <v>20190312151229359</v>
      </c>
      <c r="B379" t="str">
        <f>"1552374749349943"</f>
        <v>1552374749349943</v>
      </c>
      <c r="C379" t="s">
        <v>40</v>
      </c>
      <c r="D379">
        <v>3.740424</v>
      </c>
      <c r="E379">
        <v>0.49418980000000001</v>
      </c>
      <c r="F379" t="s">
        <v>41</v>
      </c>
      <c r="G379">
        <v>-389.8349</v>
      </c>
      <c r="H379">
        <v>0.95586230000000005</v>
      </c>
      <c r="I379">
        <v>367.67009999999999</v>
      </c>
      <c r="J379">
        <v>-390.10399999999998</v>
      </c>
      <c r="K379">
        <v>1.1093170000000001</v>
      </c>
      <c r="L379">
        <v>367.72030000000001</v>
      </c>
      <c r="M379">
        <v>0.99966869999999997</v>
      </c>
      <c r="N379">
        <v>0</v>
      </c>
      <c r="O379">
        <v>-2.4110900000000001E-2</v>
      </c>
      <c r="P379">
        <v>0.99361900000000003</v>
      </c>
      <c r="Q379">
        <v>6.8715899999999996E-2</v>
      </c>
      <c r="R379">
        <v>-8.9440829999999999E-2</v>
      </c>
      <c r="S379">
        <v>3.0370789999999999</v>
      </c>
      <c r="T379">
        <v>-0.57736690000000002</v>
      </c>
      <c r="U379">
        <v>-0.237793</v>
      </c>
      <c r="V379">
        <v>6.5478199999999903E-2</v>
      </c>
      <c r="W379">
        <v>7.7668399999999999E-2</v>
      </c>
      <c r="X379">
        <v>0.99482669999999995</v>
      </c>
      <c r="Y379">
        <v>5.3474210000000001E-2</v>
      </c>
      <c r="Z379">
        <v>-4.9529779999999996E-4</v>
      </c>
      <c r="AA379">
        <v>0.99856909999999999</v>
      </c>
      <c r="AB379">
        <v>28</v>
      </c>
      <c r="AC379">
        <v>0.26910000000003698</v>
      </c>
      <c r="AD379">
        <v>-0.1534547</v>
      </c>
      <c r="AE379">
        <v>-5.0200000000018001E-2</v>
      </c>
      <c r="AF379">
        <v>3.3248520729727303E-2</v>
      </c>
      <c r="AG379">
        <v>-0.1534547</v>
      </c>
      <c r="AH379">
        <v>0.20561688595321601</v>
      </c>
      <c r="AI379">
        <v>126.38070560322799</v>
      </c>
      <c r="AJ379">
        <v>80.8147034006046</v>
      </c>
      <c r="AK379">
        <v>0.25871241344764001</v>
      </c>
      <c r="AL379">
        <v>85.545442063886398</v>
      </c>
      <c r="AM379">
        <v>86.234297817202204</v>
      </c>
      <c r="AN379">
        <v>0.99999996903334398</v>
      </c>
    </row>
    <row r="380" spans="1:40" x14ac:dyDescent="0.25">
      <c r="A380" t="str">
        <f>"20190312151229381"</f>
        <v>20190312151229381</v>
      </c>
      <c r="B380" t="str">
        <f>"1552374749370439"</f>
        <v>1552374749370439</v>
      </c>
      <c r="C380" t="s">
        <v>40</v>
      </c>
      <c r="D380">
        <v>4.124943</v>
      </c>
      <c r="E380">
        <v>0.49382779999999998</v>
      </c>
      <c r="F380" t="s">
        <v>41</v>
      </c>
      <c r="G380">
        <v>-389.33659999999998</v>
      </c>
      <c r="H380">
        <v>0.95725559999999998</v>
      </c>
      <c r="I380">
        <v>367.66070000000002</v>
      </c>
      <c r="J380">
        <v>-389.8295</v>
      </c>
      <c r="K380">
        <v>1.1093770000000001</v>
      </c>
      <c r="L380">
        <v>367.71359999999999</v>
      </c>
      <c r="M380">
        <v>0.99966469999999996</v>
      </c>
      <c r="N380">
        <v>0</v>
      </c>
      <c r="O380">
        <v>-2.4230809999999998E-2</v>
      </c>
      <c r="P380">
        <v>0.99357810000000002</v>
      </c>
      <c r="Q380">
        <v>6.8730009999999994E-2</v>
      </c>
      <c r="R380">
        <v>-8.9881859999999994E-2</v>
      </c>
      <c r="S380">
        <v>3.0397340000000002</v>
      </c>
      <c r="T380">
        <v>-0.60233000000000003</v>
      </c>
      <c r="U380">
        <v>-0.235321</v>
      </c>
      <c r="V380">
        <v>6.5800120000000004E-2</v>
      </c>
      <c r="W380">
        <v>7.7791520000000003E-2</v>
      </c>
      <c r="X380">
        <v>0.99479589999999996</v>
      </c>
      <c r="Y380">
        <v>5.2456530000000001E-2</v>
      </c>
      <c r="Z380">
        <v>-3.9267490000000001E-4</v>
      </c>
      <c r="AA380">
        <v>0.99862309999999999</v>
      </c>
      <c r="AB380">
        <v>28</v>
      </c>
      <c r="AC380">
        <v>0.49290000000001999</v>
      </c>
      <c r="AD380">
        <v>-0.15212139999999899</v>
      </c>
      <c r="AE380">
        <v>-5.2899999999965502E-2</v>
      </c>
      <c r="AF380">
        <v>3.7417213455706401E-2</v>
      </c>
      <c r="AG380">
        <v>-0.15212139999999899</v>
      </c>
      <c r="AH380">
        <v>0.45151980096727201</v>
      </c>
      <c r="AI380">
        <v>108.55992897394501</v>
      </c>
      <c r="AJ380">
        <v>85.262752575519997</v>
      </c>
      <c r="AK380">
        <v>0.47792373750032002</v>
      </c>
      <c r="AL380">
        <v>85.538366669909607</v>
      </c>
      <c r="AM380">
        <v>86.215720787728998</v>
      </c>
      <c r="AN380">
        <v>1.00000002951636</v>
      </c>
    </row>
    <row r="381" spans="1:40" x14ac:dyDescent="0.25">
      <c r="A381" t="str">
        <f>"20190312151229404"</f>
        <v>20190312151229404</v>
      </c>
      <c r="B381" t="str">
        <f>"1552374749399720"</f>
        <v>1552374749399720</v>
      </c>
      <c r="C381" t="s">
        <v>40</v>
      </c>
      <c r="D381">
        <v>3.790232</v>
      </c>
      <c r="E381">
        <v>0.4933767</v>
      </c>
      <c r="F381" t="s">
        <v>41</v>
      </c>
      <c r="G381">
        <v>-389.08600000000001</v>
      </c>
      <c r="H381">
        <v>0.96001820000000004</v>
      </c>
      <c r="I381">
        <v>367.65609999999998</v>
      </c>
      <c r="J381">
        <v>-389.54379999999998</v>
      </c>
      <c r="K381">
        <v>1.1094250000000001</v>
      </c>
      <c r="L381">
        <v>367.70650000000001</v>
      </c>
      <c r="M381">
        <v>0.99966100000000002</v>
      </c>
      <c r="N381">
        <v>0</v>
      </c>
      <c r="O381">
        <v>-2.4348890000000002E-2</v>
      </c>
      <c r="P381">
        <v>0.99359090000000005</v>
      </c>
      <c r="Q381">
        <v>6.8427829999999995E-2</v>
      </c>
      <c r="R381">
        <v>-8.9971860000000001E-2</v>
      </c>
      <c r="S381">
        <v>3.0405579999999999</v>
      </c>
      <c r="T381">
        <v>-0.61094469999999901</v>
      </c>
      <c r="U381">
        <v>-0.2333374</v>
      </c>
      <c r="V381">
        <v>6.5771010000000005E-2</v>
      </c>
      <c r="W381">
        <v>7.7593759999999998E-2</v>
      </c>
      <c r="X381">
        <v>0.99481330000000001</v>
      </c>
      <c r="Y381">
        <v>5.167269E-2</v>
      </c>
      <c r="Z381">
        <v>-2.9677110000000002E-4</v>
      </c>
      <c r="AA381">
        <v>0.998664</v>
      </c>
      <c r="AB381">
        <v>28</v>
      </c>
      <c r="AC381">
        <v>0.45779999999996301</v>
      </c>
      <c r="AD381">
        <v>-0.14940680000000001</v>
      </c>
      <c r="AE381">
        <v>-5.0400000000024599E-2</v>
      </c>
      <c r="AF381">
        <v>3.5501669380757002E-2</v>
      </c>
      <c r="AG381">
        <v>-0.14940680000000001</v>
      </c>
      <c r="AH381">
        <v>0.41519840865155599</v>
      </c>
      <c r="AI381">
        <v>109.724588329593</v>
      </c>
      <c r="AJ381">
        <v>85.112793756365903</v>
      </c>
      <c r="AK381">
        <v>0.44268778948808302</v>
      </c>
      <c r="AL381">
        <v>85.549731969928303</v>
      </c>
      <c r="AM381">
        <v>86.217456061488207</v>
      </c>
      <c r="AN381">
        <v>1.0000000596021199</v>
      </c>
    </row>
    <row r="382" spans="1:40" x14ac:dyDescent="0.25">
      <c r="A382" t="str">
        <f>"20190312151229425"</f>
        <v>20190312151229425</v>
      </c>
      <c r="B382" t="str">
        <f>"1552374749420215"</f>
        <v>1552374749420215</v>
      </c>
      <c r="C382" t="s">
        <v>40</v>
      </c>
      <c r="D382">
        <v>3.8269120000000001</v>
      </c>
      <c r="E382">
        <v>0.49313580000000001</v>
      </c>
      <c r="F382" t="s">
        <v>41</v>
      </c>
      <c r="G382">
        <v>-388.83359999999999</v>
      </c>
      <c r="H382">
        <v>0.96574970000000004</v>
      </c>
      <c r="I382">
        <v>367.6524</v>
      </c>
      <c r="J382">
        <v>-389.27789999999999</v>
      </c>
      <c r="K382">
        <v>1.1094679999999999</v>
      </c>
      <c r="L382">
        <v>367.7</v>
      </c>
      <c r="M382">
        <v>0.99965780000000004</v>
      </c>
      <c r="N382">
        <v>0</v>
      </c>
      <c r="O382">
        <v>-2.444839E-2</v>
      </c>
      <c r="P382">
        <v>0.99353369999999996</v>
      </c>
      <c r="Q382">
        <v>6.8345890000000006E-2</v>
      </c>
      <c r="R382">
        <v>-9.0662350000000003E-2</v>
      </c>
      <c r="S382">
        <v>3.0408629999999999</v>
      </c>
      <c r="T382">
        <v>-0.61520580000000002</v>
      </c>
      <c r="U382">
        <v>-0.23068240000000001</v>
      </c>
      <c r="V382">
        <v>6.6362519999999994E-2</v>
      </c>
      <c r="W382">
        <v>7.7598039999999993E-2</v>
      </c>
      <c r="X382">
        <v>0.99477360000000004</v>
      </c>
      <c r="Y382">
        <v>5.0712559999999997E-2</v>
      </c>
      <c r="Z382">
        <v>-1.828605E-4</v>
      </c>
      <c r="AA382">
        <v>0.99871330000000003</v>
      </c>
      <c r="AB382">
        <v>28</v>
      </c>
      <c r="AC382">
        <v>0.44429999999999797</v>
      </c>
      <c r="AD382">
        <v>-0.14371829999999999</v>
      </c>
      <c r="AE382">
        <v>-4.7599999999988499E-2</v>
      </c>
      <c r="AF382">
        <v>3.3280169269114403E-2</v>
      </c>
      <c r="AG382">
        <v>-0.14371829999999999</v>
      </c>
      <c r="AH382">
        <v>0.40358190674961703</v>
      </c>
      <c r="AI382">
        <v>109.539889653315</v>
      </c>
      <c r="AJ382">
        <v>85.285941564838893</v>
      </c>
      <c r="AK382">
        <v>0.429698586077645</v>
      </c>
      <c r="AL382">
        <v>85.549485636543693</v>
      </c>
      <c r="AM382">
        <v>86.183386071651896</v>
      </c>
      <c r="AN382">
        <v>0.99999997756477499</v>
      </c>
    </row>
    <row r="383" spans="1:40" x14ac:dyDescent="0.25">
      <c r="A383" t="str">
        <f>"20190312151229448"</f>
        <v>20190312151229448</v>
      </c>
      <c r="B383" t="str">
        <f>"1552374749439737"</f>
        <v>1552374749439737</v>
      </c>
      <c r="C383" t="s">
        <v>40</v>
      </c>
      <c r="D383">
        <v>3.8599160000000001</v>
      </c>
      <c r="E383">
        <v>0.49312739999999999</v>
      </c>
      <c r="F383" t="s">
        <v>41</v>
      </c>
      <c r="G383">
        <v>-388.58300000000003</v>
      </c>
      <c r="H383">
        <v>0.96732530000000005</v>
      </c>
      <c r="I383">
        <v>367.64670000000001</v>
      </c>
      <c r="J383">
        <v>-388.98880000000003</v>
      </c>
      <c r="K383">
        <v>1.1095109999999999</v>
      </c>
      <c r="L383">
        <v>367.6927</v>
      </c>
      <c r="M383">
        <v>0.99965470000000001</v>
      </c>
      <c r="N383">
        <v>0</v>
      </c>
      <c r="O383">
        <v>-2.4543100000000002E-2</v>
      </c>
      <c r="P383">
        <v>0.99356990000000001</v>
      </c>
      <c r="Q383">
        <v>6.7806379999999999E-2</v>
      </c>
      <c r="R383">
        <v>-9.0673649999999995E-2</v>
      </c>
      <c r="S383">
        <v>3.041229</v>
      </c>
      <c r="T383">
        <v>-0.62222769999999905</v>
      </c>
      <c r="U383">
        <v>-0.2314148</v>
      </c>
      <c r="V383">
        <v>6.6276829999999995E-2</v>
      </c>
      <c r="W383">
        <v>7.7147339999999995E-2</v>
      </c>
      <c r="X383">
        <v>0.99481439999999999</v>
      </c>
      <c r="Y383">
        <v>5.0835529999999997E-2</v>
      </c>
      <c r="Z383">
        <v>-1.7817500000000001E-4</v>
      </c>
      <c r="AA383">
        <v>0.99870700000000001</v>
      </c>
      <c r="AB383">
        <v>28</v>
      </c>
      <c r="AC383">
        <v>0.40579999999999899</v>
      </c>
      <c r="AD383">
        <v>-0.1421857</v>
      </c>
      <c r="AE383">
        <v>-4.59999999999922E-2</v>
      </c>
      <c r="AF383">
        <v>3.2131424787389999E-2</v>
      </c>
      <c r="AG383">
        <v>-0.1421857</v>
      </c>
      <c r="AH383">
        <v>0.36282796823254099</v>
      </c>
      <c r="AI383">
        <v>111.323394547091</v>
      </c>
      <c r="AJ383">
        <v>84.939186061155596</v>
      </c>
      <c r="AK383">
        <v>0.39101577496964401</v>
      </c>
      <c r="AL383">
        <v>85.575386635090894</v>
      </c>
      <c r="AM383">
        <v>86.188455569643807</v>
      </c>
      <c r="AN383">
        <v>1.0000000103556399</v>
      </c>
    </row>
    <row r="384" spans="1:40" x14ac:dyDescent="0.25">
      <c r="A384" t="str">
        <f>"20190312151229469"</f>
        <v>20190312151229469</v>
      </c>
      <c r="B384" t="str">
        <f>"1552374749460231"</f>
        <v>1552374749460231</v>
      </c>
      <c r="C384" t="s">
        <v>40</v>
      </c>
      <c r="D384">
        <v>3.8159260000000002</v>
      </c>
      <c r="E384">
        <v>0.49309999999999998</v>
      </c>
      <c r="F384" t="s">
        <v>41</v>
      </c>
      <c r="G384">
        <v>-388.10320000000002</v>
      </c>
      <c r="H384">
        <v>0.92516670000000001</v>
      </c>
      <c r="I384">
        <v>367.62479999999999</v>
      </c>
      <c r="J384">
        <v>-388.7133</v>
      </c>
      <c r="K384">
        <v>1.1095459999999999</v>
      </c>
      <c r="L384">
        <v>367.6859</v>
      </c>
      <c r="M384">
        <v>0.99965190000000004</v>
      </c>
      <c r="N384">
        <v>0</v>
      </c>
      <c r="O384">
        <v>-2.4623240000000001E-2</v>
      </c>
      <c r="P384">
        <v>0.99363319999999999</v>
      </c>
      <c r="Q384">
        <v>6.752785E-2</v>
      </c>
      <c r="R384">
        <v>-9.0185870000000001E-2</v>
      </c>
      <c r="S384">
        <v>3.0414729999999999</v>
      </c>
      <c r="T384">
        <v>-0.63321919999999898</v>
      </c>
      <c r="U384">
        <v>-0.23172000000000001</v>
      </c>
      <c r="V384">
        <v>6.570608E-2</v>
      </c>
      <c r="W384">
        <v>7.6949100000000006E-2</v>
      </c>
      <c r="X384">
        <v>0.99486759999999996</v>
      </c>
      <c r="Y384">
        <v>5.0831809999999998E-2</v>
      </c>
      <c r="Z384">
        <v>-1.643836E-4</v>
      </c>
      <c r="AA384">
        <v>0.99870720000000002</v>
      </c>
      <c r="AB384">
        <v>28</v>
      </c>
      <c r="AC384">
        <v>0.61009999999998799</v>
      </c>
      <c r="AD384">
        <v>-0.1843793</v>
      </c>
      <c r="AE384">
        <v>-6.1100000000010299E-2</v>
      </c>
      <c r="AF384">
        <v>4.2238725815940598E-2</v>
      </c>
      <c r="AG384">
        <v>-0.1843793</v>
      </c>
      <c r="AH384">
        <v>0.56071677223857896</v>
      </c>
      <c r="AI384">
        <v>108.15425710234901</v>
      </c>
      <c r="AJ384">
        <v>85.692052261682406</v>
      </c>
      <c r="AK384">
        <v>0.59176273530587797</v>
      </c>
      <c r="AL384">
        <v>85.586778757065304</v>
      </c>
      <c r="AM384">
        <v>86.221385064779</v>
      </c>
      <c r="AN384">
        <v>0.99999999723476796</v>
      </c>
    </row>
    <row r="385" spans="1:40" x14ac:dyDescent="0.25">
      <c r="A385" t="str">
        <f>"20190312151229492"</f>
        <v>20190312151229492</v>
      </c>
      <c r="B385" t="str">
        <f>"1552374749479751"</f>
        <v>1552374749479751</v>
      </c>
      <c r="C385" t="s">
        <v>40</v>
      </c>
      <c r="D385">
        <v>3.854994</v>
      </c>
      <c r="E385">
        <v>0.49302230000000002</v>
      </c>
      <c r="F385" t="s">
        <v>41</v>
      </c>
      <c r="G385">
        <v>-387.85129999999998</v>
      </c>
      <c r="H385">
        <v>0.92767929999999998</v>
      </c>
      <c r="I385">
        <v>367.6207</v>
      </c>
      <c r="J385">
        <v>-388.43849999999998</v>
      </c>
      <c r="K385">
        <v>1.1095710000000001</v>
      </c>
      <c r="L385">
        <v>367.67910000000001</v>
      </c>
      <c r="M385">
        <v>0.99964940000000002</v>
      </c>
      <c r="N385">
        <v>0</v>
      </c>
      <c r="O385">
        <v>-2.4695140000000001E-2</v>
      </c>
      <c r="P385">
        <v>0.99363199999999996</v>
      </c>
      <c r="Q385">
        <v>6.7687780000000003E-2</v>
      </c>
      <c r="R385">
        <v>-9.0076409999999996E-2</v>
      </c>
      <c r="S385">
        <v>3.0420229999999999</v>
      </c>
      <c r="T385">
        <v>-0.64186350000000003</v>
      </c>
      <c r="U385">
        <v>-0.2299805</v>
      </c>
      <c r="V385">
        <v>6.5523890000000001E-2</v>
      </c>
      <c r="W385">
        <v>7.7182520000000004E-2</v>
      </c>
      <c r="X385">
        <v>0.99486149999999995</v>
      </c>
      <c r="Y385">
        <v>5.0179300000000003E-2</v>
      </c>
      <c r="Z385" s="1">
        <v>-8.3568510000000005E-5</v>
      </c>
      <c r="AA385">
        <v>0.99874019999999997</v>
      </c>
      <c r="AB385">
        <v>28</v>
      </c>
      <c r="AC385">
        <v>0.58719999999999495</v>
      </c>
      <c r="AD385">
        <v>-0.18189169999999899</v>
      </c>
      <c r="AE385">
        <v>-5.8400000000005899E-2</v>
      </c>
      <c r="AF385">
        <v>4.0073109050141997E-2</v>
      </c>
      <c r="AG385">
        <v>-0.18189169999999899</v>
      </c>
      <c r="AH385">
        <v>0.53740333305579602</v>
      </c>
      <c r="AI385">
        <v>108.65092465063</v>
      </c>
      <c r="AJ385">
        <v>85.735458954083697</v>
      </c>
      <c r="AK385">
        <v>0.56876426309791395</v>
      </c>
      <c r="AL385">
        <v>85.573364730960705</v>
      </c>
      <c r="AM385">
        <v>86.231809153345694</v>
      </c>
      <c r="AN385">
        <v>0.99999996286826498</v>
      </c>
    </row>
    <row r="386" spans="1:40" x14ac:dyDescent="0.25">
      <c r="A386" t="str">
        <f>"20190312151229516"</f>
        <v>20190312151229516</v>
      </c>
      <c r="B386" t="str">
        <f>"1552374749510008"</f>
        <v>1552374749510008</v>
      </c>
      <c r="C386" t="s">
        <v>40</v>
      </c>
      <c r="D386">
        <v>3.9282520000000001</v>
      </c>
      <c r="E386">
        <v>0.49292730000000001</v>
      </c>
      <c r="F386" t="s">
        <v>41</v>
      </c>
      <c r="G386">
        <v>-387.59879999999998</v>
      </c>
      <c r="H386">
        <v>0.9309077</v>
      </c>
      <c r="I386">
        <v>367.61540000000002</v>
      </c>
      <c r="J386">
        <v>-388.14150000000001</v>
      </c>
      <c r="K386">
        <v>1.1096010000000001</v>
      </c>
      <c r="L386">
        <v>367.67169999999999</v>
      </c>
      <c r="M386">
        <v>0.9996469</v>
      </c>
      <c r="N386">
        <v>0</v>
      </c>
      <c r="O386">
        <v>-2.47654E-2</v>
      </c>
      <c r="P386">
        <v>0.9936796</v>
      </c>
      <c r="Q386">
        <v>6.7340570000000002E-2</v>
      </c>
      <c r="R386">
        <v>-8.9811349999999998E-2</v>
      </c>
      <c r="S386">
        <v>3.0425420000000001</v>
      </c>
      <c r="T386">
        <v>-0.64752699999999996</v>
      </c>
      <c r="U386">
        <v>-0.22937009999999999</v>
      </c>
      <c r="V386">
        <v>6.5186659999999993E-2</v>
      </c>
      <c r="W386">
        <v>7.6908219999999999E-2</v>
      </c>
      <c r="X386">
        <v>0.99490489999999998</v>
      </c>
      <c r="Y386">
        <v>4.989536E-2</v>
      </c>
      <c r="Z386" s="1">
        <v>-3.9673409999999999E-5</v>
      </c>
      <c r="AA386">
        <v>0.99875440000000004</v>
      </c>
      <c r="AB386">
        <v>28</v>
      </c>
      <c r="AC386">
        <v>0.54270000000002405</v>
      </c>
      <c r="AD386">
        <v>-0.1786933</v>
      </c>
      <c r="AE386">
        <v>-5.6299999999964698E-2</v>
      </c>
      <c r="AF386">
        <v>3.8691750556648197E-2</v>
      </c>
      <c r="AG386">
        <v>-0.1786933</v>
      </c>
      <c r="AH386">
        <v>0.491236618544795</v>
      </c>
      <c r="AI386">
        <v>109.93262195254199</v>
      </c>
      <c r="AJ386">
        <v>85.496454065471497</v>
      </c>
      <c r="AK386">
        <v>0.52415814638842695</v>
      </c>
      <c r="AL386">
        <v>85.589127838758102</v>
      </c>
      <c r="AM386">
        <v>86.251310419237498</v>
      </c>
      <c r="AN386">
        <v>0.99999996749476605</v>
      </c>
    </row>
    <row r="387" spans="1:40" x14ac:dyDescent="0.25">
      <c r="A387" t="str">
        <f>"20190312151229549"</f>
        <v>20190312151229549</v>
      </c>
      <c r="B387" t="str">
        <f>"1552374749540263"</f>
        <v>1552374749540263</v>
      </c>
      <c r="C387" t="s">
        <v>40</v>
      </c>
      <c r="D387">
        <v>4.0890190000000004</v>
      </c>
      <c r="E387">
        <v>0.49306559999999999</v>
      </c>
      <c r="F387" t="s">
        <v>41</v>
      </c>
      <c r="G387">
        <v>-387.34320000000002</v>
      </c>
      <c r="H387">
        <v>0.93994529999999998</v>
      </c>
      <c r="I387">
        <v>367.61169999999998</v>
      </c>
      <c r="J387">
        <v>-387.72930000000002</v>
      </c>
      <c r="K387">
        <v>1.1096269999999999</v>
      </c>
      <c r="L387">
        <v>367.66129999999998</v>
      </c>
      <c r="M387">
        <v>0.99964390000000003</v>
      </c>
      <c r="N387">
        <v>0</v>
      </c>
      <c r="O387">
        <v>-2.4854339999999999E-2</v>
      </c>
      <c r="P387">
        <v>0.9937146</v>
      </c>
      <c r="Q387">
        <v>6.7036949999999998E-2</v>
      </c>
      <c r="R387">
        <v>-8.9653730000000001E-2</v>
      </c>
      <c r="S387">
        <v>3.0423580000000001</v>
      </c>
      <c r="T387">
        <v>-0.64658019999999905</v>
      </c>
      <c r="U387">
        <v>-0.22766110000000001</v>
      </c>
      <c r="V387">
        <v>6.4938699999999905E-2</v>
      </c>
      <c r="W387">
        <v>7.6692369999999996E-2</v>
      </c>
      <c r="X387">
        <v>0.99493779999999998</v>
      </c>
      <c r="Y387">
        <v>4.9270469999999997E-2</v>
      </c>
      <c r="Z387" s="1">
        <v>4.4630840000000002E-5</v>
      </c>
      <c r="AA387">
        <v>0.99878549999999999</v>
      </c>
      <c r="AB387">
        <v>28</v>
      </c>
      <c r="AC387">
        <v>0.386099999999998</v>
      </c>
      <c r="AD387">
        <v>-0.16968169999999999</v>
      </c>
      <c r="AE387">
        <v>-4.9599999999998E-2</v>
      </c>
      <c r="AF387">
        <v>3.3603229758978198E-2</v>
      </c>
      <c r="AG387">
        <v>-0.16968169999999999</v>
      </c>
      <c r="AH387">
        <v>0.32538856465974703</v>
      </c>
      <c r="AI387">
        <v>117.416464066983</v>
      </c>
      <c r="AJ387">
        <v>84.103903924772993</v>
      </c>
      <c r="AK387">
        <v>0.36850885250758197</v>
      </c>
      <c r="AL387">
        <v>85.601531867971801</v>
      </c>
      <c r="AM387">
        <v>86.265652568223501</v>
      </c>
      <c r="AN387">
        <v>0.99999999012137297</v>
      </c>
    </row>
    <row r="388" spans="1:40" x14ac:dyDescent="0.25">
      <c r="A388" t="str">
        <f>"20190312151229571"</f>
        <v>20190312151229571</v>
      </c>
      <c r="B388" t="str">
        <f>"1552374749559787"</f>
        <v>1552374749559787</v>
      </c>
      <c r="C388" t="s">
        <v>40</v>
      </c>
      <c r="D388">
        <v>3.8890199999999999</v>
      </c>
      <c r="E388">
        <v>0.4930021</v>
      </c>
      <c r="F388" t="s">
        <v>41</v>
      </c>
      <c r="G388">
        <v>-386.84910000000002</v>
      </c>
      <c r="H388">
        <v>0.92078959999999999</v>
      </c>
      <c r="I388">
        <v>367.59519999999998</v>
      </c>
      <c r="J388">
        <v>-387.44630000000001</v>
      </c>
      <c r="K388">
        <v>1.109642</v>
      </c>
      <c r="L388">
        <v>367.6542</v>
      </c>
      <c r="M388">
        <v>0.99964200000000003</v>
      </c>
      <c r="N388">
        <v>0</v>
      </c>
      <c r="O388">
        <v>-2.491287E-2</v>
      </c>
      <c r="P388">
        <v>0.99368630000000002</v>
      </c>
      <c r="Q388">
        <v>6.7064830000000006E-2</v>
      </c>
      <c r="R388">
        <v>-8.9945140000000007E-2</v>
      </c>
      <c r="S388">
        <v>3.0424500000000001</v>
      </c>
      <c r="T388">
        <v>-0.652815699999999</v>
      </c>
      <c r="U388">
        <v>-0.22778319999999999</v>
      </c>
      <c r="V388">
        <v>6.5172019999999997E-2</v>
      </c>
      <c r="W388">
        <v>7.6772720000000003E-2</v>
      </c>
      <c r="X388">
        <v>0.99491640000000003</v>
      </c>
      <c r="Y388">
        <v>4.9241220000000002E-2</v>
      </c>
      <c r="Z388" s="1">
        <v>6.0542019999999897E-5</v>
      </c>
      <c r="AA388">
        <v>0.99878690000000003</v>
      </c>
      <c r="AB388">
        <v>28</v>
      </c>
      <c r="AC388">
        <v>0.59719999999998596</v>
      </c>
      <c r="AD388">
        <v>-0.188852399999999</v>
      </c>
      <c r="AE388">
        <v>-5.90000000000259E-2</v>
      </c>
      <c r="AF388">
        <v>4.0128864329883898E-2</v>
      </c>
      <c r="AG388">
        <v>-0.188852399999999</v>
      </c>
      <c r="AH388">
        <v>0.54455477222196702</v>
      </c>
      <c r="AI388">
        <v>109.078643448508</v>
      </c>
      <c r="AJ388">
        <v>85.785426343580895</v>
      </c>
      <c r="AK388">
        <v>0.57776764766459898</v>
      </c>
      <c r="AL388">
        <v>85.596914771487306</v>
      </c>
      <c r="AM388">
        <v>86.252193119072402</v>
      </c>
      <c r="AN388">
        <v>1.00000004285801</v>
      </c>
    </row>
    <row r="389" spans="1:40" x14ac:dyDescent="0.25">
      <c r="A389" t="str">
        <f>"20190312151229592"</f>
        <v>20190312151229592</v>
      </c>
      <c r="B389" t="str">
        <f>"1552374749590040"</f>
        <v>1552374749590040</v>
      </c>
      <c r="C389" t="s">
        <v>40</v>
      </c>
      <c r="D389">
        <v>3.8773249999999999</v>
      </c>
      <c r="E389">
        <v>0.49302790000000002</v>
      </c>
      <c r="F389" t="s">
        <v>41</v>
      </c>
      <c r="G389">
        <v>-386.59480000000002</v>
      </c>
      <c r="H389">
        <v>0.92562319999999998</v>
      </c>
      <c r="I389">
        <v>367.59030000000001</v>
      </c>
      <c r="J389">
        <v>-387.17619999999999</v>
      </c>
      <c r="K389">
        <v>1.1096520000000001</v>
      </c>
      <c r="L389">
        <v>367.6474</v>
      </c>
      <c r="M389">
        <v>0.99964010000000003</v>
      </c>
      <c r="N389">
        <v>0</v>
      </c>
      <c r="O389">
        <v>-2.4968270000000001E-2</v>
      </c>
      <c r="P389">
        <v>0.99365809999999999</v>
      </c>
      <c r="Q389">
        <v>6.7113140000000002E-2</v>
      </c>
      <c r="R389">
        <v>-9.0219309999999997E-2</v>
      </c>
      <c r="S389">
        <v>3.0427550000000001</v>
      </c>
      <c r="T389">
        <v>-0.65758419999999995</v>
      </c>
      <c r="U389">
        <v>-0.228241</v>
      </c>
      <c r="V389">
        <v>6.5391759999999993E-2</v>
      </c>
      <c r="W389">
        <v>7.6864950000000001E-2</v>
      </c>
      <c r="X389">
        <v>0.99489479999999997</v>
      </c>
      <c r="Y389">
        <v>4.9319429999999997E-2</v>
      </c>
      <c r="Z389" s="1">
        <v>6.4439139999999994E-5</v>
      </c>
      <c r="AA389">
        <v>0.99878310000000003</v>
      </c>
      <c r="AB389">
        <v>28</v>
      </c>
      <c r="AC389">
        <v>0.58139999999997305</v>
      </c>
      <c r="AD389">
        <v>-0.18402879999999999</v>
      </c>
      <c r="AE389">
        <v>-5.7099999999991199E-2</v>
      </c>
      <c r="AF389">
        <v>3.872243364979E-2</v>
      </c>
      <c r="AG389">
        <v>-0.18402879999999999</v>
      </c>
      <c r="AH389">
        <v>0.53004677408269496</v>
      </c>
      <c r="AI389">
        <v>109.099471483621</v>
      </c>
      <c r="AJ389">
        <v>85.8216939028338</v>
      </c>
      <c r="AK389">
        <v>0.56241942428464697</v>
      </c>
      <c r="AL389">
        <v>85.591614456015193</v>
      </c>
      <c r="AM389">
        <v>86.239511455739006</v>
      </c>
      <c r="AN389">
        <v>0.99999998294071901</v>
      </c>
    </row>
    <row r="390" spans="1:40" x14ac:dyDescent="0.25">
      <c r="A390" t="str">
        <f>"20190312151229615"</f>
        <v>20190312151229615</v>
      </c>
      <c r="B390" t="str">
        <f>"1552374749609560"</f>
        <v>1552374749609560</v>
      </c>
      <c r="C390" t="s">
        <v>40</v>
      </c>
      <c r="D390">
        <v>3.8877480000000002</v>
      </c>
      <c r="E390">
        <v>0.49307030000000002</v>
      </c>
      <c r="F390" t="s">
        <v>41</v>
      </c>
      <c r="G390">
        <v>-386.3415</v>
      </c>
      <c r="H390">
        <v>0.92760279999999995</v>
      </c>
      <c r="I390">
        <v>367.58440000000002</v>
      </c>
      <c r="J390">
        <v>-386.89620000000002</v>
      </c>
      <c r="K390">
        <v>1.1096629999999901</v>
      </c>
      <c r="L390">
        <v>367.6404</v>
      </c>
      <c r="M390">
        <v>0.99963840000000004</v>
      </c>
      <c r="N390">
        <v>0</v>
      </c>
      <c r="O390">
        <v>-2.5025929999999998E-2</v>
      </c>
      <c r="P390">
        <v>0.99367360000000005</v>
      </c>
      <c r="Q390">
        <v>6.6602919999999996E-2</v>
      </c>
      <c r="R390">
        <v>-9.0427499999999994E-2</v>
      </c>
      <c r="S390">
        <v>3.0431520000000001</v>
      </c>
      <c r="T390">
        <v>-0.66376230000000003</v>
      </c>
      <c r="U390">
        <v>-0.2294312</v>
      </c>
      <c r="V390">
        <v>6.5541950000000002E-2</v>
      </c>
      <c r="W390">
        <v>7.6397110000000004E-2</v>
      </c>
      <c r="X390">
        <v>0.99492100000000006</v>
      </c>
      <c r="Y390">
        <v>4.962449E-2</v>
      </c>
      <c r="Z390" s="1">
        <v>4.458334E-5</v>
      </c>
      <c r="AA390">
        <v>0.99876799999999999</v>
      </c>
      <c r="AB390">
        <v>28</v>
      </c>
      <c r="AC390">
        <v>0.55470000000002495</v>
      </c>
      <c r="AD390">
        <v>-0.18206019999999901</v>
      </c>
      <c r="AE390">
        <v>-5.5999999999983098E-2</v>
      </c>
      <c r="AF390">
        <v>3.80430862338575E-2</v>
      </c>
      <c r="AG390">
        <v>-0.18206019999999901</v>
      </c>
      <c r="AH390">
        <v>0.50235763293465896</v>
      </c>
      <c r="AI390">
        <v>109.868679271367</v>
      </c>
      <c r="AJ390">
        <v>85.669308838853794</v>
      </c>
      <c r="AK390">
        <v>0.53568310053794799</v>
      </c>
      <c r="AL390">
        <v>85.618498977699105</v>
      </c>
      <c r="AM390">
        <v>86.230998304667906</v>
      </c>
      <c r="AN390">
        <v>1.0000000309335699</v>
      </c>
    </row>
    <row r="391" spans="1:40" x14ac:dyDescent="0.25">
      <c r="A391" t="str">
        <f>"20190312151229637"</f>
        <v>20190312151229637</v>
      </c>
      <c r="B391" t="str">
        <f>"1552374749630055"</f>
        <v>1552374749630055</v>
      </c>
      <c r="C391" t="s">
        <v>40</v>
      </c>
      <c r="D391">
        <v>3.9252389999999999</v>
      </c>
      <c r="E391">
        <v>0.49306939999999999</v>
      </c>
      <c r="F391" t="s">
        <v>41</v>
      </c>
      <c r="G391">
        <v>-386.08699999999999</v>
      </c>
      <c r="H391">
        <v>0.93161320000000003</v>
      </c>
      <c r="I391">
        <v>367.5788</v>
      </c>
      <c r="J391">
        <v>-386.6087</v>
      </c>
      <c r="K391">
        <v>1.109675</v>
      </c>
      <c r="L391">
        <v>367.63310000000001</v>
      </c>
      <c r="M391">
        <v>0.99963650000000004</v>
      </c>
      <c r="N391">
        <v>0</v>
      </c>
      <c r="O391">
        <v>-2.5085610000000001E-2</v>
      </c>
      <c r="P391">
        <v>0.99363230000000002</v>
      </c>
      <c r="Q391">
        <v>6.7081849999999998E-2</v>
      </c>
      <c r="R391">
        <v>-9.0529020000000002E-2</v>
      </c>
      <c r="S391">
        <v>3.0430600000000001</v>
      </c>
      <c r="T391">
        <v>-0.66965140000000001</v>
      </c>
      <c r="U391">
        <v>-0.2303772</v>
      </c>
      <c r="V391">
        <v>6.5585210000000005E-2</v>
      </c>
      <c r="W391">
        <v>7.6913930000000005E-2</v>
      </c>
      <c r="X391">
        <v>0.99487829999999999</v>
      </c>
      <c r="Y391">
        <v>4.9861490000000001E-2</v>
      </c>
      <c r="Z391" s="1">
        <v>3.2185579999999998E-5</v>
      </c>
      <c r="AA391">
        <v>0.99875619999999998</v>
      </c>
      <c r="AB391">
        <v>28</v>
      </c>
      <c r="AC391">
        <v>0.52170000000000905</v>
      </c>
      <c r="AD391">
        <v>-0.17806179999999999</v>
      </c>
      <c r="AE391">
        <v>-5.4300000000011998E-2</v>
      </c>
      <c r="AF391">
        <v>3.6938185243564001E-2</v>
      </c>
      <c r="AG391">
        <v>-0.17806179999999999</v>
      </c>
      <c r="AH391">
        <v>0.46886400943355899</v>
      </c>
      <c r="AI391">
        <v>110.736650925086</v>
      </c>
      <c r="AJ391">
        <v>85.495410782132197</v>
      </c>
      <c r="AK391">
        <v>0.50289550951508799</v>
      </c>
      <c r="AL391">
        <v>85.588799860882801</v>
      </c>
      <c r="AM391">
        <v>86.228356403717299</v>
      </c>
      <c r="AN391">
        <v>1.0000000021048301</v>
      </c>
    </row>
    <row r="392" spans="1:40" x14ac:dyDescent="0.25">
      <c r="A392" t="str">
        <f>"20190312151229660"</f>
        <v>20190312151229660</v>
      </c>
      <c r="B392" t="str">
        <f>"1552374749649576"</f>
        <v>1552374749649576</v>
      </c>
      <c r="C392" t="s">
        <v>40</v>
      </c>
      <c r="D392">
        <v>3.854949</v>
      </c>
      <c r="E392">
        <v>0.48761169999999998</v>
      </c>
      <c r="F392" t="s">
        <v>41</v>
      </c>
      <c r="G392">
        <v>-385.83089999999999</v>
      </c>
      <c r="H392">
        <v>0.93830840000000004</v>
      </c>
      <c r="I392">
        <v>367.57389999999998</v>
      </c>
      <c r="J392">
        <v>-386.32010000000002</v>
      </c>
      <c r="K392">
        <v>1.109683</v>
      </c>
      <c r="L392">
        <v>367.62580000000003</v>
      </c>
      <c r="M392">
        <v>0.99963469999999999</v>
      </c>
      <c r="N392">
        <v>0</v>
      </c>
      <c r="O392">
        <v>-2.5145870000000001E-2</v>
      </c>
      <c r="P392">
        <v>0.99358279999999999</v>
      </c>
      <c r="Q392">
        <v>6.7531770000000005E-2</v>
      </c>
      <c r="R392">
        <v>-9.0736109999999995E-2</v>
      </c>
      <c r="S392">
        <v>3.0434570000000001</v>
      </c>
      <c r="T392">
        <v>-0.6706394</v>
      </c>
      <c r="U392">
        <v>-0.2311096</v>
      </c>
      <c r="V392">
        <v>6.5733410000000006E-2</v>
      </c>
      <c r="W392">
        <v>7.7400269999999993E-2</v>
      </c>
      <c r="X392">
        <v>0.99483080000000002</v>
      </c>
      <c r="Y392">
        <v>5.0026399999999999E-2</v>
      </c>
      <c r="Z392" s="1">
        <v>2.7392530000000001E-5</v>
      </c>
      <c r="AA392">
        <v>0.99874790000000002</v>
      </c>
      <c r="AB392">
        <v>28</v>
      </c>
      <c r="AC392">
        <v>0.48920000000003899</v>
      </c>
      <c r="AD392">
        <v>-0.17137459999999899</v>
      </c>
      <c r="AE392">
        <v>-5.1900000000046E-2</v>
      </c>
      <c r="AF392">
        <v>3.5298018330306297E-2</v>
      </c>
      <c r="AG392">
        <v>-0.17137459999999899</v>
      </c>
      <c r="AH392">
        <v>0.437283688783416</v>
      </c>
      <c r="AI392">
        <v>111.337432622648</v>
      </c>
      <c r="AJ392">
        <v>85.385028119983204</v>
      </c>
      <c r="AK392">
        <v>0.47099068791138299</v>
      </c>
      <c r="AL392">
        <v>85.560851313850904</v>
      </c>
      <c r="AM392">
        <v>86.219678503400701</v>
      </c>
      <c r="AN392">
        <v>1.00000000180747</v>
      </c>
    </row>
    <row r="393" spans="1:40" x14ac:dyDescent="0.25">
      <c r="A393" t="str">
        <f>"20190312151229682"</f>
        <v>20190312151229682</v>
      </c>
      <c r="B393" t="str">
        <f>"1552374749679831"</f>
        <v>1552374749679831</v>
      </c>
      <c r="C393" t="s">
        <v>40</v>
      </c>
      <c r="D393">
        <v>3.9258709999999999</v>
      </c>
      <c r="E393">
        <v>0.48701539999999999</v>
      </c>
      <c r="F393" t="s">
        <v>41</v>
      </c>
      <c r="G393">
        <v>-385.54199999999997</v>
      </c>
      <c r="H393">
        <v>1.011104</v>
      </c>
      <c r="I393">
        <v>367.57830000000001</v>
      </c>
      <c r="J393">
        <v>-386.03949999999998</v>
      </c>
      <c r="K393">
        <v>1.1096950000000001</v>
      </c>
      <c r="L393">
        <v>367.61869999999999</v>
      </c>
      <c r="M393">
        <v>0.99963279999999999</v>
      </c>
      <c r="N393">
        <v>0</v>
      </c>
      <c r="O393">
        <v>-2.5204580000000001E-2</v>
      </c>
      <c r="P393">
        <v>0.99358900000000006</v>
      </c>
      <c r="Q393">
        <v>6.7832950000000003E-2</v>
      </c>
      <c r="R393">
        <v>-9.0441640000000004E-2</v>
      </c>
      <c r="S393">
        <v>3.0286559999999998</v>
      </c>
      <c r="T393">
        <v>-0.38393579999999999</v>
      </c>
      <c r="U393">
        <v>-0.1833496</v>
      </c>
      <c r="V393">
        <v>6.5380579999999994E-2</v>
      </c>
      <c r="W393">
        <v>7.7737810000000004E-2</v>
      </c>
      <c r="X393">
        <v>0.99482769999999998</v>
      </c>
      <c r="Y393">
        <v>3.5169230000000003E-2</v>
      </c>
      <c r="Z393">
        <v>9.6054650000000001E-4</v>
      </c>
      <c r="AA393">
        <v>0.99938090000000002</v>
      </c>
      <c r="AB393">
        <v>28</v>
      </c>
      <c r="AC393">
        <v>0.497500000000002</v>
      </c>
      <c r="AD393">
        <v>-9.8591000000000095E-2</v>
      </c>
      <c r="AE393">
        <v>-4.0399999999976899E-2</v>
      </c>
      <c r="AF393">
        <v>2.6801595321076399E-2</v>
      </c>
      <c r="AG393">
        <v>-9.8591000000000095E-2</v>
      </c>
      <c r="AH393">
        <v>0.47964673694092103</v>
      </c>
      <c r="AI393">
        <v>101.59771982992</v>
      </c>
      <c r="AJ393">
        <v>86.801764858218505</v>
      </c>
      <c r="AK393">
        <v>0.49040748674018803</v>
      </c>
      <c r="AL393">
        <v>85.541453107645196</v>
      </c>
      <c r="AM393">
        <v>86.239899670522107</v>
      </c>
      <c r="AN393">
        <v>0.99999997001601004</v>
      </c>
    </row>
    <row r="394" spans="1:40" x14ac:dyDescent="0.25">
      <c r="A394" t="str">
        <f>"20190312151229704"</f>
        <v>20190312151229704</v>
      </c>
      <c r="B394" t="str">
        <f>"1552374749700328"</f>
        <v>1552374749700328</v>
      </c>
      <c r="C394" t="s">
        <v>40</v>
      </c>
      <c r="D394">
        <v>3.9903430000000002</v>
      </c>
      <c r="E394">
        <v>0.48694310000000002</v>
      </c>
      <c r="F394" t="s">
        <v>42</v>
      </c>
      <c r="G394">
        <v>-364.50360000000001</v>
      </c>
      <c r="H394" s="1">
        <v>-2.9153810000000002E-6</v>
      </c>
      <c r="I394">
        <v>366.37400000000002</v>
      </c>
      <c r="J394">
        <v>-385.76609999999999</v>
      </c>
      <c r="K394">
        <v>1.109699</v>
      </c>
      <c r="L394">
        <v>367.61169999999998</v>
      </c>
      <c r="M394">
        <v>0.99963089999999999</v>
      </c>
      <c r="N394">
        <v>0</v>
      </c>
      <c r="O394">
        <v>-2.526161E-2</v>
      </c>
      <c r="P394">
        <v>0.99359969999999997</v>
      </c>
      <c r="Q394">
        <v>6.7537799999999995E-2</v>
      </c>
      <c r="R394">
        <v>-9.0545260000000002E-2</v>
      </c>
      <c r="S394">
        <v>3.0140690000000001</v>
      </c>
      <c r="T394">
        <v>-0.15530769999999999</v>
      </c>
      <c r="U394">
        <v>-0.1741943</v>
      </c>
      <c r="V394">
        <v>6.5427089999999993E-2</v>
      </c>
      <c r="W394">
        <v>7.7478240000000004E-2</v>
      </c>
      <c r="X394">
        <v>0.99484490000000003</v>
      </c>
      <c r="Y394">
        <v>3.2448770000000002E-2</v>
      </c>
      <c r="Z394">
        <v>4.6469490000000002E-4</v>
      </c>
      <c r="AA394">
        <v>0.99947330000000001</v>
      </c>
      <c r="AB394">
        <v>28</v>
      </c>
      <c r="AC394">
        <v>21.2624999999999</v>
      </c>
      <c r="AD394">
        <v>-1.1097019153809999</v>
      </c>
      <c r="AE394">
        <v>-1.2376999999999601</v>
      </c>
      <c r="AF394">
        <v>0.69825763125707296</v>
      </c>
      <c r="AG394">
        <v>-1.1097019153809999</v>
      </c>
      <c r="AH394">
        <v>21.229351373948401</v>
      </c>
      <c r="AI394">
        <v>92.9906307685808</v>
      </c>
      <c r="AJ394">
        <v>88.116155459913799</v>
      </c>
      <c r="AK394">
        <v>21.269799289583698</v>
      </c>
      <c r="AL394">
        <v>85.556370402243104</v>
      </c>
      <c r="AM394">
        <v>86.237297385079302</v>
      </c>
      <c r="AN394">
        <v>0.99999997841768695</v>
      </c>
    </row>
    <row r="395" spans="1:40" x14ac:dyDescent="0.25">
      <c r="A395" t="str">
        <f>"20190312151229728"</f>
        <v>20190312151229728</v>
      </c>
      <c r="B395" t="str">
        <f>"1552374749719847"</f>
        <v>1552374749719847</v>
      </c>
      <c r="C395" t="s">
        <v>40</v>
      </c>
      <c r="D395">
        <v>3.9867520000000001</v>
      </c>
      <c r="E395">
        <v>0.48708829999999997</v>
      </c>
      <c r="F395" t="s">
        <v>42</v>
      </c>
      <c r="G395">
        <v>-356.44240000000002</v>
      </c>
      <c r="H395" s="1">
        <v>-2.1783040000000001E-6</v>
      </c>
      <c r="I395">
        <v>365.9273</v>
      </c>
      <c r="J395">
        <v>-385.46449999999999</v>
      </c>
      <c r="K395">
        <v>1.1097090000000001</v>
      </c>
      <c r="L395">
        <v>367.60399999999998</v>
      </c>
      <c r="M395">
        <v>0.99962879999999998</v>
      </c>
      <c r="N395">
        <v>0</v>
      </c>
      <c r="O395">
        <v>-2.5324869999999999E-2</v>
      </c>
      <c r="P395">
        <v>0.99363820000000003</v>
      </c>
      <c r="Q395">
        <v>6.7269860000000001E-2</v>
      </c>
      <c r="R395">
        <v>-9.0323340000000002E-2</v>
      </c>
      <c r="S395">
        <v>3.0112920000000001</v>
      </c>
      <c r="T395">
        <v>-0.1139565</v>
      </c>
      <c r="U395">
        <v>-0.17297360000000001</v>
      </c>
      <c r="V395">
        <v>6.5140879999999998E-2</v>
      </c>
      <c r="W395">
        <v>7.7251479999999997E-2</v>
      </c>
      <c r="X395">
        <v>0.99488129999999997</v>
      </c>
      <c r="Y395">
        <v>3.2039480000000002E-2</v>
      </c>
      <c r="Z395">
        <v>3.515166E-4</v>
      </c>
      <c r="AA395">
        <v>0.9994866</v>
      </c>
      <c r="AB395">
        <v>28</v>
      </c>
      <c r="AC395">
        <v>29.022099999999899</v>
      </c>
      <c r="AD395">
        <v>-1.1097111783039999</v>
      </c>
      <c r="AE395">
        <v>-1.6767000000000301</v>
      </c>
      <c r="AF395">
        <v>0.93977476047266295</v>
      </c>
      <c r="AG395">
        <v>-1.1097111783039999</v>
      </c>
      <c r="AH395">
        <v>29.012977955666798</v>
      </c>
      <c r="AI395">
        <v>92.189279147803404</v>
      </c>
      <c r="AJ395">
        <v>88.144750678176194</v>
      </c>
      <c r="AK395">
        <v>29.049398020538799</v>
      </c>
      <c r="AL395">
        <v>85.5694017834129</v>
      </c>
      <c r="AM395">
        <v>86.253846982190495</v>
      </c>
      <c r="AN395">
        <v>0.999999963249526</v>
      </c>
    </row>
    <row r="396" spans="1:40" x14ac:dyDescent="0.25">
      <c r="A396" t="str">
        <f>"20190312151229752"</f>
        <v>20190312151229752</v>
      </c>
      <c r="B396" t="str">
        <f>"1552374749740345"</f>
        <v>1552374749740345</v>
      </c>
      <c r="C396" t="s">
        <v>40</v>
      </c>
      <c r="D396">
        <v>3.9847920000000001</v>
      </c>
      <c r="E396">
        <v>0.48710360000000003</v>
      </c>
      <c r="F396" t="s">
        <v>42</v>
      </c>
      <c r="G396">
        <v>-347.24919999999997</v>
      </c>
      <c r="H396" s="1">
        <v>-2.1613759999999999E-6</v>
      </c>
      <c r="I396">
        <v>365.404</v>
      </c>
      <c r="J396">
        <v>-385.16739999999999</v>
      </c>
      <c r="K396">
        <v>1.109718</v>
      </c>
      <c r="L396">
        <v>367.59640000000002</v>
      </c>
      <c r="M396">
        <v>0.99962709999999999</v>
      </c>
      <c r="N396">
        <v>0</v>
      </c>
      <c r="O396">
        <v>-2.538671E-2</v>
      </c>
      <c r="P396">
        <v>0.9935581</v>
      </c>
      <c r="Q396">
        <v>6.7716289999999998E-2</v>
      </c>
      <c r="R396">
        <v>-9.0868909999999997E-2</v>
      </c>
      <c r="S396">
        <v>3.009369</v>
      </c>
      <c r="T396">
        <v>-8.7387199999999998E-2</v>
      </c>
      <c r="U396">
        <v>-0.17324829999999999</v>
      </c>
      <c r="V396">
        <v>6.5626809999999994E-2</v>
      </c>
      <c r="W396">
        <v>7.7739219999999998E-2</v>
      </c>
      <c r="X396">
        <v>0.99481140000000001</v>
      </c>
      <c r="Y396">
        <v>3.2107110000000001E-2</v>
      </c>
      <c r="Z396">
        <v>2.7058220000000002E-4</v>
      </c>
      <c r="AA396">
        <v>0.99948440000000005</v>
      </c>
      <c r="AB396">
        <v>28</v>
      </c>
      <c r="AC396">
        <v>37.918199999999999</v>
      </c>
      <c r="AD396">
        <v>-1.1097201613759999</v>
      </c>
      <c r="AE396">
        <v>-2.1924000000000201</v>
      </c>
      <c r="AF396">
        <v>1.22797801359471</v>
      </c>
      <c r="AG396">
        <v>-1.1097201613759999</v>
      </c>
      <c r="AH396">
        <v>37.929260097068997</v>
      </c>
      <c r="AI396">
        <v>91.674983391918801</v>
      </c>
      <c r="AJ396">
        <v>88.145669322971798</v>
      </c>
      <c r="AK396">
        <v>37.965355000968302</v>
      </c>
      <c r="AL396">
        <v>85.541372178250995</v>
      </c>
      <c r="AM396">
        <v>86.225717936106193</v>
      </c>
      <c r="AN396">
        <v>0.99999999304347198</v>
      </c>
    </row>
    <row r="397" spans="1:40" x14ac:dyDescent="0.25">
      <c r="A397" t="str">
        <f>"20190312151229772"</f>
        <v>20190312151229772</v>
      </c>
      <c r="B397" t="str">
        <f>"1552374749759864"</f>
        <v>1552374749759864</v>
      </c>
      <c r="C397" t="s">
        <v>40</v>
      </c>
      <c r="D397">
        <v>3.9834689999999999</v>
      </c>
      <c r="E397">
        <v>0.48695139999999998</v>
      </c>
      <c r="F397" t="s">
        <v>42</v>
      </c>
      <c r="G397">
        <v>-339.55900000000003</v>
      </c>
      <c r="H397" s="1">
        <v>-1.378498E-6</v>
      </c>
      <c r="I397">
        <v>364.94729999999998</v>
      </c>
      <c r="J397">
        <v>-384.89890000000003</v>
      </c>
      <c r="K397">
        <v>1.109728</v>
      </c>
      <c r="L397">
        <v>367.58949999999999</v>
      </c>
      <c r="M397">
        <v>0.99962510000000004</v>
      </c>
      <c r="N397">
        <v>0</v>
      </c>
      <c r="O397">
        <v>-2.5441729999999999E-2</v>
      </c>
      <c r="P397">
        <v>0.99352439999999997</v>
      </c>
      <c r="Q397">
        <v>6.7941349999999998E-2</v>
      </c>
      <c r="R397">
        <v>-9.1067599999999999E-2</v>
      </c>
      <c r="S397">
        <v>3.0084840000000002</v>
      </c>
      <c r="T397">
        <v>-7.3200699999999994E-2</v>
      </c>
      <c r="U397">
        <v>-0.1747437</v>
      </c>
      <c r="V397">
        <v>6.5771479999999993E-2</v>
      </c>
      <c r="W397">
        <v>7.8000689999999998E-2</v>
      </c>
      <c r="X397">
        <v>0.99478140000000004</v>
      </c>
      <c r="Y397">
        <v>3.2564799999999998E-2</v>
      </c>
      <c r="Z397">
        <v>2.2250650000000001E-4</v>
      </c>
      <c r="AA397">
        <v>0.99946959999999996</v>
      </c>
      <c r="AB397">
        <v>28</v>
      </c>
      <c r="AC397">
        <v>45.3399</v>
      </c>
      <c r="AD397">
        <v>-1.109729378498</v>
      </c>
      <c r="AE397">
        <v>-2.6421999999999999</v>
      </c>
      <c r="AF397">
        <v>1.4868723872980001</v>
      </c>
      <c r="AG397">
        <v>-1.109729378498</v>
      </c>
      <c r="AH397">
        <v>45.3653630952222</v>
      </c>
      <c r="AI397">
        <v>91.400540501319597</v>
      </c>
      <c r="AJ397">
        <v>88.122774268372098</v>
      </c>
      <c r="AK397">
        <v>45.403286858452901</v>
      </c>
      <c r="AL397">
        <v>85.526345518465902</v>
      </c>
      <c r="AM397">
        <v>86.217308165018494</v>
      </c>
      <c r="AN397">
        <v>1.0000000145039101</v>
      </c>
    </row>
    <row r="398" spans="1:40" x14ac:dyDescent="0.25">
      <c r="A398" t="str">
        <f>"20190312151229796"</f>
        <v>20190312151229796</v>
      </c>
      <c r="B398" t="str">
        <f>"1552374749790120"</f>
        <v>1552374749790120</v>
      </c>
      <c r="C398" t="s">
        <v>40</v>
      </c>
      <c r="D398">
        <v>3.9647039999999998</v>
      </c>
      <c r="E398">
        <v>0.48687720000000001</v>
      </c>
      <c r="F398" t="s">
        <v>42</v>
      </c>
      <c r="G398">
        <v>-332.10019999999997</v>
      </c>
      <c r="H398" s="1">
        <v>-4.2726569999999996E-6</v>
      </c>
      <c r="I398">
        <v>364.53500000000003</v>
      </c>
      <c r="J398">
        <v>-384.59410000000003</v>
      </c>
      <c r="K398">
        <v>1.1097379999999999</v>
      </c>
      <c r="L398">
        <v>367.58179999999999</v>
      </c>
      <c r="M398">
        <v>0.99962320000000005</v>
      </c>
      <c r="N398">
        <v>0</v>
      </c>
      <c r="O398">
        <v>-2.5501880000000001E-2</v>
      </c>
      <c r="P398">
        <v>0.9934984</v>
      </c>
      <c r="Q398">
        <v>6.7987080000000005E-2</v>
      </c>
      <c r="R398">
        <v>-9.1318120000000003E-2</v>
      </c>
      <c r="S398">
        <v>3.0079039999999999</v>
      </c>
      <c r="T398">
        <v>-6.3220620000000005E-2</v>
      </c>
      <c r="U398">
        <v>-0.1740112</v>
      </c>
      <c r="V398">
        <v>6.5962610000000005E-2</v>
      </c>
      <c r="W398">
        <v>7.8086260000000005E-2</v>
      </c>
      <c r="X398">
        <v>0.99476200000000004</v>
      </c>
      <c r="Y398">
        <v>3.2273860000000001E-2</v>
      </c>
      <c r="Z398">
        <v>1.965333E-4</v>
      </c>
      <c r="AA398">
        <v>0.99947909999999995</v>
      </c>
      <c r="AB398">
        <v>28</v>
      </c>
      <c r="AC398">
        <v>52.493899999999996</v>
      </c>
      <c r="AD398">
        <v>-1.1097422726570001</v>
      </c>
      <c r="AE398">
        <v>-3.0467999999999602</v>
      </c>
      <c r="AF398">
        <v>1.7062868303323999</v>
      </c>
      <c r="AG398">
        <v>-1.1097422726570001</v>
      </c>
      <c r="AH398">
        <v>52.531130784800801</v>
      </c>
      <c r="AI398">
        <v>91.209579750731606</v>
      </c>
      <c r="AJ398">
        <v>88.139604595026498</v>
      </c>
      <c r="AK398">
        <v>52.570549209504499</v>
      </c>
      <c r="AL398">
        <v>85.521427579064095</v>
      </c>
      <c r="AM398">
        <v>86.206274057280993</v>
      </c>
      <c r="AN398">
        <v>0.99999998328139905</v>
      </c>
    </row>
    <row r="399" spans="1:40" x14ac:dyDescent="0.25">
      <c r="A399" t="str">
        <f>"20190312151229817"</f>
        <v>20190312151229817</v>
      </c>
      <c r="B399" t="str">
        <f>"1552374749809640"</f>
        <v>1552374749809640</v>
      </c>
      <c r="C399" t="s">
        <v>40</v>
      </c>
      <c r="D399">
        <v>3.9861209999999998</v>
      </c>
      <c r="E399">
        <v>0.48687170000000002</v>
      </c>
      <c r="F399" t="s">
        <v>42</v>
      </c>
      <c r="G399">
        <v>-323.17250000000001</v>
      </c>
      <c r="H399" s="1">
        <v>-3.9025199999999899E-6</v>
      </c>
      <c r="I399">
        <v>364.02839999999998</v>
      </c>
      <c r="J399">
        <v>-384.32850000000002</v>
      </c>
      <c r="K399">
        <v>1.109742</v>
      </c>
      <c r="L399">
        <v>367.57490000000001</v>
      </c>
      <c r="M399">
        <v>0.99962169999999895</v>
      </c>
      <c r="N399">
        <v>0</v>
      </c>
      <c r="O399">
        <v>-2.5551979999999998E-2</v>
      </c>
      <c r="P399">
        <v>0.99346440000000003</v>
      </c>
      <c r="Q399">
        <v>6.7879190000000006E-2</v>
      </c>
      <c r="R399">
        <v>-9.1769130000000004E-2</v>
      </c>
      <c r="S399">
        <v>3.0074160000000001</v>
      </c>
      <c r="T399">
        <v>-5.4336790000000003E-2</v>
      </c>
      <c r="U399">
        <v>-0.17398069999999999</v>
      </c>
      <c r="V399">
        <v>6.6363870000000005E-2</v>
      </c>
      <c r="W399">
        <v>7.8012109999999996E-2</v>
      </c>
      <c r="X399">
        <v>0.99474110000000004</v>
      </c>
      <c r="Y399">
        <v>3.2223410000000001E-2</v>
      </c>
      <c r="Z399">
        <v>1.703079E-4</v>
      </c>
      <c r="AA399">
        <v>0.9994807</v>
      </c>
      <c r="AB399">
        <v>28</v>
      </c>
      <c r="AC399">
        <v>61.155999999999999</v>
      </c>
      <c r="AD399">
        <v>-1.10974590252</v>
      </c>
      <c r="AE399">
        <v>-3.5465000000000302</v>
      </c>
      <c r="AF399">
        <v>1.9819536895997201</v>
      </c>
      <c r="AG399">
        <v>-1.10974590252</v>
      </c>
      <c r="AH399">
        <v>61.206568257407199</v>
      </c>
      <c r="AI399">
        <v>91.038180931669402</v>
      </c>
      <c r="AJ399">
        <v>88.145331140818598</v>
      </c>
      <c r="AK399">
        <v>61.248703449497803</v>
      </c>
      <c r="AL399">
        <v>85.525688930809395</v>
      </c>
      <c r="AM399">
        <v>86.183184330821007</v>
      </c>
      <c r="AN399">
        <v>0.99999995428861799</v>
      </c>
    </row>
    <row r="400" spans="1:40" x14ac:dyDescent="0.25">
      <c r="A400" t="str">
        <f>"20190312151229840"</f>
        <v>20190312151229840</v>
      </c>
      <c r="B400" t="str">
        <f>"1552374749830244"</f>
        <v>1552374749830244</v>
      </c>
      <c r="C400" t="s">
        <v>40</v>
      </c>
      <c r="D400">
        <v>3.9480119999999999</v>
      </c>
      <c r="E400">
        <v>0.48684880000000003</v>
      </c>
      <c r="F400" t="s">
        <v>43</v>
      </c>
      <c r="G400">
        <v>-313.72089999999997</v>
      </c>
      <c r="H400">
        <v>-0.05</v>
      </c>
      <c r="I400">
        <v>363.45229999999998</v>
      </c>
      <c r="J400">
        <v>-384.04109999999997</v>
      </c>
      <c r="K400">
        <v>1.1097520000000001</v>
      </c>
      <c r="L400">
        <v>367.5675</v>
      </c>
      <c r="M400">
        <v>0.99961999999999995</v>
      </c>
      <c r="N400">
        <v>0</v>
      </c>
      <c r="O400">
        <v>-2.5603399999999998E-2</v>
      </c>
      <c r="P400">
        <v>0.99346330000000005</v>
      </c>
      <c r="Q400">
        <v>6.7670060000000004E-2</v>
      </c>
      <c r="R400">
        <v>-9.1934139999999998E-2</v>
      </c>
      <c r="S400">
        <v>3.0069270000000001</v>
      </c>
      <c r="T400">
        <v>-4.938936E-2</v>
      </c>
      <c r="U400">
        <v>-0.17556759999999999</v>
      </c>
      <c r="V400">
        <v>6.6477369999999994E-2</v>
      </c>
      <c r="W400">
        <v>7.7841439999999998E-2</v>
      </c>
      <c r="X400">
        <v>0.99474689999999999</v>
      </c>
      <c r="Y400">
        <v>3.2707180000000002E-2</v>
      </c>
      <c r="Z400">
        <v>1.5169949999999999E-4</v>
      </c>
      <c r="AA400">
        <v>0.99946500000000005</v>
      </c>
      <c r="AB400">
        <v>29</v>
      </c>
      <c r="AC400">
        <v>70.3202</v>
      </c>
      <c r="AD400">
        <v>-1.1597519999999999</v>
      </c>
      <c r="AE400">
        <v>-4.1152000000000104</v>
      </c>
      <c r="AF400">
        <v>2.31269377559481</v>
      </c>
      <c r="AG400">
        <v>-1.1597519999999999</v>
      </c>
      <c r="AH400">
        <v>70.383434773952899</v>
      </c>
      <c r="AI400">
        <v>90.943503952729898</v>
      </c>
      <c r="AJ400">
        <v>88.118024002222498</v>
      </c>
      <c r="AK400">
        <v>70.430969521798204</v>
      </c>
      <c r="AL400">
        <v>85.535497466760006</v>
      </c>
      <c r="AM400">
        <v>86.176698123966105</v>
      </c>
      <c r="AN400">
        <v>0.99999996278149905</v>
      </c>
    </row>
    <row r="401" spans="1:40" x14ac:dyDescent="0.25">
      <c r="A401" t="str">
        <f>"20190312151229861"</f>
        <v>20190312151229861</v>
      </c>
      <c r="B401" t="str">
        <f>"1552374749849763"</f>
        <v>1552374749849763</v>
      </c>
      <c r="C401" t="s">
        <v>40</v>
      </c>
      <c r="D401">
        <v>3.904487</v>
      </c>
      <c r="E401">
        <v>0.48677559999999898</v>
      </c>
      <c r="F401" t="s">
        <v>43</v>
      </c>
      <c r="G401">
        <v>-309.0797</v>
      </c>
      <c r="H401">
        <v>-0.05</v>
      </c>
      <c r="I401">
        <v>363.19560000000001</v>
      </c>
      <c r="J401">
        <v>-383.7647</v>
      </c>
      <c r="K401">
        <v>1.109764</v>
      </c>
      <c r="L401">
        <v>367.56040000000002</v>
      </c>
      <c r="M401">
        <v>0.99961849999999997</v>
      </c>
      <c r="N401">
        <v>0</v>
      </c>
      <c r="O401">
        <v>-2.5648250000000001E-2</v>
      </c>
      <c r="P401">
        <v>0.99338139999999997</v>
      </c>
      <c r="Q401">
        <v>6.7725610000000006E-2</v>
      </c>
      <c r="R401">
        <v>-9.2774609999999993E-2</v>
      </c>
      <c r="S401">
        <v>3.0066830000000002</v>
      </c>
      <c r="T401">
        <v>-4.6517370000000002E-2</v>
      </c>
      <c r="U401">
        <v>-0.17535400000000001</v>
      </c>
      <c r="V401">
        <v>6.7274360000000005E-2</v>
      </c>
      <c r="W401">
        <v>7.7936519999999995E-2</v>
      </c>
      <c r="X401">
        <v>0.99468590000000001</v>
      </c>
      <c r="Y401">
        <v>3.2596399999999998E-2</v>
      </c>
      <c r="Z401">
        <v>1.444405E-4</v>
      </c>
      <c r="AA401">
        <v>0.99946860000000004</v>
      </c>
      <c r="AB401">
        <v>29</v>
      </c>
      <c r="AC401">
        <v>74.685000000000002</v>
      </c>
      <c r="AD401">
        <v>-1.159764</v>
      </c>
      <c r="AE401">
        <v>-4.3647999999999998</v>
      </c>
      <c r="AF401">
        <v>2.4471357150212301</v>
      </c>
      <c r="AG401">
        <v>-1.159764</v>
      </c>
      <c r="AH401">
        <v>74.754418566283903</v>
      </c>
      <c r="AI401">
        <v>90.888357983389994</v>
      </c>
      <c r="AJ401">
        <v>88.125054024767493</v>
      </c>
      <c r="AK401">
        <v>74.803453268726798</v>
      </c>
      <c r="AL401">
        <v>85.530033306191598</v>
      </c>
      <c r="AM401">
        <v>86.130762815248502</v>
      </c>
      <c r="AN401">
        <v>0.99999999016096497</v>
      </c>
    </row>
    <row r="402" spans="1:40" x14ac:dyDescent="0.25">
      <c r="A402" t="str">
        <f>"20190312151229883"</f>
        <v>20190312151229883</v>
      </c>
      <c r="B402" t="str">
        <f>"1552374749880019"</f>
        <v>1552374749880019</v>
      </c>
      <c r="C402" t="s">
        <v>40</v>
      </c>
      <c r="D402">
        <v>3.9134449999999998</v>
      </c>
      <c r="E402">
        <v>0.48674899999999999</v>
      </c>
      <c r="F402" t="s">
        <v>43</v>
      </c>
      <c r="G402">
        <v>-303.10500000000002</v>
      </c>
      <c r="H402">
        <v>-0.05</v>
      </c>
      <c r="I402">
        <v>362.80079999999998</v>
      </c>
      <c r="J402">
        <v>-383.47640000000001</v>
      </c>
      <c r="K402">
        <v>1.1097760000000001</v>
      </c>
      <c r="L402">
        <v>367.55290000000002</v>
      </c>
      <c r="M402">
        <v>0.99961699999999998</v>
      </c>
      <c r="N402">
        <v>0</v>
      </c>
      <c r="O402">
        <v>-2.5688229999999999E-2</v>
      </c>
      <c r="P402">
        <v>0.99336860000000005</v>
      </c>
      <c r="Q402">
        <v>6.7700060000000006E-2</v>
      </c>
      <c r="R402">
        <v>-9.2928419999999998E-2</v>
      </c>
      <c r="S402">
        <v>3.006348</v>
      </c>
      <c r="T402">
        <v>-4.3226720000000003E-2</v>
      </c>
      <c r="U402">
        <v>-0.17739869999999999</v>
      </c>
      <c r="V402">
        <v>6.7387820000000001E-2</v>
      </c>
      <c r="W402">
        <v>7.7955070000000001E-2</v>
      </c>
      <c r="X402">
        <v>0.99467680000000003</v>
      </c>
      <c r="Y402">
        <v>3.324038E-2</v>
      </c>
      <c r="Z402">
        <v>1.3018390000000001E-4</v>
      </c>
      <c r="AA402">
        <v>0.99944739999999999</v>
      </c>
      <c r="AB402">
        <v>29</v>
      </c>
      <c r="AC402">
        <v>80.371399999999994</v>
      </c>
      <c r="AD402">
        <v>-1.1597759999999999</v>
      </c>
      <c r="AE402">
        <v>-4.7521000000000404</v>
      </c>
      <c r="AF402">
        <v>2.6852660393377299</v>
      </c>
      <c r="AG402">
        <v>-1.1597759999999999</v>
      </c>
      <c r="AH402">
        <v>80.450260503186598</v>
      </c>
      <c r="AI402">
        <v>90.825462710509399</v>
      </c>
      <c r="AJ402">
        <v>88.088293160156198</v>
      </c>
      <c r="AK402">
        <v>80.503417002651403</v>
      </c>
      <c r="AL402">
        <v>85.528967376916498</v>
      </c>
      <c r="AM402">
        <v>86.124221765230004</v>
      </c>
      <c r="AN402">
        <v>1.0000000238406399</v>
      </c>
    </row>
    <row r="403" spans="1:40" x14ac:dyDescent="0.25">
      <c r="A403" t="str">
        <f>"20190312151229905"</f>
        <v>20190312151229905</v>
      </c>
      <c r="B403" t="str">
        <f>"1552374749899539"</f>
        <v>1552374749899539</v>
      </c>
      <c r="C403" t="s">
        <v>40</v>
      </c>
      <c r="D403">
        <v>3.8760319999999999</v>
      </c>
      <c r="E403">
        <v>0.48671219999999998</v>
      </c>
      <c r="F403" t="s">
        <v>43</v>
      </c>
      <c r="G403">
        <v>-295.0772</v>
      </c>
      <c r="H403">
        <v>-0.05</v>
      </c>
      <c r="I403">
        <v>362.33260000000001</v>
      </c>
      <c r="J403">
        <v>-383.20420000000001</v>
      </c>
      <c r="K403">
        <v>1.109783</v>
      </c>
      <c r="L403">
        <v>367.54579999999999</v>
      </c>
      <c r="M403">
        <v>0.9996157</v>
      </c>
      <c r="N403">
        <v>0</v>
      </c>
      <c r="O403">
        <v>-2.571733E-2</v>
      </c>
      <c r="P403">
        <v>0.99331329999999995</v>
      </c>
      <c r="Q403">
        <v>6.8226679999999998E-2</v>
      </c>
      <c r="R403">
        <v>-9.3135040000000002E-2</v>
      </c>
      <c r="S403">
        <v>3.0060730000000002</v>
      </c>
      <c r="T403">
        <v>-3.9438960000000002E-2</v>
      </c>
      <c r="U403">
        <v>-0.17752079999999901</v>
      </c>
      <c r="V403">
        <v>6.7565520000000004E-2</v>
      </c>
      <c r="W403">
        <v>7.8523609999999994E-2</v>
      </c>
      <c r="X403">
        <v>0.99461999999999995</v>
      </c>
      <c r="Y403">
        <v>3.3257219999999997E-2</v>
      </c>
      <c r="Z403">
        <v>1.190592E-4</v>
      </c>
      <c r="AA403">
        <v>0.99944679999999997</v>
      </c>
      <c r="AB403">
        <v>29</v>
      </c>
      <c r="AC403">
        <v>88.126999999999995</v>
      </c>
      <c r="AD403">
        <v>-1.159783</v>
      </c>
      <c r="AE403">
        <v>-5.2131999999999703</v>
      </c>
      <c r="AF403">
        <v>2.9444549042802599</v>
      </c>
      <c r="AG403">
        <v>-1.159783</v>
      </c>
      <c r="AH403">
        <v>88.216700639036304</v>
      </c>
      <c r="AI403">
        <v>90.752803774771294</v>
      </c>
      <c r="AJ403">
        <v>88.088318532029604</v>
      </c>
      <c r="AK403">
        <v>88.273445514082994</v>
      </c>
      <c r="AL403">
        <v>85.496292167807397</v>
      </c>
      <c r="AM403">
        <v>86.113811470042506</v>
      </c>
      <c r="AN403">
        <v>1.0000000006101499</v>
      </c>
    </row>
    <row r="404" spans="1:40" x14ac:dyDescent="0.25">
      <c r="A404" t="str">
        <f>"20190312151229929"</f>
        <v>20190312151229929</v>
      </c>
      <c r="B404" t="str">
        <f>"1552374749920035"</f>
        <v>1552374749920035</v>
      </c>
      <c r="C404" t="s">
        <v>40</v>
      </c>
      <c r="D404">
        <v>4.1184710000000004</v>
      </c>
      <c r="E404">
        <v>0.48673319999999998</v>
      </c>
      <c r="F404" t="s">
        <v>43</v>
      </c>
      <c r="G404">
        <v>-287.7833</v>
      </c>
      <c r="H404">
        <v>-0.05</v>
      </c>
      <c r="I404">
        <v>361.89229999999998</v>
      </c>
      <c r="J404">
        <v>-382.8997</v>
      </c>
      <c r="K404">
        <v>1.1097969999999999</v>
      </c>
      <c r="L404">
        <v>367.53800000000001</v>
      </c>
      <c r="M404">
        <v>0.99961469999999997</v>
      </c>
      <c r="N404">
        <v>0</v>
      </c>
      <c r="O404">
        <v>-2.5739979999999999E-2</v>
      </c>
      <c r="P404">
        <v>0.99333269999999996</v>
      </c>
      <c r="Q404">
        <v>6.8078159999999999E-2</v>
      </c>
      <c r="R404">
        <v>-9.3036229999999998E-2</v>
      </c>
      <c r="S404">
        <v>3.0060120000000001</v>
      </c>
      <c r="T404">
        <v>-3.6536220000000001E-2</v>
      </c>
      <c r="U404">
        <v>-0.1781006</v>
      </c>
      <c r="V404">
        <v>6.7442039999999995E-2</v>
      </c>
      <c r="W404">
        <v>7.841998E-2</v>
      </c>
      <c r="X404">
        <v>0.99463650000000003</v>
      </c>
      <c r="Y404">
        <v>3.3427949999999998E-2</v>
      </c>
      <c r="Z404">
        <v>1.095369E-4</v>
      </c>
      <c r="AA404">
        <v>0.99944109999999997</v>
      </c>
      <c r="AB404">
        <v>29</v>
      </c>
      <c r="AC404">
        <v>95.116399999999999</v>
      </c>
      <c r="AD404">
        <v>-1.159797</v>
      </c>
      <c r="AE404">
        <v>-5.6457000000000299</v>
      </c>
      <c r="AF404">
        <v>3.19492952759837</v>
      </c>
      <c r="AG404">
        <v>-1.159797</v>
      </c>
      <c r="AH404">
        <v>95.216102852191</v>
      </c>
      <c r="AI404">
        <v>90.697474619588206</v>
      </c>
      <c r="AJ404">
        <v>88.078189324607294</v>
      </c>
      <c r="AK404">
        <v>95.276749242018795</v>
      </c>
      <c r="AL404">
        <v>85.5022478429877</v>
      </c>
      <c r="AM404">
        <v>86.1209561613137</v>
      </c>
      <c r="AN404">
        <v>0.99999994457740404</v>
      </c>
    </row>
    <row r="405" spans="1:40" x14ac:dyDescent="0.25">
      <c r="A405" t="str">
        <f>"20190312151229953"</f>
        <v>20190312151229953</v>
      </c>
      <c r="B405" t="str">
        <f>"1552374749950292"</f>
        <v>1552374749950292</v>
      </c>
      <c r="C405" t="s">
        <v>40</v>
      </c>
      <c r="D405">
        <v>4.0407479999999998</v>
      </c>
      <c r="E405">
        <v>0.57265339999999998</v>
      </c>
      <c r="F405" t="s">
        <v>43</v>
      </c>
      <c r="G405">
        <v>-287.32229999999998</v>
      </c>
      <c r="H405">
        <v>-0.05</v>
      </c>
      <c r="I405">
        <v>361.8741</v>
      </c>
      <c r="J405">
        <v>-382.59960000000001</v>
      </c>
      <c r="K405">
        <v>1.10981</v>
      </c>
      <c r="L405">
        <v>367.53019999999998</v>
      </c>
      <c r="M405">
        <v>0.99961390000000006</v>
      </c>
      <c r="N405">
        <v>0</v>
      </c>
      <c r="O405">
        <v>-2.5753089999999999E-2</v>
      </c>
      <c r="P405">
        <v>0.9933206</v>
      </c>
      <c r="Q405">
        <v>6.804222E-2</v>
      </c>
      <c r="R405">
        <v>-9.3190659999999995E-2</v>
      </c>
      <c r="S405">
        <v>3.005951</v>
      </c>
      <c r="T405">
        <v>-3.6476139999999997E-2</v>
      </c>
      <c r="U405">
        <v>-0.17813109999999999</v>
      </c>
      <c r="V405">
        <v>6.7582379999999997E-2</v>
      </c>
      <c r="W405">
        <v>7.8425209999999995E-2</v>
      </c>
      <c r="X405">
        <v>0.99462660000000003</v>
      </c>
      <c r="Y405">
        <v>3.342614E-2</v>
      </c>
      <c r="Z405">
        <v>1.095288E-4</v>
      </c>
      <c r="AA405">
        <v>0.99944120000000003</v>
      </c>
      <c r="AB405">
        <v>29</v>
      </c>
      <c r="AC405">
        <v>95.277299999999997</v>
      </c>
      <c r="AD405">
        <v>-1.15981</v>
      </c>
      <c r="AE405">
        <v>-5.6560999999999799</v>
      </c>
      <c r="AF405">
        <v>3.1999329450049099</v>
      </c>
      <c r="AG405">
        <v>-1.15981</v>
      </c>
      <c r="AH405">
        <v>95.377282771854397</v>
      </c>
      <c r="AI405">
        <v>90.696303962821602</v>
      </c>
      <c r="AJ405">
        <v>88.078432283094102</v>
      </c>
      <c r="AK405">
        <v>95.437994525403198</v>
      </c>
      <c r="AL405">
        <v>85.501947431415203</v>
      </c>
      <c r="AM405">
        <v>86.112870415109299</v>
      </c>
      <c r="AN405">
        <v>0.99999998253878397</v>
      </c>
    </row>
    <row r="406" spans="1:40" x14ac:dyDescent="0.25">
      <c r="A406" t="str">
        <f>"20190312151229972"</f>
        <v>20190312151229972</v>
      </c>
      <c r="B406" t="str">
        <f>"1552374749969811"</f>
        <v>1552374749969811</v>
      </c>
      <c r="C406" t="s">
        <v>40</v>
      </c>
      <c r="D406">
        <v>4.0362739999999997</v>
      </c>
      <c r="E406">
        <v>0.58558250000000001</v>
      </c>
      <c r="F406" t="s">
        <v>47</v>
      </c>
      <c r="G406">
        <v>-265.52670000000001</v>
      </c>
      <c r="H406">
        <v>13.601459999999999</v>
      </c>
      <c r="I406">
        <v>333.24279999999999</v>
      </c>
      <c r="J406">
        <v>-382.33969999999999</v>
      </c>
      <c r="K406">
        <v>1.109823</v>
      </c>
      <c r="L406">
        <v>367.52350000000001</v>
      </c>
      <c r="M406">
        <v>0.99961330000000004</v>
      </c>
      <c r="N406">
        <v>0</v>
      </c>
      <c r="O406">
        <v>-2.5759379999999998E-2</v>
      </c>
      <c r="P406">
        <v>0.99331270000000005</v>
      </c>
      <c r="Q406">
        <v>6.7894739999999995E-2</v>
      </c>
      <c r="R406">
        <v>-9.3381179999999994E-2</v>
      </c>
      <c r="S406">
        <v>2.9186709999999998</v>
      </c>
      <c r="T406">
        <v>0.31142199999999998</v>
      </c>
      <c r="U406">
        <v>-0.85479740000000004</v>
      </c>
      <c r="V406">
        <v>6.7765829999999999E-2</v>
      </c>
      <c r="W406">
        <v>7.8310649999999996E-2</v>
      </c>
      <c r="X406">
        <v>0.99462320000000004</v>
      </c>
      <c r="Y406">
        <v>0.25505369999999999</v>
      </c>
      <c r="Z406">
        <v>1.0609459999999999E-2</v>
      </c>
      <c r="AA406">
        <v>0.96686870000000003</v>
      </c>
      <c r="AB406">
        <v>29</v>
      </c>
      <c r="AC406">
        <v>116.813</v>
      </c>
      <c r="AD406">
        <v>12.4916369999999</v>
      </c>
      <c r="AE406">
        <v>-34.280700000000003</v>
      </c>
      <c r="AF406">
        <v>30.934426568013102</v>
      </c>
      <c r="AG406">
        <v>12.4916369999999</v>
      </c>
      <c r="AH406">
        <v>116.431452322632</v>
      </c>
      <c r="AI406">
        <v>84.080148462368996</v>
      </c>
      <c r="AJ406">
        <v>75.120952353609994</v>
      </c>
      <c r="AK406">
        <v>121.11673225442</v>
      </c>
      <c r="AL406">
        <v>85.508531733971097</v>
      </c>
      <c r="AM406">
        <v>86.102338134030205</v>
      </c>
      <c r="AN406">
        <v>1.00000003779862</v>
      </c>
    </row>
    <row r="407" spans="1:40" x14ac:dyDescent="0.25">
      <c r="A407" t="str">
        <f>"20190312151229996"</f>
        <v>20190312151229996</v>
      </c>
      <c r="B407" t="str">
        <f>"1552374749990307"</f>
        <v>1552374749990307</v>
      </c>
      <c r="C407" t="s">
        <v>40</v>
      </c>
      <c r="D407">
        <v>3.7948710000000001</v>
      </c>
      <c r="E407">
        <v>0.67429619999999901</v>
      </c>
      <c r="F407" t="s">
        <v>47</v>
      </c>
      <c r="G407">
        <v>-265.98390000000001</v>
      </c>
      <c r="H407">
        <v>13.207190000000001</v>
      </c>
      <c r="I407">
        <v>329.202</v>
      </c>
      <c r="J407">
        <v>-382.03829999999999</v>
      </c>
      <c r="K407">
        <v>1.1098330000000001</v>
      </c>
      <c r="L407">
        <v>367.51569999999998</v>
      </c>
      <c r="M407">
        <v>0.99961299999999997</v>
      </c>
      <c r="N407">
        <v>0</v>
      </c>
      <c r="O407">
        <v>-2.576202E-2</v>
      </c>
      <c r="P407">
        <v>0.99332469999999995</v>
      </c>
      <c r="Q407">
        <v>6.7630700000000002E-2</v>
      </c>
      <c r="R407">
        <v>-9.3448149999999994E-2</v>
      </c>
      <c r="S407">
        <v>2.9094540000000002</v>
      </c>
      <c r="T407">
        <v>0.3024926</v>
      </c>
      <c r="U407">
        <v>-0.9582214</v>
      </c>
      <c r="V407">
        <v>6.7829039999999993E-2</v>
      </c>
      <c r="W407">
        <v>7.8081040000000004E-2</v>
      </c>
      <c r="X407">
        <v>0.99463690000000005</v>
      </c>
      <c r="Y407">
        <v>0.28697630000000002</v>
      </c>
      <c r="Z407">
        <v>1.189788E-2</v>
      </c>
      <c r="AA407">
        <v>0.95786380000000004</v>
      </c>
      <c r="AB407">
        <v>29</v>
      </c>
      <c r="AC407">
        <v>116.0544</v>
      </c>
      <c r="AD407">
        <v>12.097357000000001</v>
      </c>
      <c r="AE407">
        <v>-38.313699999999898</v>
      </c>
      <c r="AF407">
        <v>34.968407129078798</v>
      </c>
      <c r="AG407">
        <v>12.097357000000001</v>
      </c>
      <c r="AH407">
        <v>115.86771719063</v>
      </c>
      <c r="AI407">
        <v>84.292024052349205</v>
      </c>
      <c r="AJ407">
        <v>73.2063987931284</v>
      </c>
      <c r="AK407">
        <v>121.63249331695199</v>
      </c>
      <c r="AL407">
        <v>85.521727632290904</v>
      </c>
      <c r="AM407">
        <v>86.098767299596602</v>
      </c>
      <c r="AN407">
        <v>0.99999999515820603</v>
      </c>
    </row>
    <row r="408" spans="1:40" x14ac:dyDescent="0.25">
      <c r="A408" t="str">
        <f>"20190312151230017"</f>
        <v>20190312151230017</v>
      </c>
      <c r="B408" t="str">
        <f>"1552374750009828"</f>
        <v>1552374750009828</v>
      </c>
      <c r="C408" t="s">
        <v>40</v>
      </c>
      <c r="D408">
        <v>3.8344589999999998</v>
      </c>
      <c r="E408">
        <v>0.68334600000000001</v>
      </c>
      <c r="F408" t="s">
        <v>41</v>
      </c>
      <c r="G408">
        <v>-381.46850000000001</v>
      </c>
      <c r="H408">
        <v>1.205444</v>
      </c>
      <c r="I408">
        <v>367.18189999999998</v>
      </c>
      <c r="J408">
        <v>-381.7681</v>
      </c>
      <c r="K408">
        <v>1.1098330000000001</v>
      </c>
      <c r="L408">
        <v>367.50880000000001</v>
      </c>
      <c r="M408">
        <v>0.99961259999999996</v>
      </c>
      <c r="N408">
        <v>0</v>
      </c>
      <c r="O408">
        <v>-2.576119E-2</v>
      </c>
      <c r="P408">
        <v>0.99335240000000002</v>
      </c>
      <c r="Q408">
        <v>6.7588220000000004E-2</v>
      </c>
      <c r="R408">
        <v>-9.3182360000000006E-2</v>
      </c>
      <c r="S408">
        <v>2.8316349999999999</v>
      </c>
      <c r="T408">
        <v>0.4751996</v>
      </c>
      <c r="U408">
        <v>-1.6596679999999999</v>
      </c>
      <c r="V408">
        <v>6.756318E-2</v>
      </c>
      <c r="W408">
        <v>7.8066780000000002E-2</v>
      </c>
      <c r="X408">
        <v>0.99465610000000004</v>
      </c>
      <c r="Y408">
        <v>0.47856399999999999</v>
      </c>
      <c r="Z408">
        <v>3.3014340000000003E-2</v>
      </c>
      <c r="AA408">
        <v>0.87743179999999998</v>
      </c>
      <c r="AB408">
        <v>29</v>
      </c>
      <c r="AC408">
        <v>0.29959999999999798</v>
      </c>
      <c r="AD408">
        <v>9.5610999999999793E-2</v>
      </c>
      <c r="AE408">
        <v>-0.32690000000002301</v>
      </c>
      <c r="AF408">
        <v>0.30489766681111702</v>
      </c>
      <c r="AG408">
        <v>9.5610999999999793E-2</v>
      </c>
      <c r="AH408">
        <v>0.294242395958767</v>
      </c>
      <c r="AI408">
        <v>77.284443081557598</v>
      </c>
      <c r="AJ408">
        <v>43.981143581815999</v>
      </c>
      <c r="AK408">
        <v>0.43437614820270498</v>
      </c>
      <c r="AL408">
        <v>85.522547109739193</v>
      </c>
      <c r="AM408">
        <v>86.114086256366804</v>
      </c>
      <c r="AN408">
        <v>0.99999998134924495</v>
      </c>
    </row>
    <row r="409" spans="1:40" x14ac:dyDescent="0.25">
      <c r="A409" t="str">
        <f>"20190312151230040"</f>
        <v>20190312151230040</v>
      </c>
      <c r="B409" t="str">
        <f>"1552374750030328"</f>
        <v>1552374750030328</v>
      </c>
      <c r="C409" t="s">
        <v>40</v>
      </c>
      <c r="D409">
        <v>3.893526</v>
      </c>
      <c r="E409">
        <v>0.68660569999999999</v>
      </c>
      <c r="F409" t="s">
        <v>41</v>
      </c>
      <c r="G409">
        <v>-381.21170000000001</v>
      </c>
      <c r="H409">
        <v>1.207165</v>
      </c>
      <c r="I409">
        <v>367.16739999999999</v>
      </c>
      <c r="J409">
        <v>-381.46749999999997</v>
      </c>
      <c r="K409">
        <v>1.1098380000000001</v>
      </c>
      <c r="L409">
        <v>367.50099999999998</v>
      </c>
      <c r="M409">
        <v>0.99961250000000001</v>
      </c>
      <c r="N409">
        <v>0</v>
      </c>
      <c r="O409">
        <v>-2.575906E-2</v>
      </c>
      <c r="P409">
        <v>0.99337690000000001</v>
      </c>
      <c r="Q409">
        <v>6.7409350000000007E-2</v>
      </c>
      <c r="R409">
        <v>-9.3052819999999994E-2</v>
      </c>
      <c r="S409">
        <v>2.8241580000000002</v>
      </c>
      <c r="T409">
        <v>0.49374489999999999</v>
      </c>
      <c r="U409">
        <v>-1.7304079999999999</v>
      </c>
      <c r="V409">
        <v>6.7435099999999998E-2</v>
      </c>
      <c r="W409">
        <v>7.7916089999999993E-2</v>
      </c>
      <c r="X409">
        <v>0.99467660000000002</v>
      </c>
      <c r="Y409">
        <v>0.4951411</v>
      </c>
      <c r="Z409">
        <v>3.5491200000000001E-2</v>
      </c>
      <c r="AA409">
        <v>0.86808739999999995</v>
      </c>
      <c r="AB409">
        <v>29</v>
      </c>
      <c r="AC409">
        <v>0.255799999999965</v>
      </c>
      <c r="AD409">
        <v>9.7327000000000094E-2</v>
      </c>
      <c r="AE409">
        <v>-0.33359999999998902</v>
      </c>
      <c r="AF409">
        <v>0.31026896673228999</v>
      </c>
      <c r="AG409">
        <v>9.7327000000000094E-2</v>
      </c>
      <c r="AH409">
        <v>0.250862289935398</v>
      </c>
      <c r="AI409">
        <v>76.291599114427399</v>
      </c>
      <c r="AJ409">
        <v>38.956636980163097</v>
      </c>
      <c r="AK409">
        <v>0.41069607394976998</v>
      </c>
      <c r="AL409">
        <v>85.531207357828904</v>
      </c>
      <c r="AM409">
        <v>86.121509997659601</v>
      </c>
      <c r="AN409">
        <v>0.99999997419022801</v>
      </c>
    </row>
    <row r="410" spans="1:40" x14ac:dyDescent="0.25">
      <c r="A410" t="str">
        <f>"20190312151230061"</f>
        <v>20190312151230061</v>
      </c>
      <c r="B410" t="str">
        <f>"1552374750059604"</f>
        <v>1552374750059604</v>
      </c>
      <c r="C410" t="s">
        <v>40</v>
      </c>
      <c r="D410">
        <v>3.847874</v>
      </c>
      <c r="E410">
        <v>0.68811540000000004</v>
      </c>
      <c r="F410" t="s">
        <v>41</v>
      </c>
      <c r="G410">
        <v>-380.95400000000001</v>
      </c>
      <c r="H410">
        <v>1.19514599999999</v>
      </c>
      <c r="I410">
        <v>367.18130000000002</v>
      </c>
      <c r="J410">
        <v>-381.19490000000002</v>
      </c>
      <c r="K410">
        <v>1.1098330000000001</v>
      </c>
      <c r="L410">
        <v>367.49400000000003</v>
      </c>
      <c r="M410">
        <v>0.99961239999999996</v>
      </c>
      <c r="N410">
        <v>0</v>
      </c>
      <c r="O410">
        <v>-2.5756669999999999E-2</v>
      </c>
      <c r="P410">
        <v>0.99338559999999998</v>
      </c>
      <c r="Q410">
        <v>6.7471899999999904E-2</v>
      </c>
      <c r="R410">
        <v>-9.2914220000000006E-2</v>
      </c>
      <c r="S410">
        <v>2.8236690000000002</v>
      </c>
      <c r="T410">
        <v>0.46893259999999998</v>
      </c>
      <c r="U410">
        <v>-1.75647</v>
      </c>
      <c r="V410">
        <v>6.7298769999999994E-2</v>
      </c>
      <c r="W410">
        <v>7.8000699999999895E-2</v>
      </c>
      <c r="X410">
        <v>0.99467919999999999</v>
      </c>
      <c r="Y410">
        <v>0.50146290000000004</v>
      </c>
      <c r="Z410">
        <v>3.4138099999999998E-2</v>
      </c>
      <c r="AA410">
        <v>0.86450539999999998</v>
      </c>
      <c r="AB410">
        <v>29</v>
      </c>
      <c r="AC410">
        <v>0.24090000000001</v>
      </c>
      <c r="AD410">
        <v>8.5312999999999695E-2</v>
      </c>
      <c r="AE410">
        <v>-0.31270000000000597</v>
      </c>
      <c r="AF410">
        <v>0.29271783477641999</v>
      </c>
      <c r="AG410">
        <v>8.5312999999999695E-2</v>
      </c>
      <c r="AH410">
        <v>0.23776812856961299</v>
      </c>
      <c r="AI410">
        <v>77.252879037257799</v>
      </c>
      <c r="AJ410">
        <v>39.086181134922498</v>
      </c>
      <c r="AK410">
        <v>0.38664676609108101</v>
      </c>
      <c r="AL410">
        <v>85.526344754469605</v>
      </c>
      <c r="AM410">
        <v>86.129337165391206</v>
      </c>
      <c r="AN410">
        <v>0.99999997227832105</v>
      </c>
    </row>
    <row r="411" spans="1:40" x14ac:dyDescent="0.25">
      <c r="A411" t="str">
        <f>"20190312151230084"</f>
        <v>20190312151230084</v>
      </c>
      <c r="B411" t="str">
        <f>"1552374750080100"</f>
        <v>1552374750080100</v>
      </c>
      <c r="C411" t="s">
        <v>40</v>
      </c>
      <c r="D411">
        <v>3.9137559999999998</v>
      </c>
      <c r="E411">
        <v>0.68848209999999999</v>
      </c>
      <c r="F411" t="s">
        <v>41</v>
      </c>
      <c r="G411">
        <v>-380.69650000000001</v>
      </c>
      <c r="H411">
        <v>1.188847</v>
      </c>
      <c r="I411">
        <v>367.18169999999998</v>
      </c>
      <c r="J411">
        <v>-380.90769999999998</v>
      </c>
      <c r="K411">
        <v>1.1098330000000001</v>
      </c>
      <c r="L411">
        <v>367.48660000000001</v>
      </c>
      <c r="M411">
        <v>0.99961219999999995</v>
      </c>
      <c r="N411">
        <v>0</v>
      </c>
      <c r="O411">
        <v>-2.5754639999999999E-2</v>
      </c>
      <c r="P411">
        <v>0.99343190000000003</v>
      </c>
      <c r="Q411">
        <v>6.7173259999999999E-2</v>
      </c>
      <c r="R411">
        <v>-9.2635229999999999E-2</v>
      </c>
      <c r="S411">
        <v>2.8241879999999999</v>
      </c>
      <c r="T411">
        <v>0.44760870000000003</v>
      </c>
      <c r="U411">
        <v>-1.7682500000000001</v>
      </c>
      <c r="V411">
        <v>6.7020549999999998E-2</v>
      </c>
      <c r="W411">
        <v>7.772403E-2</v>
      </c>
      <c r="X411">
        <v>0.99471969999999998</v>
      </c>
      <c r="Y411">
        <v>0.50438640000000001</v>
      </c>
      <c r="Z411">
        <v>3.2775329999999998E-2</v>
      </c>
      <c r="AA411">
        <v>0.86285590000000001</v>
      </c>
      <c r="AB411">
        <v>29</v>
      </c>
      <c r="AC411">
        <v>0.211199999999962</v>
      </c>
      <c r="AD411">
        <v>7.9013999999999904E-2</v>
      </c>
      <c r="AE411">
        <v>-0.30490000000003098</v>
      </c>
      <c r="AF411">
        <v>0.28636335124018297</v>
      </c>
      <c r="AG411">
        <v>7.9013999999999904E-2</v>
      </c>
      <c r="AH411">
        <v>0.20947645172514001</v>
      </c>
      <c r="AI411">
        <v>77.445165733948897</v>
      </c>
      <c r="AJ411">
        <v>36.185686566514597</v>
      </c>
      <c r="AK411">
        <v>0.36349355559192997</v>
      </c>
      <c r="AL411">
        <v>85.542245308718094</v>
      </c>
      <c r="AM411">
        <v>86.145447011773996</v>
      </c>
      <c r="AN411">
        <v>1.0000000302649099</v>
      </c>
    </row>
    <row r="412" spans="1:40" x14ac:dyDescent="0.25">
      <c r="A412" t="str">
        <f>"20190312151230105"</f>
        <v>20190312151230105</v>
      </c>
      <c r="B412" t="str">
        <f>"1552374750099619"</f>
        <v>1552374750099619</v>
      </c>
      <c r="C412" t="s">
        <v>40</v>
      </c>
      <c r="D412">
        <v>3.897786</v>
      </c>
      <c r="E412">
        <v>0.68884630000000002</v>
      </c>
      <c r="F412" t="s">
        <v>41</v>
      </c>
      <c r="G412">
        <v>-380.4359</v>
      </c>
      <c r="H412">
        <v>1.1835719999999901</v>
      </c>
      <c r="I412">
        <v>367.19080000000002</v>
      </c>
      <c r="J412">
        <v>-380.6327</v>
      </c>
      <c r="K412">
        <v>1.109829</v>
      </c>
      <c r="L412">
        <v>367.4796</v>
      </c>
      <c r="M412">
        <v>0.9996119</v>
      </c>
      <c r="N412">
        <v>0</v>
      </c>
      <c r="O412">
        <v>-2.57533E-2</v>
      </c>
      <c r="P412">
        <v>0.99343380000000003</v>
      </c>
      <c r="Q412">
        <v>6.7328830000000006E-2</v>
      </c>
      <c r="R412">
        <v>-9.2501159999999999E-2</v>
      </c>
      <c r="S412">
        <v>2.8248600000000001</v>
      </c>
      <c r="T412">
        <v>0.44147229999999998</v>
      </c>
      <c r="U412">
        <v>-1.7707820000000001</v>
      </c>
      <c r="V412">
        <v>6.6887719999999998E-2</v>
      </c>
      <c r="W412">
        <v>7.7898960000000003E-2</v>
      </c>
      <c r="X412">
        <v>0.99471489999999996</v>
      </c>
      <c r="Y412">
        <v>0.50496569999999996</v>
      </c>
      <c r="Z412">
        <v>3.2358360000000003E-2</v>
      </c>
      <c r="AA412">
        <v>0.86253269999999904</v>
      </c>
      <c r="AB412">
        <v>29</v>
      </c>
      <c r="AC412">
        <v>0.19679999999999601</v>
      </c>
      <c r="AD412">
        <v>7.3742999999999601E-2</v>
      </c>
      <c r="AE412">
        <v>-0.28879999999998002</v>
      </c>
      <c r="AF412">
        <v>0.27154525074352998</v>
      </c>
      <c r="AG412">
        <v>7.3742999999999601E-2</v>
      </c>
      <c r="AH412">
        <v>0.19546951020106099</v>
      </c>
      <c r="AI412">
        <v>77.570540986307194</v>
      </c>
      <c r="AJ412">
        <v>35.747901689707398</v>
      </c>
      <c r="AK412">
        <v>0.34261229205708499</v>
      </c>
      <c r="AL412">
        <v>85.532191824428693</v>
      </c>
      <c r="AM412">
        <v>86.153044994968297</v>
      </c>
      <c r="AN412">
        <v>0.999999973668944</v>
      </c>
    </row>
    <row r="413" spans="1:40" x14ac:dyDescent="0.25">
      <c r="A413" t="str">
        <f>"20190312151230130"</f>
        <v>20190312151230130</v>
      </c>
      <c r="B413" t="str">
        <f>"1552374750120115"</f>
        <v>1552374750120115</v>
      </c>
      <c r="C413" t="s">
        <v>40</v>
      </c>
      <c r="D413">
        <v>3.995803</v>
      </c>
      <c r="E413">
        <v>0.68913859999999905</v>
      </c>
      <c r="F413" t="s">
        <v>41</v>
      </c>
      <c r="G413">
        <v>-380.16410000000002</v>
      </c>
      <c r="H413">
        <v>1.183416</v>
      </c>
      <c r="I413">
        <v>367.1848</v>
      </c>
      <c r="J413">
        <v>-380.31670000000003</v>
      </c>
      <c r="K413">
        <v>1.109834</v>
      </c>
      <c r="L413">
        <v>367.47140000000002</v>
      </c>
      <c r="M413">
        <v>0.99961169999999999</v>
      </c>
      <c r="N413">
        <v>0</v>
      </c>
      <c r="O413">
        <v>-2.575268E-2</v>
      </c>
      <c r="P413">
        <v>0.99342920000000001</v>
      </c>
      <c r="Q413">
        <v>6.7335580000000006E-2</v>
      </c>
      <c r="R413">
        <v>-9.2544760000000004E-2</v>
      </c>
      <c r="S413">
        <v>2.824646</v>
      </c>
      <c r="T413">
        <v>0.44320670000000001</v>
      </c>
      <c r="U413">
        <v>-1.773193</v>
      </c>
      <c r="V413">
        <v>6.6932140000000001E-2</v>
      </c>
      <c r="W413">
        <v>7.7924629999999995E-2</v>
      </c>
      <c r="X413">
        <v>0.99470990000000004</v>
      </c>
      <c r="Y413">
        <v>0.50548800000000005</v>
      </c>
      <c r="Z413">
        <v>3.251718E-2</v>
      </c>
      <c r="AA413">
        <v>0.86222069999999995</v>
      </c>
      <c r="AB413">
        <v>29</v>
      </c>
      <c r="AC413">
        <v>0.15260000000000601</v>
      </c>
      <c r="AD413">
        <v>7.3581999999999995E-2</v>
      </c>
      <c r="AE413">
        <v>-0.286600000000021</v>
      </c>
      <c r="AF413">
        <v>0.26877172140341998</v>
      </c>
      <c r="AG413">
        <v>7.3581999999999995E-2</v>
      </c>
      <c r="AH413">
        <v>0.15211828045588</v>
      </c>
      <c r="AI413">
        <v>76.598691768188999</v>
      </c>
      <c r="AJ413">
        <v>29.508809369455399</v>
      </c>
      <c r="AK413">
        <v>0.31747837752989</v>
      </c>
      <c r="AL413">
        <v>85.530716550904003</v>
      </c>
      <c r="AM413">
        <v>86.150478626886297</v>
      </c>
      <c r="AN413">
        <v>0.99999997224181203</v>
      </c>
    </row>
    <row r="414" spans="1:40" x14ac:dyDescent="0.25">
      <c r="A414" t="str">
        <f>"20190312151230153"</f>
        <v>20190312151230153</v>
      </c>
      <c r="B414" t="str">
        <f>"1552374750150372"</f>
        <v>1552374750150372</v>
      </c>
      <c r="C414" t="s">
        <v>40</v>
      </c>
      <c r="D414">
        <v>4.5990699999999904</v>
      </c>
      <c r="E414">
        <v>0.68968249999999998</v>
      </c>
      <c r="F414" t="s">
        <v>41</v>
      </c>
      <c r="G414">
        <v>-379.66719999999998</v>
      </c>
      <c r="H414">
        <v>1.210631</v>
      </c>
      <c r="I414">
        <v>367.0625</v>
      </c>
      <c r="J414">
        <v>-380.01960000000003</v>
      </c>
      <c r="K414">
        <v>1.109837</v>
      </c>
      <c r="L414">
        <v>367.46370000000002</v>
      </c>
      <c r="M414">
        <v>0.99961160000000004</v>
      </c>
      <c r="N414">
        <v>0</v>
      </c>
      <c r="O414">
        <v>-2.575241E-2</v>
      </c>
      <c r="P414">
        <v>0.99343409999999999</v>
      </c>
      <c r="Q414">
        <v>6.7268270000000005E-2</v>
      </c>
      <c r="R414">
        <v>-9.2541689999999996E-2</v>
      </c>
      <c r="S414">
        <v>2.8247070000000001</v>
      </c>
      <c r="T414">
        <v>0.43812509999999999</v>
      </c>
      <c r="U414">
        <v>-1.7756350000000001</v>
      </c>
      <c r="V414">
        <v>6.6929230000000006E-2</v>
      </c>
      <c r="W414">
        <v>7.7872819999999995E-2</v>
      </c>
      <c r="X414">
        <v>0.99471419999999999</v>
      </c>
      <c r="Y414">
        <v>0.50610639999999996</v>
      </c>
      <c r="Z414">
        <v>3.218435E-2</v>
      </c>
      <c r="AA414">
        <v>0.86187029999999998</v>
      </c>
      <c r="AB414">
        <v>29</v>
      </c>
      <c r="AC414">
        <v>0.35240000000004501</v>
      </c>
      <c r="AD414">
        <v>0.100793999999999</v>
      </c>
      <c r="AE414">
        <v>-0.40120000000001699</v>
      </c>
      <c r="AF414">
        <v>0.37850559273041201</v>
      </c>
      <c r="AG414">
        <v>0.100793999999999</v>
      </c>
      <c r="AH414">
        <v>0.350140507989322</v>
      </c>
      <c r="AI414">
        <v>78.939252138030398</v>
      </c>
      <c r="AJ414">
        <v>42.770688090734197</v>
      </c>
      <c r="AK414">
        <v>0.52538013808976503</v>
      </c>
      <c r="AL414">
        <v>85.533694301625104</v>
      </c>
      <c r="AM414">
        <v>86.150662079005798</v>
      </c>
      <c r="AN414">
        <v>1.0000000188023901</v>
      </c>
    </row>
    <row r="415" spans="1:40" x14ac:dyDescent="0.25">
      <c r="A415" t="str">
        <f>"20190312151230175"</f>
        <v>20190312151230175</v>
      </c>
      <c r="B415" t="str">
        <f>"1552374750169892"</f>
        <v>1552374750169892</v>
      </c>
      <c r="C415" t="s">
        <v>40</v>
      </c>
      <c r="D415">
        <v>3.9511989999999999</v>
      </c>
      <c r="E415">
        <v>0.69002909999999995</v>
      </c>
      <c r="F415" t="s">
        <v>41</v>
      </c>
      <c r="G415">
        <v>-379.4083</v>
      </c>
      <c r="H415">
        <v>1.2069970000000001</v>
      </c>
      <c r="I415">
        <v>367.07850000000002</v>
      </c>
      <c r="J415">
        <v>-379.7312</v>
      </c>
      <c r="K415">
        <v>1.109845</v>
      </c>
      <c r="L415">
        <v>367.4563</v>
      </c>
      <c r="M415">
        <v>0.99961140000000004</v>
      </c>
      <c r="N415">
        <v>0</v>
      </c>
      <c r="O415">
        <v>-2.5752130000000002E-2</v>
      </c>
      <c r="P415">
        <v>0.99337359999999997</v>
      </c>
      <c r="Q415">
        <v>6.7502510000000002E-2</v>
      </c>
      <c r="R415">
        <v>-9.3017340000000004E-2</v>
      </c>
      <c r="S415">
        <v>2.8237000000000001</v>
      </c>
      <c r="T415">
        <v>0.44870169999999998</v>
      </c>
      <c r="U415">
        <v>-1.779388</v>
      </c>
      <c r="V415">
        <v>6.740662E-2</v>
      </c>
      <c r="W415">
        <v>7.8120969999999998E-2</v>
      </c>
      <c r="X415">
        <v>0.9946625</v>
      </c>
      <c r="Y415">
        <v>0.50685979999999997</v>
      </c>
      <c r="Z415">
        <v>3.3007849999999998E-2</v>
      </c>
      <c r="AA415">
        <v>0.86139639999999995</v>
      </c>
      <c r="AB415">
        <v>29</v>
      </c>
      <c r="AC415">
        <v>0.32290000000000402</v>
      </c>
      <c r="AD415">
        <v>9.7151999999999905E-2</v>
      </c>
      <c r="AE415">
        <v>-0.37779999999997899</v>
      </c>
      <c r="AF415">
        <v>0.35576403682784902</v>
      </c>
      <c r="AG415">
        <v>9.7151999999999905E-2</v>
      </c>
      <c r="AH415">
        <v>0.32028360547135198</v>
      </c>
      <c r="AI415">
        <v>78.527558648469196</v>
      </c>
      <c r="AJ415">
        <v>41.995750763787001</v>
      </c>
      <c r="AK415">
        <v>0.48845485864895999</v>
      </c>
      <c r="AL415">
        <v>85.519432885111001</v>
      </c>
      <c r="AM415">
        <v>86.123088222513701</v>
      </c>
      <c r="AN415">
        <v>1.0000000136399001</v>
      </c>
    </row>
    <row r="416" spans="1:40" x14ac:dyDescent="0.25">
      <c r="A416" t="str">
        <f>"20190312151230196"</f>
        <v>20190312151230196</v>
      </c>
      <c r="B416" t="str">
        <f>"1552374750189412"</f>
        <v>1552374750189412</v>
      </c>
      <c r="C416" t="s">
        <v>40</v>
      </c>
      <c r="D416">
        <v>3.9687109999999999</v>
      </c>
      <c r="E416">
        <v>0.69028540000000005</v>
      </c>
      <c r="F416" t="s">
        <v>41</v>
      </c>
      <c r="G416">
        <v>-379.14940000000001</v>
      </c>
      <c r="H416">
        <v>1.2035990000000001</v>
      </c>
      <c r="I416">
        <v>367.08800000000002</v>
      </c>
      <c r="J416">
        <v>-379.45929999999998</v>
      </c>
      <c r="K416">
        <v>1.109845</v>
      </c>
      <c r="L416">
        <v>367.44929999999999</v>
      </c>
      <c r="M416">
        <v>0.99961140000000004</v>
      </c>
      <c r="N416">
        <v>0</v>
      </c>
      <c r="O416">
        <v>-2.575183E-2</v>
      </c>
      <c r="P416">
        <v>0.99336829999999998</v>
      </c>
      <c r="Q416">
        <v>6.7795859999999999E-2</v>
      </c>
      <c r="R416">
        <v>-9.286287E-2</v>
      </c>
      <c r="S416">
        <v>2.8221129999999999</v>
      </c>
      <c r="T416">
        <v>0.4544493</v>
      </c>
      <c r="U416">
        <v>-1.7836000000000001</v>
      </c>
      <c r="V416">
        <v>6.7252370000000006E-2</v>
      </c>
      <c r="W416">
        <v>7.8426640000000006E-2</v>
      </c>
      <c r="X416">
        <v>0.99464889999999995</v>
      </c>
      <c r="Y416">
        <v>0.50787709999999997</v>
      </c>
      <c r="Z416">
        <v>3.350496E-2</v>
      </c>
      <c r="AA416">
        <v>0.86077769999999998</v>
      </c>
      <c r="AB416">
        <v>29</v>
      </c>
      <c r="AC416">
        <v>0.30989999999996998</v>
      </c>
      <c r="AD416">
        <v>9.3754000000000101E-2</v>
      </c>
      <c r="AE416">
        <v>-0.36129999999997098</v>
      </c>
      <c r="AF416">
        <v>0.34000886447511602</v>
      </c>
      <c r="AG416">
        <v>9.3754000000000101E-2</v>
      </c>
      <c r="AH416">
        <v>0.30718490285466099</v>
      </c>
      <c r="AI416">
        <v>78.436687952012804</v>
      </c>
      <c r="AJ416">
        <v>42.0965968393267</v>
      </c>
      <c r="AK416">
        <v>0.46771615856145599</v>
      </c>
      <c r="AL416">
        <v>85.501865444371404</v>
      </c>
      <c r="AM416">
        <v>86.1318802664712</v>
      </c>
      <c r="AN416">
        <v>1.0000000267017499</v>
      </c>
    </row>
    <row r="417" spans="1:40" x14ac:dyDescent="0.25">
      <c r="A417" t="str">
        <f>"20190312151230218"</f>
        <v>20190312151230218</v>
      </c>
      <c r="B417" t="str">
        <f>"1552374750209923"</f>
        <v>1552374750209923</v>
      </c>
      <c r="C417" t="s">
        <v>40</v>
      </c>
      <c r="D417">
        <v>4.0119870000000004</v>
      </c>
      <c r="E417">
        <v>0.69043639999999995</v>
      </c>
      <c r="F417" t="s">
        <v>41</v>
      </c>
      <c r="G417">
        <v>-378.8904</v>
      </c>
      <c r="H417">
        <v>1.2026139999999901</v>
      </c>
      <c r="I417">
        <v>367.08949999999999</v>
      </c>
      <c r="J417">
        <v>-379.17500000000001</v>
      </c>
      <c r="K417">
        <v>1.1098479999999999</v>
      </c>
      <c r="L417">
        <v>367.44200000000001</v>
      </c>
      <c r="M417">
        <v>0.99961129999999998</v>
      </c>
      <c r="N417">
        <v>0</v>
      </c>
      <c r="O417">
        <v>-2.575154E-2</v>
      </c>
      <c r="P417">
        <v>0.99331060000000004</v>
      </c>
      <c r="Q417">
        <v>6.798121E-2</v>
      </c>
      <c r="R417">
        <v>-9.3341540000000001E-2</v>
      </c>
      <c r="S417">
        <v>2.8217469999999998</v>
      </c>
      <c r="T417">
        <v>0.46013209999999999</v>
      </c>
      <c r="U417">
        <v>-1.7849429999999999</v>
      </c>
      <c r="V417">
        <v>6.7732829999999994E-2</v>
      </c>
      <c r="W417">
        <v>7.8623429999999994E-2</v>
      </c>
      <c r="X417">
        <v>0.9946007</v>
      </c>
      <c r="Y417">
        <v>0.50810770000000005</v>
      </c>
      <c r="Z417">
        <v>3.3936679999999997E-2</v>
      </c>
      <c r="AA417">
        <v>0.86062469999999902</v>
      </c>
      <c r="AB417">
        <v>29</v>
      </c>
      <c r="AC417">
        <v>0.28460000000001101</v>
      </c>
      <c r="AD417">
        <v>9.2765999999999904E-2</v>
      </c>
      <c r="AE417">
        <v>-0.35249999999996301</v>
      </c>
      <c r="AF417">
        <v>0.33116906477260899</v>
      </c>
      <c r="AG417">
        <v>9.2765999999999904E-2</v>
      </c>
      <c r="AH417">
        <v>0.28176995253344</v>
      </c>
      <c r="AI417">
        <v>77.956833927819403</v>
      </c>
      <c r="AJ417">
        <v>40.392271893913097</v>
      </c>
      <c r="AK417">
        <v>0.44460407821910702</v>
      </c>
      <c r="AL417">
        <v>85.490555010744501</v>
      </c>
      <c r="AM417">
        <v>86.1041424773681</v>
      </c>
      <c r="AN417">
        <v>0.99999996622263099</v>
      </c>
    </row>
    <row r="418" spans="1:40" x14ac:dyDescent="0.25">
      <c r="A418" t="str">
        <f>"20190312151230241"</f>
        <v>20190312151230241</v>
      </c>
      <c r="B418" t="str">
        <f>"1552374750229432"</f>
        <v>1552374750229432</v>
      </c>
      <c r="C418" t="s">
        <v>40</v>
      </c>
      <c r="D418">
        <v>3.8107319999999998</v>
      </c>
      <c r="E418">
        <v>0.69071949999999904</v>
      </c>
      <c r="F418" t="s">
        <v>41</v>
      </c>
      <c r="G418">
        <v>-378.6311</v>
      </c>
      <c r="H418">
        <v>1.1994860000000001</v>
      </c>
      <c r="I418">
        <v>367.09690000000001</v>
      </c>
      <c r="J418">
        <v>-378.87470000000002</v>
      </c>
      <c r="K418">
        <v>1.1098509999999999</v>
      </c>
      <c r="L418">
        <v>367.43430000000001</v>
      </c>
      <c r="M418">
        <v>0.99961109999999997</v>
      </c>
      <c r="N418">
        <v>0</v>
      </c>
      <c r="O418">
        <v>-2.5751360000000001E-2</v>
      </c>
      <c r="P418">
        <v>0.99323839999999997</v>
      </c>
      <c r="Q418">
        <v>6.8416249999999998E-2</v>
      </c>
      <c r="R418">
        <v>-9.3790990000000005E-2</v>
      </c>
      <c r="S418">
        <v>2.8204349999999998</v>
      </c>
      <c r="T418">
        <v>0.46462429999999899</v>
      </c>
      <c r="U418">
        <v>-1.7874759999999901</v>
      </c>
      <c r="V418">
        <v>6.8184449999999994E-2</v>
      </c>
      <c r="W418">
        <v>7.9068849999999996E-2</v>
      </c>
      <c r="X418">
        <v>0.99453460000000005</v>
      </c>
      <c r="Y418">
        <v>0.50874439999999999</v>
      </c>
      <c r="Z418">
        <v>3.4318309999999998E-2</v>
      </c>
      <c r="AA418">
        <v>0.86023340000000004</v>
      </c>
      <c r="AB418">
        <v>29</v>
      </c>
      <c r="AC418">
        <v>0.243600000000014</v>
      </c>
      <c r="AD418">
        <v>8.9635000000000103E-2</v>
      </c>
      <c r="AE418">
        <v>-0.33740000000000198</v>
      </c>
      <c r="AF418">
        <v>0.31633861576844902</v>
      </c>
      <c r="AG418">
        <v>8.9635000000000103E-2</v>
      </c>
      <c r="AH418">
        <v>0.241026140287501</v>
      </c>
      <c r="AI418">
        <v>77.298645546145295</v>
      </c>
      <c r="AJ418">
        <v>37.304663654647499</v>
      </c>
      <c r="AK418">
        <v>0.407674077362283</v>
      </c>
      <c r="AL418">
        <v>85.464954943411101</v>
      </c>
      <c r="AM418">
        <v>86.077987145690997</v>
      </c>
      <c r="AN418">
        <v>1.00000003642964</v>
      </c>
    </row>
    <row r="419" spans="1:40" x14ac:dyDescent="0.25">
      <c r="A419" t="str">
        <f>"20190312151230263"</f>
        <v>20190312151230263</v>
      </c>
      <c r="B419" t="str">
        <f>"1552374750259684"</f>
        <v>1552374750259684</v>
      </c>
      <c r="C419" t="s">
        <v>40</v>
      </c>
      <c r="D419">
        <v>3.798298</v>
      </c>
      <c r="E419">
        <v>0.69057170000000001</v>
      </c>
      <c r="F419" t="s">
        <v>41</v>
      </c>
      <c r="G419">
        <v>-378.37150000000003</v>
      </c>
      <c r="H419">
        <v>1.193397</v>
      </c>
      <c r="I419">
        <v>367.1148</v>
      </c>
      <c r="J419">
        <v>-378.58969999999999</v>
      </c>
      <c r="K419">
        <v>1.109855</v>
      </c>
      <c r="L419">
        <v>367.42689999999999</v>
      </c>
      <c r="M419">
        <v>0.99961109999999997</v>
      </c>
      <c r="N419">
        <v>0</v>
      </c>
      <c r="O419">
        <v>-2.5750820000000001E-2</v>
      </c>
      <c r="P419">
        <v>0.99327200000000004</v>
      </c>
      <c r="Q419">
        <v>6.7721139999999999E-2</v>
      </c>
      <c r="R419">
        <v>-9.3941490000000002E-2</v>
      </c>
      <c r="S419">
        <v>2.819061</v>
      </c>
      <c r="T419">
        <v>0.468196</v>
      </c>
      <c r="U419">
        <v>-1.7909849999999901</v>
      </c>
      <c r="V419">
        <v>6.8334199999999998E-2</v>
      </c>
      <c r="W419">
        <v>7.8384319999999993E-2</v>
      </c>
      <c r="X419">
        <v>0.99457850000000003</v>
      </c>
      <c r="Y419">
        <v>0.50961729999999905</v>
      </c>
      <c r="Z419">
        <v>3.4649159999999998E-2</v>
      </c>
      <c r="AA419">
        <v>0.859703199999999</v>
      </c>
      <c r="AB419">
        <v>29</v>
      </c>
      <c r="AC419">
        <v>0.218199999999967</v>
      </c>
      <c r="AD419">
        <v>8.3541999999999894E-2</v>
      </c>
      <c r="AE419">
        <v>-0.312099999999986</v>
      </c>
      <c r="AF419">
        <v>0.29230936715686301</v>
      </c>
      <c r="AG419">
        <v>8.3541999999999894E-2</v>
      </c>
      <c r="AH419">
        <v>0.21578007652294601</v>
      </c>
      <c r="AI419">
        <v>77.050678559256198</v>
      </c>
      <c r="AJ419">
        <v>36.434401181774298</v>
      </c>
      <c r="AK419">
        <v>0.372807018866188</v>
      </c>
      <c r="AL419">
        <v>85.504297697727296</v>
      </c>
      <c r="AM419">
        <v>86.069573351252401</v>
      </c>
      <c r="AN419">
        <v>1.00000002858687</v>
      </c>
    </row>
    <row r="420" spans="1:40" x14ac:dyDescent="0.25">
      <c r="A420" t="str">
        <f>"20190312151230285"</f>
        <v>20190312151230285</v>
      </c>
      <c r="B420" t="str">
        <f>"1552374750280180"</f>
        <v>1552374750280180</v>
      </c>
      <c r="C420" t="s">
        <v>40</v>
      </c>
      <c r="D420">
        <v>3.653467</v>
      </c>
      <c r="E420">
        <v>0.62734019999999902</v>
      </c>
      <c r="F420" t="s">
        <v>41</v>
      </c>
      <c r="G420">
        <v>-378.11189999999999</v>
      </c>
      <c r="H420">
        <v>1.189254</v>
      </c>
      <c r="I420">
        <v>367.12310000000002</v>
      </c>
      <c r="J420">
        <v>-378.31029999999998</v>
      </c>
      <c r="K420">
        <v>1.1098539999999999</v>
      </c>
      <c r="L420">
        <v>367.41969999999998</v>
      </c>
      <c r="M420">
        <v>0.99961080000000002</v>
      </c>
      <c r="N420">
        <v>0</v>
      </c>
      <c r="O420">
        <v>-2.5750510000000001E-2</v>
      </c>
      <c r="P420">
        <v>0.99331100000000006</v>
      </c>
      <c r="Q420">
        <v>6.7403539999999998E-2</v>
      </c>
      <c r="R420">
        <v>-9.3754379999999998E-2</v>
      </c>
      <c r="S420">
        <v>2.8190919999999999</v>
      </c>
      <c r="T420">
        <v>0.46819699999999997</v>
      </c>
      <c r="U420">
        <v>-1.7900700000000001</v>
      </c>
      <c r="V420">
        <v>6.8146479999999995E-2</v>
      </c>
      <c r="W420">
        <v>7.8076759999999995E-2</v>
      </c>
      <c r="X420">
        <v>0.99461560000000004</v>
      </c>
      <c r="Y420">
        <v>0.50941559999999997</v>
      </c>
      <c r="Z420">
        <v>3.4636420000000001E-2</v>
      </c>
      <c r="AA420">
        <v>0.85982329999999996</v>
      </c>
      <c r="AB420">
        <v>29</v>
      </c>
      <c r="AC420">
        <v>0.198399999999992</v>
      </c>
      <c r="AD420">
        <v>7.9399999999999901E-2</v>
      </c>
      <c r="AE420">
        <v>-0.29659999999995501</v>
      </c>
      <c r="AF420">
        <v>0.27764607947701803</v>
      </c>
      <c r="AG420">
        <v>7.9399999999999901E-2</v>
      </c>
      <c r="AH420">
        <v>0.196255557962352</v>
      </c>
      <c r="AI420">
        <v>76.855520748621402</v>
      </c>
      <c r="AJ420">
        <v>35.254776499837398</v>
      </c>
      <c r="AK420">
        <v>0.349153189130606</v>
      </c>
      <c r="AL420">
        <v>85.521973888780707</v>
      </c>
      <c r="AM420">
        <v>86.080482624214397</v>
      </c>
      <c r="AN420">
        <v>1.00000005747592</v>
      </c>
    </row>
    <row r="421" spans="1:40" x14ac:dyDescent="0.25">
      <c r="A421" t="str">
        <f>"20190312151230308"</f>
        <v>20190312151230308</v>
      </c>
      <c r="B421" t="str">
        <f>"1552374750299700"</f>
        <v>1552374750299700</v>
      </c>
      <c r="C421" t="s">
        <v>40</v>
      </c>
      <c r="D421">
        <v>3.929138</v>
      </c>
      <c r="E421">
        <v>0.55680079999999998</v>
      </c>
      <c r="F421" t="s">
        <v>47</v>
      </c>
      <c r="G421">
        <v>-267.03680000000003</v>
      </c>
      <c r="H421">
        <v>9.4638449999999992</v>
      </c>
      <c r="I421">
        <v>317.56450000000001</v>
      </c>
      <c r="J421">
        <v>-378.00959999999998</v>
      </c>
      <c r="K421">
        <v>1.1098520000000001</v>
      </c>
      <c r="L421">
        <v>367.41199999999998</v>
      </c>
      <c r="M421">
        <v>0.99961080000000002</v>
      </c>
      <c r="N421">
        <v>0</v>
      </c>
      <c r="O421">
        <v>-2.5745759999999999E-2</v>
      </c>
      <c r="P421">
        <v>0.99334699999999998</v>
      </c>
      <c r="Q421">
        <v>6.7200620000000003E-2</v>
      </c>
      <c r="R421">
        <v>-9.3518569999999995E-2</v>
      </c>
      <c r="S421">
        <v>2.883575</v>
      </c>
      <c r="T421">
        <v>0.21648819999999999</v>
      </c>
      <c r="U421">
        <v>-1.2919620000000001</v>
      </c>
      <c r="V421">
        <v>6.7914150000000006E-2</v>
      </c>
      <c r="W421">
        <v>7.7883770000000005E-2</v>
      </c>
      <c r="X421">
        <v>0.99464649999999999</v>
      </c>
      <c r="Y421">
        <v>0.38440730000000001</v>
      </c>
      <c r="Z421">
        <v>1.191387E-2</v>
      </c>
      <c r="AA421">
        <v>0.92308670000000004</v>
      </c>
      <c r="AB421">
        <v>29</v>
      </c>
      <c r="AC421">
        <v>110.972799999999</v>
      </c>
      <c r="AD421">
        <v>8.3539929999999991</v>
      </c>
      <c r="AE421">
        <v>-49.847499999999897</v>
      </c>
      <c r="AF421">
        <v>46.753262529344397</v>
      </c>
      <c r="AG421">
        <v>8.3539929999999991</v>
      </c>
      <c r="AH421">
        <v>111.692751588666</v>
      </c>
      <c r="AI421">
        <v>86.053199185542994</v>
      </c>
      <c r="AJ421">
        <v>67.286392010567397</v>
      </c>
      <c r="AK421">
        <v>121.371032432082</v>
      </c>
      <c r="AL421">
        <v>85.533064634011197</v>
      </c>
      <c r="AM421">
        <v>86.093924868866196</v>
      </c>
      <c r="AN421">
        <v>0.99999993668094</v>
      </c>
    </row>
    <row r="422" spans="1:40" x14ac:dyDescent="0.25">
      <c r="A422" t="str">
        <f>"20190312151230330"</f>
        <v>20190312151230330</v>
      </c>
      <c r="B422" t="str">
        <f>"1552374750320196"</f>
        <v>1552374750320196</v>
      </c>
      <c r="C422" t="s">
        <v>40</v>
      </c>
      <c r="D422">
        <v>3.8072750000000002</v>
      </c>
      <c r="E422">
        <v>0.53326099999999999</v>
      </c>
      <c r="F422" t="s">
        <v>48</v>
      </c>
      <c r="G422">
        <v>-282.32900000000001</v>
      </c>
      <c r="H422">
        <v>4.6820370000000002</v>
      </c>
      <c r="I422">
        <v>343.57130000000001</v>
      </c>
      <c r="J422">
        <v>-377.71600000000001</v>
      </c>
      <c r="K422">
        <v>1.109858</v>
      </c>
      <c r="L422">
        <v>367.40440000000001</v>
      </c>
      <c r="M422">
        <v>0.99961120000000003</v>
      </c>
      <c r="N422">
        <v>0</v>
      </c>
      <c r="O422">
        <v>-2.573191E-2</v>
      </c>
      <c r="P422">
        <v>0.99337549999999997</v>
      </c>
      <c r="Q422">
        <v>6.7128930000000003E-2</v>
      </c>
      <c r="R422">
        <v>-9.3268359999999995E-2</v>
      </c>
      <c r="S422">
        <v>2.9436040000000001</v>
      </c>
      <c r="T422">
        <v>0.1098981</v>
      </c>
      <c r="U422">
        <v>-0.73345950000000004</v>
      </c>
      <c r="V422">
        <v>6.7675869999999999E-2</v>
      </c>
      <c r="W422">
        <v>7.7821950000000001E-2</v>
      </c>
      <c r="X422">
        <v>0.99466759999999999</v>
      </c>
      <c r="Y422">
        <v>0.21660309999999999</v>
      </c>
      <c r="Z422">
        <v>3.0360399999999998E-3</v>
      </c>
      <c r="AA422">
        <v>0.97625510000000004</v>
      </c>
      <c r="AB422">
        <v>29</v>
      </c>
      <c r="AC422">
        <v>95.387</v>
      </c>
      <c r="AD422">
        <v>3.5721790000000002</v>
      </c>
      <c r="AE422">
        <v>-23.833100000000002</v>
      </c>
      <c r="AF422">
        <v>21.342403321847598</v>
      </c>
      <c r="AG422">
        <v>3.5721790000000002</v>
      </c>
      <c r="AH422">
        <v>95.842202414994304</v>
      </c>
      <c r="AI422">
        <v>87.916477359220806</v>
      </c>
      <c r="AJ422">
        <v>77.446051224180096</v>
      </c>
      <c r="AK422">
        <v>98.254701699802595</v>
      </c>
      <c r="AL422">
        <v>85.536617532963604</v>
      </c>
      <c r="AM422">
        <v>86.107669632629197</v>
      </c>
      <c r="AN422">
        <v>0.99999995688590804</v>
      </c>
    </row>
    <row r="423" spans="1:40" x14ac:dyDescent="0.25">
      <c r="A423" t="str">
        <f>"20190312151230354"</f>
        <v>20190312151230354</v>
      </c>
      <c r="B423" t="str">
        <f>"1552374750349476"</f>
        <v>1552374750349476</v>
      </c>
      <c r="C423" t="s">
        <v>40</v>
      </c>
      <c r="D423">
        <v>3.7875040000000002</v>
      </c>
      <c r="E423">
        <v>0.51702029999999999</v>
      </c>
      <c r="F423" t="s">
        <v>49</v>
      </c>
      <c r="G423">
        <v>-275.27269999999999</v>
      </c>
      <c r="H423">
        <v>1.927219</v>
      </c>
      <c r="I423">
        <v>348.51170000000002</v>
      </c>
      <c r="J423">
        <v>-377.41390000000001</v>
      </c>
      <c r="K423">
        <v>1.109864</v>
      </c>
      <c r="L423">
        <v>367.39670000000001</v>
      </c>
      <c r="M423">
        <v>0.99961169999999999</v>
      </c>
      <c r="N423">
        <v>0</v>
      </c>
      <c r="O423">
        <v>-2.5709320000000001E-2</v>
      </c>
      <c r="P423">
        <v>0.99340539999999999</v>
      </c>
      <c r="Q423">
        <v>6.7257689999999995E-2</v>
      </c>
      <c r="R423">
        <v>-9.2856789999999995E-2</v>
      </c>
      <c r="S423">
        <v>2.9670100000000001</v>
      </c>
      <c r="T423">
        <v>2.3675080000000001E-2</v>
      </c>
      <c r="U423">
        <v>-0.54718020000000001</v>
      </c>
      <c r="V423">
        <v>6.7284960000000005E-2</v>
      </c>
      <c r="W423">
        <v>7.7960769999999999E-2</v>
      </c>
      <c r="X423">
        <v>0.99468330000000005</v>
      </c>
      <c r="Y423">
        <v>0.1560146</v>
      </c>
      <c r="Z423">
        <v>4.1393739999999999E-4</v>
      </c>
      <c r="AA423">
        <v>0.98775460000000004</v>
      </c>
      <c r="AB423">
        <v>29</v>
      </c>
      <c r="AC423">
        <v>102.1412</v>
      </c>
      <c r="AD423">
        <v>0.81735499999999905</v>
      </c>
      <c r="AE423">
        <v>-18.884999999999899</v>
      </c>
      <c r="AF423">
        <v>16.251618334746802</v>
      </c>
      <c r="AG423">
        <v>0.81735499999999905</v>
      </c>
      <c r="AH423">
        <v>102.58663094983299</v>
      </c>
      <c r="AI423">
        <v>89.549130075164996</v>
      </c>
      <c r="AJ423">
        <v>80.998097303976493</v>
      </c>
      <c r="AK423">
        <v>103.869148534738</v>
      </c>
      <c r="AL423">
        <v>85.528639720370293</v>
      </c>
      <c r="AM423">
        <v>86.130144931371404</v>
      </c>
      <c r="AN423">
        <v>1.0000000074000399</v>
      </c>
    </row>
    <row r="424" spans="1:40" x14ac:dyDescent="0.25">
      <c r="A424" t="str">
        <f>"20190312151230375"</f>
        <v>20190312151230375</v>
      </c>
      <c r="B424" t="str">
        <f>"1552374750369972"</f>
        <v>1552374750369972</v>
      </c>
      <c r="C424" t="s">
        <v>40</v>
      </c>
      <c r="D424">
        <v>3.7768459999999999</v>
      </c>
      <c r="E424">
        <v>0.51283159999999905</v>
      </c>
      <c r="F424" t="s">
        <v>43</v>
      </c>
      <c r="G424">
        <v>-285.46730000000002</v>
      </c>
      <c r="H424">
        <v>-0.05</v>
      </c>
      <c r="I424">
        <v>354.50369999999998</v>
      </c>
      <c r="J424">
        <v>-377.12819999999999</v>
      </c>
      <c r="K424">
        <v>1.1098749999999999</v>
      </c>
      <c r="L424">
        <v>367.38929999999999</v>
      </c>
      <c r="M424">
        <v>0.99961219999999995</v>
      </c>
      <c r="N424">
        <v>0</v>
      </c>
      <c r="O424">
        <v>-2.5679219999999999E-2</v>
      </c>
      <c r="P424">
        <v>0.9933845</v>
      </c>
      <c r="Q424">
        <v>6.744464E-2</v>
      </c>
      <c r="R424">
        <v>-9.2941570000000001E-2</v>
      </c>
      <c r="S424">
        <v>2.983368</v>
      </c>
      <c r="T424">
        <v>-3.7633779999999999E-2</v>
      </c>
      <c r="U424">
        <v>-0.41833500000000001</v>
      </c>
      <c r="V424">
        <v>6.7398730000000004E-2</v>
      </c>
      <c r="W424">
        <v>7.8156630000000005E-2</v>
      </c>
      <c r="X424">
        <v>0.99466019999999999</v>
      </c>
      <c r="Y424">
        <v>0.1133793</v>
      </c>
      <c r="Z424">
        <v>-3.8941449999999999E-4</v>
      </c>
      <c r="AA424">
        <v>0.99355170000000004</v>
      </c>
      <c r="AB424">
        <v>29</v>
      </c>
      <c r="AC424">
        <v>91.660899999999899</v>
      </c>
      <c r="AD424">
        <v>-1.159875</v>
      </c>
      <c r="AE424">
        <v>-12.8856</v>
      </c>
      <c r="AF424">
        <v>10.5257805416</v>
      </c>
      <c r="AG424">
        <v>-1.159875</v>
      </c>
      <c r="AH424">
        <v>91.947143695267101</v>
      </c>
      <c r="AI424">
        <v>90.718035048213196</v>
      </c>
      <c r="AJ424">
        <v>83.469412291279198</v>
      </c>
      <c r="AK424">
        <v>92.554927474141806</v>
      </c>
      <c r="AL424">
        <v>85.517383302805399</v>
      </c>
      <c r="AM424">
        <v>86.123531698179704</v>
      </c>
      <c r="AN424">
        <v>0.99999998054130401</v>
      </c>
    </row>
    <row r="425" spans="1:40" x14ac:dyDescent="0.25">
      <c r="A425" t="str">
        <f>"20190312151230397"</f>
        <v>20190312151230397</v>
      </c>
      <c r="B425" t="str">
        <f>"1552374750389492"</f>
        <v>1552374750389492</v>
      </c>
      <c r="C425" t="s">
        <v>40</v>
      </c>
      <c r="D425">
        <v>3.7834400000000001</v>
      </c>
      <c r="E425">
        <v>0.51072499999999998</v>
      </c>
      <c r="F425" t="s">
        <v>42</v>
      </c>
      <c r="G425">
        <v>-320.9812</v>
      </c>
      <c r="H425" s="1">
        <v>-5.5754179999999899E-6</v>
      </c>
      <c r="I425">
        <v>360.14460000000003</v>
      </c>
      <c r="J425">
        <v>-376.85019999999997</v>
      </c>
      <c r="K425">
        <v>1.109885</v>
      </c>
      <c r="L425">
        <v>367.38220000000001</v>
      </c>
      <c r="M425">
        <v>0.99961330000000004</v>
      </c>
      <c r="N425">
        <v>0</v>
      </c>
      <c r="O425">
        <v>-2.564197E-2</v>
      </c>
      <c r="P425">
        <v>0.9933921</v>
      </c>
      <c r="Q425">
        <v>6.7631200000000002E-2</v>
      </c>
      <c r="R425">
        <v>-9.2730170000000001E-2</v>
      </c>
      <c r="S425">
        <v>2.9879150000000001</v>
      </c>
      <c r="T425">
        <v>-5.9063200000000003E-2</v>
      </c>
      <c r="U425">
        <v>-0.3855286</v>
      </c>
      <c r="V425">
        <v>6.7222729999999994E-2</v>
      </c>
      <c r="W425">
        <v>7.8351050000000005E-2</v>
      </c>
      <c r="X425">
        <v>0.99465689999999995</v>
      </c>
      <c r="Y425">
        <v>0.102479</v>
      </c>
      <c r="Z425">
        <v>-5.0407849999999999E-4</v>
      </c>
      <c r="AA425">
        <v>0.99473509999999998</v>
      </c>
      <c r="AB425">
        <v>29</v>
      </c>
      <c r="AC425">
        <v>55.8689999999999</v>
      </c>
      <c r="AD425">
        <v>-1.109890575418</v>
      </c>
      <c r="AE425">
        <v>-7.23759999999998</v>
      </c>
      <c r="AF425">
        <v>5.8002944629185196</v>
      </c>
      <c r="AG425">
        <v>-1.109890575418</v>
      </c>
      <c r="AH425">
        <v>56.0144831127541</v>
      </c>
      <c r="AI425">
        <v>91.129094404256307</v>
      </c>
      <c r="AJ425">
        <v>84.088097621286707</v>
      </c>
      <c r="AK425">
        <v>56.3249286846861</v>
      </c>
      <c r="AL425">
        <v>85.506209975540997</v>
      </c>
      <c r="AM425">
        <v>86.133610886277296</v>
      </c>
      <c r="AN425">
        <v>1.00000006559118</v>
      </c>
    </row>
    <row r="426" spans="1:40" x14ac:dyDescent="0.25">
      <c r="A426" t="str">
        <f>"20190312151230420"</f>
        <v>20190312151230420</v>
      </c>
      <c r="B426" t="str">
        <f>"1552374750409988"</f>
        <v>1552374750409988</v>
      </c>
      <c r="C426" t="s">
        <v>40</v>
      </c>
      <c r="D426">
        <v>3.823102</v>
      </c>
      <c r="E426">
        <v>0.50911799999999996</v>
      </c>
      <c r="F426" t="s">
        <v>42</v>
      </c>
      <c r="G426">
        <v>-327.31580000000002</v>
      </c>
      <c r="H426" s="1">
        <v>-3.1174419999999999E-6</v>
      </c>
      <c r="I426">
        <v>361.28070000000002</v>
      </c>
      <c r="J426">
        <v>-376.55029999999999</v>
      </c>
      <c r="K426">
        <v>1.109896</v>
      </c>
      <c r="L426">
        <v>367.37459999999999</v>
      </c>
      <c r="M426">
        <v>0.99961440000000001</v>
      </c>
      <c r="N426">
        <v>0</v>
      </c>
      <c r="O426">
        <v>-2.5592460000000001E-2</v>
      </c>
      <c r="P426">
        <v>0.99342660000000005</v>
      </c>
      <c r="Q426">
        <v>6.7781289999999994E-2</v>
      </c>
      <c r="R426">
        <v>-9.2246419999999996E-2</v>
      </c>
      <c r="S426">
        <v>2.9901430000000002</v>
      </c>
      <c r="T426">
        <v>-6.6998240000000001E-2</v>
      </c>
      <c r="U426">
        <v>-0.3683167</v>
      </c>
      <c r="V426">
        <v>6.678655E-2</v>
      </c>
      <c r="W426">
        <v>7.8511719999999993E-2</v>
      </c>
      <c r="X426">
        <v>0.99467360000000005</v>
      </c>
      <c r="Y426">
        <v>9.6793390000000007E-2</v>
      </c>
      <c r="Z426">
        <v>-5.0921089999999896E-4</v>
      </c>
      <c r="AA426">
        <v>0.99530430000000003</v>
      </c>
      <c r="AB426">
        <v>29</v>
      </c>
      <c r="AC426">
        <v>49.234499999999898</v>
      </c>
      <c r="AD426">
        <v>-1.1098991174420001</v>
      </c>
      <c r="AE426">
        <v>-6.0938999999999597</v>
      </c>
      <c r="AF426">
        <v>4.8293814370302997</v>
      </c>
      <c r="AG426">
        <v>-1.1098991174420001</v>
      </c>
      <c r="AH426">
        <v>49.349638081870999</v>
      </c>
      <c r="AI426">
        <v>91.282271517854994</v>
      </c>
      <c r="AJ426">
        <v>84.410801654108496</v>
      </c>
      <c r="AK426">
        <v>49.597798135873703</v>
      </c>
      <c r="AL426">
        <v>85.496975756168098</v>
      </c>
      <c r="AM426">
        <v>86.158687204413098</v>
      </c>
      <c r="AN426">
        <v>1.0000000519876</v>
      </c>
    </row>
    <row r="427" spans="1:40" x14ac:dyDescent="0.25">
      <c r="A427" t="str">
        <f>"20190312151230441"</f>
        <v>20190312151230441</v>
      </c>
      <c r="B427" t="str">
        <f>"1552374750429513"</f>
        <v>1552374750429513</v>
      </c>
      <c r="C427" t="s">
        <v>40</v>
      </c>
      <c r="D427">
        <v>3.8066450000000001</v>
      </c>
      <c r="E427">
        <v>0.50813699999999995</v>
      </c>
      <c r="F427" t="s">
        <v>42</v>
      </c>
      <c r="G427">
        <v>-331.57600000000002</v>
      </c>
      <c r="H427" s="1">
        <v>-4.9390490000000004E-6</v>
      </c>
      <c r="I427">
        <v>362.04599999999999</v>
      </c>
      <c r="J427">
        <v>-376.2749</v>
      </c>
      <c r="K427">
        <v>1.1099060000000001</v>
      </c>
      <c r="L427">
        <v>367.36759999999998</v>
      </c>
      <c r="M427">
        <v>0.99961560000000005</v>
      </c>
      <c r="N427">
        <v>0</v>
      </c>
      <c r="O427">
        <v>-2.5539780000000002E-2</v>
      </c>
      <c r="P427">
        <v>0.99344350000000003</v>
      </c>
      <c r="Q427">
        <v>6.7725999999999995E-2</v>
      </c>
      <c r="R427">
        <v>-9.2104989999999998E-2</v>
      </c>
      <c r="S427">
        <v>2.9920040000000001</v>
      </c>
      <c r="T427">
        <v>-7.3838230000000005E-2</v>
      </c>
      <c r="U427">
        <v>-0.35449219999999998</v>
      </c>
      <c r="V427">
        <v>6.6696140000000001E-2</v>
      </c>
      <c r="W427">
        <v>7.846989E-2</v>
      </c>
      <c r="X427">
        <v>0.99468290000000004</v>
      </c>
      <c r="Y427">
        <v>9.2234650000000001E-2</v>
      </c>
      <c r="Z427">
        <v>-5.0622850000000001E-4</v>
      </c>
      <c r="AA427">
        <v>0.99573719999999999</v>
      </c>
      <c r="AB427">
        <v>29</v>
      </c>
      <c r="AC427">
        <v>44.698900000000002</v>
      </c>
      <c r="AD427">
        <v>-1.1099109390490001</v>
      </c>
      <c r="AE427">
        <v>-5.3215999999999797</v>
      </c>
      <c r="AF427">
        <v>4.17565881901844</v>
      </c>
      <c r="AG427">
        <v>-1.1099109390490001</v>
      </c>
      <c r="AH427">
        <v>44.793006168472402</v>
      </c>
      <c r="AI427">
        <v>91.413297400501804</v>
      </c>
      <c r="AJ427">
        <v>84.674209158435602</v>
      </c>
      <c r="AK427">
        <v>45.000904773951802</v>
      </c>
      <c r="AL427">
        <v>85.499379554060596</v>
      </c>
      <c r="AM427">
        <v>86.163907472634506</v>
      </c>
      <c r="AN427">
        <v>0.99999998513996002</v>
      </c>
    </row>
    <row r="428" spans="1:40" x14ac:dyDescent="0.25">
      <c r="A428" t="str">
        <f>"20190312151230463"</f>
        <v>20190312151230463</v>
      </c>
      <c r="B428" t="str">
        <f>"1552374750459764"</f>
        <v>1552374750459764</v>
      </c>
      <c r="C428" t="s">
        <v>40</v>
      </c>
      <c r="D428">
        <v>3.8620429999999999</v>
      </c>
      <c r="E428">
        <v>0.50713540000000001</v>
      </c>
      <c r="F428" t="s">
        <v>42</v>
      </c>
      <c r="G428">
        <v>-335.38459999999998</v>
      </c>
      <c r="H428" s="1">
        <v>-3.4135149999999998E-6</v>
      </c>
      <c r="I428">
        <v>362.6379</v>
      </c>
      <c r="J428">
        <v>-375.98439999999999</v>
      </c>
      <c r="K428">
        <v>1.1099110000000001</v>
      </c>
      <c r="L428">
        <v>367.3603</v>
      </c>
      <c r="M428">
        <v>0.99961699999999998</v>
      </c>
      <c r="N428">
        <v>0</v>
      </c>
      <c r="O428">
        <v>-2.5480329999999999E-2</v>
      </c>
      <c r="P428">
        <v>0.9934402</v>
      </c>
      <c r="Q428">
        <v>6.7858619999999994E-2</v>
      </c>
      <c r="R428">
        <v>-9.2044039999999994E-2</v>
      </c>
      <c r="S428">
        <v>2.9932560000000001</v>
      </c>
      <c r="T428">
        <v>-8.1247570000000005E-2</v>
      </c>
      <c r="U428">
        <v>-0.34622190000000003</v>
      </c>
      <c r="V428">
        <v>6.6693920000000004E-2</v>
      </c>
      <c r="W428">
        <v>7.8618679999999996E-2</v>
      </c>
      <c r="X428">
        <v>0.99467130000000004</v>
      </c>
      <c r="Y428">
        <v>8.9527659999999995E-2</v>
      </c>
      <c r="Z428">
        <v>-5.2185699999999905E-4</v>
      </c>
      <c r="AA428">
        <v>0.99598419999999999</v>
      </c>
      <c r="AB428">
        <v>29</v>
      </c>
      <c r="AC428">
        <v>40.599800000000002</v>
      </c>
      <c r="AD428">
        <v>-1.1099144135150001</v>
      </c>
      <c r="AE428">
        <v>-4.7223999999999897</v>
      </c>
      <c r="AF428">
        <v>3.68359371801108</v>
      </c>
      <c r="AG428">
        <v>-1.1099144135150001</v>
      </c>
      <c r="AH428">
        <v>40.6769573789934</v>
      </c>
      <c r="AI428">
        <v>91.556622533580693</v>
      </c>
      <c r="AJ428">
        <v>84.825565040959404</v>
      </c>
      <c r="AK428">
        <v>40.858483015123703</v>
      </c>
      <c r="AL428">
        <v>85.490828097531903</v>
      </c>
      <c r="AM428">
        <v>86.163990174832406</v>
      </c>
      <c r="AN428">
        <v>0.99999998542679902</v>
      </c>
    </row>
    <row r="429" spans="1:40" x14ac:dyDescent="0.25">
      <c r="A429" t="str">
        <f>"20190312151230487"</f>
        <v>20190312151230487</v>
      </c>
      <c r="B429" t="str">
        <f>"1552374750480261"</f>
        <v>1552374750480261</v>
      </c>
      <c r="C429" t="s">
        <v>40</v>
      </c>
      <c r="D429">
        <v>3.8568980000000002</v>
      </c>
      <c r="E429">
        <v>0.50662200000000002</v>
      </c>
      <c r="F429" t="s">
        <v>42</v>
      </c>
      <c r="G429">
        <v>-337.10309999999998</v>
      </c>
      <c r="H429" s="1">
        <v>-2.7404660000000002E-6</v>
      </c>
      <c r="I429">
        <v>362.96949999999998</v>
      </c>
      <c r="J429">
        <v>-375.6825</v>
      </c>
      <c r="K429">
        <v>1.109915</v>
      </c>
      <c r="L429">
        <v>367.3526</v>
      </c>
      <c r="M429">
        <v>0.99961840000000002</v>
      </c>
      <c r="N429">
        <v>0</v>
      </c>
      <c r="O429">
        <v>-2.5415420000000001E-2</v>
      </c>
      <c r="P429">
        <v>0.99346950000000001</v>
      </c>
      <c r="Q429">
        <v>6.7411209999999999E-2</v>
      </c>
      <c r="R429">
        <v>-9.2055289999999998E-2</v>
      </c>
      <c r="S429">
        <v>2.994354</v>
      </c>
      <c r="T429">
        <v>-8.5477230000000001E-2</v>
      </c>
      <c r="U429">
        <v>-0.33813480000000001</v>
      </c>
      <c r="V429">
        <v>6.676841E-2</v>
      </c>
      <c r="W429">
        <v>7.8188460000000001E-2</v>
      </c>
      <c r="X429">
        <v>0.99470029999999998</v>
      </c>
      <c r="Y429">
        <v>8.6893600000000001E-2</v>
      </c>
      <c r="Z429">
        <v>-5.1326650000000002E-4</v>
      </c>
      <c r="AA429">
        <v>0.99621749999999998</v>
      </c>
      <c r="AB429">
        <v>29</v>
      </c>
      <c r="AC429">
        <v>38.5794</v>
      </c>
      <c r="AD429">
        <v>-1.1099177404659999</v>
      </c>
      <c r="AE429">
        <v>-4.3831000000000104</v>
      </c>
      <c r="AF429">
        <v>3.3983379690061701</v>
      </c>
      <c r="AG429">
        <v>-1.1099177404659999</v>
      </c>
      <c r="AH429">
        <v>38.646761195820901</v>
      </c>
      <c r="AI429">
        <v>91.638737128381393</v>
      </c>
      <c r="AJ429">
        <v>84.974717638234296</v>
      </c>
      <c r="AK429">
        <v>38.811760708179698</v>
      </c>
      <c r="AL429">
        <v>85.515554388091005</v>
      </c>
      <c r="AM429">
        <v>86.159830200208106</v>
      </c>
      <c r="AN429">
        <v>1.0000000713355901</v>
      </c>
    </row>
    <row r="430" spans="1:40" x14ac:dyDescent="0.25">
      <c r="A430" t="str">
        <f>"20190312151230508"</f>
        <v>20190312151230508</v>
      </c>
      <c r="B430" t="str">
        <f>"1552374750499783"</f>
        <v>1552374750499783</v>
      </c>
      <c r="C430" t="s">
        <v>40</v>
      </c>
      <c r="D430">
        <v>3.8815059999999999</v>
      </c>
      <c r="E430">
        <v>0.50627349999999904</v>
      </c>
      <c r="F430" t="s">
        <v>42</v>
      </c>
      <c r="G430">
        <v>-338.91480000000001</v>
      </c>
      <c r="H430" s="1">
        <v>-2.0497250000000001E-6</v>
      </c>
      <c r="I430">
        <v>363.2484</v>
      </c>
      <c r="J430">
        <v>-375.39150000000001</v>
      </c>
      <c r="K430">
        <v>1.1099159999999999</v>
      </c>
      <c r="L430">
        <v>367.34530000000001</v>
      </c>
      <c r="M430">
        <v>0.99961979999999995</v>
      </c>
      <c r="N430">
        <v>0</v>
      </c>
      <c r="O430">
        <v>-2.535254E-2</v>
      </c>
      <c r="P430">
        <v>0.99345859999999997</v>
      </c>
      <c r="Q430">
        <v>6.7350679999999996E-2</v>
      </c>
      <c r="R430">
        <v>-9.2215839999999993E-2</v>
      </c>
      <c r="S430">
        <v>2.9948429999999999</v>
      </c>
      <c r="T430">
        <v>-9.0405940000000004E-2</v>
      </c>
      <c r="U430">
        <v>-0.33428960000000002</v>
      </c>
      <c r="V430">
        <v>6.6991709999999996E-2</v>
      </c>
      <c r="W430">
        <v>7.8143790000000005E-2</v>
      </c>
      <c r="X430">
        <v>0.99468869999999998</v>
      </c>
      <c r="Y430">
        <v>8.5672479999999995E-2</v>
      </c>
      <c r="Z430">
        <v>-5.2631689999999996E-4</v>
      </c>
      <c r="AA430">
        <v>0.99632319999999996</v>
      </c>
      <c r="AB430">
        <v>29</v>
      </c>
      <c r="AC430">
        <v>36.476700000000001</v>
      </c>
      <c r="AD430">
        <v>-1.1099180497250001</v>
      </c>
      <c r="AE430">
        <v>-4.0968999999999998</v>
      </c>
      <c r="AF430">
        <v>3.16785516808195</v>
      </c>
      <c r="AG430">
        <v>-1.1099180497250001</v>
      </c>
      <c r="AH430">
        <v>36.535441218510798</v>
      </c>
      <c r="AI430">
        <v>91.733565402959997</v>
      </c>
      <c r="AJ430">
        <v>85.0444851479471</v>
      </c>
      <c r="AK430">
        <v>36.689313014477499</v>
      </c>
      <c r="AL430">
        <v>85.518121214962804</v>
      </c>
      <c r="AM430">
        <v>86.1469809738755</v>
      </c>
      <c r="AN430">
        <v>0.99999997551598796</v>
      </c>
    </row>
    <row r="431" spans="1:40" x14ac:dyDescent="0.25">
      <c r="A431" t="str">
        <f>"20190312151230531"</f>
        <v>20190312151230531</v>
      </c>
      <c r="B431" t="str">
        <f>"1552374750520279"</f>
        <v>1552374750520279</v>
      </c>
      <c r="C431" t="s">
        <v>40</v>
      </c>
      <c r="D431">
        <v>3.8964150000000002</v>
      </c>
      <c r="E431">
        <v>0.50592550000000003</v>
      </c>
      <c r="F431" t="s">
        <v>42</v>
      </c>
      <c r="G431">
        <v>-340.19330000000002</v>
      </c>
      <c r="H431" s="1">
        <v>-5.7112740000000004E-6</v>
      </c>
      <c r="I431">
        <v>363.44279999999998</v>
      </c>
      <c r="J431">
        <v>-375.09660000000002</v>
      </c>
      <c r="K431">
        <v>1.109918</v>
      </c>
      <c r="L431">
        <v>367.33789999999999</v>
      </c>
      <c r="M431">
        <v>0.99962130000000005</v>
      </c>
      <c r="N431">
        <v>0</v>
      </c>
      <c r="O431">
        <v>-2.528824E-2</v>
      </c>
      <c r="P431">
        <v>0.99345059999999996</v>
      </c>
      <c r="Q431">
        <v>6.7379300000000003E-2</v>
      </c>
      <c r="R431">
        <v>-9.2281699999999994E-2</v>
      </c>
      <c r="S431">
        <v>2.9952999999999999</v>
      </c>
      <c r="T431">
        <v>-9.4452140000000004E-2</v>
      </c>
      <c r="U431">
        <v>-0.33209229999999901</v>
      </c>
      <c r="V431">
        <v>6.7121620000000007E-2</v>
      </c>
      <c r="W431">
        <v>7.8187989999999999E-2</v>
      </c>
      <c r="X431">
        <v>0.99467649999999996</v>
      </c>
      <c r="Y431">
        <v>8.4995650000000006E-2</v>
      </c>
      <c r="Z431">
        <v>-5.4118109999999999E-4</v>
      </c>
      <c r="AA431">
        <v>0.99638119999999997</v>
      </c>
      <c r="AB431">
        <v>29</v>
      </c>
      <c r="AC431">
        <v>34.903300000000002</v>
      </c>
      <c r="AD431">
        <v>-1.1099237112739999</v>
      </c>
      <c r="AE431">
        <v>-3.89510000000001</v>
      </c>
      <c r="AF431">
        <v>3.0081546615525601</v>
      </c>
      <c r="AG431">
        <v>-1.1099237112739999</v>
      </c>
      <c r="AH431">
        <v>34.955728937979003</v>
      </c>
      <c r="AI431">
        <v>91.811967438238199</v>
      </c>
      <c r="AJ431">
        <v>85.081464877016202</v>
      </c>
      <c r="AK431">
        <v>35.1024772729522</v>
      </c>
      <c r="AL431">
        <v>85.515581109136406</v>
      </c>
      <c r="AM431">
        <v>86.139484582547098</v>
      </c>
      <c r="AN431">
        <v>1.0000000066519501</v>
      </c>
    </row>
    <row r="432" spans="1:40" x14ac:dyDescent="0.25">
      <c r="A432" t="str">
        <f>"20190312151230554"</f>
        <v>20190312151230554</v>
      </c>
      <c r="B432" t="str">
        <f>"1552374750550066"</f>
        <v>1552374750550066</v>
      </c>
      <c r="C432" t="s">
        <v>40</v>
      </c>
      <c r="D432">
        <v>3.966062</v>
      </c>
      <c r="E432">
        <v>0.50535629999999998</v>
      </c>
      <c r="F432" t="s">
        <v>42</v>
      </c>
      <c r="G432">
        <v>-341.06169999999997</v>
      </c>
      <c r="H432" s="1">
        <v>-5.2741169999999999E-6</v>
      </c>
      <c r="I432">
        <v>363.59300000000002</v>
      </c>
      <c r="J432">
        <v>-374.79480000000001</v>
      </c>
      <c r="K432">
        <v>1.1099209999999999</v>
      </c>
      <c r="L432">
        <v>367.33030000000002</v>
      </c>
      <c r="M432">
        <v>0.99962280000000003</v>
      </c>
      <c r="N432">
        <v>0</v>
      </c>
      <c r="O432">
        <v>-2.5222270000000001E-2</v>
      </c>
      <c r="P432">
        <v>0.99346939999999995</v>
      </c>
      <c r="Q432">
        <v>6.7057790000000006E-2</v>
      </c>
      <c r="R432">
        <v>-9.2315389999999997E-2</v>
      </c>
      <c r="S432">
        <v>2.9957579999999999</v>
      </c>
      <c r="T432">
        <v>-9.7695710000000005E-2</v>
      </c>
      <c r="U432">
        <v>-0.32962039999999998</v>
      </c>
      <c r="V432">
        <v>6.7220199999999994E-2</v>
      </c>
      <c r="W432">
        <v>7.7880900000000003E-2</v>
      </c>
      <c r="X432">
        <v>0.99469390000000002</v>
      </c>
      <c r="Y432">
        <v>8.4230769999999996E-2</v>
      </c>
      <c r="Z432">
        <v>-5.4940550000000005E-4</v>
      </c>
      <c r="AA432">
        <v>0.9964461</v>
      </c>
      <c r="AB432">
        <v>29</v>
      </c>
      <c r="AC432">
        <v>33.7331</v>
      </c>
      <c r="AD432">
        <v>-1.109926274117</v>
      </c>
      <c r="AE432">
        <v>-3.7372999999999998</v>
      </c>
      <c r="AF432">
        <v>2.8821528661029499</v>
      </c>
      <c r="AG432">
        <v>-1.109926274117</v>
      </c>
      <c r="AH432">
        <v>33.780507931306197</v>
      </c>
      <c r="AI432">
        <v>91.875083045071094</v>
      </c>
      <c r="AJ432">
        <v>85.123334560195602</v>
      </c>
      <c r="AK432">
        <v>33.921401173515903</v>
      </c>
      <c r="AL432">
        <v>85.533229733262601</v>
      </c>
      <c r="AM432">
        <v>86.133899338657301</v>
      </c>
      <c r="AN432">
        <v>0.99999997228502902</v>
      </c>
    </row>
    <row r="433" spans="1:40" x14ac:dyDescent="0.25">
      <c r="A433" t="str">
        <f>"20190312151230577"</f>
        <v>20190312151230577</v>
      </c>
      <c r="B433" t="str">
        <f>"1552374750569583"</f>
        <v>1552374750569583</v>
      </c>
      <c r="C433" t="s">
        <v>40</v>
      </c>
      <c r="D433">
        <v>3.9579200000000001</v>
      </c>
      <c r="E433">
        <v>0.5051061</v>
      </c>
      <c r="F433" t="s">
        <v>42</v>
      </c>
      <c r="G433">
        <v>-342.4624</v>
      </c>
      <c r="H433" s="1">
        <v>-4.5717870000000003E-6</v>
      </c>
      <c r="I433">
        <v>363.81970000000001</v>
      </c>
      <c r="J433">
        <v>-374.50290000000001</v>
      </c>
      <c r="K433">
        <v>1.109918</v>
      </c>
      <c r="L433">
        <v>367.32299999999998</v>
      </c>
      <c r="M433">
        <v>0.99962430000000002</v>
      </c>
      <c r="N433">
        <v>0</v>
      </c>
      <c r="O433">
        <v>-2.5158320000000001E-2</v>
      </c>
      <c r="P433">
        <v>0.99346889999999999</v>
      </c>
      <c r="Q433">
        <v>6.7107420000000001E-2</v>
      </c>
      <c r="R433">
        <v>-9.2283290000000004E-2</v>
      </c>
      <c r="S433">
        <v>2.996429</v>
      </c>
      <c r="T433">
        <v>-0.1028631</v>
      </c>
      <c r="U433">
        <v>-0.32534790000000002</v>
      </c>
      <c r="V433">
        <v>6.7251690000000003E-2</v>
      </c>
      <c r="W433">
        <v>7.7944120000000006E-2</v>
      </c>
      <c r="X433">
        <v>0.99468679999999998</v>
      </c>
      <c r="Y433">
        <v>8.2863560000000003E-2</v>
      </c>
      <c r="Z433">
        <v>-5.5715500000000004E-4</v>
      </c>
      <c r="AA433">
        <v>0.99656080000000002</v>
      </c>
      <c r="AB433">
        <v>29</v>
      </c>
      <c r="AC433">
        <v>32.040500000000002</v>
      </c>
      <c r="AD433">
        <v>-1.109922571787</v>
      </c>
      <c r="AE433">
        <v>-3.5033000000000198</v>
      </c>
      <c r="AF433">
        <v>2.6928648561333599</v>
      </c>
      <c r="AG433">
        <v>-1.109922571787</v>
      </c>
      <c r="AH433">
        <v>32.080457438444</v>
      </c>
      <c r="AI433">
        <v>91.974595322312695</v>
      </c>
      <c r="AJ433">
        <v>85.201784889597505</v>
      </c>
      <c r="AK433">
        <v>32.212407527357797</v>
      </c>
      <c r="AL433">
        <v>85.529596362565798</v>
      </c>
      <c r="AM433">
        <v>86.132066194899807</v>
      </c>
      <c r="AN433">
        <v>0.99999995287233401</v>
      </c>
    </row>
    <row r="434" spans="1:40" x14ac:dyDescent="0.25">
      <c r="A434" t="str">
        <f>"20190312151230597"</f>
        <v>20190312151230597</v>
      </c>
      <c r="B434" t="str">
        <f>"1552374750590079"</f>
        <v>1552374750590079</v>
      </c>
      <c r="C434" t="s">
        <v>40</v>
      </c>
      <c r="D434">
        <v>3.9740820000000001</v>
      </c>
      <c r="E434">
        <v>0.50483239999999996</v>
      </c>
      <c r="F434" t="s">
        <v>42</v>
      </c>
      <c r="G434">
        <v>-343.21010000000001</v>
      </c>
      <c r="H434" s="1">
        <v>-4.1954279999999996E-6</v>
      </c>
      <c r="I434">
        <v>363.94869999999997</v>
      </c>
      <c r="J434">
        <v>-374.22829999999999</v>
      </c>
      <c r="K434">
        <v>1.109923</v>
      </c>
      <c r="L434">
        <v>367.31619999999998</v>
      </c>
      <c r="M434">
        <v>0.99962569999999995</v>
      </c>
      <c r="N434">
        <v>0</v>
      </c>
      <c r="O434">
        <v>-2.509817E-2</v>
      </c>
      <c r="P434">
        <v>0.99347359999999896</v>
      </c>
      <c r="Q434">
        <v>6.7273910000000006E-2</v>
      </c>
      <c r="R434">
        <v>-9.2112650000000004E-2</v>
      </c>
      <c r="S434">
        <v>2.9968870000000001</v>
      </c>
      <c r="T434">
        <v>-0.1062965</v>
      </c>
      <c r="U434">
        <v>-0.32315060000000001</v>
      </c>
      <c r="V434">
        <v>6.7140850000000002E-2</v>
      </c>
      <c r="W434">
        <v>7.812239E-2</v>
      </c>
      <c r="X434">
        <v>0.99468029999999996</v>
      </c>
      <c r="Y434">
        <v>8.2183080000000006E-2</v>
      </c>
      <c r="Z434">
        <v>-5.6576909999999996E-4</v>
      </c>
      <c r="AA434">
        <v>0.99661710000000003</v>
      </c>
      <c r="AB434">
        <v>29</v>
      </c>
      <c r="AC434">
        <v>31.018199999999901</v>
      </c>
      <c r="AD434">
        <v>-1.1099271954279999</v>
      </c>
      <c r="AE434">
        <v>-3.3675000000000002</v>
      </c>
      <c r="AF434">
        <v>2.5846220039622798</v>
      </c>
      <c r="AG434">
        <v>-1.1099271954279999</v>
      </c>
      <c r="AH434">
        <v>31.053652104940401</v>
      </c>
      <c r="AI434">
        <v>92.039960708875896</v>
      </c>
      <c r="AJ434">
        <v>85.242189462334906</v>
      </c>
      <c r="AK434">
        <v>31.1807876477998</v>
      </c>
      <c r="AL434">
        <v>85.519350991682202</v>
      </c>
      <c r="AM434">
        <v>86.1383966185264</v>
      </c>
      <c r="AN434">
        <v>0.999999950383061</v>
      </c>
    </row>
    <row r="435" spans="1:40" x14ac:dyDescent="0.25">
      <c r="A435" t="str">
        <f>"20190312151230620"</f>
        <v>20190312151230620</v>
      </c>
      <c r="B435" t="str">
        <f>"1552374750609603"</f>
        <v>1552374750609603</v>
      </c>
      <c r="C435" t="s">
        <v>40</v>
      </c>
      <c r="D435">
        <v>3.9926910000000002</v>
      </c>
      <c r="E435">
        <v>0.50477970000000005</v>
      </c>
      <c r="F435" t="s">
        <v>42</v>
      </c>
      <c r="G435">
        <v>-343.49470000000002</v>
      </c>
      <c r="H435" s="1">
        <v>-4.0468479999999996E-6</v>
      </c>
      <c r="I435">
        <v>364.02800000000002</v>
      </c>
      <c r="J435">
        <v>-373.93020000000001</v>
      </c>
      <c r="K435">
        <v>1.109926</v>
      </c>
      <c r="L435">
        <v>367.30869999999999</v>
      </c>
      <c r="M435">
        <v>0.99962720000000005</v>
      </c>
      <c r="N435">
        <v>0</v>
      </c>
      <c r="O435">
        <v>-2.503302E-2</v>
      </c>
      <c r="P435">
        <v>0.99351160000000005</v>
      </c>
      <c r="Q435">
        <v>6.7066219999999996E-2</v>
      </c>
      <c r="R435">
        <v>-9.1852119999999995E-2</v>
      </c>
      <c r="S435">
        <v>2.9973139999999998</v>
      </c>
      <c r="T435">
        <v>-0.10824640000000001</v>
      </c>
      <c r="U435">
        <v>-0.32067869999999998</v>
      </c>
      <c r="V435">
        <v>6.6944370000000003E-2</v>
      </c>
      <c r="W435">
        <v>7.7926519999999999E-2</v>
      </c>
      <c r="X435">
        <v>0.99470899999999995</v>
      </c>
      <c r="Y435">
        <v>8.1419459999999999E-2</v>
      </c>
      <c r="Z435">
        <v>-5.6468030000000002E-4</v>
      </c>
      <c r="AA435">
        <v>0.9966798</v>
      </c>
      <c r="AB435">
        <v>29</v>
      </c>
      <c r="AC435">
        <v>30.435499999999902</v>
      </c>
      <c r="AD435">
        <v>-1.109930046848</v>
      </c>
      <c r="AE435">
        <v>-3.28069999999996</v>
      </c>
      <c r="AF435">
        <v>2.51442842643766</v>
      </c>
      <c r="AG435">
        <v>-1.109930046848</v>
      </c>
      <c r="AH435">
        <v>30.468036747901898</v>
      </c>
      <c r="AI435">
        <v>92.079261718077703</v>
      </c>
      <c r="AJ435">
        <v>85.282255768094501</v>
      </c>
      <c r="AK435">
        <v>30.591756378019099</v>
      </c>
      <c r="AL435">
        <v>85.530608248194994</v>
      </c>
      <c r="AM435">
        <v>86.149773875466096</v>
      </c>
      <c r="AN435">
        <v>1.0000000429375</v>
      </c>
    </row>
    <row r="436" spans="1:40" x14ac:dyDescent="0.25">
      <c r="A436" t="str">
        <f>"20190312151230643"</f>
        <v>20190312151230643</v>
      </c>
      <c r="B436" t="str">
        <f>"1552374750640363"</f>
        <v>1552374750640363</v>
      </c>
      <c r="C436" t="s">
        <v>40</v>
      </c>
      <c r="D436">
        <v>4.0353000000000003</v>
      </c>
      <c r="E436">
        <v>0.50463219999999998</v>
      </c>
      <c r="F436" t="s">
        <v>42</v>
      </c>
      <c r="G436">
        <v>-344.35239999999999</v>
      </c>
      <c r="H436" s="1">
        <v>-3.6187280000000001E-6</v>
      </c>
      <c r="I436">
        <v>364.15600000000001</v>
      </c>
      <c r="J436">
        <v>-373.63400000000001</v>
      </c>
      <c r="K436">
        <v>1.1099289999999999</v>
      </c>
      <c r="L436">
        <v>367.3014</v>
      </c>
      <c r="M436">
        <v>0.99962870000000004</v>
      </c>
      <c r="N436">
        <v>0</v>
      </c>
      <c r="O436">
        <v>-2.4968339999999999E-2</v>
      </c>
      <c r="P436">
        <v>0.99354149999999997</v>
      </c>
      <c r="Q436">
        <v>6.6966880000000006E-2</v>
      </c>
      <c r="R436">
        <v>-9.1602039999999996E-2</v>
      </c>
      <c r="S436">
        <v>2.9976500000000001</v>
      </c>
      <c r="T436">
        <v>-0.1124889</v>
      </c>
      <c r="U436">
        <v>-0.319519</v>
      </c>
      <c r="V436">
        <v>6.6757839999999999E-2</v>
      </c>
      <c r="W436">
        <v>7.7838580000000004E-2</v>
      </c>
      <c r="X436">
        <v>0.99472839999999996</v>
      </c>
      <c r="Y436">
        <v>8.1088190000000004E-2</v>
      </c>
      <c r="Z436">
        <v>-5.8296330000000003E-4</v>
      </c>
      <c r="AA436">
        <v>0.9967068</v>
      </c>
      <c r="AB436">
        <v>29</v>
      </c>
      <c r="AC436">
        <v>29.281600000000001</v>
      </c>
      <c r="AD436">
        <v>-1.1099326187279901</v>
      </c>
      <c r="AE436">
        <v>-3.1453999999999902</v>
      </c>
      <c r="AF436">
        <v>2.40983979672288</v>
      </c>
      <c r="AG436">
        <v>-1.1099326187279901</v>
      </c>
      <c r="AH436">
        <v>29.309378206058899</v>
      </c>
      <c r="AI436">
        <v>92.161441692893007</v>
      </c>
      <c r="AJ436">
        <v>85.299669378418798</v>
      </c>
      <c r="AK436">
        <v>29.429218968395801</v>
      </c>
      <c r="AL436">
        <v>85.535662095199598</v>
      </c>
      <c r="AM436">
        <v>86.160544451883297</v>
      </c>
      <c r="AN436">
        <v>1.00000002175222</v>
      </c>
    </row>
    <row r="437" spans="1:40" x14ac:dyDescent="0.25">
      <c r="A437" t="str">
        <f>"20190312151230664"</f>
        <v>20190312151230664</v>
      </c>
      <c r="B437" t="str">
        <f>"1552374750659883"</f>
        <v>1552374750659883</v>
      </c>
      <c r="C437" t="s">
        <v>40</v>
      </c>
      <c r="D437">
        <v>3.997277</v>
      </c>
      <c r="E437">
        <v>0.50458059999999905</v>
      </c>
      <c r="F437" t="s">
        <v>42</v>
      </c>
      <c r="G437">
        <v>-345.3442</v>
      </c>
      <c r="H437" s="1">
        <v>-3.185582E-6</v>
      </c>
      <c r="I437">
        <v>364.30399999999997</v>
      </c>
      <c r="J437">
        <v>-373.35399999999998</v>
      </c>
      <c r="K437">
        <v>1.109928</v>
      </c>
      <c r="L437">
        <v>367.2944</v>
      </c>
      <c r="M437">
        <v>0.99963000000000002</v>
      </c>
      <c r="N437">
        <v>0</v>
      </c>
      <c r="O437">
        <v>-2.4906999999999999E-2</v>
      </c>
      <c r="P437">
        <v>0.99352660000000004</v>
      </c>
      <c r="Q437">
        <v>6.7062849999999993E-2</v>
      </c>
      <c r="R437">
        <v>-9.1692029999999994E-2</v>
      </c>
      <c r="S437">
        <v>2.998138</v>
      </c>
      <c r="T437">
        <v>-0.1176301</v>
      </c>
      <c r="U437">
        <v>-0.31765749999999998</v>
      </c>
      <c r="V437">
        <v>6.6909220000000005E-2</v>
      </c>
      <c r="W437">
        <v>7.7943650000000003E-2</v>
      </c>
      <c r="X437">
        <v>0.99470999999999998</v>
      </c>
      <c r="Y437">
        <v>8.0517019999999995E-2</v>
      </c>
      <c r="Z437">
        <v>-6.0073449999999997E-4</v>
      </c>
      <c r="AA437">
        <v>0.996753</v>
      </c>
      <c r="AB437">
        <v>29</v>
      </c>
      <c r="AC437">
        <v>28.009799999999998</v>
      </c>
      <c r="AD437">
        <v>-1.109931185582</v>
      </c>
      <c r="AE437">
        <v>-2.9903999999999602</v>
      </c>
      <c r="AF437">
        <v>2.2882377683914301</v>
      </c>
      <c r="AG437">
        <v>-1.109931185582</v>
      </c>
      <c r="AH437">
        <v>28.0320742689943</v>
      </c>
      <c r="AI437">
        <v>92.259935383171594</v>
      </c>
      <c r="AJ437">
        <v>85.333334161862695</v>
      </c>
      <c r="AK437">
        <v>28.147205316759798</v>
      </c>
      <c r="AL437">
        <v>85.529623675342407</v>
      </c>
      <c r="AM437">
        <v>86.151793267366102</v>
      </c>
      <c r="AN437">
        <v>1.00000002019816</v>
      </c>
    </row>
    <row r="438" spans="1:40" x14ac:dyDescent="0.25">
      <c r="A438" t="str">
        <f>"20190312151230688"</f>
        <v>20190312151230688</v>
      </c>
      <c r="B438" t="str">
        <f>"1552374750679402"</f>
        <v>1552374750679402</v>
      </c>
      <c r="C438" t="s">
        <v>40</v>
      </c>
      <c r="D438">
        <v>4.0188620000000004</v>
      </c>
      <c r="E438">
        <v>0.50452299999999894</v>
      </c>
      <c r="F438" t="s">
        <v>42</v>
      </c>
      <c r="G438">
        <v>-345.78059999999999</v>
      </c>
      <c r="H438" s="1">
        <v>-2.9992809999999999E-6</v>
      </c>
      <c r="I438">
        <v>364.37439999999998</v>
      </c>
      <c r="J438">
        <v>-373.04790000000003</v>
      </c>
      <c r="K438">
        <v>1.1099330000000001</v>
      </c>
      <c r="L438">
        <v>367.2869</v>
      </c>
      <c r="M438">
        <v>0.99963159999999895</v>
      </c>
      <c r="N438">
        <v>0</v>
      </c>
      <c r="O438">
        <v>-2.4838280000000001E-2</v>
      </c>
      <c r="P438">
        <v>0.99354310000000001</v>
      </c>
      <c r="Q438">
        <v>6.7005399999999896E-2</v>
      </c>
      <c r="R438">
        <v>-9.155452E-2</v>
      </c>
      <c r="S438">
        <v>2.9984440000000001</v>
      </c>
      <c r="T438">
        <v>-0.1206985</v>
      </c>
      <c r="U438">
        <v>-0.31753540000000002</v>
      </c>
      <c r="V438">
        <v>6.6839759999999998E-2</v>
      </c>
      <c r="W438">
        <v>7.789944E-2</v>
      </c>
      <c r="X438">
        <v>0.99471810000000005</v>
      </c>
      <c r="Y438">
        <v>8.0532480000000004E-2</v>
      </c>
      <c r="Z438">
        <v>-6.1939619999999999E-4</v>
      </c>
      <c r="AA438">
        <v>0.99675179999999997</v>
      </c>
      <c r="AB438">
        <v>29</v>
      </c>
      <c r="AC438">
        <v>27.267299999999999</v>
      </c>
      <c r="AD438">
        <v>-1.1099359992810001</v>
      </c>
      <c r="AE438">
        <v>-2.9125000000000201</v>
      </c>
      <c r="AF438">
        <v>2.2306335815809701</v>
      </c>
      <c r="AG438">
        <v>-1.1099359992810001</v>
      </c>
      <c r="AH438">
        <v>27.286529738138899</v>
      </c>
      <c r="AI438">
        <v>92.321604104034904</v>
      </c>
      <c r="AJ438">
        <v>85.326546617797405</v>
      </c>
      <c r="AK438">
        <v>27.400043599383501</v>
      </c>
      <c r="AL438">
        <v>85.532164299958396</v>
      </c>
      <c r="AM438">
        <v>86.155807404424493</v>
      </c>
      <c r="AN438">
        <v>0.99999998736839002</v>
      </c>
    </row>
    <row r="439" spans="1:40" x14ac:dyDescent="0.25">
      <c r="A439" t="str">
        <f>"20190312151230710"</f>
        <v>20190312151230710</v>
      </c>
      <c r="B439" t="str">
        <f>"1552374750699899"</f>
        <v>1552374750699899</v>
      </c>
      <c r="C439" t="s">
        <v>40</v>
      </c>
      <c r="D439">
        <v>3.9764140000000001</v>
      </c>
      <c r="E439">
        <v>0.50450070000000002</v>
      </c>
      <c r="F439" t="s">
        <v>42</v>
      </c>
      <c r="G439">
        <v>-345.96480000000003</v>
      </c>
      <c r="H439" s="1">
        <v>-2.9152999999999999E-6</v>
      </c>
      <c r="I439">
        <v>364.42419999999998</v>
      </c>
      <c r="J439">
        <v>-372.74770000000001</v>
      </c>
      <c r="K439">
        <v>1.1099380000000001</v>
      </c>
      <c r="L439">
        <v>367.27949999999998</v>
      </c>
      <c r="M439">
        <v>0.99963329999999995</v>
      </c>
      <c r="N439">
        <v>0</v>
      </c>
      <c r="O439">
        <v>-2.4768729999999999E-2</v>
      </c>
      <c r="P439">
        <v>0.99353659999999999</v>
      </c>
      <c r="Q439">
        <v>6.6945320000000003E-2</v>
      </c>
      <c r="R439">
        <v>-9.1671290000000002E-2</v>
      </c>
      <c r="S439">
        <v>2.9985659999999998</v>
      </c>
      <c r="T439">
        <v>-0.1228894</v>
      </c>
      <c r="U439">
        <v>-0.316955599999999</v>
      </c>
      <c r="V439">
        <v>6.7025639999999997E-2</v>
      </c>
      <c r="W439">
        <v>7.78557E-2</v>
      </c>
      <c r="X439">
        <v>0.99470899999999995</v>
      </c>
      <c r="Y439">
        <v>8.0405409999999997E-2</v>
      </c>
      <c r="Z439">
        <v>-6.3085419999999999E-4</v>
      </c>
      <c r="AA439">
        <v>0.99676200000000004</v>
      </c>
      <c r="AB439">
        <v>29</v>
      </c>
      <c r="AC439">
        <v>26.782899999999898</v>
      </c>
      <c r="AD439">
        <v>-1.1099409152999999</v>
      </c>
      <c r="AE439">
        <v>-2.8553000000000002</v>
      </c>
      <c r="AF439">
        <v>2.18729140933472</v>
      </c>
      <c r="AG439">
        <v>-1.1099409152999999</v>
      </c>
      <c r="AH439">
        <v>26.799898342116801</v>
      </c>
      <c r="AI439">
        <v>92.363748213341793</v>
      </c>
      <c r="AJ439">
        <v>85.334108776691494</v>
      </c>
      <c r="AK439">
        <v>26.911907470348499</v>
      </c>
      <c r="AL439">
        <v>85.534677976621197</v>
      </c>
      <c r="AM439">
        <v>86.145113811955596</v>
      </c>
      <c r="AN439">
        <v>0.99999997056044898</v>
      </c>
    </row>
    <row r="440" spans="1:40" x14ac:dyDescent="0.25">
      <c r="A440" t="str">
        <f>"20190312151230732"</f>
        <v>20190312151230732</v>
      </c>
      <c r="B440" t="str">
        <f>"1552374750720399"</f>
        <v>1552374750720399</v>
      </c>
      <c r="C440" t="s">
        <v>40</v>
      </c>
      <c r="D440">
        <v>4.0194070000000002</v>
      </c>
      <c r="E440">
        <v>0.50447580000000003</v>
      </c>
      <c r="F440" t="s">
        <v>42</v>
      </c>
      <c r="G440">
        <v>-346.26299999999998</v>
      </c>
      <c r="H440" s="1">
        <v>-2.7856789999999999E-6</v>
      </c>
      <c r="I440">
        <v>364.48099999999999</v>
      </c>
      <c r="J440">
        <v>-372.46749999999997</v>
      </c>
      <c r="K440">
        <v>1.1099410000000001</v>
      </c>
      <c r="L440">
        <v>367.27269999999999</v>
      </c>
      <c r="M440">
        <v>0.99963460000000004</v>
      </c>
      <c r="N440">
        <v>0</v>
      </c>
      <c r="O440">
        <v>-2.470251E-2</v>
      </c>
      <c r="P440">
        <v>0.99348190000000003</v>
      </c>
      <c r="Q440">
        <v>6.7359450000000001E-2</v>
      </c>
      <c r="R440">
        <v>-9.1960340000000002E-2</v>
      </c>
      <c r="S440">
        <v>2.9987180000000002</v>
      </c>
      <c r="T440">
        <v>-0.12567229999999999</v>
      </c>
      <c r="U440">
        <v>-0.31686399999999998</v>
      </c>
      <c r="V440">
        <v>6.7381339999999998E-2</v>
      </c>
      <c r="W440">
        <v>7.8285930000000004E-2</v>
      </c>
      <c r="X440">
        <v>0.99465130000000002</v>
      </c>
      <c r="Y440">
        <v>8.0433820000000003E-2</v>
      </c>
      <c r="Z440">
        <v>-6.4845339999999895E-4</v>
      </c>
      <c r="AA440">
        <v>0.99675970000000003</v>
      </c>
      <c r="AB440">
        <v>29</v>
      </c>
      <c r="AC440">
        <v>26.2044999999999</v>
      </c>
      <c r="AD440">
        <v>-1.109943785679</v>
      </c>
      <c r="AE440">
        <v>-2.7916999999999899</v>
      </c>
      <c r="AF440">
        <v>2.1396963083028999</v>
      </c>
      <c r="AG440">
        <v>-1.109943785679</v>
      </c>
      <c r="AH440">
        <v>26.218956872075399</v>
      </c>
      <c r="AI440">
        <v>92.416068707182106</v>
      </c>
      <c r="AJ440">
        <v>85.334502084313499</v>
      </c>
      <c r="AK440">
        <v>26.3295266755573</v>
      </c>
      <c r="AL440">
        <v>85.509952593009999</v>
      </c>
      <c r="AM440">
        <v>86.124494272080696</v>
      </c>
      <c r="AN440">
        <v>1.00000007020392</v>
      </c>
    </row>
    <row r="441" spans="1:40" x14ac:dyDescent="0.25">
      <c r="A441" t="str">
        <f>"20190312151230756"</f>
        <v>20190312151230756</v>
      </c>
      <c r="B441" t="str">
        <f>"1552374750749675"</f>
        <v>1552374750749675</v>
      </c>
      <c r="C441" t="s">
        <v>40</v>
      </c>
      <c r="D441">
        <v>4.0259119999999999</v>
      </c>
      <c r="E441">
        <v>0.50440940000000001</v>
      </c>
      <c r="F441" t="s">
        <v>42</v>
      </c>
      <c r="G441">
        <v>-346.32170000000002</v>
      </c>
      <c r="H441" s="1">
        <v>-2.7565129999999999E-6</v>
      </c>
      <c r="I441">
        <v>364.5059</v>
      </c>
      <c r="J441">
        <v>-372.1497</v>
      </c>
      <c r="K441">
        <v>1.109942</v>
      </c>
      <c r="L441">
        <v>367.26490000000001</v>
      </c>
      <c r="M441">
        <v>0.99963639999999998</v>
      </c>
      <c r="N441">
        <v>0</v>
      </c>
      <c r="O441">
        <v>-2.4625580000000001E-2</v>
      </c>
      <c r="P441">
        <v>0.99352839999999998</v>
      </c>
      <c r="Q441">
        <v>6.7117499999999997E-2</v>
      </c>
      <c r="R441">
        <v>-9.163528E-2</v>
      </c>
      <c r="S441">
        <v>2.9989319999999999</v>
      </c>
      <c r="T441">
        <v>-0.1273108</v>
      </c>
      <c r="U441">
        <v>-0.31735229999999998</v>
      </c>
      <c r="V441">
        <v>6.7131460000000004E-2</v>
      </c>
      <c r="W441">
        <v>7.8063439999999998E-2</v>
      </c>
      <c r="X441">
        <v>0.99468559999999995</v>
      </c>
      <c r="Y441">
        <v>8.0662090000000006E-2</v>
      </c>
      <c r="Z441">
        <v>-6.6493039999999904E-4</v>
      </c>
      <c r="AA441">
        <v>0.99674130000000005</v>
      </c>
      <c r="AB441">
        <v>29</v>
      </c>
      <c r="AC441">
        <v>25.8279999999999</v>
      </c>
      <c r="AD441">
        <v>-1.1099447565130001</v>
      </c>
      <c r="AE441">
        <v>-2.7590000000000101</v>
      </c>
      <c r="AF441">
        <v>2.1182275462362301</v>
      </c>
      <c r="AG441">
        <v>-1.1099447565130001</v>
      </c>
      <c r="AH441">
        <v>25.840927897496002</v>
      </c>
      <c r="AI441">
        <v>92.451300682577198</v>
      </c>
      <c r="AJ441">
        <v>85.313838724759407</v>
      </c>
      <c r="AK441">
        <v>25.951347169342402</v>
      </c>
      <c r="AL441">
        <v>85.522739094249502</v>
      </c>
      <c r="AM441">
        <v>86.1389555611091</v>
      </c>
      <c r="AN441">
        <v>0.99999998821686198</v>
      </c>
    </row>
    <row r="442" spans="1:40" x14ac:dyDescent="0.25">
      <c r="A442" t="str">
        <f>"20190312151230778"</f>
        <v>20190312151230778</v>
      </c>
      <c r="B442" t="str">
        <f>"1552374750770171"</f>
        <v>1552374750770171</v>
      </c>
      <c r="C442" t="s">
        <v>40</v>
      </c>
      <c r="D442">
        <v>4.0168629999999999</v>
      </c>
      <c r="E442">
        <v>0.50435419999999997</v>
      </c>
      <c r="F442" t="s">
        <v>42</v>
      </c>
      <c r="G442">
        <v>-346.86450000000002</v>
      </c>
      <c r="H442" s="1">
        <v>-2.5239090000000001E-6</v>
      </c>
      <c r="I442">
        <v>364.59660000000002</v>
      </c>
      <c r="J442">
        <v>-371.8537</v>
      </c>
      <c r="K442">
        <v>1.109944</v>
      </c>
      <c r="L442">
        <v>367.2577</v>
      </c>
      <c r="M442">
        <v>0.99963809999999997</v>
      </c>
      <c r="N442">
        <v>0</v>
      </c>
      <c r="O442">
        <v>-2.4551980000000001E-2</v>
      </c>
      <c r="P442">
        <v>0.99357220000000002</v>
      </c>
      <c r="Q442">
        <v>6.6861889999999993E-2</v>
      </c>
      <c r="R442">
        <v>-9.1345319999999994E-2</v>
      </c>
      <c r="S442">
        <v>2.9992070000000002</v>
      </c>
      <c r="T442">
        <v>-0.131656299999999</v>
      </c>
      <c r="U442">
        <v>-0.3164978</v>
      </c>
      <c r="V442">
        <v>6.6913539999999994E-2</v>
      </c>
      <c r="W442">
        <v>7.7825279999999997E-2</v>
      </c>
      <c r="X442">
        <v>0.99471900000000002</v>
      </c>
      <c r="Y442">
        <v>8.0441750000000006E-2</v>
      </c>
      <c r="Z442">
        <v>-6.8594909999999997E-4</v>
      </c>
      <c r="AA442">
        <v>0.99675910000000001</v>
      </c>
      <c r="AB442">
        <v>29</v>
      </c>
      <c r="AC442">
        <v>24.989199999999901</v>
      </c>
      <c r="AD442">
        <v>-1.1099465239090001</v>
      </c>
      <c r="AE442">
        <v>-2.66109999999997</v>
      </c>
      <c r="AF442">
        <v>2.0427414233213801</v>
      </c>
      <c r="AG442">
        <v>-1.1099465239090001</v>
      </c>
      <c r="AH442">
        <v>24.998240056450999</v>
      </c>
      <c r="AI442">
        <v>92.5338845853788</v>
      </c>
      <c r="AJ442">
        <v>85.328431453059594</v>
      </c>
      <c r="AK442">
        <v>25.106110406202699</v>
      </c>
      <c r="AL442">
        <v>85.536426540522896</v>
      </c>
      <c r="AM442">
        <v>86.151580269480405</v>
      </c>
      <c r="AN442">
        <v>1.0000000425016999</v>
      </c>
    </row>
    <row r="443" spans="1:40" x14ac:dyDescent="0.25">
      <c r="A443" t="str">
        <f>"20190312151230800"</f>
        <v>20190312151230800</v>
      </c>
      <c r="B443" t="str">
        <f>"1552374750789691"</f>
        <v>1552374750789691</v>
      </c>
      <c r="C443" t="s">
        <v>40</v>
      </c>
      <c r="D443">
        <v>3.9945460000000002</v>
      </c>
      <c r="E443">
        <v>0.50432179999999904</v>
      </c>
      <c r="F443" t="s">
        <v>42</v>
      </c>
      <c r="G443">
        <v>-347.10399999999998</v>
      </c>
      <c r="H443" s="1">
        <v>-2.4152920000000002E-6</v>
      </c>
      <c r="I443">
        <v>364.6592</v>
      </c>
      <c r="J443">
        <v>-371.56240000000003</v>
      </c>
      <c r="K443">
        <v>1.109945</v>
      </c>
      <c r="L443">
        <v>367.25060000000002</v>
      </c>
      <c r="M443">
        <v>0.99963970000000002</v>
      </c>
      <c r="N443">
        <v>0</v>
      </c>
      <c r="O443">
        <v>-2.4478030000000001E-2</v>
      </c>
      <c r="P443">
        <v>0.99355380000000004</v>
      </c>
      <c r="Q443">
        <v>6.6336599999999996E-2</v>
      </c>
      <c r="R443">
        <v>-9.1925989999999999E-2</v>
      </c>
      <c r="S443">
        <v>2.9995120000000002</v>
      </c>
      <c r="T443">
        <v>-0.13451850000000001</v>
      </c>
      <c r="U443">
        <v>-0.31491089999999999</v>
      </c>
      <c r="V443">
        <v>6.7568160000000002E-2</v>
      </c>
      <c r="W443">
        <v>7.7315170000000003E-2</v>
      </c>
      <c r="X443">
        <v>0.99471449999999995</v>
      </c>
      <c r="Y443">
        <v>7.9981380000000005E-2</v>
      </c>
      <c r="Z443">
        <v>-6.9380709999999999E-4</v>
      </c>
      <c r="AA443">
        <v>0.99679609999999996</v>
      </c>
      <c r="AB443">
        <v>29</v>
      </c>
      <c r="AC443">
        <v>24.458399999999902</v>
      </c>
      <c r="AD443">
        <v>-1.1099474152919999</v>
      </c>
      <c r="AE443">
        <v>-2.5914000000000201</v>
      </c>
      <c r="AF443">
        <v>1.9878452798217701</v>
      </c>
      <c r="AG443">
        <v>-1.1099474152919999</v>
      </c>
      <c r="AH443">
        <v>24.464682622700401</v>
      </c>
      <c r="AI443">
        <v>92.589171137048496</v>
      </c>
      <c r="AJ443">
        <v>85.354712604781298</v>
      </c>
      <c r="AK443">
        <v>24.570392914047599</v>
      </c>
      <c r="AL443">
        <v>85.565741894389703</v>
      </c>
      <c r="AM443">
        <v>86.114028168925699</v>
      </c>
      <c r="AN443">
        <v>1.0000000141340799</v>
      </c>
    </row>
    <row r="444" spans="1:40" x14ac:dyDescent="0.25">
      <c r="A444" t="str">
        <f>"20190312151230822"</f>
        <v>20190312151230822</v>
      </c>
      <c r="B444" t="str">
        <f>"1552374750810187"</f>
        <v>1552374750810187</v>
      </c>
      <c r="C444" t="s">
        <v>40</v>
      </c>
      <c r="D444">
        <v>4.0451709999999999</v>
      </c>
      <c r="E444">
        <v>0.50428969999999995</v>
      </c>
      <c r="F444" t="s">
        <v>42</v>
      </c>
      <c r="G444">
        <v>-347.40570000000002</v>
      </c>
      <c r="H444" s="1">
        <v>-2.2875480000000002E-6</v>
      </c>
      <c r="I444">
        <v>364.70389999999998</v>
      </c>
      <c r="J444">
        <v>-371.2747</v>
      </c>
      <c r="K444">
        <v>1.1099479999999999</v>
      </c>
      <c r="L444">
        <v>367.24369999999999</v>
      </c>
      <c r="M444">
        <v>0.99964129999999995</v>
      </c>
      <c r="N444">
        <v>0</v>
      </c>
      <c r="O444">
        <v>-2.440407E-2</v>
      </c>
      <c r="P444">
        <v>0.99358340000000001</v>
      </c>
      <c r="Q444">
        <v>6.6174510000000006E-2</v>
      </c>
      <c r="R444">
        <v>-9.1723089999999993E-2</v>
      </c>
      <c r="S444">
        <v>2.9994510000000001</v>
      </c>
      <c r="T444">
        <v>-0.1378181</v>
      </c>
      <c r="U444">
        <v>-0.31622309999999998</v>
      </c>
      <c r="V444">
        <v>6.7438159999999997E-2</v>
      </c>
      <c r="W444">
        <v>7.7167799999999995E-2</v>
      </c>
      <c r="X444">
        <v>0.99473480000000003</v>
      </c>
      <c r="Y444">
        <v>8.0485199999999896E-2</v>
      </c>
      <c r="Z444">
        <v>-7.2572830000000002E-4</v>
      </c>
      <c r="AA444">
        <v>0.99675550000000002</v>
      </c>
      <c r="AB444">
        <v>29</v>
      </c>
      <c r="AC444">
        <v>23.8689999999999</v>
      </c>
      <c r="AD444">
        <v>-1.1099502875479901</v>
      </c>
      <c r="AE444">
        <v>-2.5398000000000098</v>
      </c>
      <c r="AF444">
        <v>1.95233281126118</v>
      </c>
      <c r="AG444">
        <v>-1.1099502875479901</v>
      </c>
      <c r="AH444">
        <v>23.872830636867398</v>
      </c>
      <c r="AI444">
        <v>92.653164713715299</v>
      </c>
      <c r="AJ444">
        <v>85.324724927687001</v>
      </c>
      <c r="AK444">
        <v>23.9782325383526</v>
      </c>
      <c r="AL444">
        <v>85.574211027763397</v>
      </c>
      <c r="AM444">
        <v>86.121560781308801</v>
      </c>
      <c r="AN444">
        <v>1.0000000485560301</v>
      </c>
    </row>
    <row r="445" spans="1:40" x14ac:dyDescent="0.25">
      <c r="A445" t="str">
        <f>"20190312151230843"</f>
        <v>20190312151230843</v>
      </c>
      <c r="B445" t="str">
        <f>"1552374750840443"</f>
        <v>1552374750840443</v>
      </c>
      <c r="C445" t="s">
        <v>40</v>
      </c>
      <c r="D445">
        <v>4.0205449999999896</v>
      </c>
      <c r="E445">
        <v>0.50426119999999997</v>
      </c>
      <c r="F445" t="s">
        <v>42</v>
      </c>
      <c r="G445">
        <v>-347.49209999999999</v>
      </c>
      <c r="H445" s="1">
        <v>-2.2445050000000002E-6</v>
      </c>
      <c r="I445">
        <v>364.74099999999999</v>
      </c>
      <c r="J445">
        <v>-371.00110000000001</v>
      </c>
      <c r="K445">
        <v>1.1099460000000001</v>
      </c>
      <c r="L445">
        <v>367.2371</v>
      </c>
      <c r="M445">
        <v>0.99964299999999995</v>
      </c>
      <c r="N445">
        <v>0</v>
      </c>
      <c r="O445">
        <v>-2.4333090000000002E-2</v>
      </c>
      <c r="P445">
        <v>0.99361189999999999</v>
      </c>
      <c r="Q445">
        <v>6.6307099999999994E-2</v>
      </c>
      <c r="R445">
        <v>-9.1318479999999994E-2</v>
      </c>
      <c r="S445">
        <v>2.9995120000000002</v>
      </c>
      <c r="T445">
        <v>-0.13998940000000001</v>
      </c>
      <c r="U445">
        <v>-0.31564330000000002</v>
      </c>
      <c r="V445">
        <v>6.7103549999999998E-2</v>
      </c>
      <c r="W445">
        <v>7.7313270000000003E-2</v>
      </c>
      <c r="X445">
        <v>0.99474609999999997</v>
      </c>
      <c r="Y445">
        <v>8.0361489999999994E-2</v>
      </c>
      <c r="Z445">
        <v>-7.3756309999999895E-4</v>
      </c>
      <c r="AA445">
        <v>0.99676549999999997</v>
      </c>
      <c r="AB445">
        <v>29</v>
      </c>
      <c r="AC445">
        <v>23.509</v>
      </c>
      <c r="AD445">
        <v>-1.109948244505</v>
      </c>
      <c r="AE445">
        <v>-2.49610000000001</v>
      </c>
      <c r="AF445">
        <v>1.9190492457405799</v>
      </c>
      <c r="AG445">
        <v>-1.109948244505</v>
      </c>
      <c r="AH445">
        <v>23.510954873568199</v>
      </c>
      <c r="AI445">
        <v>92.693971278917402</v>
      </c>
      <c r="AJ445">
        <v>85.333655760801406</v>
      </c>
      <c r="AK445">
        <v>23.615243682418701</v>
      </c>
      <c r="AL445">
        <v>85.565851090610593</v>
      </c>
      <c r="AM445">
        <v>86.140789963814797</v>
      </c>
      <c r="AN445">
        <v>1.0000000158029501</v>
      </c>
    </row>
    <row r="446" spans="1:40" x14ac:dyDescent="0.25">
      <c r="A446" t="str">
        <f>"20190312151230865"</f>
        <v>20190312151230865</v>
      </c>
      <c r="B446" t="str">
        <f>"1552374750859963"</f>
        <v>1552374750859963</v>
      </c>
      <c r="C446" t="s">
        <v>40</v>
      </c>
      <c r="D446">
        <v>4.0713350000000004</v>
      </c>
      <c r="E446">
        <v>0.50424749999999996</v>
      </c>
      <c r="F446" t="s">
        <v>42</v>
      </c>
      <c r="G446">
        <v>-347.52080000000001</v>
      </c>
      <c r="H446" s="1">
        <v>-2.2237599999999999E-6</v>
      </c>
      <c r="I446">
        <v>364.77749999999997</v>
      </c>
      <c r="J446">
        <v>-370.70139999999998</v>
      </c>
      <c r="K446">
        <v>1.109947</v>
      </c>
      <c r="L446">
        <v>367.22989999999999</v>
      </c>
      <c r="M446">
        <v>0.99964459999999999</v>
      </c>
      <c r="N446">
        <v>0</v>
      </c>
      <c r="O446">
        <v>-2.425592E-2</v>
      </c>
      <c r="P446">
        <v>0.99360760000000004</v>
      </c>
      <c r="Q446">
        <v>6.6135970000000002E-2</v>
      </c>
      <c r="R446">
        <v>-9.1490509999999997E-2</v>
      </c>
      <c r="S446">
        <v>2.9998469999999999</v>
      </c>
      <c r="T446">
        <v>-0.141807399999999</v>
      </c>
      <c r="U446">
        <v>-0.3142395</v>
      </c>
      <c r="V446">
        <v>6.7352270000000006E-2</v>
      </c>
      <c r="W446">
        <v>7.7158290000000004E-2</v>
      </c>
      <c r="X446">
        <v>0.99474130000000005</v>
      </c>
      <c r="Y446">
        <v>7.9964259999999995E-2</v>
      </c>
      <c r="Z446">
        <v>-7.4133949999999999E-4</v>
      </c>
      <c r="AA446">
        <v>0.99679739999999994</v>
      </c>
      <c r="AB446">
        <v>30</v>
      </c>
      <c r="AC446">
        <v>23.180599999999899</v>
      </c>
      <c r="AD446">
        <v>-1.1099492237599999</v>
      </c>
      <c r="AE446">
        <v>-2.4524000000000101</v>
      </c>
      <c r="AF446">
        <v>1.8851029679823099</v>
      </c>
      <c r="AG446">
        <v>-1.1099492237599999</v>
      </c>
      <c r="AH446">
        <v>23.180708557389501</v>
      </c>
      <c r="AI446">
        <v>92.732362455170801</v>
      </c>
      <c r="AJ446">
        <v>85.350819951667802</v>
      </c>
      <c r="AK446">
        <v>23.283703522031299</v>
      </c>
      <c r="AL446">
        <v>85.574757289072906</v>
      </c>
      <c r="AM446">
        <v>86.126510592196894</v>
      </c>
      <c r="AN446">
        <v>0.999999991957783</v>
      </c>
    </row>
    <row r="447" spans="1:40" x14ac:dyDescent="0.25">
      <c r="A447" t="str">
        <f>"20190312151230889"</f>
        <v>20190312151230889</v>
      </c>
      <c r="B447" t="str">
        <f>"1552374750880458"</f>
        <v>1552374750880458</v>
      </c>
      <c r="C447" t="s">
        <v>40</v>
      </c>
      <c r="D447">
        <v>4.0604380000000004</v>
      </c>
      <c r="E447">
        <v>0.50423320000000005</v>
      </c>
      <c r="F447" t="s">
        <v>42</v>
      </c>
      <c r="G447">
        <v>-347.48950000000002</v>
      </c>
      <c r="H447" s="1">
        <v>-2.2313289999999999E-6</v>
      </c>
      <c r="I447">
        <v>364.79419999999999</v>
      </c>
      <c r="J447">
        <v>-370.39519999999999</v>
      </c>
      <c r="K447">
        <v>1.109942</v>
      </c>
      <c r="L447">
        <v>367.22250000000003</v>
      </c>
      <c r="M447">
        <v>0.99964620000000004</v>
      </c>
      <c r="N447">
        <v>0</v>
      </c>
      <c r="O447">
        <v>-2.417687E-2</v>
      </c>
      <c r="P447">
        <v>0.99359770000000003</v>
      </c>
      <c r="Q447">
        <v>6.6346810000000006E-2</v>
      </c>
      <c r="R447">
        <v>-9.1443079999999996E-2</v>
      </c>
      <c r="S447">
        <v>2.999908</v>
      </c>
      <c r="T447">
        <v>-0.1434503</v>
      </c>
      <c r="U447">
        <v>-0.31478879999999998</v>
      </c>
      <c r="V447">
        <v>6.7383999999999999E-2</v>
      </c>
      <c r="W447">
        <v>7.7387910000000004E-2</v>
      </c>
      <c r="X447">
        <v>0.99472130000000003</v>
      </c>
      <c r="Y447">
        <v>8.0219689999999996E-2</v>
      </c>
      <c r="Z447">
        <v>-7.5974759999999995E-4</v>
      </c>
      <c r="AA447">
        <v>0.99677689999999997</v>
      </c>
      <c r="AB447">
        <v>30</v>
      </c>
      <c r="AC447">
        <v>22.9056999999999</v>
      </c>
      <c r="AD447">
        <v>-1.109944231329</v>
      </c>
      <c r="AE447">
        <v>-2.4283000000000299</v>
      </c>
      <c r="AF447">
        <v>1.86942713080156</v>
      </c>
      <c r="AG447">
        <v>-1.109944231329</v>
      </c>
      <c r="AH447">
        <v>22.904531836042398</v>
      </c>
      <c r="AI447">
        <v>92.765179122435697</v>
      </c>
      <c r="AJ447">
        <v>85.333963077929297</v>
      </c>
      <c r="AK447">
        <v>23.007483839444902</v>
      </c>
      <c r="AL447">
        <v>85.561561515966304</v>
      </c>
      <c r="AM447">
        <v>86.124613650415796</v>
      </c>
      <c r="AN447">
        <v>0.999999978371928</v>
      </c>
    </row>
    <row r="448" spans="1:40" x14ac:dyDescent="0.25">
      <c r="A448" t="str">
        <f>"20190312151230922"</f>
        <v>20190312151230922</v>
      </c>
      <c r="B448" t="str">
        <f>"1552374750909742"</f>
        <v>1552374750909742</v>
      </c>
      <c r="C448" t="s">
        <v>40</v>
      </c>
      <c r="D448">
        <v>4.00319</v>
      </c>
      <c r="E448">
        <v>0.5042179</v>
      </c>
      <c r="F448" t="s">
        <v>42</v>
      </c>
      <c r="G448">
        <v>-347.28640000000001</v>
      </c>
      <c r="H448" s="1">
        <v>-2.3072749999999999E-6</v>
      </c>
      <c r="I448">
        <v>364.80200000000002</v>
      </c>
      <c r="J448">
        <v>-369.95800000000003</v>
      </c>
      <c r="K448">
        <v>1.1099460000000001</v>
      </c>
      <c r="L448">
        <v>367.21210000000002</v>
      </c>
      <c r="M448">
        <v>0.9996486</v>
      </c>
      <c r="N448">
        <v>0</v>
      </c>
      <c r="O448">
        <v>-2.406461E-2</v>
      </c>
      <c r="P448">
        <v>0.99362550000000005</v>
      </c>
      <c r="Q448">
        <v>6.6177780000000005E-2</v>
      </c>
      <c r="R448">
        <v>-9.1263059999999993E-2</v>
      </c>
      <c r="S448">
        <v>3.0000309999999999</v>
      </c>
      <c r="T448">
        <v>-0.1440948</v>
      </c>
      <c r="U448">
        <v>-0.3142395</v>
      </c>
      <c r="V448">
        <v>6.7315150000000004E-2</v>
      </c>
      <c r="W448">
        <v>7.7247659999999996E-2</v>
      </c>
      <c r="X448">
        <v>0.99473690000000003</v>
      </c>
      <c r="Y448">
        <v>8.0146270000000006E-2</v>
      </c>
      <c r="Z448">
        <v>-7.6674570000000001E-4</v>
      </c>
      <c r="AA448">
        <v>0.99678279999999997</v>
      </c>
      <c r="AB448">
        <v>30</v>
      </c>
      <c r="AC448">
        <v>22.671600000000002</v>
      </c>
      <c r="AD448">
        <v>-1.1099483072749901</v>
      </c>
      <c r="AE448">
        <v>-2.4101000000000501</v>
      </c>
      <c r="AF448">
        <v>1.8593781840922701</v>
      </c>
      <c r="AG448">
        <v>-1.1099483072749901</v>
      </c>
      <c r="AH448">
        <v>22.669307508537699</v>
      </c>
      <c r="AI448">
        <v>92.793745061406398</v>
      </c>
      <c r="AJ448">
        <v>85.310991497145693</v>
      </c>
      <c r="AK448">
        <v>22.7725004203084</v>
      </c>
      <c r="AL448">
        <v>85.569621540389605</v>
      </c>
      <c r="AM448">
        <v>86.128621831230006</v>
      </c>
      <c r="AN448">
        <v>1.0000000153083</v>
      </c>
    </row>
    <row r="449" spans="1:40" x14ac:dyDescent="0.25">
      <c r="A449" t="str">
        <f>"20190312151230943"</f>
        <v>20190312151230943</v>
      </c>
      <c r="B449" t="str">
        <f>"1552374750939995"</f>
        <v>1552374750939995</v>
      </c>
      <c r="C449" t="s">
        <v>40</v>
      </c>
      <c r="D449">
        <v>4.0454489999999996</v>
      </c>
      <c r="E449">
        <v>0.50418750000000001</v>
      </c>
      <c r="F449" t="s">
        <v>42</v>
      </c>
      <c r="G449">
        <v>-347.18680000000001</v>
      </c>
      <c r="H449" s="1">
        <v>-2.3379410000000002E-6</v>
      </c>
      <c r="I449">
        <v>364.8304</v>
      </c>
      <c r="J449">
        <v>-369.67230000000001</v>
      </c>
      <c r="K449">
        <v>1.109947</v>
      </c>
      <c r="L449">
        <v>367.20530000000002</v>
      </c>
      <c r="M449">
        <v>0.99965020000000004</v>
      </c>
      <c r="N449">
        <v>0</v>
      </c>
      <c r="O449">
        <v>-2.399128E-2</v>
      </c>
      <c r="P449">
        <v>0.99362589999999995</v>
      </c>
      <c r="Q449">
        <v>6.6170279999999998E-2</v>
      </c>
      <c r="R449">
        <v>-9.1265399999999997E-2</v>
      </c>
      <c r="S449">
        <v>3.0001220000000002</v>
      </c>
      <c r="T449">
        <v>-0.14623649999999999</v>
      </c>
      <c r="U449">
        <v>-0.3137817</v>
      </c>
      <c r="V449">
        <v>6.7390290000000005E-2</v>
      </c>
      <c r="W449">
        <v>7.7258590000000002E-2</v>
      </c>
      <c r="X449">
        <v>0.99473089999999997</v>
      </c>
      <c r="Y449">
        <v>8.0063889999999999E-2</v>
      </c>
      <c r="Z449">
        <v>-7.7966949999999896E-4</v>
      </c>
      <c r="AA449">
        <v>0.99678949999999999</v>
      </c>
      <c r="AB449">
        <v>30</v>
      </c>
      <c r="AC449">
        <v>22.485499999999998</v>
      </c>
      <c r="AD449">
        <v>-1.1099493379409999</v>
      </c>
      <c r="AE449">
        <v>-2.3749000000000202</v>
      </c>
      <c r="AF449">
        <v>1.83031627527802</v>
      </c>
      <c r="AG449">
        <v>-1.1099493379409999</v>
      </c>
      <c r="AH449">
        <v>22.481830565440202</v>
      </c>
      <c r="AI449">
        <v>92.817146432779694</v>
      </c>
      <c r="AJ449">
        <v>85.345636129235501</v>
      </c>
      <c r="AK449">
        <v>22.583506166525702</v>
      </c>
      <c r="AL449">
        <v>85.5689931400522</v>
      </c>
      <c r="AM449">
        <v>86.124290292874903</v>
      </c>
      <c r="AN449">
        <v>0.99999995216493998</v>
      </c>
    </row>
    <row r="450" spans="1:40" x14ac:dyDescent="0.25">
      <c r="A450" t="str">
        <f>"20190312151230968"</f>
        <v>20190312151230968</v>
      </c>
      <c r="B450" t="str">
        <f>"1552374750960490"</f>
        <v>1552374750960490</v>
      </c>
      <c r="C450" t="s">
        <v>40</v>
      </c>
      <c r="D450">
        <v>4.0408289999999996</v>
      </c>
      <c r="E450">
        <v>0.50417440000000002</v>
      </c>
      <c r="F450" t="s">
        <v>42</v>
      </c>
      <c r="G450">
        <v>-347.19920000000002</v>
      </c>
      <c r="H450" s="1">
        <v>-2.3258709999999999E-6</v>
      </c>
      <c r="I450">
        <v>364.85789999999997</v>
      </c>
      <c r="J450">
        <v>-369.36009999999999</v>
      </c>
      <c r="K450">
        <v>1.1099509999999999</v>
      </c>
      <c r="L450">
        <v>367.19779999999997</v>
      </c>
      <c r="M450">
        <v>0.99965179999999998</v>
      </c>
      <c r="N450">
        <v>0</v>
      </c>
      <c r="O450">
        <v>-2.391105E-2</v>
      </c>
      <c r="P450">
        <v>0.99365199999999998</v>
      </c>
      <c r="Q450">
        <v>6.6097420000000004E-2</v>
      </c>
      <c r="R450">
        <v>-9.1031550000000003E-2</v>
      </c>
      <c r="S450">
        <v>3.0003359999999999</v>
      </c>
      <c r="T450">
        <v>-0.14818700000000001</v>
      </c>
      <c r="U450">
        <v>-0.31338500000000002</v>
      </c>
      <c r="V450">
        <v>6.7235799999999998E-2</v>
      </c>
      <c r="W450">
        <v>7.7208209999999999E-2</v>
      </c>
      <c r="X450">
        <v>0.99474530000000005</v>
      </c>
      <c r="Y450">
        <v>8.0004370000000005E-2</v>
      </c>
      <c r="Z450">
        <v>-7.9248579999999995E-4</v>
      </c>
      <c r="AA450">
        <v>0.99679419999999996</v>
      </c>
      <c r="AB450">
        <v>30</v>
      </c>
      <c r="AC450">
        <v>22.160899999999899</v>
      </c>
      <c r="AD450">
        <v>-1.1099533258709999</v>
      </c>
      <c r="AE450">
        <v>-2.3399000000000001</v>
      </c>
      <c r="AF450">
        <v>1.80482981876444</v>
      </c>
      <c r="AG450">
        <v>-1.1099533258709999</v>
      </c>
      <c r="AH450">
        <v>22.1555491183261</v>
      </c>
      <c r="AI450">
        <v>92.858564840671207</v>
      </c>
      <c r="AJ450">
        <v>85.342868926882204</v>
      </c>
      <c r="AK450">
        <v>22.256634152424599</v>
      </c>
      <c r="AL450">
        <v>85.571888500372395</v>
      </c>
      <c r="AM450">
        <v>86.133204049869505</v>
      </c>
      <c r="AN450">
        <v>0.99999998618256702</v>
      </c>
    </row>
    <row r="451" spans="1:40" x14ac:dyDescent="0.25">
      <c r="A451" t="str">
        <f>"20190312151230991"</f>
        <v>20190312151230991</v>
      </c>
      <c r="B451" t="str">
        <f>"1552374750980011"</f>
        <v>1552374750980011</v>
      </c>
      <c r="C451" t="s">
        <v>40</v>
      </c>
      <c r="D451">
        <v>4.0347619999999997</v>
      </c>
      <c r="E451">
        <v>0.504135</v>
      </c>
      <c r="F451" t="s">
        <v>42</v>
      </c>
      <c r="G451">
        <v>-347.10599999999999</v>
      </c>
      <c r="H451" s="1">
        <v>-2.3561589999999999E-6</v>
      </c>
      <c r="I451">
        <v>364.87869999999998</v>
      </c>
      <c r="J451">
        <v>-369.03949999999998</v>
      </c>
      <c r="K451">
        <v>1.1099559999999999</v>
      </c>
      <c r="L451">
        <v>367.19029999999998</v>
      </c>
      <c r="M451">
        <v>0.99965360000000003</v>
      </c>
      <c r="N451">
        <v>0</v>
      </c>
      <c r="O451">
        <v>-2.3828720000000001E-2</v>
      </c>
      <c r="P451">
        <v>0.99363990000000002</v>
      </c>
      <c r="Q451">
        <v>6.6459580000000004E-2</v>
      </c>
      <c r="R451">
        <v>-9.0902049999999998E-2</v>
      </c>
      <c r="S451">
        <v>3.0004580000000001</v>
      </c>
      <c r="T451">
        <v>-0.14965129999999999</v>
      </c>
      <c r="U451">
        <v>-0.31268309999999999</v>
      </c>
      <c r="V451">
        <v>6.7188699999999907E-2</v>
      </c>
      <c r="W451">
        <v>7.7600420000000003E-2</v>
      </c>
      <c r="X451">
        <v>0.99471799999999999</v>
      </c>
      <c r="Y451">
        <v>7.9850359999999995E-2</v>
      </c>
      <c r="Z451">
        <v>-8.0054460000000003E-4</v>
      </c>
      <c r="AA451">
        <v>0.99680659999999999</v>
      </c>
      <c r="AB451">
        <v>30</v>
      </c>
      <c r="AC451">
        <v>21.933499999999899</v>
      </c>
      <c r="AD451">
        <v>-1.1099583561589901</v>
      </c>
      <c r="AE451">
        <v>-2.3115999999999901</v>
      </c>
      <c r="AF451">
        <v>1.7837458227246501</v>
      </c>
      <c r="AG451">
        <v>-1.1099583561589901</v>
      </c>
      <c r="AH451">
        <v>21.926821071537098</v>
      </c>
      <c r="AI451">
        <v>92.888372657840407</v>
      </c>
      <c r="AJ451">
        <v>85.349232399553401</v>
      </c>
      <c r="AK451">
        <v>22.027238569909201</v>
      </c>
      <c r="AL451">
        <v>85.5493490630368</v>
      </c>
      <c r="AM451">
        <v>86.135798878853294</v>
      </c>
      <c r="AN451">
        <v>1.00000002305793</v>
      </c>
    </row>
    <row r="452" spans="1:40" x14ac:dyDescent="0.25">
      <c r="A452" t="str">
        <f>"20190312151231011"</f>
        <v>20190312151231011</v>
      </c>
      <c r="B452" t="str">
        <f>"1552374751000507"</f>
        <v>1552374751000507</v>
      </c>
      <c r="C452" t="s">
        <v>40</v>
      </c>
      <c r="D452">
        <v>4.0752309999999996</v>
      </c>
      <c r="E452">
        <v>0.50409129999999902</v>
      </c>
      <c r="F452" t="s">
        <v>42</v>
      </c>
      <c r="G452">
        <v>-346.6857</v>
      </c>
      <c r="H452" s="1">
        <v>-2.5211349999999998E-6</v>
      </c>
      <c r="I452">
        <v>364.86520000000002</v>
      </c>
      <c r="J452">
        <v>-368.77359999999999</v>
      </c>
      <c r="K452">
        <v>1.10996299999999</v>
      </c>
      <c r="L452">
        <v>367.18400000000003</v>
      </c>
      <c r="M452">
        <v>0.99965479999999995</v>
      </c>
      <c r="N452">
        <v>0</v>
      </c>
      <c r="O452">
        <v>-2.3760099999999999E-2</v>
      </c>
      <c r="P452">
        <v>0.99365029999999999</v>
      </c>
      <c r="Q452">
        <v>6.6476579999999993E-2</v>
      </c>
      <c r="R452">
        <v>-9.0774740000000007E-2</v>
      </c>
      <c r="S452">
        <v>3.00061</v>
      </c>
      <c r="T452">
        <v>-0.14899279999999901</v>
      </c>
      <c r="U452">
        <v>-0.31210329999999997</v>
      </c>
      <c r="V452">
        <v>6.712928E-2</v>
      </c>
      <c r="W452">
        <v>7.7645580000000006E-2</v>
      </c>
      <c r="X452">
        <v>0.99471849999999995</v>
      </c>
      <c r="Y452">
        <v>7.9723680000000005E-2</v>
      </c>
      <c r="Z452">
        <v>-7.972516E-4</v>
      </c>
      <c r="AA452">
        <v>0.9968167</v>
      </c>
      <c r="AB452">
        <v>30</v>
      </c>
      <c r="AC452">
        <v>22.087899999999902</v>
      </c>
      <c r="AD452">
        <v>-1.1099655211349999</v>
      </c>
      <c r="AE452">
        <v>-2.3188</v>
      </c>
      <c r="AF452">
        <v>1.78883351516436</v>
      </c>
      <c r="AG452">
        <v>-1.1099655211349999</v>
      </c>
      <c r="AH452">
        <v>22.081607478182502</v>
      </c>
      <c r="AI452">
        <v>92.868256795037794</v>
      </c>
      <c r="AJ452">
        <v>85.368576215518502</v>
      </c>
      <c r="AK452">
        <v>22.181734324069598</v>
      </c>
      <c r="AL452">
        <v>85.546753809644898</v>
      </c>
      <c r="AM452">
        <v>86.139207876377398</v>
      </c>
      <c r="AN452">
        <v>1.0000000352845499</v>
      </c>
    </row>
    <row r="453" spans="1:40" x14ac:dyDescent="0.25">
      <c r="A453" t="str">
        <f>"20190312151231032"</f>
        <v>20190312151231032</v>
      </c>
      <c r="B453" t="str">
        <f>"1552374751029787"</f>
        <v>1552374751029787</v>
      </c>
      <c r="C453" t="s">
        <v>40</v>
      </c>
      <c r="D453">
        <v>4.0169949999999996</v>
      </c>
      <c r="E453">
        <v>0.50406090000000003</v>
      </c>
      <c r="F453" t="s">
        <v>42</v>
      </c>
      <c r="G453">
        <v>-346.46899999999999</v>
      </c>
      <c r="H453" s="1">
        <v>-2.6026849999999999E-6</v>
      </c>
      <c r="I453">
        <v>364.87139999999999</v>
      </c>
      <c r="J453">
        <v>-368.48689999999999</v>
      </c>
      <c r="K453">
        <v>1.1099730000000001</v>
      </c>
      <c r="L453">
        <v>367.1773</v>
      </c>
      <c r="M453">
        <v>0.99965610000000005</v>
      </c>
      <c r="N453">
        <v>0</v>
      </c>
      <c r="O453">
        <v>-2.368696E-2</v>
      </c>
      <c r="P453">
        <v>0.99368160000000005</v>
      </c>
      <c r="Q453">
        <v>6.6491659999999994E-2</v>
      </c>
      <c r="R453">
        <v>-9.0421249999999995E-2</v>
      </c>
      <c r="S453">
        <v>3.000702</v>
      </c>
      <c r="T453">
        <v>-0.14932719999999999</v>
      </c>
      <c r="U453">
        <v>-0.31112669999999998</v>
      </c>
      <c r="V453">
        <v>6.684785E-2</v>
      </c>
      <c r="W453">
        <v>7.7693600000000002E-2</v>
      </c>
      <c r="X453">
        <v>0.99473370000000005</v>
      </c>
      <c r="Y453">
        <v>7.9472420000000002E-2</v>
      </c>
      <c r="Z453">
        <v>-7.9642039999999997E-4</v>
      </c>
      <c r="AA453">
        <v>0.99683670000000002</v>
      </c>
      <c r="AB453">
        <v>30</v>
      </c>
      <c r="AC453">
        <v>22.017900000000001</v>
      </c>
      <c r="AD453">
        <v>-1.1099756026849901</v>
      </c>
      <c r="AE453">
        <v>-2.3058999999999998</v>
      </c>
      <c r="AF453">
        <v>1.77921015389561</v>
      </c>
      <c r="AG453">
        <v>-1.1099756026849901</v>
      </c>
      <c r="AH453">
        <v>22.011012589707999</v>
      </c>
      <c r="AI453">
        <v>92.8775076432932</v>
      </c>
      <c r="AJ453">
        <v>85.378673605535397</v>
      </c>
      <c r="AK453">
        <v>22.1106831607385</v>
      </c>
      <c r="AL453">
        <v>85.5439941161749</v>
      </c>
      <c r="AM453">
        <v>86.155403628404102</v>
      </c>
      <c r="AN453">
        <v>1.0000000322231299</v>
      </c>
    </row>
    <row r="454" spans="1:40" x14ac:dyDescent="0.25">
      <c r="A454" t="str">
        <f>"20190312151231055"</f>
        <v>20190312151231055</v>
      </c>
      <c r="B454" t="str">
        <f>"1552374751050283"</f>
        <v>1552374751050283</v>
      </c>
      <c r="C454" t="s">
        <v>40</v>
      </c>
      <c r="D454">
        <v>4.0534910000000002</v>
      </c>
      <c r="E454">
        <v>0.50404899999999997</v>
      </c>
      <c r="F454" t="s">
        <v>42</v>
      </c>
      <c r="G454">
        <v>-346.33479999999997</v>
      </c>
      <c r="H454" s="1">
        <v>-2.6500960000000001E-6</v>
      </c>
      <c r="I454">
        <v>364.88690000000003</v>
      </c>
      <c r="J454">
        <v>-368.197</v>
      </c>
      <c r="K454">
        <v>1.1099779999999999</v>
      </c>
      <c r="L454">
        <v>367.1705</v>
      </c>
      <c r="M454">
        <v>0.99965760000000004</v>
      </c>
      <c r="N454">
        <v>0</v>
      </c>
      <c r="O454">
        <v>-2.361253E-2</v>
      </c>
      <c r="P454">
        <v>0.99368210000000001</v>
      </c>
      <c r="Q454">
        <v>6.6661570000000003E-2</v>
      </c>
      <c r="R454">
        <v>-9.0291049999999998E-2</v>
      </c>
      <c r="S454">
        <v>3.0009459999999999</v>
      </c>
      <c r="T454">
        <v>-0.15036859999999999</v>
      </c>
      <c r="U454">
        <v>-0.3102722</v>
      </c>
      <c r="V454">
        <v>6.6791840000000005E-2</v>
      </c>
      <c r="W454">
        <v>7.790039E-2</v>
      </c>
      <c r="X454">
        <v>0.99472119999999997</v>
      </c>
      <c r="Y454">
        <v>7.9256720000000003E-2</v>
      </c>
      <c r="Z454">
        <v>-8.0024079999999997E-4</v>
      </c>
      <c r="AA454">
        <v>0.99685389999999996</v>
      </c>
      <c r="AB454">
        <v>30</v>
      </c>
      <c r="AC454">
        <v>21.862199999999898</v>
      </c>
      <c r="AD454">
        <v>-1.1099806500959899</v>
      </c>
      <c r="AE454">
        <v>-2.2835999999999701</v>
      </c>
      <c r="AF454">
        <v>1.7622150014264799</v>
      </c>
      <c r="AG454">
        <v>-1.1099806500959899</v>
      </c>
      <c r="AH454">
        <v>21.854301523521499</v>
      </c>
      <c r="AI454">
        <v>92.898165503976998</v>
      </c>
      <c r="AJ454">
        <v>85.389946315469203</v>
      </c>
      <c r="AK454">
        <v>21.9533130491923</v>
      </c>
      <c r="AL454">
        <v>85.532109505276793</v>
      </c>
      <c r="AM454">
        <v>86.158567135328298</v>
      </c>
      <c r="AN454">
        <v>0.99999994319108698</v>
      </c>
    </row>
    <row r="455" spans="1:40" x14ac:dyDescent="0.25">
      <c r="A455" t="str">
        <f>"20190312151231089"</f>
        <v>20190312151231089</v>
      </c>
      <c r="B455" t="str">
        <f>"1552374751080539"</f>
        <v>1552374751080539</v>
      </c>
      <c r="C455" t="s">
        <v>40</v>
      </c>
      <c r="D455">
        <v>4.0479039999999999</v>
      </c>
      <c r="E455">
        <v>0.50405359999999999</v>
      </c>
      <c r="F455" t="s">
        <v>42</v>
      </c>
      <c r="G455">
        <v>-346.07859999999999</v>
      </c>
      <c r="H455" s="1">
        <v>-2.748155E-6</v>
      </c>
      <c r="I455">
        <v>364.88819999999998</v>
      </c>
      <c r="J455">
        <v>-367.74310000000003</v>
      </c>
      <c r="K455">
        <v>1.1099889999999999</v>
      </c>
      <c r="L455">
        <v>367.15989999999999</v>
      </c>
      <c r="M455">
        <v>0.99965950000000003</v>
      </c>
      <c r="N455">
        <v>0</v>
      </c>
      <c r="O455">
        <v>-2.349596E-2</v>
      </c>
      <c r="P455">
        <v>0.99368020000000001</v>
      </c>
      <c r="Q455">
        <v>6.6604120000000003E-2</v>
      </c>
      <c r="R455">
        <v>-9.0350529999999998E-2</v>
      </c>
      <c r="S455">
        <v>3.0010379999999999</v>
      </c>
      <c r="T455">
        <v>-0.1506025</v>
      </c>
      <c r="U455">
        <v>-0.30966189999999999</v>
      </c>
      <c r="V455">
        <v>6.6967319999999997E-2</v>
      </c>
      <c r="W455">
        <v>7.7909889999999996E-2</v>
      </c>
      <c r="X455">
        <v>0.9947087</v>
      </c>
      <c r="Y455">
        <v>7.916898E-2</v>
      </c>
      <c r="Z455">
        <v>-8.0509880000000002E-4</v>
      </c>
      <c r="AA455">
        <v>0.99686090000000005</v>
      </c>
      <c r="AB455">
        <v>30</v>
      </c>
      <c r="AC455">
        <v>21.6645</v>
      </c>
      <c r="AD455">
        <v>-1.1099917481549999</v>
      </c>
      <c r="AE455">
        <v>-2.2717000000000098</v>
      </c>
      <c r="AF455">
        <v>1.7574484943773101</v>
      </c>
      <c r="AG455">
        <v>-1.1099917481549999</v>
      </c>
      <c r="AH455">
        <v>21.655668007549998</v>
      </c>
      <c r="AI455">
        <v>92.924609861048495</v>
      </c>
      <c r="AJ455">
        <v>85.360374339126395</v>
      </c>
      <c r="AK455">
        <v>21.755198545280798</v>
      </c>
      <c r="AL455">
        <v>85.531563724926997</v>
      </c>
      <c r="AM455">
        <v>86.148456747402705</v>
      </c>
      <c r="AN455">
        <v>0.99999998538174195</v>
      </c>
    </row>
    <row r="456" spans="1:40" x14ac:dyDescent="0.25">
      <c r="A456" t="str">
        <f>"20190312151231111"</f>
        <v>20190312151231111</v>
      </c>
      <c r="B456" t="str">
        <f>"1552374751100059"</f>
        <v>1552374751100059</v>
      </c>
      <c r="C456" t="s">
        <v>40</v>
      </c>
      <c r="D456">
        <v>4.0530220000000003</v>
      </c>
      <c r="E456">
        <v>0.50403940000000003</v>
      </c>
      <c r="F456" t="s">
        <v>42</v>
      </c>
      <c r="G456">
        <v>-345.8</v>
      </c>
      <c r="H456" s="1">
        <v>-2.8529050000000002E-6</v>
      </c>
      <c r="I456">
        <v>364.8965</v>
      </c>
      <c r="J456">
        <v>-367.44920000000002</v>
      </c>
      <c r="K456">
        <v>1.109993</v>
      </c>
      <c r="L456">
        <v>367.15309999999999</v>
      </c>
      <c r="M456">
        <v>0.99966089999999996</v>
      </c>
      <c r="N456">
        <v>0</v>
      </c>
      <c r="O456">
        <v>-2.3418580000000001E-2</v>
      </c>
      <c r="P456">
        <v>0.99371100000000001</v>
      </c>
      <c r="Q456">
        <v>6.6262489999999993E-2</v>
      </c>
      <c r="R456">
        <v>-9.0266490000000005E-2</v>
      </c>
      <c r="S456">
        <v>3.001099</v>
      </c>
      <c r="T456">
        <v>-0.1518108</v>
      </c>
      <c r="U456">
        <v>-0.30957030000000002</v>
      </c>
      <c r="V456">
        <v>6.6959489999999997E-2</v>
      </c>
      <c r="W456">
        <v>7.7613730000000006E-2</v>
      </c>
      <c r="X456">
        <v>0.99473239999999996</v>
      </c>
      <c r="Y456">
        <v>7.9212710000000006E-2</v>
      </c>
      <c r="Z456">
        <v>-8.1653469999999997E-4</v>
      </c>
      <c r="AA456">
        <v>0.9968574</v>
      </c>
      <c r="AB456">
        <v>30</v>
      </c>
      <c r="AC456">
        <v>21.6492</v>
      </c>
      <c r="AD456">
        <v>-1.109995852905</v>
      </c>
      <c r="AE456">
        <v>-2.2565999999999899</v>
      </c>
      <c r="AF456">
        <v>1.7444181950505799</v>
      </c>
      <c r="AG456">
        <v>-1.109995852905</v>
      </c>
      <c r="AH456">
        <v>21.6398361109371</v>
      </c>
      <c r="AI456">
        <v>92.926884049990903</v>
      </c>
      <c r="AJ456">
        <v>85.391270698040501</v>
      </c>
      <c r="AK456">
        <v>21.7383898332168</v>
      </c>
      <c r="AL456">
        <v>85.548584073171298</v>
      </c>
      <c r="AM456">
        <v>86.148997203232099</v>
      </c>
      <c r="AN456">
        <v>1.0000000059976599</v>
      </c>
    </row>
    <row r="457" spans="1:40" x14ac:dyDescent="0.25">
      <c r="A457" t="str">
        <f>"20190312151231133"</f>
        <v>20190312151231133</v>
      </c>
      <c r="B457" t="str">
        <f>"1552374751130315"</f>
        <v>1552374751130315</v>
      </c>
      <c r="C457" t="s">
        <v>40</v>
      </c>
      <c r="D457">
        <v>4.0432420000000002</v>
      </c>
      <c r="E457">
        <v>0.50405749999999905</v>
      </c>
      <c r="F457" t="s">
        <v>42</v>
      </c>
      <c r="G457">
        <v>-345.74849999999998</v>
      </c>
      <c r="H457" s="1">
        <v>-2.867728E-6</v>
      </c>
      <c r="I457">
        <v>364.9151</v>
      </c>
      <c r="J457">
        <v>-367.16419999999999</v>
      </c>
      <c r="K457">
        <v>1.1100019999999999</v>
      </c>
      <c r="L457">
        <v>367.1465</v>
      </c>
      <c r="M457">
        <v>0.99966219999999995</v>
      </c>
      <c r="N457">
        <v>0</v>
      </c>
      <c r="O457">
        <v>-2.3341549999999999E-2</v>
      </c>
      <c r="P457">
        <v>0.99369660000000004</v>
      </c>
      <c r="Q457">
        <v>6.6090270000000007E-2</v>
      </c>
      <c r="R457">
        <v>-9.0548390000000006E-2</v>
      </c>
      <c r="S457">
        <v>3.001099</v>
      </c>
      <c r="T457">
        <v>-0.15350710000000001</v>
      </c>
      <c r="U457">
        <v>-0.30950929999999999</v>
      </c>
      <c r="V457">
        <v>6.7318100000000006E-2</v>
      </c>
      <c r="W457">
        <v>7.7482980000000007E-2</v>
      </c>
      <c r="X457">
        <v>0.9947184</v>
      </c>
      <c r="Y457">
        <v>7.9267699999999996E-2</v>
      </c>
      <c r="Z457">
        <v>-8.3097330000000004E-4</v>
      </c>
      <c r="AA457">
        <v>0.99685299999999999</v>
      </c>
      <c r="AB457">
        <v>30</v>
      </c>
      <c r="AC457">
        <v>21.415700000000001</v>
      </c>
      <c r="AD457">
        <v>-1.1100048677280001</v>
      </c>
      <c r="AE457">
        <v>-2.2313999999999998</v>
      </c>
      <c r="AF457">
        <v>1.72629581320019</v>
      </c>
      <c r="AG457">
        <v>-1.1100048677280001</v>
      </c>
      <c r="AH457">
        <v>21.405065344886101</v>
      </c>
      <c r="AI457">
        <v>92.958944490483603</v>
      </c>
      <c r="AJ457">
        <v>85.3891356227834</v>
      </c>
      <c r="AK457">
        <v>21.5032330234292</v>
      </c>
      <c r="AL457">
        <v>85.556098173336395</v>
      </c>
      <c r="AM457">
        <v>86.128380904054893</v>
      </c>
      <c r="AN457">
        <v>1.00000001703792</v>
      </c>
    </row>
    <row r="458" spans="1:40" x14ac:dyDescent="0.25">
      <c r="A458" t="str">
        <f>"20190312151231157"</f>
        <v>20190312151231157</v>
      </c>
      <c r="B458" t="str">
        <f>"1552374751149835"</f>
        <v>1552374751149835</v>
      </c>
      <c r="C458" t="s">
        <v>40</v>
      </c>
      <c r="D458">
        <v>4.0521339999999997</v>
      </c>
      <c r="E458">
        <v>0.50406099999999998</v>
      </c>
      <c r="F458" t="s">
        <v>42</v>
      </c>
      <c r="G458">
        <v>-345.65910000000002</v>
      </c>
      <c r="H458" s="1">
        <v>-2.9005349999999999E-6</v>
      </c>
      <c r="I458">
        <v>364.92099999999999</v>
      </c>
      <c r="J458">
        <v>-366.84609999999998</v>
      </c>
      <c r="K458">
        <v>1.1100049999999999</v>
      </c>
      <c r="L458">
        <v>367.13920000000002</v>
      </c>
      <c r="M458">
        <v>0.99966359999999999</v>
      </c>
      <c r="N458">
        <v>0</v>
      </c>
      <c r="O458">
        <v>-2.3253909999999999E-2</v>
      </c>
      <c r="P458">
        <v>0.99367810000000001</v>
      </c>
      <c r="Q458">
        <v>6.6141309999999995E-2</v>
      </c>
      <c r="R458">
        <v>-9.0715820000000003E-2</v>
      </c>
      <c r="S458">
        <v>3.0010379999999999</v>
      </c>
      <c r="T458">
        <v>-0.15490110000000001</v>
      </c>
      <c r="U458">
        <v>-0.3105774</v>
      </c>
      <c r="V458">
        <v>6.7572770000000004E-2</v>
      </c>
      <c r="W458">
        <v>7.7576640000000002E-2</v>
      </c>
      <c r="X458">
        <v>0.99469379999999996</v>
      </c>
      <c r="Y458">
        <v>7.9706180000000001E-2</v>
      </c>
      <c r="Z458">
        <v>-8.5429590000000001E-4</v>
      </c>
      <c r="AA458">
        <v>0.99681799999999998</v>
      </c>
      <c r="AB458">
        <v>30</v>
      </c>
      <c r="AC458">
        <v>21.186999999999902</v>
      </c>
      <c r="AD458">
        <v>-1.1100079005350001</v>
      </c>
      <c r="AE458">
        <v>-2.2182000000000199</v>
      </c>
      <c r="AF458">
        <v>1.7202165201694299</v>
      </c>
      <c r="AG458">
        <v>-1.1100079005350001</v>
      </c>
      <c r="AH458">
        <v>21.1753630400841</v>
      </c>
      <c r="AI458">
        <v>92.990851076750999</v>
      </c>
      <c r="AJ458">
        <v>85.355678865209995</v>
      </c>
      <c r="AK458">
        <v>21.2740983897056</v>
      </c>
      <c r="AL458">
        <v>85.550715506845194</v>
      </c>
      <c r="AM458">
        <v>86.113683225159306</v>
      </c>
      <c r="AN458">
        <v>0.99999998503880105</v>
      </c>
    </row>
    <row r="459" spans="1:40" x14ac:dyDescent="0.25">
      <c r="A459" t="str">
        <f>"20190312151231180"</f>
        <v>20190312151231180</v>
      </c>
      <c r="B459" t="str">
        <f>"1552374751170331"</f>
        <v>1552374751170331</v>
      </c>
      <c r="C459" t="s">
        <v>40</v>
      </c>
      <c r="D459">
        <v>4.0593899999999996</v>
      </c>
      <c r="E459">
        <v>0.50407769999999996</v>
      </c>
      <c r="F459" t="s">
        <v>42</v>
      </c>
      <c r="G459">
        <v>-345.38569999999999</v>
      </c>
      <c r="H459" s="1">
        <v>-3.0068659999999999E-6</v>
      </c>
      <c r="I459">
        <v>364.91579999999999</v>
      </c>
      <c r="J459">
        <v>-366.54239999999999</v>
      </c>
      <c r="K459">
        <v>1.110009</v>
      </c>
      <c r="L459">
        <v>367.13220000000001</v>
      </c>
      <c r="M459">
        <v>0.99966529999999998</v>
      </c>
      <c r="N459">
        <v>0</v>
      </c>
      <c r="O459">
        <v>-2.3169700000000001E-2</v>
      </c>
      <c r="P459">
        <v>0.99368860000000003</v>
      </c>
      <c r="Q459">
        <v>6.5870049999999999E-2</v>
      </c>
      <c r="R459">
        <v>-9.0799370000000004E-2</v>
      </c>
      <c r="S459">
        <v>3.001007</v>
      </c>
      <c r="T459">
        <v>-0.15522279999999999</v>
      </c>
      <c r="U459">
        <v>-0.3109131</v>
      </c>
      <c r="V459">
        <v>6.7739729999999998E-2</v>
      </c>
      <c r="W459">
        <v>7.7342270000000005E-2</v>
      </c>
      <c r="X459">
        <v>0.99470069999999999</v>
      </c>
      <c r="Y459">
        <v>7.9900799999999994E-2</v>
      </c>
      <c r="Z459">
        <v>-8.6542529999999996E-4</v>
      </c>
      <c r="AA459">
        <v>0.99680239999999998</v>
      </c>
      <c r="AB459">
        <v>30</v>
      </c>
      <c r="AC459">
        <v>21.156700000000001</v>
      </c>
      <c r="AD459">
        <v>-1.110012006866</v>
      </c>
      <c r="AE459">
        <v>-2.2164000000000201</v>
      </c>
      <c r="AF459">
        <v>1.72089237941267</v>
      </c>
      <c r="AG459">
        <v>-1.110012006866</v>
      </c>
      <c r="AH459">
        <v>21.1448028632263</v>
      </c>
      <c r="AI459">
        <v>92.995140817587796</v>
      </c>
      <c r="AJ459">
        <v>85.347176623778495</v>
      </c>
      <c r="AK459">
        <v>21.2437352026806</v>
      </c>
      <c r="AL459">
        <v>85.564184408915594</v>
      </c>
      <c r="AM459">
        <v>86.104137320218101</v>
      </c>
      <c r="AN459">
        <v>0.99999999016485697</v>
      </c>
    </row>
    <row r="460" spans="1:40" x14ac:dyDescent="0.25">
      <c r="A460" t="str">
        <f>"20190312151231200"</f>
        <v>20190312151231200</v>
      </c>
      <c r="B460" t="str">
        <f>"1552374751189851"</f>
        <v>1552374751189851</v>
      </c>
      <c r="C460" t="s">
        <v>40</v>
      </c>
      <c r="D460">
        <v>4.0749789999999999</v>
      </c>
      <c r="E460">
        <v>0.50407800000000003</v>
      </c>
      <c r="F460" t="s">
        <v>42</v>
      </c>
      <c r="G460">
        <v>-345.23849999999999</v>
      </c>
      <c r="H460" s="1">
        <v>-3.0637509999999999E-6</v>
      </c>
      <c r="I460">
        <v>364.92309999999998</v>
      </c>
      <c r="J460">
        <v>-366.26350000000002</v>
      </c>
      <c r="K460">
        <v>1.1100139999999901</v>
      </c>
      <c r="L460">
        <v>367.1259</v>
      </c>
      <c r="M460">
        <v>0.99966670000000002</v>
      </c>
      <c r="N460">
        <v>0</v>
      </c>
      <c r="O460">
        <v>-2.3090960000000001E-2</v>
      </c>
      <c r="P460">
        <v>0.99368230000000002</v>
      </c>
      <c r="Q460">
        <v>6.5976049999999994E-2</v>
      </c>
      <c r="R460">
        <v>-9.0789839999999997E-2</v>
      </c>
      <c r="S460">
        <v>3.001007</v>
      </c>
      <c r="T460">
        <v>-0.15636349999999999</v>
      </c>
      <c r="U460">
        <v>-0.31118770000000001</v>
      </c>
      <c r="V460">
        <v>6.78087E-2</v>
      </c>
      <c r="W460">
        <v>7.7478710000000006E-2</v>
      </c>
      <c r="X460">
        <v>0.99468540000000005</v>
      </c>
      <c r="Y460">
        <v>8.0068150000000005E-2</v>
      </c>
      <c r="Z460">
        <v>-8.802037E-4</v>
      </c>
      <c r="AA460">
        <v>0.99678900000000004</v>
      </c>
      <c r="AB460">
        <v>30</v>
      </c>
      <c r="AC460">
        <v>21.024999999999999</v>
      </c>
      <c r="AD460">
        <v>-1.1100170637509901</v>
      </c>
      <c r="AE460">
        <v>-2.2028000000000199</v>
      </c>
      <c r="AF460">
        <v>1.7119727808788601</v>
      </c>
      <c r="AG460">
        <v>-1.1100170637509901</v>
      </c>
      <c r="AH460">
        <v>21.012329241898101</v>
      </c>
      <c r="AI460">
        <v>93.013981314917203</v>
      </c>
      <c r="AJ460">
        <v>85.342133071109401</v>
      </c>
      <c r="AK460">
        <v>21.1111574494203</v>
      </c>
      <c r="AL460">
        <v>85.556343522131499</v>
      </c>
      <c r="AM460">
        <v>86.100123134552902</v>
      </c>
      <c r="AN460">
        <v>1.00000000763605</v>
      </c>
    </row>
    <row r="461" spans="1:40" x14ac:dyDescent="0.25">
      <c r="A461" t="str">
        <f>"20190312151231224"</f>
        <v>20190312151231224</v>
      </c>
      <c r="B461" t="str">
        <f>"1552374751220107"</f>
        <v>1552374751220107</v>
      </c>
      <c r="C461" t="s">
        <v>40</v>
      </c>
      <c r="D461">
        <v>4.0728540000000004</v>
      </c>
      <c r="E461">
        <v>0.50410440000000001</v>
      </c>
      <c r="F461" t="s">
        <v>42</v>
      </c>
      <c r="G461">
        <v>-345.01060000000001</v>
      </c>
      <c r="H461" s="1">
        <v>-3.1717169999999999E-6</v>
      </c>
      <c r="I461">
        <v>364.9221</v>
      </c>
      <c r="J461">
        <v>-365.95760000000001</v>
      </c>
      <c r="K461">
        <v>1.1100129999999999</v>
      </c>
      <c r="L461">
        <v>367.1189</v>
      </c>
      <c r="M461">
        <v>0.99966840000000001</v>
      </c>
      <c r="N461">
        <v>0</v>
      </c>
      <c r="O461">
        <v>-2.30041E-2</v>
      </c>
      <c r="P461">
        <v>0.99367899999999998</v>
      </c>
      <c r="Q461">
        <v>6.6287260000000001E-2</v>
      </c>
      <c r="R461">
        <v>-9.0599189999999996E-2</v>
      </c>
      <c r="S461">
        <v>3.0010379999999999</v>
      </c>
      <c r="T461">
        <v>-0.15674080000000001</v>
      </c>
      <c r="U461">
        <v>-0.31118770000000001</v>
      </c>
      <c r="V461">
        <v>6.770466E-2</v>
      </c>
      <c r="W461">
        <v>7.7820050000000002E-2</v>
      </c>
      <c r="X461">
        <v>0.99466589999999999</v>
      </c>
      <c r="Y461">
        <v>8.0153089999999996E-2</v>
      </c>
      <c r="Z461">
        <v>-8.8904339999999998E-4</v>
      </c>
      <c r="AA461">
        <v>0.99678219999999995</v>
      </c>
      <c r="AB461">
        <v>30</v>
      </c>
      <c r="AC461">
        <v>20.946999999999999</v>
      </c>
      <c r="AD461">
        <v>-1.1100161717169901</v>
      </c>
      <c r="AE461">
        <v>-2.1967999999999899</v>
      </c>
      <c r="AF461">
        <v>1.7095709908515</v>
      </c>
      <c r="AG461">
        <v>-1.1100161717169901</v>
      </c>
      <c r="AH461">
        <v>20.9338497078122</v>
      </c>
      <c r="AI461">
        <v>93.025210479315405</v>
      </c>
      <c r="AJ461">
        <v>85.331278388197603</v>
      </c>
      <c r="AK461">
        <v>21.0328512680403</v>
      </c>
      <c r="AL461">
        <v>85.536727218091599</v>
      </c>
      <c r="AM461">
        <v>86.106012254128402</v>
      </c>
      <c r="AN461">
        <v>1.00000006689526</v>
      </c>
    </row>
    <row r="462" spans="1:40" x14ac:dyDescent="0.25">
      <c r="A462" t="str">
        <f>"20190312151231245"</f>
        <v>20190312151231245</v>
      </c>
      <c r="B462" t="str">
        <f>"1552374751239627"</f>
        <v>1552374751239627</v>
      </c>
      <c r="C462" t="s">
        <v>40</v>
      </c>
      <c r="D462">
        <v>4.1575449999999998</v>
      </c>
      <c r="E462">
        <v>0.50411689999999998</v>
      </c>
      <c r="F462" t="s">
        <v>42</v>
      </c>
      <c r="G462">
        <v>-344.69099999999997</v>
      </c>
      <c r="H462" s="1">
        <v>-3.323659E-6</v>
      </c>
      <c r="I462">
        <v>364.9171</v>
      </c>
      <c r="J462">
        <v>-365.67790000000002</v>
      </c>
      <c r="K462">
        <v>1.1100139999999901</v>
      </c>
      <c r="L462">
        <v>367.11250000000001</v>
      </c>
      <c r="M462">
        <v>0.9996699</v>
      </c>
      <c r="N462">
        <v>0</v>
      </c>
      <c r="O462">
        <v>-2.2924489999999999E-2</v>
      </c>
      <c r="P462">
        <v>0.99367340000000004</v>
      </c>
      <c r="Q462">
        <v>6.5947279999999997E-2</v>
      </c>
      <c r="R462">
        <v>-9.0907340000000003E-2</v>
      </c>
      <c r="S462">
        <v>3.0011899999999998</v>
      </c>
      <c r="T462">
        <v>-0.15664819999999999</v>
      </c>
      <c r="U462">
        <v>-0.31073000000000001</v>
      </c>
      <c r="V462">
        <v>6.809229E-2</v>
      </c>
      <c r="W462">
        <v>7.7503909999999995E-2</v>
      </c>
      <c r="X462">
        <v>0.99466410000000005</v>
      </c>
      <c r="Y462">
        <v>8.0076939999999999E-2</v>
      </c>
      <c r="Z462">
        <v>-8.9063839999999896E-4</v>
      </c>
      <c r="AA462">
        <v>0.99678829999999996</v>
      </c>
      <c r="AB462">
        <v>30</v>
      </c>
      <c r="AC462">
        <v>20.986899999999999</v>
      </c>
      <c r="AD462">
        <v>-1.1100173236590001</v>
      </c>
      <c r="AE462">
        <v>-2.1953999999999998</v>
      </c>
      <c r="AF462">
        <v>1.70894766436899</v>
      </c>
      <c r="AG462">
        <v>-1.1100173236590001</v>
      </c>
      <c r="AH462">
        <v>20.973677902188701</v>
      </c>
      <c r="AI462">
        <v>93.019524624490799</v>
      </c>
      <c r="AJ462">
        <v>85.341796592415207</v>
      </c>
      <c r="AK462">
        <v>21.072441845290101</v>
      </c>
      <c r="AL462">
        <v>85.554895475412096</v>
      </c>
      <c r="AM462">
        <v>86.083780087232</v>
      </c>
      <c r="AN462">
        <v>1.0000000439257699</v>
      </c>
    </row>
    <row r="463" spans="1:40" x14ac:dyDescent="0.25">
      <c r="A463" t="str">
        <f>"20190312151231268"</f>
        <v>20190312151231268</v>
      </c>
      <c r="B463" t="str">
        <f>"1552374751260123"</f>
        <v>1552374751260123</v>
      </c>
      <c r="C463" t="s">
        <v>40</v>
      </c>
      <c r="D463">
        <v>4.0654589999999997</v>
      </c>
      <c r="E463">
        <v>0.50411700000000004</v>
      </c>
      <c r="F463" t="s">
        <v>42</v>
      </c>
      <c r="G463">
        <v>-344.56439999999998</v>
      </c>
      <c r="H463" s="1">
        <v>-3.3829499999999999E-6</v>
      </c>
      <c r="I463">
        <v>364.92020000000002</v>
      </c>
      <c r="J463">
        <v>-365.36900000000003</v>
      </c>
      <c r="K463">
        <v>1.1100139999999901</v>
      </c>
      <c r="L463">
        <v>367.10550000000001</v>
      </c>
      <c r="M463">
        <v>0.99967159999999999</v>
      </c>
      <c r="N463">
        <v>0</v>
      </c>
      <c r="O463">
        <v>-2.2835950000000001E-2</v>
      </c>
      <c r="P463">
        <v>0.99371279999999995</v>
      </c>
      <c r="Q463">
        <v>6.5571389999999993E-2</v>
      </c>
      <c r="R463">
        <v>-9.0748889999999999E-2</v>
      </c>
      <c r="S463">
        <v>3.001099</v>
      </c>
      <c r="T463">
        <v>-0.15777910000000001</v>
      </c>
      <c r="U463">
        <v>-0.31161499999999998</v>
      </c>
      <c r="V463">
        <v>6.8020919999999999E-2</v>
      </c>
      <c r="W463">
        <v>7.7155429999999997E-2</v>
      </c>
      <c r="X463">
        <v>0.99469600000000002</v>
      </c>
      <c r="Y463">
        <v>8.0457399999999998E-2</v>
      </c>
      <c r="Z463">
        <v>-9.1167769999999997E-4</v>
      </c>
      <c r="AA463">
        <v>0.99675760000000002</v>
      </c>
      <c r="AB463">
        <v>30</v>
      </c>
      <c r="AC463">
        <v>20.804600000000001</v>
      </c>
      <c r="AD463">
        <v>-1.11001738294999</v>
      </c>
      <c r="AE463">
        <v>-2.1852999999999798</v>
      </c>
      <c r="AF463">
        <v>1.70480502724608</v>
      </c>
      <c r="AG463">
        <v>-1.11001738294999</v>
      </c>
      <c r="AH463">
        <v>20.790542289394399</v>
      </c>
      <c r="AI463">
        <v>93.045944714858706</v>
      </c>
      <c r="AJ463">
        <v>85.312287369753705</v>
      </c>
      <c r="AK463">
        <v>20.8898335909713</v>
      </c>
      <c r="AL463">
        <v>85.574921543942295</v>
      </c>
      <c r="AM463">
        <v>86.087997139677995</v>
      </c>
      <c r="AN463">
        <v>0.99999996917606504</v>
      </c>
    </row>
    <row r="464" spans="1:40" x14ac:dyDescent="0.25">
      <c r="A464" t="str">
        <f>"20190312151231290"</f>
        <v>20190312151231290</v>
      </c>
      <c r="B464" t="str">
        <f>"1552374751279647"</f>
        <v>1552374751279647</v>
      </c>
      <c r="C464" t="s">
        <v>40</v>
      </c>
      <c r="D464">
        <v>4.0663470000000004</v>
      </c>
      <c r="E464">
        <v>0.504115799999999</v>
      </c>
      <c r="F464" t="s">
        <v>42</v>
      </c>
      <c r="G464">
        <v>-344.48860000000002</v>
      </c>
      <c r="H464" s="1">
        <v>-3.4153600000000001E-6</v>
      </c>
      <c r="I464">
        <v>364.93950000000001</v>
      </c>
      <c r="J464">
        <v>-365.08150000000001</v>
      </c>
      <c r="K464">
        <v>1.1100139999999901</v>
      </c>
      <c r="L464">
        <v>367.09910000000002</v>
      </c>
      <c r="M464">
        <v>0.99967320000000004</v>
      </c>
      <c r="N464">
        <v>0</v>
      </c>
      <c r="O464">
        <v>-2.2752390000000001E-2</v>
      </c>
      <c r="P464">
        <v>0.99367890000000003</v>
      </c>
      <c r="Q464">
        <v>6.572124E-2</v>
      </c>
      <c r="R464">
        <v>-9.1010499999999994E-2</v>
      </c>
      <c r="S464">
        <v>3.0010379999999999</v>
      </c>
      <c r="T464">
        <v>-0.15953709999999999</v>
      </c>
      <c r="U464">
        <v>-0.31130980000000003</v>
      </c>
      <c r="V464">
        <v>6.836631E-2</v>
      </c>
      <c r="W464">
        <v>7.7331819999999996E-2</v>
      </c>
      <c r="X464">
        <v>0.99465859999999995</v>
      </c>
      <c r="Y464">
        <v>8.0440650000000002E-2</v>
      </c>
      <c r="Z464">
        <v>-9.25824E-4</v>
      </c>
      <c r="AA464">
        <v>0.99675899999999995</v>
      </c>
      <c r="AB464">
        <v>30</v>
      </c>
      <c r="AC464">
        <v>20.592899999999901</v>
      </c>
      <c r="AD464">
        <v>-1.11001741535999</v>
      </c>
      <c r="AE464">
        <v>-2.15960000000001</v>
      </c>
      <c r="AF464">
        <v>1.6856270032748499</v>
      </c>
      <c r="AG464">
        <v>-1.11001741535999</v>
      </c>
      <c r="AH464">
        <v>20.577569571848802</v>
      </c>
      <c r="AI464">
        <v>93.077430121617397</v>
      </c>
      <c r="AJ464">
        <v>85.317029228041804</v>
      </c>
      <c r="AK464">
        <v>20.676311241148699</v>
      </c>
      <c r="AL464">
        <v>85.564784755004496</v>
      </c>
      <c r="AM464">
        <v>86.068047923071504</v>
      </c>
      <c r="AN464">
        <v>0.99999994664074199</v>
      </c>
    </row>
    <row r="465" spans="1:40" x14ac:dyDescent="0.25">
      <c r="A465" t="str">
        <f>"20190312151231312"</f>
        <v>20190312151231312</v>
      </c>
      <c r="B465" t="str">
        <f>"1552374751309899"</f>
        <v>1552374751309899</v>
      </c>
      <c r="C465" t="s">
        <v>40</v>
      </c>
      <c r="D465">
        <v>4.0887349999999998</v>
      </c>
      <c r="E465">
        <v>0.50405659999999997</v>
      </c>
      <c r="F465" t="s">
        <v>42</v>
      </c>
      <c r="G465">
        <v>-344.21780000000001</v>
      </c>
      <c r="H465" s="1">
        <v>-3.5451090000000002E-6</v>
      </c>
      <c r="I465">
        <v>364.92959999999999</v>
      </c>
      <c r="J465">
        <v>-364.78590000000003</v>
      </c>
      <c r="K465">
        <v>1.1100239999999999</v>
      </c>
      <c r="L465">
        <v>367.0924</v>
      </c>
      <c r="M465">
        <v>0.99967479999999997</v>
      </c>
      <c r="N465">
        <v>0</v>
      </c>
      <c r="O465">
        <v>-2.266454E-2</v>
      </c>
      <c r="P465">
        <v>0.99373469999999997</v>
      </c>
      <c r="Q465">
        <v>6.5456959999999995E-2</v>
      </c>
      <c r="R465">
        <v>-9.0590379999999998E-2</v>
      </c>
      <c r="S465">
        <v>3.001099</v>
      </c>
      <c r="T465">
        <v>-0.159668899999999</v>
      </c>
      <c r="U465">
        <v>-0.31207279999999998</v>
      </c>
      <c r="V465">
        <v>6.8032170000000003E-2</v>
      </c>
      <c r="W465">
        <v>7.7095049999999998E-2</v>
      </c>
      <c r="X465">
        <v>0.99470000000000003</v>
      </c>
      <c r="Y465">
        <v>8.0776130000000002E-2</v>
      </c>
      <c r="Z465">
        <v>-9.4010610000000005E-4</v>
      </c>
      <c r="AA465">
        <v>0.99673179999999995</v>
      </c>
      <c r="AB465">
        <v>30</v>
      </c>
      <c r="AC465">
        <v>20.568100000000001</v>
      </c>
      <c r="AD465">
        <v>-1.11002754510899</v>
      </c>
      <c r="AE465">
        <v>-2.1627999999999998</v>
      </c>
      <c r="AF465">
        <v>1.6911741609719999</v>
      </c>
      <c r="AG465">
        <v>-1.11002754510899</v>
      </c>
      <c r="AH465">
        <v>20.552631387337001</v>
      </c>
      <c r="AI465">
        <v>93.081092478158993</v>
      </c>
      <c r="AJ465">
        <v>85.296011840166301</v>
      </c>
      <c r="AK465">
        <v>20.6519463522785</v>
      </c>
      <c r="AL465">
        <v>85.578391785117404</v>
      </c>
      <c r="AM465">
        <v>86.087367826916903</v>
      </c>
      <c r="AN465">
        <v>1.0000000564447</v>
      </c>
    </row>
    <row r="466" spans="1:40" x14ac:dyDescent="0.25">
      <c r="A466" t="str">
        <f>"20190312151231335"</f>
        <v>20190312151231335</v>
      </c>
      <c r="B466" t="str">
        <f>"1552374751330395"</f>
        <v>1552374751330395</v>
      </c>
      <c r="C466" t="s">
        <v>40</v>
      </c>
      <c r="D466">
        <v>4.0683470000000002</v>
      </c>
      <c r="E466">
        <v>0.5040424</v>
      </c>
      <c r="F466" t="s">
        <v>42</v>
      </c>
      <c r="G466">
        <v>-344.14069999999998</v>
      </c>
      <c r="H466" s="1">
        <v>-3.5766650000000001E-6</v>
      </c>
      <c r="I466">
        <v>364.95699999999999</v>
      </c>
      <c r="J466">
        <v>-364.4803</v>
      </c>
      <c r="K466">
        <v>1.110031</v>
      </c>
      <c r="L466">
        <v>367.0856</v>
      </c>
      <c r="M466">
        <v>0.99967680000000003</v>
      </c>
      <c r="N466">
        <v>0</v>
      </c>
      <c r="O466">
        <v>-2.2573119999999999E-2</v>
      </c>
      <c r="P466">
        <v>0.99376430000000004</v>
      </c>
      <c r="Q466">
        <v>6.5372520000000003E-2</v>
      </c>
      <c r="R466">
        <v>-9.0330729999999998E-2</v>
      </c>
      <c r="S466">
        <v>3.0012509999999999</v>
      </c>
      <c r="T466">
        <v>-0.1613684</v>
      </c>
      <c r="U466">
        <v>-0.3104248</v>
      </c>
      <c r="V466">
        <v>6.7862350000000002E-2</v>
      </c>
      <c r="W466">
        <v>7.7036579999999993E-2</v>
      </c>
      <c r="X466">
        <v>0.99471600000000004</v>
      </c>
      <c r="Y466">
        <v>8.0319370000000001E-2</v>
      </c>
      <c r="Z466">
        <v>-9.4273290000000004E-4</v>
      </c>
      <c r="AA466">
        <v>0.99676869999999995</v>
      </c>
      <c r="AB466">
        <v>30</v>
      </c>
      <c r="AC466">
        <v>20.339600000000001</v>
      </c>
      <c r="AD466">
        <v>-1.1100345766649999</v>
      </c>
      <c r="AE466">
        <v>-2.1286</v>
      </c>
      <c r="AF466">
        <v>1.6639955086979299</v>
      </c>
      <c r="AG466">
        <v>-1.1100345766649999</v>
      </c>
      <c r="AH466">
        <v>20.322595294916098</v>
      </c>
      <c r="AI466">
        <v>93.116022359236297</v>
      </c>
      <c r="AJ466">
        <v>85.319115863950501</v>
      </c>
      <c r="AK466">
        <v>20.420796687086</v>
      </c>
      <c r="AL466">
        <v>85.581751288636795</v>
      </c>
      <c r="AM466">
        <v>86.097166792300598</v>
      </c>
      <c r="AN466">
        <v>0.99999992693080597</v>
      </c>
    </row>
    <row r="467" spans="1:40" x14ac:dyDescent="0.25">
      <c r="A467" t="str">
        <f>"20190312151231357"</f>
        <v>20190312151231357</v>
      </c>
      <c r="B467" t="str">
        <f>"1552374751349916"</f>
        <v>1552374751349916</v>
      </c>
      <c r="C467" t="s">
        <v>40</v>
      </c>
      <c r="D467">
        <v>4.0401530000000001</v>
      </c>
      <c r="E467">
        <v>0.50403199999999904</v>
      </c>
      <c r="F467" t="s">
        <v>42</v>
      </c>
      <c r="G467">
        <v>-343.90820000000002</v>
      </c>
      <c r="H467" s="1">
        <v>-3.6849929999999999E-6</v>
      </c>
      <c r="I467">
        <v>364.96600000000001</v>
      </c>
      <c r="J467">
        <v>-364.19290000000001</v>
      </c>
      <c r="K467">
        <v>1.1100369999999999</v>
      </c>
      <c r="L467">
        <v>367.07920000000001</v>
      </c>
      <c r="M467">
        <v>0.99967830000000002</v>
      </c>
      <c r="N467">
        <v>0</v>
      </c>
      <c r="O467">
        <v>-2.2485729999999999E-2</v>
      </c>
      <c r="P467">
        <v>0.9937783</v>
      </c>
      <c r="Q467">
        <v>6.548503E-2</v>
      </c>
      <c r="R467">
        <v>-9.0091119999999997E-2</v>
      </c>
      <c r="S467">
        <v>3.0013730000000001</v>
      </c>
      <c r="T467">
        <v>-0.16194890000000001</v>
      </c>
      <c r="U467">
        <v>-0.30923460000000003</v>
      </c>
      <c r="V467">
        <v>6.7709439999999996E-2</v>
      </c>
      <c r="W467">
        <v>7.7171610000000002E-2</v>
      </c>
      <c r="X467">
        <v>0.99471600000000004</v>
      </c>
      <c r="Y467">
        <v>8.0010970000000001E-2</v>
      </c>
      <c r="Z467">
        <v>-9.4250240000000004E-4</v>
      </c>
      <c r="AA467">
        <v>0.9967935</v>
      </c>
      <c r="AB467">
        <v>30</v>
      </c>
      <c r="AC467">
        <v>20.284699999999901</v>
      </c>
      <c r="AD467">
        <v>-1.110040684993</v>
      </c>
      <c r="AE467">
        <v>-2.1132</v>
      </c>
      <c r="AF467">
        <v>1.6516250666538199</v>
      </c>
      <c r="AG467">
        <v>-1.110040684993</v>
      </c>
      <c r="AH467">
        <v>20.267050357083701</v>
      </c>
      <c r="AI467">
        <v>93.124660221600394</v>
      </c>
      <c r="AJ467">
        <v>85.341083732287501</v>
      </c>
      <c r="AK467">
        <v>20.364512905043998</v>
      </c>
      <c r="AL467">
        <v>85.573991743551105</v>
      </c>
      <c r="AM467">
        <v>86.105933716987195</v>
      </c>
      <c r="AN467">
        <v>0.999999973155552</v>
      </c>
    </row>
    <row r="468" spans="1:40" x14ac:dyDescent="0.25">
      <c r="A468" t="str">
        <f>"20190312151231381"</f>
        <v>20190312151231381</v>
      </c>
      <c r="B468" t="str">
        <f>"1552374751370411"</f>
        <v>1552374751370411</v>
      </c>
      <c r="C468" t="s">
        <v>40</v>
      </c>
      <c r="D468">
        <v>4.0831410000000004</v>
      </c>
      <c r="E468">
        <v>0.5040268</v>
      </c>
      <c r="F468" t="s">
        <v>42</v>
      </c>
      <c r="G468">
        <v>-343.63889999999998</v>
      </c>
      <c r="H468" s="1">
        <v>-3.8124090000000002E-6</v>
      </c>
      <c r="I468">
        <v>364.96550000000002</v>
      </c>
      <c r="J468">
        <v>-363.87520000000001</v>
      </c>
      <c r="K468">
        <v>1.110039</v>
      </c>
      <c r="L468">
        <v>367.07209999999998</v>
      </c>
      <c r="M468">
        <v>0.99968029999999997</v>
      </c>
      <c r="N468">
        <v>0</v>
      </c>
      <c r="O468">
        <v>-2.2387750000000001E-2</v>
      </c>
      <c r="P468">
        <v>0.99374649999999998</v>
      </c>
      <c r="Q468">
        <v>6.5774719999999995E-2</v>
      </c>
      <c r="R468">
        <v>-9.0231749999999999E-2</v>
      </c>
      <c r="S468">
        <v>3.0014340000000002</v>
      </c>
      <c r="T468">
        <v>-0.16209519999999999</v>
      </c>
      <c r="U468">
        <v>-0.30865479999999901</v>
      </c>
      <c r="V468">
        <v>6.7948239999999993E-2</v>
      </c>
      <c r="W468">
        <v>7.7482990000000002E-2</v>
      </c>
      <c r="X468">
        <v>0.99467550000000005</v>
      </c>
      <c r="Y468">
        <v>7.9915899999999998E-2</v>
      </c>
      <c r="Z468">
        <v>-9.460534E-4</v>
      </c>
      <c r="AA468">
        <v>0.9968011</v>
      </c>
      <c r="AB468">
        <v>30</v>
      </c>
      <c r="AC468">
        <v>20.2363</v>
      </c>
      <c r="AD468">
        <v>-1.110042812409</v>
      </c>
      <c r="AE468">
        <v>-2.1065999999999501</v>
      </c>
      <c r="AF468">
        <v>1.6480895459345899</v>
      </c>
      <c r="AG468">
        <v>-1.110042812409</v>
      </c>
      <c r="AH468">
        <v>20.2182089253767</v>
      </c>
      <c r="AI468">
        <v>93.132193922554194</v>
      </c>
      <c r="AJ468">
        <v>85.339831771082302</v>
      </c>
      <c r="AK468">
        <v>20.315618778343499</v>
      </c>
      <c r="AL468">
        <v>85.556097361053901</v>
      </c>
      <c r="AM468">
        <v>86.092083846610294</v>
      </c>
      <c r="AN468">
        <v>0.99999996367934296</v>
      </c>
    </row>
    <row r="469" spans="1:40" x14ac:dyDescent="0.25">
      <c r="A469" t="str">
        <f>"20190312151231401"</f>
        <v>20190312151231401</v>
      </c>
      <c r="B469" t="str">
        <f>"1552374751389931"</f>
        <v>1552374751389931</v>
      </c>
      <c r="C469" t="s">
        <v>40</v>
      </c>
      <c r="D469">
        <v>4.0749469999999999</v>
      </c>
      <c r="E469">
        <v>0.5040192</v>
      </c>
      <c r="F469" t="s">
        <v>42</v>
      </c>
      <c r="G469">
        <v>-343.28590000000003</v>
      </c>
      <c r="H469" s="1">
        <v>-3.9817889999999996E-6</v>
      </c>
      <c r="I469">
        <v>364.9511</v>
      </c>
      <c r="J469">
        <v>-363.59699999999998</v>
      </c>
      <c r="K469">
        <v>1.110044</v>
      </c>
      <c r="L469">
        <v>367.06599999999997</v>
      </c>
      <c r="M469">
        <v>0.99968199999999996</v>
      </c>
      <c r="N469">
        <v>0</v>
      </c>
      <c r="O469">
        <v>-2.2301540000000002E-2</v>
      </c>
      <c r="P469">
        <v>0.99375389999999997</v>
      </c>
      <c r="Q469">
        <v>6.575143E-2</v>
      </c>
      <c r="R469">
        <v>-9.0166850000000007E-2</v>
      </c>
      <c r="S469">
        <v>3.0015260000000001</v>
      </c>
      <c r="T469">
        <v>-0.1618232</v>
      </c>
      <c r="U469">
        <v>-0.30920409999999998</v>
      </c>
      <c r="V469">
        <v>6.7969080000000001E-2</v>
      </c>
      <c r="W469">
        <v>7.7476809999999993E-2</v>
      </c>
      <c r="X469">
        <v>0.99467459999999996</v>
      </c>
      <c r="Y469">
        <v>8.0179039999999993E-2</v>
      </c>
      <c r="Z469">
        <v>-9.5612900000000001E-4</v>
      </c>
      <c r="AA469">
        <v>0.99678</v>
      </c>
      <c r="AB469">
        <v>30</v>
      </c>
      <c r="AC469">
        <v>20.3110999999999</v>
      </c>
      <c r="AD469">
        <v>-1.1100479817890001</v>
      </c>
      <c r="AE469">
        <v>-2.1148999999999698</v>
      </c>
      <c r="AF469">
        <v>1.65647911700296</v>
      </c>
      <c r="AG469">
        <v>-1.1100479817890001</v>
      </c>
      <c r="AH469">
        <v>20.293253291136899</v>
      </c>
      <c r="AI469">
        <v>93.120620262835502</v>
      </c>
      <c r="AJ469">
        <v>85.333458527295804</v>
      </c>
      <c r="AK469">
        <v>20.390984741428799</v>
      </c>
      <c r="AL469">
        <v>85.556452704618906</v>
      </c>
      <c r="AM469">
        <v>86.090885462321097</v>
      </c>
      <c r="AN469">
        <v>1.00000000590449</v>
      </c>
    </row>
    <row r="470" spans="1:40" x14ac:dyDescent="0.25">
      <c r="A470" t="str">
        <f>"20190312151231425"</f>
        <v>20190312151231425</v>
      </c>
      <c r="B470" t="str">
        <f>"1552374751420188"</f>
        <v>1552374751420188</v>
      </c>
      <c r="C470" t="s">
        <v>40</v>
      </c>
      <c r="D470">
        <v>4.042891</v>
      </c>
      <c r="E470">
        <v>0.50402860000000005</v>
      </c>
      <c r="F470" t="s">
        <v>42</v>
      </c>
      <c r="G470">
        <v>-343.04579999999999</v>
      </c>
      <c r="H470" s="1">
        <v>-4.095302E-6</v>
      </c>
      <c r="I470">
        <v>364.95119999999997</v>
      </c>
      <c r="J470">
        <v>-363.29090000000002</v>
      </c>
      <c r="K470">
        <v>1.1100479999999999</v>
      </c>
      <c r="L470">
        <v>367.05930000000001</v>
      </c>
      <c r="M470">
        <v>0.99968400000000002</v>
      </c>
      <c r="N470">
        <v>0</v>
      </c>
      <c r="O470">
        <v>-2.2207109999999999E-2</v>
      </c>
      <c r="P470">
        <v>0.99377389999999999</v>
      </c>
      <c r="Q470">
        <v>6.5843570000000004E-2</v>
      </c>
      <c r="R470">
        <v>-8.9880499999999905E-2</v>
      </c>
      <c r="S470">
        <v>3.0015260000000001</v>
      </c>
      <c r="T470">
        <v>-0.16212389999999999</v>
      </c>
      <c r="U470">
        <v>-0.30886839999999999</v>
      </c>
      <c r="V470">
        <v>6.7776279999999994E-2</v>
      </c>
      <c r="W470">
        <v>7.7586150000000006E-2</v>
      </c>
      <c r="X470">
        <v>0.99467919999999999</v>
      </c>
      <c r="Y470">
        <v>8.0162460000000005E-2</v>
      </c>
      <c r="Z470">
        <v>-9.6254269999999996E-4</v>
      </c>
      <c r="AA470">
        <v>0.99678129999999998</v>
      </c>
      <c r="AB470">
        <v>30</v>
      </c>
      <c r="AC470">
        <v>20.245100000000001</v>
      </c>
      <c r="AD470">
        <v>-1.1100520953020001</v>
      </c>
      <c r="AE470">
        <v>-2.1081000000000301</v>
      </c>
      <c r="AF470">
        <v>1.6530472835925101</v>
      </c>
      <c r="AG470">
        <v>-1.1100520953020001</v>
      </c>
      <c r="AH470">
        <v>20.2267672638101</v>
      </c>
      <c r="AI470">
        <v>93.1308440386764</v>
      </c>
      <c r="AJ470">
        <v>85.327844158448798</v>
      </c>
      <c r="AK470">
        <v>20.324539230211801</v>
      </c>
      <c r="AL470">
        <v>85.550168922430103</v>
      </c>
      <c r="AM470">
        <v>86.101957732072407</v>
      </c>
      <c r="AN470">
        <v>0.99999997285755005</v>
      </c>
    </row>
    <row r="471" spans="1:40" x14ac:dyDescent="0.25">
      <c r="A471" t="str">
        <f>"20190312151231446"</f>
        <v>20190312151231446</v>
      </c>
      <c r="B471" t="str">
        <f>"1552374751439708"</f>
        <v>1552374751439708</v>
      </c>
      <c r="C471" t="s">
        <v>40</v>
      </c>
      <c r="D471">
        <v>4.0688319999999996</v>
      </c>
      <c r="E471">
        <v>0.50401399999999996</v>
      </c>
      <c r="F471" t="s">
        <v>42</v>
      </c>
      <c r="G471">
        <v>-342.73520000000002</v>
      </c>
      <c r="H471" s="1">
        <v>-4.2423510000000004E-6</v>
      </c>
      <c r="I471">
        <v>364.94979999999998</v>
      </c>
      <c r="J471">
        <v>-363.01100000000002</v>
      </c>
      <c r="K471">
        <v>1.1100490000000001</v>
      </c>
      <c r="L471">
        <v>367.0532</v>
      </c>
      <c r="M471">
        <v>0.99968579999999996</v>
      </c>
      <c r="N471">
        <v>0</v>
      </c>
      <c r="O471">
        <v>-2.212041E-2</v>
      </c>
      <c r="P471">
        <v>0.99375880000000005</v>
      </c>
      <c r="Q471">
        <v>6.5921380000000002E-2</v>
      </c>
      <c r="R471">
        <v>-8.9990819999999999E-2</v>
      </c>
      <c r="S471">
        <v>3.0016780000000001</v>
      </c>
      <c r="T471">
        <v>-0.1620973</v>
      </c>
      <c r="U471">
        <v>-0.3080444</v>
      </c>
      <c r="V471">
        <v>6.7973350000000002E-2</v>
      </c>
      <c r="W471">
        <v>7.7676960000000003E-2</v>
      </c>
      <c r="X471">
        <v>0.99465870000000001</v>
      </c>
      <c r="Y471">
        <v>7.9973169999999996E-2</v>
      </c>
      <c r="Z471">
        <v>-9.6191799999999997E-4</v>
      </c>
      <c r="AA471">
        <v>0.99679649999999997</v>
      </c>
      <c r="AB471">
        <v>30</v>
      </c>
      <c r="AC471">
        <v>20.275799999999901</v>
      </c>
      <c r="AD471">
        <v>-1.1100532423509999</v>
      </c>
      <c r="AE471">
        <v>-2.1034000000000201</v>
      </c>
      <c r="AF471">
        <v>1.6494537897978401</v>
      </c>
      <c r="AG471">
        <v>-1.1100532423509999</v>
      </c>
      <c r="AH471">
        <v>20.257298483705299</v>
      </c>
      <c r="AI471">
        <v>93.1262139031966</v>
      </c>
      <c r="AJ471">
        <v>85.344951549680403</v>
      </c>
      <c r="AK471">
        <v>20.3546323440995</v>
      </c>
      <c r="AL471">
        <v>85.544950299561094</v>
      </c>
      <c r="AM471">
        <v>86.090578343898201</v>
      </c>
      <c r="AN471">
        <v>1.0000000079553699</v>
      </c>
    </row>
    <row r="472" spans="1:40" x14ac:dyDescent="0.25">
      <c r="A472" t="str">
        <f>"20190312151231468"</f>
        <v>20190312151231468</v>
      </c>
      <c r="B472" t="str">
        <f>"1552374751460207"</f>
        <v>1552374751460207</v>
      </c>
      <c r="C472" t="s">
        <v>40</v>
      </c>
      <c r="D472">
        <v>4.0510479999999998</v>
      </c>
      <c r="E472">
        <v>0.50404340000000003</v>
      </c>
      <c r="F472" t="s">
        <v>42</v>
      </c>
      <c r="G472">
        <v>-342.42410000000001</v>
      </c>
      <c r="H472" s="1">
        <v>-4.3912609999999998E-6</v>
      </c>
      <c r="I472">
        <v>364.93939999999998</v>
      </c>
      <c r="J472">
        <v>-362.69929999999999</v>
      </c>
      <c r="K472">
        <v>1.11005</v>
      </c>
      <c r="L472">
        <v>367.04640000000001</v>
      </c>
      <c r="M472">
        <v>0.99968760000000001</v>
      </c>
      <c r="N472">
        <v>0</v>
      </c>
      <c r="O472">
        <v>-2.2024640000000002E-2</v>
      </c>
      <c r="P472">
        <v>0.99376220000000004</v>
      </c>
      <c r="Q472">
        <v>6.5820130000000004E-2</v>
      </c>
      <c r="R472">
        <v>-9.002723E-2</v>
      </c>
      <c r="S472">
        <v>3.0016780000000001</v>
      </c>
      <c r="T472">
        <v>-0.16185189999999999</v>
      </c>
      <c r="U472">
        <v>-0.308197</v>
      </c>
      <c r="V472">
        <v>6.8104849999999995E-2</v>
      </c>
      <c r="W472">
        <v>7.7589489999999997E-2</v>
      </c>
      <c r="X472">
        <v>0.99465650000000005</v>
      </c>
      <c r="Y472">
        <v>8.0118690000000006E-2</v>
      </c>
      <c r="Z472">
        <v>-9.6951480000000004E-4</v>
      </c>
      <c r="AA472">
        <v>0.99678489999999997</v>
      </c>
      <c r="AB472">
        <v>30</v>
      </c>
      <c r="AC472">
        <v>20.275199999999899</v>
      </c>
      <c r="AD472">
        <v>-1.1100543912609999</v>
      </c>
      <c r="AE472">
        <v>-2.1070000000000202</v>
      </c>
      <c r="AF472">
        <v>1.65499583486108</v>
      </c>
      <c r="AG472">
        <v>-1.1100543912609999</v>
      </c>
      <c r="AH472">
        <v>20.256619917276598</v>
      </c>
      <c r="AI472">
        <v>93.126251793978795</v>
      </c>
      <c r="AJ472">
        <v>85.329224240387802</v>
      </c>
      <c r="AK472">
        <v>20.354406953727999</v>
      </c>
      <c r="AL472">
        <v>85.549976991128105</v>
      </c>
      <c r="AM472">
        <v>86.083030131658205</v>
      </c>
      <c r="AN472">
        <v>0.99999997627211601</v>
      </c>
    </row>
    <row r="473" spans="1:40" x14ac:dyDescent="0.25">
      <c r="A473" t="str">
        <f>"20190312151231491"</f>
        <v>20190312151231491</v>
      </c>
      <c r="B473" t="str">
        <f>"1552374751479727"</f>
        <v>1552374751479727</v>
      </c>
      <c r="C473" t="s">
        <v>40</v>
      </c>
      <c r="D473">
        <v>4.0452399999999997</v>
      </c>
      <c r="E473">
        <v>0.50403189999999998</v>
      </c>
      <c r="F473" t="s">
        <v>42</v>
      </c>
      <c r="G473">
        <v>-342.15640000000002</v>
      </c>
      <c r="H473" s="1">
        <v>-4.5190649999999997E-6</v>
      </c>
      <c r="I473">
        <v>364.93239999999997</v>
      </c>
      <c r="J473">
        <v>-362.40949999999998</v>
      </c>
      <c r="K473">
        <v>1.11005</v>
      </c>
      <c r="L473">
        <v>367.0401</v>
      </c>
      <c r="M473">
        <v>0.99968959999999996</v>
      </c>
      <c r="N473">
        <v>0</v>
      </c>
      <c r="O473">
        <v>-2.193577E-2</v>
      </c>
      <c r="P473">
        <v>0.99379839999999997</v>
      </c>
      <c r="Q473">
        <v>6.5789169999999994E-2</v>
      </c>
      <c r="R473">
        <v>-8.9649999999999994E-2</v>
      </c>
      <c r="S473">
        <v>3.0015869999999998</v>
      </c>
      <c r="T473">
        <v>-0.162192899999999</v>
      </c>
      <c r="U473">
        <v>-0.30886839999999999</v>
      </c>
      <c r="V473">
        <v>6.7815550000000002E-2</v>
      </c>
      <c r="W473">
        <v>7.7569040000000006E-2</v>
      </c>
      <c r="X473">
        <v>0.9946779</v>
      </c>
      <c r="Y473">
        <v>8.0430109999999999E-2</v>
      </c>
      <c r="Z473">
        <v>-9.8474179999999997E-4</v>
      </c>
      <c r="AA473">
        <v>0.99675979999999997</v>
      </c>
      <c r="AB473">
        <v>30</v>
      </c>
      <c r="AC473">
        <v>20.2530999999999</v>
      </c>
      <c r="AD473">
        <v>-1.110054519065</v>
      </c>
      <c r="AE473">
        <v>-2.1077000000000199</v>
      </c>
      <c r="AF473">
        <v>1.6579672029364301</v>
      </c>
      <c r="AG473">
        <v>-1.110054519065</v>
      </c>
      <c r="AH473">
        <v>20.2343298419969</v>
      </c>
      <c r="AI473">
        <v>93.129629053705699</v>
      </c>
      <c r="AJ473">
        <v>85.315743980890801</v>
      </c>
      <c r="AK473">
        <v>20.332466167094299</v>
      </c>
      <c r="AL473">
        <v>85.551152403411393</v>
      </c>
      <c r="AM473">
        <v>86.099701069090003</v>
      </c>
      <c r="AN473">
        <v>1.0000000147683601</v>
      </c>
    </row>
    <row r="474" spans="1:40" x14ac:dyDescent="0.25">
      <c r="A474" t="str">
        <f>"20190312151231512"</f>
        <v>20190312151231512</v>
      </c>
      <c r="B474" t="str">
        <f>"1552374751509979"</f>
        <v>1552374751509979</v>
      </c>
      <c r="C474" t="s">
        <v>40</v>
      </c>
      <c r="D474">
        <v>4.033461</v>
      </c>
      <c r="E474">
        <v>0.50405559999999905</v>
      </c>
      <c r="F474" t="s">
        <v>42</v>
      </c>
      <c r="G474">
        <v>-341.94569999999999</v>
      </c>
      <c r="H474" s="1">
        <v>-4.6163549999999998E-6</v>
      </c>
      <c r="I474">
        <v>364.94549999999998</v>
      </c>
      <c r="J474">
        <v>-362.12200000000001</v>
      </c>
      <c r="K474">
        <v>1.1100429999999999</v>
      </c>
      <c r="L474">
        <v>367.03390000000002</v>
      </c>
      <c r="M474">
        <v>0.99969140000000001</v>
      </c>
      <c r="N474">
        <v>0</v>
      </c>
      <c r="O474">
        <v>-2.184726E-2</v>
      </c>
      <c r="P474">
        <v>0.99380979999999997</v>
      </c>
      <c r="Q474">
        <v>6.5579209999999999E-2</v>
      </c>
      <c r="R474">
        <v>-8.9677399999999893E-2</v>
      </c>
      <c r="S474">
        <v>3.0017399999999999</v>
      </c>
      <c r="T474">
        <v>-0.16282820000000001</v>
      </c>
      <c r="U474">
        <v>-0.307251</v>
      </c>
      <c r="V474">
        <v>6.7930850000000001E-2</v>
      </c>
      <c r="W474">
        <v>7.7368419999999993E-2</v>
      </c>
      <c r="X474">
        <v>0.99468559999999995</v>
      </c>
      <c r="Y474">
        <v>7.9981540000000004E-2</v>
      </c>
      <c r="Z474">
        <v>-9.8122490000000003E-4</v>
      </c>
      <c r="AA474">
        <v>0.99679580000000001</v>
      </c>
      <c r="AB474">
        <v>30</v>
      </c>
      <c r="AC474">
        <v>20.176299999999902</v>
      </c>
      <c r="AD474">
        <v>-1.1100476163549999</v>
      </c>
      <c r="AE474">
        <v>-2.0884000000000298</v>
      </c>
      <c r="AF474">
        <v>1.6421558089019199</v>
      </c>
      <c r="AG474">
        <v>-1.1100476163549999</v>
      </c>
      <c r="AH474">
        <v>20.156746657653699</v>
      </c>
      <c r="AI474">
        <v>93.141750754</v>
      </c>
      <c r="AJ474">
        <v>85.342439889125004</v>
      </c>
      <c r="AK474">
        <v>20.253970406617</v>
      </c>
      <c r="AL474">
        <v>85.562681477485896</v>
      </c>
      <c r="AM474">
        <v>86.093120450066195</v>
      </c>
      <c r="AN474">
        <v>0.999999957821188</v>
      </c>
    </row>
    <row r="475" spans="1:40" x14ac:dyDescent="0.25">
      <c r="A475" t="str">
        <f>"20190312151231535"</f>
        <v>20190312151231535</v>
      </c>
      <c r="B475" t="str">
        <f>"1552374751530475"</f>
        <v>1552374751530475</v>
      </c>
      <c r="C475" t="s">
        <v>40</v>
      </c>
      <c r="D475">
        <v>4.0253110000000003</v>
      </c>
      <c r="E475">
        <v>0.5040559</v>
      </c>
      <c r="F475" t="s">
        <v>42</v>
      </c>
      <c r="G475">
        <v>-341.7903</v>
      </c>
      <c r="H475" s="1">
        <v>-4.689048E-6</v>
      </c>
      <c r="I475">
        <v>364.94970000000001</v>
      </c>
      <c r="J475">
        <v>-361.82389999999998</v>
      </c>
      <c r="K475">
        <v>1.1100429999999999</v>
      </c>
      <c r="L475">
        <v>367.02749999999997</v>
      </c>
      <c r="M475">
        <v>0.99969330000000001</v>
      </c>
      <c r="N475">
        <v>0</v>
      </c>
      <c r="O475">
        <v>-2.1755759999999999E-2</v>
      </c>
      <c r="P475">
        <v>0.99383010000000005</v>
      </c>
      <c r="Q475">
        <v>6.5506620000000002E-2</v>
      </c>
      <c r="R475">
        <v>-8.9505970000000004E-2</v>
      </c>
      <c r="S475">
        <v>3.0018009999999999</v>
      </c>
      <c r="T475">
        <v>-0.1638886</v>
      </c>
      <c r="U475">
        <v>-0.3077087</v>
      </c>
      <c r="V475">
        <v>6.7850129999999995E-2</v>
      </c>
      <c r="W475">
        <v>7.7304709999999999E-2</v>
      </c>
      <c r="X475">
        <v>0.99469609999999997</v>
      </c>
      <c r="Y475">
        <v>8.0219570000000004E-2</v>
      </c>
      <c r="Z475">
        <v>-9.9902960000000001E-4</v>
      </c>
      <c r="AA475">
        <v>0.99677669999999996</v>
      </c>
      <c r="AB475">
        <v>30</v>
      </c>
      <c r="AC475">
        <v>20.0335999999999</v>
      </c>
      <c r="AD475">
        <v>-1.110047689048</v>
      </c>
      <c r="AE475">
        <v>-2.0777999999999599</v>
      </c>
      <c r="AF475">
        <v>1.6364606685046399</v>
      </c>
      <c r="AG475">
        <v>-1.110047689048</v>
      </c>
      <c r="AH475">
        <v>20.013274338972298</v>
      </c>
      <c r="AI475">
        <v>93.164151446782498</v>
      </c>
      <c r="AJ475">
        <v>85.325394864108702</v>
      </c>
      <c r="AK475">
        <v>20.110727464676401</v>
      </c>
      <c r="AL475">
        <v>85.566342921596302</v>
      </c>
      <c r="AM475">
        <v>86.097789580363099</v>
      </c>
      <c r="AN475">
        <v>0.99999999484220503</v>
      </c>
    </row>
    <row r="476" spans="1:40" x14ac:dyDescent="0.25">
      <c r="A476" t="str">
        <f>"20190312151231558"</f>
        <v>20190312151231558</v>
      </c>
      <c r="B476" t="str">
        <f>"1552374751549995"</f>
        <v>1552374751549995</v>
      </c>
      <c r="C476" t="s">
        <v>40</v>
      </c>
      <c r="D476">
        <v>4.0174209999999997</v>
      </c>
      <c r="E476">
        <v>0.5040405</v>
      </c>
      <c r="F476" t="s">
        <v>42</v>
      </c>
      <c r="G476">
        <v>-341.57850000000002</v>
      </c>
      <c r="H476" s="1">
        <v>-4.7884349999999997E-6</v>
      </c>
      <c r="I476">
        <v>364.95400000000001</v>
      </c>
      <c r="J476">
        <v>-361.51549999999997</v>
      </c>
      <c r="K476">
        <v>1.110042</v>
      </c>
      <c r="L476">
        <v>367.02089999999998</v>
      </c>
      <c r="M476">
        <v>0.99969509999999995</v>
      </c>
      <c r="N476">
        <v>0</v>
      </c>
      <c r="O476">
        <v>-2.1660680000000002E-2</v>
      </c>
      <c r="P476">
        <v>0.9937916</v>
      </c>
      <c r="Q476">
        <v>6.5699309999999997E-2</v>
      </c>
      <c r="R476">
        <v>-8.9788030000000005E-2</v>
      </c>
      <c r="S476">
        <v>3.00177</v>
      </c>
      <c r="T476">
        <v>-0.1645858</v>
      </c>
      <c r="U476">
        <v>-0.30743409999999999</v>
      </c>
      <c r="V476">
        <v>6.8227750000000004E-2</v>
      </c>
      <c r="W476">
        <v>7.7504859999999995E-2</v>
      </c>
      <c r="X476">
        <v>0.9946547</v>
      </c>
      <c r="Y476">
        <v>8.0224249999999997E-2</v>
      </c>
      <c r="Z476">
        <v>-1.008608E-3</v>
      </c>
      <c r="AA476">
        <v>0.99677629999999995</v>
      </c>
      <c r="AB476">
        <v>30</v>
      </c>
      <c r="AC476">
        <v>19.936999999999902</v>
      </c>
      <c r="AD476">
        <v>-1.110046788435</v>
      </c>
      <c r="AE476">
        <v>-2.0668999999999702</v>
      </c>
      <c r="AF476">
        <v>1.62953780735436</v>
      </c>
      <c r="AG476">
        <v>-1.110046788435</v>
      </c>
      <c r="AH476">
        <v>19.916012022653501</v>
      </c>
      <c r="AI476">
        <v>93.179556434688294</v>
      </c>
      <c r="AJ476">
        <v>85.322450929187497</v>
      </c>
      <c r="AK476">
        <v>20.013373834128799</v>
      </c>
      <c r="AL476">
        <v>85.554840687727705</v>
      </c>
      <c r="AM476">
        <v>86.075976666946204</v>
      </c>
      <c r="AN476">
        <v>1.00000000071288</v>
      </c>
    </row>
    <row r="477" spans="1:40" x14ac:dyDescent="0.25">
      <c r="A477" t="str">
        <f>"20190312151231582"</f>
        <v>20190312151231582</v>
      </c>
      <c r="B477" t="str">
        <f>"1552374751570492"</f>
        <v>1552374751570492</v>
      </c>
      <c r="C477" t="s">
        <v>40</v>
      </c>
      <c r="D477">
        <v>4.0486649999999997</v>
      </c>
      <c r="E477">
        <v>0.50404209999999905</v>
      </c>
      <c r="F477" t="s">
        <v>42</v>
      </c>
      <c r="G477">
        <v>-341.20010000000002</v>
      </c>
      <c r="H477" s="1">
        <v>-4.9705080000000003E-6</v>
      </c>
      <c r="I477">
        <v>364.9359</v>
      </c>
      <c r="J477">
        <v>-361.20150000000001</v>
      </c>
      <c r="K477">
        <v>1.1100399999999999</v>
      </c>
      <c r="L477">
        <v>367.01420000000002</v>
      </c>
      <c r="M477">
        <v>0.99969730000000001</v>
      </c>
      <c r="N477">
        <v>0</v>
      </c>
      <c r="O477">
        <v>-2.1564280000000002E-2</v>
      </c>
      <c r="P477">
        <v>0.99377930000000003</v>
      </c>
      <c r="Q477">
        <v>6.5850729999999996E-2</v>
      </c>
      <c r="R477">
        <v>-8.9814690000000003E-2</v>
      </c>
      <c r="S477">
        <v>3.00177</v>
      </c>
      <c r="T477">
        <v>-0.16401859999999999</v>
      </c>
      <c r="U477">
        <v>-0.30807499999999999</v>
      </c>
      <c r="V477">
        <v>6.8350540000000001E-2</v>
      </c>
      <c r="W477">
        <v>7.7663170000000004E-2</v>
      </c>
      <c r="X477">
        <v>0.99463389999999996</v>
      </c>
      <c r="Y477">
        <v>8.0530969999999993E-2</v>
      </c>
      <c r="Z477">
        <v>-1.0187250000000001E-3</v>
      </c>
      <c r="AA477">
        <v>0.99675159999999996</v>
      </c>
      <c r="AB477">
        <v>30</v>
      </c>
      <c r="AC477">
        <v>20.001399999999901</v>
      </c>
      <c r="AD477">
        <v>-1.110044970508</v>
      </c>
      <c r="AE477">
        <v>-2.0783000000000098</v>
      </c>
      <c r="AF477">
        <v>1.64146877231399</v>
      </c>
      <c r="AG477">
        <v>-1.110044970508</v>
      </c>
      <c r="AH477">
        <v>19.980683972706299</v>
      </c>
      <c r="AI477">
        <v>93.1691953326076</v>
      </c>
      <c r="AJ477">
        <v>85.303538970604293</v>
      </c>
      <c r="AK477">
        <v>20.078703931882501</v>
      </c>
      <c r="AL477">
        <v>85.545742676127105</v>
      </c>
      <c r="AM477">
        <v>86.068854744614001</v>
      </c>
      <c r="AN477">
        <v>0.99999997966097498</v>
      </c>
    </row>
    <row r="478" spans="1:40" x14ac:dyDescent="0.25">
      <c r="A478" t="str">
        <f>"20190312151231603"</f>
        <v>20190312151231603</v>
      </c>
      <c r="B478" t="str">
        <f>"1552374751599772"</f>
        <v>1552374751599772</v>
      </c>
      <c r="C478" t="s">
        <v>40</v>
      </c>
      <c r="D478">
        <v>4.0432329999999999</v>
      </c>
      <c r="E478">
        <v>0.50400349999999905</v>
      </c>
      <c r="F478" t="s">
        <v>42</v>
      </c>
      <c r="G478">
        <v>-340.80990000000003</v>
      </c>
      <c r="H478" s="1">
        <v>-5.1572399999999998E-6</v>
      </c>
      <c r="I478">
        <v>364.923</v>
      </c>
      <c r="J478">
        <v>-360.91570000000002</v>
      </c>
      <c r="K478">
        <v>1.110036</v>
      </c>
      <c r="L478">
        <v>367.00810000000001</v>
      </c>
      <c r="M478">
        <v>0.99969909999999995</v>
      </c>
      <c r="N478">
        <v>0</v>
      </c>
      <c r="O478">
        <v>-2.1476459999999999E-2</v>
      </c>
      <c r="P478">
        <v>0.99383169999999998</v>
      </c>
      <c r="Q478">
        <v>6.5731650000000003E-2</v>
      </c>
      <c r="R478">
        <v>-8.9322499999999999E-2</v>
      </c>
      <c r="S478">
        <v>3.00177</v>
      </c>
      <c r="T478">
        <v>-0.16340550000000001</v>
      </c>
      <c r="U478">
        <v>-0.30783080000000002</v>
      </c>
      <c r="V478">
        <v>6.7944649999999995E-2</v>
      </c>
      <c r="W478">
        <v>7.7550019999999997E-2</v>
      </c>
      <c r="X478">
        <v>0.99467059999999996</v>
      </c>
      <c r="Y478">
        <v>8.0538819999999997E-2</v>
      </c>
      <c r="Z478">
        <v>-1.0199009999999999E-3</v>
      </c>
      <c r="AA478">
        <v>0.99675100000000005</v>
      </c>
      <c r="AB478">
        <v>30</v>
      </c>
      <c r="AC478">
        <v>20.105799999999899</v>
      </c>
      <c r="AD478">
        <v>-1.11004115724</v>
      </c>
      <c r="AE478">
        <v>-2.0851000000000099</v>
      </c>
      <c r="AF478">
        <v>1.6478179318435799</v>
      </c>
      <c r="AG478">
        <v>-1.11004115724</v>
      </c>
      <c r="AH478">
        <v>20.085374084399501</v>
      </c>
      <c r="AI478">
        <v>93.152728037010405</v>
      </c>
      <c r="AJ478">
        <v>85.309918414202599</v>
      </c>
      <c r="AK478">
        <v>20.1834027710279</v>
      </c>
      <c r="AL478">
        <v>85.5522455821215</v>
      </c>
      <c r="AM478">
        <v>86.092270488323905</v>
      </c>
      <c r="AN478">
        <v>1.0000000417849899</v>
      </c>
    </row>
    <row r="479" spans="1:40" x14ac:dyDescent="0.25">
      <c r="A479" t="str">
        <f>"20190312151231625"</f>
        <v>20190312151231625</v>
      </c>
      <c r="B479" t="str">
        <f>"1552374751620268"</f>
        <v>1552374751620268</v>
      </c>
      <c r="C479" t="s">
        <v>40</v>
      </c>
      <c r="D479">
        <v>4.0533760000000001</v>
      </c>
      <c r="E479">
        <v>0.5039846</v>
      </c>
      <c r="F479" t="s">
        <v>42</v>
      </c>
      <c r="G479">
        <v>-340.58949999999999</v>
      </c>
      <c r="H479" s="1">
        <v>-5.2594659999999997E-6</v>
      </c>
      <c r="I479">
        <v>364.9341</v>
      </c>
      <c r="J479">
        <v>-360.63869999999997</v>
      </c>
      <c r="K479">
        <v>1.110036</v>
      </c>
      <c r="L479">
        <v>367.00229999999999</v>
      </c>
      <c r="M479">
        <v>0.99970079999999995</v>
      </c>
      <c r="N479">
        <v>0</v>
      </c>
      <c r="O479">
        <v>-2.1391139999999999E-2</v>
      </c>
      <c r="P479">
        <v>0.99383829999999995</v>
      </c>
      <c r="Q479">
        <v>6.5645250000000002E-2</v>
      </c>
      <c r="R479">
        <v>-8.9313030000000002E-2</v>
      </c>
      <c r="S479">
        <v>3.0018919999999998</v>
      </c>
      <c r="T479">
        <v>-0.16393720000000001</v>
      </c>
      <c r="U479">
        <v>-0.30630489999999999</v>
      </c>
      <c r="V479">
        <v>6.8020129999999998E-2</v>
      </c>
      <c r="W479">
        <v>7.7468259999999997E-2</v>
      </c>
      <c r="X479">
        <v>0.99467179999999999</v>
      </c>
      <c r="Y479">
        <v>8.0118289999999995E-2</v>
      </c>
      <c r="Z479">
        <v>-1.0163940000000001E-3</v>
      </c>
      <c r="AA479">
        <v>0.99678489999999997</v>
      </c>
      <c r="AB479">
        <v>30</v>
      </c>
      <c r="AC479">
        <v>20.0491999999999</v>
      </c>
      <c r="AD479">
        <v>-1.1100412594660001</v>
      </c>
      <c r="AE479">
        <v>-2.0681999999999898</v>
      </c>
      <c r="AF479">
        <v>1.6338655874185</v>
      </c>
      <c r="AG479">
        <v>-1.1100412594660001</v>
      </c>
      <c r="AH479">
        <v>20.028108718662999</v>
      </c>
      <c r="AI479">
        <v>93.161842985613802</v>
      </c>
      <c r="AJ479">
        <v>85.336216682125396</v>
      </c>
      <c r="AK479">
        <v>20.125278810542099</v>
      </c>
      <c r="AL479">
        <v>85.556944165593904</v>
      </c>
      <c r="AM479">
        <v>86.087947551930498</v>
      </c>
      <c r="AN479">
        <v>1.00000002955394</v>
      </c>
    </row>
    <row r="480" spans="1:40" x14ac:dyDescent="0.25">
      <c r="A480" t="str">
        <f>"20190312151231647"</f>
        <v>20190312151231647</v>
      </c>
      <c r="B480" t="str">
        <f>"1552374751639789"</f>
        <v>1552374751639789</v>
      </c>
      <c r="C480" t="s">
        <v>40</v>
      </c>
      <c r="D480">
        <v>4.021865</v>
      </c>
      <c r="E480">
        <v>0.50398399999999999</v>
      </c>
      <c r="F480" t="s">
        <v>42</v>
      </c>
      <c r="G480">
        <v>-340.32909999999998</v>
      </c>
      <c r="H480" s="1">
        <v>-5.3829949999999996E-6</v>
      </c>
      <c r="I480">
        <v>364.9314</v>
      </c>
      <c r="J480">
        <v>-360.3331</v>
      </c>
      <c r="K480">
        <v>1.1100429999999999</v>
      </c>
      <c r="L480">
        <v>366.99579999999997</v>
      </c>
      <c r="M480">
        <v>0.9997026</v>
      </c>
      <c r="N480">
        <v>0</v>
      </c>
      <c r="O480">
        <v>-2.1296869999999999E-2</v>
      </c>
      <c r="P480">
        <v>0.9938013</v>
      </c>
      <c r="Q480">
        <v>6.5789100000000003E-2</v>
      </c>
      <c r="R480">
        <v>-8.9614139999999995E-2</v>
      </c>
      <c r="S480">
        <v>3.0019230000000001</v>
      </c>
      <c r="T480">
        <v>-0.16407359999999999</v>
      </c>
      <c r="U480">
        <v>-0.30609130000000001</v>
      </c>
      <c r="V480">
        <v>6.8415920000000005E-2</v>
      </c>
      <c r="W480">
        <v>7.7616589999999999E-2</v>
      </c>
      <c r="X480">
        <v>0.99463310000000005</v>
      </c>
      <c r="Y480">
        <v>8.0140719999999999E-2</v>
      </c>
      <c r="Z480">
        <v>-1.0229739999999901E-3</v>
      </c>
      <c r="AA480">
        <v>0.99678299999999997</v>
      </c>
      <c r="AB480">
        <v>30</v>
      </c>
      <c r="AC480">
        <v>20.004000000000001</v>
      </c>
      <c r="AD480">
        <v>-1.1100483829950001</v>
      </c>
      <c r="AE480">
        <v>-2.0643999999999698</v>
      </c>
      <c r="AF480">
        <v>1.63290386853799</v>
      </c>
      <c r="AG480">
        <v>-1.1100483829950001</v>
      </c>
      <c r="AH480">
        <v>19.982547157871998</v>
      </c>
      <c r="AI480">
        <v>93.169022453392401</v>
      </c>
      <c r="AJ480">
        <v>85.328369234225505</v>
      </c>
      <c r="AK480">
        <v>20.0798598942586</v>
      </c>
      <c r="AL480">
        <v>85.548419855889904</v>
      </c>
      <c r="AM480">
        <v>86.065103100326795</v>
      </c>
      <c r="AN480">
        <v>1.0000000383841401</v>
      </c>
    </row>
    <row r="481" spans="1:40" x14ac:dyDescent="0.25">
      <c r="A481" t="str">
        <f>"20190312151231670"</f>
        <v>20190312151231670</v>
      </c>
      <c r="B481" t="str">
        <f>"1552374751660287"</f>
        <v>1552374751660287</v>
      </c>
      <c r="C481" t="s">
        <v>40</v>
      </c>
      <c r="D481">
        <v>3.999374</v>
      </c>
      <c r="E481">
        <v>0.50396759999999996</v>
      </c>
      <c r="F481" t="s">
        <v>42</v>
      </c>
      <c r="G481">
        <v>-340.01260000000002</v>
      </c>
      <c r="H481" s="1">
        <v>-5.534358E-6</v>
      </c>
      <c r="I481">
        <v>364.92160000000001</v>
      </c>
      <c r="J481">
        <v>-360.03050000000002</v>
      </c>
      <c r="K481">
        <v>1.1100490000000001</v>
      </c>
      <c r="L481">
        <v>366.98950000000002</v>
      </c>
      <c r="M481">
        <v>0.99970460000000005</v>
      </c>
      <c r="N481">
        <v>0</v>
      </c>
      <c r="O481">
        <v>-2.1203920000000001E-2</v>
      </c>
      <c r="P481">
        <v>0.99380590000000002</v>
      </c>
      <c r="Q481">
        <v>6.5787199999999907E-2</v>
      </c>
      <c r="R481">
        <v>-8.956604E-2</v>
      </c>
      <c r="S481">
        <v>3.0019230000000001</v>
      </c>
      <c r="T481">
        <v>-0.1639861</v>
      </c>
      <c r="U481">
        <v>-0.306427</v>
      </c>
      <c r="V481">
        <v>6.8460359999999998E-2</v>
      </c>
      <c r="W481">
        <v>7.7618489999999998E-2</v>
      </c>
      <c r="X481">
        <v>0.99462989999999996</v>
      </c>
      <c r="Y481">
        <v>8.0343390000000001E-2</v>
      </c>
      <c r="Z481">
        <v>-1.0329989999999999E-3</v>
      </c>
      <c r="AA481">
        <v>0.99676670000000001</v>
      </c>
      <c r="AB481">
        <v>30</v>
      </c>
      <c r="AC481">
        <v>20.017900000000001</v>
      </c>
      <c r="AD481">
        <v>-1.1100545343579999</v>
      </c>
      <c r="AE481">
        <v>-2.0678999999999998</v>
      </c>
      <c r="AF481">
        <v>1.6379634810739501</v>
      </c>
      <c r="AG481">
        <v>-1.1100545343579999</v>
      </c>
      <c r="AH481">
        <v>19.996408833700102</v>
      </c>
      <c r="AI481">
        <v>93.166797207780803</v>
      </c>
      <c r="AJ481">
        <v>85.317192331654297</v>
      </c>
      <c r="AK481">
        <v>20.094066578944702</v>
      </c>
      <c r="AL481">
        <v>85.5483106914633</v>
      </c>
      <c r="AM481">
        <v>86.062542571749603</v>
      </c>
      <c r="AN481">
        <v>1.0000000444276</v>
      </c>
    </row>
    <row r="482" spans="1:40" x14ac:dyDescent="0.25">
      <c r="A482" t="str">
        <f>"20190312151231691"</f>
        <v>20190312151231691</v>
      </c>
      <c r="B482" t="str">
        <f>"1552374751679804"</f>
        <v>1552374751679804</v>
      </c>
      <c r="C482" t="s">
        <v>40</v>
      </c>
      <c r="D482">
        <v>4.0181300000000002</v>
      </c>
      <c r="E482">
        <v>0.50394830000000002</v>
      </c>
      <c r="F482" t="s">
        <v>42</v>
      </c>
      <c r="G482">
        <v>-339.65350000000001</v>
      </c>
      <c r="H482" s="1">
        <v>-1.356343E-6</v>
      </c>
      <c r="I482">
        <v>364.90960000000001</v>
      </c>
      <c r="J482">
        <v>-359.74509999999998</v>
      </c>
      <c r="K482">
        <v>1.1100479999999999</v>
      </c>
      <c r="L482">
        <v>366.98349999999999</v>
      </c>
      <c r="M482">
        <v>0.9997064</v>
      </c>
      <c r="N482">
        <v>0</v>
      </c>
      <c r="O482">
        <v>-2.1116079999999999E-2</v>
      </c>
      <c r="P482">
        <v>0.99379660000000003</v>
      </c>
      <c r="Q482">
        <v>6.5927799999999995E-2</v>
      </c>
      <c r="R482">
        <v>-8.9565809999999996E-2</v>
      </c>
      <c r="S482">
        <v>3.0019230000000001</v>
      </c>
      <c r="T482">
        <v>-0.16353090000000001</v>
      </c>
      <c r="U482">
        <v>-0.30639650000000002</v>
      </c>
      <c r="V482">
        <v>6.8547709999999998E-2</v>
      </c>
      <c r="W482">
        <v>7.7762040000000004E-2</v>
      </c>
      <c r="X482">
        <v>0.99461259999999996</v>
      </c>
      <c r="Y482">
        <v>8.0421190000000004E-2</v>
      </c>
      <c r="Z482">
        <v>-1.0370150000000001E-3</v>
      </c>
      <c r="AA482">
        <v>0.99676039999999999</v>
      </c>
      <c r="AB482">
        <v>30</v>
      </c>
      <c r="AC482">
        <v>20.0915999999999</v>
      </c>
      <c r="AD482">
        <v>-1.1100493563429901</v>
      </c>
      <c r="AE482">
        <v>-2.0738999999999801</v>
      </c>
      <c r="AF482">
        <v>1.64418576093661</v>
      </c>
      <c r="AG482">
        <v>-1.1100493563429901</v>
      </c>
      <c r="AH482">
        <v>20.070296609855401</v>
      </c>
      <c r="AI482">
        <v>93.155145546086601</v>
      </c>
      <c r="AJ482">
        <v>85.316710487460298</v>
      </c>
      <c r="AK482">
        <v>20.168102597853899</v>
      </c>
      <c r="AL482">
        <v>85.540060632307899</v>
      </c>
      <c r="AM482">
        <v>86.057466162524406</v>
      </c>
      <c r="AN482">
        <v>0.99999997374498195</v>
      </c>
    </row>
    <row r="483" spans="1:40" x14ac:dyDescent="0.25">
      <c r="A483" t="str">
        <f>"20190312151231713"</f>
        <v>20190312151231713</v>
      </c>
      <c r="B483" t="str">
        <f>"1552374751710060"</f>
        <v>1552374751710060</v>
      </c>
      <c r="C483" t="s">
        <v>40</v>
      </c>
      <c r="D483">
        <v>4.022405</v>
      </c>
      <c r="E483">
        <v>0.50393329999999903</v>
      </c>
      <c r="F483" t="s">
        <v>42</v>
      </c>
      <c r="G483">
        <v>-339.32159999999999</v>
      </c>
      <c r="H483" s="1">
        <v>-1.4726249999999999E-6</v>
      </c>
      <c r="I483">
        <v>364.89699999999999</v>
      </c>
      <c r="J483">
        <v>-359.4495</v>
      </c>
      <c r="K483">
        <v>1.1100479999999999</v>
      </c>
      <c r="L483">
        <v>366.97739999999999</v>
      </c>
      <c r="M483">
        <v>0.99970840000000005</v>
      </c>
      <c r="N483">
        <v>0</v>
      </c>
      <c r="O483">
        <v>-2.1025140000000001E-2</v>
      </c>
      <c r="P483">
        <v>0.99382099999999995</v>
      </c>
      <c r="Q483">
        <v>6.5474320000000003E-2</v>
      </c>
      <c r="R483">
        <v>-8.9628659999999999E-2</v>
      </c>
      <c r="S483">
        <v>3.0019529999999999</v>
      </c>
      <c r="T483">
        <v>-0.16316079999999999</v>
      </c>
      <c r="U483">
        <v>-0.30667109999999997</v>
      </c>
      <c r="V483">
        <v>6.8700620000000004E-2</v>
      </c>
      <c r="W483">
        <v>7.7311840000000007E-2</v>
      </c>
      <c r="X483">
        <v>0.9946372</v>
      </c>
      <c r="Y483">
        <v>8.0601080000000005E-2</v>
      </c>
      <c r="Z483">
        <v>-1.0444510000000001E-3</v>
      </c>
      <c r="AA483">
        <v>0.99674589999999996</v>
      </c>
      <c r="AB483">
        <v>30</v>
      </c>
      <c r="AC483">
        <v>20.1279</v>
      </c>
      <c r="AD483">
        <v>-1.1100494726250001</v>
      </c>
      <c r="AE483">
        <v>-2.0803999999999898</v>
      </c>
      <c r="AF483">
        <v>1.6517476040461201</v>
      </c>
      <c r="AG483">
        <v>-1.1100494726250001</v>
      </c>
      <c r="AH483">
        <v>20.1066857722235</v>
      </c>
      <c r="AI483">
        <v>93.149388835390297</v>
      </c>
      <c r="AJ483">
        <v>85.303744369416293</v>
      </c>
      <c r="AK483">
        <v>20.2049323859815</v>
      </c>
      <c r="AL483">
        <v>85.565933322437701</v>
      </c>
      <c r="AM483">
        <v>86.048796760067006</v>
      </c>
      <c r="AN483">
        <v>1.0000000277082</v>
      </c>
    </row>
    <row r="484" spans="1:40" x14ac:dyDescent="0.25">
      <c r="A484" t="str">
        <f>"20190312151231737"</f>
        <v>20190312151231737</v>
      </c>
      <c r="B484" t="str">
        <f>"1552374751730556"</f>
        <v>1552374751730556</v>
      </c>
      <c r="C484" t="s">
        <v>40</v>
      </c>
      <c r="D484">
        <v>3.9898199999999999</v>
      </c>
      <c r="E484">
        <v>0.50394340000000004</v>
      </c>
      <c r="F484" t="s">
        <v>42</v>
      </c>
      <c r="G484">
        <v>-339.21609999999998</v>
      </c>
      <c r="H484" s="1">
        <v>-1.5048580000000001E-6</v>
      </c>
      <c r="I484">
        <v>364.91090000000003</v>
      </c>
      <c r="J484">
        <v>-359.13889999999998</v>
      </c>
      <c r="K484">
        <v>1.1100490000000001</v>
      </c>
      <c r="L484">
        <v>366.97089999999997</v>
      </c>
      <c r="M484">
        <v>0.9997104</v>
      </c>
      <c r="N484">
        <v>0</v>
      </c>
      <c r="O484">
        <v>-2.0929550000000002E-2</v>
      </c>
      <c r="P484">
        <v>0.99386039999999998</v>
      </c>
      <c r="Q484">
        <v>6.5463450000000006E-2</v>
      </c>
      <c r="R484">
        <v>-8.9199180000000003E-2</v>
      </c>
      <c r="S484">
        <v>3.0018919999999998</v>
      </c>
      <c r="T484">
        <v>-0.16468969999999999</v>
      </c>
      <c r="U484">
        <v>-0.30657960000000001</v>
      </c>
      <c r="V484">
        <v>6.8365549999999997E-2</v>
      </c>
      <c r="W484">
        <v>7.7303750000000004E-2</v>
      </c>
      <c r="X484">
        <v>0.99466089999999996</v>
      </c>
      <c r="Y484">
        <v>8.0666459999999995E-2</v>
      </c>
      <c r="Z484">
        <v>-1.0612569999999999E-3</v>
      </c>
      <c r="AA484">
        <v>0.99674059999999998</v>
      </c>
      <c r="AB484">
        <v>30</v>
      </c>
      <c r="AC484">
        <v>19.922799999999899</v>
      </c>
      <c r="AD484">
        <v>-1.1100505048580001</v>
      </c>
      <c r="AE484">
        <v>-2.0599999999999401</v>
      </c>
      <c r="AF484">
        <v>1.63751424005227</v>
      </c>
      <c r="AG484">
        <v>-1.1100505048580001</v>
      </c>
      <c r="AH484">
        <v>19.900426905216399</v>
      </c>
      <c r="AI484">
        <v>93.181931715633695</v>
      </c>
      <c r="AJ484">
        <v>85.295992528070499</v>
      </c>
      <c r="AK484">
        <v>19.998516345458501</v>
      </c>
      <c r="AL484">
        <v>85.566398167257603</v>
      </c>
      <c r="AM484">
        <v>86.068100559269595</v>
      </c>
      <c r="AN484">
        <v>1.00000001208983</v>
      </c>
    </row>
    <row r="485" spans="1:40" x14ac:dyDescent="0.25">
      <c r="A485" t="str">
        <f>"20190312151231761"</f>
        <v>20190312151231761</v>
      </c>
      <c r="B485" t="str">
        <f>"1552374751750076"</f>
        <v>1552374751750076</v>
      </c>
      <c r="C485" t="s">
        <v>40</v>
      </c>
      <c r="D485">
        <v>4.0365900000000003</v>
      </c>
      <c r="E485">
        <v>0.50393120000000002</v>
      </c>
      <c r="F485" t="s">
        <v>42</v>
      </c>
      <c r="G485">
        <v>-338.90210000000002</v>
      </c>
      <c r="H485" s="1">
        <v>-1.6115270000000001E-6</v>
      </c>
      <c r="I485">
        <v>364.91149999999999</v>
      </c>
      <c r="J485">
        <v>-358.82220000000001</v>
      </c>
      <c r="K485">
        <v>1.1100479999999999</v>
      </c>
      <c r="L485">
        <v>366.96440000000001</v>
      </c>
      <c r="M485">
        <v>0.99971239999999995</v>
      </c>
      <c r="N485">
        <v>0</v>
      </c>
      <c r="O485">
        <v>-2.0831829999999999E-2</v>
      </c>
      <c r="P485">
        <v>0.99389870000000002</v>
      </c>
      <c r="Q485">
        <v>6.5482769999999996E-2</v>
      </c>
      <c r="R485">
        <v>-8.8754180000000002E-2</v>
      </c>
      <c r="S485">
        <v>3.0019230000000001</v>
      </c>
      <c r="T485">
        <v>-0.1646638</v>
      </c>
      <c r="U485">
        <v>-0.305481</v>
      </c>
      <c r="V485">
        <v>6.8017419999999995E-2</v>
      </c>
      <c r="W485">
        <v>7.7328480000000005E-2</v>
      </c>
      <c r="X485">
        <v>0.99468279999999998</v>
      </c>
      <c r="Y485">
        <v>8.0402109999999999E-2</v>
      </c>
      <c r="Z485">
        <v>-1.0592119999999999E-3</v>
      </c>
      <c r="AA485">
        <v>0.99676189999999998</v>
      </c>
      <c r="AB485">
        <v>30</v>
      </c>
      <c r="AC485">
        <v>19.920099999999898</v>
      </c>
      <c r="AD485">
        <v>-1.110049611527</v>
      </c>
      <c r="AE485">
        <v>-2.0529000000000202</v>
      </c>
      <c r="AF485">
        <v>1.6324371049236801</v>
      </c>
      <c r="AG485">
        <v>-1.110049611527</v>
      </c>
      <c r="AH485">
        <v>19.8974074528846</v>
      </c>
      <c r="AI485">
        <v>93.182473929965397</v>
      </c>
      <c r="AJ485">
        <v>85.309803758571206</v>
      </c>
      <c r="AK485">
        <v>19.995096508586599</v>
      </c>
      <c r="AL485">
        <v>85.564976792286799</v>
      </c>
      <c r="AM485">
        <v>86.088146055242206</v>
      </c>
      <c r="AN485">
        <v>0.99999996792920198</v>
      </c>
    </row>
    <row r="486" spans="1:40" x14ac:dyDescent="0.25">
      <c r="A486" t="str">
        <f>"20190312151231783"</f>
        <v>20190312151231783</v>
      </c>
      <c r="B486" t="str">
        <f>"1552374751780332"</f>
        <v>1552374751780332</v>
      </c>
      <c r="C486" t="s">
        <v>40</v>
      </c>
      <c r="D486">
        <v>4.0003650000000004</v>
      </c>
      <c r="E486">
        <v>0.50394119999999998</v>
      </c>
      <c r="F486" t="s">
        <v>42</v>
      </c>
      <c r="G486">
        <v>-338.56760000000003</v>
      </c>
      <c r="H486" s="1">
        <v>-1.7249809999999999E-6</v>
      </c>
      <c r="I486">
        <v>364.91300000000001</v>
      </c>
      <c r="J486">
        <v>-358.53050000000002</v>
      </c>
      <c r="K486">
        <v>1.110052</v>
      </c>
      <c r="L486">
        <v>366.95839999999998</v>
      </c>
      <c r="M486">
        <v>0.99971399999999999</v>
      </c>
      <c r="N486">
        <v>0</v>
      </c>
      <c r="O486">
        <v>-2.0740930000000001E-2</v>
      </c>
      <c r="P486">
        <v>0.99392959999999997</v>
      </c>
      <c r="Q486">
        <v>6.5180989999999994E-2</v>
      </c>
      <c r="R486">
        <v>-8.8632279999999994E-2</v>
      </c>
      <c r="S486">
        <v>3.0021059999999999</v>
      </c>
      <c r="T486">
        <v>-0.16452919999999999</v>
      </c>
      <c r="U486">
        <v>-0.3040466</v>
      </c>
      <c r="V486">
        <v>6.7985299999999999E-2</v>
      </c>
      <c r="W486">
        <v>7.7035640000000002E-2</v>
      </c>
      <c r="X486">
        <v>0.99470780000000003</v>
      </c>
      <c r="Y486">
        <v>8.0015849999999999E-2</v>
      </c>
      <c r="Z486">
        <v>-1.0527189999999999E-3</v>
      </c>
      <c r="AA486">
        <v>0.99679300000000004</v>
      </c>
      <c r="AB486">
        <v>30</v>
      </c>
      <c r="AC486">
        <v>19.962899999999902</v>
      </c>
      <c r="AD486">
        <v>-1.1100537249810001</v>
      </c>
      <c r="AE486">
        <v>-2.0453999999999701</v>
      </c>
      <c r="AF486">
        <v>1.6259063940335099</v>
      </c>
      <c r="AG486">
        <v>-1.1100537249810001</v>
      </c>
      <c r="AH486">
        <v>19.940017372158199</v>
      </c>
      <c r="AI486">
        <v>93.175828442100695</v>
      </c>
      <c r="AJ486">
        <v>85.338422641311297</v>
      </c>
      <c r="AK486">
        <v>20.036967926222601</v>
      </c>
      <c r="AL486">
        <v>85.581805848100004</v>
      </c>
      <c r="AM486">
        <v>86.090085591965604</v>
      </c>
      <c r="AN486">
        <v>1.0000000491135601</v>
      </c>
    </row>
    <row r="487" spans="1:40" x14ac:dyDescent="0.25">
      <c r="A487" t="str">
        <f>"20190312151231805"</f>
        <v>20190312151231805</v>
      </c>
      <c r="B487" t="str">
        <f>"1552374751799854"</f>
        <v>1552374751799854</v>
      </c>
      <c r="C487" t="s">
        <v>40</v>
      </c>
      <c r="D487">
        <v>3.982799</v>
      </c>
      <c r="E487">
        <v>0.50394969999999994</v>
      </c>
      <c r="F487" t="s">
        <v>42</v>
      </c>
      <c r="G487">
        <v>-338.31130000000002</v>
      </c>
      <c r="H487" s="1">
        <v>-1.812139E-6</v>
      </c>
      <c r="I487">
        <v>364.91320000000002</v>
      </c>
      <c r="J487">
        <v>-358.23259999999999</v>
      </c>
      <c r="K487">
        <v>1.110055</v>
      </c>
      <c r="L487">
        <v>366.95240000000001</v>
      </c>
      <c r="M487">
        <v>0.99971589999999999</v>
      </c>
      <c r="N487">
        <v>0</v>
      </c>
      <c r="O487">
        <v>-2.06486E-2</v>
      </c>
      <c r="P487">
        <v>0.99395020000000001</v>
      </c>
      <c r="Q487">
        <v>6.5328300000000006E-2</v>
      </c>
      <c r="R487">
        <v>-8.8291209999999995E-2</v>
      </c>
      <c r="S487">
        <v>3.002014</v>
      </c>
      <c r="T487">
        <v>-0.164813299999999</v>
      </c>
      <c r="U487">
        <v>-0.30364989999999997</v>
      </c>
      <c r="V487">
        <v>6.7735660000000003E-2</v>
      </c>
      <c r="W487">
        <v>7.7193949999999997E-2</v>
      </c>
      <c r="X487">
        <v>0.9947125</v>
      </c>
      <c r="Y487">
        <v>7.9980140000000005E-2</v>
      </c>
      <c r="Z487">
        <v>-1.058645E-3</v>
      </c>
      <c r="AA487">
        <v>0.99679589999999996</v>
      </c>
      <c r="AB487">
        <v>30</v>
      </c>
      <c r="AC487">
        <v>19.921299999999899</v>
      </c>
      <c r="AD487">
        <v>-1.110056812139</v>
      </c>
      <c r="AE487">
        <v>-2.0391999999999899</v>
      </c>
      <c r="AF487">
        <v>1.62240380539309</v>
      </c>
      <c r="AG487">
        <v>-1.110056812139</v>
      </c>
      <c r="AH487">
        <v>19.898019916624602</v>
      </c>
      <c r="AI487">
        <v>93.182527534952001</v>
      </c>
      <c r="AJ487">
        <v>85.338646104659006</v>
      </c>
      <c r="AK487">
        <v>19.9948897680462</v>
      </c>
      <c r="AL487">
        <v>85.572708007964096</v>
      </c>
      <c r="AM487">
        <v>86.104416744715905</v>
      </c>
      <c r="AN487">
        <v>0.99999999160424402</v>
      </c>
    </row>
    <row r="488" spans="1:40" x14ac:dyDescent="0.25">
      <c r="A488" t="str">
        <f>"20190312151231826"</f>
        <v>20190312151231826</v>
      </c>
      <c r="B488" t="str">
        <f>"1552374751820348"</f>
        <v>1552374751820348</v>
      </c>
      <c r="C488" t="s">
        <v>40</v>
      </c>
      <c r="D488">
        <v>3.9950860000000001</v>
      </c>
      <c r="E488">
        <v>0.50392959999999998</v>
      </c>
      <c r="F488" t="s">
        <v>42</v>
      </c>
      <c r="G488">
        <v>-337.89260000000002</v>
      </c>
      <c r="H488" s="1">
        <v>-1.9577619999999999E-6</v>
      </c>
      <c r="I488">
        <v>364.90140000000002</v>
      </c>
      <c r="J488">
        <v>-357.95830000000001</v>
      </c>
      <c r="K488">
        <v>1.110061</v>
      </c>
      <c r="L488">
        <v>366.9468</v>
      </c>
      <c r="M488">
        <v>0.99971739999999998</v>
      </c>
      <c r="N488">
        <v>0</v>
      </c>
      <c r="O488">
        <v>-2.0564019999999999E-2</v>
      </c>
      <c r="P488">
        <v>0.99391499999999999</v>
      </c>
      <c r="Q488">
        <v>6.57808E-2</v>
      </c>
      <c r="R488">
        <v>-8.8351199999999894E-2</v>
      </c>
      <c r="S488">
        <v>3.0021059999999999</v>
      </c>
      <c r="T488">
        <v>-0.1638395</v>
      </c>
      <c r="U488">
        <v>-0.30270390000000003</v>
      </c>
      <c r="V488">
        <v>6.7880399999999994E-2</v>
      </c>
      <c r="W488">
        <v>7.7656039999999996E-2</v>
      </c>
      <c r="X488">
        <v>0.99466670000000001</v>
      </c>
      <c r="Y488">
        <v>7.9751719999999998E-2</v>
      </c>
      <c r="Z488">
        <v>-1.0507680000000001E-3</v>
      </c>
      <c r="AA488">
        <v>0.99681419999999998</v>
      </c>
      <c r="AB488">
        <v>30</v>
      </c>
      <c r="AC488">
        <v>20.0657</v>
      </c>
      <c r="AD488">
        <v>-1.110062957762</v>
      </c>
      <c r="AE488">
        <v>-2.0453999999999701</v>
      </c>
      <c r="AF488">
        <v>1.6273773060611101</v>
      </c>
      <c r="AG488">
        <v>-1.110062957762</v>
      </c>
      <c r="AH488">
        <v>20.042811516146799</v>
      </c>
      <c r="AI488">
        <v>93.159687676941999</v>
      </c>
      <c r="AJ488">
        <v>85.358048710061794</v>
      </c>
      <c r="AK488">
        <v>20.139386538280299</v>
      </c>
      <c r="AL488">
        <v>85.546152642332601</v>
      </c>
      <c r="AM488">
        <v>86.095939033395794</v>
      </c>
      <c r="AN488">
        <v>1.00000002667076</v>
      </c>
    </row>
    <row r="489" spans="1:40" x14ac:dyDescent="0.25">
      <c r="A489" t="str">
        <f>"20190312151231849"</f>
        <v>20190312151231849</v>
      </c>
      <c r="B489" t="str">
        <f>"1552374751839868"</f>
        <v>1552374751839868</v>
      </c>
      <c r="C489" t="s">
        <v>40</v>
      </c>
      <c r="D489">
        <v>3.9808249999999998</v>
      </c>
      <c r="E489">
        <v>0.50429409999999997</v>
      </c>
      <c r="F489" t="s">
        <v>42</v>
      </c>
      <c r="G489">
        <v>-337.46260000000001</v>
      </c>
      <c r="H489" s="1">
        <v>-2.1100070000000001E-6</v>
      </c>
      <c r="I489">
        <v>364.87920000000003</v>
      </c>
      <c r="J489">
        <v>-357.64350000000002</v>
      </c>
      <c r="K489">
        <v>1.110066</v>
      </c>
      <c r="L489">
        <v>366.94040000000001</v>
      </c>
      <c r="M489">
        <v>0.99971929999999998</v>
      </c>
      <c r="N489">
        <v>0</v>
      </c>
      <c r="O489">
        <v>-2.0466580000000002E-2</v>
      </c>
      <c r="P489">
        <v>0.99388449999999995</v>
      </c>
      <c r="Q489">
        <v>6.6166829999999996E-2</v>
      </c>
      <c r="R489">
        <v>-8.8404199999999905E-2</v>
      </c>
      <c r="S489">
        <v>3.0021969999999998</v>
      </c>
      <c r="T489">
        <v>-0.16260039999999901</v>
      </c>
      <c r="U489">
        <v>-0.30285640000000003</v>
      </c>
      <c r="V489">
        <v>6.8031149999999999E-2</v>
      </c>
      <c r="W489">
        <v>7.8053460000000005E-2</v>
      </c>
      <c r="X489">
        <v>0.99462530000000005</v>
      </c>
      <c r="Y489">
        <v>7.9896980000000006E-2</v>
      </c>
      <c r="Z489">
        <v>-1.0519769999999999E-3</v>
      </c>
      <c r="AA489">
        <v>0.99680259999999998</v>
      </c>
      <c r="AB489">
        <v>30</v>
      </c>
      <c r="AC489">
        <v>20.180900000000001</v>
      </c>
      <c r="AD489">
        <v>-1.110068110007</v>
      </c>
      <c r="AE489">
        <v>-2.0611999999999799</v>
      </c>
      <c r="AF489">
        <v>1.64278559806375</v>
      </c>
      <c r="AG489">
        <v>-1.110068110007</v>
      </c>
      <c r="AH489">
        <v>20.158498180025799</v>
      </c>
      <c r="AI489">
        <v>93.141530071345201</v>
      </c>
      <c r="AJ489">
        <v>85.341064570616595</v>
      </c>
      <c r="AK489">
        <v>20.255765712610401</v>
      </c>
      <c r="AL489">
        <v>85.523312860200207</v>
      </c>
      <c r="AM489">
        <v>86.087133370605699</v>
      </c>
      <c r="AN489">
        <v>1.0000000336941901</v>
      </c>
    </row>
    <row r="490" spans="1:40" x14ac:dyDescent="0.25">
      <c r="A490" t="str">
        <f>"20190312151231871"</f>
        <v>20190312151231871</v>
      </c>
      <c r="B490" t="str">
        <f>"1552374751860367"</f>
        <v>1552374751860367</v>
      </c>
      <c r="C490" t="s">
        <v>40</v>
      </c>
      <c r="D490">
        <v>4.8349799999999998</v>
      </c>
      <c r="E490">
        <v>0.57695379999999996</v>
      </c>
      <c r="F490" t="s">
        <v>42</v>
      </c>
      <c r="G490">
        <v>-336.75659999999999</v>
      </c>
      <c r="H490" s="1">
        <v>-2.3687700000000001E-6</v>
      </c>
      <c r="I490">
        <v>364.80970000000002</v>
      </c>
      <c r="J490">
        <v>-357.36239999999998</v>
      </c>
      <c r="K490">
        <v>1.1100719999999999</v>
      </c>
      <c r="L490">
        <v>366.9348</v>
      </c>
      <c r="M490">
        <v>0.99972110000000003</v>
      </c>
      <c r="N490">
        <v>0</v>
      </c>
      <c r="O490">
        <v>-2.0379729999999999E-2</v>
      </c>
      <c r="P490">
        <v>0.99386260000000004</v>
      </c>
      <c r="Q490">
        <v>6.6639169999999998E-2</v>
      </c>
      <c r="R490">
        <v>-8.8299639999999999E-2</v>
      </c>
      <c r="S490">
        <v>3.0018009999999999</v>
      </c>
      <c r="T490">
        <v>-0.15953510000000001</v>
      </c>
      <c r="U490">
        <v>-0.30621340000000002</v>
      </c>
      <c r="V490">
        <v>6.8013160000000003E-2</v>
      </c>
      <c r="W490">
        <v>7.8535489999999999E-2</v>
      </c>
      <c r="X490">
        <v>0.99458860000000004</v>
      </c>
      <c r="Y490">
        <v>8.1101450000000005E-2</v>
      </c>
      <c r="Z490">
        <v>-1.068753E-3</v>
      </c>
      <c r="AA490">
        <v>0.99670530000000002</v>
      </c>
      <c r="AB490">
        <v>30</v>
      </c>
      <c r="AC490">
        <v>20.605799999999899</v>
      </c>
      <c r="AD490">
        <v>-1.1100743687700001</v>
      </c>
      <c r="AE490">
        <v>-2.12509999999997</v>
      </c>
      <c r="AF490">
        <v>1.6998067998815001</v>
      </c>
      <c r="AG490">
        <v>-1.1100743687700001</v>
      </c>
      <c r="AH490">
        <v>20.5857170304769</v>
      </c>
      <c r="AI490">
        <v>93.0762073628688</v>
      </c>
      <c r="AJ490">
        <v>85.279673162385293</v>
      </c>
      <c r="AK490">
        <v>20.685583238574399</v>
      </c>
      <c r="AL490">
        <v>85.495609600113497</v>
      </c>
      <c r="AM490">
        <v>86.088020969837999</v>
      </c>
      <c r="AN490">
        <v>1.00000004818634</v>
      </c>
    </row>
    <row r="491" spans="1:40" x14ac:dyDescent="0.25">
      <c r="A491" t="str">
        <f>"20190312151231893"</f>
        <v>20190312151231893</v>
      </c>
      <c r="B491" t="str">
        <f>"1552374751889644"</f>
        <v>1552374751889644</v>
      </c>
      <c r="C491" t="s">
        <v>40</v>
      </c>
      <c r="D491">
        <v>4.1705730000000001</v>
      </c>
      <c r="E491">
        <v>0.67116209999999998</v>
      </c>
      <c r="F491" t="s">
        <v>48</v>
      </c>
      <c r="G491">
        <v>-282.32900000000001</v>
      </c>
      <c r="H491">
        <v>6.7925339999999998</v>
      </c>
      <c r="I491">
        <v>344.47219999999999</v>
      </c>
      <c r="J491">
        <v>-357.06400000000002</v>
      </c>
      <c r="K491">
        <v>1.1100749999999999</v>
      </c>
      <c r="L491">
        <v>366.92880000000002</v>
      </c>
      <c r="M491">
        <v>0.99972269999999996</v>
      </c>
      <c r="N491">
        <v>0</v>
      </c>
      <c r="O491">
        <v>-2.0286809999999999E-2</v>
      </c>
      <c r="P491">
        <v>0.99389780000000005</v>
      </c>
      <c r="Q491">
        <v>6.6993590000000006E-2</v>
      </c>
      <c r="R491">
        <v>-8.7630940000000004E-2</v>
      </c>
      <c r="S491">
        <v>2.9258730000000002</v>
      </c>
      <c r="T491">
        <v>0.22158359999999999</v>
      </c>
      <c r="U491">
        <v>-0.87591549999999996</v>
      </c>
      <c r="V491">
        <v>6.7436250000000003E-2</v>
      </c>
      <c r="W491">
        <v>7.8900100000000001E-2</v>
      </c>
      <c r="X491">
        <v>0.99459900000000001</v>
      </c>
      <c r="Y491">
        <v>0.26665169999999999</v>
      </c>
      <c r="Z491">
        <v>8.3669169999999998E-3</v>
      </c>
      <c r="AA491">
        <v>0.96375659999999996</v>
      </c>
      <c r="AB491">
        <v>30</v>
      </c>
      <c r="AC491">
        <v>74.734999999999999</v>
      </c>
      <c r="AD491">
        <v>5.6824589999999997</v>
      </c>
      <c r="AE491">
        <v>-22.456600000000002</v>
      </c>
      <c r="AF491">
        <v>20.8253080104028</v>
      </c>
      <c r="AG491">
        <v>5.6824589999999997</v>
      </c>
      <c r="AH491">
        <v>74.778707044957102</v>
      </c>
      <c r="AI491">
        <v>85.813157100140998</v>
      </c>
      <c r="AJ491">
        <v>74.437879624050595</v>
      </c>
      <c r="AK491">
        <v>77.832119470886497</v>
      </c>
      <c r="AL491">
        <v>85.474653842375702</v>
      </c>
      <c r="AM491">
        <v>86.121142371339701</v>
      </c>
      <c r="AN491">
        <v>1.00000002219753</v>
      </c>
    </row>
    <row r="492" spans="1:40" x14ac:dyDescent="0.25">
      <c r="A492" t="str">
        <f>"20190312151231915"</f>
        <v>20190312151231915</v>
      </c>
      <c r="B492" t="str">
        <f>"1552374751910140"</f>
        <v>1552374751910140</v>
      </c>
      <c r="C492" t="s">
        <v>40</v>
      </c>
      <c r="D492">
        <v>4.0807500000000001</v>
      </c>
      <c r="E492">
        <v>0.67907550000000005</v>
      </c>
      <c r="F492" t="s">
        <v>41</v>
      </c>
      <c r="G492">
        <v>-356.45089999999999</v>
      </c>
      <c r="H492">
        <v>1.216825</v>
      </c>
      <c r="I492">
        <v>366.57960000000003</v>
      </c>
      <c r="J492">
        <v>-356.77519999999998</v>
      </c>
      <c r="K492">
        <v>1.1100779999999999</v>
      </c>
      <c r="L492">
        <v>366.923</v>
      </c>
      <c r="M492">
        <v>0.99972459999999996</v>
      </c>
      <c r="N492">
        <v>0</v>
      </c>
      <c r="O492">
        <v>-2.0196260000000001E-2</v>
      </c>
      <c r="P492">
        <v>0.99388430000000005</v>
      </c>
      <c r="Q492">
        <v>6.704272E-2</v>
      </c>
      <c r="R492">
        <v>-8.7746459999999998E-2</v>
      </c>
      <c r="S492">
        <v>2.8424990000000001</v>
      </c>
      <c r="T492">
        <v>0.49467660000000002</v>
      </c>
      <c r="U492">
        <v>-1.6170960000000001</v>
      </c>
      <c r="V492">
        <v>6.7642330000000001E-2</v>
      </c>
      <c r="W492">
        <v>7.8957600000000003E-2</v>
      </c>
      <c r="X492">
        <v>0.99458040000000003</v>
      </c>
      <c r="Y492">
        <v>0.47170279999999998</v>
      </c>
      <c r="Z492">
        <v>3.4696829999999998E-2</v>
      </c>
      <c r="AA492">
        <v>0.88107469999999999</v>
      </c>
      <c r="AB492">
        <v>30</v>
      </c>
      <c r="AC492">
        <v>0.32429999999999298</v>
      </c>
      <c r="AD492">
        <v>0.106746999999999</v>
      </c>
      <c r="AE492">
        <v>-0.343399999999974</v>
      </c>
      <c r="AF492">
        <v>0.320414117331833</v>
      </c>
      <c r="AG492">
        <v>0.106746999999999</v>
      </c>
      <c r="AH492">
        <v>0.315076640634192</v>
      </c>
      <c r="AI492">
        <v>76.637334226307502</v>
      </c>
      <c r="AJ492">
        <v>44.518784980790102</v>
      </c>
      <c r="AK492">
        <v>0.461880307079513</v>
      </c>
      <c r="AL492">
        <v>85.471348832228799</v>
      </c>
      <c r="AM492">
        <v>86.1092526926126</v>
      </c>
      <c r="AN492">
        <v>0.99999997973487398</v>
      </c>
    </row>
    <row r="493" spans="1:40" x14ac:dyDescent="0.25">
      <c r="A493" t="str">
        <f>"20190312151231938"</f>
        <v>20190312151231938</v>
      </c>
      <c r="B493" t="str">
        <f>"1552374751930635"</f>
        <v>1552374751930635</v>
      </c>
      <c r="C493" t="s">
        <v>40</v>
      </c>
      <c r="D493">
        <v>4.0550389999999998</v>
      </c>
      <c r="E493">
        <v>0.68041419999999997</v>
      </c>
      <c r="F493" t="s">
        <v>41</v>
      </c>
      <c r="G493">
        <v>-356.1848</v>
      </c>
      <c r="H493">
        <v>1.216205</v>
      </c>
      <c r="I493">
        <v>366.57299999999998</v>
      </c>
      <c r="J493">
        <v>-356.46800000000002</v>
      </c>
      <c r="K493">
        <v>1.110074</v>
      </c>
      <c r="L493">
        <v>366.9169</v>
      </c>
      <c r="M493">
        <v>0.99972640000000002</v>
      </c>
      <c r="N493">
        <v>0</v>
      </c>
      <c r="O493">
        <v>-2.009975E-2</v>
      </c>
      <c r="P493">
        <v>0.99388739999999998</v>
      </c>
      <c r="Q493">
        <v>6.6929349999999999E-2</v>
      </c>
      <c r="R493">
        <v>-8.7798360000000006E-2</v>
      </c>
      <c r="S493">
        <v>2.8357239999999999</v>
      </c>
      <c r="T493">
        <v>0.50964529999999997</v>
      </c>
      <c r="U493">
        <v>-1.680145</v>
      </c>
      <c r="V493">
        <v>6.7790100000000006E-2</v>
      </c>
      <c r="W493">
        <v>7.8853030000000005E-2</v>
      </c>
      <c r="X493">
        <v>0.99457870000000004</v>
      </c>
      <c r="Y493">
        <v>0.48681239999999998</v>
      </c>
      <c r="Z493">
        <v>3.688905E-2</v>
      </c>
      <c r="AA493">
        <v>0.87272729999999998</v>
      </c>
      <c r="AB493">
        <v>30</v>
      </c>
      <c r="AC493">
        <v>0.28320000000002199</v>
      </c>
      <c r="AD493">
        <v>0.106130999999999</v>
      </c>
      <c r="AE493">
        <v>-0.34389999999996201</v>
      </c>
      <c r="AF493">
        <v>0.31997805926569101</v>
      </c>
      <c r="AG493">
        <v>0.106130999999999</v>
      </c>
      <c r="AH493">
        <v>0.27447805288480498</v>
      </c>
      <c r="AI493">
        <v>75.869440243475793</v>
      </c>
      <c r="AJ493">
        <v>40.623082710340597</v>
      </c>
      <c r="AK493">
        <v>0.43472744229904797</v>
      </c>
      <c r="AL493">
        <v>85.477359283368997</v>
      </c>
      <c r="AM493">
        <v>86.100772594938604</v>
      </c>
      <c r="AN493">
        <v>1.00000004424593</v>
      </c>
    </row>
    <row r="494" spans="1:40" x14ac:dyDescent="0.25">
      <c r="A494" t="str">
        <f>"20190312151231959"</f>
        <v>20190312151231959</v>
      </c>
      <c r="B494" t="str">
        <f>"1552374751950159"</f>
        <v>1552374751950159</v>
      </c>
      <c r="C494" t="s">
        <v>40</v>
      </c>
      <c r="D494">
        <v>4.0534080000000001</v>
      </c>
      <c r="E494">
        <v>0.68094759999999999</v>
      </c>
      <c r="F494" t="s">
        <v>41</v>
      </c>
      <c r="G494">
        <v>-355.91840000000002</v>
      </c>
      <c r="H494">
        <v>1.204696</v>
      </c>
      <c r="I494">
        <v>366.58879999999999</v>
      </c>
      <c r="J494">
        <v>-356.18009999999998</v>
      </c>
      <c r="K494">
        <v>1.1100730000000001</v>
      </c>
      <c r="L494">
        <v>366.91129999999998</v>
      </c>
      <c r="M494">
        <v>0.99972810000000001</v>
      </c>
      <c r="N494">
        <v>0</v>
      </c>
      <c r="O494">
        <v>-2.000907E-2</v>
      </c>
      <c r="P494">
        <v>0.99391350000000001</v>
      </c>
      <c r="Q494">
        <v>6.6861290000000004E-2</v>
      </c>
      <c r="R494">
        <v>-8.7555590000000003E-2</v>
      </c>
      <c r="S494">
        <v>2.8361209999999999</v>
      </c>
      <c r="T494">
        <v>0.48811700000000002</v>
      </c>
      <c r="U494">
        <v>-1.691711</v>
      </c>
      <c r="V494">
        <v>6.763711E-2</v>
      </c>
      <c r="W494">
        <v>7.8792189999999998E-2</v>
      </c>
      <c r="X494">
        <v>0.99459390000000003</v>
      </c>
      <c r="Y494">
        <v>0.489898</v>
      </c>
      <c r="Z494">
        <v>3.5569820000000002E-2</v>
      </c>
      <c r="AA494">
        <v>0.87105379999999999</v>
      </c>
      <c r="AB494">
        <v>30</v>
      </c>
      <c r="AC494">
        <v>0.26169999999996202</v>
      </c>
      <c r="AD494">
        <v>9.4623000000000096E-2</v>
      </c>
      <c r="AE494">
        <v>-0.32249999999999002</v>
      </c>
      <c r="AF494">
        <v>0.30154646070861701</v>
      </c>
      <c r="AG494">
        <v>9.4623000000000096E-2</v>
      </c>
      <c r="AH494">
        <v>0.25487150420244697</v>
      </c>
      <c r="AI494">
        <v>76.522915707898207</v>
      </c>
      <c r="AJ494">
        <v>40.204986379785197</v>
      </c>
      <c r="AK494">
        <v>0.40600894540553101</v>
      </c>
      <c r="AL494">
        <v>85.4808558688528</v>
      </c>
      <c r="AM494">
        <v>86.109604666259401</v>
      </c>
      <c r="AN494">
        <v>1.00000000688567</v>
      </c>
    </row>
    <row r="495" spans="1:40" x14ac:dyDescent="0.25">
      <c r="A495" t="str">
        <f>"20190312151231984"</f>
        <v>20190312151231984</v>
      </c>
      <c r="B495" t="str">
        <f>"1552374751980412"</f>
        <v>1552374751980412</v>
      </c>
      <c r="C495" t="s">
        <v>40</v>
      </c>
      <c r="D495">
        <v>3.8965390000000002</v>
      </c>
      <c r="E495">
        <v>0.68068459999999997</v>
      </c>
      <c r="F495" t="s">
        <v>41</v>
      </c>
      <c r="G495">
        <v>-355.65210000000002</v>
      </c>
      <c r="H495">
        <v>1.1990179999999999</v>
      </c>
      <c r="I495">
        <v>366.59570000000002</v>
      </c>
      <c r="J495">
        <v>-355.86219999999997</v>
      </c>
      <c r="K495">
        <v>1.1100669999999999</v>
      </c>
      <c r="L495">
        <v>366.90499999999997</v>
      </c>
      <c r="M495">
        <v>0.99973000000000001</v>
      </c>
      <c r="N495">
        <v>0</v>
      </c>
      <c r="O495">
        <v>-1.990886E-2</v>
      </c>
      <c r="P495">
        <v>0.99395279999999997</v>
      </c>
      <c r="Q495">
        <v>6.621175E-2</v>
      </c>
      <c r="R495">
        <v>-8.7602120000000006E-2</v>
      </c>
      <c r="S495">
        <v>2.836884</v>
      </c>
      <c r="T495">
        <v>0.47785699999999998</v>
      </c>
      <c r="U495">
        <v>-1.695343</v>
      </c>
      <c r="V495">
        <v>6.7782709999999996E-2</v>
      </c>
      <c r="W495">
        <v>7.8149960000000004E-2</v>
      </c>
      <c r="X495">
        <v>0.99463460000000004</v>
      </c>
      <c r="Y495">
        <v>0.49090869999999998</v>
      </c>
      <c r="Z495">
        <v>3.4905869999999999E-2</v>
      </c>
      <c r="AA495">
        <v>0.87051149999999999</v>
      </c>
      <c r="AB495">
        <v>30</v>
      </c>
      <c r="AC495">
        <v>0.21009999999995399</v>
      </c>
      <c r="AD495">
        <v>8.8951000000000197E-2</v>
      </c>
      <c r="AE495">
        <v>-0.30929999999995</v>
      </c>
      <c r="AF495">
        <v>0.288716027420162</v>
      </c>
      <c r="AG495">
        <v>8.8951000000000197E-2</v>
      </c>
      <c r="AH495">
        <v>0.20463552292568801</v>
      </c>
      <c r="AI495">
        <v>75.890569436182602</v>
      </c>
      <c r="AJ495">
        <v>35.328169243534099</v>
      </c>
      <c r="AK495">
        <v>0.36489028780353899</v>
      </c>
      <c r="AL495">
        <v>85.517766499943605</v>
      </c>
      <c r="AM495">
        <v>86.101414793349306</v>
      </c>
      <c r="AN495">
        <v>0.99999994977005102</v>
      </c>
    </row>
    <row r="496" spans="1:40" x14ac:dyDescent="0.25">
      <c r="A496" t="str">
        <f>"20190312151232006"</f>
        <v>20190312151232006</v>
      </c>
      <c r="B496" t="str">
        <f>"1552374751999933"</f>
        <v>1552374751999933</v>
      </c>
      <c r="C496" t="s">
        <v>40</v>
      </c>
      <c r="D496">
        <v>4.1010479999999996</v>
      </c>
      <c r="E496">
        <v>0.68107169999999995</v>
      </c>
      <c r="F496" t="s">
        <v>41</v>
      </c>
      <c r="G496">
        <v>-355.37990000000002</v>
      </c>
      <c r="H496">
        <v>1.1895450000000001</v>
      </c>
      <c r="I496">
        <v>366.61689999999999</v>
      </c>
      <c r="J496">
        <v>-355.56900000000002</v>
      </c>
      <c r="K496">
        <v>1.1100699999999999</v>
      </c>
      <c r="L496">
        <v>366.89929999999998</v>
      </c>
      <c r="M496">
        <v>0.99973190000000001</v>
      </c>
      <c r="N496">
        <v>0</v>
      </c>
      <c r="O496">
        <v>-1.9815909999999999E-2</v>
      </c>
      <c r="P496">
        <v>0.99396430000000002</v>
      </c>
      <c r="Q496">
        <v>6.6043679999999994E-2</v>
      </c>
      <c r="R496">
        <v>-8.759844E-2</v>
      </c>
      <c r="S496">
        <v>2.8379210000000001</v>
      </c>
      <c r="T496">
        <v>0.46736719999999998</v>
      </c>
      <c r="U496">
        <v>-1.69314599999999</v>
      </c>
      <c r="V496">
        <v>6.7871520000000005E-2</v>
      </c>
      <c r="W496">
        <v>7.7987379999999995E-2</v>
      </c>
      <c r="X496">
        <v>0.99464140000000001</v>
      </c>
      <c r="Y496">
        <v>0.49056650000000002</v>
      </c>
      <c r="Z496">
        <v>3.4131509999999997E-2</v>
      </c>
      <c r="AA496">
        <v>0.87073500000000004</v>
      </c>
      <c r="AB496">
        <v>30</v>
      </c>
      <c r="AC496">
        <v>0.18909999999999599</v>
      </c>
      <c r="AD496">
        <v>7.9474999999999907E-2</v>
      </c>
      <c r="AE496">
        <v>-0.28239999999999499</v>
      </c>
      <c r="AF496">
        <v>0.264152608876419</v>
      </c>
      <c r="AG496">
        <v>7.9474999999999907E-2</v>
      </c>
      <c r="AH496">
        <v>0.184566742345569</v>
      </c>
      <c r="AI496">
        <v>76.145653636914602</v>
      </c>
      <c r="AJ496">
        <v>34.942483148296503</v>
      </c>
      <c r="AK496">
        <v>0.33190022413561898</v>
      </c>
      <c r="AL496">
        <v>85.527110590437204</v>
      </c>
      <c r="AM496">
        <v>86.096349192110793</v>
      </c>
      <c r="AN496">
        <v>1.00000004463016</v>
      </c>
    </row>
    <row r="497" spans="1:40" x14ac:dyDescent="0.25">
      <c r="A497" t="str">
        <f>"20190312151232038"</f>
        <v>20190312151232038</v>
      </c>
      <c r="B497" t="str">
        <f>"1552374752030205"</f>
        <v>1552374752030205</v>
      </c>
      <c r="C497" t="s">
        <v>40</v>
      </c>
      <c r="D497">
        <v>3.9769480000000001</v>
      </c>
      <c r="E497">
        <v>0.68092649999999999</v>
      </c>
      <c r="F497" t="s">
        <v>41</v>
      </c>
      <c r="G497">
        <v>-354.85550000000001</v>
      </c>
      <c r="H497">
        <v>1.225514</v>
      </c>
      <c r="I497">
        <v>366.47250000000003</v>
      </c>
      <c r="J497">
        <v>-355.1284</v>
      </c>
      <c r="K497">
        <v>1.1100760000000001</v>
      </c>
      <c r="L497">
        <v>366.89069999999998</v>
      </c>
      <c r="M497">
        <v>0.99973449999999997</v>
      </c>
      <c r="N497">
        <v>0</v>
      </c>
      <c r="O497">
        <v>-1.9676840000000001E-2</v>
      </c>
      <c r="P497">
        <v>0.99400239999999995</v>
      </c>
      <c r="Q497">
        <v>6.5999139999999998E-2</v>
      </c>
      <c r="R497">
        <v>-8.7197730000000001E-2</v>
      </c>
      <c r="S497">
        <v>2.8381959999999999</v>
      </c>
      <c r="T497">
        <v>0.4591287</v>
      </c>
      <c r="U497">
        <v>-1.69635</v>
      </c>
      <c r="V497">
        <v>6.7608589999999996E-2</v>
      </c>
      <c r="W497">
        <v>7.7949840000000006E-2</v>
      </c>
      <c r="X497">
        <v>0.99466220000000005</v>
      </c>
      <c r="Y497">
        <v>0.49153000000000002</v>
      </c>
      <c r="Z497">
        <v>3.3616729999999997E-2</v>
      </c>
      <c r="AA497">
        <v>0.87021150000000003</v>
      </c>
      <c r="AB497">
        <v>30</v>
      </c>
      <c r="AC497">
        <v>0.27289999999999198</v>
      </c>
      <c r="AD497">
        <v>0.115437999999999</v>
      </c>
      <c r="AE497">
        <v>-0.418199999999956</v>
      </c>
      <c r="AF497">
        <v>0.39181072552454999</v>
      </c>
      <c r="AG497">
        <v>0.115437999999999</v>
      </c>
      <c r="AH497">
        <v>0.26681802773466101</v>
      </c>
      <c r="AI497">
        <v>76.313559753028301</v>
      </c>
      <c r="AJ497">
        <v>34.254356054554798</v>
      </c>
      <c r="AK497">
        <v>0.48788670447583299</v>
      </c>
      <c r="AL497">
        <v>85.529267821729604</v>
      </c>
      <c r="AM497">
        <v>86.111506272367507</v>
      </c>
      <c r="AN497">
        <v>0.99999999555332597</v>
      </c>
    </row>
    <row r="498" spans="1:40" x14ac:dyDescent="0.25">
      <c r="A498" t="str">
        <f>"20190312151232060"</f>
        <v>20190312151232060</v>
      </c>
      <c r="B498" t="str">
        <f>"1552374752049708"</f>
        <v>1552374752049708</v>
      </c>
      <c r="C498" t="s">
        <v>40</v>
      </c>
      <c r="D498">
        <v>4.0142959999999999</v>
      </c>
      <c r="E498">
        <v>0.68100419999999995</v>
      </c>
      <c r="F498" t="s">
        <v>41</v>
      </c>
      <c r="G498">
        <v>-354.58780000000002</v>
      </c>
      <c r="H498">
        <v>1.1954880000000001</v>
      </c>
      <c r="I498">
        <v>366.56819999999999</v>
      </c>
      <c r="J498">
        <v>-354.84</v>
      </c>
      <c r="K498">
        <v>1.1100730000000001</v>
      </c>
      <c r="L498">
        <v>366.8852</v>
      </c>
      <c r="M498">
        <v>0.99973619999999996</v>
      </c>
      <c r="N498">
        <v>0</v>
      </c>
      <c r="O498">
        <v>-1.958555E-2</v>
      </c>
      <c r="P498">
        <v>0.99402820000000003</v>
      </c>
      <c r="Q498">
        <v>6.6188750000000005E-2</v>
      </c>
      <c r="R498">
        <v>-8.6759459999999997E-2</v>
      </c>
      <c r="S498">
        <v>2.8396910000000002</v>
      </c>
      <c r="T498">
        <v>0.44866050000000002</v>
      </c>
      <c r="U498">
        <v>-1.69415299999999</v>
      </c>
      <c r="V498">
        <v>6.7260680000000003E-2</v>
      </c>
      <c r="W498">
        <v>7.8143790000000005E-2</v>
      </c>
      <c r="X498">
        <v>0.99467059999999996</v>
      </c>
      <c r="Y498">
        <v>0.49111830000000001</v>
      </c>
      <c r="Z498">
        <v>3.2832350000000003E-2</v>
      </c>
      <c r="AA498">
        <v>0.87047389999999902</v>
      </c>
      <c r="AB498">
        <v>30</v>
      </c>
      <c r="AC498">
        <v>0.25219999999995901</v>
      </c>
      <c r="AD498">
        <v>8.5415000000000005E-2</v>
      </c>
      <c r="AE498">
        <v>-0.317000000000007</v>
      </c>
      <c r="AF498">
        <v>0.298718145398501</v>
      </c>
      <c r="AG498">
        <v>8.5415000000000005E-2</v>
      </c>
      <c r="AH498">
        <v>0.24736276877594299</v>
      </c>
      <c r="AI498">
        <v>77.579912145885302</v>
      </c>
      <c r="AJ498">
        <v>39.627503931155204</v>
      </c>
      <c r="AK498">
        <v>0.39713548316893099</v>
      </c>
      <c r="AL498">
        <v>85.518121445043406</v>
      </c>
      <c r="AM498">
        <v>86.131487897813997</v>
      </c>
      <c r="AN498">
        <v>1.00000002674699</v>
      </c>
    </row>
    <row r="499" spans="1:40" x14ac:dyDescent="0.25">
      <c r="A499" t="str">
        <f>"20190312151232082"</f>
        <v>20190312151232082</v>
      </c>
      <c r="B499" t="str">
        <f>"1552374752079964"</f>
        <v>1552374752079964</v>
      </c>
      <c r="C499" t="s">
        <v>40</v>
      </c>
      <c r="D499">
        <v>3.9650180000000002</v>
      </c>
      <c r="E499">
        <v>0.68098760000000003</v>
      </c>
      <c r="F499" t="s">
        <v>41</v>
      </c>
      <c r="G499">
        <v>-354.32139999999998</v>
      </c>
      <c r="H499">
        <v>1.19153</v>
      </c>
      <c r="I499">
        <v>366.57569999999998</v>
      </c>
      <c r="J499">
        <v>-354.5446</v>
      </c>
      <c r="K499">
        <v>1.1100669999999999</v>
      </c>
      <c r="L499">
        <v>366.87950000000001</v>
      </c>
      <c r="M499">
        <v>0.99973800000000002</v>
      </c>
      <c r="N499">
        <v>0</v>
      </c>
      <c r="O499">
        <v>-1.9492590000000001E-2</v>
      </c>
      <c r="P499">
        <v>0.99403759999999997</v>
      </c>
      <c r="Q499">
        <v>6.6082989999999994E-2</v>
      </c>
      <c r="R499">
        <v>-8.6732240000000002E-2</v>
      </c>
      <c r="S499">
        <v>2.8404539999999998</v>
      </c>
      <c r="T499">
        <v>0.44605539999999999</v>
      </c>
      <c r="U499">
        <v>-1.693848</v>
      </c>
      <c r="V499">
        <v>6.7325839999999998E-2</v>
      </c>
      <c r="W499">
        <v>7.8041589999999994E-2</v>
      </c>
      <c r="X499">
        <v>0.99467419999999995</v>
      </c>
      <c r="Y499">
        <v>0.49107800000000001</v>
      </c>
      <c r="Z499">
        <v>3.26474E-2</v>
      </c>
      <c r="AA499">
        <v>0.87050360000000004</v>
      </c>
      <c r="AB499">
        <v>30</v>
      </c>
      <c r="AC499">
        <v>0.22320000000001899</v>
      </c>
      <c r="AD499">
        <v>8.1462999999999994E-2</v>
      </c>
      <c r="AE499">
        <v>-0.303800000000023</v>
      </c>
      <c r="AF499">
        <v>0.28603429827565802</v>
      </c>
      <c r="AG499">
        <v>8.1462999999999994E-2</v>
      </c>
      <c r="AH499">
        <v>0.218859789580783</v>
      </c>
      <c r="AI499">
        <v>77.254977256191196</v>
      </c>
      <c r="AJ499">
        <v>37.421491419680201</v>
      </c>
      <c r="AK499">
        <v>0.36925796897885999</v>
      </c>
      <c r="AL499">
        <v>85.523994941644901</v>
      </c>
      <c r="AM499">
        <v>86.127765574736898</v>
      </c>
      <c r="AN499">
        <v>1.0000000113235299</v>
      </c>
    </row>
    <row r="500" spans="1:40" x14ac:dyDescent="0.25">
      <c r="A500" t="str">
        <f>"20190312151232105"</f>
        <v>20190312151232105</v>
      </c>
      <c r="B500" t="str">
        <f>"1552374752100460"</f>
        <v>1552374752100460</v>
      </c>
      <c r="C500" t="s">
        <v>40</v>
      </c>
      <c r="D500">
        <v>3.9015170000000001</v>
      </c>
      <c r="E500">
        <v>0.68108959999999996</v>
      </c>
      <c r="F500" t="s">
        <v>41</v>
      </c>
      <c r="G500">
        <v>-354.05419999999998</v>
      </c>
      <c r="H500">
        <v>1.186312</v>
      </c>
      <c r="I500">
        <v>366.58690000000001</v>
      </c>
      <c r="J500">
        <v>-354.24509999999998</v>
      </c>
      <c r="K500">
        <v>1.110063</v>
      </c>
      <c r="L500">
        <v>366.87369999999999</v>
      </c>
      <c r="M500">
        <v>0.99973979999999996</v>
      </c>
      <c r="N500">
        <v>0</v>
      </c>
      <c r="O500">
        <v>-1.939832E-2</v>
      </c>
      <c r="P500">
        <v>0.99404840000000005</v>
      </c>
      <c r="Q500">
        <v>6.5835649999999996E-2</v>
      </c>
      <c r="R500">
        <v>-8.6798829999999993E-2</v>
      </c>
      <c r="S500">
        <v>2.840881</v>
      </c>
      <c r="T500">
        <v>0.44153700000000001</v>
      </c>
      <c r="U500">
        <v>-1.6936040000000001</v>
      </c>
      <c r="V500">
        <v>6.7485980000000001E-2</v>
      </c>
      <c r="W500">
        <v>7.7797699999999997E-2</v>
      </c>
      <c r="X500">
        <v>0.99468239999999997</v>
      </c>
      <c r="Y500">
        <v>0.49113200000000001</v>
      </c>
      <c r="Z500">
        <v>3.2333649999999999E-2</v>
      </c>
      <c r="AA500">
        <v>0.87048479999999995</v>
      </c>
      <c r="AB500">
        <v>30</v>
      </c>
      <c r="AC500">
        <v>0.19089999999999899</v>
      </c>
      <c r="AD500">
        <v>7.6248999999999997E-2</v>
      </c>
      <c r="AE500">
        <v>-0.28679999999997102</v>
      </c>
      <c r="AF500">
        <v>0.26982623917145998</v>
      </c>
      <c r="AG500">
        <v>7.6248999999999997E-2</v>
      </c>
      <c r="AH500">
        <v>0.187255915544215</v>
      </c>
      <c r="AI500">
        <v>76.929911394942096</v>
      </c>
      <c r="AJ500">
        <v>34.760147187916701</v>
      </c>
      <c r="AK500">
        <v>0.33717189570412898</v>
      </c>
      <c r="AL500">
        <v>85.538011186991596</v>
      </c>
      <c r="AM500">
        <v>86.118615169175698</v>
      </c>
      <c r="AN500">
        <v>0.99999995824580401</v>
      </c>
    </row>
    <row r="501" spans="1:40" x14ac:dyDescent="0.25">
      <c r="A501" t="str">
        <f>"20190312151232127"</f>
        <v>20190312151232127</v>
      </c>
      <c r="B501" t="str">
        <f>"1552374752119980"</f>
        <v>1552374752119980</v>
      </c>
      <c r="C501" t="s">
        <v>40</v>
      </c>
      <c r="D501">
        <v>3.9490249999999998</v>
      </c>
      <c r="E501">
        <v>0.68126850000000005</v>
      </c>
      <c r="F501" t="s">
        <v>41</v>
      </c>
      <c r="G501">
        <v>-353.76330000000002</v>
      </c>
      <c r="H501">
        <v>1.1846749999999999</v>
      </c>
      <c r="I501">
        <v>366.58580000000001</v>
      </c>
      <c r="J501">
        <v>-353.95119999999997</v>
      </c>
      <c r="K501">
        <v>1.110063</v>
      </c>
      <c r="L501">
        <v>366.8682</v>
      </c>
      <c r="M501">
        <v>0.99974160000000001</v>
      </c>
      <c r="N501">
        <v>0</v>
      </c>
      <c r="O501">
        <v>-1.9305590000000001E-2</v>
      </c>
      <c r="P501">
        <v>0.99404979999999998</v>
      </c>
      <c r="Q501">
        <v>6.5773079999999998E-2</v>
      </c>
      <c r="R501">
        <v>-8.6827020000000005E-2</v>
      </c>
      <c r="S501">
        <v>2.8408509999999998</v>
      </c>
      <c r="T501">
        <v>0.43958350000000002</v>
      </c>
      <c r="U501">
        <v>-1.6948240000000001</v>
      </c>
      <c r="V501">
        <v>6.7606879999999994E-2</v>
      </c>
      <c r="W501">
        <v>7.7737340000000002E-2</v>
      </c>
      <c r="X501">
        <v>0.99467899999999998</v>
      </c>
      <c r="Y501">
        <v>0.49152590000000002</v>
      </c>
      <c r="Z501">
        <v>3.2230189999999999E-2</v>
      </c>
      <c r="AA501">
        <v>0.87026630000000005</v>
      </c>
      <c r="AB501">
        <v>30</v>
      </c>
      <c r="AC501">
        <v>0.18789999999995599</v>
      </c>
      <c r="AD501">
        <v>7.4611999999999901E-2</v>
      </c>
      <c r="AE501">
        <v>-0.28239999999999499</v>
      </c>
      <c r="AF501">
        <v>0.26585622403903603</v>
      </c>
      <c r="AG501">
        <v>7.4611999999999901E-2</v>
      </c>
      <c r="AH501">
        <v>0.18439536520435201</v>
      </c>
      <c r="AI501">
        <v>77.014154215336902</v>
      </c>
      <c r="AJ501">
        <v>34.744811361837101</v>
      </c>
      <c r="AK501">
        <v>0.33203634306072699</v>
      </c>
      <c r="AL501">
        <v>85.541480469689304</v>
      </c>
      <c r="AM501">
        <v>86.111669793988895</v>
      </c>
      <c r="AN501">
        <v>1.0000000486473</v>
      </c>
    </row>
    <row r="502" spans="1:40" x14ac:dyDescent="0.25">
      <c r="A502" t="str">
        <f>"20190312151232150"</f>
        <v>20190312151232150</v>
      </c>
      <c r="B502" t="str">
        <f>"1552374752140481"</f>
        <v>1552374752140481</v>
      </c>
      <c r="C502" t="s">
        <v>40</v>
      </c>
      <c r="D502">
        <v>3.8727809999999998</v>
      </c>
      <c r="E502">
        <v>0.6814055</v>
      </c>
      <c r="F502" t="s">
        <v>41</v>
      </c>
      <c r="G502">
        <v>-353.25839999999999</v>
      </c>
      <c r="H502">
        <v>1.216712</v>
      </c>
      <c r="I502">
        <v>366.45429999999999</v>
      </c>
      <c r="J502">
        <v>-353.64440000000002</v>
      </c>
      <c r="K502">
        <v>1.1100639999999999</v>
      </c>
      <c r="L502">
        <v>366.8623</v>
      </c>
      <c r="M502">
        <v>0.9997433</v>
      </c>
      <c r="N502">
        <v>0</v>
      </c>
      <c r="O502">
        <v>-1.920869E-2</v>
      </c>
      <c r="P502">
        <v>0.9940928</v>
      </c>
      <c r="Q502">
        <v>6.5246410000000005E-2</v>
      </c>
      <c r="R502">
        <v>-8.6732310000000007E-2</v>
      </c>
      <c r="S502">
        <v>2.8408509999999998</v>
      </c>
      <c r="T502">
        <v>0.43729479999999998</v>
      </c>
      <c r="U502">
        <v>-1.69635</v>
      </c>
      <c r="V502">
        <v>6.7607749999999994E-2</v>
      </c>
      <c r="W502">
        <v>7.7213920000000005E-2</v>
      </c>
      <c r="X502">
        <v>0.99471969999999998</v>
      </c>
      <c r="Y502">
        <v>0.49199379999999998</v>
      </c>
      <c r="Z502">
        <v>3.2106719999999998E-2</v>
      </c>
      <c r="AA502">
        <v>0.87000650000000002</v>
      </c>
      <c r="AB502">
        <v>30</v>
      </c>
      <c r="AC502">
        <v>0.38600000000002399</v>
      </c>
      <c r="AD502">
        <v>0.10664800000000001</v>
      </c>
      <c r="AE502">
        <v>-0.40800000000001502</v>
      </c>
      <c r="AF502">
        <v>0.38657191185623302</v>
      </c>
      <c r="AG502">
        <v>0.10664800000000001</v>
      </c>
      <c r="AH502">
        <v>0.38006343321496899</v>
      </c>
      <c r="AI502">
        <v>78.8705155236688</v>
      </c>
      <c r="AJ502">
        <v>44.513589608245503</v>
      </c>
      <c r="AK502">
        <v>0.55250325990652105</v>
      </c>
      <c r="AL502">
        <v>85.571560598193699</v>
      </c>
      <c r="AM502">
        <v>86.111778519586693</v>
      </c>
      <c r="AN502">
        <v>1.00000003943495</v>
      </c>
    </row>
    <row r="503" spans="1:40" x14ac:dyDescent="0.25">
      <c r="A503" t="str">
        <f>"20190312151232172"</f>
        <v>20190312151232172</v>
      </c>
      <c r="B503" t="str">
        <f>"1552374752169758"</f>
        <v>1552374752169758</v>
      </c>
      <c r="C503" t="s">
        <v>40</v>
      </c>
      <c r="D503">
        <v>3.880179</v>
      </c>
      <c r="E503">
        <v>0.68174199999999996</v>
      </c>
      <c r="F503" t="s">
        <v>41</v>
      </c>
      <c r="G503">
        <v>-352.99189999999999</v>
      </c>
      <c r="H503">
        <v>1.2098370000000001</v>
      </c>
      <c r="I503">
        <v>366.47250000000003</v>
      </c>
      <c r="J503">
        <v>-353.3476</v>
      </c>
      <c r="K503">
        <v>1.1100650000000001</v>
      </c>
      <c r="L503">
        <v>366.85669999999999</v>
      </c>
      <c r="M503">
        <v>0.9997452</v>
      </c>
      <c r="N503">
        <v>0</v>
      </c>
      <c r="O503">
        <v>-1.9115130000000001E-2</v>
      </c>
      <c r="P503">
        <v>0.99409320000000001</v>
      </c>
      <c r="Q503">
        <v>6.5256939999999999E-2</v>
      </c>
      <c r="R503">
        <v>-8.6720060000000002E-2</v>
      </c>
      <c r="S503">
        <v>2.8412480000000002</v>
      </c>
      <c r="T503">
        <v>0.43439499999999998</v>
      </c>
      <c r="U503">
        <v>-1.6970209999999999</v>
      </c>
      <c r="V503">
        <v>6.7688719999999994E-2</v>
      </c>
      <c r="W503">
        <v>7.722627E-2</v>
      </c>
      <c r="X503">
        <v>0.99471319999999996</v>
      </c>
      <c r="Y503">
        <v>0.49222569999999999</v>
      </c>
      <c r="Z503">
        <v>3.1919629999999997E-2</v>
      </c>
      <c r="AA503">
        <v>0.86988220000000005</v>
      </c>
      <c r="AB503">
        <v>30</v>
      </c>
      <c r="AC503">
        <v>0.35570000000001201</v>
      </c>
      <c r="AD503">
        <v>9.9772000000000194E-2</v>
      </c>
      <c r="AE503">
        <v>-0.38419999999996401</v>
      </c>
      <c r="AF503">
        <v>0.36410832834498302</v>
      </c>
      <c r="AG503">
        <v>9.9772000000000194E-2</v>
      </c>
      <c r="AH503">
        <v>0.35026068453708697</v>
      </c>
      <c r="AI503">
        <v>78.8290576653458</v>
      </c>
      <c r="AJ503">
        <v>43.8894924360388</v>
      </c>
      <c r="AK503">
        <v>0.51498725604287199</v>
      </c>
      <c r="AL503">
        <v>85.570850723004597</v>
      </c>
      <c r="AM503">
        <v>86.107110764889001</v>
      </c>
      <c r="AN503">
        <v>1.00000000492379</v>
      </c>
    </row>
    <row r="504" spans="1:40" x14ac:dyDescent="0.25">
      <c r="A504" t="str">
        <f>"20190312151232196"</f>
        <v>20190312151232196</v>
      </c>
      <c r="B504" t="str">
        <f>"1552374752190252"</f>
        <v>1552374752190252</v>
      </c>
      <c r="C504" t="s">
        <v>40</v>
      </c>
      <c r="D504">
        <v>3.8793340000000001</v>
      </c>
      <c r="E504">
        <v>0.68183930000000004</v>
      </c>
      <c r="F504" t="s">
        <v>41</v>
      </c>
      <c r="G504">
        <v>-352.72539999999998</v>
      </c>
      <c r="H504">
        <v>1.20469</v>
      </c>
      <c r="I504">
        <v>366.48419999999999</v>
      </c>
      <c r="J504">
        <v>-353.0471</v>
      </c>
      <c r="K504">
        <v>1.1100719999999999</v>
      </c>
      <c r="L504">
        <v>366.85109999999997</v>
      </c>
      <c r="M504">
        <v>0.99974700000000005</v>
      </c>
      <c r="N504">
        <v>0</v>
      </c>
      <c r="O504">
        <v>-1.9020370000000002E-2</v>
      </c>
      <c r="P504">
        <v>0.99413779999999996</v>
      </c>
      <c r="Q504">
        <v>6.5534609999999993E-2</v>
      </c>
      <c r="R504">
        <v>-8.5996379999999997E-2</v>
      </c>
      <c r="S504">
        <v>2.8411559999999998</v>
      </c>
      <c r="T504">
        <v>0.43187989999999998</v>
      </c>
      <c r="U504">
        <v>-1.6994629999999999</v>
      </c>
      <c r="V504">
        <v>6.7058679999999996E-2</v>
      </c>
      <c r="W504">
        <v>7.7505809999999994E-2</v>
      </c>
      <c r="X504">
        <v>0.99473409999999995</v>
      </c>
      <c r="Y504">
        <v>0.49291249999999998</v>
      </c>
      <c r="Z504">
        <v>3.17922E-2</v>
      </c>
      <c r="AA504">
        <v>0.86949779999999999</v>
      </c>
      <c r="AB504">
        <v>30</v>
      </c>
      <c r="AC504">
        <v>0.32170000000002102</v>
      </c>
      <c r="AD504">
        <v>9.4617999999999994E-2</v>
      </c>
      <c r="AE504">
        <v>-0.36689999999998602</v>
      </c>
      <c r="AF504">
        <v>0.34764328349335699</v>
      </c>
      <c r="AG504">
        <v>9.4617999999999994E-2</v>
      </c>
      <c r="AH504">
        <v>0.31671278811930598</v>
      </c>
      <c r="AI504">
        <v>78.624234910499396</v>
      </c>
      <c r="AJ504">
        <v>42.334399219444002</v>
      </c>
      <c r="AK504">
        <v>0.47970345906648099</v>
      </c>
      <c r="AL504">
        <v>85.554785970966705</v>
      </c>
      <c r="AM504">
        <v>86.143316319965393</v>
      </c>
      <c r="AN504">
        <v>0.99999997342495295</v>
      </c>
    </row>
    <row r="505" spans="1:40" x14ac:dyDescent="0.25">
      <c r="A505" t="str">
        <f>"20190312151232217"</f>
        <v>20190312151232217</v>
      </c>
      <c r="B505" t="str">
        <f>"1552374752209772"</f>
        <v>1552374752209772</v>
      </c>
      <c r="C505" t="s">
        <v>40</v>
      </c>
      <c r="D505">
        <v>3.7650790000000001</v>
      </c>
      <c r="E505">
        <v>0.68199719999999997</v>
      </c>
      <c r="F505" t="s">
        <v>41</v>
      </c>
      <c r="G505">
        <v>-352.45890000000003</v>
      </c>
      <c r="H505">
        <v>1.1995819999999999</v>
      </c>
      <c r="I505">
        <v>366.49959999999999</v>
      </c>
      <c r="J505">
        <v>-352.75319999999999</v>
      </c>
      <c r="K505">
        <v>1.110082</v>
      </c>
      <c r="L505">
        <v>366.84559999999999</v>
      </c>
      <c r="M505">
        <v>0.99974850000000004</v>
      </c>
      <c r="N505">
        <v>0</v>
      </c>
      <c r="O505">
        <v>-1.892717E-2</v>
      </c>
      <c r="P505">
        <v>0.99420030000000004</v>
      </c>
      <c r="Q505">
        <v>6.5964770000000006E-2</v>
      </c>
      <c r="R505">
        <v>-8.4938E-2</v>
      </c>
      <c r="S505">
        <v>2.842285</v>
      </c>
      <c r="T505">
        <v>0.43246050000000003</v>
      </c>
      <c r="U505">
        <v>-1.6982119999999901</v>
      </c>
      <c r="V505">
        <v>6.6092010000000007E-2</v>
      </c>
      <c r="W505">
        <v>7.7938419999999994E-2</v>
      </c>
      <c r="X505">
        <v>0.99476500000000001</v>
      </c>
      <c r="Y505">
        <v>0.4925523</v>
      </c>
      <c r="Z505">
        <v>3.1814870000000002E-2</v>
      </c>
      <c r="AA505">
        <v>0.8697011</v>
      </c>
      <c r="AB505">
        <v>30</v>
      </c>
      <c r="AC505">
        <v>0.29429999999996398</v>
      </c>
      <c r="AD505">
        <v>8.9499999999999899E-2</v>
      </c>
      <c r="AE505">
        <v>-0.34600000000000303</v>
      </c>
      <c r="AF505">
        <v>0.327647160507195</v>
      </c>
      <c r="AG505">
        <v>8.9499999999999899E-2</v>
      </c>
      <c r="AH505">
        <v>0.28955520346281899</v>
      </c>
      <c r="AI505">
        <v>78.432223859785907</v>
      </c>
      <c r="AJ505">
        <v>41.468348544707901</v>
      </c>
      <c r="AK505">
        <v>0.44632401642844799</v>
      </c>
      <c r="AL505">
        <v>85.529924058320404</v>
      </c>
      <c r="AM505">
        <v>86.1988650655518</v>
      </c>
      <c r="AN505">
        <v>0.99999997816146802</v>
      </c>
    </row>
    <row r="506" spans="1:40" x14ac:dyDescent="0.25">
      <c r="A506" t="str">
        <f>"20190312151232238"</f>
        <v>20190312151232238</v>
      </c>
      <c r="B506" t="str">
        <f>"1552374752230268"</f>
        <v>1552374752230268</v>
      </c>
      <c r="C506" t="s">
        <v>40</v>
      </c>
      <c r="D506">
        <v>3.7561140000000002</v>
      </c>
      <c r="E506">
        <v>0.68194279999999996</v>
      </c>
      <c r="F506" t="s">
        <v>41</v>
      </c>
      <c r="G506">
        <v>-352.19240000000002</v>
      </c>
      <c r="H506">
        <v>1.195711</v>
      </c>
      <c r="I506">
        <v>366.51080000000002</v>
      </c>
      <c r="J506">
        <v>-352.46019999999999</v>
      </c>
      <c r="K506">
        <v>1.1100779999999999</v>
      </c>
      <c r="L506">
        <v>366.84019999999998</v>
      </c>
      <c r="M506">
        <v>0.99975029999999998</v>
      </c>
      <c r="N506">
        <v>0</v>
      </c>
      <c r="O506">
        <v>-1.8834790000000001E-2</v>
      </c>
      <c r="P506">
        <v>0.99434880000000003</v>
      </c>
      <c r="Q506">
        <v>6.5589819999999993E-2</v>
      </c>
      <c r="R506">
        <v>-8.3477120000000002E-2</v>
      </c>
      <c r="S506">
        <v>2.8437809999999999</v>
      </c>
      <c r="T506">
        <v>0.43408370000000002</v>
      </c>
      <c r="U506">
        <v>-1.6964109999999999</v>
      </c>
      <c r="V506">
        <v>6.4720620000000006E-2</v>
      </c>
      <c r="W506">
        <v>7.7565229999999999E-2</v>
      </c>
      <c r="X506">
        <v>0.9948844</v>
      </c>
      <c r="Y506">
        <v>0.49200090000000002</v>
      </c>
      <c r="Z506">
        <v>3.1897849999999998E-2</v>
      </c>
      <c r="AA506">
        <v>0.87001010000000001</v>
      </c>
      <c r="AB506">
        <v>30</v>
      </c>
      <c r="AC506">
        <v>0.26779999999996501</v>
      </c>
      <c r="AD506">
        <v>8.5632999999999806E-2</v>
      </c>
      <c r="AE506">
        <v>-0.329399999999964</v>
      </c>
      <c r="AF506">
        <v>0.31161783636350898</v>
      </c>
      <c r="AG506">
        <v>8.5632999999999806E-2</v>
      </c>
      <c r="AH506">
        <v>0.26324591744342501</v>
      </c>
      <c r="AI506">
        <v>78.144469246522803</v>
      </c>
      <c r="AJ506">
        <v>40.190176244685503</v>
      </c>
      <c r="AK506">
        <v>0.41681782552993701</v>
      </c>
      <c r="AL506">
        <v>85.551371501287306</v>
      </c>
      <c r="AM506">
        <v>86.277958903793504</v>
      </c>
      <c r="AN506">
        <v>1.0000000464607399</v>
      </c>
    </row>
    <row r="507" spans="1:40" x14ac:dyDescent="0.25">
      <c r="A507" t="str">
        <f>"20190312151232261"</f>
        <v>20190312151232261</v>
      </c>
      <c r="B507" t="str">
        <f>"1552374752249591"</f>
        <v>1552374752249591</v>
      </c>
      <c r="C507" t="s">
        <v>40</v>
      </c>
      <c r="D507">
        <v>3.809965</v>
      </c>
      <c r="E507">
        <v>0.68207640000000003</v>
      </c>
      <c r="F507" t="s">
        <v>41</v>
      </c>
      <c r="G507">
        <v>-351.92590000000001</v>
      </c>
      <c r="H507">
        <v>1.191468</v>
      </c>
      <c r="I507">
        <v>366.52300000000002</v>
      </c>
      <c r="J507">
        <v>-352.17020000000002</v>
      </c>
      <c r="K507">
        <v>1.1100760000000001</v>
      </c>
      <c r="L507">
        <v>366.83479999999997</v>
      </c>
      <c r="M507">
        <v>0.99975219999999998</v>
      </c>
      <c r="N507">
        <v>0</v>
      </c>
      <c r="O507">
        <v>-1.8743490000000002E-2</v>
      </c>
      <c r="P507">
        <v>0.99447609999999997</v>
      </c>
      <c r="Q507">
        <v>6.5221050000000003E-2</v>
      </c>
      <c r="R507">
        <v>-8.2243029999999995E-2</v>
      </c>
      <c r="S507">
        <v>2.8464360000000002</v>
      </c>
      <c r="T507">
        <v>0.43384270000000003</v>
      </c>
      <c r="U507">
        <v>-1.691559</v>
      </c>
      <c r="V507">
        <v>6.3575220000000002E-2</v>
      </c>
      <c r="W507">
        <v>7.7199169999999998E-2</v>
      </c>
      <c r="X507">
        <v>0.9949867</v>
      </c>
      <c r="Y507">
        <v>0.49064469999999999</v>
      </c>
      <c r="Z507">
        <v>3.1785290000000001E-2</v>
      </c>
      <c r="AA507">
        <v>0.87077979999999999</v>
      </c>
      <c r="AB507">
        <v>30</v>
      </c>
      <c r="AC507">
        <v>0.24430000000000901</v>
      </c>
      <c r="AD507">
        <v>8.1391999999999895E-2</v>
      </c>
      <c r="AE507">
        <v>-0.31179999999994801</v>
      </c>
      <c r="AF507">
        <v>0.29472218062074401</v>
      </c>
      <c r="AG507">
        <v>8.1391999999999895E-2</v>
      </c>
      <c r="AH507">
        <v>0.23996978600326899</v>
      </c>
      <c r="AI507">
        <v>77.912410533002102</v>
      </c>
      <c r="AJ507">
        <v>39.153297731889502</v>
      </c>
      <c r="AK507">
        <v>0.388678941554982</v>
      </c>
      <c r="AL507">
        <v>85.572408185018503</v>
      </c>
      <c r="AM507">
        <v>86.344024735498394</v>
      </c>
      <c r="AN507">
        <v>1.0000000268118101</v>
      </c>
    </row>
    <row r="508" spans="1:40" x14ac:dyDescent="0.25">
      <c r="A508" t="str">
        <f>"20190312151232284"</f>
        <v>20190312151232284</v>
      </c>
      <c r="B508" t="str">
        <f>"1552374752279847"</f>
        <v>1552374752279847</v>
      </c>
      <c r="C508" t="s">
        <v>40</v>
      </c>
      <c r="D508">
        <v>3.7126760000000001</v>
      </c>
      <c r="E508">
        <v>0.68224759999999995</v>
      </c>
      <c r="F508" t="s">
        <v>41</v>
      </c>
      <c r="G508">
        <v>-351.65949999999998</v>
      </c>
      <c r="H508">
        <v>1.187608</v>
      </c>
      <c r="I508">
        <v>366.5317</v>
      </c>
      <c r="J508">
        <v>-351.86110000000002</v>
      </c>
      <c r="K508">
        <v>1.1100810000000001</v>
      </c>
      <c r="L508">
        <v>366.82909999999998</v>
      </c>
      <c r="M508">
        <v>0.99975400000000003</v>
      </c>
      <c r="N508">
        <v>0</v>
      </c>
      <c r="O508">
        <v>-1.8645510000000001E-2</v>
      </c>
      <c r="P508">
        <v>0.99451330000000004</v>
      </c>
      <c r="Q508">
        <v>6.4943299999999995E-2</v>
      </c>
      <c r="R508">
        <v>-8.2010570000000005E-2</v>
      </c>
      <c r="S508">
        <v>2.8486630000000002</v>
      </c>
      <c r="T508">
        <v>0.43222870000000002</v>
      </c>
      <c r="U508">
        <v>-1.6892400000000001</v>
      </c>
      <c r="V508">
        <v>6.3439899999999994E-2</v>
      </c>
      <c r="W508">
        <v>7.6922950000000004E-2</v>
      </c>
      <c r="X508">
        <v>0.99501669999999998</v>
      </c>
      <c r="Y508">
        <v>0.4899443</v>
      </c>
      <c r="Z508">
        <v>3.1617729999999997E-2</v>
      </c>
      <c r="AA508">
        <v>0.87118019999999996</v>
      </c>
      <c r="AB508">
        <v>30</v>
      </c>
      <c r="AC508">
        <v>0.201600000000041</v>
      </c>
      <c r="AD508">
        <v>7.7527000000000096E-2</v>
      </c>
      <c r="AE508">
        <v>-0.29739999999998101</v>
      </c>
      <c r="AF508">
        <v>0.28052763848511902</v>
      </c>
      <c r="AG508">
        <v>7.7527000000000096E-2</v>
      </c>
      <c r="AH508">
        <v>0.19789640949392501</v>
      </c>
      <c r="AI508">
        <v>77.274631602509899</v>
      </c>
      <c r="AJ508">
        <v>35.2008086058309</v>
      </c>
      <c r="AK508">
        <v>0.35195053711228402</v>
      </c>
      <c r="AL508">
        <v>85.588281495681301</v>
      </c>
      <c r="AM508">
        <v>86.3518951463831</v>
      </c>
      <c r="AN508">
        <v>0.99999999721380095</v>
      </c>
    </row>
    <row r="509" spans="1:40" x14ac:dyDescent="0.25">
      <c r="A509" t="str">
        <f>"20190312151232307"</f>
        <v>20190312151232307</v>
      </c>
      <c r="B509" t="str">
        <f>"1552374752300343"</f>
        <v>1552374752300343</v>
      </c>
      <c r="C509" t="s">
        <v>40</v>
      </c>
      <c r="D509">
        <v>3.8362759999999998</v>
      </c>
      <c r="E509">
        <v>0.68243869999999995</v>
      </c>
      <c r="F509" t="s">
        <v>41</v>
      </c>
      <c r="G509">
        <v>-351.37580000000003</v>
      </c>
      <c r="H509">
        <v>1.1839959999999901</v>
      </c>
      <c r="I509">
        <v>366.54140000000001</v>
      </c>
      <c r="J509">
        <v>-351.56979999999999</v>
      </c>
      <c r="K509">
        <v>1.1100890000000001</v>
      </c>
      <c r="L509">
        <v>366.82380000000001</v>
      </c>
      <c r="M509">
        <v>0.99975570000000002</v>
      </c>
      <c r="N509">
        <v>0</v>
      </c>
      <c r="O509">
        <v>-1.8553960000000001E-2</v>
      </c>
      <c r="P509">
        <v>0.99444109999999997</v>
      </c>
      <c r="Q509">
        <v>6.6062259999999998E-2</v>
      </c>
      <c r="R509">
        <v>-8.1992399999999993E-2</v>
      </c>
      <c r="S509">
        <v>2.8488769999999999</v>
      </c>
      <c r="T509">
        <v>0.43398019999999998</v>
      </c>
      <c r="U509">
        <v>-1.6896059999999999</v>
      </c>
      <c r="V509">
        <v>6.3514169999999995E-2</v>
      </c>
      <c r="W509">
        <v>7.8041559999999996E-2</v>
      </c>
      <c r="X509">
        <v>0.99492480000000005</v>
      </c>
      <c r="Y509">
        <v>0.49004490000000001</v>
      </c>
      <c r="Z509">
        <v>3.1761560000000001E-2</v>
      </c>
      <c r="AA509">
        <v>0.87111839999999996</v>
      </c>
      <c r="AB509">
        <v>30</v>
      </c>
      <c r="AC509">
        <v>0.19399999999996001</v>
      </c>
      <c r="AD509">
        <v>7.3906999999999903E-2</v>
      </c>
      <c r="AE509">
        <v>-0.28239999999999499</v>
      </c>
      <c r="AF509">
        <v>0.26635739596942598</v>
      </c>
      <c r="AG509">
        <v>7.3906999999999903E-2</v>
      </c>
      <c r="AH509">
        <v>0.19034920541369199</v>
      </c>
      <c r="AI509">
        <v>77.278642589525106</v>
      </c>
      <c r="AJ509">
        <v>35.551053593183802</v>
      </c>
      <c r="AK509">
        <v>0.33562080841067898</v>
      </c>
      <c r="AL509">
        <v>85.523996373987501</v>
      </c>
      <c r="AM509">
        <v>86.347299360381498</v>
      </c>
      <c r="AN509">
        <v>0.99999994626652899</v>
      </c>
    </row>
    <row r="510" spans="1:40" x14ac:dyDescent="0.25">
      <c r="A510" t="str">
        <f>"20190312151232328"</f>
        <v>20190312151232328</v>
      </c>
      <c r="B510" t="str">
        <f>"1552374752319879"</f>
        <v>1552374752319879</v>
      </c>
      <c r="C510" t="s">
        <v>40</v>
      </c>
      <c r="D510">
        <v>3.052311</v>
      </c>
      <c r="E510">
        <v>0.68253140000000001</v>
      </c>
      <c r="F510" t="s">
        <v>41</v>
      </c>
      <c r="G510">
        <v>-350.86250000000001</v>
      </c>
      <c r="H510">
        <v>1.2186840000000001</v>
      </c>
      <c r="I510">
        <v>366.40379999999999</v>
      </c>
      <c r="J510">
        <v>-351.27210000000002</v>
      </c>
      <c r="K510">
        <v>1.1100939999999999</v>
      </c>
      <c r="L510">
        <v>366.8184</v>
      </c>
      <c r="M510">
        <v>0.99975720000000001</v>
      </c>
      <c r="N510">
        <v>0</v>
      </c>
      <c r="O510">
        <v>-1.8459799999999998E-2</v>
      </c>
      <c r="P510">
        <v>0.99429020000000001</v>
      </c>
      <c r="Q510">
        <v>6.7485550000000005E-2</v>
      </c>
      <c r="R510">
        <v>-8.2659469999999999E-2</v>
      </c>
      <c r="S510">
        <v>2.8482970000000001</v>
      </c>
      <c r="T510">
        <v>0.43725190000000003</v>
      </c>
      <c r="U510">
        <v>-1.6910099999999999</v>
      </c>
      <c r="V510">
        <v>6.4277459999999995E-2</v>
      </c>
      <c r="W510">
        <v>7.9464320000000005E-2</v>
      </c>
      <c r="X510">
        <v>0.99476319999999996</v>
      </c>
      <c r="Y510">
        <v>0.49045699999999998</v>
      </c>
      <c r="Z510">
        <v>3.204307E-2</v>
      </c>
      <c r="AA510">
        <v>0.87087610000000004</v>
      </c>
      <c r="AB510">
        <v>30</v>
      </c>
      <c r="AC510">
        <v>0.40960000000001101</v>
      </c>
      <c r="AD510">
        <v>0.10858999999999901</v>
      </c>
      <c r="AE510">
        <v>-0.41460000000000702</v>
      </c>
      <c r="AF510">
        <v>0.39331343115947898</v>
      </c>
      <c r="AG510">
        <v>0.10858999999999901</v>
      </c>
      <c r="AH510">
        <v>0.40318717594369202</v>
      </c>
      <c r="AI510">
        <v>79.087805822921297</v>
      </c>
      <c r="AJ510">
        <v>45.710225357421898</v>
      </c>
      <c r="AK510">
        <v>0.57362630873757203</v>
      </c>
      <c r="AL510">
        <v>85.442224480399204</v>
      </c>
      <c r="AM510">
        <v>86.302924700049402</v>
      </c>
      <c r="AN510">
        <v>0.99999999704567599</v>
      </c>
    </row>
    <row r="511" spans="1:40" x14ac:dyDescent="0.25">
      <c r="A511" t="str">
        <f>"20190312151232350"</f>
        <v>20190312151232350</v>
      </c>
      <c r="B511" t="str">
        <f>"1552374752339894"</f>
        <v>1552374752339894</v>
      </c>
      <c r="C511" t="s">
        <v>40</v>
      </c>
      <c r="D511">
        <v>4.0798809999999897</v>
      </c>
      <c r="E511">
        <v>0.68269399999999902</v>
      </c>
      <c r="F511" t="s">
        <v>41</v>
      </c>
      <c r="G511">
        <v>-350.59589999999997</v>
      </c>
      <c r="H511">
        <v>1.2157009999999999</v>
      </c>
      <c r="I511">
        <v>366.41609999999997</v>
      </c>
      <c r="J511">
        <v>-350.9753</v>
      </c>
      <c r="K511">
        <v>1.110085</v>
      </c>
      <c r="L511">
        <v>366.81299999999999</v>
      </c>
      <c r="M511">
        <v>0.99975910000000001</v>
      </c>
      <c r="N511">
        <v>0</v>
      </c>
      <c r="O511">
        <v>-1.836658E-2</v>
      </c>
      <c r="P511">
        <v>0.99426999999999999</v>
      </c>
      <c r="Q511">
        <v>6.7382479999999995E-2</v>
      </c>
      <c r="R511">
        <v>-8.2990530000000007E-2</v>
      </c>
      <c r="S511">
        <v>2.8462830000000001</v>
      </c>
      <c r="T511">
        <v>0.44455080000000002</v>
      </c>
      <c r="U511">
        <v>-1.693481</v>
      </c>
      <c r="V511">
        <v>6.4701449999999994E-2</v>
      </c>
      <c r="W511">
        <v>7.9361660000000001E-2</v>
      </c>
      <c r="X511">
        <v>0.99474390000000001</v>
      </c>
      <c r="Y511">
        <v>0.49121959999999998</v>
      </c>
      <c r="Z511">
        <v>3.2654080000000002E-2</v>
      </c>
      <c r="AA511">
        <v>0.87042339999999996</v>
      </c>
      <c r="AB511">
        <v>30</v>
      </c>
      <c r="AC511">
        <v>0.37940000000003199</v>
      </c>
      <c r="AD511">
        <v>0.105615999999999</v>
      </c>
      <c r="AE511">
        <v>-0.39690000000007303</v>
      </c>
      <c r="AF511">
        <v>0.375953717483623</v>
      </c>
      <c r="AG511">
        <v>0.105615999999999</v>
      </c>
      <c r="AH511">
        <v>0.37283121033764699</v>
      </c>
      <c r="AI511">
        <v>78.719110990437997</v>
      </c>
      <c r="AJ511">
        <v>44.761072322261498</v>
      </c>
      <c r="AK511">
        <v>0.53990651834145398</v>
      </c>
      <c r="AL511">
        <v>85.4481250621713</v>
      </c>
      <c r="AM511">
        <v>86.278534182595095</v>
      </c>
      <c r="AN511">
        <v>0.99999998864863404</v>
      </c>
    </row>
    <row r="512" spans="1:40" x14ac:dyDescent="0.25">
      <c r="A512" t="str">
        <f>"20190312151232374"</f>
        <v>20190312151232374</v>
      </c>
      <c r="B512" t="str">
        <f>"1552374752370145"</f>
        <v>1552374752370145</v>
      </c>
      <c r="C512" t="s">
        <v>40</v>
      </c>
      <c r="D512">
        <v>3.4720230000000001</v>
      </c>
      <c r="E512">
        <v>0.57274449999999999</v>
      </c>
      <c r="F512" t="s">
        <v>41</v>
      </c>
      <c r="G512">
        <v>-350.32940000000002</v>
      </c>
      <c r="H512">
        <v>1.2114149999999999</v>
      </c>
      <c r="I512">
        <v>366.428</v>
      </c>
      <c r="J512">
        <v>-350.6662</v>
      </c>
      <c r="K512">
        <v>1.110079</v>
      </c>
      <c r="L512">
        <v>366.8075</v>
      </c>
      <c r="M512">
        <v>0.99976080000000001</v>
      </c>
      <c r="N512">
        <v>0</v>
      </c>
      <c r="O512">
        <v>-1.8268369999999999E-2</v>
      </c>
      <c r="P512">
        <v>0.99428559999999999</v>
      </c>
      <c r="Q512">
        <v>6.6544469999999994E-2</v>
      </c>
      <c r="R512">
        <v>-8.3473909999999998E-2</v>
      </c>
      <c r="S512">
        <v>2.84552</v>
      </c>
      <c r="T512">
        <v>0.44638729999999999</v>
      </c>
      <c r="U512">
        <v>-1.695587</v>
      </c>
      <c r="V512">
        <v>6.5282640000000003E-2</v>
      </c>
      <c r="W512">
        <v>7.8526449999999998E-2</v>
      </c>
      <c r="X512">
        <v>0.9947722</v>
      </c>
      <c r="Y512">
        <v>0.49184139999999998</v>
      </c>
      <c r="Z512">
        <v>3.2848500000000003E-2</v>
      </c>
      <c r="AA512">
        <v>0.87006499999999998</v>
      </c>
      <c r="AB512">
        <v>30</v>
      </c>
      <c r="AC512">
        <v>0.336799999999982</v>
      </c>
      <c r="AD512">
        <v>0.101335999999999</v>
      </c>
      <c r="AE512">
        <v>-0.37949999999994999</v>
      </c>
      <c r="AF512">
        <v>0.35896551299734197</v>
      </c>
      <c r="AG512">
        <v>0.101335999999999</v>
      </c>
      <c r="AH512">
        <v>0.33049481877847398</v>
      </c>
      <c r="AI512">
        <v>78.267464992326197</v>
      </c>
      <c r="AJ512">
        <v>42.635361625157103</v>
      </c>
      <c r="AK512">
        <v>0.49834932492867001</v>
      </c>
      <c r="AL512">
        <v>85.496128842477404</v>
      </c>
      <c r="AM512">
        <v>86.245307302548198</v>
      </c>
      <c r="AN512">
        <v>0.99999997816390496</v>
      </c>
    </row>
    <row r="513" spans="1:40" x14ac:dyDescent="0.25">
      <c r="A513" t="str">
        <f>"20190312151232396"</f>
        <v>20190312151232396</v>
      </c>
      <c r="B513" t="str">
        <f>"1552374752389666"</f>
        <v>1552374752389666</v>
      </c>
      <c r="C513" t="s">
        <v>40</v>
      </c>
      <c r="D513">
        <v>3.6814529999999999</v>
      </c>
      <c r="E513">
        <v>0.55955109999999997</v>
      </c>
      <c r="F513" t="s">
        <v>48</v>
      </c>
      <c r="G513">
        <v>-283.26299999999998</v>
      </c>
      <c r="H513">
        <v>6.5164989999999996</v>
      </c>
      <c r="I513">
        <v>347.77679999999998</v>
      </c>
      <c r="J513">
        <v>-350.37090000000001</v>
      </c>
      <c r="K513">
        <v>1.110079</v>
      </c>
      <c r="L513">
        <v>366.80220000000003</v>
      </c>
      <c r="M513">
        <v>0.99976240000000005</v>
      </c>
      <c r="N513">
        <v>0</v>
      </c>
      <c r="O513">
        <v>-1.8174579999999999E-2</v>
      </c>
      <c r="P513">
        <v>0.99436840000000004</v>
      </c>
      <c r="Q513">
        <v>6.5658640000000004E-2</v>
      </c>
      <c r="R513">
        <v>-8.3189310000000002E-2</v>
      </c>
      <c r="S513">
        <v>2.9319760000000001</v>
      </c>
      <c r="T513">
        <v>0.2351742</v>
      </c>
      <c r="U513">
        <v>-0.82781979999999999</v>
      </c>
      <c r="V513">
        <v>6.5090179999999997E-2</v>
      </c>
      <c r="W513">
        <v>7.7647010000000002E-2</v>
      </c>
      <c r="X513">
        <v>0.99485389999999996</v>
      </c>
      <c r="Y513">
        <v>0.25348320000000002</v>
      </c>
      <c r="Z513">
        <v>8.529142E-3</v>
      </c>
      <c r="AA513">
        <v>0.9673022</v>
      </c>
      <c r="AB513">
        <v>30</v>
      </c>
      <c r="AC513">
        <v>67.107900000000001</v>
      </c>
      <c r="AD513">
        <v>5.4064199999999998</v>
      </c>
      <c r="AE513">
        <v>-19.025400000000001</v>
      </c>
      <c r="AF513">
        <v>17.6961999641352</v>
      </c>
      <c r="AG513">
        <v>5.4064199999999998</v>
      </c>
      <c r="AH513">
        <v>67.039872039741994</v>
      </c>
      <c r="AI513">
        <v>85.541436906943702</v>
      </c>
      <c r="AJ513">
        <v>75.213181003251407</v>
      </c>
      <c r="AK513">
        <v>69.546598144640001</v>
      </c>
      <c r="AL513">
        <v>85.546671631856796</v>
      </c>
      <c r="AM513">
        <v>86.256651567064594</v>
      </c>
      <c r="AN513">
        <v>1.00000003601979</v>
      </c>
    </row>
    <row r="514" spans="1:40" x14ac:dyDescent="0.25">
      <c r="A514" t="str">
        <f>"20190312151232418"</f>
        <v>20190312151232418</v>
      </c>
      <c r="B514" t="str">
        <f>"1552374752410175"</f>
        <v>1552374752410175</v>
      </c>
      <c r="C514" t="s">
        <v>40</v>
      </c>
      <c r="D514">
        <v>3.7112310000000002</v>
      </c>
      <c r="E514">
        <v>0.48842370000000002</v>
      </c>
      <c r="F514" t="s">
        <v>45</v>
      </c>
      <c r="G514">
        <v>-168.9862</v>
      </c>
      <c r="H514">
        <v>13.121029999999999</v>
      </c>
      <c r="I514">
        <v>322.25940000000003</v>
      </c>
      <c r="J514">
        <v>-350.07209999999998</v>
      </c>
      <c r="K514">
        <v>1.110082</v>
      </c>
      <c r="L514">
        <v>366.79689999999999</v>
      </c>
      <c r="M514">
        <v>0.99976410000000004</v>
      </c>
      <c r="N514">
        <v>0</v>
      </c>
      <c r="O514">
        <v>-1.807926E-2</v>
      </c>
      <c r="P514">
        <v>0.994367</v>
      </c>
      <c r="Q514">
        <v>6.6037479999999996E-2</v>
      </c>
      <c r="R514">
        <v>-8.2904770000000003E-2</v>
      </c>
      <c r="S514">
        <v>2.9436339999999999</v>
      </c>
      <c r="T514">
        <v>0.19492200000000001</v>
      </c>
      <c r="U514">
        <v>-0.72286989999999995</v>
      </c>
      <c r="V514">
        <v>6.4900299999999994E-2</v>
      </c>
      <c r="W514">
        <v>7.8034930000000002E-2</v>
      </c>
      <c r="X514">
        <v>0.9948359</v>
      </c>
      <c r="Y514">
        <v>0.22046950000000001</v>
      </c>
      <c r="Z514">
        <v>6.0073510000000002E-3</v>
      </c>
      <c r="AA514">
        <v>0.9753754</v>
      </c>
      <c r="AB514">
        <v>30</v>
      </c>
      <c r="AC514">
        <v>181.08590000000001</v>
      </c>
      <c r="AD514">
        <v>12.010948000000001</v>
      </c>
      <c r="AE514">
        <v>-44.537499999999902</v>
      </c>
      <c r="AF514">
        <v>41.085644364034899</v>
      </c>
      <c r="AG514">
        <v>12.010948000000001</v>
      </c>
      <c r="AH514">
        <v>181.11024725829799</v>
      </c>
      <c r="AI514">
        <v>86.299541966472304</v>
      </c>
      <c r="AJ514">
        <v>77.218530796148002</v>
      </c>
      <c r="AK514">
        <v>186.100012645428</v>
      </c>
      <c r="AL514">
        <v>85.524377574399196</v>
      </c>
      <c r="AM514">
        <v>86.267473346298004</v>
      </c>
      <c r="AN514">
        <v>0.99999998358450204</v>
      </c>
    </row>
    <row r="515" spans="1:40" x14ac:dyDescent="0.25">
      <c r="A515" t="str">
        <f>"20190312151232441"</f>
        <v>20190312151232441</v>
      </c>
      <c r="B515" t="str">
        <f>"1552374752429685"</f>
        <v>1552374752429685</v>
      </c>
      <c r="C515" t="s">
        <v>40</v>
      </c>
      <c r="D515">
        <v>3.6747179999999999</v>
      </c>
      <c r="E515">
        <v>0.48890070000000002</v>
      </c>
      <c r="F515" t="s">
        <v>43</v>
      </c>
      <c r="G515">
        <v>-313.54629999999997</v>
      </c>
      <c r="H515">
        <v>-0.05</v>
      </c>
      <c r="I515">
        <v>364.81290000000001</v>
      </c>
      <c r="J515">
        <v>-349.7747</v>
      </c>
      <c r="K515">
        <v>1.1100840000000001</v>
      </c>
      <c r="L515">
        <v>366.79160000000002</v>
      </c>
      <c r="M515">
        <v>0.99976569999999998</v>
      </c>
      <c r="N515">
        <v>0</v>
      </c>
      <c r="O515">
        <v>-1.7983829999999999E-2</v>
      </c>
      <c r="P515">
        <v>0.99440410000000001</v>
      </c>
      <c r="Q515">
        <v>6.5786600000000001E-2</v>
      </c>
      <c r="R515">
        <v>-8.2661059999999995E-2</v>
      </c>
      <c r="S515">
        <v>3.009735</v>
      </c>
      <c r="T515">
        <v>-9.559107E-2</v>
      </c>
      <c r="U515">
        <v>-0.16348270000000001</v>
      </c>
      <c r="V515">
        <v>6.4750940000000007E-2</v>
      </c>
      <c r="W515">
        <v>7.7793899999999999E-2</v>
      </c>
      <c r="X515">
        <v>0.99486450000000004</v>
      </c>
      <c r="Y515">
        <v>3.6261389999999998E-2</v>
      </c>
      <c r="Z515" s="1">
        <v>-4.7112120000000002E-6</v>
      </c>
      <c r="AA515">
        <v>0.99934230000000002</v>
      </c>
      <c r="AB515">
        <v>30</v>
      </c>
      <c r="AC515">
        <v>36.228400000000001</v>
      </c>
      <c r="AD515">
        <v>-1.1600839999999999</v>
      </c>
      <c r="AE515">
        <v>-1.9786999999999999</v>
      </c>
      <c r="AF515">
        <v>1.3254522483756399</v>
      </c>
      <c r="AG515">
        <v>-1.1600839999999999</v>
      </c>
      <c r="AH515">
        <v>36.221097839440503</v>
      </c>
      <c r="AI515">
        <v>91.833207583274799</v>
      </c>
      <c r="AJ515">
        <v>87.904289107718995</v>
      </c>
      <c r="AK515">
        <v>36.263901434403103</v>
      </c>
      <c r="AL515">
        <v>85.538229644302703</v>
      </c>
      <c r="AM515">
        <v>86.276145848906296</v>
      </c>
      <c r="AN515">
        <v>0.99999997423417097</v>
      </c>
    </row>
    <row r="516" spans="1:40" x14ac:dyDescent="0.25">
      <c r="A516" t="str">
        <f>"20190312151232462"</f>
        <v>20190312151232462</v>
      </c>
      <c r="B516" t="str">
        <f>"1552374752459937"</f>
        <v>1552374752459937</v>
      </c>
      <c r="C516" t="s">
        <v>40</v>
      </c>
      <c r="D516">
        <v>3.643405</v>
      </c>
      <c r="E516">
        <v>0.4896237</v>
      </c>
      <c r="F516" t="s">
        <v>43</v>
      </c>
      <c r="G516">
        <v>-315.37790000000001</v>
      </c>
      <c r="H516">
        <v>-0.05</v>
      </c>
      <c r="I516">
        <v>364.88729999999998</v>
      </c>
      <c r="J516">
        <v>-349.48970000000003</v>
      </c>
      <c r="K516">
        <v>1.1100829999999999</v>
      </c>
      <c r="L516">
        <v>366.78649999999999</v>
      </c>
      <c r="M516">
        <v>0.99976719999999997</v>
      </c>
      <c r="N516">
        <v>0</v>
      </c>
      <c r="O516">
        <v>-1.7892680000000001E-2</v>
      </c>
      <c r="P516">
        <v>0.99444259999999995</v>
      </c>
      <c r="Q516">
        <v>6.5778000000000003E-2</v>
      </c>
      <c r="R516">
        <v>-8.2203090000000006E-2</v>
      </c>
      <c r="S516">
        <v>3.009735</v>
      </c>
      <c r="T516">
        <v>-0.1015078</v>
      </c>
      <c r="U516">
        <v>-0.166626</v>
      </c>
      <c r="V516">
        <v>6.4383079999999995E-2</v>
      </c>
      <c r="W516">
        <v>7.7795329999999996E-2</v>
      </c>
      <c r="X516">
        <v>0.99488829999999995</v>
      </c>
      <c r="Y516">
        <v>3.7391170000000001E-2</v>
      </c>
      <c r="Z516" s="1">
        <v>-2.7105560000000001E-5</v>
      </c>
      <c r="AA516">
        <v>0.99930070000000004</v>
      </c>
      <c r="AB516">
        <v>30</v>
      </c>
      <c r="AC516">
        <v>34.111800000000002</v>
      </c>
      <c r="AD516">
        <v>-1.160083</v>
      </c>
      <c r="AE516">
        <v>-1.8992</v>
      </c>
      <c r="AF516">
        <v>1.28701610668735</v>
      </c>
      <c r="AG516">
        <v>-1.160083</v>
      </c>
      <c r="AH516">
        <v>34.101004562748699</v>
      </c>
      <c r="AI516">
        <v>91.947010183887798</v>
      </c>
      <c r="AJ516">
        <v>87.838608869440094</v>
      </c>
      <c r="AK516">
        <v>34.144995463674697</v>
      </c>
      <c r="AL516">
        <v>85.538147630758104</v>
      </c>
      <c r="AM516">
        <v>86.297330944279096</v>
      </c>
      <c r="AN516">
        <v>1.00000001191849</v>
      </c>
    </row>
    <row r="517" spans="1:40" x14ac:dyDescent="0.25">
      <c r="A517" t="str">
        <f>"20190312151232484"</f>
        <v>20190312151232484</v>
      </c>
      <c r="B517" t="str">
        <f>"1552374752480433"</f>
        <v>1552374752480433</v>
      </c>
      <c r="C517" t="s">
        <v>40</v>
      </c>
      <c r="D517">
        <v>3.6617410000000001</v>
      </c>
      <c r="E517">
        <v>0.49005660000000001</v>
      </c>
      <c r="F517" t="s">
        <v>42</v>
      </c>
      <c r="G517">
        <v>-326.82029999999997</v>
      </c>
      <c r="H517" s="1">
        <v>-2.1657030000000002E-6</v>
      </c>
      <c r="I517">
        <v>365.4914</v>
      </c>
      <c r="J517">
        <v>-349.19409999999999</v>
      </c>
      <c r="K517">
        <v>1.1100840000000001</v>
      </c>
      <c r="L517">
        <v>366.78140000000002</v>
      </c>
      <c r="M517">
        <v>0.99976869999999995</v>
      </c>
      <c r="N517">
        <v>0</v>
      </c>
      <c r="O517">
        <v>-1.779785E-2</v>
      </c>
      <c r="P517">
        <v>0.99453480000000005</v>
      </c>
      <c r="Q517">
        <v>6.5734260000000003E-2</v>
      </c>
      <c r="R517">
        <v>-8.1114610000000004E-2</v>
      </c>
      <c r="S517">
        <v>3.0122680000000002</v>
      </c>
      <c r="T517">
        <v>-0.14750559999999999</v>
      </c>
      <c r="U517">
        <v>-0.17208860000000001</v>
      </c>
      <c r="V517">
        <v>6.3387570000000004E-2</v>
      </c>
      <c r="W517">
        <v>7.7761579999999997E-2</v>
      </c>
      <c r="X517">
        <v>0.99495480000000003</v>
      </c>
      <c r="Y517">
        <v>3.9231460000000003E-2</v>
      </c>
      <c r="Z517" s="1">
        <v>-8.8974079999999998E-5</v>
      </c>
      <c r="AA517">
        <v>0.99923010000000001</v>
      </c>
      <c r="AB517">
        <v>30</v>
      </c>
      <c r="AC517">
        <v>22.373799999999999</v>
      </c>
      <c r="AD517">
        <v>-1.1100861657029999</v>
      </c>
      <c r="AE517">
        <v>-1.29000000000002</v>
      </c>
      <c r="AF517">
        <v>0.88937895243315901</v>
      </c>
      <c r="AG517">
        <v>-1.1100861657029999</v>
      </c>
      <c r="AH517">
        <v>22.338408398135002</v>
      </c>
      <c r="AI517">
        <v>92.842671062500997</v>
      </c>
      <c r="AJ517">
        <v>87.720036274526294</v>
      </c>
      <c r="AK517">
        <v>22.383649746593701</v>
      </c>
      <c r="AL517">
        <v>85.540086965424607</v>
      </c>
      <c r="AM517">
        <v>86.354670096559602</v>
      </c>
      <c r="AN517">
        <v>0.99999995069881897</v>
      </c>
    </row>
    <row r="518" spans="1:40" x14ac:dyDescent="0.25">
      <c r="A518" t="str">
        <f>"20190312151232507"</f>
        <v>20190312151232507</v>
      </c>
      <c r="B518" t="str">
        <f>"1552374752499953"</f>
        <v>1552374752499953</v>
      </c>
      <c r="C518" t="s">
        <v>40</v>
      </c>
      <c r="D518">
        <v>3.6708460000000001</v>
      </c>
      <c r="E518">
        <v>0.49019079999999898</v>
      </c>
      <c r="F518" t="s">
        <v>42</v>
      </c>
      <c r="G518">
        <v>-327.89440000000002</v>
      </c>
      <c r="H518" s="1">
        <v>-1.78229E-6</v>
      </c>
      <c r="I518">
        <v>365.55869999999999</v>
      </c>
      <c r="J518">
        <v>-348.8974</v>
      </c>
      <c r="K518">
        <v>1.1100920000000001</v>
      </c>
      <c r="L518">
        <v>366.77620000000002</v>
      </c>
      <c r="M518">
        <v>0.9997703</v>
      </c>
      <c r="N518">
        <v>0</v>
      </c>
      <c r="O518">
        <v>-1.7702780000000001E-2</v>
      </c>
      <c r="P518">
        <v>0.99469050000000003</v>
      </c>
      <c r="Q518">
        <v>6.565174E-2</v>
      </c>
      <c r="R518">
        <v>-7.9251070000000007E-2</v>
      </c>
      <c r="S518">
        <v>3.0127869999999999</v>
      </c>
      <c r="T518">
        <v>-0.1570182</v>
      </c>
      <c r="U518">
        <v>-0.17294309999999999</v>
      </c>
      <c r="V518">
        <v>6.1616230000000001E-2</v>
      </c>
      <c r="W518">
        <v>7.7688839999999995E-2</v>
      </c>
      <c r="X518">
        <v>0.99507179999999995</v>
      </c>
      <c r="Y518">
        <v>3.9595129999999999E-2</v>
      </c>
      <c r="Z518">
        <v>-1.090966E-4</v>
      </c>
      <c r="AA518">
        <v>0.99921579999999999</v>
      </c>
      <c r="AB518">
        <v>30</v>
      </c>
      <c r="AC518">
        <v>21.002999999999901</v>
      </c>
      <c r="AD518">
        <v>-1.1100937822900001</v>
      </c>
      <c r="AE518">
        <v>-1.21750000000002</v>
      </c>
      <c r="AF518">
        <v>0.84312313622163204</v>
      </c>
      <c r="AG518">
        <v>-1.1100937822900001</v>
      </c>
      <c r="AH518">
        <v>20.962898108336901</v>
      </c>
      <c r="AI518">
        <v>93.028832025477698</v>
      </c>
      <c r="AJ518">
        <v>87.696817755067201</v>
      </c>
      <c r="AK518">
        <v>21.009194699674399</v>
      </c>
      <c r="AL518">
        <v>85.544267533320905</v>
      </c>
      <c r="AM518">
        <v>86.456689669148204</v>
      </c>
      <c r="AN518">
        <v>1.00000000140759</v>
      </c>
    </row>
    <row r="519" spans="1:40" x14ac:dyDescent="0.25">
      <c r="A519" t="str">
        <f>"20190312151232530"</f>
        <v>20190312151232530</v>
      </c>
      <c r="B519" t="str">
        <f>"1552374752520466"</f>
        <v>1552374752520466</v>
      </c>
      <c r="C519" t="s">
        <v>40</v>
      </c>
      <c r="D519">
        <v>3.6751309999999999</v>
      </c>
      <c r="E519">
        <v>0.49067630000000001</v>
      </c>
      <c r="F519" t="s">
        <v>42</v>
      </c>
      <c r="G519">
        <v>-328.53089999999997</v>
      </c>
      <c r="H519" s="1">
        <v>-1.545611E-6</v>
      </c>
      <c r="I519">
        <v>365.63409999999999</v>
      </c>
      <c r="J519">
        <v>-348.5883</v>
      </c>
      <c r="K519">
        <v>1.110096</v>
      </c>
      <c r="L519">
        <v>366.77089999999998</v>
      </c>
      <c r="M519">
        <v>0.99977210000000005</v>
      </c>
      <c r="N519">
        <v>0</v>
      </c>
      <c r="O519">
        <v>-1.759983E-2</v>
      </c>
      <c r="P519">
        <v>0.99475849999999999</v>
      </c>
      <c r="Q519">
        <v>6.5807009999999999E-2</v>
      </c>
      <c r="R519">
        <v>-7.8263079999999999E-2</v>
      </c>
      <c r="S519">
        <v>3.0133670000000001</v>
      </c>
      <c r="T519">
        <v>-0.16424540000000001</v>
      </c>
      <c r="U519">
        <v>-0.16897579999999901</v>
      </c>
      <c r="V519">
        <v>6.0729659999999998E-2</v>
      </c>
      <c r="W519">
        <v>7.7852850000000001E-2</v>
      </c>
      <c r="X519">
        <v>0.99511349999999998</v>
      </c>
      <c r="Y519">
        <v>3.8374569999999997E-2</v>
      </c>
      <c r="Z519" s="1">
        <v>-8.6478539999999897E-5</v>
      </c>
      <c r="AA519">
        <v>0.99926340000000002</v>
      </c>
      <c r="AB519">
        <v>30</v>
      </c>
      <c r="AC519">
        <v>20.057400000000001</v>
      </c>
      <c r="AD519">
        <v>-1.110097545611</v>
      </c>
      <c r="AE519">
        <v>-1.13679999999999</v>
      </c>
      <c r="AF519">
        <v>0.781205980086769</v>
      </c>
      <c r="AG519">
        <v>-1.110097545611</v>
      </c>
      <c r="AH519">
        <v>20.013194035132901</v>
      </c>
      <c r="AI519">
        <v>93.172434180616605</v>
      </c>
      <c r="AJ519">
        <v>87.764620038806697</v>
      </c>
      <c r="AK519">
        <v>20.059175826338802</v>
      </c>
      <c r="AL519">
        <v>85.534841978412899</v>
      </c>
      <c r="AM519">
        <v>86.507691749755097</v>
      </c>
      <c r="AN519">
        <v>1.0000000178695401</v>
      </c>
    </row>
    <row r="520" spans="1:40" x14ac:dyDescent="0.25">
      <c r="A520" t="str">
        <f>"20190312151232562"</f>
        <v>20190312151232562</v>
      </c>
      <c r="B520" t="str">
        <f>"1552374752559489"</f>
        <v>1552374752559489</v>
      </c>
      <c r="C520" t="s">
        <v>40</v>
      </c>
      <c r="D520">
        <v>3.7121689999999998</v>
      </c>
      <c r="E520">
        <v>0.49143110000000001</v>
      </c>
      <c r="F520" t="s">
        <v>42</v>
      </c>
      <c r="G520">
        <v>-329.26409999999998</v>
      </c>
      <c r="H520" s="1">
        <v>-1.2833029999999999E-6</v>
      </c>
      <c r="I520">
        <v>365.68209999999999</v>
      </c>
      <c r="J520">
        <v>-348.15550000000002</v>
      </c>
      <c r="K520">
        <v>1.110106</v>
      </c>
      <c r="L520">
        <v>366.76350000000002</v>
      </c>
      <c r="M520">
        <v>0.99977459999999996</v>
      </c>
      <c r="N520">
        <v>0</v>
      </c>
      <c r="O520">
        <v>-1.745E-2</v>
      </c>
      <c r="P520">
        <v>0.99481949999999997</v>
      </c>
      <c r="Q520">
        <v>6.6882040000000004E-2</v>
      </c>
      <c r="R520">
        <v>-7.6560799999999998E-2</v>
      </c>
      <c r="S520">
        <v>3.0138850000000001</v>
      </c>
      <c r="T520">
        <v>-0.17313480000000001</v>
      </c>
      <c r="U520">
        <v>-0.169799799999999</v>
      </c>
      <c r="V520">
        <v>5.9174940000000002E-2</v>
      </c>
      <c r="W520">
        <v>7.8938599999999998E-2</v>
      </c>
      <c r="X520">
        <v>0.99512160000000005</v>
      </c>
      <c r="Y520">
        <v>3.878272E-2</v>
      </c>
      <c r="Z520">
        <v>-1.114304E-4</v>
      </c>
      <c r="AA520">
        <v>0.99924769999999896</v>
      </c>
      <c r="AB520">
        <v>30</v>
      </c>
      <c r="AC520">
        <v>18.891400000000001</v>
      </c>
      <c r="AD520">
        <v>-1.1101072833029999</v>
      </c>
      <c r="AE520">
        <v>-1.0814000000000299</v>
      </c>
      <c r="AF520">
        <v>0.74897847493088698</v>
      </c>
      <c r="AG520">
        <v>-1.1101072833029999</v>
      </c>
      <c r="AH520">
        <v>18.842543376801501</v>
      </c>
      <c r="AI520">
        <v>93.369025567955205</v>
      </c>
      <c r="AJ520">
        <v>87.723729490009802</v>
      </c>
      <c r="AK520">
        <v>18.890070085708999</v>
      </c>
      <c r="AL520">
        <v>85.472440895539194</v>
      </c>
      <c r="AM520">
        <v>86.596911943897396</v>
      </c>
      <c r="AN520">
        <v>0.99999998744026097</v>
      </c>
    </row>
    <row r="521" spans="1:40" x14ac:dyDescent="0.25">
      <c r="A521" t="str">
        <f>"20190312151232587"</f>
        <v>20190312151232587</v>
      </c>
      <c r="B521" t="str">
        <f>"1552374752579986"</f>
        <v>1552374752579986</v>
      </c>
      <c r="C521" t="s">
        <v>40</v>
      </c>
      <c r="D521">
        <v>3.9359009999999999</v>
      </c>
      <c r="E521">
        <v>0.49114469999999999</v>
      </c>
      <c r="F521" t="s">
        <v>42</v>
      </c>
      <c r="G521">
        <v>-329.21420000000001</v>
      </c>
      <c r="H521" s="1">
        <v>-1.2985379999999999E-6</v>
      </c>
      <c r="I521">
        <v>365.68880000000001</v>
      </c>
      <c r="J521">
        <v>-347.83620000000002</v>
      </c>
      <c r="K521">
        <v>1.110098</v>
      </c>
      <c r="L521">
        <v>366.75810000000001</v>
      </c>
      <c r="M521">
        <v>0.99977660000000002</v>
      </c>
      <c r="N521">
        <v>0</v>
      </c>
      <c r="O521">
        <v>-1.7330399999999999E-2</v>
      </c>
      <c r="P521">
        <v>0.99495049999999996</v>
      </c>
      <c r="Q521">
        <v>6.5777230000000006E-2</v>
      </c>
      <c r="R521">
        <v>-7.5807819999999998E-2</v>
      </c>
      <c r="S521">
        <v>3.014313</v>
      </c>
      <c r="T521">
        <v>-0.1766615</v>
      </c>
      <c r="U521">
        <v>-0.17102049999999999</v>
      </c>
      <c r="V521">
        <v>5.8538279999999998E-2</v>
      </c>
      <c r="W521">
        <v>7.7841919999999995E-2</v>
      </c>
      <c r="X521">
        <v>0.99524559999999995</v>
      </c>
      <c r="Y521">
        <v>3.9295139999999999E-2</v>
      </c>
      <c r="Z521">
        <v>-1.356668E-4</v>
      </c>
      <c r="AA521">
        <v>0.99922759999999999</v>
      </c>
      <c r="AB521">
        <v>30</v>
      </c>
      <c r="AC521">
        <v>18.622</v>
      </c>
      <c r="AD521">
        <v>-1.110099298538</v>
      </c>
      <c r="AE521">
        <v>-1.0692999999999899</v>
      </c>
      <c r="AF521">
        <v>0.74375471416152295</v>
      </c>
      <c r="AG521">
        <v>-1.110099298538</v>
      </c>
      <c r="AH521">
        <v>18.571954861149301</v>
      </c>
      <c r="AI521">
        <v>93.417930860797895</v>
      </c>
      <c r="AJ521">
        <v>87.706690157521095</v>
      </c>
      <c r="AK521">
        <v>18.619962376224599</v>
      </c>
      <c r="AL521">
        <v>85.535469821787302</v>
      </c>
      <c r="AM521">
        <v>86.633859399206102</v>
      </c>
      <c r="AN521">
        <v>0.999999949527001</v>
      </c>
    </row>
    <row r="522" spans="1:40" x14ac:dyDescent="0.25">
      <c r="A522" t="str">
        <f>"20190312151232609"</f>
        <v>20190312151232609</v>
      </c>
      <c r="B522" t="str">
        <f>"1552374752599505"</f>
        <v>1552374752599505</v>
      </c>
      <c r="C522" t="s">
        <v>40</v>
      </c>
      <c r="D522">
        <v>3.7028690000000002</v>
      </c>
      <c r="E522">
        <v>0.49143530000000002</v>
      </c>
      <c r="F522" t="s">
        <v>41</v>
      </c>
      <c r="G522">
        <v>-346.85039999999998</v>
      </c>
      <c r="H522">
        <v>1.0490170000000001</v>
      </c>
      <c r="I522">
        <v>366.70350000000002</v>
      </c>
      <c r="J522">
        <v>-347.53859999999997</v>
      </c>
      <c r="K522">
        <v>1.1100939999999999</v>
      </c>
      <c r="L522">
        <v>366.75310000000002</v>
      </c>
      <c r="M522">
        <v>0.99977859999999996</v>
      </c>
      <c r="N522">
        <v>0</v>
      </c>
      <c r="O522">
        <v>-1.7207900000000002E-2</v>
      </c>
      <c r="P522">
        <v>0.99508300000000005</v>
      </c>
      <c r="Q522">
        <v>6.4458669999999996E-2</v>
      </c>
      <c r="R522">
        <v>-7.519779E-2</v>
      </c>
      <c r="S522">
        <v>3.0148619999999999</v>
      </c>
      <c r="T522">
        <v>-0.1868311</v>
      </c>
      <c r="U522">
        <v>-0.1669312</v>
      </c>
      <c r="V522">
        <v>5.8047059999999998E-2</v>
      </c>
      <c r="W522">
        <v>7.6531210000000002E-2</v>
      </c>
      <c r="X522">
        <v>0.99537609999999999</v>
      </c>
      <c r="Y522">
        <v>3.805385E-2</v>
      </c>
      <c r="Z522">
        <v>-1.1261889999999999E-4</v>
      </c>
      <c r="AA522">
        <v>0.99927569999999999</v>
      </c>
      <c r="AB522">
        <v>30</v>
      </c>
      <c r="AC522">
        <v>0.68819999999999404</v>
      </c>
      <c r="AD522">
        <v>-6.1076999999999999E-2</v>
      </c>
      <c r="AE522">
        <v>-4.9599999999998E-2</v>
      </c>
      <c r="AF522">
        <v>3.7455818303131098E-2</v>
      </c>
      <c r="AG522">
        <v>-6.1076999999999999E-2</v>
      </c>
      <c r="AH522">
        <v>0.68359523482599505</v>
      </c>
      <c r="AI522">
        <v>95.098027078351507</v>
      </c>
      <c r="AJ522">
        <v>86.863763204436495</v>
      </c>
      <c r="AK522">
        <v>0.68733964190243302</v>
      </c>
      <c r="AL522">
        <v>85.610793066392006</v>
      </c>
      <c r="AM522">
        <v>86.662478637571098</v>
      </c>
      <c r="AN522">
        <v>1.00000003386495</v>
      </c>
    </row>
    <row r="523" spans="1:40" x14ac:dyDescent="0.25">
      <c r="A523" t="str">
        <f>"20190312151232629"</f>
        <v>20190312151232629</v>
      </c>
      <c r="B523" t="str">
        <f>"1552374752620001"</f>
        <v>1552374752620001</v>
      </c>
      <c r="C523" t="s">
        <v>40</v>
      </c>
      <c r="D523">
        <v>3.7135769999999999</v>
      </c>
      <c r="E523">
        <v>0.49170570000000002</v>
      </c>
      <c r="F523" t="s">
        <v>41</v>
      </c>
      <c r="G523">
        <v>-346.584</v>
      </c>
      <c r="H523">
        <v>1.0492709999999901</v>
      </c>
      <c r="I523">
        <v>366.69990000000001</v>
      </c>
      <c r="J523">
        <v>-347.26710000000003</v>
      </c>
      <c r="K523">
        <v>1.1100989999999999</v>
      </c>
      <c r="L523">
        <v>366.74849999999998</v>
      </c>
      <c r="M523">
        <v>0.99978060000000002</v>
      </c>
      <c r="N523">
        <v>0</v>
      </c>
      <c r="O523">
        <v>-1.7088019999999999E-2</v>
      </c>
      <c r="P523">
        <v>0.99513110000000005</v>
      </c>
      <c r="Q523">
        <v>6.4022850000000006E-2</v>
      </c>
      <c r="R523">
        <v>-7.4932369999999998E-2</v>
      </c>
      <c r="S523">
        <v>3.0145870000000001</v>
      </c>
      <c r="T523">
        <v>-0.19209960000000001</v>
      </c>
      <c r="U523">
        <v>-0.16760249999999999</v>
      </c>
      <c r="V523">
        <v>5.789917E-2</v>
      </c>
      <c r="W523">
        <v>7.6100920000000002E-2</v>
      </c>
      <c r="X523">
        <v>0.99541769999999996</v>
      </c>
      <c r="Y523">
        <v>3.8397340000000002E-2</v>
      </c>
      <c r="Z523">
        <v>-1.343467E-4</v>
      </c>
      <c r="AA523">
        <v>0.99926250000000005</v>
      </c>
      <c r="AB523">
        <v>30</v>
      </c>
      <c r="AC523">
        <v>0.68310000000002402</v>
      </c>
      <c r="AD523">
        <v>-6.0828000000000097E-2</v>
      </c>
      <c r="AE523">
        <v>-4.8599999999964803E-2</v>
      </c>
      <c r="AF523">
        <v>3.6630228074826097E-2</v>
      </c>
      <c r="AG523">
        <v>-6.0828000000000097E-2</v>
      </c>
      <c r="AH523">
        <v>0.67847797811575905</v>
      </c>
      <c r="AI523">
        <v>95.115666215192405</v>
      </c>
      <c r="AJ523">
        <v>86.909668478872305</v>
      </c>
      <c r="AK523">
        <v>0.682183396148618</v>
      </c>
      <c r="AL523">
        <v>85.635518961586399</v>
      </c>
      <c r="AM523">
        <v>86.671101506024698</v>
      </c>
      <c r="AN523">
        <v>1.0000000306924099</v>
      </c>
    </row>
    <row r="524" spans="1:40" x14ac:dyDescent="0.25">
      <c r="A524" t="str">
        <f>"20190312151232652"</f>
        <v>20190312151232652</v>
      </c>
      <c r="B524" t="str">
        <f>"1552374752639521"</f>
        <v>1552374752639521</v>
      </c>
      <c r="C524" t="s">
        <v>40</v>
      </c>
      <c r="D524">
        <v>3.7125859999999999</v>
      </c>
      <c r="E524">
        <v>0.49198170000000002</v>
      </c>
      <c r="F524" t="s">
        <v>41</v>
      </c>
      <c r="G524">
        <v>-346.31880000000001</v>
      </c>
      <c r="H524">
        <v>1.0483290000000001</v>
      </c>
      <c r="I524">
        <v>366.6952</v>
      </c>
      <c r="J524">
        <v>-346.9658</v>
      </c>
      <c r="K524">
        <v>1.1101080000000001</v>
      </c>
      <c r="L524">
        <v>366.74349999999998</v>
      </c>
      <c r="M524">
        <v>0.99978310000000004</v>
      </c>
      <c r="N524">
        <v>0</v>
      </c>
      <c r="O524">
        <v>-1.694536E-2</v>
      </c>
      <c r="P524">
        <v>0.99518740000000006</v>
      </c>
      <c r="Q524">
        <v>6.3749749999999994E-2</v>
      </c>
      <c r="R524">
        <v>-7.4418219999999993E-2</v>
      </c>
      <c r="S524">
        <v>3.0145569999999999</v>
      </c>
      <c r="T524">
        <v>-0.1964042</v>
      </c>
      <c r="U524">
        <v>-0.1693115</v>
      </c>
      <c r="V524">
        <v>5.752467E-2</v>
      </c>
      <c r="W524">
        <v>7.5833230000000001E-2</v>
      </c>
      <c r="X524">
        <v>0.99545980000000001</v>
      </c>
      <c r="Y524">
        <v>3.9101469999999999E-2</v>
      </c>
      <c r="Z524">
        <v>-1.6952189999999999E-4</v>
      </c>
      <c r="AA524">
        <v>0.99923519999999999</v>
      </c>
      <c r="AB524">
        <v>30</v>
      </c>
      <c r="AC524">
        <v>0.64699999999999103</v>
      </c>
      <c r="AD524">
        <v>-6.1779000000000001E-2</v>
      </c>
      <c r="AE524">
        <v>-4.8299999999983301E-2</v>
      </c>
      <c r="AF524">
        <v>3.6993198015498698E-2</v>
      </c>
      <c r="AG524">
        <v>-6.1779000000000001E-2</v>
      </c>
      <c r="AH524">
        <v>0.64190550569126503</v>
      </c>
      <c r="AI524">
        <v>95.488342894483495</v>
      </c>
      <c r="AJ524">
        <v>86.701676118652202</v>
      </c>
      <c r="AK524">
        <v>0.64593174544774701</v>
      </c>
      <c r="AL524">
        <v>85.650900739555198</v>
      </c>
      <c r="AM524">
        <v>86.6927249024247</v>
      </c>
      <c r="AN524">
        <v>0.99999998992343997</v>
      </c>
    </row>
    <row r="525" spans="1:40" x14ac:dyDescent="0.25">
      <c r="A525" t="str">
        <f>"20190312151232673"</f>
        <v>20190312151232673</v>
      </c>
      <c r="B525" t="str">
        <f>"1552374752669778"</f>
        <v>1552374752669778</v>
      </c>
      <c r="C525" t="s">
        <v>40</v>
      </c>
      <c r="D525">
        <v>3.6933630000000002</v>
      </c>
      <c r="E525">
        <v>0.49243569999999998</v>
      </c>
      <c r="F525" t="s">
        <v>41</v>
      </c>
      <c r="G525">
        <v>-346.05149999999998</v>
      </c>
      <c r="H525">
        <v>1.049687</v>
      </c>
      <c r="I525">
        <v>366.69170000000003</v>
      </c>
      <c r="J525">
        <v>-346.67660000000001</v>
      </c>
      <c r="K525">
        <v>1.1101110000000001</v>
      </c>
      <c r="L525">
        <v>366.73880000000003</v>
      </c>
      <c r="M525">
        <v>0.99978540000000005</v>
      </c>
      <c r="N525">
        <v>0</v>
      </c>
      <c r="O525">
        <v>-1.6799970000000001E-2</v>
      </c>
      <c r="P525">
        <v>0.99527650000000001</v>
      </c>
      <c r="Q525">
        <v>6.3298610000000005E-2</v>
      </c>
      <c r="R525">
        <v>-7.3606710000000006E-2</v>
      </c>
      <c r="S525">
        <v>3.0145569999999999</v>
      </c>
      <c r="T525">
        <v>-0.19941529999999999</v>
      </c>
      <c r="U525">
        <v>-0.17016600000000001</v>
      </c>
      <c r="V525">
        <v>5.6855500000000003E-2</v>
      </c>
      <c r="W525">
        <v>7.5386770000000006E-2</v>
      </c>
      <c r="X525">
        <v>0.99553219999999998</v>
      </c>
      <c r="Y525">
        <v>3.9526440000000003E-2</v>
      </c>
      <c r="Z525">
        <v>-1.9574109999999999E-4</v>
      </c>
      <c r="AA525">
        <v>0.99921850000000001</v>
      </c>
      <c r="AB525">
        <v>30</v>
      </c>
      <c r="AC525">
        <v>0.62510000000003096</v>
      </c>
      <c r="AD525">
        <v>-6.0423999999999999E-2</v>
      </c>
      <c r="AE525">
        <v>-4.7100000000000301E-2</v>
      </c>
      <c r="AF525">
        <v>3.6254083285961101E-2</v>
      </c>
      <c r="AG525">
        <v>-6.0423999999999999E-2</v>
      </c>
      <c r="AH525">
        <v>0.62004230615177203</v>
      </c>
      <c r="AI525">
        <v>95.556548892151298</v>
      </c>
      <c r="AJ525">
        <v>86.653706343389402</v>
      </c>
      <c r="AK525">
        <v>0.62403355658883697</v>
      </c>
      <c r="AL525">
        <v>85.6765546527146</v>
      </c>
      <c r="AM525">
        <v>86.731350893462405</v>
      </c>
      <c r="AN525">
        <v>1.00000003710406</v>
      </c>
    </row>
    <row r="526" spans="1:40" x14ac:dyDescent="0.25">
      <c r="A526" t="str">
        <f>"20190312151232698"</f>
        <v>20190312151232698</v>
      </c>
      <c r="B526" t="str">
        <f>"1552374752690273"</f>
        <v>1552374752690273</v>
      </c>
      <c r="C526" t="s">
        <v>40</v>
      </c>
      <c r="D526">
        <v>3.6717430000000002</v>
      </c>
      <c r="E526">
        <v>0.4927705</v>
      </c>
      <c r="F526" t="s">
        <v>41</v>
      </c>
      <c r="G526">
        <v>-345.78500000000003</v>
      </c>
      <c r="H526">
        <v>1.0501119999999999</v>
      </c>
      <c r="I526">
        <v>366.68810000000002</v>
      </c>
      <c r="J526">
        <v>-346.35899999999998</v>
      </c>
      <c r="K526">
        <v>1.11012</v>
      </c>
      <c r="L526">
        <v>366.73360000000002</v>
      </c>
      <c r="M526">
        <v>0.99978829999999996</v>
      </c>
      <c r="N526">
        <v>0</v>
      </c>
      <c r="O526">
        <v>-1.663218E-2</v>
      </c>
      <c r="P526">
        <v>0.99532880000000001</v>
      </c>
      <c r="Q526">
        <v>6.3373390000000002E-2</v>
      </c>
      <c r="R526">
        <v>-7.2834769999999993E-2</v>
      </c>
      <c r="S526">
        <v>3.0144350000000002</v>
      </c>
      <c r="T526">
        <v>-0.2029079</v>
      </c>
      <c r="U526">
        <v>-0.1716309</v>
      </c>
      <c r="V526">
        <v>5.6248810000000003E-2</v>
      </c>
      <c r="W526">
        <v>7.5466160000000004E-2</v>
      </c>
      <c r="X526">
        <v>0.99556060000000002</v>
      </c>
      <c r="Y526">
        <v>4.017681E-2</v>
      </c>
      <c r="Z526">
        <v>-2.3228410000000001E-4</v>
      </c>
      <c r="AA526">
        <v>0.99919250000000004</v>
      </c>
      <c r="AB526">
        <v>30</v>
      </c>
      <c r="AC526">
        <v>0.57400000000001195</v>
      </c>
      <c r="AD526">
        <v>-6.0007999999999798E-2</v>
      </c>
      <c r="AE526">
        <v>-4.5500000000004003E-2</v>
      </c>
      <c r="AF526">
        <v>3.5559913431842297E-2</v>
      </c>
      <c r="AG526">
        <v>-6.0007999999999798E-2</v>
      </c>
      <c r="AH526">
        <v>0.56850283845583405</v>
      </c>
      <c r="AI526">
        <v>96.013845155520102</v>
      </c>
      <c r="AJ526">
        <v>86.420805879510596</v>
      </c>
      <c r="AK526">
        <v>0.572766047212665</v>
      </c>
      <c r="AL526">
        <v>85.671992738169905</v>
      </c>
      <c r="AM526">
        <v>86.766247413897702</v>
      </c>
      <c r="AN526">
        <v>0.99999998910195997</v>
      </c>
    </row>
    <row r="527" spans="1:40" x14ac:dyDescent="0.25">
      <c r="A527" t="str">
        <f>"20190312151232719"</f>
        <v>20190312151232719</v>
      </c>
      <c r="B527" t="str">
        <f>"1552374752709797"</f>
        <v>1552374752709797</v>
      </c>
      <c r="C527" t="s">
        <v>40</v>
      </c>
      <c r="D527">
        <v>3.6847479999999999</v>
      </c>
      <c r="E527">
        <v>0.49265940000000003</v>
      </c>
      <c r="F527" t="s">
        <v>42</v>
      </c>
      <c r="G527">
        <v>-329.64120000000003</v>
      </c>
      <c r="H527" s="1">
        <v>-1.128902E-6</v>
      </c>
      <c r="I527">
        <v>365.7801</v>
      </c>
      <c r="J527">
        <v>-346.06799999999998</v>
      </c>
      <c r="K527">
        <v>1.110131</v>
      </c>
      <c r="L527">
        <v>366.72899999999998</v>
      </c>
      <c r="M527">
        <v>0.99979079999999998</v>
      </c>
      <c r="N527">
        <v>0</v>
      </c>
      <c r="O527">
        <v>-1.647301E-2</v>
      </c>
      <c r="P527">
        <v>0.99537220000000004</v>
      </c>
      <c r="Q527">
        <v>6.3830120000000004E-2</v>
      </c>
      <c r="R527">
        <v>-7.1834490000000001E-2</v>
      </c>
      <c r="S527">
        <v>3.0142519999999999</v>
      </c>
      <c r="T527">
        <v>-0.20015559999999999</v>
      </c>
      <c r="U527">
        <v>-0.17190549999999999</v>
      </c>
      <c r="V527">
        <v>5.5405870000000003E-2</v>
      </c>
      <c r="W527">
        <v>7.5925480000000004E-2</v>
      </c>
      <c r="X527">
        <v>0.99557300000000004</v>
      </c>
      <c r="Y527">
        <v>4.0430599999999997E-2</v>
      </c>
      <c r="Z527">
        <v>-2.481106E-4</v>
      </c>
      <c r="AA527">
        <v>0.99918229999999997</v>
      </c>
      <c r="AB527">
        <v>30</v>
      </c>
      <c r="AC527">
        <v>16.4268</v>
      </c>
      <c r="AD527">
        <v>-1.1101321289020001</v>
      </c>
      <c r="AE527">
        <v>-0.94890000000003705</v>
      </c>
      <c r="AF527">
        <v>0.67507957165093702</v>
      </c>
      <c r="AG527">
        <v>-1.1101321289020001</v>
      </c>
      <c r="AH527">
        <v>16.365707382126601</v>
      </c>
      <c r="AI527">
        <v>93.8773026287476</v>
      </c>
      <c r="AJ527">
        <v>87.637908721306303</v>
      </c>
      <c r="AK527">
        <v>16.4172014633759</v>
      </c>
      <c r="AL527">
        <v>85.645600155951698</v>
      </c>
      <c r="AM527">
        <v>86.814647202560593</v>
      </c>
      <c r="AN527">
        <v>1.0000000436363401</v>
      </c>
    </row>
    <row r="528" spans="1:40" x14ac:dyDescent="0.25">
      <c r="A528" t="str">
        <f>"20190312151232742"</f>
        <v>20190312151232742</v>
      </c>
      <c r="B528" t="str">
        <f>"1552374752730293"</f>
        <v>1552374752730293</v>
      </c>
      <c r="C528" t="s">
        <v>40</v>
      </c>
      <c r="D528">
        <v>3.712135</v>
      </c>
      <c r="E528">
        <v>0.47467720000000002</v>
      </c>
      <c r="F528" t="s">
        <v>42</v>
      </c>
      <c r="G528">
        <v>-329.07170000000002</v>
      </c>
      <c r="H528" s="1">
        <v>-1.3219640000000001E-6</v>
      </c>
      <c r="I528">
        <v>365.78289999999998</v>
      </c>
      <c r="J528">
        <v>-345.76979999999998</v>
      </c>
      <c r="K528">
        <v>1.110144</v>
      </c>
      <c r="L528">
        <v>366.72430000000003</v>
      </c>
      <c r="M528">
        <v>0.99979359999999995</v>
      </c>
      <c r="N528">
        <v>0</v>
      </c>
      <c r="O528">
        <v>-1.6307769999999999E-2</v>
      </c>
      <c r="P528">
        <v>0.99536020000000003</v>
      </c>
      <c r="Q528">
        <v>6.4600179999999993E-2</v>
      </c>
      <c r="R528">
        <v>-7.1309499999999998E-2</v>
      </c>
      <c r="S528">
        <v>3.014465</v>
      </c>
      <c r="T528">
        <v>-0.1968926</v>
      </c>
      <c r="U528">
        <v>-0.16778560000000001</v>
      </c>
      <c r="V528">
        <v>5.5045230000000001E-2</v>
      </c>
      <c r="W528">
        <v>7.6697589999999996E-2</v>
      </c>
      <c r="X528">
        <v>0.99553380000000002</v>
      </c>
      <c r="Y528">
        <v>3.92343E-2</v>
      </c>
      <c r="Z528">
        <v>-2.1583670000000001E-4</v>
      </c>
      <c r="AA528">
        <v>0.99922999999999995</v>
      </c>
      <c r="AB528">
        <v>30</v>
      </c>
      <c r="AC528">
        <v>16.698099999999901</v>
      </c>
      <c r="AD528">
        <v>-1.1101453219640001</v>
      </c>
      <c r="AE528">
        <v>-0.94140000000004398</v>
      </c>
      <c r="AF528">
        <v>0.66601156162154596</v>
      </c>
      <c r="AG528">
        <v>-1.1101453219640001</v>
      </c>
      <c r="AH528">
        <v>16.637925230982301</v>
      </c>
      <c r="AI528">
        <v>93.814287183266501</v>
      </c>
      <c r="AJ528">
        <v>87.707689597162201</v>
      </c>
      <c r="AK528">
        <v>16.688215903081201</v>
      </c>
      <c r="AL528">
        <v>85.601232042301305</v>
      </c>
      <c r="AM528">
        <v>86.835214208560004</v>
      </c>
      <c r="AN528">
        <v>1.0000000223000001</v>
      </c>
    </row>
    <row r="529" spans="1:40" x14ac:dyDescent="0.25">
      <c r="A529" t="str">
        <f>"20190312151232764"</f>
        <v>20190312151232764</v>
      </c>
      <c r="B529" t="str">
        <f>"1552374752759570"</f>
        <v>1552374752759570</v>
      </c>
      <c r="C529" t="s">
        <v>40</v>
      </c>
      <c r="D529">
        <v>3.7197930000000001</v>
      </c>
      <c r="E529">
        <v>0.47397909999999999</v>
      </c>
      <c r="F529" t="s">
        <v>43</v>
      </c>
      <c r="G529">
        <v>-312.70679999999999</v>
      </c>
      <c r="H529">
        <v>-0.05</v>
      </c>
      <c r="I529">
        <v>366.49770000000001</v>
      </c>
      <c r="J529">
        <v>-345.47620000000001</v>
      </c>
      <c r="K529">
        <v>1.1101479999999999</v>
      </c>
      <c r="L529">
        <v>366.71969999999999</v>
      </c>
      <c r="M529">
        <v>0.99979620000000002</v>
      </c>
      <c r="N529">
        <v>0</v>
      </c>
      <c r="O529">
        <v>-1.6144450000000001E-2</v>
      </c>
      <c r="P529">
        <v>0.99526800000000004</v>
      </c>
      <c r="Q529">
        <v>6.6202300000000006E-2</v>
      </c>
      <c r="R529">
        <v>-7.1128689999999994E-2</v>
      </c>
      <c r="S529">
        <v>3.0193789999999998</v>
      </c>
      <c r="T529">
        <v>-0.1059469</v>
      </c>
      <c r="U529">
        <v>-2.0690920000000002E-2</v>
      </c>
      <c r="V529">
        <v>5.5027890000000003E-2</v>
      </c>
      <c r="W529">
        <v>7.8300179999999997E-2</v>
      </c>
      <c r="X529">
        <v>0.99541000000000002</v>
      </c>
      <c r="Y529">
        <v>-9.2779630000000002E-3</v>
      </c>
      <c r="Z529">
        <v>7.2905189999999996E-4</v>
      </c>
      <c r="AA529">
        <v>0.99995670000000003</v>
      </c>
      <c r="AB529">
        <v>30</v>
      </c>
      <c r="AC529">
        <v>32.769399999999997</v>
      </c>
      <c r="AD529">
        <v>-1.160148</v>
      </c>
      <c r="AE529">
        <v>-0.22199999999997999</v>
      </c>
      <c r="AF529">
        <v>-0.30672730947657501</v>
      </c>
      <c r="AG529">
        <v>-1.160148</v>
      </c>
      <c r="AH529">
        <v>32.727693843216301</v>
      </c>
      <c r="AI529">
        <v>92.030110865325696</v>
      </c>
      <c r="AJ529">
        <v>90.536966211408895</v>
      </c>
      <c r="AK529">
        <v>32.749686552997403</v>
      </c>
      <c r="AL529">
        <v>85.509133422014102</v>
      </c>
      <c r="AM529">
        <v>86.835816449847798</v>
      </c>
      <c r="AN529">
        <v>1.0000000274829399</v>
      </c>
    </row>
    <row r="530" spans="1:40" x14ac:dyDescent="0.25">
      <c r="A530" t="str">
        <f>"20190312151232787"</f>
        <v>20190312151232787</v>
      </c>
      <c r="B530" t="str">
        <f>"1552374752780065"</f>
        <v>1552374752780065</v>
      </c>
      <c r="C530" t="s">
        <v>40</v>
      </c>
      <c r="D530">
        <v>3.6688350000000001</v>
      </c>
      <c r="E530">
        <v>0.47445419999999999</v>
      </c>
      <c r="F530" t="s">
        <v>43</v>
      </c>
      <c r="G530">
        <v>-313.44630000000001</v>
      </c>
      <c r="H530">
        <v>-0.05</v>
      </c>
      <c r="I530">
        <v>366.56299999999999</v>
      </c>
      <c r="J530">
        <v>-345.16570000000002</v>
      </c>
      <c r="K530">
        <v>1.1101490000000001</v>
      </c>
      <c r="L530">
        <v>366.71480000000003</v>
      </c>
      <c r="M530">
        <v>0.99979890000000005</v>
      </c>
      <c r="N530">
        <v>0</v>
      </c>
      <c r="O530">
        <v>-1.5971490000000001E-2</v>
      </c>
      <c r="P530">
        <v>0.99527940000000004</v>
      </c>
      <c r="Q530">
        <v>6.6255969999999997E-2</v>
      </c>
      <c r="R530">
        <v>-7.0917859999999999E-2</v>
      </c>
      <c r="S530">
        <v>3.0204770000000001</v>
      </c>
      <c r="T530">
        <v>-0.1094041</v>
      </c>
      <c r="U530">
        <v>-1.4770510000000001E-2</v>
      </c>
      <c r="V530">
        <v>5.498923E-2</v>
      </c>
      <c r="W530">
        <v>7.8355800000000003E-2</v>
      </c>
      <c r="X530">
        <v>0.99540779999999995</v>
      </c>
      <c r="Y530">
        <v>-1.10652999999999E-2</v>
      </c>
      <c r="Z530">
        <v>7.7865559999999896E-4</v>
      </c>
      <c r="AA530">
        <v>0.99993849999999995</v>
      </c>
      <c r="AB530">
        <v>30</v>
      </c>
      <c r="AC530">
        <v>31.7194</v>
      </c>
      <c r="AD530">
        <v>-1.1601489999999901</v>
      </c>
      <c r="AE530">
        <v>-0.15179999999998001</v>
      </c>
      <c r="AF530">
        <v>-0.35438862743881999</v>
      </c>
      <c r="AG530">
        <v>-1.1601489999999901</v>
      </c>
      <c r="AH530">
        <v>31.675405108758099</v>
      </c>
      <c r="AI530">
        <v>92.097456600225101</v>
      </c>
      <c r="AJ530">
        <v>90.641006024494104</v>
      </c>
      <c r="AK530">
        <v>31.698624982882102</v>
      </c>
      <c r="AL530">
        <v>85.505936990169701</v>
      </c>
      <c r="AM530">
        <v>86.838027969347394</v>
      </c>
      <c r="AN530">
        <v>1.0000000675552301</v>
      </c>
    </row>
    <row r="531" spans="1:40" x14ac:dyDescent="0.25">
      <c r="A531" t="str">
        <f>"20190312151232810"</f>
        <v>20190312151232810</v>
      </c>
      <c r="B531" t="str">
        <f>"1552374752799585"</f>
        <v>1552374752799585</v>
      </c>
      <c r="C531" t="s">
        <v>40</v>
      </c>
      <c r="D531">
        <v>3.67719</v>
      </c>
      <c r="E531">
        <v>0.4750799</v>
      </c>
      <c r="F531" t="s">
        <v>43</v>
      </c>
      <c r="G531">
        <v>-313.69049999999999</v>
      </c>
      <c r="H531">
        <v>-0.05</v>
      </c>
      <c r="I531">
        <v>366.52870000000001</v>
      </c>
      <c r="J531">
        <v>-344.86470000000003</v>
      </c>
      <c r="K531">
        <v>1.1101490000000001</v>
      </c>
      <c r="L531">
        <v>366.71019999999999</v>
      </c>
      <c r="M531">
        <v>0.99980150000000001</v>
      </c>
      <c r="N531">
        <v>0</v>
      </c>
      <c r="O531">
        <v>-1.580461E-2</v>
      </c>
      <c r="P531">
        <v>0.99524469999999998</v>
      </c>
      <c r="Q531">
        <v>6.6627889999999995E-2</v>
      </c>
      <c r="R531">
        <v>-7.1055119999999999E-2</v>
      </c>
      <c r="S531">
        <v>3.0203250000000001</v>
      </c>
      <c r="T531">
        <v>-0.1113266</v>
      </c>
      <c r="U531">
        <v>-1.7852779999999999E-2</v>
      </c>
      <c r="V531">
        <v>5.5293269999999999E-2</v>
      </c>
      <c r="W531">
        <v>7.8728969999999995E-2</v>
      </c>
      <c r="X531">
        <v>0.99536139999999995</v>
      </c>
      <c r="Y531">
        <v>-9.8780169999999994E-3</v>
      </c>
      <c r="Z531">
        <v>7.6434349999999996E-4</v>
      </c>
      <c r="AA531">
        <v>0.99995089999999998</v>
      </c>
      <c r="AB531">
        <v>30</v>
      </c>
      <c r="AC531">
        <v>31.174199999999999</v>
      </c>
      <c r="AD531">
        <v>-1.1601489999999901</v>
      </c>
      <c r="AE531">
        <v>-0.18149999999997099</v>
      </c>
      <c r="AF531">
        <v>-0.310824541473817</v>
      </c>
      <c r="AG531">
        <v>-1.1601489999999901</v>
      </c>
      <c r="AH531">
        <v>31.130062099697199</v>
      </c>
      <c r="AI531">
        <v>92.134193764831295</v>
      </c>
      <c r="AJ531">
        <v>90.572062547035003</v>
      </c>
      <c r="AK531">
        <v>31.153223331282899</v>
      </c>
      <c r="AL531">
        <v>85.484489167427995</v>
      </c>
      <c r="AM531">
        <v>86.820433025399097</v>
      </c>
      <c r="AN531">
        <v>0.99999995651725504</v>
      </c>
    </row>
    <row r="532" spans="1:40" x14ac:dyDescent="0.25">
      <c r="A532" t="str">
        <f>"20190312151232830"</f>
        <v>20190312151232830</v>
      </c>
      <c r="B532" t="str">
        <f>"1552374752820081"</f>
        <v>1552374752820081</v>
      </c>
      <c r="C532" t="s">
        <v>40</v>
      </c>
      <c r="D532">
        <v>3.7111190000000001</v>
      </c>
      <c r="E532">
        <v>0.47523409999999999</v>
      </c>
      <c r="F532" t="s">
        <v>43</v>
      </c>
      <c r="G532">
        <v>-311.56049999999999</v>
      </c>
      <c r="H532">
        <v>-0.05</v>
      </c>
      <c r="I532">
        <v>366.45499999999998</v>
      </c>
      <c r="J532">
        <v>-344.58550000000002</v>
      </c>
      <c r="K532">
        <v>1.110141</v>
      </c>
      <c r="L532">
        <v>366.70600000000002</v>
      </c>
      <c r="M532">
        <v>0.99980389999999997</v>
      </c>
      <c r="N532">
        <v>0</v>
      </c>
      <c r="O532">
        <v>-1.5650250000000001E-2</v>
      </c>
      <c r="P532">
        <v>0.99520889999999995</v>
      </c>
      <c r="Q532">
        <v>6.6554929999999998E-2</v>
      </c>
      <c r="R532">
        <v>-7.162222E-2</v>
      </c>
      <c r="S532">
        <v>3.0197449999999999</v>
      </c>
      <c r="T532">
        <v>-0.10519240000000001</v>
      </c>
      <c r="U532">
        <v>-2.3132320000000001E-2</v>
      </c>
      <c r="V532">
        <v>5.6014620000000001E-2</v>
      </c>
      <c r="W532">
        <v>7.8656719999999999E-2</v>
      </c>
      <c r="X532">
        <v>0.99532679999999996</v>
      </c>
      <c r="Y532">
        <v>-7.9774169999999901E-3</v>
      </c>
      <c r="Z532">
        <v>6.8391839999999997E-4</v>
      </c>
      <c r="AA532">
        <v>0.99996790000000002</v>
      </c>
      <c r="AB532">
        <v>30</v>
      </c>
      <c r="AC532">
        <v>33.024999999999999</v>
      </c>
      <c r="AD532">
        <v>-1.1601410000000001</v>
      </c>
      <c r="AE532">
        <v>-0.25099999999997602</v>
      </c>
      <c r="AF532">
        <v>-0.26559056832849598</v>
      </c>
      <c r="AG532">
        <v>-1.1601410000000001</v>
      </c>
      <c r="AH532">
        <v>32.9841811745776</v>
      </c>
      <c r="AI532">
        <v>92.014348635669407</v>
      </c>
      <c r="AJ532">
        <v>90.461339018943406</v>
      </c>
      <c r="AK532">
        <v>33.005646081348303</v>
      </c>
      <c r="AL532">
        <v>85.488641762186901</v>
      </c>
      <c r="AM532">
        <v>86.778927784133003</v>
      </c>
      <c r="AN532">
        <v>0.99999997802657103</v>
      </c>
    </row>
    <row r="533" spans="1:40" x14ac:dyDescent="0.25">
      <c r="A533" t="str">
        <f>"20190312151232854"</f>
        <v>20190312151232854</v>
      </c>
      <c r="B533" t="str">
        <f>"1552374752850338"</f>
        <v>1552374752850338</v>
      </c>
      <c r="C533" t="s">
        <v>40</v>
      </c>
      <c r="D533">
        <v>3.6785960000000002</v>
      </c>
      <c r="E533">
        <v>0.47601599999999999</v>
      </c>
      <c r="F533" t="s">
        <v>43</v>
      </c>
      <c r="G533">
        <v>-312.76339999999999</v>
      </c>
      <c r="H533">
        <v>-0.05</v>
      </c>
      <c r="I533">
        <v>366.43259999999998</v>
      </c>
      <c r="J533">
        <v>-344.27940000000001</v>
      </c>
      <c r="K533">
        <v>1.1101430000000001</v>
      </c>
      <c r="L533">
        <v>366.70139999999998</v>
      </c>
      <c r="M533">
        <v>0.99980659999999999</v>
      </c>
      <c r="N533">
        <v>0</v>
      </c>
      <c r="O533">
        <v>-1.5481699999999999E-2</v>
      </c>
      <c r="P533">
        <v>0.99521150000000003</v>
      </c>
      <c r="Q533">
        <v>6.601195E-2</v>
      </c>
      <c r="R533">
        <v>-7.2088260000000001E-2</v>
      </c>
      <c r="S533">
        <v>3.0199280000000002</v>
      </c>
      <c r="T533">
        <v>-0.1100978</v>
      </c>
      <c r="U533">
        <v>-2.5939940000000002E-2</v>
      </c>
      <c r="V533">
        <v>5.6648780000000003E-2</v>
      </c>
      <c r="W533">
        <v>7.8115260000000006E-2</v>
      </c>
      <c r="X533">
        <v>0.99533360000000004</v>
      </c>
      <c r="Y533">
        <v>-6.8791679999999997E-3</v>
      </c>
      <c r="Z533">
        <v>6.8958820000000005E-4</v>
      </c>
      <c r="AA533">
        <v>0.99997610000000003</v>
      </c>
      <c r="AB533">
        <v>30</v>
      </c>
      <c r="AC533">
        <v>31.515999999999998</v>
      </c>
      <c r="AD533">
        <v>-1.1601429999999999</v>
      </c>
      <c r="AE533">
        <v>-0.26879999999999798</v>
      </c>
      <c r="AF533">
        <v>-0.21889276999152099</v>
      </c>
      <c r="AG533">
        <v>-1.1601429999999999</v>
      </c>
      <c r="AH533">
        <v>31.473738148705699</v>
      </c>
      <c r="AI533">
        <v>92.110953943828804</v>
      </c>
      <c r="AJ533">
        <v>90.398472835503597</v>
      </c>
      <c r="AK533">
        <v>31.495873362688201</v>
      </c>
      <c r="AL533">
        <v>85.519761105486197</v>
      </c>
      <c r="AM533">
        <v>86.742561261722898</v>
      </c>
      <c r="AN533">
        <v>1.00000002670465</v>
      </c>
    </row>
    <row r="534" spans="1:40" x14ac:dyDescent="0.25">
      <c r="A534" t="str">
        <f>"20190312151232875"</f>
        <v>20190312151232875</v>
      </c>
      <c r="B534" t="str">
        <f>"1552374752869858"</f>
        <v>1552374752869858</v>
      </c>
      <c r="C534" t="s">
        <v>40</v>
      </c>
      <c r="D534">
        <v>3.6915800000000001</v>
      </c>
      <c r="E534">
        <v>0.47642479999999998</v>
      </c>
      <c r="F534" t="s">
        <v>43</v>
      </c>
      <c r="G534">
        <v>-312.75420000000003</v>
      </c>
      <c r="H534">
        <v>-0.05</v>
      </c>
      <c r="I534">
        <v>366.35140000000001</v>
      </c>
      <c r="J534">
        <v>-343.9939</v>
      </c>
      <c r="K534">
        <v>1.110141</v>
      </c>
      <c r="L534">
        <v>366.69709999999998</v>
      </c>
      <c r="M534">
        <v>0.99980899999999995</v>
      </c>
      <c r="N534">
        <v>0</v>
      </c>
      <c r="O534">
        <v>-1.532471E-2</v>
      </c>
      <c r="P534">
        <v>0.99521320000000002</v>
      </c>
      <c r="Q534">
        <v>6.5589969999999997E-2</v>
      </c>
      <c r="R534">
        <v>-7.2449009999999994E-2</v>
      </c>
      <c r="S534">
        <v>3.0193789999999998</v>
      </c>
      <c r="T534">
        <v>-0.1111144</v>
      </c>
      <c r="U534">
        <v>-3.3508299999999998E-2</v>
      </c>
      <c r="V534">
        <v>5.7165899999999999E-2</v>
      </c>
      <c r="W534">
        <v>7.7694070000000004E-2</v>
      </c>
      <c r="X534">
        <v>0.99533689999999997</v>
      </c>
      <c r="Y534">
        <v>-4.215908E-3</v>
      </c>
      <c r="Z534">
        <v>6.4130549999999995E-4</v>
      </c>
      <c r="AA534">
        <v>0.99999090000000002</v>
      </c>
      <c r="AB534">
        <v>30</v>
      </c>
      <c r="AC534">
        <v>31.2396999999999</v>
      </c>
      <c r="AD534">
        <v>-1.1601410000000001</v>
      </c>
      <c r="AE534">
        <v>-0.34569999999996498</v>
      </c>
      <c r="AF534">
        <v>-0.13293185481053901</v>
      </c>
      <c r="AG534">
        <v>-1.1601410000000001</v>
      </c>
      <c r="AH534">
        <v>31.198307601212001</v>
      </c>
      <c r="AI534">
        <v>92.129601638737199</v>
      </c>
      <c r="AJ534">
        <v>90.244128247251297</v>
      </c>
      <c r="AK534">
        <v>31.2201536703096</v>
      </c>
      <c r="AL534">
        <v>85.543966633762594</v>
      </c>
      <c r="AM534">
        <v>86.712901425312495</v>
      </c>
      <c r="AN534">
        <v>0.999999926568789</v>
      </c>
    </row>
    <row r="535" spans="1:40" x14ac:dyDescent="0.25">
      <c r="A535" t="str">
        <f>"20190312151232898"</f>
        <v>20190312151232898</v>
      </c>
      <c r="B535" t="str">
        <f>"1552374752890357"</f>
        <v>1552374752890357</v>
      </c>
      <c r="C535" t="s">
        <v>40</v>
      </c>
      <c r="D535">
        <v>3.6470699999999998</v>
      </c>
      <c r="E535">
        <v>0.47659869999999999</v>
      </c>
      <c r="F535" t="s">
        <v>43</v>
      </c>
      <c r="G535">
        <v>-313.04039999999998</v>
      </c>
      <c r="H535">
        <v>-0.05</v>
      </c>
      <c r="I535">
        <v>366.30790000000002</v>
      </c>
      <c r="J535">
        <v>-343.69600000000003</v>
      </c>
      <c r="K535">
        <v>1.110139</v>
      </c>
      <c r="L535">
        <v>366.6927</v>
      </c>
      <c r="M535">
        <v>0.99981140000000002</v>
      </c>
      <c r="N535">
        <v>0</v>
      </c>
      <c r="O535">
        <v>-1.515962E-2</v>
      </c>
      <c r="P535">
        <v>0.99520129999999996</v>
      </c>
      <c r="Q535">
        <v>6.5245059999999994E-2</v>
      </c>
      <c r="R535">
        <v>-7.2920189999999996E-2</v>
      </c>
      <c r="S535">
        <v>3.0191349999999999</v>
      </c>
      <c r="T535">
        <v>-0.11315749999999999</v>
      </c>
      <c r="U535">
        <v>-3.7963869999999997E-2</v>
      </c>
      <c r="V535">
        <v>5.780163E-2</v>
      </c>
      <c r="W535">
        <v>7.7351299999999998E-2</v>
      </c>
      <c r="X535">
        <v>0.99532690000000001</v>
      </c>
      <c r="Y535">
        <v>-2.5751049999999998E-3</v>
      </c>
      <c r="Z535">
        <v>6.1621319999999996E-4</v>
      </c>
      <c r="AA535">
        <v>0.99999649999999995</v>
      </c>
      <c r="AB535">
        <v>30</v>
      </c>
      <c r="AC535">
        <v>30.6556</v>
      </c>
      <c r="AD535">
        <v>-1.160139</v>
      </c>
      <c r="AE535">
        <v>-0.38479999999998399</v>
      </c>
      <c r="AF535">
        <v>-7.9891313348825696E-2</v>
      </c>
      <c r="AG535">
        <v>-1.160139</v>
      </c>
      <c r="AH535">
        <v>30.6140723474678</v>
      </c>
      <c r="AI535">
        <v>92.170212762628495</v>
      </c>
      <c r="AJ535">
        <v>90.149520280468394</v>
      </c>
      <c r="AK535">
        <v>30.636150718020399</v>
      </c>
      <c r="AL535">
        <v>85.5636652724437</v>
      </c>
      <c r="AM535">
        <v>86.676394471012003</v>
      </c>
      <c r="AN535">
        <v>0.99999994495297695</v>
      </c>
    </row>
    <row r="536" spans="1:40" x14ac:dyDescent="0.25">
      <c r="A536" t="str">
        <f>"20190312151232919"</f>
        <v>20190312151232919</v>
      </c>
      <c r="B536" t="str">
        <f>"1552374752909878"</f>
        <v>1552374752909878</v>
      </c>
      <c r="C536" t="s">
        <v>40</v>
      </c>
      <c r="D536">
        <v>3.6798769999999998</v>
      </c>
      <c r="E536">
        <v>0.47660530000000001</v>
      </c>
      <c r="F536" t="s">
        <v>43</v>
      </c>
      <c r="G536">
        <v>-312.24549999999999</v>
      </c>
      <c r="H536">
        <v>-0.05</v>
      </c>
      <c r="I536">
        <v>366.26830000000001</v>
      </c>
      <c r="J536">
        <v>-343.40589999999997</v>
      </c>
      <c r="K536">
        <v>1.1101399999999999</v>
      </c>
      <c r="L536">
        <v>366.68849999999998</v>
      </c>
      <c r="M536">
        <v>0.99981370000000003</v>
      </c>
      <c r="N536">
        <v>0</v>
      </c>
      <c r="O536">
        <v>-1.4996799999999999E-2</v>
      </c>
      <c r="P536">
        <v>0.9952299</v>
      </c>
      <c r="Q536">
        <v>6.4745830000000004E-2</v>
      </c>
      <c r="R536">
        <v>-7.2975949999999998E-2</v>
      </c>
      <c r="S536">
        <v>3.0187680000000001</v>
      </c>
      <c r="T536">
        <v>-0.1113557</v>
      </c>
      <c r="U536">
        <v>-4.0740970000000001E-2</v>
      </c>
      <c r="V536">
        <v>5.8019179999999997E-2</v>
      </c>
      <c r="W536">
        <v>7.6858770000000007E-2</v>
      </c>
      <c r="X536">
        <v>0.99535240000000003</v>
      </c>
      <c r="Y536">
        <v>-1.4921890000000001E-3</v>
      </c>
      <c r="Z536">
        <v>5.8050810000000001E-4</v>
      </c>
      <c r="AA536">
        <v>0.99999870000000002</v>
      </c>
      <c r="AB536">
        <v>30</v>
      </c>
      <c r="AC536">
        <v>31.1603999999999</v>
      </c>
      <c r="AD536">
        <v>-1.1601399999999999</v>
      </c>
      <c r="AE536">
        <v>-0.42019999999996499</v>
      </c>
      <c r="AF536">
        <v>-4.7122746034068401E-2</v>
      </c>
      <c r="AG536">
        <v>-1.1601399999999999</v>
      </c>
      <c r="AH536">
        <v>31.120067668411199</v>
      </c>
      <c r="AI536">
        <v>92.134965866370706</v>
      </c>
      <c r="AJ536">
        <v>90.086758564668102</v>
      </c>
      <c r="AK536">
        <v>31.141720521822201</v>
      </c>
      <c r="AL536">
        <v>85.591969440112905</v>
      </c>
      <c r="AM536">
        <v>86.663998776686995</v>
      </c>
      <c r="AN536">
        <v>0.99999994797977099</v>
      </c>
    </row>
    <row r="537" spans="1:40" x14ac:dyDescent="0.25">
      <c r="A537" t="str">
        <f>"20190312151232942"</f>
        <v>20190312151232942</v>
      </c>
      <c r="B537" t="str">
        <f>"1552374752930369"</f>
        <v>1552374752930369</v>
      </c>
      <c r="C537" t="s">
        <v>40</v>
      </c>
      <c r="D537">
        <v>3.6738439999999999</v>
      </c>
      <c r="E537">
        <v>0.47659010000000002</v>
      </c>
      <c r="F537" t="s">
        <v>43</v>
      </c>
      <c r="G537">
        <v>-312.09960000000001</v>
      </c>
      <c r="H537">
        <v>-0.05</v>
      </c>
      <c r="I537">
        <v>366.26979999999998</v>
      </c>
      <c r="J537">
        <v>-343.1121</v>
      </c>
      <c r="K537">
        <v>1.1101369999999999</v>
      </c>
      <c r="L537">
        <v>366.68430000000001</v>
      </c>
      <c r="M537">
        <v>0.99981609999999999</v>
      </c>
      <c r="N537">
        <v>0</v>
      </c>
      <c r="O537">
        <v>-1.483101E-2</v>
      </c>
      <c r="P537">
        <v>0.99526789999999998</v>
      </c>
      <c r="Q537">
        <v>6.4410899999999993E-2</v>
      </c>
      <c r="R537">
        <v>-7.2752869999999997E-2</v>
      </c>
      <c r="S537">
        <v>3.0187379999999999</v>
      </c>
      <c r="T537">
        <v>-0.1118678</v>
      </c>
      <c r="U537">
        <v>-4.0374760000000003E-2</v>
      </c>
      <c r="V537">
        <v>5.7960560000000001E-2</v>
      </c>
      <c r="W537">
        <v>7.6533569999999995E-2</v>
      </c>
      <c r="X537">
        <v>0.99538090000000001</v>
      </c>
      <c r="Y537">
        <v>-1.4475579999999901E-3</v>
      </c>
      <c r="Z537">
        <v>5.7621460000000001E-4</v>
      </c>
      <c r="AA537">
        <v>0.99999879999999997</v>
      </c>
      <c r="AB537">
        <v>30</v>
      </c>
      <c r="AC537">
        <v>31.0124999999999</v>
      </c>
      <c r="AD537">
        <v>-1.160137</v>
      </c>
      <c r="AE537">
        <v>-0.41450000000003201</v>
      </c>
      <c r="AF537">
        <v>-4.5462679289723897E-2</v>
      </c>
      <c r="AG537">
        <v>-1.160137</v>
      </c>
      <c r="AH537">
        <v>30.971901828434699</v>
      </c>
      <c r="AI537">
        <v>92.145164372261902</v>
      </c>
      <c r="AJ537">
        <v>90.0841026099164</v>
      </c>
      <c r="AK537">
        <v>30.9936556021418</v>
      </c>
      <c r="AL537">
        <v>85.610657191585801</v>
      </c>
      <c r="AM537">
        <v>86.667456928989495</v>
      </c>
      <c r="AN537">
        <v>0.99999997496863302</v>
      </c>
    </row>
    <row r="538" spans="1:40" x14ac:dyDescent="0.25">
      <c r="A538" t="str">
        <f>"20190312151232964"</f>
        <v>20190312151232964</v>
      </c>
      <c r="B538" t="str">
        <f>"1552374752959650"</f>
        <v>1552374752959650</v>
      </c>
      <c r="C538" t="s">
        <v>40</v>
      </c>
      <c r="D538">
        <v>3.682334</v>
      </c>
      <c r="E538">
        <v>0.47660599999999997</v>
      </c>
      <c r="F538" t="s">
        <v>43</v>
      </c>
      <c r="G538">
        <v>-311.93920000000003</v>
      </c>
      <c r="H538">
        <v>-0.05</v>
      </c>
      <c r="I538">
        <v>366.2749</v>
      </c>
      <c r="J538">
        <v>-342.81900000000002</v>
      </c>
      <c r="K538">
        <v>1.1101350000000001</v>
      </c>
      <c r="L538">
        <v>366.68009999999998</v>
      </c>
      <c r="M538">
        <v>0.99981850000000005</v>
      </c>
      <c r="N538">
        <v>0</v>
      </c>
      <c r="O538">
        <v>-1.4664989999999999E-2</v>
      </c>
      <c r="P538">
        <v>0.99531879999999995</v>
      </c>
      <c r="Q538">
        <v>6.4344739999999997E-2</v>
      </c>
      <c r="R538">
        <v>-7.2116079999999999E-2</v>
      </c>
      <c r="S538">
        <v>3.0186769999999998</v>
      </c>
      <c r="T538">
        <v>-0.11234379999999999</v>
      </c>
      <c r="U538">
        <v>-3.9642330000000003E-2</v>
      </c>
      <c r="V538">
        <v>5.7488039999999997E-2</v>
      </c>
      <c r="W538">
        <v>7.6477950000000003E-2</v>
      </c>
      <c r="X538">
        <v>0.99541259999999998</v>
      </c>
      <c r="Y538">
        <v>-1.5237929999999901E-3</v>
      </c>
      <c r="Z538">
        <v>5.7391980000000005E-4</v>
      </c>
      <c r="AA538">
        <v>0.99999870000000002</v>
      </c>
      <c r="AB538">
        <v>30</v>
      </c>
      <c r="AC538">
        <v>30.8797999999999</v>
      </c>
      <c r="AD538">
        <v>-1.1601349999999999</v>
      </c>
      <c r="AE538">
        <v>-0.40519999999997902</v>
      </c>
      <c r="AF538">
        <v>-4.7661770788457097E-2</v>
      </c>
      <c r="AG538">
        <v>-1.1601349999999999</v>
      </c>
      <c r="AH538">
        <v>30.838901154499698</v>
      </c>
      <c r="AI538">
        <v>92.154403282481994</v>
      </c>
      <c r="AJ538">
        <v>90.088551019452495</v>
      </c>
      <c r="AK538">
        <v>30.860751923432101</v>
      </c>
      <c r="AL538">
        <v>85.613853451235897</v>
      </c>
      <c r="AM538">
        <v>86.694669830825802</v>
      </c>
      <c r="AN538">
        <v>0.99999999790900196</v>
      </c>
    </row>
    <row r="539" spans="1:40" x14ac:dyDescent="0.25">
      <c r="A539" t="str">
        <f>"20190312151232989"</f>
        <v>20190312151232989</v>
      </c>
      <c r="B539" t="str">
        <f>"1552374752980146"</f>
        <v>1552374752980146</v>
      </c>
      <c r="C539" t="s">
        <v>40</v>
      </c>
      <c r="D539">
        <v>3.6549499999999999</v>
      </c>
      <c r="E539">
        <v>0.47662109999999902</v>
      </c>
      <c r="F539" t="s">
        <v>43</v>
      </c>
      <c r="G539">
        <v>-311.52600000000001</v>
      </c>
      <c r="H539">
        <v>-0.05</v>
      </c>
      <c r="I539">
        <v>366.28910000000002</v>
      </c>
      <c r="J539">
        <v>-342.48759999999999</v>
      </c>
      <c r="K539">
        <v>1.1101369999999999</v>
      </c>
      <c r="L539">
        <v>366.6755</v>
      </c>
      <c r="M539">
        <v>0.99982119999999997</v>
      </c>
      <c r="N539">
        <v>0</v>
      </c>
      <c r="O539">
        <v>-1.447729E-2</v>
      </c>
      <c r="P539">
        <v>0.99540700000000004</v>
      </c>
      <c r="Q539">
        <v>6.3912200000000002E-2</v>
      </c>
      <c r="R539">
        <v>-7.1275759999999994E-2</v>
      </c>
      <c r="S539">
        <v>3.0185849999999999</v>
      </c>
      <c r="T539">
        <v>-0.1119088</v>
      </c>
      <c r="U539">
        <v>-3.771973E-2</v>
      </c>
      <c r="V539">
        <v>5.6833630000000003E-2</v>
      </c>
      <c r="W539">
        <v>7.6056700000000005E-2</v>
      </c>
      <c r="X539">
        <v>0.99548239999999999</v>
      </c>
      <c r="Y539">
        <v>-1.9723890000000002E-3</v>
      </c>
      <c r="Z539">
        <v>5.7307620000000001E-4</v>
      </c>
      <c r="AA539">
        <v>0.9999979</v>
      </c>
      <c r="AB539">
        <v>30</v>
      </c>
      <c r="AC539">
        <v>30.961599999999901</v>
      </c>
      <c r="AD539">
        <v>-1.160137</v>
      </c>
      <c r="AE539">
        <v>-0.38639999999997998</v>
      </c>
      <c r="AF539">
        <v>-6.1826938994674598E-2</v>
      </c>
      <c r="AG539">
        <v>-1.160137</v>
      </c>
      <c r="AH539">
        <v>30.9205429904674</v>
      </c>
      <c r="AI539">
        <v>92.148722161647399</v>
      </c>
      <c r="AJ539">
        <v>90.114565191970897</v>
      </c>
      <c r="AK539">
        <v>30.942361242389001</v>
      </c>
      <c r="AL539">
        <v>85.638059574613706</v>
      </c>
      <c r="AM539">
        <v>86.732442384765903</v>
      </c>
      <c r="AN539">
        <v>0.99999994591181196</v>
      </c>
    </row>
    <row r="540" spans="1:40" x14ac:dyDescent="0.25">
      <c r="A540" t="str">
        <f>"20190312151233011"</f>
        <v>20190312151233011</v>
      </c>
      <c r="B540" t="str">
        <f>"1552374753000642"</f>
        <v>1552374753000642</v>
      </c>
      <c r="C540" t="s">
        <v>40</v>
      </c>
      <c r="D540">
        <v>3.702833</v>
      </c>
      <c r="E540">
        <v>0.47671479999999999</v>
      </c>
      <c r="F540" t="s">
        <v>43</v>
      </c>
      <c r="G540">
        <v>-311.4785</v>
      </c>
      <c r="H540">
        <v>-0.05</v>
      </c>
      <c r="I540">
        <v>366.3109</v>
      </c>
      <c r="J540">
        <v>-342.19819999999999</v>
      </c>
      <c r="K540">
        <v>1.1101379999999901</v>
      </c>
      <c r="L540">
        <v>366.67149999999998</v>
      </c>
      <c r="M540">
        <v>0.99982340000000003</v>
      </c>
      <c r="N540">
        <v>0</v>
      </c>
      <c r="O540">
        <v>-1.431166E-2</v>
      </c>
      <c r="P540">
        <v>0.99550320000000003</v>
      </c>
      <c r="Q540">
        <v>6.3389849999999998E-2</v>
      </c>
      <c r="R540">
        <v>-7.0393890000000001E-2</v>
      </c>
      <c r="S540">
        <v>3.0185550000000001</v>
      </c>
      <c r="T540">
        <v>-0.1129324</v>
      </c>
      <c r="U540">
        <v>-3.549194E-2</v>
      </c>
      <c r="V540">
        <v>5.6115819999999997E-2</v>
      </c>
      <c r="W540">
        <v>7.5544150000000004E-2</v>
      </c>
      <c r="X540">
        <v>0.99556219999999995</v>
      </c>
      <c r="Y540">
        <v>-2.544031E-3</v>
      </c>
      <c r="Z540">
        <v>5.8281890000000001E-4</v>
      </c>
      <c r="AA540">
        <v>0.99999660000000001</v>
      </c>
      <c r="AB540">
        <v>30</v>
      </c>
      <c r="AC540">
        <v>30.7196999999999</v>
      </c>
      <c r="AD540">
        <v>-1.1601379999999999</v>
      </c>
      <c r="AE540">
        <v>-0.360599999999976</v>
      </c>
      <c r="AF540">
        <v>-7.9006787139882795E-2</v>
      </c>
      <c r="AG540">
        <v>-1.1601379999999999</v>
      </c>
      <c r="AH540">
        <v>30.677967093945099</v>
      </c>
      <c r="AI540">
        <v>92.165695372858593</v>
      </c>
      <c r="AJ540">
        <v>90.147556891052005</v>
      </c>
      <c r="AK540">
        <v>30.699997186785499</v>
      </c>
      <c r="AL540">
        <v>85.667511490832595</v>
      </c>
      <c r="AM540">
        <v>86.773882034251301</v>
      </c>
      <c r="AN540">
        <v>0.99999999896116698</v>
      </c>
    </row>
    <row r="541" spans="1:40" x14ac:dyDescent="0.25">
      <c r="A541" t="str">
        <f>"20190312151233032"</f>
        <v>20190312151233032</v>
      </c>
      <c r="B541" t="str">
        <f>"1552374753029922"</f>
        <v>1552374753029922</v>
      </c>
      <c r="C541" t="s">
        <v>40</v>
      </c>
      <c r="D541">
        <v>3.7198690000000001</v>
      </c>
      <c r="E541">
        <v>0.50297239999999999</v>
      </c>
      <c r="F541" t="s">
        <v>43</v>
      </c>
      <c r="G541">
        <v>-311.3965</v>
      </c>
      <c r="H541">
        <v>-0.05</v>
      </c>
      <c r="I541">
        <v>366.3295</v>
      </c>
      <c r="J541">
        <v>-341.90050000000002</v>
      </c>
      <c r="K541">
        <v>1.1101399999999999</v>
      </c>
      <c r="L541">
        <v>366.66750000000002</v>
      </c>
      <c r="M541">
        <v>0.99982570000000004</v>
      </c>
      <c r="N541">
        <v>0</v>
      </c>
      <c r="O541">
        <v>-1.4140069999999999E-2</v>
      </c>
      <c r="P541">
        <v>0.99551350000000005</v>
      </c>
      <c r="Q541">
        <v>6.3598329999999995E-2</v>
      </c>
      <c r="R541">
        <v>-7.0060730000000002E-2</v>
      </c>
      <c r="S541">
        <v>3.018402</v>
      </c>
      <c r="T541">
        <v>-0.1136872</v>
      </c>
      <c r="U541">
        <v>-3.3508299999999998E-2</v>
      </c>
      <c r="V541">
        <v>5.595344E-2</v>
      </c>
      <c r="W541">
        <v>7.5762399999999994E-2</v>
      </c>
      <c r="X541">
        <v>0.99555470000000001</v>
      </c>
      <c r="Y541">
        <v>-3.0285350000000002E-3</v>
      </c>
      <c r="Z541">
        <v>5.8940449999999895E-4</v>
      </c>
      <c r="AA541">
        <v>0.99999519999999997</v>
      </c>
      <c r="AB541">
        <v>30</v>
      </c>
      <c r="AC541">
        <v>30.504000000000001</v>
      </c>
      <c r="AD541">
        <v>-1.1601399999999999</v>
      </c>
      <c r="AE541">
        <v>-0.33800000000002201</v>
      </c>
      <c r="AF541">
        <v>-9.3259669396106096E-2</v>
      </c>
      <c r="AG541">
        <v>-1.1601399999999999</v>
      </c>
      <c r="AH541">
        <v>30.461673321187501</v>
      </c>
      <c r="AI541">
        <v>92.181058911621705</v>
      </c>
      <c r="AJ541">
        <v>90.175412844342304</v>
      </c>
      <c r="AK541">
        <v>30.483900073846801</v>
      </c>
      <c r="AL541">
        <v>85.654970511225997</v>
      </c>
      <c r="AM541">
        <v>86.783173500643798</v>
      </c>
      <c r="AN541">
        <v>0.99999994469683995</v>
      </c>
    </row>
    <row r="542" spans="1:40" x14ac:dyDescent="0.25">
      <c r="A542" t="str">
        <f>"20190312151233054"</f>
        <v>20190312151233054</v>
      </c>
      <c r="B542" t="str">
        <f>"1552374753050418"</f>
        <v>1552374753050418</v>
      </c>
      <c r="C542" t="s">
        <v>40</v>
      </c>
      <c r="D542">
        <v>3.7000570000000002</v>
      </c>
      <c r="E542">
        <v>0.50453590000000004</v>
      </c>
      <c r="F542" t="s">
        <v>50</v>
      </c>
      <c r="G542">
        <v>-158.78319999999999</v>
      </c>
      <c r="H542">
        <v>0.58581349999999999</v>
      </c>
      <c r="I542">
        <v>352.07420000000002</v>
      </c>
      <c r="J542">
        <v>-341.6234</v>
      </c>
      <c r="K542">
        <v>1.1101430000000001</v>
      </c>
      <c r="L542">
        <v>366.66370000000001</v>
      </c>
      <c r="M542">
        <v>0.99982789999999999</v>
      </c>
      <c r="N542">
        <v>0</v>
      </c>
      <c r="O542">
        <v>-1.397933E-2</v>
      </c>
      <c r="P542">
        <v>0.99553469999999999</v>
      </c>
      <c r="Q542">
        <v>6.3660030000000006E-2</v>
      </c>
      <c r="R542">
        <v>-6.9705470000000005E-2</v>
      </c>
      <c r="S542">
        <v>2.9972530000000002</v>
      </c>
      <c r="T542">
        <v>-8.5806849999999994E-3</v>
      </c>
      <c r="U542">
        <v>-0.23886109999999999</v>
      </c>
      <c r="V542">
        <v>5.5757840000000003E-2</v>
      </c>
      <c r="W542">
        <v>7.5835620000000006E-2</v>
      </c>
      <c r="X542">
        <v>0.99556020000000001</v>
      </c>
      <c r="Y542">
        <v>6.5497310000000003E-2</v>
      </c>
      <c r="Z542" s="1">
        <v>-5.3652139999999997E-5</v>
      </c>
      <c r="AA542">
        <v>0.99785270000000004</v>
      </c>
      <c r="AB542">
        <v>30</v>
      </c>
      <c r="AC542">
        <v>182.84020000000001</v>
      </c>
      <c r="AD542">
        <v>-0.5243295</v>
      </c>
      <c r="AE542">
        <v>-14.5894999999999</v>
      </c>
      <c r="AF542">
        <v>12.031802232671501</v>
      </c>
      <c r="AG542">
        <v>-0.5243295</v>
      </c>
      <c r="AH542">
        <v>183.02480199474101</v>
      </c>
      <c r="AI542">
        <v>90.163786989959206</v>
      </c>
      <c r="AJ542">
        <v>86.238864941614196</v>
      </c>
      <c r="AK542">
        <v>183.420602255049</v>
      </c>
      <c r="AL542">
        <v>85.650763646761803</v>
      </c>
      <c r="AM542">
        <v>86.794412945143904</v>
      </c>
      <c r="AN542">
        <v>1.0000000449031401</v>
      </c>
    </row>
    <row r="543" spans="1:40" x14ac:dyDescent="0.25">
      <c r="A543" t="str">
        <f>"20190312151233088"</f>
        <v>20190312151233088</v>
      </c>
      <c r="B543" t="str">
        <f>"1552374753080674"</f>
        <v>1552374753080674</v>
      </c>
      <c r="C543" t="s">
        <v>40</v>
      </c>
      <c r="D543">
        <v>3.7414559999999999</v>
      </c>
      <c r="E543">
        <v>0.50546579999999997</v>
      </c>
      <c r="F543" t="s">
        <v>50</v>
      </c>
      <c r="G543">
        <v>-158.78319999999999</v>
      </c>
      <c r="H543">
        <v>1.2732749999999999</v>
      </c>
      <c r="I543">
        <v>351.40750000000003</v>
      </c>
      <c r="J543">
        <v>-341.17590000000001</v>
      </c>
      <c r="K543">
        <v>1.11015</v>
      </c>
      <c r="L543">
        <v>366.65780000000001</v>
      </c>
      <c r="M543">
        <v>0.99983100000000003</v>
      </c>
      <c r="N543">
        <v>0</v>
      </c>
      <c r="O543">
        <v>-1.372316E-2</v>
      </c>
      <c r="P543">
        <v>0.99556230000000001</v>
      </c>
      <c r="Q543">
        <v>6.3808630000000005E-2</v>
      </c>
      <c r="R543">
        <v>-6.9170860000000001E-2</v>
      </c>
      <c r="S543">
        <v>2.9957889999999998</v>
      </c>
      <c r="T543">
        <v>2.6743409999999998E-3</v>
      </c>
      <c r="U543">
        <v>-0.24996950000000001</v>
      </c>
      <c r="V543">
        <v>5.547813E-2</v>
      </c>
      <c r="W543">
        <v>7.6007249999999998E-2</v>
      </c>
      <c r="X543">
        <v>0.99556270000000002</v>
      </c>
      <c r="Y543">
        <v>6.9466819999999999E-2</v>
      </c>
      <c r="Z543" s="1">
        <v>1.8724439999999999E-5</v>
      </c>
      <c r="AA543">
        <v>0.99758429999999998</v>
      </c>
      <c r="AB543">
        <v>30</v>
      </c>
      <c r="AC543">
        <v>182.39269999999999</v>
      </c>
      <c r="AD543">
        <v>0.16312499999999899</v>
      </c>
      <c r="AE543">
        <v>-15.2502999999999</v>
      </c>
      <c r="AF543">
        <v>12.7456620772588</v>
      </c>
      <c r="AG543">
        <v>0.16312499999999899</v>
      </c>
      <c r="AH543">
        <v>182.58467499252001</v>
      </c>
      <c r="AI543">
        <v>89.948935024098503</v>
      </c>
      <c r="AJ543">
        <v>86.0068395945069</v>
      </c>
      <c r="AK543">
        <v>183.029074339782</v>
      </c>
      <c r="AL543">
        <v>85.640901344229803</v>
      </c>
      <c r="AM543">
        <v>86.810468526111293</v>
      </c>
      <c r="AN543">
        <v>1.00000000729607</v>
      </c>
    </row>
    <row r="544" spans="1:40" x14ac:dyDescent="0.25">
      <c r="A544" t="str">
        <f>"20190312151233109"</f>
        <v>20190312151233109</v>
      </c>
      <c r="B544" t="str">
        <f>"1552374753100197"</f>
        <v>1552374753100197</v>
      </c>
      <c r="C544" t="s">
        <v>40</v>
      </c>
      <c r="D544">
        <v>3.7515770000000002</v>
      </c>
      <c r="E544">
        <v>0.5059884</v>
      </c>
      <c r="F544" t="s">
        <v>50</v>
      </c>
      <c r="G544">
        <v>-158.78319999999999</v>
      </c>
      <c r="H544">
        <v>1.3883570000000001</v>
      </c>
      <c r="I544">
        <v>351.07960000000003</v>
      </c>
      <c r="J544">
        <v>-340.88220000000001</v>
      </c>
      <c r="K544">
        <v>1.1101510000000001</v>
      </c>
      <c r="L544">
        <v>366.654</v>
      </c>
      <c r="M544">
        <v>0.99983319999999998</v>
      </c>
      <c r="N544">
        <v>0</v>
      </c>
      <c r="O544">
        <v>-1.3557919999999999E-2</v>
      </c>
      <c r="P544">
        <v>0.99554120000000002</v>
      </c>
      <c r="Q544">
        <v>6.4301839999999999E-2</v>
      </c>
      <c r="R544">
        <v>-6.9016919999999995E-2</v>
      </c>
      <c r="S544">
        <v>2.9952999999999999</v>
      </c>
      <c r="T544">
        <v>4.570246E-3</v>
      </c>
      <c r="U544">
        <v>-0.25582890000000003</v>
      </c>
      <c r="V544">
        <v>5.5488999999999997E-2</v>
      </c>
      <c r="W544">
        <v>7.65155E-2</v>
      </c>
      <c r="X544">
        <v>0.99552320000000005</v>
      </c>
      <c r="Y544">
        <v>7.158262E-2</v>
      </c>
      <c r="Z544" s="1">
        <v>3.3864069999999998E-5</v>
      </c>
      <c r="AA544">
        <v>0.99743470000000001</v>
      </c>
      <c r="AB544">
        <v>30</v>
      </c>
      <c r="AC544">
        <v>182.09899999999999</v>
      </c>
      <c r="AD544">
        <v>0.27820599999999901</v>
      </c>
      <c r="AE544">
        <v>-15.574399999999899</v>
      </c>
      <c r="AF544">
        <v>13.1038693763553</v>
      </c>
      <c r="AG544">
        <v>0.27820599999999901</v>
      </c>
      <c r="AH544">
        <v>182.293010143309</v>
      </c>
      <c r="AI544">
        <v>89.912783308372497</v>
      </c>
      <c r="AJ544">
        <v>85.888447826533806</v>
      </c>
      <c r="AK544">
        <v>182.763591391501</v>
      </c>
      <c r="AL544">
        <v>85.611695884825807</v>
      </c>
      <c r="AM544">
        <v>86.809718565758203</v>
      </c>
      <c r="AN544">
        <v>1.00000004629974</v>
      </c>
    </row>
    <row r="545" spans="1:40" x14ac:dyDescent="0.25">
      <c r="A545" t="str">
        <f>"20190312151233132"</f>
        <v>20190312151233132</v>
      </c>
      <c r="B545" t="str">
        <f>"1552374753119714"</f>
        <v>1552374753119714</v>
      </c>
      <c r="C545" t="s">
        <v>40</v>
      </c>
      <c r="D545">
        <v>3.6739060000000001</v>
      </c>
      <c r="E545">
        <v>0.50636270000000005</v>
      </c>
      <c r="F545" t="s">
        <v>44</v>
      </c>
      <c r="G545">
        <v>0</v>
      </c>
      <c r="H545">
        <v>0</v>
      </c>
      <c r="I545">
        <v>0</v>
      </c>
      <c r="J545">
        <v>-340.5872</v>
      </c>
      <c r="K545">
        <v>1.110152</v>
      </c>
      <c r="L545">
        <v>366.65019999999998</v>
      </c>
      <c r="M545">
        <v>0.99983529999999998</v>
      </c>
      <c r="N545">
        <v>0</v>
      </c>
      <c r="O545">
        <v>-1.339101E-2</v>
      </c>
      <c r="P545">
        <v>0.99554900000000002</v>
      </c>
      <c r="Q545">
        <v>6.4241480000000004E-2</v>
      </c>
      <c r="R545">
        <v>-6.8961809999999998E-2</v>
      </c>
      <c r="S545">
        <v>2.9949949999999999</v>
      </c>
      <c r="T545">
        <v>6.859899E-3</v>
      </c>
      <c r="U545">
        <v>-0.25942989999999999</v>
      </c>
      <c r="V545">
        <v>5.560035E-2</v>
      </c>
      <c r="W545">
        <v>7.6470330000000003E-2</v>
      </c>
      <c r="X545">
        <v>0.99552039999999997</v>
      </c>
      <c r="Y545">
        <v>7.2948059999999995E-2</v>
      </c>
      <c r="Z545" s="1">
        <v>5.2774530000000003E-5</v>
      </c>
      <c r="AA545">
        <v>0.99733570000000005</v>
      </c>
      <c r="AB545">
        <v>30</v>
      </c>
      <c r="AC545">
        <v>2.9949949999999999</v>
      </c>
      <c r="AD545">
        <v>6.859899E-3</v>
      </c>
      <c r="AE545">
        <v>-0.25942989999999999</v>
      </c>
      <c r="AF545">
        <v>0.21929647582901801</v>
      </c>
      <c r="AG545">
        <v>6.859899E-3</v>
      </c>
      <c r="AH545">
        <v>2.9981850948589699</v>
      </c>
      <c r="AI545">
        <v>89.869255768164805</v>
      </c>
      <c r="AJ545">
        <v>85.816660079039593</v>
      </c>
      <c r="AK545">
        <v>3.0062022329776501</v>
      </c>
      <c r="AL545">
        <v>85.614291286256702</v>
      </c>
      <c r="AM545">
        <v>86.803320906619902</v>
      </c>
      <c r="AN545">
        <v>0.99999998855329497</v>
      </c>
    </row>
    <row r="546" spans="1:40" x14ac:dyDescent="0.25">
      <c r="A546" t="str">
        <f>"20190312151233153"</f>
        <v>20190312151233153</v>
      </c>
      <c r="B546" t="str">
        <f>"1552374753149970"</f>
        <v>1552374753149970</v>
      </c>
      <c r="C546" t="s">
        <v>40</v>
      </c>
      <c r="D546">
        <v>3.7420909999999998</v>
      </c>
      <c r="E546">
        <v>0.50705619999999996</v>
      </c>
      <c r="F546" t="s">
        <v>44</v>
      </c>
      <c r="G546">
        <v>0</v>
      </c>
      <c r="H546">
        <v>0</v>
      </c>
      <c r="I546">
        <v>0</v>
      </c>
      <c r="J546">
        <v>-340.2955</v>
      </c>
      <c r="K546">
        <v>1.1101529999999999</v>
      </c>
      <c r="L546">
        <v>366.6465</v>
      </c>
      <c r="M546">
        <v>0.99983719999999998</v>
      </c>
      <c r="N546">
        <v>0</v>
      </c>
      <c r="O546">
        <v>-1.322591E-2</v>
      </c>
      <c r="P546">
        <v>0.99551409999999996</v>
      </c>
      <c r="Q546">
        <v>6.4614499999999894E-2</v>
      </c>
      <c r="R546">
        <v>-6.9116990000000003E-2</v>
      </c>
      <c r="S546">
        <v>2.9946899999999999</v>
      </c>
      <c r="T546">
        <v>8.8235139999999993E-3</v>
      </c>
      <c r="U546">
        <v>-0.26214599999999999</v>
      </c>
      <c r="V546">
        <v>5.5920530000000003E-2</v>
      </c>
      <c r="W546">
        <v>7.6860670000000006E-2</v>
      </c>
      <c r="X546">
        <v>0.99547240000000004</v>
      </c>
      <c r="Y546">
        <v>7.4019059999999998E-2</v>
      </c>
      <c r="Z546" s="1">
        <v>6.9945379999999995E-5</v>
      </c>
      <c r="AA546">
        <v>0.99725680000000005</v>
      </c>
      <c r="AB546">
        <v>30</v>
      </c>
      <c r="AC546">
        <v>2.9946899999999999</v>
      </c>
      <c r="AD546">
        <v>8.8235139999999993E-3</v>
      </c>
      <c r="AE546">
        <v>-0.26214599999999999</v>
      </c>
      <c r="AF546">
        <v>0.22251066650266299</v>
      </c>
      <c r="AG546">
        <v>8.8235139999999993E-3</v>
      </c>
      <c r="AH546">
        <v>2.9978695798720199</v>
      </c>
      <c r="AI546">
        <v>89.831826625523405</v>
      </c>
      <c r="AJ546">
        <v>85.755122971654998</v>
      </c>
      <c r="AK546">
        <v>3.0061288843010101</v>
      </c>
      <c r="AL546">
        <v>85.591860412985497</v>
      </c>
      <c r="AM546">
        <v>86.784796328503006</v>
      </c>
      <c r="AN546">
        <v>0.99999998371504395</v>
      </c>
    </row>
    <row r="547" spans="1:40" x14ac:dyDescent="0.25">
      <c r="A547" t="str">
        <f>"20190312151233177"</f>
        <v>20190312151233177</v>
      </c>
      <c r="B547" t="str">
        <f>"1552374753170466"</f>
        <v>1552374753170466</v>
      </c>
      <c r="C547" t="s">
        <v>40</v>
      </c>
      <c r="D547">
        <v>3.7374610000000001</v>
      </c>
      <c r="E547">
        <v>0.50745320000000005</v>
      </c>
      <c r="F547" t="s">
        <v>44</v>
      </c>
      <c r="G547">
        <v>0</v>
      </c>
      <c r="H547">
        <v>0</v>
      </c>
      <c r="I547">
        <v>0</v>
      </c>
      <c r="J547">
        <v>-339.99040000000002</v>
      </c>
      <c r="K547">
        <v>1.110158</v>
      </c>
      <c r="L547">
        <v>366.64260000000002</v>
      </c>
      <c r="M547">
        <v>0.99983920000000004</v>
      </c>
      <c r="N547">
        <v>0</v>
      </c>
      <c r="O547">
        <v>-1.305067E-2</v>
      </c>
      <c r="P547">
        <v>0.99551069999999997</v>
      </c>
      <c r="Q547">
        <v>6.4311560000000004E-2</v>
      </c>
      <c r="R547">
        <v>-6.9444359999999997E-2</v>
      </c>
      <c r="S547">
        <v>2.9938349999999998</v>
      </c>
      <c r="T547">
        <v>1.618814E-2</v>
      </c>
      <c r="U547">
        <v>-0.2681885</v>
      </c>
      <c r="V547">
        <v>5.6422359999999998E-2</v>
      </c>
      <c r="W547">
        <v>7.6578259999999995E-2</v>
      </c>
      <c r="X547">
        <v>0.99546590000000001</v>
      </c>
      <c r="Y547">
        <v>7.6214840000000006E-2</v>
      </c>
      <c r="Z547">
        <v>1.3522059999999901E-4</v>
      </c>
      <c r="AA547">
        <v>0.99709139999999996</v>
      </c>
      <c r="AB547">
        <v>30</v>
      </c>
      <c r="AC547">
        <v>2.9938349999999998</v>
      </c>
      <c r="AD547">
        <v>1.618814E-2</v>
      </c>
      <c r="AE547">
        <v>-0.2681885</v>
      </c>
      <c r="AF547">
        <v>0.229084504312248</v>
      </c>
      <c r="AG547">
        <v>1.618814E-2</v>
      </c>
      <c r="AH547">
        <v>2.99699337331425</v>
      </c>
      <c r="AI547">
        <v>89.691422291277604</v>
      </c>
      <c r="AJ547">
        <v>85.628918866613901</v>
      </c>
      <c r="AK547">
        <v>3.0057796069709002</v>
      </c>
      <c r="AL547">
        <v>85.608089372205001</v>
      </c>
      <c r="AM547">
        <v>86.755983351454205</v>
      </c>
      <c r="AN547">
        <v>1.0000000353377001</v>
      </c>
    </row>
    <row r="548" spans="1:40" x14ac:dyDescent="0.25">
      <c r="A548" t="str">
        <f>"20190312151233200"</f>
        <v>20190312151233200</v>
      </c>
      <c r="B548" t="str">
        <f>"1552374753189985"</f>
        <v>1552374753189985</v>
      </c>
      <c r="C548" t="s">
        <v>40</v>
      </c>
      <c r="D548">
        <v>3.74701</v>
      </c>
      <c r="E548">
        <v>0.5073664</v>
      </c>
      <c r="F548" t="s">
        <v>44</v>
      </c>
      <c r="G548">
        <v>0</v>
      </c>
      <c r="H548">
        <v>0</v>
      </c>
      <c r="I548">
        <v>0</v>
      </c>
      <c r="J548">
        <v>-339.67860000000002</v>
      </c>
      <c r="K548">
        <v>1.1101570000000001</v>
      </c>
      <c r="L548">
        <v>366.6388</v>
      </c>
      <c r="M548">
        <v>0.99984150000000005</v>
      </c>
      <c r="N548">
        <v>0</v>
      </c>
      <c r="O548">
        <v>-1.286559E-2</v>
      </c>
      <c r="P548">
        <v>0.99544529999999998</v>
      </c>
      <c r="Q548">
        <v>6.4200789999999994E-2</v>
      </c>
      <c r="R548">
        <v>-7.0479130000000001E-2</v>
      </c>
      <c r="S548">
        <v>2.9933169999999998</v>
      </c>
      <c r="T548">
        <v>1.808941E-2</v>
      </c>
      <c r="U548">
        <v>-0.27194210000000002</v>
      </c>
      <c r="V548">
        <v>5.764147E-2</v>
      </c>
      <c r="W548">
        <v>7.6488890000000004E-2</v>
      </c>
      <c r="X548">
        <v>0.99540289999999998</v>
      </c>
      <c r="Y548">
        <v>7.7654699999999993E-2</v>
      </c>
      <c r="Z548">
        <v>1.5657709999999901E-4</v>
      </c>
      <c r="AA548">
        <v>0.99698030000000004</v>
      </c>
      <c r="AB548">
        <v>30</v>
      </c>
      <c r="AC548">
        <v>2.9933169999999998</v>
      </c>
      <c r="AD548">
        <v>1.808941E-2</v>
      </c>
      <c r="AE548">
        <v>-0.27194210000000002</v>
      </c>
      <c r="AF548">
        <v>0.23339742927280099</v>
      </c>
      <c r="AG548">
        <v>1.808941E-2</v>
      </c>
      <c r="AH548">
        <v>2.99645964269481</v>
      </c>
      <c r="AI548">
        <v>89.655158201072197</v>
      </c>
      <c r="AJ548">
        <v>85.5461634234656</v>
      </c>
      <c r="AK548">
        <v>3.00559012126471</v>
      </c>
      <c r="AL548">
        <v>85.613224853023794</v>
      </c>
      <c r="AM548">
        <v>86.685835639192803</v>
      </c>
      <c r="AN548">
        <v>1.0000000113428</v>
      </c>
    </row>
    <row r="549" spans="1:40" x14ac:dyDescent="0.25">
      <c r="A549" t="str">
        <f>"20190312151233223"</f>
        <v>20190312151233223</v>
      </c>
      <c r="B549" t="str">
        <f>"1552374753220242"</f>
        <v>1552374753220242</v>
      </c>
      <c r="C549" t="s">
        <v>40</v>
      </c>
      <c r="D549">
        <v>3.802047</v>
      </c>
      <c r="E549">
        <v>0.50840180000000001</v>
      </c>
      <c r="F549" t="s">
        <v>43</v>
      </c>
      <c r="G549">
        <v>-307.32920000000001</v>
      </c>
      <c r="H549">
        <v>-0.05</v>
      </c>
      <c r="I549">
        <v>363.65120000000002</v>
      </c>
      <c r="J549">
        <v>-339.38150000000002</v>
      </c>
      <c r="K549">
        <v>1.110168</v>
      </c>
      <c r="L549">
        <v>366.6352</v>
      </c>
      <c r="M549">
        <v>0.9998435</v>
      </c>
      <c r="N549">
        <v>0</v>
      </c>
      <c r="O549">
        <v>-1.267831E-2</v>
      </c>
      <c r="P549">
        <v>0.99542050000000004</v>
      </c>
      <c r="Q549">
        <v>6.3867010000000002E-2</v>
      </c>
      <c r="R549">
        <v>-7.1126770000000006E-2</v>
      </c>
      <c r="S549">
        <v>3.0010680000000001</v>
      </c>
      <c r="T549">
        <v>-0.1076283</v>
      </c>
      <c r="U549">
        <v>-0.27716059999999998</v>
      </c>
      <c r="V549">
        <v>5.8474579999999998E-2</v>
      </c>
      <c r="W549">
        <v>7.6175090000000001E-2</v>
      </c>
      <c r="X549">
        <v>0.9953784</v>
      </c>
      <c r="Y549">
        <v>7.9287280000000002E-2</v>
      </c>
      <c r="Z549">
        <v>-9.6474660000000004E-4</v>
      </c>
      <c r="AA549">
        <v>0.9968513</v>
      </c>
      <c r="AB549">
        <v>30</v>
      </c>
      <c r="AC549">
        <v>32.052300000000002</v>
      </c>
      <c r="AD549">
        <v>-1.1601680000000001</v>
      </c>
      <c r="AE549">
        <v>-2.98399999999998</v>
      </c>
      <c r="AF549">
        <v>2.5740168108144501</v>
      </c>
      <c r="AG549">
        <v>-1.1601680000000001</v>
      </c>
      <c r="AH549">
        <v>32.0459339857305</v>
      </c>
      <c r="AI549">
        <v>92.066739244298105</v>
      </c>
      <c r="AJ549">
        <v>85.407705899404107</v>
      </c>
      <c r="AK549">
        <v>32.170070521345998</v>
      </c>
      <c r="AL549">
        <v>85.631257003204595</v>
      </c>
      <c r="AM549">
        <v>86.637961528579396</v>
      </c>
      <c r="AN549">
        <v>1.0000000400146201</v>
      </c>
    </row>
    <row r="550" spans="1:40" x14ac:dyDescent="0.25">
      <c r="A550" t="str">
        <f>"20190312151233243"</f>
        <v>20190312151233243</v>
      </c>
      <c r="B550" t="str">
        <f>"1552374753239762"</f>
        <v>1552374753239762</v>
      </c>
      <c r="C550" t="s">
        <v>40</v>
      </c>
      <c r="D550">
        <v>3.770705</v>
      </c>
      <c r="E550">
        <v>0.50866350000000005</v>
      </c>
      <c r="F550" t="s">
        <v>43</v>
      </c>
      <c r="G550">
        <v>-297.18779999999998</v>
      </c>
      <c r="H550">
        <v>-0.05</v>
      </c>
      <c r="I550">
        <v>362.59769999999997</v>
      </c>
      <c r="J550">
        <v>-339.1046</v>
      </c>
      <c r="K550">
        <v>1.110179</v>
      </c>
      <c r="L550">
        <v>366.63189999999997</v>
      </c>
      <c r="M550">
        <v>0.99984580000000001</v>
      </c>
      <c r="N550">
        <v>0</v>
      </c>
      <c r="O550">
        <v>-1.2491E-2</v>
      </c>
      <c r="P550">
        <v>0.99542149999999996</v>
      </c>
      <c r="Q550">
        <v>6.3456910000000005E-2</v>
      </c>
      <c r="R550">
        <v>-7.1481870000000003E-2</v>
      </c>
      <c r="S550">
        <v>2.9985659999999998</v>
      </c>
      <c r="T550">
        <v>-8.24492E-2</v>
      </c>
      <c r="U550">
        <v>-0.28692630000000002</v>
      </c>
      <c r="V550">
        <v>5.9014490000000003E-2</v>
      </c>
      <c r="W550">
        <v>7.5782840000000004E-2</v>
      </c>
      <c r="X550">
        <v>0.99537640000000005</v>
      </c>
      <c r="Y550">
        <v>8.2783869999999996E-2</v>
      </c>
      <c r="Z550">
        <v>-7.927384E-4</v>
      </c>
      <c r="AA550">
        <v>0.99656719999999999</v>
      </c>
      <c r="AB550">
        <v>30</v>
      </c>
      <c r="AC550">
        <v>41.916800000000002</v>
      </c>
      <c r="AD550">
        <v>-1.1601790000000001</v>
      </c>
      <c r="AE550">
        <v>-4.0341999999999896</v>
      </c>
      <c r="AF550">
        <v>3.5076001453671899</v>
      </c>
      <c r="AG550">
        <v>-1.1601790000000001</v>
      </c>
      <c r="AH550">
        <v>41.9320958747562</v>
      </c>
      <c r="AI550">
        <v>91.5793446273168</v>
      </c>
      <c r="AJ550">
        <v>85.218366943666993</v>
      </c>
      <c r="AK550">
        <v>42.094535732581299</v>
      </c>
      <c r="AL550">
        <v>85.653796089766999</v>
      </c>
      <c r="AM550">
        <v>86.606984403302306</v>
      </c>
      <c r="AN550">
        <v>0.99999996327269203</v>
      </c>
    </row>
    <row r="551" spans="1:40" x14ac:dyDescent="0.25">
      <c r="A551" t="str">
        <f>"20190312151233266"</f>
        <v>20190312151233266</v>
      </c>
      <c r="B551" t="str">
        <f>"1552374753260258"</f>
        <v>1552374753260258</v>
      </c>
      <c r="C551" t="s">
        <v>40</v>
      </c>
      <c r="D551">
        <v>3.820001</v>
      </c>
      <c r="E551">
        <v>0.50850450000000003</v>
      </c>
      <c r="F551" t="s">
        <v>43</v>
      </c>
      <c r="G551">
        <v>-294.7903</v>
      </c>
      <c r="H551">
        <v>-0.05</v>
      </c>
      <c r="I551">
        <v>362.34199999999998</v>
      </c>
      <c r="J551">
        <v>-338.80650000000003</v>
      </c>
      <c r="K551">
        <v>1.1101890000000001</v>
      </c>
      <c r="L551">
        <v>366.6284</v>
      </c>
      <c r="M551">
        <v>0.99984819999999996</v>
      </c>
      <c r="N551">
        <v>0</v>
      </c>
      <c r="O551">
        <v>-1.2272430000000001E-2</v>
      </c>
      <c r="P551">
        <v>0.99542180000000002</v>
      </c>
      <c r="Q551">
        <v>6.3348650000000006E-2</v>
      </c>
      <c r="R551">
        <v>-7.1573620000000004E-2</v>
      </c>
      <c r="S551">
        <v>2.997986</v>
      </c>
      <c r="T551">
        <v>-7.8489299999999998E-2</v>
      </c>
      <c r="U551">
        <v>-0.29022219999999999</v>
      </c>
      <c r="V551">
        <v>5.9322010000000001E-2</v>
      </c>
      <c r="W551">
        <v>7.5692029999999993E-2</v>
      </c>
      <c r="X551">
        <v>0.9953651</v>
      </c>
      <c r="Y551">
        <v>8.4107390000000004E-2</v>
      </c>
      <c r="Z551">
        <v>-7.7777229999999905E-4</v>
      </c>
      <c r="AA551">
        <v>0.99645640000000002</v>
      </c>
      <c r="AB551">
        <v>30</v>
      </c>
      <c r="AC551">
        <v>44.016199999999998</v>
      </c>
      <c r="AD551">
        <v>-1.1601889999999999</v>
      </c>
      <c r="AE551">
        <v>-4.2864000000000102</v>
      </c>
      <c r="AF551">
        <v>3.7432738616782499</v>
      </c>
      <c r="AG551">
        <v>-1.1601889999999999</v>
      </c>
      <c r="AH551">
        <v>44.0351869278078</v>
      </c>
      <c r="AI551">
        <v>91.503793865906005</v>
      </c>
      <c r="AJ551">
        <v>85.141171536030896</v>
      </c>
      <c r="AK551">
        <v>44.209227831825103</v>
      </c>
      <c r="AL551">
        <v>85.659014411423897</v>
      </c>
      <c r="AM551">
        <v>86.589306659958396</v>
      </c>
      <c r="AN551">
        <v>1.0000000332869801</v>
      </c>
    </row>
    <row r="552" spans="1:40" x14ac:dyDescent="0.25">
      <c r="A552" t="str">
        <f>"20190312151233288"</f>
        <v>20190312151233288</v>
      </c>
      <c r="B552" t="str">
        <f>"1552374753279778"</f>
        <v>1552374753279778</v>
      </c>
      <c r="C552" t="s">
        <v>40</v>
      </c>
      <c r="D552">
        <v>3.8291040000000001</v>
      </c>
      <c r="E552">
        <v>0.50809369999999998</v>
      </c>
      <c r="F552" t="s">
        <v>43</v>
      </c>
      <c r="G552">
        <v>-295.5523</v>
      </c>
      <c r="H552">
        <v>-0.05</v>
      </c>
      <c r="I552">
        <v>362.45359999999999</v>
      </c>
      <c r="J552">
        <v>-338.50920000000002</v>
      </c>
      <c r="K552">
        <v>1.1102030000000001</v>
      </c>
      <c r="L552">
        <v>366.62509999999997</v>
      </c>
      <c r="M552">
        <v>0.99985089999999999</v>
      </c>
      <c r="N552">
        <v>0</v>
      </c>
      <c r="O552">
        <v>-1.2037269999999999E-2</v>
      </c>
      <c r="P552">
        <v>0.99544140000000003</v>
      </c>
      <c r="Q552">
        <v>6.3158130000000007E-2</v>
      </c>
      <c r="R552">
        <v>-7.1467639999999999E-2</v>
      </c>
      <c r="S552">
        <v>2.9981080000000002</v>
      </c>
      <c r="T552">
        <v>-8.0416920000000003E-2</v>
      </c>
      <c r="U552">
        <v>-0.28936770000000001</v>
      </c>
      <c r="V552">
        <v>5.9448149999999998E-2</v>
      </c>
      <c r="W552">
        <v>7.5516570000000005E-2</v>
      </c>
      <c r="X552">
        <v>0.99537089999999995</v>
      </c>
      <c r="Y552">
        <v>8.4055199999999997E-2</v>
      </c>
      <c r="Z552">
        <v>-8.0243699999999905E-4</v>
      </c>
      <c r="AA552">
        <v>0.99646080000000004</v>
      </c>
      <c r="AB552">
        <v>30</v>
      </c>
      <c r="AC552">
        <v>42.956899999999997</v>
      </c>
      <c r="AD552">
        <v>-1.1602030000000001</v>
      </c>
      <c r="AE552">
        <v>-4.1714999999999796</v>
      </c>
      <c r="AF552">
        <v>3.6514355914410599</v>
      </c>
      <c r="AG552">
        <v>-1.1602030000000001</v>
      </c>
      <c r="AH552">
        <v>42.972950345187002</v>
      </c>
      <c r="AI552">
        <v>91.540971275267793</v>
      </c>
      <c r="AJ552">
        <v>85.143211858292403</v>
      </c>
      <c r="AK552">
        <v>43.143406382082901</v>
      </c>
      <c r="AL552">
        <v>85.669096377418995</v>
      </c>
      <c r="AM552">
        <v>86.582091339267393</v>
      </c>
      <c r="AN552">
        <v>1.00000003172489</v>
      </c>
    </row>
    <row r="553" spans="1:40" x14ac:dyDescent="0.25">
      <c r="A553" t="str">
        <f>"20190312151233311"</f>
        <v>20190312151233311</v>
      </c>
      <c r="B553" t="str">
        <f>"1552374753300274"</f>
        <v>1552374753300274</v>
      </c>
      <c r="C553" t="s">
        <v>40</v>
      </c>
      <c r="D553">
        <v>3.8471320000000002</v>
      </c>
      <c r="E553">
        <v>0.50791600000000003</v>
      </c>
      <c r="F553" t="s">
        <v>43</v>
      </c>
      <c r="G553">
        <v>-296.56</v>
      </c>
      <c r="H553">
        <v>-0.05</v>
      </c>
      <c r="I553">
        <v>362.62970000000001</v>
      </c>
      <c r="J553">
        <v>-338.21530000000001</v>
      </c>
      <c r="K553">
        <v>1.1102190000000001</v>
      </c>
      <c r="L553">
        <v>366.62180000000001</v>
      </c>
      <c r="M553">
        <v>0.99985369999999996</v>
      </c>
      <c r="N553">
        <v>0</v>
      </c>
      <c r="O553">
        <v>-1.179235E-2</v>
      </c>
      <c r="P553">
        <v>0.99546100000000004</v>
      </c>
      <c r="Q553">
        <v>6.3319429999999996E-2</v>
      </c>
      <c r="R553">
        <v>-7.1050820000000001E-2</v>
      </c>
      <c r="S553">
        <v>2.9985050000000002</v>
      </c>
      <c r="T553">
        <v>-8.293056E-2</v>
      </c>
      <c r="U553">
        <v>-0.28558349999999999</v>
      </c>
      <c r="V553">
        <v>5.9273180000000002E-2</v>
      </c>
      <c r="W553">
        <v>7.5691540000000002E-2</v>
      </c>
      <c r="X553">
        <v>0.99536800000000003</v>
      </c>
      <c r="Y553">
        <v>8.3039210000000002E-2</v>
      </c>
      <c r="Z553">
        <v>-8.2019000000000005E-4</v>
      </c>
      <c r="AA553">
        <v>0.99654600000000004</v>
      </c>
      <c r="AB553">
        <v>30</v>
      </c>
      <c r="AC553">
        <v>41.655299999999997</v>
      </c>
      <c r="AD553">
        <v>-1.1602189999999999</v>
      </c>
      <c r="AE553">
        <v>-3.99209999999999</v>
      </c>
      <c r="AF553">
        <v>3.4978818958437201</v>
      </c>
      <c r="AG553">
        <v>-1.1602189999999999</v>
      </c>
      <c r="AH553">
        <v>41.667452377761599</v>
      </c>
      <c r="AI553">
        <v>91.589385797079103</v>
      </c>
      <c r="AJ553">
        <v>85.201408922145404</v>
      </c>
      <c r="AK553">
        <v>41.8301072618546</v>
      </c>
      <c r="AL553">
        <v>85.659042366939403</v>
      </c>
      <c r="AM553">
        <v>86.592117405777898</v>
      </c>
      <c r="AN553">
        <v>0.99999998725944195</v>
      </c>
    </row>
    <row r="554" spans="1:40" x14ac:dyDescent="0.25">
      <c r="A554" t="str">
        <f>"20190312151233332"</f>
        <v>20190312151233332</v>
      </c>
      <c r="B554" t="str">
        <f>"1552374753319794"</f>
        <v>1552374753319794</v>
      </c>
      <c r="C554" t="s">
        <v>40</v>
      </c>
      <c r="D554">
        <v>3.8355610000000002</v>
      </c>
      <c r="E554">
        <v>0.50788739999999999</v>
      </c>
      <c r="F554" t="s">
        <v>43</v>
      </c>
      <c r="G554">
        <v>-296.25810000000001</v>
      </c>
      <c r="H554">
        <v>-0.05</v>
      </c>
      <c r="I554">
        <v>362.66230000000002</v>
      </c>
      <c r="J554">
        <v>-337.92200000000003</v>
      </c>
      <c r="K554">
        <v>1.1102379999999901</v>
      </c>
      <c r="L554">
        <v>366.61860000000001</v>
      </c>
      <c r="M554">
        <v>0.99985650000000004</v>
      </c>
      <c r="N554">
        <v>0</v>
      </c>
      <c r="O554">
        <v>-1.153563E-2</v>
      </c>
      <c r="P554">
        <v>0.99547229999999998</v>
      </c>
      <c r="Q554">
        <v>6.3849020000000006E-2</v>
      </c>
      <c r="R554">
        <v>-7.0417950000000007E-2</v>
      </c>
      <c r="S554">
        <v>2.9987180000000002</v>
      </c>
      <c r="T554">
        <v>-8.2921739999999994E-2</v>
      </c>
      <c r="U554">
        <v>-0.2829895</v>
      </c>
      <c r="V554">
        <v>5.8894099999999998E-2</v>
      </c>
      <c r="W554">
        <v>7.6232140000000004E-2</v>
      </c>
      <c r="X554">
        <v>0.99534920000000005</v>
      </c>
      <c r="Y554">
        <v>8.2434140000000003E-2</v>
      </c>
      <c r="Z554">
        <v>-8.1881209999999996E-4</v>
      </c>
      <c r="AA554">
        <v>0.99659620000000004</v>
      </c>
      <c r="AB554">
        <v>30</v>
      </c>
      <c r="AC554">
        <v>41.663899999999899</v>
      </c>
      <c r="AD554">
        <v>-1.1602380000000001</v>
      </c>
      <c r="AE554">
        <v>-3.9562999999999899</v>
      </c>
      <c r="AF554">
        <v>3.4727114166213902</v>
      </c>
      <c r="AG554">
        <v>-1.1602380000000001</v>
      </c>
      <c r="AH554">
        <v>41.674739885075603</v>
      </c>
      <c r="AI554">
        <v>91.589215635634304</v>
      </c>
      <c r="AJ554">
        <v>85.236608951987805</v>
      </c>
      <c r="AK554">
        <v>41.835270063529997</v>
      </c>
      <c r="AL554">
        <v>85.6279783177703</v>
      </c>
      <c r="AM554">
        <v>86.613797741106296</v>
      </c>
      <c r="AN554">
        <v>0.99999994206221299</v>
      </c>
    </row>
    <row r="555" spans="1:40" x14ac:dyDescent="0.25">
      <c r="A555" t="str">
        <f>"20190312151233355"</f>
        <v>20190312151233355</v>
      </c>
      <c r="B555" t="str">
        <f>"1552374753350050"</f>
        <v>1552374753350050</v>
      </c>
      <c r="C555" t="s">
        <v>40</v>
      </c>
      <c r="D555">
        <v>3.860414</v>
      </c>
      <c r="E555">
        <v>0.50781189999999998</v>
      </c>
      <c r="F555" t="s">
        <v>43</v>
      </c>
      <c r="G555">
        <v>-294.57339999999999</v>
      </c>
      <c r="H555">
        <v>-0.05</v>
      </c>
      <c r="I555">
        <v>362.5616</v>
      </c>
      <c r="J555">
        <v>-337.6198</v>
      </c>
      <c r="K555">
        <v>1.110255</v>
      </c>
      <c r="L555">
        <v>366.6155</v>
      </c>
      <c r="M555">
        <v>0.99985959999999996</v>
      </c>
      <c r="N555">
        <v>0</v>
      </c>
      <c r="O555">
        <v>-1.125864E-2</v>
      </c>
      <c r="P555">
        <v>0.99560890000000002</v>
      </c>
      <c r="Q555">
        <v>6.2721040000000006E-2</v>
      </c>
      <c r="R555">
        <v>-6.9490949999999996E-2</v>
      </c>
      <c r="S555">
        <v>2.9989319999999999</v>
      </c>
      <c r="T555">
        <v>-8.0267309999999994E-2</v>
      </c>
      <c r="U555">
        <v>-0.28067019999999998</v>
      </c>
      <c r="V555">
        <v>5.8240680000000003E-2</v>
      </c>
      <c r="W555">
        <v>7.511574E-2</v>
      </c>
      <c r="X555">
        <v>0.99547260000000004</v>
      </c>
      <c r="Y555">
        <v>8.1941330000000007E-2</v>
      </c>
      <c r="Z555">
        <v>-7.9339739999999997E-4</v>
      </c>
      <c r="AA555">
        <v>0.99663690000000005</v>
      </c>
      <c r="AB555">
        <v>30</v>
      </c>
      <c r="AC555">
        <v>43.046399999999998</v>
      </c>
      <c r="AD555">
        <v>-1.160255</v>
      </c>
      <c r="AE555">
        <v>-4.0538999999999898</v>
      </c>
      <c r="AF555">
        <v>3.5663935803296201</v>
      </c>
      <c r="AG555">
        <v>-1.160255</v>
      </c>
      <c r="AH555">
        <v>43.058309501140997</v>
      </c>
      <c r="AI555">
        <v>91.538261350024797</v>
      </c>
      <c r="AJ555">
        <v>85.265166265580007</v>
      </c>
      <c r="AK555">
        <v>43.221330057402099</v>
      </c>
      <c r="AL555">
        <v>85.6921276276409</v>
      </c>
      <c r="AM555">
        <v>86.651695268515795</v>
      </c>
      <c r="AN555">
        <v>1.00000002427668</v>
      </c>
    </row>
    <row r="556" spans="1:40" x14ac:dyDescent="0.25">
      <c r="A556" t="str">
        <f>"20190312151233378"</f>
        <v>20190312151233378</v>
      </c>
      <c r="B556" t="str">
        <f>"1552374753370549"</f>
        <v>1552374753370549</v>
      </c>
      <c r="C556" t="s">
        <v>40</v>
      </c>
      <c r="D556">
        <v>3.8850189999999998</v>
      </c>
      <c r="E556">
        <v>0.50783610000000001</v>
      </c>
      <c r="F556" t="s">
        <v>43</v>
      </c>
      <c r="G556">
        <v>-295.82299999999998</v>
      </c>
      <c r="H556">
        <v>-0.05</v>
      </c>
      <c r="I556">
        <v>362.75459999999998</v>
      </c>
      <c r="J556">
        <v>-337.32780000000002</v>
      </c>
      <c r="K556">
        <v>1.1102620000000001</v>
      </c>
      <c r="L556">
        <v>366.61250000000001</v>
      </c>
      <c r="M556">
        <v>0.99986260000000005</v>
      </c>
      <c r="N556">
        <v>0</v>
      </c>
      <c r="O556">
        <v>-1.0979249999999999E-2</v>
      </c>
      <c r="P556">
        <v>0.99570570000000003</v>
      </c>
      <c r="Q556">
        <v>6.2645870000000006E-2</v>
      </c>
      <c r="R556">
        <v>-6.8160879999999993E-2</v>
      </c>
      <c r="S556">
        <v>2.9991759999999998</v>
      </c>
      <c r="T556">
        <v>-8.3255289999999996E-2</v>
      </c>
      <c r="U556">
        <v>-0.27703860000000002</v>
      </c>
      <c r="V556">
        <v>5.7186269999999997E-2</v>
      </c>
      <c r="W556">
        <v>7.5049649999999996E-2</v>
      </c>
      <c r="X556">
        <v>0.9955387</v>
      </c>
      <c r="Y556">
        <v>8.1014149999999993E-2</v>
      </c>
      <c r="Z556">
        <v>-8.1779619999999896E-4</v>
      </c>
      <c r="AA556">
        <v>0.99671259999999995</v>
      </c>
      <c r="AB556">
        <v>30</v>
      </c>
      <c r="AC556">
        <v>41.504800000000003</v>
      </c>
      <c r="AD556">
        <v>-1.1602619999999999</v>
      </c>
      <c r="AE556">
        <v>-3.8579000000000199</v>
      </c>
      <c r="AF556">
        <v>3.3993069911893001</v>
      </c>
      <c r="AG556">
        <v>-1.1602619999999999</v>
      </c>
      <c r="AH556">
        <v>41.512494955554402</v>
      </c>
      <c r="AI556">
        <v>91.595645362389007</v>
      </c>
      <c r="AJ556">
        <v>85.318701974418403</v>
      </c>
      <c r="AK556">
        <v>41.667598123289103</v>
      </c>
      <c r="AL556">
        <v>85.6959249686156</v>
      </c>
      <c r="AM556">
        <v>86.712397782776605</v>
      </c>
      <c r="AN556">
        <v>1.0000000113196601</v>
      </c>
    </row>
    <row r="557" spans="1:40" x14ac:dyDescent="0.25">
      <c r="A557" t="str">
        <f>"20190312151233400"</f>
        <v>20190312151233400</v>
      </c>
      <c r="B557" t="str">
        <f>"1552374753390066"</f>
        <v>1552374753390066</v>
      </c>
      <c r="C557" t="s">
        <v>40</v>
      </c>
      <c r="D557">
        <v>3.8815439999999999</v>
      </c>
      <c r="E557">
        <v>0.50789300000000004</v>
      </c>
      <c r="F557" t="s">
        <v>43</v>
      </c>
      <c r="G557">
        <v>-295.21249999999998</v>
      </c>
      <c r="H557">
        <v>-0.05</v>
      </c>
      <c r="I557">
        <v>362.77749999999997</v>
      </c>
      <c r="J557">
        <v>-337.0224</v>
      </c>
      <c r="K557">
        <v>1.1102620000000001</v>
      </c>
      <c r="L557">
        <v>366.60950000000003</v>
      </c>
      <c r="M557">
        <v>0.99986589999999997</v>
      </c>
      <c r="N557">
        <v>0</v>
      </c>
      <c r="O557">
        <v>-1.067601E-2</v>
      </c>
      <c r="P557">
        <v>0.99584379999999995</v>
      </c>
      <c r="Q557">
        <v>6.2043769999999998E-2</v>
      </c>
      <c r="R557">
        <v>-6.6677509999999995E-2</v>
      </c>
      <c r="S557">
        <v>2.9994809999999998</v>
      </c>
      <c r="T557">
        <v>-8.2634689999999997E-2</v>
      </c>
      <c r="U557">
        <v>-0.27313229999999999</v>
      </c>
      <c r="V557">
        <v>5.6002110000000001E-2</v>
      </c>
      <c r="W557">
        <v>7.4455729999999998E-2</v>
      </c>
      <c r="X557">
        <v>0.99565060000000005</v>
      </c>
      <c r="Y557">
        <v>8.0020569999999999E-2</v>
      </c>
      <c r="Z557">
        <v>-8.0634599999999999E-4</v>
      </c>
      <c r="AA557">
        <v>0.99679289999999998</v>
      </c>
      <c r="AB557">
        <v>30</v>
      </c>
      <c r="AC557">
        <v>41.809899999999999</v>
      </c>
      <c r="AD557">
        <v>-1.1602619999999999</v>
      </c>
      <c r="AE557">
        <v>-3.83200000000005</v>
      </c>
      <c r="AF557">
        <v>3.38280081574174</v>
      </c>
      <c r="AG557">
        <v>-1.1602619999999999</v>
      </c>
      <c r="AH557">
        <v>41.816495381366501</v>
      </c>
      <c r="AI557">
        <v>91.584177905373295</v>
      </c>
      <c r="AJ557">
        <v>85.375053315088493</v>
      </c>
      <c r="AK557">
        <v>41.969141464264801</v>
      </c>
      <c r="AL557">
        <v>85.730049526709607</v>
      </c>
      <c r="AM557">
        <v>86.780690749255498</v>
      </c>
      <c r="AN557">
        <v>1.0000000046673201</v>
      </c>
    </row>
    <row r="558" spans="1:40" x14ac:dyDescent="0.25">
      <c r="A558" t="str">
        <f>"20190312151233424"</f>
        <v>20190312151233424</v>
      </c>
      <c r="B558" t="str">
        <f>"1552374753420322"</f>
        <v>1552374753420322</v>
      </c>
      <c r="C558" t="s">
        <v>40</v>
      </c>
      <c r="D558">
        <v>3.9155700000000002</v>
      </c>
      <c r="E558">
        <v>0.50794459999999997</v>
      </c>
      <c r="F558" t="s">
        <v>43</v>
      </c>
      <c r="G558">
        <v>-295.49119999999999</v>
      </c>
      <c r="H558">
        <v>-0.05</v>
      </c>
      <c r="I558">
        <v>362.88459999999998</v>
      </c>
      <c r="J558">
        <v>-336.7253</v>
      </c>
      <c r="K558">
        <v>1.110268</v>
      </c>
      <c r="L558">
        <v>366.60669999999999</v>
      </c>
      <c r="M558">
        <v>0.99986900000000001</v>
      </c>
      <c r="N558">
        <v>0</v>
      </c>
      <c r="O558">
        <v>-1.03692E-2</v>
      </c>
      <c r="P558">
        <v>0.99594899999999997</v>
      </c>
      <c r="Q558">
        <v>6.097433E-2</v>
      </c>
      <c r="R558">
        <v>-6.6089729999999999E-2</v>
      </c>
      <c r="S558">
        <v>2.9997250000000002</v>
      </c>
      <c r="T558">
        <v>-8.380377E-2</v>
      </c>
      <c r="U558">
        <v>-0.26904299999999998</v>
      </c>
      <c r="V558">
        <v>5.571798E-2</v>
      </c>
      <c r="W558">
        <v>7.3394840000000003E-2</v>
      </c>
      <c r="X558">
        <v>0.99574530000000006</v>
      </c>
      <c r="Y558">
        <v>7.8970750000000006E-2</v>
      </c>
      <c r="Z558">
        <v>-8.1165109999999996E-4</v>
      </c>
      <c r="AA558">
        <v>0.9968766</v>
      </c>
      <c r="AB558">
        <v>30</v>
      </c>
      <c r="AC558">
        <v>41.234099999999998</v>
      </c>
      <c r="AD558">
        <v>-1.1602680000000001</v>
      </c>
      <c r="AE558">
        <v>-3.72210000000001</v>
      </c>
      <c r="AF558">
        <v>3.2917169632620098</v>
      </c>
      <c r="AG558">
        <v>-1.1602680000000001</v>
      </c>
      <c r="AH558">
        <v>41.238093500479899</v>
      </c>
      <c r="AI558">
        <v>91.606531883138203</v>
      </c>
      <c r="AJ558">
        <v>85.436199057878298</v>
      </c>
      <c r="AK558">
        <v>41.385528605448201</v>
      </c>
      <c r="AL558">
        <v>85.791000801611702</v>
      </c>
      <c r="AM558">
        <v>86.797293996445305</v>
      </c>
      <c r="AN558">
        <v>0.99999999915299798</v>
      </c>
    </row>
    <row r="559" spans="1:40" x14ac:dyDescent="0.25">
      <c r="A559" t="str">
        <f>"20190312151233444"</f>
        <v>20190312151233444</v>
      </c>
      <c r="B559" t="str">
        <f>"1552374753439842"</f>
        <v>1552374753439842</v>
      </c>
      <c r="C559" t="s">
        <v>40</v>
      </c>
      <c r="D559">
        <v>3.9374220000000002</v>
      </c>
      <c r="E559">
        <v>0.50784669999999998</v>
      </c>
      <c r="F559" t="s">
        <v>43</v>
      </c>
      <c r="G559">
        <v>-296.62709999999998</v>
      </c>
      <c r="H559">
        <v>-0.05</v>
      </c>
      <c r="I559">
        <v>363.03199999999998</v>
      </c>
      <c r="J559">
        <v>-336.44080000000002</v>
      </c>
      <c r="K559">
        <v>1.110268</v>
      </c>
      <c r="L559">
        <v>366.60410000000002</v>
      </c>
      <c r="M559">
        <v>0.99987199999999998</v>
      </c>
      <c r="N559">
        <v>0</v>
      </c>
      <c r="O559">
        <v>-1.006573E-2</v>
      </c>
      <c r="P559">
        <v>0.99598350000000002</v>
      </c>
      <c r="Q559">
        <v>6.0420799999999997E-2</v>
      </c>
      <c r="R559">
        <v>-6.6078109999999995E-2</v>
      </c>
      <c r="S559">
        <v>2.9998170000000002</v>
      </c>
      <c r="T559">
        <v>-8.6801649999999994E-2</v>
      </c>
      <c r="U559">
        <v>-0.26742549999999998</v>
      </c>
      <c r="V559">
        <v>5.6007510000000003E-2</v>
      </c>
      <c r="W559">
        <v>7.284699E-2</v>
      </c>
      <c r="X559">
        <v>0.99576929999999997</v>
      </c>
      <c r="Y559">
        <v>7.8735399999999997E-2</v>
      </c>
      <c r="Z559">
        <v>-8.4603130000000001E-4</v>
      </c>
      <c r="AA559">
        <v>0.99689519999999998</v>
      </c>
      <c r="AB559">
        <v>30</v>
      </c>
      <c r="AC559">
        <v>39.813699999999997</v>
      </c>
      <c r="AD559">
        <v>-1.1602680000000001</v>
      </c>
      <c r="AE559">
        <v>-3.57210000000003</v>
      </c>
      <c r="AF559">
        <v>3.1684646279651201</v>
      </c>
      <c r="AG559">
        <v>-1.1602680000000001</v>
      </c>
      <c r="AH559">
        <v>39.814097918860703</v>
      </c>
      <c r="AI559">
        <v>91.663991252222004</v>
      </c>
      <c r="AJ559">
        <v>85.4499067679658</v>
      </c>
      <c r="AK559">
        <v>39.956823985686299</v>
      </c>
      <c r="AL559">
        <v>85.822474601113797</v>
      </c>
      <c r="AM559">
        <v>86.780763965805605</v>
      </c>
      <c r="AN559">
        <v>1.0000000119754699</v>
      </c>
    </row>
    <row r="560" spans="1:40" x14ac:dyDescent="0.25">
      <c r="A560" t="str">
        <f>"20190312151233466"</f>
        <v>20190312151233466</v>
      </c>
      <c r="B560" t="str">
        <f>"1552374753460339"</f>
        <v>1552374753460339</v>
      </c>
      <c r="C560" t="s">
        <v>40</v>
      </c>
      <c r="D560">
        <v>3.9450419999999999</v>
      </c>
      <c r="E560">
        <v>0.50788650000000002</v>
      </c>
      <c r="F560" t="s">
        <v>43</v>
      </c>
      <c r="G560">
        <v>-297.61869999999999</v>
      </c>
      <c r="H560">
        <v>-0.05</v>
      </c>
      <c r="I560">
        <v>363.1551</v>
      </c>
      <c r="J560">
        <v>-336.15620000000001</v>
      </c>
      <c r="K560">
        <v>1.1102829999999999</v>
      </c>
      <c r="L560">
        <v>366.60160000000002</v>
      </c>
      <c r="M560">
        <v>0.99987499999999996</v>
      </c>
      <c r="N560">
        <v>0</v>
      </c>
      <c r="O560">
        <v>-9.7518959999999995E-3</v>
      </c>
      <c r="P560">
        <v>0.99590559999999995</v>
      </c>
      <c r="Q560">
        <v>6.0915730000000001E-2</v>
      </c>
      <c r="R560">
        <v>-6.6792669999999998E-2</v>
      </c>
      <c r="S560">
        <v>2.9998469999999999</v>
      </c>
      <c r="T560">
        <v>-8.9656E-2</v>
      </c>
      <c r="U560">
        <v>-0.26651000000000002</v>
      </c>
      <c r="V560">
        <v>5.7034010000000003E-2</v>
      </c>
      <c r="W560">
        <v>7.3346330000000001E-2</v>
      </c>
      <c r="X560">
        <v>0.99567439999999996</v>
      </c>
      <c r="Y560">
        <v>7.8743510000000003E-2</v>
      </c>
      <c r="Z560">
        <v>-8.8332059999999895E-4</v>
      </c>
      <c r="AA560">
        <v>0.99689450000000002</v>
      </c>
      <c r="AB560">
        <v>30</v>
      </c>
      <c r="AC560">
        <v>38.537500000000001</v>
      </c>
      <c r="AD560">
        <v>-1.160283</v>
      </c>
      <c r="AE560">
        <v>-3.4465000000000101</v>
      </c>
      <c r="AF560">
        <v>3.0677345000144798</v>
      </c>
      <c r="AG560">
        <v>-1.160283</v>
      </c>
      <c r="AH560">
        <v>38.534625831104897</v>
      </c>
      <c r="AI560">
        <v>91.719226788427406</v>
      </c>
      <c r="AJ560">
        <v>85.448293115236098</v>
      </c>
      <c r="AK560">
        <v>38.673952985774797</v>
      </c>
      <c r="AL560">
        <v>85.793787889231396</v>
      </c>
      <c r="AM560">
        <v>86.721577889767701</v>
      </c>
      <c r="AN560">
        <v>1.00000003661825</v>
      </c>
    </row>
    <row r="561" spans="1:40" x14ac:dyDescent="0.25">
      <c r="A561" t="str">
        <f>"20190312151233489"</f>
        <v>20190312151233489</v>
      </c>
      <c r="B561" t="str">
        <f>"1552374753479858"</f>
        <v>1552374753479858</v>
      </c>
      <c r="C561" t="s">
        <v>40</v>
      </c>
      <c r="D561">
        <v>3.97418</v>
      </c>
      <c r="E561">
        <v>0.50787059999999995</v>
      </c>
      <c r="F561" t="s">
        <v>43</v>
      </c>
      <c r="G561">
        <v>-296.48860000000002</v>
      </c>
      <c r="H561">
        <v>-0.05</v>
      </c>
      <c r="I561">
        <v>363.036</v>
      </c>
      <c r="J561">
        <v>-335.84339999999997</v>
      </c>
      <c r="K561">
        <v>1.1102989999999999</v>
      </c>
      <c r="L561">
        <v>366.59899999999999</v>
      </c>
      <c r="M561">
        <v>0.99987839999999995</v>
      </c>
      <c r="N561">
        <v>0</v>
      </c>
      <c r="O561">
        <v>-9.3977939999999992E-3</v>
      </c>
      <c r="P561">
        <v>0.99574300000000004</v>
      </c>
      <c r="Q561">
        <v>6.2598329999999994E-2</v>
      </c>
      <c r="R561">
        <v>-6.7658399999999994E-2</v>
      </c>
      <c r="S561">
        <v>2.999603</v>
      </c>
      <c r="T561">
        <v>-8.7738750000000004E-2</v>
      </c>
      <c r="U561">
        <v>-0.2696228</v>
      </c>
      <c r="V561">
        <v>5.825168E-2</v>
      </c>
      <c r="W561">
        <v>7.5035859999999996E-2</v>
      </c>
      <c r="X561">
        <v>0.99547799999999997</v>
      </c>
      <c r="Y561">
        <v>8.0130480000000004E-2</v>
      </c>
      <c r="Z561">
        <v>-8.9504220000000004E-4</v>
      </c>
      <c r="AA561">
        <v>0.996784</v>
      </c>
      <c r="AB561">
        <v>30</v>
      </c>
      <c r="AC561">
        <v>39.354799999999898</v>
      </c>
      <c r="AD561">
        <v>-1.160299</v>
      </c>
      <c r="AE561">
        <v>-3.5629999999999802</v>
      </c>
      <c r="AF561">
        <v>3.19021514002308</v>
      </c>
      <c r="AG561">
        <v>-1.160299</v>
      </c>
      <c r="AH561">
        <v>39.352619609312498</v>
      </c>
      <c r="AI561">
        <v>91.683338722751699</v>
      </c>
      <c r="AJ561">
        <v>85.365314476227297</v>
      </c>
      <c r="AK561">
        <v>39.498764999988097</v>
      </c>
      <c r="AL561">
        <v>85.696717450288403</v>
      </c>
      <c r="AM561">
        <v>86.651082433728405</v>
      </c>
      <c r="AN561">
        <v>1.0000000434963801</v>
      </c>
    </row>
    <row r="562" spans="1:40" x14ac:dyDescent="0.25">
      <c r="A562" t="str">
        <f>"20190312151233512"</f>
        <v>20190312151233512</v>
      </c>
      <c r="B562" t="str">
        <f>"1552374753500354"</f>
        <v>1552374753500354</v>
      </c>
      <c r="C562" t="s">
        <v>40</v>
      </c>
      <c r="D562">
        <v>4.0015229999999997</v>
      </c>
      <c r="E562">
        <v>0.50782850000000002</v>
      </c>
      <c r="F562" t="s">
        <v>43</v>
      </c>
      <c r="G562">
        <v>-294.53989999999999</v>
      </c>
      <c r="H562">
        <v>-0.05</v>
      </c>
      <c r="I562">
        <v>362.85199999999998</v>
      </c>
      <c r="J562">
        <v>-335.55340000000001</v>
      </c>
      <c r="K562">
        <v>1.110312</v>
      </c>
      <c r="L562">
        <v>366.59660000000002</v>
      </c>
      <c r="M562">
        <v>0.99988129999999997</v>
      </c>
      <c r="N562">
        <v>0</v>
      </c>
      <c r="O562">
        <v>-9.0651900000000007E-3</v>
      </c>
      <c r="P562">
        <v>0.99564810000000004</v>
      </c>
      <c r="Q562">
        <v>6.3138849999999996E-2</v>
      </c>
      <c r="R562">
        <v>-6.8545720000000004E-2</v>
      </c>
      <c r="S562">
        <v>2.9996339999999999</v>
      </c>
      <c r="T562">
        <v>-8.4265709999999994E-2</v>
      </c>
      <c r="U562">
        <v>-0.27212520000000001</v>
      </c>
      <c r="V562">
        <v>5.9469760000000003E-2</v>
      </c>
      <c r="W562">
        <v>7.5586479999999998E-2</v>
      </c>
      <c r="X562">
        <v>0.99536420000000003</v>
      </c>
      <c r="Y562">
        <v>8.1287689999999996E-2</v>
      </c>
      <c r="Z562">
        <v>-8.8512509999999999E-4</v>
      </c>
      <c r="AA562">
        <v>0.99669030000000003</v>
      </c>
      <c r="AB562">
        <v>30</v>
      </c>
      <c r="AC562">
        <v>41.013500000000001</v>
      </c>
      <c r="AD562">
        <v>-1.160312</v>
      </c>
      <c r="AE562">
        <v>-3.7446000000000401</v>
      </c>
      <c r="AF562">
        <v>3.3699471474228102</v>
      </c>
      <c r="AG562">
        <v>-1.160312</v>
      </c>
      <c r="AH562">
        <v>41.013207901284296</v>
      </c>
      <c r="AI562">
        <v>91.615092823788601</v>
      </c>
      <c r="AJ562">
        <v>85.302709127512998</v>
      </c>
      <c r="AK562">
        <v>41.167779756354797</v>
      </c>
      <c r="AL562">
        <v>85.6650789044443</v>
      </c>
      <c r="AM562">
        <v>86.580828881789202</v>
      </c>
      <c r="AN562">
        <v>0.99999992947744099</v>
      </c>
    </row>
    <row r="563" spans="1:40" x14ac:dyDescent="0.25">
      <c r="A563" t="str">
        <f>"20190312151233534"</f>
        <v>20190312151233534</v>
      </c>
      <c r="B563" t="str">
        <f>"1552374753530610"</f>
        <v>1552374753530610</v>
      </c>
      <c r="C563" t="s">
        <v>40</v>
      </c>
      <c r="D563">
        <v>4.2121009999999997</v>
      </c>
      <c r="E563">
        <v>0.48534460000000001</v>
      </c>
      <c r="F563" t="s">
        <v>43</v>
      </c>
      <c r="G563">
        <v>-293.35899999999998</v>
      </c>
      <c r="H563">
        <v>-0.05</v>
      </c>
      <c r="I563">
        <v>362.73680000000002</v>
      </c>
      <c r="J563">
        <v>-335.25920000000002</v>
      </c>
      <c r="K563">
        <v>1.1103149999999999</v>
      </c>
      <c r="L563">
        <v>366.59429999999998</v>
      </c>
      <c r="M563">
        <v>0.9998842</v>
      </c>
      <c r="N563">
        <v>0</v>
      </c>
      <c r="O563">
        <v>-8.7261700000000001E-3</v>
      </c>
      <c r="P563">
        <v>0.99567870000000003</v>
      </c>
      <c r="Q563">
        <v>6.2606889999999998E-2</v>
      </c>
      <c r="R563">
        <v>-6.8589460000000005E-2</v>
      </c>
      <c r="S563">
        <v>2.9994510000000001</v>
      </c>
      <c r="T563">
        <v>-8.248258E-2</v>
      </c>
      <c r="U563">
        <v>-0.2743835</v>
      </c>
      <c r="V563">
        <v>5.9850599999999997E-2</v>
      </c>
      <c r="W563">
        <v>7.5067239999999993E-2</v>
      </c>
      <c r="X563">
        <v>0.99538079999999995</v>
      </c>
      <c r="Y563">
        <v>8.2375920000000005E-2</v>
      </c>
      <c r="Z563">
        <v>-8.9065450000000001E-4</v>
      </c>
      <c r="AA563">
        <v>0.99660090000000001</v>
      </c>
      <c r="AB563">
        <v>30</v>
      </c>
      <c r="AC563">
        <v>41.900199999999899</v>
      </c>
      <c r="AD563">
        <v>-1.160315</v>
      </c>
      <c r="AE563">
        <v>-3.8574999999999502</v>
      </c>
      <c r="AF563">
        <v>3.4890432773495399</v>
      </c>
      <c r="AG563">
        <v>-1.160315</v>
      </c>
      <c r="AH563">
        <v>41.900406319324297</v>
      </c>
      <c r="AI563">
        <v>91.580773383007795</v>
      </c>
      <c r="AJ563">
        <v>85.239966865374797</v>
      </c>
      <c r="AK563">
        <v>42.061428929779801</v>
      </c>
      <c r="AL563">
        <v>85.694914498822797</v>
      </c>
      <c r="AM563">
        <v>86.559042453618204</v>
      </c>
      <c r="AN563">
        <v>1.0000000609251001</v>
      </c>
    </row>
    <row r="564" spans="1:40" x14ac:dyDescent="0.25">
      <c r="A564" t="str">
        <f>"20190312151233555"</f>
        <v>20190312151233555</v>
      </c>
      <c r="B564" t="str">
        <f>"1552374753550130"</f>
        <v>1552374753550130</v>
      </c>
      <c r="C564" t="s">
        <v>40</v>
      </c>
      <c r="D564">
        <v>3.930847</v>
      </c>
      <c r="E564">
        <v>0.45336409999999999</v>
      </c>
      <c r="F564" t="s">
        <v>41</v>
      </c>
      <c r="G564">
        <v>-334.38959999999997</v>
      </c>
      <c r="H564">
        <v>1.021768</v>
      </c>
      <c r="I564">
        <v>366.56509999999997</v>
      </c>
      <c r="J564">
        <v>-334.96910000000003</v>
      </c>
      <c r="K564">
        <v>1.11032</v>
      </c>
      <c r="L564">
        <v>366.59219999999999</v>
      </c>
      <c r="M564">
        <v>0.99988690000000002</v>
      </c>
      <c r="N564">
        <v>0</v>
      </c>
      <c r="O564">
        <v>-8.3894350000000006E-3</v>
      </c>
      <c r="P564">
        <v>0.99567879999999997</v>
      </c>
      <c r="Q564">
        <v>6.2729599999999996E-2</v>
      </c>
      <c r="R564">
        <v>-6.8477120000000002E-2</v>
      </c>
      <c r="S564">
        <v>3.0254210000000001</v>
      </c>
      <c r="T564">
        <v>-0.30818899999999999</v>
      </c>
      <c r="U564">
        <v>-0.1011353</v>
      </c>
      <c r="V564">
        <v>6.0072830000000001E-2</v>
      </c>
      <c r="W564">
        <v>7.5201329999999997E-2</v>
      </c>
      <c r="X564">
        <v>0.99535720000000005</v>
      </c>
      <c r="Y564">
        <v>2.493772E-2</v>
      </c>
      <c r="Z564">
        <v>-4.143401E-4</v>
      </c>
      <c r="AA564">
        <v>0.99968889999999999</v>
      </c>
      <c r="AB564">
        <v>30</v>
      </c>
      <c r="AC564">
        <v>0.57950000000005197</v>
      </c>
      <c r="AD564">
        <v>-8.8551999999999895E-2</v>
      </c>
      <c r="AE564">
        <v>-2.7100000000018502E-2</v>
      </c>
      <c r="AF564">
        <v>2.17306821255356E-2</v>
      </c>
      <c r="AG564">
        <v>-8.8551999999999895E-2</v>
      </c>
      <c r="AH564">
        <v>0.56650779216114899</v>
      </c>
      <c r="AI564">
        <v>98.877705272509303</v>
      </c>
      <c r="AJ564">
        <v>87.803267222145806</v>
      </c>
      <c r="AK564">
        <v>0.57379853418158899</v>
      </c>
      <c r="AL564">
        <v>85.687209538933303</v>
      </c>
      <c r="AM564">
        <v>86.546215086956494</v>
      </c>
      <c r="AN564">
        <v>0.99999997026490794</v>
      </c>
    </row>
    <row r="565" spans="1:40" x14ac:dyDescent="0.25">
      <c r="A565" t="str">
        <f>"20190312151233578"</f>
        <v>20190312151233578</v>
      </c>
      <c r="B565" t="str">
        <f>"1552374753570626"</f>
        <v>1552374753570626</v>
      </c>
      <c r="C565" t="s">
        <v>40</v>
      </c>
      <c r="D565">
        <v>3.9391340000000001</v>
      </c>
      <c r="E565">
        <v>0.45325009999999999</v>
      </c>
      <c r="F565" t="s">
        <v>41</v>
      </c>
      <c r="G565">
        <v>-334.18639999999999</v>
      </c>
      <c r="H565">
        <v>0.88306830000000003</v>
      </c>
      <c r="I565">
        <v>366.6277</v>
      </c>
      <c r="J565">
        <v>-334.67290000000003</v>
      </c>
      <c r="K565">
        <v>1.110317</v>
      </c>
      <c r="L565">
        <v>366.59019999999998</v>
      </c>
      <c r="M565">
        <v>0.99988960000000005</v>
      </c>
      <c r="N565">
        <v>0</v>
      </c>
      <c r="O565">
        <v>-8.041154E-3</v>
      </c>
      <c r="P565">
        <v>0.99574499999999999</v>
      </c>
      <c r="Q565">
        <v>6.2327189999999998E-2</v>
      </c>
      <c r="R565">
        <v>-6.7877549999999995E-2</v>
      </c>
      <c r="S565">
        <v>3.0789490000000002</v>
      </c>
      <c r="T565">
        <v>-0.89388609999999902</v>
      </c>
      <c r="U565">
        <v>0.13946529999999999</v>
      </c>
      <c r="V565">
        <v>5.9819650000000002E-2</v>
      </c>
      <c r="W565">
        <v>7.4810000000000001E-2</v>
      </c>
      <c r="X565">
        <v>0.99540200000000001</v>
      </c>
      <c r="Y565">
        <v>-5.0854860000000002E-2</v>
      </c>
      <c r="Z565">
        <v>9.5157829999999999E-3</v>
      </c>
      <c r="AA565">
        <v>0.99866069999999996</v>
      </c>
      <c r="AB565">
        <v>30</v>
      </c>
      <c r="AC565">
        <v>0.48650000000003402</v>
      </c>
      <c r="AD565">
        <v>-0.227248699999999</v>
      </c>
      <c r="AE565">
        <v>3.7500000000022703E-2</v>
      </c>
      <c r="AF565">
        <v>-3.4029938310031899E-2</v>
      </c>
      <c r="AG565">
        <v>-0.227248699999999</v>
      </c>
      <c r="AH565">
        <v>0.39952480510175897</v>
      </c>
      <c r="AI565">
        <v>119.54219385646201</v>
      </c>
      <c r="AJ565">
        <v>94.868476416341906</v>
      </c>
      <c r="AK565">
        <v>0.46089052739742098</v>
      </c>
      <c r="AL565">
        <v>85.709694709127106</v>
      </c>
      <c r="AM565">
        <v>86.560890644425896</v>
      </c>
      <c r="AN565">
        <v>1.0000000341150601</v>
      </c>
    </row>
    <row r="566" spans="1:40" x14ac:dyDescent="0.25">
      <c r="A566" t="str">
        <f>"20190312151233601"</f>
        <v>20190312151233601</v>
      </c>
      <c r="B566" t="str">
        <f>"1552374753590146"</f>
        <v>1552374753590146</v>
      </c>
      <c r="C566" t="s">
        <v>40</v>
      </c>
      <c r="D566">
        <v>4.1304889999999999</v>
      </c>
      <c r="E566">
        <v>0.4524455</v>
      </c>
      <c r="F566" t="s">
        <v>41</v>
      </c>
      <c r="G566">
        <v>-333.93180000000001</v>
      </c>
      <c r="H566">
        <v>0.86168789999999995</v>
      </c>
      <c r="I566">
        <v>366.62349999999998</v>
      </c>
      <c r="J566">
        <v>-334.3673</v>
      </c>
      <c r="K566">
        <v>1.1103209999999999</v>
      </c>
      <c r="L566">
        <v>366.58819999999997</v>
      </c>
      <c r="M566">
        <v>0.99989249999999996</v>
      </c>
      <c r="N566">
        <v>0</v>
      </c>
      <c r="O566">
        <v>-7.6786980000000003E-3</v>
      </c>
      <c r="P566">
        <v>0.99576679999999995</v>
      </c>
      <c r="Q566">
        <v>6.2368569999999998E-2</v>
      </c>
      <c r="R566">
        <v>-6.7519750000000003E-2</v>
      </c>
      <c r="S566">
        <v>3.0871279999999999</v>
      </c>
      <c r="T566">
        <v>-1.0357019999999999</v>
      </c>
      <c r="U566">
        <v>0.13922119999999999</v>
      </c>
      <c r="V566">
        <v>5.9822800000000002E-2</v>
      </c>
      <c r="W566">
        <v>7.4861839999999999E-2</v>
      </c>
      <c r="X566">
        <v>0.99539789999999995</v>
      </c>
      <c r="Y566">
        <v>-4.9590580000000002E-2</v>
      </c>
      <c r="Z566">
        <v>1.0599590000000001E-2</v>
      </c>
      <c r="AA566">
        <v>0.99871339999999997</v>
      </c>
      <c r="AB566">
        <v>30</v>
      </c>
      <c r="AC566">
        <v>0.43549999999999001</v>
      </c>
      <c r="AD566">
        <v>-0.248633099999999</v>
      </c>
      <c r="AE566">
        <v>3.53000000000065E-2</v>
      </c>
      <c r="AF566">
        <v>-2.9190846530067299E-2</v>
      </c>
      <c r="AG566">
        <v>-0.248633099999999</v>
      </c>
      <c r="AH566">
        <v>0.32875888131442599</v>
      </c>
      <c r="AI566">
        <v>126.991237230772</v>
      </c>
      <c r="AJ566">
        <v>95.074046046991398</v>
      </c>
      <c r="AK566">
        <v>0.41322261068323002</v>
      </c>
      <c r="AL566">
        <v>85.706716086891404</v>
      </c>
      <c r="AM566">
        <v>86.560695849256902</v>
      </c>
      <c r="AN566">
        <v>1.0000000209062101</v>
      </c>
    </row>
    <row r="567" spans="1:40" x14ac:dyDescent="0.25">
      <c r="A567" t="str">
        <f>"20190312151233625"</f>
        <v>20190312151233625</v>
      </c>
      <c r="B567" t="str">
        <f>"1552374753620402"</f>
        <v>1552374753620402</v>
      </c>
      <c r="C567" t="s">
        <v>40</v>
      </c>
      <c r="D567">
        <v>3.831639</v>
      </c>
      <c r="E567">
        <v>0.4518548</v>
      </c>
      <c r="F567" t="s">
        <v>41</v>
      </c>
      <c r="G567">
        <v>-333.66719999999998</v>
      </c>
      <c r="H567">
        <v>0.86302400000000001</v>
      </c>
      <c r="I567">
        <v>366.62130000000002</v>
      </c>
      <c r="J567">
        <v>-334.07040000000001</v>
      </c>
      <c r="K567">
        <v>1.1103259999999999</v>
      </c>
      <c r="L567">
        <v>366.58629999999999</v>
      </c>
      <c r="M567">
        <v>0.99989490000000003</v>
      </c>
      <c r="N567">
        <v>0</v>
      </c>
      <c r="O567">
        <v>-7.3238729999999998E-3</v>
      </c>
      <c r="P567">
        <v>0.99579969999999995</v>
      </c>
      <c r="Q567">
        <v>6.2103209999999999E-2</v>
      </c>
      <c r="R567">
        <v>-6.727611E-2</v>
      </c>
      <c r="S567">
        <v>3.0910950000000001</v>
      </c>
      <c r="T567">
        <v>-1.0918410000000001</v>
      </c>
      <c r="U567">
        <v>0.146362299999999</v>
      </c>
      <c r="V567">
        <v>5.9932569999999998E-2</v>
      </c>
      <c r="W567">
        <v>7.4605519999999995E-2</v>
      </c>
      <c r="X567">
        <v>0.99541049999999998</v>
      </c>
      <c r="Y567">
        <v>-5.1082519999999999E-2</v>
      </c>
      <c r="Z567">
        <v>1.1262060000000001E-2</v>
      </c>
      <c r="AA567">
        <v>0.99863089999999999</v>
      </c>
      <c r="AB567">
        <v>30</v>
      </c>
      <c r="AC567">
        <v>0.40320000000002598</v>
      </c>
      <c r="AD567">
        <v>-0.24730199999999899</v>
      </c>
      <c r="AE567">
        <v>3.5000000000024997E-2</v>
      </c>
      <c r="AF567">
        <v>-2.76341641272255E-2</v>
      </c>
      <c r="AG567">
        <v>-0.24730199999999899</v>
      </c>
      <c r="AH567">
        <v>0.29338718347739801</v>
      </c>
      <c r="AI567">
        <v>130.003571333526</v>
      </c>
      <c r="AJ567">
        <v>95.380819419759305</v>
      </c>
      <c r="AK567">
        <v>0.38470503721658</v>
      </c>
      <c r="AL567">
        <v>85.721443149939603</v>
      </c>
      <c r="AM567">
        <v>86.554443704368694</v>
      </c>
      <c r="AN567">
        <v>0.99999998003576196</v>
      </c>
    </row>
    <row r="568" spans="1:40" x14ac:dyDescent="0.25">
      <c r="A568" t="str">
        <f>"20190312151233646"</f>
        <v>20190312151233646</v>
      </c>
      <c r="B568" t="str">
        <f>"1552374753639922"</f>
        <v>1552374753639922</v>
      </c>
      <c r="C568" t="s">
        <v>40</v>
      </c>
      <c r="D568">
        <v>3.8494769999999998</v>
      </c>
      <c r="E568">
        <v>0.44887009999999999</v>
      </c>
      <c r="F568" t="s">
        <v>41</v>
      </c>
      <c r="G568">
        <v>-333.40170000000001</v>
      </c>
      <c r="H568">
        <v>0.86700429999999995</v>
      </c>
      <c r="I568">
        <v>366.61869999999999</v>
      </c>
      <c r="J568">
        <v>-333.78199999999998</v>
      </c>
      <c r="K568">
        <v>1.1103320000000001</v>
      </c>
      <c r="L568">
        <v>366.58460000000002</v>
      </c>
      <c r="M568">
        <v>0.99989720000000004</v>
      </c>
      <c r="N568">
        <v>0</v>
      </c>
      <c r="O568">
        <v>-6.978461E-3</v>
      </c>
      <c r="P568">
        <v>0.99581350000000002</v>
      </c>
      <c r="Q568">
        <v>6.2019629999999999E-2</v>
      </c>
      <c r="R568">
        <v>-6.7150790000000002E-2</v>
      </c>
      <c r="S568">
        <v>3.093048</v>
      </c>
      <c r="T568">
        <v>-1.1255120000000001</v>
      </c>
      <c r="U568">
        <v>0.15103150000000001</v>
      </c>
      <c r="V568">
        <v>6.0151160000000002E-2</v>
      </c>
      <c r="W568">
        <v>7.4529449999999997E-2</v>
      </c>
      <c r="X568">
        <v>0.99540309999999999</v>
      </c>
      <c r="Y568">
        <v>-5.1967800000000001E-2</v>
      </c>
      <c r="Z568">
        <v>1.161571E-2</v>
      </c>
      <c r="AA568">
        <v>0.99858119999999995</v>
      </c>
      <c r="AB568">
        <v>30</v>
      </c>
      <c r="AC568">
        <v>0.38029999999997699</v>
      </c>
      <c r="AD568">
        <v>-0.24332769999999901</v>
      </c>
      <c r="AE568">
        <v>3.4099999999966699E-2</v>
      </c>
      <c r="AF568">
        <v>-2.61381161189078E-2</v>
      </c>
      <c r="AG568">
        <v>-0.24332769999999901</v>
      </c>
      <c r="AH568">
        <v>0.27028502679973099</v>
      </c>
      <c r="AI568">
        <v>131.8629776599</v>
      </c>
      <c r="AJ568">
        <v>95.523654961583304</v>
      </c>
      <c r="AK568">
        <v>0.36461701333545399</v>
      </c>
      <c r="AL568">
        <v>85.725814177107395</v>
      </c>
      <c r="AM568">
        <v>86.541881640889699</v>
      </c>
      <c r="AN568">
        <v>1.0000000662281201</v>
      </c>
    </row>
    <row r="569" spans="1:40" x14ac:dyDescent="0.25">
      <c r="A569" t="str">
        <f>"20190312151233668"</f>
        <v>20190312151233668</v>
      </c>
      <c r="B569" t="str">
        <f>"1552374753660200"</f>
        <v>1552374753660200</v>
      </c>
      <c r="C569" t="s">
        <v>40</v>
      </c>
      <c r="D569">
        <v>3.9073989999999998</v>
      </c>
      <c r="E569">
        <v>0.44798090000000002</v>
      </c>
      <c r="F569" t="s">
        <v>42</v>
      </c>
      <c r="G569">
        <v>-331.71879999999999</v>
      </c>
      <c r="H569" s="1">
        <v>-4.0537870000000003E-6</v>
      </c>
      <c r="I569">
        <v>366.69139999999999</v>
      </c>
      <c r="J569">
        <v>-333.49040000000002</v>
      </c>
      <c r="K569">
        <v>1.1103270000000001</v>
      </c>
      <c r="L569">
        <v>366.58300000000003</v>
      </c>
      <c r="M569">
        <v>0.99989969999999995</v>
      </c>
      <c r="N569">
        <v>0</v>
      </c>
      <c r="O569">
        <v>-6.6294680000000003E-3</v>
      </c>
      <c r="P569">
        <v>0.99580340000000001</v>
      </c>
      <c r="Q569">
        <v>6.2217759999999997E-2</v>
      </c>
      <c r="R569">
        <v>-6.7120020000000002E-2</v>
      </c>
      <c r="S569">
        <v>3.128387</v>
      </c>
      <c r="T569">
        <v>-1.683443</v>
      </c>
      <c r="U569">
        <v>0.16204830000000001</v>
      </c>
      <c r="V569">
        <v>6.0468139999999997E-2</v>
      </c>
      <c r="W569">
        <v>7.4733910000000001E-2</v>
      </c>
      <c r="X569">
        <v>0.99536849999999999</v>
      </c>
      <c r="Y569">
        <v>-5.0607739999999998E-2</v>
      </c>
      <c r="Z569">
        <v>1.6084359999999999E-2</v>
      </c>
      <c r="AA569">
        <v>0.99858910000000001</v>
      </c>
      <c r="AB569">
        <v>30</v>
      </c>
      <c r="AC569">
        <v>1.77160000000003</v>
      </c>
      <c r="AD569">
        <v>-1.1103310537869999</v>
      </c>
      <c r="AE569">
        <v>0.10839999999996</v>
      </c>
      <c r="AF569">
        <v>-8.6350984327666594E-2</v>
      </c>
      <c r="AG569">
        <v>-1.1103310537869999</v>
      </c>
      <c r="AH569">
        <v>1.2727632595168299</v>
      </c>
      <c r="AI569">
        <v>131.03557567472399</v>
      </c>
      <c r="AJ569">
        <v>93.881300517562394</v>
      </c>
      <c r="AK569">
        <v>1.6912178618599101</v>
      </c>
      <c r="AL569">
        <v>85.714066445416805</v>
      </c>
      <c r="AM569">
        <v>86.523582341836303</v>
      </c>
      <c r="AN569">
        <v>1.0000000020255899</v>
      </c>
    </row>
    <row r="570" spans="1:40" x14ac:dyDescent="0.25">
      <c r="A570" t="str">
        <f>"20190312151233690"</f>
        <v>20190312151233690</v>
      </c>
      <c r="B570" t="str">
        <f>"1552374753679725"</f>
        <v>1552374753679725</v>
      </c>
      <c r="C570" t="s">
        <v>40</v>
      </c>
      <c r="D570">
        <v>3.8098719999999999</v>
      </c>
      <c r="E570">
        <v>0.44568930000000001</v>
      </c>
      <c r="F570" t="s">
        <v>42</v>
      </c>
      <c r="G570">
        <v>-331.46559999999999</v>
      </c>
      <c r="H570" s="1">
        <v>-4.162318E-6</v>
      </c>
      <c r="I570">
        <v>366.6918</v>
      </c>
      <c r="J570">
        <v>-333.19909999999999</v>
      </c>
      <c r="K570">
        <v>1.1103240000000001</v>
      </c>
      <c r="L570">
        <v>366.58150000000001</v>
      </c>
      <c r="M570">
        <v>0.99990190000000001</v>
      </c>
      <c r="N570">
        <v>0</v>
      </c>
      <c r="O570">
        <v>-6.2808289999999999E-3</v>
      </c>
      <c r="P570">
        <v>0.99586929999999996</v>
      </c>
      <c r="Q570">
        <v>6.2285739999999999E-2</v>
      </c>
      <c r="R570">
        <v>-6.6068619999999995E-2</v>
      </c>
      <c r="S570">
        <v>3.1312259999999998</v>
      </c>
      <c r="T570">
        <v>-1.71698499999999</v>
      </c>
      <c r="U570">
        <v>0.16839599999999999</v>
      </c>
      <c r="V570">
        <v>5.9763740000000003E-2</v>
      </c>
      <c r="W570">
        <v>7.4807639999999995E-2</v>
      </c>
      <c r="X570">
        <v>0.99540550000000005</v>
      </c>
      <c r="Y570">
        <v>-5.1831269999999999E-2</v>
      </c>
      <c r="Z570">
        <v>1.6486669999999998E-2</v>
      </c>
      <c r="AA570">
        <v>0.99851979999999996</v>
      </c>
      <c r="AB570">
        <v>30</v>
      </c>
      <c r="AC570">
        <v>1.73349999999999</v>
      </c>
      <c r="AD570">
        <v>-1.1103281623179999</v>
      </c>
      <c r="AE570">
        <v>0.110299999999995</v>
      </c>
      <c r="AF570">
        <v>-8.6033180785554705E-2</v>
      </c>
      <c r="AG570">
        <v>-1.1103281623179999</v>
      </c>
      <c r="AH570">
        <v>1.23013683174128</v>
      </c>
      <c r="AI570">
        <v>132.000062404836</v>
      </c>
      <c r="AJ570">
        <v>94.000631931732897</v>
      </c>
      <c r="AK570">
        <v>1.6593573940049899</v>
      </c>
      <c r="AL570">
        <v>85.709830154151703</v>
      </c>
      <c r="AM570">
        <v>86.564109330963902</v>
      </c>
      <c r="AN570">
        <v>0.99999999852570298</v>
      </c>
    </row>
    <row r="571" spans="1:40" x14ac:dyDescent="0.25">
      <c r="A571" t="str">
        <f>"20190312151233712"</f>
        <v>20190312151233712</v>
      </c>
      <c r="B571" t="str">
        <f>"1552374753700217"</f>
        <v>1552374753700217</v>
      </c>
      <c r="C571" t="s">
        <v>40</v>
      </c>
      <c r="D571">
        <v>4.0379870000000002</v>
      </c>
      <c r="E571">
        <v>0.44655640000000002</v>
      </c>
      <c r="F571" t="s">
        <v>42</v>
      </c>
      <c r="G571">
        <v>-331.11700000000002</v>
      </c>
      <c r="H571" s="1">
        <v>-4.3089170000000002E-6</v>
      </c>
      <c r="I571">
        <v>366.70839999999998</v>
      </c>
      <c r="J571">
        <v>-332.90940000000001</v>
      </c>
      <c r="K571">
        <v>1.1103270000000001</v>
      </c>
      <c r="L571">
        <v>366.58010000000002</v>
      </c>
      <c r="M571">
        <v>0.99990389999999996</v>
      </c>
      <c r="N571">
        <v>0</v>
      </c>
      <c r="O571">
        <v>-5.9337349999999999E-3</v>
      </c>
      <c r="P571">
        <v>0.99587829999999999</v>
      </c>
      <c r="Q571">
        <v>6.2520829999999999E-2</v>
      </c>
      <c r="R571">
        <v>-6.5710270000000001E-2</v>
      </c>
      <c r="S571">
        <v>3.1294559999999998</v>
      </c>
      <c r="T571">
        <v>-1.6687940000000001</v>
      </c>
      <c r="U571">
        <v>0.19079589999999999</v>
      </c>
      <c r="V571">
        <v>5.9751060000000002E-2</v>
      </c>
      <c r="W571">
        <v>7.504632E-2</v>
      </c>
      <c r="X571">
        <v>0.9953883</v>
      </c>
      <c r="Y571">
        <v>-5.8250370000000003E-2</v>
      </c>
      <c r="Z571">
        <v>1.7514040000000002E-2</v>
      </c>
      <c r="AA571">
        <v>0.99814840000000005</v>
      </c>
      <c r="AB571">
        <v>30</v>
      </c>
      <c r="AC571">
        <v>1.79240000000004</v>
      </c>
      <c r="AD571">
        <v>-1.1103313089169999</v>
      </c>
      <c r="AE571">
        <v>0.128299999999967</v>
      </c>
      <c r="AF571">
        <v>-0.10054709956373099</v>
      </c>
      <c r="AG571">
        <v>-1.1103313089169999</v>
      </c>
      <c r="AH571">
        <v>1.29659142592302</v>
      </c>
      <c r="AI571">
        <v>130.490137505772</v>
      </c>
      <c r="AJ571">
        <v>94.434255773850893</v>
      </c>
      <c r="AK571">
        <v>1.7099984387621801</v>
      </c>
      <c r="AL571">
        <v>85.696116269620603</v>
      </c>
      <c r="AM571">
        <v>86.564777357426294</v>
      </c>
      <c r="AN571">
        <v>1.00000000354677</v>
      </c>
    </row>
    <row r="572" spans="1:40" x14ac:dyDescent="0.25">
      <c r="A572" t="str">
        <f>"20190312151233735"</f>
        <v>20190312151233735</v>
      </c>
      <c r="B572" t="str">
        <f>"1552374753730472"</f>
        <v>1552374753730472</v>
      </c>
      <c r="C572" t="s">
        <v>40</v>
      </c>
      <c r="D572">
        <v>4.0489050000000004</v>
      </c>
      <c r="E572">
        <v>0.45915800000000001</v>
      </c>
      <c r="F572" t="s">
        <v>42</v>
      </c>
      <c r="G572">
        <v>-330.78840000000002</v>
      </c>
      <c r="H572" s="1">
        <v>-4.4501129999999997E-6</v>
      </c>
      <c r="I572">
        <v>366.7072</v>
      </c>
      <c r="J572">
        <v>-332.61259999999999</v>
      </c>
      <c r="K572">
        <v>1.1103320000000001</v>
      </c>
      <c r="L572">
        <v>366.57870000000003</v>
      </c>
      <c r="M572">
        <v>0.99990579999999996</v>
      </c>
      <c r="N572">
        <v>0</v>
      </c>
      <c r="O572">
        <v>-5.5790029999999999E-3</v>
      </c>
      <c r="P572">
        <v>0.99590690000000004</v>
      </c>
      <c r="Q572">
        <v>6.269479E-2</v>
      </c>
      <c r="R572">
        <v>-6.5108269999999996E-2</v>
      </c>
      <c r="S572">
        <v>3.1275330000000001</v>
      </c>
      <c r="T572">
        <v>-1.6372070000000001</v>
      </c>
      <c r="U572">
        <v>0.1875</v>
      </c>
      <c r="V572">
        <v>5.9502090000000001E-2</v>
      </c>
      <c r="W572">
        <v>7.5224630000000001E-2</v>
      </c>
      <c r="X572">
        <v>0.99538979999999999</v>
      </c>
      <c r="Y572">
        <v>-5.7339519999999998E-2</v>
      </c>
      <c r="Z572">
        <v>1.6832139999999999E-2</v>
      </c>
      <c r="AA572">
        <v>0.99821280000000001</v>
      </c>
      <c r="AB572">
        <v>29</v>
      </c>
      <c r="AC572">
        <v>1.8241999999999601</v>
      </c>
      <c r="AD572">
        <v>-1.110336450113</v>
      </c>
      <c r="AE572">
        <v>0.128499999999974</v>
      </c>
      <c r="AF572">
        <v>-0.10132318997063799</v>
      </c>
      <c r="AG572">
        <v>-1.110336450113</v>
      </c>
      <c r="AH572">
        <v>1.3323013236030901</v>
      </c>
      <c r="AI572">
        <v>129.72650338977499</v>
      </c>
      <c r="AJ572">
        <v>94.349044270696396</v>
      </c>
      <c r="AK572">
        <v>1.7372795509502501</v>
      </c>
      <c r="AL572">
        <v>85.685871094604295</v>
      </c>
      <c r="AM572">
        <v>86.579062280051801</v>
      </c>
      <c r="AN572">
        <v>1.0000000488085199</v>
      </c>
    </row>
    <row r="573" spans="1:40" x14ac:dyDescent="0.25">
      <c r="A573" t="str">
        <f>"20190312151233758"</f>
        <v>20190312151233758</v>
      </c>
      <c r="B573" t="str">
        <f>"1552374753749997"</f>
        <v>1552374753749997</v>
      </c>
      <c r="C573" t="s">
        <v>40</v>
      </c>
      <c r="D573">
        <v>3.7173419999999999</v>
      </c>
      <c r="E573">
        <v>0.46379920000000002</v>
      </c>
      <c r="F573" t="s">
        <v>41</v>
      </c>
      <c r="G573">
        <v>-331.80650000000003</v>
      </c>
      <c r="H573">
        <v>0.89870069999999902</v>
      </c>
      <c r="I573">
        <v>366.6071</v>
      </c>
      <c r="J573">
        <v>-332.30500000000001</v>
      </c>
      <c r="K573">
        <v>1.11032999999999</v>
      </c>
      <c r="L573">
        <v>366.57749999999999</v>
      </c>
      <c r="M573">
        <v>0.99990769999999995</v>
      </c>
      <c r="N573">
        <v>0</v>
      </c>
      <c r="O573">
        <v>-5.2112770000000003E-3</v>
      </c>
      <c r="P573">
        <v>0.99594479999999996</v>
      </c>
      <c r="Q573">
        <v>6.2776299999999993E-2</v>
      </c>
      <c r="R573">
        <v>-6.4445260000000004E-2</v>
      </c>
      <c r="S573">
        <v>3.0700989999999999</v>
      </c>
      <c r="T573">
        <v>-0.80609509999999995</v>
      </c>
      <c r="U573">
        <v>0.1080933</v>
      </c>
      <c r="V573">
        <v>5.9205250000000001E-2</v>
      </c>
      <c r="W573">
        <v>7.5309260000000003E-2</v>
      </c>
      <c r="X573">
        <v>0.99540099999999998</v>
      </c>
      <c r="Y573">
        <v>-3.8901119999999997E-2</v>
      </c>
      <c r="Z573">
        <v>6.365636E-3</v>
      </c>
      <c r="AA573">
        <v>0.99922279999999997</v>
      </c>
      <c r="AB573">
        <v>29</v>
      </c>
      <c r="AC573">
        <v>0.49849999999997802</v>
      </c>
      <c r="AD573">
        <v>-0.21162929999999899</v>
      </c>
      <c r="AE573">
        <v>2.96000000000162E-2</v>
      </c>
      <c r="AF573">
        <v>-2.72955048665533E-2</v>
      </c>
      <c r="AG573">
        <v>-0.21162929999999899</v>
      </c>
      <c r="AH573">
        <v>0.42246637737269299</v>
      </c>
      <c r="AI573">
        <v>116.560252429269</v>
      </c>
      <c r="AJ573">
        <v>93.696735617996595</v>
      </c>
      <c r="AK573">
        <v>0.47329678344017601</v>
      </c>
      <c r="AL573">
        <v>85.681007925583401</v>
      </c>
      <c r="AM573">
        <v>86.596126404207297</v>
      </c>
      <c r="AN573">
        <v>0.99999994853515295</v>
      </c>
    </row>
    <row r="574" spans="1:40" x14ac:dyDescent="0.25">
      <c r="A574" t="str">
        <f>"20190312151233781"</f>
        <v>20190312151233781</v>
      </c>
      <c r="B574" t="str">
        <f>"1552374753770493"</f>
        <v>1552374753770493</v>
      </c>
      <c r="C574" t="s">
        <v>40</v>
      </c>
      <c r="D574">
        <v>3.8607130000000001</v>
      </c>
      <c r="E574">
        <v>0.50529420000000003</v>
      </c>
      <c r="F574" t="s">
        <v>41</v>
      </c>
      <c r="G574">
        <v>-331.53050000000002</v>
      </c>
      <c r="H574">
        <v>0.92905280000000001</v>
      </c>
      <c r="I574">
        <v>366.59649999999999</v>
      </c>
      <c r="J574">
        <v>-332.00869999999998</v>
      </c>
      <c r="K574">
        <v>1.1103209999999999</v>
      </c>
      <c r="L574">
        <v>366.57639999999998</v>
      </c>
      <c r="M574">
        <v>0.99990950000000001</v>
      </c>
      <c r="N574">
        <v>0</v>
      </c>
      <c r="O574">
        <v>-4.8564239999999998E-3</v>
      </c>
      <c r="P574">
        <v>0.99597809999999998</v>
      </c>
      <c r="Q574">
        <v>6.2636310000000001E-2</v>
      </c>
      <c r="R574">
        <v>-6.4065860000000002E-2</v>
      </c>
      <c r="S574">
        <v>3.0622250000000002</v>
      </c>
      <c r="T574">
        <v>-0.71672569999999902</v>
      </c>
      <c r="U574">
        <v>7.4676510000000001E-2</v>
      </c>
      <c r="V574">
        <v>5.9179530000000001E-2</v>
      </c>
      <c r="W574">
        <v>7.5171859999999993E-2</v>
      </c>
      <c r="X574">
        <v>0.99541290000000004</v>
      </c>
      <c r="Y574">
        <v>-2.8337589999999999E-2</v>
      </c>
      <c r="Z574">
        <v>4.3930319999999998E-3</v>
      </c>
      <c r="AA574">
        <v>0.9995887</v>
      </c>
      <c r="AB574">
        <v>29</v>
      </c>
      <c r="AC574">
        <v>0.47819999999995799</v>
      </c>
      <c r="AD574">
        <v>-0.18126819999999899</v>
      </c>
      <c r="AE574">
        <v>2.0100000000013499E-2</v>
      </c>
      <c r="AF574">
        <v>-1.96095732962355E-2</v>
      </c>
      <c r="AG574">
        <v>-0.18126819999999899</v>
      </c>
      <c r="AH574">
        <v>0.41812294800036698</v>
      </c>
      <c r="AI574">
        <v>113.415143329117</v>
      </c>
      <c r="AJ574">
        <v>92.685150681657703</v>
      </c>
      <c r="AK574">
        <v>0.45614635298401501</v>
      </c>
      <c r="AL574">
        <v>85.688902679277703</v>
      </c>
      <c r="AM574">
        <v>86.597642223114306</v>
      </c>
      <c r="AN574">
        <v>0.99999993339664295</v>
      </c>
    </row>
    <row r="575" spans="1:40" x14ac:dyDescent="0.25">
      <c r="A575" t="str">
        <f>"20190312151233804"</f>
        <v>20190312151233804</v>
      </c>
      <c r="B575" t="str">
        <f>"1552374753799774"</f>
        <v>1552374753799774</v>
      </c>
      <c r="C575" t="s">
        <v>40</v>
      </c>
      <c r="D575">
        <v>3.8456760000000001</v>
      </c>
      <c r="E575">
        <v>0.50801890000000005</v>
      </c>
      <c r="F575" t="s">
        <v>43</v>
      </c>
      <c r="G575">
        <v>-307.65109999999999</v>
      </c>
      <c r="H575">
        <v>-0.05</v>
      </c>
      <c r="I575">
        <v>364.6198</v>
      </c>
      <c r="J575">
        <v>-331.7</v>
      </c>
      <c r="K575">
        <v>1.110314</v>
      </c>
      <c r="L575">
        <v>366.57530000000003</v>
      </c>
      <c r="M575">
        <v>0.99991110000000005</v>
      </c>
      <c r="N575">
        <v>0</v>
      </c>
      <c r="O575">
        <v>-4.4867869999999999E-3</v>
      </c>
      <c r="P575">
        <v>0.99602100000000005</v>
      </c>
      <c r="Q575">
        <v>6.2473590000000002E-2</v>
      </c>
      <c r="R575">
        <v>-6.3555810000000004E-2</v>
      </c>
      <c r="S575">
        <v>3.005585</v>
      </c>
      <c r="T575">
        <v>-0.1431769</v>
      </c>
      <c r="U575">
        <v>-0.24142459999999999</v>
      </c>
      <c r="V575">
        <v>5.9037480000000003E-2</v>
      </c>
      <c r="W575">
        <v>7.5011599999999998E-2</v>
      </c>
      <c r="X575">
        <v>0.99543349999999997</v>
      </c>
      <c r="Y575">
        <v>7.5513869999999997E-2</v>
      </c>
      <c r="Z575">
        <v>-1.5814410000000001E-3</v>
      </c>
      <c r="AA575">
        <v>0.99714349999999996</v>
      </c>
      <c r="AB575">
        <v>29</v>
      </c>
      <c r="AC575">
        <v>24.0489</v>
      </c>
      <c r="AD575">
        <v>-1.1603139999999901</v>
      </c>
      <c r="AE575">
        <v>-1.95550000000002</v>
      </c>
      <c r="AF575">
        <v>1.8433067025760601</v>
      </c>
      <c r="AG575">
        <v>-1.1603139999999901</v>
      </c>
      <c r="AH575">
        <v>24.0019258915124</v>
      </c>
      <c r="AI575">
        <v>92.759555375035404</v>
      </c>
      <c r="AJ575">
        <v>85.608402805258507</v>
      </c>
      <c r="AK575">
        <v>24.100550920674301</v>
      </c>
      <c r="AL575">
        <v>85.698111223651495</v>
      </c>
      <c r="AM575">
        <v>86.605859942362798</v>
      </c>
      <c r="AN575">
        <v>1.0000000085507801</v>
      </c>
    </row>
    <row r="576" spans="1:40" x14ac:dyDescent="0.25">
      <c r="A576" t="str">
        <f>"20190312151233825"</f>
        <v>20190312151233825</v>
      </c>
      <c r="B576" t="str">
        <f>"1552374753820268"</f>
        <v>1552374753820268</v>
      </c>
      <c r="C576" t="s">
        <v>40</v>
      </c>
      <c r="D576">
        <v>3.7768030000000001</v>
      </c>
      <c r="E576">
        <v>0.50809079999999995</v>
      </c>
      <c r="F576" t="s">
        <v>43</v>
      </c>
      <c r="G576">
        <v>-306.57029999999997</v>
      </c>
      <c r="H576">
        <v>-0.05</v>
      </c>
      <c r="I576">
        <v>364.38920000000002</v>
      </c>
      <c r="J576">
        <v>-331.4248</v>
      </c>
      <c r="K576">
        <v>1.110312</v>
      </c>
      <c r="L576">
        <v>366.5745</v>
      </c>
      <c r="M576">
        <v>0.99991269999999999</v>
      </c>
      <c r="N576">
        <v>0</v>
      </c>
      <c r="O576">
        <v>-4.1571949999999998E-3</v>
      </c>
      <c r="P576">
        <v>0.99606600000000001</v>
      </c>
      <c r="Q576">
        <v>6.2226599999999903E-2</v>
      </c>
      <c r="R576">
        <v>-6.3093640000000006E-2</v>
      </c>
      <c r="S576">
        <v>3.0039980000000002</v>
      </c>
      <c r="T576">
        <v>-0.13870350000000001</v>
      </c>
      <c r="U576">
        <v>-0.261322</v>
      </c>
      <c r="V576">
        <v>5.8903709999999998E-2</v>
      </c>
      <c r="W576">
        <v>7.4766260000000001E-2</v>
      </c>
      <c r="X576">
        <v>0.99545989999999995</v>
      </c>
      <c r="Y576">
        <v>8.2438719999999993E-2</v>
      </c>
      <c r="Z576">
        <v>-1.7071339999999999E-3</v>
      </c>
      <c r="AA576">
        <v>0.99659469999999994</v>
      </c>
      <c r="AB576">
        <v>29</v>
      </c>
      <c r="AC576">
        <v>24.854500000000002</v>
      </c>
      <c r="AD576">
        <v>-1.160312</v>
      </c>
      <c r="AE576">
        <v>-2.1852999999999798</v>
      </c>
      <c r="AF576">
        <v>2.0774550827845699</v>
      </c>
      <c r="AG576">
        <v>-1.160312</v>
      </c>
      <c r="AH576">
        <v>24.809714806580399</v>
      </c>
      <c r="AI576">
        <v>92.668358983608798</v>
      </c>
      <c r="AJ576">
        <v>85.213472761184903</v>
      </c>
      <c r="AK576">
        <v>24.923565000661199</v>
      </c>
      <c r="AL576">
        <v>85.712207832368605</v>
      </c>
      <c r="AM576">
        <v>86.613622233173601</v>
      </c>
      <c r="AN576">
        <v>1.0000000265970801</v>
      </c>
    </row>
    <row r="577" spans="1:40" x14ac:dyDescent="0.25">
      <c r="A577" t="str">
        <f>"20190312151233847"</f>
        <v>20190312151233847</v>
      </c>
      <c r="B577" t="str">
        <f>"1552374753839792"</f>
        <v>1552374753839792</v>
      </c>
      <c r="C577" t="s">
        <v>40</v>
      </c>
      <c r="D577">
        <v>3.708056</v>
      </c>
      <c r="E577">
        <v>0.50841139999999996</v>
      </c>
      <c r="F577" t="s">
        <v>43</v>
      </c>
      <c r="G577">
        <v>-306.255</v>
      </c>
      <c r="H577">
        <v>-0.05</v>
      </c>
      <c r="I577">
        <v>364.39</v>
      </c>
      <c r="J577">
        <v>-331.14049999999997</v>
      </c>
      <c r="K577">
        <v>1.1103190000000001</v>
      </c>
      <c r="L577">
        <v>366.57369999999997</v>
      </c>
      <c r="M577">
        <v>0.99991390000000002</v>
      </c>
      <c r="N577">
        <v>0</v>
      </c>
      <c r="O577">
        <v>-3.8172269999999999E-3</v>
      </c>
      <c r="P577">
        <v>0.99607440000000003</v>
      </c>
      <c r="Q577">
        <v>6.2661579999999995E-2</v>
      </c>
      <c r="R577">
        <v>-6.2523899999999993E-2</v>
      </c>
      <c r="S577">
        <v>3.0039980000000002</v>
      </c>
      <c r="T577">
        <v>-0.13848260000000001</v>
      </c>
      <c r="U577">
        <v>-0.26071169999999999</v>
      </c>
      <c r="V577">
        <v>5.8672540000000002E-2</v>
      </c>
      <c r="W577">
        <v>7.5201809999999994E-2</v>
      </c>
      <c r="X577">
        <v>0.99544069999999996</v>
      </c>
      <c r="Y577">
        <v>8.2576339999999998E-2</v>
      </c>
      <c r="Z577">
        <v>-1.7232320000000001E-3</v>
      </c>
      <c r="AA577">
        <v>0.9965832</v>
      </c>
      <c r="AB577">
        <v>29</v>
      </c>
      <c r="AC577">
        <v>24.885499999999901</v>
      </c>
      <c r="AD577">
        <v>-1.1603190000000001</v>
      </c>
      <c r="AE577">
        <v>-2.18369999999998</v>
      </c>
      <c r="AF577">
        <v>2.0841865726527198</v>
      </c>
      <c r="AG577">
        <v>-1.1603190000000001</v>
      </c>
      <c r="AH577">
        <v>24.8400650299868</v>
      </c>
      <c r="AI577">
        <v>92.665082108249095</v>
      </c>
      <c r="AJ577">
        <v>85.203875365057101</v>
      </c>
      <c r="AK577">
        <v>24.954338391256901</v>
      </c>
      <c r="AL577">
        <v>85.687182014740202</v>
      </c>
      <c r="AM577">
        <v>86.626816552944604</v>
      </c>
      <c r="AN577">
        <v>0.99999998319690797</v>
      </c>
    </row>
    <row r="578" spans="1:40" x14ac:dyDescent="0.25">
      <c r="A578" t="str">
        <f>"20190312151233869"</f>
        <v>20190312151233869</v>
      </c>
      <c r="B578" t="str">
        <f>"1552374753859819"</f>
        <v>1552374753859819</v>
      </c>
      <c r="C578" t="s">
        <v>40</v>
      </c>
      <c r="D578">
        <v>3.750597</v>
      </c>
      <c r="E578">
        <v>0.50873459999999904</v>
      </c>
      <c r="F578" t="s">
        <v>43</v>
      </c>
      <c r="G578">
        <v>-302.94560000000001</v>
      </c>
      <c r="H578">
        <v>-0.05</v>
      </c>
      <c r="I578">
        <v>364.12259999999998</v>
      </c>
      <c r="J578">
        <v>-330.8417</v>
      </c>
      <c r="K578">
        <v>1.1103179999999999</v>
      </c>
      <c r="L578">
        <v>366.57299999999998</v>
      </c>
      <c r="M578">
        <v>0.99991529999999995</v>
      </c>
      <c r="N578">
        <v>0</v>
      </c>
      <c r="O578">
        <v>-3.4591460000000002E-3</v>
      </c>
      <c r="P578">
        <v>0.99610900000000002</v>
      </c>
      <c r="Q578">
        <v>6.2558929999999999E-2</v>
      </c>
      <c r="R578">
        <v>-6.2075419999999999E-2</v>
      </c>
      <c r="S578">
        <v>3.0032040000000002</v>
      </c>
      <c r="T578">
        <v>-0.12359249999999999</v>
      </c>
      <c r="U578">
        <v>-0.26107789999999997</v>
      </c>
      <c r="V578">
        <v>5.8580699999999999E-2</v>
      </c>
      <c r="W578">
        <v>7.5100050000000002E-2</v>
      </c>
      <c r="X578">
        <v>0.99545380000000006</v>
      </c>
      <c r="Y578">
        <v>8.3092639999999995E-2</v>
      </c>
      <c r="Z578">
        <v>-1.5638080000000001E-3</v>
      </c>
      <c r="AA578">
        <v>0.9965406</v>
      </c>
      <c r="AB578">
        <v>29</v>
      </c>
      <c r="AC578">
        <v>27.896099999999901</v>
      </c>
      <c r="AD578">
        <v>-1.160318</v>
      </c>
      <c r="AE578">
        <v>-2.4504000000000499</v>
      </c>
      <c r="AF578">
        <v>2.3498467551492399</v>
      </c>
      <c r="AG578">
        <v>-1.160318</v>
      </c>
      <c r="AH578">
        <v>27.8565848294784</v>
      </c>
      <c r="AI578">
        <v>92.376746600089504</v>
      </c>
      <c r="AJ578">
        <v>85.178220485015501</v>
      </c>
      <c r="AK578">
        <v>27.979589632368299</v>
      </c>
      <c r="AL578">
        <v>85.693029005227501</v>
      </c>
      <c r="AM578">
        <v>86.632128645278001</v>
      </c>
      <c r="AN578">
        <v>0.999999991928466</v>
      </c>
    </row>
    <row r="579" spans="1:40" x14ac:dyDescent="0.25">
      <c r="A579" t="str">
        <f>"20190312151233891"</f>
        <v>20190312151233891</v>
      </c>
      <c r="B579" t="str">
        <f>"1552374753880315"</f>
        <v>1552374753880315</v>
      </c>
      <c r="C579" t="s">
        <v>40</v>
      </c>
      <c r="D579">
        <v>3.7864059999999999</v>
      </c>
      <c r="E579">
        <v>0.50892550000000003</v>
      </c>
      <c r="F579" t="s">
        <v>43</v>
      </c>
      <c r="G579">
        <v>-300.87090000000001</v>
      </c>
      <c r="H579">
        <v>-0.05</v>
      </c>
      <c r="I579">
        <v>363.95920000000001</v>
      </c>
      <c r="J579">
        <v>-330.55399999999997</v>
      </c>
      <c r="K579">
        <v>1.110314</v>
      </c>
      <c r="L579">
        <v>366.57240000000002</v>
      </c>
      <c r="M579">
        <v>0.99991640000000004</v>
      </c>
      <c r="N579">
        <v>0</v>
      </c>
      <c r="O579">
        <v>-3.1147670000000001E-3</v>
      </c>
      <c r="P579">
        <v>0.99613700000000005</v>
      </c>
      <c r="Q579">
        <v>6.2404510000000003E-2</v>
      </c>
      <c r="R579">
        <v>-6.1781259999999998E-2</v>
      </c>
      <c r="S579">
        <v>3.0027159999999999</v>
      </c>
      <c r="T579">
        <v>-0.1162498</v>
      </c>
      <c r="U579">
        <v>-0.26187129999999997</v>
      </c>
      <c r="V579">
        <v>5.8629840000000003E-2</v>
      </c>
      <c r="W579">
        <v>7.4945990000000004E-2</v>
      </c>
      <c r="X579">
        <v>0.99546250000000003</v>
      </c>
      <c r="Y579">
        <v>8.3718139999999996E-2</v>
      </c>
      <c r="Z579">
        <v>-1.496577E-3</v>
      </c>
      <c r="AA579">
        <v>0.99648829999999999</v>
      </c>
      <c r="AB579">
        <v>29</v>
      </c>
      <c r="AC579">
        <v>29.6831</v>
      </c>
      <c r="AD579">
        <v>-1.1603139999999901</v>
      </c>
      <c r="AE579">
        <v>-2.6132</v>
      </c>
      <c r="AF579">
        <v>2.51690776173605</v>
      </c>
      <c r="AG579">
        <v>-1.1603139999999901</v>
      </c>
      <c r="AH579">
        <v>29.646144266820102</v>
      </c>
      <c r="AI579">
        <v>92.233317134429697</v>
      </c>
      <c r="AJ579">
        <v>85.1473213311275</v>
      </c>
      <c r="AK579">
        <v>29.7754097058091</v>
      </c>
      <c r="AL579">
        <v>85.7018808633932</v>
      </c>
      <c r="AM579">
        <v>86.629339432411797</v>
      </c>
      <c r="AN579">
        <v>0.99999997423087705</v>
      </c>
    </row>
    <row r="580" spans="1:40" x14ac:dyDescent="0.25">
      <c r="A580" t="str">
        <f>"20190312151233913"</f>
        <v>20190312151233913</v>
      </c>
      <c r="B580" t="str">
        <f>"1552374753910568"</f>
        <v>1552374753910568</v>
      </c>
      <c r="C580" t="s">
        <v>40</v>
      </c>
      <c r="D580">
        <v>3.7309939999999999</v>
      </c>
      <c r="E580">
        <v>0.50943509999999903</v>
      </c>
      <c r="F580" t="s">
        <v>43</v>
      </c>
      <c r="G580">
        <v>-300.06229999999999</v>
      </c>
      <c r="H580">
        <v>-0.05</v>
      </c>
      <c r="I580">
        <v>363.90550000000002</v>
      </c>
      <c r="J580">
        <v>-330.26929999999999</v>
      </c>
      <c r="K580">
        <v>1.110317</v>
      </c>
      <c r="L580">
        <v>366.57190000000003</v>
      </c>
      <c r="M580">
        <v>0.99991739999999996</v>
      </c>
      <c r="N580">
        <v>0</v>
      </c>
      <c r="O580">
        <v>-2.7736060000000001E-3</v>
      </c>
      <c r="P580">
        <v>0.99615089999999995</v>
      </c>
      <c r="Q580">
        <v>6.2365579999999997E-2</v>
      </c>
      <c r="R580">
        <v>-6.159684E-2</v>
      </c>
      <c r="S580">
        <v>3.002472</v>
      </c>
      <c r="T580">
        <v>-0.11425449999999999</v>
      </c>
      <c r="U580">
        <v>-0.2626038</v>
      </c>
      <c r="V580">
        <v>5.8785450000000003E-2</v>
      </c>
      <c r="W580">
        <v>7.4907470000000004E-2</v>
      </c>
      <c r="X580">
        <v>0.99545620000000001</v>
      </c>
      <c r="Y580">
        <v>8.4307729999999997E-2</v>
      </c>
      <c r="Z580">
        <v>-1.4951579999999999E-3</v>
      </c>
      <c r="AA580">
        <v>0.99643859999999995</v>
      </c>
      <c r="AB580">
        <v>29</v>
      </c>
      <c r="AC580">
        <v>30.206999999999901</v>
      </c>
      <c r="AD580">
        <v>-1.160317</v>
      </c>
      <c r="AE580">
        <v>-2.6663999999999999</v>
      </c>
      <c r="AF580">
        <v>2.5788251988997302</v>
      </c>
      <c r="AG580">
        <v>-1.160317</v>
      </c>
      <c r="AH580">
        <v>30.1701082101611</v>
      </c>
      <c r="AI580">
        <v>92.194467923565</v>
      </c>
      <c r="AJ580">
        <v>85.114451529791097</v>
      </c>
      <c r="AK580">
        <v>30.302344865699801</v>
      </c>
      <c r="AL580">
        <v>85.704094023234404</v>
      </c>
      <c r="AM580">
        <v>86.620392700576502</v>
      </c>
      <c r="AN580">
        <v>0.99999995215597004</v>
      </c>
    </row>
    <row r="581" spans="1:40" x14ac:dyDescent="0.25">
      <c r="A581" t="str">
        <f>"20190312151233935"</f>
        <v>20190312151233935</v>
      </c>
      <c r="B581" t="str">
        <f>"1552374753930088"</f>
        <v>1552374753930088</v>
      </c>
      <c r="C581" t="s">
        <v>40</v>
      </c>
      <c r="D581">
        <v>3.7551709999999998</v>
      </c>
      <c r="E581">
        <v>0.50971350000000004</v>
      </c>
      <c r="F581" t="s">
        <v>43</v>
      </c>
      <c r="G581">
        <v>-297.22590000000002</v>
      </c>
      <c r="H581">
        <v>-0.05</v>
      </c>
      <c r="I581">
        <v>363.6465</v>
      </c>
      <c r="J581">
        <v>-329.964</v>
      </c>
      <c r="K581">
        <v>1.1103179999999999</v>
      </c>
      <c r="L581">
        <v>366.57150000000001</v>
      </c>
      <c r="M581">
        <v>0.99991830000000004</v>
      </c>
      <c r="N581">
        <v>0</v>
      </c>
      <c r="O581">
        <v>-2.4072899999999999E-3</v>
      </c>
      <c r="P581">
        <v>0.99609300000000001</v>
      </c>
      <c r="Q581">
        <v>6.2868339999999995E-2</v>
      </c>
      <c r="R581">
        <v>-6.2018660000000003E-2</v>
      </c>
      <c r="S581">
        <v>3.00177</v>
      </c>
      <c r="T581">
        <v>-0.10540720000000001</v>
      </c>
      <c r="U581">
        <v>-0.26574710000000001</v>
      </c>
      <c r="V581">
        <v>5.9572079999999999E-2</v>
      </c>
      <c r="W581">
        <v>7.5409110000000001E-2</v>
      </c>
      <c r="X581">
        <v>0.99537160000000002</v>
      </c>
      <c r="Y581">
        <v>8.5735909999999999E-2</v>
      </c>
      <c r="Z581">
        <v>-1.4175660000000001E-3</v>
      </c>
      <c r="AA581">
        <v>0.99631689999999995</v>
      </c>
      <c r="AB581">
        <v>29</v>
      </c>
      <c r="AC581">
        <v>32.738099999999903</v>
      </c>
      <c r="AD581">
        <v>-1.160318</v>
      </c>
      <c r="AE581">
        <v>-2.92500000000001</v>
      </c>
      <c r="AF581">
        <v>2.8426326712664198</v>
      </c>
      <c r="AG581">
        <v>-1.160318</v>
      </c>
      <c r="AH581">
        <v>32.704290322912399</v>
      </c>
      <c r="AI581">
        <v>92.024322954117295</v>
      </c>
      <c r="AJ581">
        <v>85.032378270796301</v>
      </c>
      <c r="AK581">
        <v>32.848097416596602</v>
      </c>
      <c r="AL581">
        <v>85.675270825883402</v>
      </c>
      <c r="AM581">
        <v>86.574985462026802</v>
      </c>
      <c r="AN581">
        <v>0.99999999433653897</v>
      </c>
    </row>
    <row r="582" spans="1:40" x14ac:dyDescent="0.25">
      <c r="A582" t="str">
        <f>"20190312151233949"</f>
        <v>20190312151233949</v>
      </c>
      <c r="B582" t="str">
        <f>"1552374753939848"</f>
        <v>1552374753939848</v>
      </c>
      <c r="C582" t="s">
        <v>40</v>
      </c>
      <c r="D582">
        <v>3.7852399999999999</v>
      </c>
      <c r="E582">
        <v>0.50986589999999998</v>
      </c>
      <c r="F582" t="s">
        <v>43</v>
      </c>
      <c r="G582">
        <v>-294.99900000000002</v>
      </c>
      <c r="H582">
        <v>-0.05</v>
      </c>
      <c r="I582">
        <v>363.4357</v>
      </c>
      <c r="J582">
        <v>-329.78469999999999</v>
      </c>
      <c r="K582">
        <v>1.1103190000000001</v>
      </c>
      <c r="L582">
        <v>366.57130000000001</v>
      </c>
      <c r="M582">
        <v>0.99991890000000005</v>
      </c>
      <c r="N582">
        <v>0</v>
      </c>
      <c r="O582">
        <v>-2.1923609999999999E-3</v>
      </c>
      <c r="P582">
        <v>0.99607279999999998</v>
      </c>
      <c r="Q582">
        <v>6.2831739999999997E-2</v>
      </c>
      <c r="R582">
        <v>-6.2383670000000002E-2</v>
      </c>
      <c r="S582">
        <v>3.0012819999999998</v>
      </c>
      <c r="T582">
        <v>-9.9598049999999994E-2</v>
      </c>
      <c r="U582">
        <v>-0.26916499999999999</v>
      </c>
      <c r="V582">
        <v>6.0151059999999999E-2</v>
      </c>
      <c r="W582">
        <v>7.5372040000000001E-2</v>
      </c>
      <c r="X582">
        <v>0.99533959999999999</v>
      </c>
      <c r="Y582">
        <v>8.7094500000000005E-2</v>
      </c>
      <c r="Z582">
        <v>-1.3692419999999999E-3</v>
      </c>
      <c r="AA582">
        <v>0.9961991</v>
      </c>
      <c r="AB582">
        <v>29</v>
      </c>
      <c r="AC582">
        <v>34.785699999999899</v>
      </c>
      <c r="AD582">
        <v>-1.1603190000000001</v>
      </c>
      <c r="AE582">
        <v>-3.1356000000000099</v>
      </c>
      <c r="AF582">
        <v>3.0559508912354101</v>
      </c>
      <c r="AG582">
        <v>-1.1603190000000001</v>
      </c>
      <c r="AH582">
        <v>34.754134240796603</v>
      </c>
      <c r="AI582">
        <v>91.904851107542697</v>
      </c>
      <c r="AJ582">
        <v>84.974873824645996</v>
      </c>
      <c r="AK582">
        <v>34.907521007065498</v>
      </c>
      <c r="AL582">
        <v>85.677400896622103</v>
      </c>
      <c r="AM582">
        <v>86.541667293100701</v>
      </c>
      <c r="AN582">
        <v>1.0000000068805199</v>
      </c>
    </row>
    <row r="583" spans="1:40" x14ac:dyDescent="0.25">
      <c r="A583" t="str">
        <f>"20190312151233970"</f>
        <v>20190312151233970</v>
      </c>
      <c r="B583" t="str">
        <f>"1552374753960347"</f>
        <v>1552374753960347</v>
      </c>
      <c r="C583" t="s">
        <v>40</v>
      </c>
      <c r="D583">
        <v>3.795112</v>
      </c>
      <c r="E583">
        <v>0.51012519999999995</v>
      </c>
      <c r="F583" t="s">
        <v>43</v>
      </c>
      <c r="G583">
        <v>-294.29969999999997</v>
      </c>
      <c r="H583">
        <v>-0.05</v>
      </c>
      <c r="I583">
        <v>363.363</v>
      </c>
      <c r="J583">
        <v>-329.52710000000002</v>
      </c>
      <c r="K583">
        <v>1.110325</v>
      </c>
      <c r="L583">
        <v>366.5711</v>
      </c>
      <c r="M583">
        <v>0.99991949999999996</v>
      </c>
      <c r="N583">
        <v>0</v>
      </c>
      <c r="O583">
        <v>-1.883261E-3</v>
      </c>
      <c r="P583">
        <v>0.99602869999999999</v>
      </c>
      <c r="Q583">
        <v>6.305732E-2</v>
      </c>
      <c r="R583">
        <v>-6.2856319999999993E-2</v>
      </c>
      <c r="S583">
        <v>3.0010680000000001</v>
      </c>
      <c r="T583">
        <v>-9.8131419999999997E-2</v>
      </c>
      <c r="U583">
        <v>-0.27133180000000001</v>
      </c>
      <c r="V583">
        <v>6.0931760000000001E-2</v>
      </c>
      <c r="W583">
        <v>7.5596930000000007E-2</v>
      </c>
      <c r="X583">
        <v>0.99527509999999997</v>
      </c>
      <c r="Y583">
        <v>8.8122820000000004E-2</v>
      </c>
      <c r="Z583">
        <v>-1.3760000000000001E-3</v>
      </c>
      <c r="AA583">
        <v>0.99610869999999996</v>
      </c>
      <c r="AB583">
        <v>29</v>
      </c>
      <c r="AC583">
        <v>35.227400000000003</v>
      </c>
      <c r="AD583">
        <v>-1.1603250000000001</v>
      </c>
      <c r="AE583">
        <v>-3.20809999999994</v>
      </c>
      <c r="AF583">
        <v>3.1383698207761599</v>
      </c>
      <c r="AG583">
        <v>-1.1603250000000001</v>
      </c>
      <c r="AH583">
        <v>35.1955094127105</v>
      </c>
      <c r="AI583">
        <v>91.880785379705898</v>
      </c>
      <c r="AJ583">
        <v>84.904434532952706</v>
      </c>
      <c r="AK583">
        <v>35.3542020424415</v>
      </c>
      <c r="AL583">
        <v>85.664478968776905</v>
      </c>
      <c r="AM583">
        <v>86.496666234115494</v>
      </c>
      <c r="AN583">
        <v>1.00000004994106</v>
      </c>
    </row>
    <row r="584" spans="1:40" x14ac:dyDescent="0.25">
      <c r="A584" t="str">
        <f>"20190312151233992"</f>
        <v>20190312151233992</v>
      </c>
      <c r="B584" t="str">
        <f>"1552374753990600"</f>
        <v>1552374753990600</v>
      </c>
      <c r="C584" t="s">
        <v>40</v>
      </c>
      <c r="D584">
        <v>3.8397100000000002</v>
      </c>
      <c r="E584">
        <v>0.51055600000000001</v>
      </c>
      <c r="F584" t="s">
        <v>43</v>
      </c>
      <c r="G584">
        <v>-293.41989999999998</v>
      </c>
      <c r="H584">
        <v>-0.05</v>
      </c>
      <c r="I584">
        <v>363.2636</v>
      </c>
      <c r="J584">
        <v>-329.22230000000002</v>
      </c>
      <c r="K584">
        <v>1.1103229999999999</v>
      </c>
      <c r="L584">
        <v>366.57100000000003</v>
      </c>
      <c r="M584">
        <v>0.99992009999999998</v>
      </c>
      <c r="N584">
        <v>0</v>
      </c>
      <c r="O584">
        <v>-1.5173000000000001E-3</v>
      </c>
      <c r="P584">
        <v>0.99597910000000001</v>
      </c>
      <c r="Q584">
        <v>6.3725500000000004E-2</v>
      </c>
      <c r="R584">
        <v>-6.296641E-2</v>
      </c>
      <c r="S584">
        <v>3.0007320000000002</v>
      </c>
      <c r="T584">
        <v>-9.6430059999999998E-2</v>
      </c>
      <c r="U584">
        <v>-0.2748718</v>
      </c>
      <c r="V584">
        <v>6.140607E-2</v>
      </c>
      <c r="W584">
        <v>7.6263999999999998E-2</v>
      </c>
      <c r="X584">
        <v>0.99519500000000005</v>
      </c>
      <c r="Y584">
        <v>8.9663339999999994E-2</v>
      </c>
      <c r="Z584">
        <v>-1.3886619999999999E-3</v>
      </c>
      <c r="AA584">
        <v>0.9959711</v>
      </c>
      <c r="AB584">
        <v>29</v>
      </c>
      <c r="AC584">
        <v>35.802399999999999</v>
      </c>
      <c r="AD584">
        <v>-1.160323</v>
      </c>
      <c r="AE584">
        <v>-3.3073999999999701</v>
      </c>
      <c r="AF584">
        <v>3.2496845128784702</v>
      </c>
      <c r="AG584">
        <v>-1.160323</v>
      </c>
      <c r="AH584">
        <v>35.770124305568203</v>
      </c>
      <c r="AI584">
        <v>91.850312949653997</v>
      </c>
      <c r="AJ584">
        <v>84.808978712437593</v>
      </c>
      <c r="AK584">
        <v>35.936173860517997</v>
      </c>
      <c r="AL584">
        <v>85.626147779046605</v>
      </c>
      <c r="AM584">
        <v>86.469180567174902</v>
      </c>
      <c r="AN584">
        <v>0.99999999557692199</v>
      </c>
    </row>
    <row r="585" spans="1:40" x14ac:dyDescent="0.25">
      <c r="A585" t="str">
        <f>"20190312151234015"</f>
        <v>20190312151234015</v>
      </c>
      <c r="B585" t="str">
        <f>"1552374754010121"</f>
        <v>1552374754010121</v>
      </c>
      <c r="C585" t="s">
        <v>40</v>
      </c>
      <c r="D585">
        <v>3.8391150000000001</v>
      </c>
      <c r="E585">
        <v>0.51073570000000001</v>
      </c>
      <c r="F585" t="s">
        <v>43</v>
      </c>
      <c r="G585">
        <v>-292.3972</v>
      </c>
      <c r="H585">
        <v>-0.05</v>
      </c>
      <c r="I585">
        <v>363.15480000000002</v>
      </c>
      <c r="J585">
        <v>-328.93209999999999</v>
      </c>
      <c r="K585">
        <v>1.110317</v>
      </c>
      <c r="L585">
        <v>366.57100000000003</v>
      </c>
      <c r="M585">
        <v>0.9999207</v>
      </c>
      <c r="N585">
        <v>0</v>
      </c>
      <c r="O585">
        <v>-1.168744E-3</v>
      </c>
      <c r="P585">
        <v>0.99594930000000004</v>
      </c>
      <c r="Q585">
        <v>6.3858520000000002E-2</v>
      </c>
      <c r="R585">
        <v>-6.3305089999999994E-2</v>
      </c>
      <c r="S585">
        <v>3.0005799999999998</v>
      </c>
      <c r="T585">
        <v>-9.4545359999999995E-2</v>
      </c>
      <c r="U585">
        <v>-0.27835079999999901</v>
      </c>
      <c r="V585">
        <v>6.2091790000000001E-2</v>
      </c>
      <c r="W585">
        <v>7.6395699999999997E-2</v>
      </c>
      <c r="X585">
        <v>0.99514230000000004</v>
      </c>
      <c r="Y585">
        <v>9.1160909999999998E-2</v>
      </c>
      <c r="Z585">
        <v>-1.3960260000000001E-3</v>
      </c>
      <c r="AA585">
        <v>0.99583520000000003</v>
      </c>
      <c r="AB585">
        <v>29</v>
      </c>
      <c r="AC585">
        <v>36.534899999999901</v>
      </c>
      <c r="AD585">
        <v>-1.160317</v>
      </c>
      <c r="AE585">
        <v>-3.41619999999994</v>
      </c>
      <c r="AF585">
        <v>3.3701245743801702</v>
      </c>
      <c r="AG585">
        <v>-1.160317</v>
      </c>
      <c r="AH585">
        <v>36.5023692785809</v>
      </c>
      <c r="AI585">
        <v>91.812967882471</v>
      </c>
      <c r="AJ585">
        <v>84.725053325681102</v>
      </c>
      <c r="AK585">
        <v>36.675973581313698</v>
      </c>
      <c r="AL585">
        <v>85.618579625635107</v>
      </c>
      <c r="AM585">
        <v>86.429664839388195</v>
      </c>
      <c r="AN585">
        <v>0.99999994530658998</v>
      </c>
    </row>
    <row r="586" spans="1:40" x14ac:dyDescent="0.25">
      <c r="A586" t="str">
        <f>"20190312151234037"</f>
        <v>20190312151234037</v>
      </c>
      <c r="B586" t="str">
        <f>"1552374754030616"</f>
        <v>1552374754030616</v>
      </c>
      <c r="C586" t="s">
        <v>40</v>
      </c>
      <c r="D586">
        <v>3.8350170000000001</v>
      </c>
      <c r="E586">
        <v>0.51085329999999995</v>
      </c>
      <c r="F586" t="s">
        <v>43</v>
      </c>
      <c r="G586">
        <v>-291.74110000000002</v>
      </c>
      <c r="H586">
        <v>-0.05</v>
      </c>
      <c r="I586">
        <v>363.09039999999999</v>
      </c>
      <c r="J586">
        <v>-328.63499999999999</v>
      </c>
      <c r="K586">
        <v>1.110322</v>
      </c>
      <c r="L586">
        <v>366.57100000000003</v>
      </c>
      <c r="M586">
        <v>0.99992099999999995</v>
      </c>
      <c r="N586">
        <v>0</v>
      </c>
      <c r="O586">
        <v>-8.1207950000000001E-4</v>
      </c>
      <c r="P586">
        <v>0.99593540000000003</v>
      </c>
      <c r="Q586">
        <v>6.3918669999999997E-2</v>
      </c>
      <c r="R586">
        <v>-6.3460639999999999E-2</v>
      </c>
      <c r="S586">
        <v>3.000397</v>
      </c>
      <c r="T586">
        <v>-9.3608979999999994E-2</v>
      </c>
      <c r="U586">
        <v>-0.28079219999999999</v>
      </c>
      <c r="V586">
        <v>6.2602749999999999E-2</v>
      </c>
      <c r="W586">
        <v>7.6454640000000004E-2</v>
      </c>
      <c r="X586">
        <v>0.99510580000000004</v>
      </c>
      <c r="Y586">
        <v>9.2325110000000002E-2</v>
      </c>
      <c r="Z586">
        <v>-1.411456E-3</v>
      </c>
      <c r="AA586">
        <v>0.9957279</v>
      </c>
      <c r="AB586">
        <v>29</v>
      </c>
      <c r="AC586">
        <v>36.893899999999903</v>
      </c>
      <c r="AD586">
        <v>-1.1603219999999901</v>
      </c>
      <c r="AE586">
        <v>-3.4805999999999799</v>
      </c>
      <c r="AF586">
        <v>3.4472560531227998</v>
      </c>
      <c r="AG586">
        <v>-1.1603219999999901</v>
      </c>
      <c r="AH586">
        <v>36.8605767678755</v>
      </c>
      <c r="AI586">
        <v>91.795171387881894</v>
      </c>
      <c r="AJ586">
        <v>84.657153834540196</v>
      </c>
      <c r="AK586">
        <v>37.039600984620797</v>
      </c>
      <c r="AL586">
        <v>85.615192879792701</v>
      </c>
      <c r="AM586">
        <v>86.400229418912204</v>
      </c>
      <c r="AN586">
        <v>0.99999998473936502</v>
      </c>
    </row>
    <row r="587" spans="1:40" x14ac:dyDescent="0.25">
      <c r="A587" t="str">
        <f>"20190312151234058"</f>
        <v>20190312151234058</v>
      </c>
      <c r="B587" t="str">
        <f>"1552374754050140"</f>
        <v>1552374754050140</v>
      </c>
      <c r="C587" t="s">
        <v>40</v>
      </c>
      <c r="D587">
        <v>3.9180999999999999</v>
      </c>
      <c r="E587">
        <v>0.51096719999999995</v>
      </c>
      <c r="F587" t="s">
        <v>43</v>
      </c>
      <c r="G587">
        <v>-291.3152</v>
      </c>
      <c r="H587">
        <v>-0.05</v>
      </c>
      <c r="I587">
        <v>363.06310000000002</v>
      </c>
      <c r="J587">
        <v>-328.36149999999998</v>
      </c>
      <c r="K587">
        <v>1.1103240000000001</v>
      </c>
      <c r="L587">
        <v>366.57119999999998</v>
      </c>
      <c r="M587">
        <v>0.99992119999999995</v>
      </c>
      <c r="N587">
        <v>0</v>
      </c>
      <c r="O587">
        <v>-4.8404029999999997E-4</v>
      </c>
      <c r="P587">
        <v>0.99593330000000002</v>
      </c>
      <c r="Q587">
        <v>6.3802559999999994E-2</v>
      </c>
      <c r="R587">
        <v>-6.3611630000000002E-2</v>
      </c>
      <c r="S587">
        <v>3.0002749999999998</v>
      </c>
      <c r="T587">
        <v>-9.3282580000000004E-2</v>
      </c>
      <c r="U587">
        <v>-0.28201290000000001</v>
      </c>
      <c r="V587">
        <v>6.3080529999999996E-2</v>
      </c>
      <c r="W587">
        <v>7.6339599999999994E-2</v>
      </c>
      <c r="X587">
        <v>0.99508450000000004</v>
      </c>
      <c r="Y587">
        <v>9.3056920000000001E-2</v>
      </c>
      <c r="Z587">
        <v>-1.428091E-3</v>
      </c>
      <c r="AA587">
        <v>0.99565979999999998</v>
      </c>
      <c r="AB587">
        <v>29</v>
      </c>
      <c r="AC587">
        <v>37.046299999999903</v>
      </c>
      <c r="AD587">
        <v>-1.1603239999999999</v>
      </c>
      <c r="AE587">
        <v>-3.50809999999995</v>
      </c>
      <c r="AF587">
        <v>3.4867761491859199</v>
      </c>
      <c r="AG587">
        <v>-1.1603239999999999</v>
      </c>
      <c r="AH587">
        <v>37.012007778934603</v>
      </c>
      <c r="AI587">
        <v>91.787720583389699</v>
      </c>
      <c r="AJ587">
        <v>84.618241604871898</v>
      </c>
      <c r="AK587">
        <v>37.193987142109698</v>
      </c>
      <c r="AL587">
        <v>85.621803682597303</v>
      </c>
      <c r="AM587">
        <v>86.372751844325506</v>
      </c>
      <c r="AN587">
        <v>1.00000002496674</v>
      </c>
    </row>
    <row r="588" spans="1:40" x14ac:dyDescent="0.25">
      <c r="A588" t="str">
        <f>"20190312151234081"</f>
        <v>20190312151234081</v>
      </c>
      <c r="B588" t="str">
        <f>"1552374754070637"</f>
        <v>1552374754070637</v>
      </c>
      <c r="C588" t="s">
        <v>40</v>
      </c>
      <c r="D588">
        <v>3.88517</v>
      </c>
      <c r="E588">
        <v>0.51113739999999996</v>
      </c>
      <c r="F588" t="s">
        <v>43</v>
      </c>
      <c r="G588">
        <v>-291.6694</v>
      </c>
      <c r="H588">
        <v>-0.05</v>
      </c>
      <c r="I588">
        <v>363.10660000000001</v>
      </c>
      <c r="J588">
        <v>-328.0652</v>
      </c>
      <c r="K588">
        <v>1.1103270000000001</v>
      </c>
      <c r="L588">
        <v>366.57139999999998</v>
      </c>
      <c r="M588">
        <v>0.99992119999999995</v>
      </c>
      <c r="N588">
        <v>0</v>
      </c>
      <c r="O588">
        <v>-1.3111239999999999E-4</v>
      </c>
      <c r="P588">
        <v>0.99591830000000003</v>
      </c>
      <c r="Q588">
        <v>6.3884739999999995E-2</v>
      </c>
      <c r="R588">
        <v>-6.3763159999999999E-2</v>
      </c>
      <c r="S588">
        <v>3.0002749999999998</v>
      </c>
      <c r="T588">
        <v>-9.4878669999999998E-2</v>
      </c>
      <c r="U588">
        <v>-0.28329470000000001</v>
      </c>
      <c r="V588">
        <v>6.3583559999999997E-2</v>
      </c>
      <c r="W588">
        <v>7.6426140000000004E-2</v>
      </c>
      <c r="X588">
        <v>0.99504579999999998</v>
      </c>
      <c r="Y588">
        <v>9.3827839999999996E-2</v>
      </c>
      <c r="Z588">
        <v>-1.4757780000000001E-3</v>
      </c>
      <c r="AA588">
        <v>0.99558729999999995</v>
      </c>
      <c r="AB588">
        <v>29</v>
      </c>
      <c r="AC588">
        <v>36.395800000000001</v>
      </c>
      <c r="AD588">
        <v>-1.1603270000000001</v>
      </c>
      <c r="AE588">
        <v>-3.4647999999999599</v>
      </c>
      <c r="AF588">
        <v>3.4565460245836901</v>
      </c>
      <c r="AG588">
        <v>-1.1603270000000001</v>
      </c>
      <c r="AH588">
        <v>36.3596305219871</v>
      </c>
      <c r="AI588">
        <v>91.819633324354797</v>
      </c>
      <c r="AJ588">
        <v>84.569468890338896</v>
      </c>
      <c r="AK588">
        <v>36.541986821496302</v>
      </c>
      <c r="AL588">
        <v>85.616830598174303</v>
      </c>
      <c r="AM588">
        <v>86.3437630172387</v>
      </c>
      <c r="AN588">
        <v>0.99999998403760604</v>
      </c>
    </row>
    <row r="589" spans="1:40" x14ac:dyDescent="0.25">
      <c r="A589" t="str">
        <f>"20190312151234103"</f>
        <v>20190312151234103</v>
      </c>
      <c r="B589" t="str">
        <f>"1552374754099912"</f>
        <v>1552374754099912</v>
      </c>
      <c r="C589" t="s">
        <v>40</v>
      </c>
      <c r="D589">
        <v>3.9115899999999999</v>
      </c>
      <c r="E589">
        <v>0.51140699999999994</v>
      </c>
      <c r="F589" t="s">
        <v>43</v>
      </c>
      <c r="G589">
        <v>-291.5052</v>
      </c>
      <c r="H589">
        <v>-0.05</v>
      </c>
      <c r="I589">
        <v>363.10019999999997</v>
      </c>
      <c r="J589">
        <v>-327.7697</v>
      </c>
      <c r="K589">
        <v>1.1103350000000001</v>
      </c>
      <c r="L589">
        <v>366.5718</v>
      </c>
      <c r="M589">
        <v>0.99992110000000001</v>
      </c>
      <c r="N589">
        <v>0</v>
      </c>
      <c r="O589">
        <v>2.185233E-4</v>
      </c>
      <c r="P589">
        <v>0.99588569999999998</v>
      </c>
      <c r="Q589">
        <v>6.4472219999999997E-2</v>
      </c>
      <c r="R589">
        <v>-6.3677739999999997E-2</v>
      </c>
      <c r="S589">
        <v>3.0001530000000001</v>
      </c>
      <c r="T589">
        <v>-9.5217700000000002E-2</v>
      </c>
      <c r="U589">
        <v>-0.28485110000000002</v>
      </c>
      <c r="V589">
        <v>6.3846360000000005E-2</v>
      </c>
      <c r="W589">
        <v>7.702138E-2</v>
      </c>
      <c r="X589">
        <v>0.99498310000000001</v>
      </c>
      <c r="Y589">
        <v>9.4690659999999996E-2</v>
      </c>
      <c r="Z589">
        <v>-1.505801E-3</v>
      </c>
      <c r="AA589">
        <v>0.99550559999999999</v>
      </c>
      <c r="AB589">
        <v>29</v>
      </c>
      <c r="AC589">
        <v>36.264499999999998</v>
      </c>
      <c r="AD589">
        <v>-1.1603349999999999</v>
      </c>
      <c r="AE589">
        <v>-3.47160000000002</v>
      </c>
      <c r="AF589">
        <v>3.475998864858</v>
      </c>
      <c r="AG589">
        <v>-1.1603349999999999</v>
      </c>
      <c r="AH589">
        <v>36.226989057079699</v>
      </c>
      <c r="AI589">
        <v>91.826150937929995</v>
      </c>
      <c r="AJ589">
        <v>84.519218006345895</v>
      </c>
      <c r="AK589">
        <v>36.411861824994503</v>
      </c>
      <c r="AL589">
        <v>85.582625147380497</v>
      </c>
      <c r="AM589">
        <v>86.328461790086706</v>
      </c>
      <c r="AN589">
        <v>1.0000000099739801</v>
      </c>
    </row>
    <row r="590" spans="1:40" x14ac:dyDescent="0.25">
      <c r="A590" t="str">
        <f>"20190312151234125"</f>
        <v>20190312151234125</v>
      </c>
      <c r="B590" t="str">
        <f>"1552374754120409"</f>
        <v>1552374754120409</v>
      </c>
      <c r="C590" t="s">
        <v>40</v>
      </c>
      <c r="D590">
        <v>3.9442550000000001</v>
      </c>
      <c r="E590">
        <v>0.5116193</v>
      </c>
      <c r="F590" t="s">
        <v>43</v>
      </c>
      <c r="G590">
        <v>-290.86700000000002</v>
      </c>
      <c r="H590">
        <v>-0.05</v>
      </c>
      <c r="I590">
        <v>363.04820000000001</v>
      </c>
      <c r="J590">
        <v>-327.48140000000001</v>
      </c>
      <c r="K590">
        <v>1.1103419999999999</v>
      </c>
      <c r="L590">
        <v>366.57229999999998</v>
      </c>
      <c r="M590">
        <v>0.99992080000000005</v>
      </c>
      <c r="N590">
        <v>0</v>
      </c>
      <c r="O590">
        <v>5.5873640000000003E-4</v>
      </c>
      <c r="P590">
        <v>0.99584099999999998</v>
      </c>
      <c r="Q590">
        <v>6.4968499999999998E-2</v>
      </c>
      <c r="R590">
        <v>-6.3876409999999995E-2</v>
      </c>
      <c r="S590">
        <v>3.0001530000000001</v>
      </c>
      <c r="T590">
        <v>-9.4333890000000004E-2</v>
      </c>
      <c r="U590">
        <v>-0.28646850000000001</v>
      </c>
      <c r="V590">
        <v>6.4383389999999999E-2</v>
      </c>
      <c r="W590">
        <v>7.752531E-2</v>
      </c>
      <c r="X590">
        <v>0.9949093</v>
      </c>
      <c r="Y590">
        <v>9.5561469999999996E-2</v>
      </c>
      <c r="Z590">
        <v>-1.5161199999999999E-3</v>
      </c>
      <c r="AA590">
        <v>0.99542240000000004</v>
      </c>
      <c r="AB590">
        <v>29</v>
      </c>
      <c r="AC590">
        <v>36.614399999999897</v>
      </c>
      <c r="AD590">
        <v>-1.160342</v>
      </c>
      <c r="AE590">
        <v>-3.52409999999997</v>
      </c>
      <c r="AF590">
        <v>3.5410352074810998</v>
      </c>
      <c r="AG590">
        <v>-1.160342</v>
      </c>
      <c r="AH590">
        <v>36.576028553516103</v>
      </c>
      <c r="AI590">
        <v>91.808597925928893</v>
      </c>
      <c r="AJ590">
        <v>84.470256799804204</v>
      </c>
      <c r="AK590">
        <v>36.765353101054302</v>
      </c>
      <c r="AL590">
        <v>85.553665248913106</v>
      </c>
      <c r="AM590">
        <v>86.297391102659603</v>
      </c>
      <c r="AN590">
        <v>0.99999995491248805</v>
      </c>
    </row>
    <row r="591" spans="1:40" x14ac:dyDescent="0.25">
      <c r="A591" t="str">
        <f>"20190312151234148"</f>
        <v>20190312151234148</v>
      </c>
      <c r="B591" t="str">
        <f>"1552374754139934"</f>
        <v>1552374754139934</v>
      </c>
      <c r="C591" t="s">
        <v>40</v>
      </c>
      <c r="D591">
        <v>4.0202739999999997</v>
      </c>
      <c r="E591">
        <v>0.51143649999999996</v>
      </c>
      <c r="F591" t="s">
        <v>43</v>
      </c>
      <c r="G591">
        <v>-290.46280000000002</v>
      </c>
      <c r="H591">
        <v>-0.05</v>
      </c>
      <c r="I591">
        <v>363.01159999999999</v>
      </c>
      <c r="J591">
        <v>-327.18490000000003</v>
      </c>
      <c r="K591">
        <v>1.1103430000000001</v>
      </c>
      <c r="L591">
        <v>366.57279999999997</v>
      </c>
      <c r="M591">
        <v>0.99992049999999999</v>
      </c>
      <c r="N591">
        <v>0</v>
      </c>
      <c r="O591">
        <v>9.0854320000000001E-4</v>
      </c>
      <c r="P591">
        <v>0.99586149999999996</v>
      </c>
      <c r="Q591">
        <v>6.4778849999999999E-2</v>
      </c>
      <c r="R591">
        <v>-6.3747380000000006E-2</v>
      </c>
      <c r="S591">
        <v>3.0001530000000001</v>
      </c>
      <c r="T591">
        <v>-9.4039200000000003E-2</v>
      </c>
      <c r="U591">
        <v>-0.2885742</v>
      </c>
      <c r="V591">
        <v>6.4603010000000002E-2</v>
      </c>
      <c r="W591">
        <v>7.7344159999999995E-2</v>
      </c>
      <c r="X591">
        <v>0.99490919999999905</v>
      </c>
      <c r="Y591">
        <v>9.6601580000000006E-2</v>
      </c>
      <c r="Z591">
        <v>-1.5385329999999999E-3</v>
      </c>
      <c r="AA591">
        <v>0.99532189999999998</v>
      </c>
      <c r="AB591">
        <v>29</v>
      </c>
      <c r="AC591">
        <v>36.722099999999998</v>
      </c>
      <c r="AD591">
        <v>-1.1603429999999999</v>
      </c>
      <c r="AE591">
        <v>-3.5611999999999799</v>
      </c>
      <c r="AF591">
        <v>3.5910128117035001</v>
      </c>
      <c r="AG591">
        <v>-1.1603429999999999</v>
      </c>
      <c r="AH591">
        <v>36.682565328666598</v>
      </c>
      <c r="AI591">
        <v>91.803162348151403</v>
      </c>
      <c r="AJ591">
        <v>84.408886713338902</v>
      </c>
      <c r="AK591">
        <v>36.876176157288398</v>
      </c>
      <c r="AL591">
        <v>85.564075803211793</v>
      </c>
      <c r="AM591">
        <v>86.2847959694422</v>
      </c>
      <c r="AN591">
        <v>0.99999999211590196</v>
      </c>
    </row>
    <row r="592" spans="1:40" x14ac:dyDescent="0.25">
      <c r="A592" t="str">
        <f>"20190312151234170"</f>
        <v>20190312151234170</v>
      </c>
      <c r="B592" t="str">
        <f>"1552374754160428"</f>
        <v>1552374754160428</v>
      </c>
      <c r="C592" t="s">
        <v>40</v>
      </c>
      <c r="D592">
        <v>4.105658</v>
      </c>
      <c r="E592">
        <v>0.483101</v>
      </c>
      <c r="F592" t="s">
        <v>43</v>
      </c>
      <c r="G592">
        <v>-290.6687</v>
      </c>
      <c r="H592">
        <v>-0.05</v>
      </c>
      <c r="I592">
        <v>363.08179999999999</v>
      </c>
      <c r="J592">
        <v>-326.89080000000001</v>
      </c>
      <c r="K592">
        <v>1.110339</v>
      </c>
      <c r="L592">
        <v>366.5736</v>
      </c>
      <c r="M592">
        <v>0.99992000000000003</v>
      </c>
      <c r="N592">
        <v>0</v>
      </c>
      <c r="O592">
        <v>1.256205E-3</v>
      </c>
      <c r="P592">
        <v>0.99590619999999996</v>
      </c>
      <c r="Q592">
        <v>6.4212430000000001E-2</v>
      </c>
      <c r="R592">
        <v>-6.3620629999999997E-2</v>
      </c>
      <c r="S592">
        <v>3.000305</v>
      </c>
      <c r="T592">
        <v>-9.5337870000000005E-2</v>
      </c>
      <c r="U592">
        <v>-0.2868347</v>
      </c>
      <c r="V592">
        <v>6.4823110000000003E-2</v>
      </c>
      <c r="W592">
        <v>7.6786030000000005E-2</v>
      </c>
      <c r="X592">
        <v>0.99493810000000005</v>
      </c>
      <c r="Y592">
        <v>9.6369640000000006E-2</v>
      </c>
      <c r="Z592">
        <v>-1.5670790000000001E-3</v>
      </c>
      <c r="AA592">
        <v>0.99534440000000002</v>
      </c>
      <c r="AB592">
        <v>29</v>
      </c>
      <c r="AC592">
        <v>36.222099999999998</v>
      </c>
      <c r="AD592">
        <v>-1.160339</v>
      </c>
      <c r="AE592">
        <v>-3.4918000000000098</v>
      </c>
      <c r="AF592">
        <v>3.5337104054913002</v>
      </c>
      <c r="AG592">
        <v>-1.160339</v>
      </c>
      <c r="AH592">
        <v>36.180898474221301</v>
      </c>
      <c r="AI592">
        <v>91.828181042723998</v>
      </c>
      <c r="AJ592">
        <v>84.421736791858805</v>
      </c>
      <c r="AK592">
        <v>36.371567332556701</v>
      </c>
      <c r="AL592">
        <v>85.596149613702295</v>
      </c>
      <c r="AM592">
        <v>86.272282018006393</v>
      </c>
      <c r="AN592">
        <v>0.999999976412421</v>
      </c>
    </row>
    <row r="593" spans="1:40" x14ac:dyDescent="0.25">
      <c r="A593" t="str">
        <f>"20190312151234191"</f>
        <v>20190312151234191</v>
      </c>
      <c r="B593" t="str">
        <f>"1552374754179944"</f>
        <v>1552374754179944</v>
      </c>
      <c r="C593" t="s">
        <v>40</v>
      </c>
      <c r="D593">
        <v>3.9865940000000002</v>
      </c>
      <c r="E593">
        <v>0.48296440000000002</v>
      </c>
      <c r="F593" t="s">
        <v>43</v>
      </c>
      <c r="G593">
        <v>-303.2672</v>
      </c>
      <c r="H593">
        <v>-0.05</v>
      </c>
      <c r="I593">
        <v>366.08819999999997</v>
      </c>
      <c r="J593">
        <v>-326.61189999999999</v>
      </c>
      <c r="K593">
        <v>1.1103400000000001</v>
      </c>
      <c r="L593">
        <v>366.57429999999999</v>
      </c>
      <c r="M593">
        <v>0.99991940000000001</v>
      </c>
      <c r="N593">
        <v>0</v>
      </c>
      <c r="O593">
        <v>1.5861720000000001E-3</v>
      </c>
      <c r="P593">
        <v>0.99589519999999998</v>
      </c>
      <c r="Q593">
        <v>6.4183850000000001E-2</v>
      </c>
      <c r="R593">
        <v>-6.3821870000000003E-2</v>
      </c>
      <c r="S593">
        <v>3.0178829999999999</v>
      </c>
      <c r="T593">
        <v>-0.1482319</v>
      </c>
      <c r="U593">
        <v>-6.2011719999999999E-2</v>
      </c>
      <c r="V593">
        <v>6.5352919999999995E-2</v>
      </c>
      <c r="W593">
        <v>7.6764170000000007E-2</v>
      </c>
      <c r="X593">
        <v>0.99490520000000005</v>
      </c>
      <c r="Y593">
        <v>2.2101139999999998E-2</v>
      </c>
      <c r="Z593">
        <v>-6.2025660000000001E-4</v>
      </c>
      <c r="AA593">
        <v>0.99975559999999997</v>
      </c>
      <c r="AB593">
        <v>29</v>
      </c>
      <c r="AC593">
        <v>23.3446999999999</v>
      </c>
      <c r="AD593">
        <v>-1.1603399999999999</v>
      </c>
      <c r="AE593">
        <v>-0.48610000000002102</v>
      </c>
      <c r="AF593">
        <v>0.52184235632590903</v>
      </c>
      <c r="AG593">
        <v>-1.1603399999999999</v>
      </c>
      <c r="AH593">
        <v>23.286394223391401</v>
      </c>
      <c r="AI593">
        <v>92.851922708671594</v>
      </c>
      <c r="AJ593">
        <v>88.716230572876</v>
      </c>
      <c r="AK593">
        <v>23.321124850393801</v>
      </c>
      <c r="AL593">
        <v>85.597406129474706</v>
      </c>
      <c r="AM593">
        <v>86.241777800701996</v>
      </c>
      <c r="AN593">
        <v>1.00000004946767</v>
      </c>
    </row>
    <row r="594" spans="1:40" x14ac:dyDescent="0.25">
      <c r="A594" t="str">
        <f>"20190312151234217"</f>
        <v>20190312151234217</v>
      </c>
      <c r="B594" t="str">
        <f>"1552374754210201"</f>
        <v>1552374754210201</v>
      </c>
      <c r="C594" t="s">
        <v>40</v>
      </c>
      <c r="D594">
        <v>3.9878770000000001</v>
      </c>
      <c r="E594">
        <v>0.48287000000000002</v>
      </c>
      <c r="F594" t="s">
        <v>43</v>
      </c>
      <c r="G594">
        <v>-301.95420000000001</v>
      </c>
      <c r="H594">
        <v>-0.05</v>
      </c>
      <c r="I594">
        <v>366.07330000000002</v>
      </c>
      <c r="J594">
        <v>-326.29149999999998</v>
      </c>
      <c r="K594">
        <v>1.1103449999999999</v>
      </c>
      <c r="L594">
        <v>366.57530000000003</v>
      </c>
      <c r="M594">
        <v>0.99991859999999999</v>
      </c>
      <c r="N594">
        <v>0</v>
      </c>
      <c r="O594">
        <v>1.9647599999999999E-3</v>
      </c>
      <c r="P594">
        <v>0.99590469999999998</v>
      </c>
      <c r="Q594">
        <v>6.4241560000000003E-2</v>
      </c>
      <c r="R594">
        <v>-6.3616430000000002E-2</v>
      </c>
      <c r="S594">
        <v>3.0175779999999999</v>
      </c>
      <c r="T594">
        <v>-0.14200090000000001</v>
      </c>
      <c r="U594">
        <v>-6.1309809999999999E-2</v>
      </c>
      <c r="V594">
        <v>6.5524620000000006E-2</v>
      </c>
      <c r="W594">
        <v>7.6830720000000005E-2</v>
      </c>
      <c r="X594">
        <v>0.99488869999999896</v>
      </c>
      <c r="Y594">
        <v>2.2251050000000001E-2</v>
      </c>
      <c r="Z594">
        <v>-6.1560519999999896E-4</v>
      </c>
      <c r="AA594">
        <v>0.99975219999999998</v>
      </c>
      <c r="AB594">
        <v>29</v>
      </c>
      <c r="AC594">
        <v>24.3372999999999</v>
      </c>
      <c r="AD594">
        <v>-1.160345</v>
      </c>
      <c r="AE594">
        <v>-0.50200000000000899</v>
      </c>
      <c r="AF594">
        <v>0.54857332166709705</v>
      </c>
      <c r="AG594">
        <v>-1.160345</v>
      </c>
      <c r="AH594">
        <v>24.281095355684801</v>
      </c>
      <c r="AI594">
        <v>92.735272381632996</v>
      </c>
      <c r="AJ594">
        <v>88.705758964365202</v>
      </c>
      <c r="AK594">
        <v>24.314993828502701</v>
      </c>
      <c r="AL594">
        <v>85.593581496153007</v>
      </c>
      <c r="AM594">
        <v>86.231870018679203</v>
      </c>
      <c r="AN594">
        <v>0.999999980374776</v>
      </c>
    </row>
    <row r="595" spans="1:40" x14ac:dyDescent="0.25">
      <c r="A595" t="str">
        <f>"20190312151234248"</f>
        <v>20190312151234248</v>
      </c>
      <c r="B595" t="str">
        <f>"1552374754240456"</f>
        <v>1552374754240456</v>
      </c>
      <c r="C595" t="s">
        <v>40</v>
      </c>
      <c r="D595">
        <v>4.0135969999999999</v>
      </c>
      <c r="E595">
        <v>0.48313879999999998</v>
      </c>
      <c r="F595" t="s">
        <v>43</v>
      </c>
      <c r="G595">
        <v>-301.04039999999998</v>
      </c>
      <c r="H595">
        <v>-0.05</v>
      </c>
      <c r="I595">
        <v>366.07549999999998</v>
      </c>
      <c r="J595">
        <v>-325.8732</v>
      </c>
      <c r="K595">
        <v>1.1103479999999999</v>
      </c>
      <c r="L595">
        <v>366.57670000000002</v>
      </c>
      <c r="M595">
        <v>0.99991730000000001</v>
      </c>
      <c r="N595">
        <v>0</v>
      </c>
      <c r="O595">
        <v>2.4574900000000001E-3</v>
      </c>
      <c r="P595">
        <v>0.99587049999999999</v>
      </c>
      <c r="Q595">
        <v>6.4718230000000002E-2</v>
      </c>
      <c r="R595">
        <v>-6.3667360000000006E-2</v>
      </c>
      <c r="S595">
        <v>3.0174560000000001</v>
      </c>
      <c r="T595">
        <v>-0.138659</v>
      </c>
      <c r="U595">
        <v>-5.9722900000000002E-2</v>
      </c>
      <c r="V595">
        <v>6.6066059999999996E-2</v>
      </c>
      <c r="W595">
        <v>7.732327E-2</v>
      </c>
      <c r="X595">
        <v>0.9948148</v>
      </c>
      <c r="Y595">
        <v>2.2219699999999998E-2</v>
      </c>
      <c r="Z595">
        <v>-6.2307019999999897E-4</v>
      </c>
      <c r="AA595">
        <v>0.99975290000000006</v>
      </c>
      <c r="AB595">
        <v>29</v>
      </c>
      <c r="AC595">
        <v>24.832799999999999</v>
      </c>
      <c r="AD595">
        <v>-1.1603479999999999</v>
      </c>
      <c r="AE595">
        <v>-0.50120000000003895</v>
      </c>
      <c r="AF595">
        <v>0.561005329729657</v>
      </c>
      <c r="AG595">
        <v>-1.1603479999999999</v>
      </c>
      <c r="AH595">
        <v>24.777417243051001</v>
      </c>
      <c r="AI595">
        <v>92.680566214393494</v>
      </c>
      <c r="AJ595">
        <v>88.702942025959899</v>
      </c>
      <c r="AK595">
        <v>24.8109157367746</v>
      </c>
      <c r="AL595">
        <v>85.565276561498905</v>
      </c>
      <c r="AM595">
        <v>86.200542800869101</v>
      </c>
      <c r="AN595">
        <v>1.00000004933322</v>
      </c>
    </row>
    <row r="596" spans="1:40" x14ac:dyDescent="0.25">
      <c r="A596" t="str">
        <f>"20190312151234271"</f>
        <v>20190312151234271</v>
      </c>
      <c r="B596" t="str">
        <f>"1552374754259976"</f>
        <v>1552374754259976</v>
      </c>
      <c r="C596" t="s">
        <v>40</v>
      </c>
      <c r="D596">
        <v>3.999301</v>
      </c>
      <c r="E596">
        <v>0.48328149999999997</v>
      </c>
      <c r="F596" t="s">
        <v>43</v>
      </c>
      <c r="G596">
        <v>-299.97000000000003</v>
      </c>
      <c r="H596">
        <v>-0.05</v>
      </c>
      <c r="I596">
        <v>366.04910000000001</v>
      </c>
      <c r="J596">
        <v>-325.56959999999998</v>
      </c>
      <c r="K596">
        <v>1.1103510000000001</v>
      </c>
      <c r="L596">
        <v>366.5779</v>
      </c>
      <c r="M596">
        <v>0.99991620000000003</v>
      </c>
      <c r="N596">
        <v>0</v>
      </c>
      <c r="O596">
        <v>2.8156499999999998E-3</v>
      </c>
      <c r="P596">
        <v>0.99587219999999999</v>
      </c>
      <c r="Q596">
        <v>6.4850759999999993E-2</v>
      </c>
      <c r="R596">
        <v>-6.3504370000000004E-2</v>
      </c>
      <c r="S596">
        <v>3.0173030000000001</v>
      </c>
      <c r="T596">
        <v>-0.1351618</v>
      </c>
      <c r="U596">
        <v>-6.14624E-2</v>
      </c>
      <c r="V596">
        <v>6.6260100000000002E-2</v>
      </c>
      <c r="W596">
        <v>7.7469679999999999E-2</v>
      </c>
      <c r="X596">
        <v>0.99479039999999996</v>
      </c>
      <c r="Y596">
        <v>2.3154930000000001E-2</v>
      </c>
      <c r="Z596">
        <v>-6.4436840000000001E-4</v>
      </c>
      <c r="AA596">
        <v>0.9997317</v>
      </c>
      <c r="AB596">
        <v>29</v>
      </c>
      <c r="AC596">
        <v>25.599599999999899</v>
      </c>
      <c r="AD596">
        <v>-1.1603509999999999</v>
      </c>
      <c r="AE596">
        <v>-0.52879999999998895</v>
      </c>
      <c r="AF596">
        <v>0.59965169555321896</v>
      </c>
      <c r="AG596">
        <v>-1.1603509999999999</v>
      </c>
      <c r="AH596">
        <v>25.545547774656999</v>
      </c>
      <c r="AI596">
        <v>92.600033365882496</v>
      </c>
      <c r="AJ596">
        <v>88.655295898988598</v>
      </c>
      <c r="AK596">
        <v>25.578917250471399</v>
      </c>
      <c r="AL596">
        <v>85.556862188588994</v>
      </c>
      <c r="AM596">
        <v>86.189323205730702</v>
      </c>
      <c r="AN596">
        <v>0.99999994605173403</v>
      </c>
    </row>
    <row r="597" spans="1:40" x14ac:dyDescent="0.25">
      <c r="A597" t="str">
        <f>"20190312151234293"</f>
        <v>20190312151234293</v>
      </c>
      <c r="B597" t="str">
        <f>"1552374754290234"</f>
        <v>1552374754290234</v>
      </c>
      <c r="C597" t="s">
        <v>40</v>
      </c>
      <c r="D597">
        <v>3.972661</v>
      </c>
      <c r="E597">
        <v>0.48326200000000002</v>
      </c>
      <c r="F597" t="s">
        <v>43</v>
      </c>
      <c r="G597">
        <v>-299.77809999999999</v>
      </c>
      <c r="H597">
        <v>-0.05</v>
      </c>
      <c r="I597">
        <v>366.04629999999997</v>
      </c>
      <c r="J597">
        <v>-325.28550000000001</v>
      </c>
      <c r="K597">
        <v>1.110352</v>
      </c>
      <c r="L597">
        <v>366.57909999999998</v>
      </c>
      <c r="M597">
        <v>0.99991509999999995</v>
      </c>
      <c r="N597">
        <v>0</v>
      </c>
      <c r="O597">
        <v>3.1517009999999998E-3</v>
      </c>
      <c r="P597">
        <v>0.99589669999999997</v>
      </c>
      <c r="Q597">
        <v>6.4733260000000001E-2</v>
      </c>
      <c r="R597">
        <v>-6.3241889999999995E-2</v>
      </c>
      <c r="S597">
        <v>3.0173030000000001</v>
      </c>
      <c r="T597">
        <v>-0.13574710000000001</v>
      </c>
      <c r="U597">
        <v>-6.2194819999999998E-2</v>
      </c>
      <c r="V597">
        <v>6.6332559999999999E-2</v>
      </c>
      <c r="W597">
        <v>7.7366509999999999E-2</v>
      </c>
      <c r="X597">
        <v>0.9947937</v>
      </c>
      <c r="Y597">
        <v>2.3732340000000001E-2</v>
      </c>
      <c r="Z597">
        <v>-6.7524610000000004E-4</v>
      </c>
      <c r="AA597">
        <v>0.99971810000000005</v>
      </c>
      <c r="AB597">
        <v>29</v>
      </c>
      <c r="AC597">
        <v>25.507400000000001</v>
      </c>
      <c r="AD597">
        <v>-1.1603520000000001</v>
      </c>
      <c r="AE597">
        <v>-0.53280000000000804</v>
      </c>
      <c r="AF597">
        <v>0.61192969505897399</v>
      </c>
      <c r="AG597">
        <v>-1.1603520000000001</v>
      </c>
      <c r="AH597">
        <v>25.45294425733</v>
      </c>
      <c r="AI597">
        <v>92.609446932828007</v>
      </c>
      <c r="AJ597">
        <v>88.622782661133201</v>
      </c>
      <c r="AK597">
        <v>25.486726860904501</v>
      </c>
      <c r="AL597">
        <v>85.562791631138296</v>
      </c>
      <c r="AM597">
        <v>86.185180882877603</v>
      </c>
      <c r="AN597">
        <v>1.00000004547271</v>
      </c>
    </row>
    <row r="598" spans="1:40" x14ac:dyDescent="0.25">
      <c r="A598" t="str">
        <f>"20190312151234315"</f>
        <v>20190312151234315</v>
      </c>
      <c r="B598" t="str">
        <f>"1552374754309752"</f>
        <v>1552374754309752</v>
      </c>
      <c r="C598" t="s">
        <v>40</v>
      </c>
      <c r="D598">
        <v>3.9519190000000002</v>
      </c>
      <c r="E598">
        <v>0.4834812</v>
      </c>
      <c r="F598" t="s">
        <v>43</v>
      </c>
      <c r="G598">
        <v>-299.5489</v>
      </c>
      <c r="H598">
        <v>-0.05</v>
      </c>
      <c r="I598">
        <v>366.05590000000001</v>
      </c>
      <c r="J598">
        <v>-324.99709999999999</v>
      </c>
      <c r="K598">
        <v>1.110355</v>
      </c>
      <c r="L598">
        <v>366.5804</v>
      </c>
      <c r="M598">
        <v>0.99991370000000002</v>
      </c>
      <c r="N598">
        <v>0</v>
      </c>
      <c r="O598">
        <v>3.492195E-3</v>
      </c>
      <c r="P598">
        <v>0.99596700000000005</v>
      </c>
      <c r="Q598">
        <v>6.3804E-2</v>
      </c>
      <c r="R598">
        <v>-6.3078690000000007E-2</v>
      </c>
      <c r="S598">
        <v>3.0173030000000001</v>
      </c>
      <c r="T598">
        <v>-0.13603709999999999</v>
      </c>
      <c r="U598">
        <v>-6.1340329999999998E-2</v>
      </c>
      <c r="V598">
        <v>6.6509460000000006E-2</v>
      </c>
      <c r="W598">
        <v>7.6456549999999998E-2</v>
      </c>
      <c r="X598">
        <v>0.99485219999999996</v>
      </c>
      <c r="Y598">
        <v>2.3789250000000001E-2</v>
      </c>
      <c r="Z598">
        <v>-6.9331489999999998E-4</v>
      </c>
      <c r="AA598">
        <v>0.99971679999999996</v>
      </c>
      <c r="AB598">
        <v>29</v>
      </c>
      <c r="AC598">
        <v>25.4481999999999</v>
      </c>
      <c r="AD598">
        <v>-1.160355</v>
      </c>
      <c r="AE598">
        <v>-0.52449999999998898</v>
      </c>
      <c r="AF598">
        <v>0.61210194807819496</v>
      </c>
      <c r="AG598">
        <v>-1.160355</v>
      </c>
      <c r="AH598">
        <v>25.393440853422099</v>
      </c>
      <c r="AI598">
        <v>92.615555847316102</v>
      </c>
      <c r="AJ598">
        <v>88.619168299111195</v>
      </c>
      <c r="AK598">
        <v>25.4273067959844</v>
      </c>
      <c r="AL598">
        <v>85.6150832173373</v>
      </c>
      <c r="AM598">
        <v>86.1752616847822</v>
      </c>
      <c r="AN598">
        <v>1.0000000060761101</v>
      </c>
    </row>
    <row r="599" spans="1:40" x14ac:dyDescent="0.25">
      <c r="A599" t="str">
        <f>"20190312151234338"</f>
        <v>20190312151234338</v>
      </c>
      <c r="B599" t="str">
        <f>"1552374754330248"</f>
        <v>1552374754330248</v>
      </c>
      <c r="C599" t="s">
        <v>40</v>
      </c>
      <c r="D599">
        <v>3.8906559999999999</v>
      </c>
      <c r="E599">
        <v>0.483682</v>
      </c>
      <c r="F599" t="s">
        <v>43</v>
      </c>
      <c r="G599">
        <v>-299.6694</v>
      </c>
      <c r="H599">
        <v>-0.05</v>
      </c>
      <c r="I599">
        <v>366.06060000000002</v>
      </c>
      <c r="J599">
        <v>-324.7056</v>
      </c>
      <c r="K599">
        <v>1.1103540000000001</v>
      </c>
      <c r="L599">
        <v>366.58179999999999</v>
      </c>
      <c r="M599">
        <v>0.99991209999999997</v>
      </c>
      <c r="N599">
        <v>0</v>
      </c>
      <c r="O599">
        <v>3.8368040000000001E-3</v>
      </c>
      <c r="P599">
        <v>0.99603609999999998</v>
      </c>
      <c r="Q599">
        <v>6.3125699999999896E-2</v>
      </c>
      <c r="R599">
        <v>-6.2669929999999999E-2</v>
      </c>
      <c r="S599">
        <v>3.01709</v>
      </c>
      <c r="T599">
        <v>-0.13822390000000001</v>
      </c>
      <c r="U599">
        <v>-6.1920169999999997E-2</v>
      </c>
      <c r="V599">
        <v>6.6444760000000005E-2</v>
      </c>
      <c r="W599">
        <v>7.5806129999999999E-2</v>
      </c>
      <c r="X599">
        <v>0.99490630000000002</v>
      </c>
      <c r="Y599">
        <v>2.4325449999999998E-2</v>
      </c>
      <c r="Z599">
        <v>-7.3255100000000001E-4</v>
      </c>
      <c r="AA599">
        <v>0.99970380000000003</v>
      </c>
      <c r="AB599">
        <v>29</v>
      </c>
      <c r="AC599">
        <v>25.036200000000001</v>
      </c>
      <c r="AD599">
        <v>-1.1603540000000001</v>
      </c>
      <c r="AE599">
        <v>-0.52119999999996403</v>
      </c>
      <c r="AF599">
        <v>0.61594039546731405</v>
      </c>
      <c r="AG599">
        <v>-1.1603540000000001</v>
      </c>
      <c r="AH599">
        <v>24.9803799513783</v>
      </c>
      <c r="AI599">
        <v>92.658705575144396</v>
      </c>
      <c r="AJ599">
        <v>88.587546070058806</v>
      </c>
      <c r="AK599">
        <v>25.0148992900492</v>
      </c>
      <c r="AL599">
        <v>85.652458027708306</v>
      </c>
      <c r="AM599">
        <v>86.179178500260804</v>
      </c>
      <c r="AN599">
        <v>1.00000001062836</v>
      </c>
    </row>
    <row r="600" spans="1:40" x14ac:dyDescent="0.25">
      <c r="A600" t="str">
        <f>"20190312151234353"</f>
        <v>20190312151234353</v>
      </c>
      <c r="B600" t="str">
        <f>"1552374754349769"</f>
        <v>1552374754349769</v>
      </c>
      <c r="C600" t="s">
        <v>40</v>
      </c>
      <c r="D600">
        <v>4.2303199999999999</v>
      </c>
      <c r="E600">
        <v>0.48371150000000002</v>
      </c>
      <c r="F600" t="s">
        <v>43</v>
      </c>
      <c r="G600">
        <v>-299.9579</v>
      </c>
      <c r="H600">
        <v>-0.05</v>
      </c>
      <c r="I600">
        <v>366.06970000000001</v>
      </c>
      <c r="J600">
        <v>-324.50819999999999</v>
      </c>
      <c r="K600">
        <v>1.1103529999999999</v>
      </c>
      <c r="L600">
        <v>366.5829</v>
      </c>
      <c r="M600">
        <v>0.99991079999999999</v>
      </c>
      <c r="N600">
        <v>0</v>
      </c>
      <c r="O600">
        <v>4.0712889999999996E-3</v>
      </c>
      <c r="P600">
        <v>0.99605969999999999</v>
      </c>
      <c r="Q600">
        <v>6.3101959999999999E-2</v>
      </c>
      <c r="R600">
        <v>-6.2317490000000003E-2</v>
      </c>
      <c r="S600">
        <v>3.0169679999999999</v>
      </c>
      <c r="T600">
        <v>-0.14145739999999901</v>
      </c>
      <c r="U600">
        <v>-6.2438960000000002E-2</v>
      </c>
      <c r="V600">
        <v>6.6326099999999999E-2</v>
      </c>
      <c r="W600">
        <v>7.5806129999999999E-2</v>
      </c>
      <c r="X600">
        <v>0.99491419999999997</v>
      </c>
      <c r="Y600">
        <v>2.4730450000000001E-2</v>
      </c>
      <c r="Z600">
        <v>-7.7017539999999895E-4</v>
      </c>
      <c r="AA600">
        <v>0.99969390000000002</v>
      </c>
      <c r="AB600">
        <v>29</v>
      </c>
      <c r="AC600">
        <v>24.5503</v>
      </c>
      <c r="AD600">
        <v>-1.160353</v>
      </c>
      <c r="AE600">
        <v>-0.513199999999983</v>
      </c>
      <c r="AF600">
        <v>0.61178911231552902</v>
      </c>
      <c r="AG600">
        <v>-1.160353</v>
      </c>
      <c r="AH600">
        <v>24.493314861013499</v>
      </c>
      <c r="AI600">
        <v>92.7114736071469</v>
      </c>
      <c r="AJ600">
        <v>88.569175006176593</v>
      </c>
      <c r="AK600">
        <v>24.528415723060899</v>
      </c>
      <c r="AL600">
        <v>85.652457951461798</v>
      </c>
      <c r="AM600">
        <v>86.186011930939898</v>
      </c>
      <c r="AN600">
        <v>0.99999999312421295</v>
      </c>
    </row>
    <row r="601" spans="1:40" x14ac:dyDescent="0.25">
      <c r="A601" t="str">
        <f>"20190312151234372"</f>
        <v>20190312151234372</v>
      </c>
      <c r="B601" t="str">
        <f>"1552374754360505"</f>
        <v>1552374754360505</v>
      </c>
      <c r="C601" t="s">
        <v>40</v>
      </c>
      <c r="D601">
        <v>3.9202659999999998</v>
      </c>
      <c r="E601">
        <v>0.48595490000000002</v>
      </c>
      <c r="F601" t="s">
        <v>43</v>
      </c>
      <c r="G601">
        <v>-299.61759999999998</v>
      </c>
      <c r="H601">
        <v>-0.05</v>
      </c>
      <c r="I601">
        <v>366.07150000000001</v>
      </c>
      <c r="J601">
        <v>-324.25720000000001</v>
      </c>
      <c r="K601">
        <v>1.1103510000000001</v>
      </c>
      <c r="L601">
        <v>366.58420000000001</v>
      </c>
      <c r="M601">
        <v>0.99990900000000005</v>
      </c>
      <c r="N601">
        <v>0</v>
      </c>
      <c r="O601">
        <v>4.3710069999999997E-3</v>
      </c>
      <c r="P601">
        <v>0.99613669999999999</v>
      </c>
      <c r="Q601">
        <v>6.2337330000000003E-2</v>
      </c>
      <c r="R601">
        <v>-6.1855220000000002E-2</v>
      </c>
      <c r="S601">
        <v>3.0168759999999999</v>
      </c>
      <c r="T601">
        <v>-0.14064070000000001</v>
      </c>
      <c r="U601">
        <v>-6.19812E-2</v>
      </c>
      <c r="V601">
        <v>6.6163819999999998E-2</v>
      </c>
      <c r="W601">
        <v>7.5078640000000002E-2</v>
      </c>
      <c r="X601">
        <v>0.99498019999999998</v>
      </c>
      <c r="Y601">
        <v>2.487899E-2</v>
      </c>
      <c r="Z601">
        <v>-7.8318249999999995E-4</v>
      </c>
      <c r="AA601">
        <v>0.99969019999999997</v>
      </c>
      <c r="AB601">
        <v>29</v>
      </c>
      <c r="AC601">
        <v>24.639600000000002</v>
      </c>
      <c r="AD601">
        <v>-1.1603509999999999</v>
      </c>
      <c r="AE601">
        <v>-0.51269999999999505</v>
      </c>
      <c r="AF601">
        <v>0.61903147864941299</v>
      </c>
      <c r="AG601">
        <v>-1.1603509999999999</v>
      </c>
      <c r="AH601">
        <v>24.582628995512099</v>
      </c>
      <c r="AI601">
        <v>92.701618411749294</v>
      </c>
      <c r="AJ601">
        <v>88.557501842092293</v>
      </c>
      <c r="AK601">
        <v>24.617783465327399</v>
      </c>
      <c r="AL601">
        <v>85.694259327128705</v>
      </c>
      <c r="AM601">
        <v>86.195567804958202</v>
      </c>
      <c r="AN601">
        <v>1.0000000258266399</v>
      </c>
    </row>
    <row r="602" spans="1:40" x14ac:dyDescent="0.25">
      <c r="A602" t="str">
        <f>"20190312151234393"</f>
        <v>20190312151234393</v>
      </c>
      <c r="B602" t="str">
        <f>"1552374754389785"</f>
        <v>1552374754389785</v>
      </c>
      <c r="C602" t="s">
        <v>40</v>
      </c>
      <c r="D602">
        <v>3.8577859999999999</v>
      </c>
      <c r="E602">
        <v>0.48502339999999999</v>
      </c>
      <c r="F602" t="s">
        <v>42</v>
      </c>
      <c r="G602">
        <v>-246.07740000000001</v>
      </c>
      <c r="H602" s="1">
        <v>-2.8305729999999999E-6</v>
      </c>
      <c r="I602">
        <v>364.58010000000002</v>
      </c>
      <c r="J602">
        <v>-323.97789999999998</v>
      </c>
      <c r="K602">
        <v>1.1103510000000001</v>
      </c>
      <c r="L602">
        <v>366.58580000000001</v>
      </c>
      <c r="M602">
        <v>0.99990690000000004</v>
      </c>
      <c r="N602">
        <v>0</v>
      </c>
      <c r="O602">
        <v>4.7036619999999999E-3</v>
      </c>
      <c r="P602">
        <v>0.99626769999999998</v>
      </c>
      <c r="Q602">
        <v>6.1040900000000002E-2</v>
      </c>
      <c r="R602">
        <v>-6.1030239999999999E-2</v>
      </c>
      <c r="S602">
        <v>3.0095209999999999</v>
      </c>
      <c r="T602">
        <v>-4.2742969999999998E-2</v>
      </c>
      <c r="U602">
        <v>-7.7148439999999999E-2</v>
      </c>
      <c r="V602">
        <v>6.5671960000000001E-2</v>
      </c>
      <c r="W602">
        <v>7.3831859999999999E-2</v>
      </c>
      <c r="X602">
        <v>0.99510600000000005</v>
      </c>
      <c r="Y602">
        <v>3.0325049999999999E-2</v>
      </c>
      <c r="Z602">
        <v>-2.820969E-4</v>
      </c>
      <c r="AA602">
        <v>0.99953999999999998</v>
      </c>
      <c r="AB602">
        <v>29</v>
      </c>
      <c r="AC602">
        <v>77.900499999999894</v>
      </c>
      <c r="AD602">
        <v>-1.1103538305730001</v>
      </c>
      <c r="AE602">
        <v>-2.0056999999999898</v>
      </c>
      <c r="AF602">
        <v>2.3716439840353498</v>
      </c>
      <c r="AG602">
        <v>-1.1103538305730001</v>
      </c>
      <c r="AH602">
        <v>77.874392562767596</v>
      </c>
      <c r="AI602">
        <v>90.816504619516493</v>
      </c>
      <c r="AJ602">
        <v>88.255611389993106</v>
      </c>
      <c r="AK602">
        <v>77.918409877487306</v>
      </c>
      <c r="AL602">
        <v>85.765893073391496</v>
      </c>
      <c r="AM602">
        <v>86.224243718223505</v>
      </c>
      <c r="AN602">
        <v>0.99999995055864899</v>
      </c>
    </row>
    <row r="603" spans="1:40" x14ac:dyDescent="0.25">
      <c r="A603" t="str">
        <f>"20190312151234417"</f>
        <v>20190312151234417</v>
      </c>
      <c r="B603" t="str">
        <f>"1552374754410281"</f>
        <v>1552374754410281</v>
      </c>
      <c r="C603" t="s">
        <v>40</v>
      </c>
      <c r="D603">
        <v>3.873815</v>
      </c>
      <c r="E603">
        <v>0.48506700000000003</v>
      </c>
      <c r="F603" t="s">
        <v>43</v>
      </c>
      <c r="G603">
        <v>-299.48430000000002</v>
      </c>
      <c r="H603">
        <v>-0.05</v>
      </c>
      <c r="I603">
        <v>366.03059999999999</v>
      </c>
      <c r="J603">
        <v>-323.67099999999999</v>
      </c>
      <c r="K603">
        <v>1.110352</v>
      </c>
      <c r="L603">
        <v>366.58769999999998</v>
      </c>
      <c r="M603">
        <v>0.99990440000000003</v>
      </c>
      <c r="N603">
        <v>0</v>
      </c>
      <c r="O603">
        <v>5.0656729999999997E-3</v>
      </c>
      <c r="P603">
        <v>0.99642220000000004</v>
      </c>
      <c r="Q603">
        <v>5.9774899999999999E-2</v>
      </c>
      <c r="R603">
        <v>-5.9750579999999998E-2</v>
      </c>
      <c r="S603">
        <v>3.0158390000000002</v>
      </c>
      <c r="T603">
        <v>-0.14287079999999999</v>
      </c>
      <c r="U603">
        <v>-6.8359379999999997E-2</v>
      </c>
      <c r="V603">
        <v>6.4754699999999998E-2</v>
      </c>
      <c r="W603">
        <v>7.2630600000000003E-2</v>
      </c>
      <c r="X603">
        <v>0.99525459999999999</v>
      </c>
      <c r="Y603">
        <v>2.7688750000000002E-2</v>
      </c>
      <c r="Z603">
        <v>-8.9524059999999896E-4</v>
      </c>
      <c r="AA603">
        <v>0.99961619999999995</v>
      </c>
      <c r="AB603">
        <v>29</v>
      </c>
      <c r="AC603">
        <v>24.186699999999899</v>
      </c>
      <c r="AD603">
        <v>-1.1603520000000001</v>
      </c>
      <c r="AE603">
        <v>-0.55709999999999105</v>
      </c>
      <c r="AF603">
        <v>0.67806511151758198</v>
      </c>
      <c r="AG603">
        <v>-1.1603520000000001</v>
      </c>
      <c r="AH603">
        <v>24.128064049809701</v>
      </c>
      <c r="AI603">
        <v>92.752227134462998</v>
      </c>
      <c r="AJ603">
        <v>88.390254337777094</v>
      </c>
      <c r="AK603">
        <v>24.165464279650799</v>
      </c>
      <c r="AL603">
        <v>85.834905910796806</v>
      </c>
      <c r="AM603">
        <v>86.277385799385598</v>
      </c>
      <c r="AN603">
        <v>1.0000000470248001</v>
      </c>
    </row>
    <row r="604" spans="1:40" x14ac:dyDescent="0.25">
      <c r="A604" t="str">
        <f>"20190312151234440"</f>
        <v>20190312151234440</v>
      </c>
      <c r="B604" t="str">
        <f>"1552374754429800"</f>
        <v>1552374754429800</v>
      </c>
      <c r="C604" t="s">
        <v>40</v>
      </c>
      <c r="D604">
        <v>3.8337249999999998</v>
      </c>
      <c r="E604">
        <v>0.4847785</v>
      </c>
      <c r="F604" t="s">
        <v>43</v>
      </c>
      <c r="G604">
        <v>-296.99560000000002</v>
      </c>
      <c r="H604">
        <v>-0.05</v>
      </c>
      <c r="I604">
        <v>366.01679999999999</v>
      </c>
      <c r="J604">
        <v>-323.3741</v>
      </c>
      <c r="K604">
        <v>1.1103540000000001</v>
      </c>
      <c r="L604">
        <v>366.58960000000002</v>
      </c>
      <c r="M604">
        <v>0.9999017</v>
      </c>
      <c r="N604">
        <v>0</v>
      </c>
      <c r="O604">
        <v>5.4110180000000001E-3</v>
      </c>
      <c r="P604">
        <v>0.99659640000000005</v>
      </c>
      <c r="Q604">
        <v>5.7869829999999997E-2</v>
      </c>
      <c r="R604">
        <v>-5.8710619999999998E-2</v>
      </c>
      <c r="S604">
        <v>3.0147710000000001</v>
      </c>
      <c r="T604">
        <v>-0.13113939999999999</v>
      </c>
      <c r="U604">
        <v>-6.4514160000000001E-2</v>
      </c>
      <c r="V604">
        <v>6.4061160000000006E-2</v>
      </c>
      <c r="W604">
        <v>7.0798079999999999E-2</v>
      </c>
      <c r="X604">
        <v>0.99543150000000002</v>
      </c>
      <c r="Y604">
        <v>2.6773959999999999E-2</v>
      </c>
      <c r="Z604">
        <v>-8.1723579999999998E-4</v>
      </c>
      <c r="AA604">
        <v>0.99964120000000001</v>
      </c>
      <c r="AB604">
        <v>29</v>
      </c>
      <c r="AC604">
        <v>26.378499999999899</v>
      </c>
      <c r="AD604">
        <v>-1.1603540000000001</v>
      </c>
      <c r="AE604">
        <v>-0.57280000000002895</v>
      </c>
      <c r="AF604">
        <v>0.71415685162661702</v>
      </c>
      <c r="AG604">
        <v>-1.1603540000000001</v>
      </c>
      <c r="AH604">
        <v>26.324100962099699</v>
      </c>
      <c r="AI604">
        <v>92.523010106387801</v>
      </c>
      <c r="AJ604">
        <v>88.445981522672</v>
      </c>
      <c r="AK604">
        <v>26.359338627455401</v>
      </c>
      <c r="AL604">
        <v>85.940172576413502</v>
      </c>
      <c r="AM604">
        <v>86.317798349858805</v>
      </c>
      <c r="AN604">
        <v>1.0000000357722401</v>
      </c>
    </row>
    <row r="605" spans="1:40" x14ac:dyDescent="0.25">
      <c r="A605" t="str">
        <f>"20190312151234461"</f>
        <v>20190312151234461</v>
      </c>
      <c r="B605" t="str">
        <f>"1552374754450296"</f>
        <v>1552374754450296</v>
      </c>
      <c r="C605" t="s">
        <v>40</v>
      </c>
      <c r="D605">
        <v>3.8238409999999998</v>
      </c>
      <c r="E605">
        <v>0.4847747</v>
      </c>
      <c r="F605" t="s">
        <v>43</v>
      </c>
      <c r="G605">
        <v>-297.48570000000001</v>
      </c>
      <c r="H605">
        <v>-0.05</v>
      </c>
      <c r="I605">
        <v>366.0806</v>
      </c>
      <c r="J605">
        <v>-323.1019</v>
      </c>
      <c r="K605">
        <v>1.1103620000000001</v>
      </c>
      <c r="L605">
        <v>366.59140000000002</v>
      </c>
      <c r="M605">
        <v>0.99989899999999998</v>
      </c>
      <c r="N605">
        <v>0</v>
      </c>
      <c r="O605">
        <v>5.7240360000000001E-3</v>
      </c>
      <c r="P605">
        <v>0.99664770000000003</v>
      </c>
      <c r="Q605">
        <v>5.7897610000000002E-2</v>
      </c>
      <c r="R605">
        <v>-5.7806789999999997E-2</v>
      </c>
      <c r="S605">
        <v>3.0145569999999999</v>
      </c>
      <c r="T605">
        <v>-0.13511709999999999</v>
      </c>
      <c r="U605">
        <v>-5.9265140000000001E-2</v>
      </c>
      <c r="V605">
        <v>6.3469700000000004E-2</v>
      </c>
      <c r="W605">
        <v>7.0900340000000006E-2</v>
      </c>
      <c r="X605">
        <v>0.99546210000000002</v>
      </c>
      <c r="Y605">
        <v>2.534776E-2</v>
      </c>
      <c r="Z605">
        <v>-8.2415389999999998E-4</v>
      </c>
      <c r="AA605">
        <v>0.99967839999999997</v>
      </c>
      <c r="AB605">
        <v>29</v>
      </c>
      <c r="AC605">
        <v>25.6161999999999</v>
      </c>
      <c r="AD605">
        <v>-1.1603619999999999</v>
      </c>
      <c r="AE605">
        <v>-0.51080000000001702</v>
      </c>
      <c r="AF605">
        <v>0.65608639666107604</v>
      </c>
      <c r="AG605">
        <v>-1.1603619999999999</v>
      </c>
      <c r="AH605">
        <v>25.560429421099901</v>
      </c>
      <c r="AI605">
        <v>92.598406446653698</v>
      </c>
      <c r="AJ605">
        <v>88.529651885884903</v>
      </c>
      <c r="AK605">
        <v>25.595164416779099</v>
      </c>
      <c r="AL605">
        <v>85.934298712892399</v>
      </c>
      <c r="AM605">
        <v>86.351814757897202</v>
      </c>
      <c r="AN605">
        <v>1.0000000267833</v>
      </c>
    </row>
    <row r="606" spans="1:40" x14ac:dyDescent="0.25">
      <c r="A606" t="str">
        <f>"20190312151234483"</f>
        <v>20190312151234483</v>
      </c>
      <c r="B606" t="str">
        <f>"1552374754480553"</f>
        <v>1552374754480553</v>
      </c>
      <c r="C606" t="s">
        <v>40</v>
      </c>
      <c r="D606">
        <v>3.8095690000000002</v>
      </c>
      <c r="E606">
        <v>0.48488750000000003</v>
      </c>
      <c r="F606" t="s">
        <v>43</v>
      </c>
      <c r="G606">
        <v>-297.2894</v>
      </c>
      <c r="H606">
        <v>-0.05</v>
      </c>
      <c r="I606">
        <v>366.10669999999999</v>
      </c>
      <c r="J606">
        <v>-322.81700000000001</v>
      </c>
      <c r="K606">
        <v>1.1103799999999999</v>
      </c>
      <c r="L606">
        <v>366.59339999999997</v>
      </c>
      <c r="M606">
        <v>0.9998958</v>
      </c>
      <c r="N606">
        <v>0</v>
      </c>
      <c r="O606">
        <v>6.0493389999999999E-3</v>
      </c>
      <c r="P606">
        <v>0.99665429999999999</v>
      </c>
      <c r="Q606">
        <v>5.8090459999999997E-2</v>
      </c>
      <c r="R606">
        <v>-5.7494770000000001E-2</v>
      </c>
      <c r="S606">
        <v>3.0146480000000002</v>
      </c>
      <c r="T606">
        <v>-0.1355189</v>
      </c>
      <c r="U606">
        <v>-5.6610109999999998E-2</v>
      </c>
      <c r="V606">
        <v>6.3481979999999993E-2</v>
      </c>
      <c r="W606">
        <v>7.118381E-2</v>
      </c>
      <c r="X606">
        <v>0.99544109999999997</v>
      </c>
      <c r="Y606">
        <v>2.4792350000000001E-2</v>
      </c>
      <c r="Z606">
        <v>-8.287244E-4</v>
      </c>
      <c r="AA606">
        <v>0.99969229999999998</v>
      </c>
      <c r="AB606">
        <v>29</v>
      </c>
      <c r="AC606">
        <v>25.5276</v>
      </c>
      <c r="AD606">
        <v>-1.16038</v>
      </c>
      <c r="AE606">
        <v>-0.48669999999998398</v>
      </c>
      <c r="AF606">
        <v>0.63980795018869197</v>
      </c>
      <c r="AG606">
        <v>-1.16038</v>
      </c>
      <c r="AH606">
        <v>25.471577129320998</v>
      </c>
      <c r="AI606">
        <v>92.607534664328796</v>
      </c>
      <c r="AJ606">
        <v>88.561118212036305</v>
      </c>
      <c r="AK606">
        <v>25.506020415040702</v>
      </c>
      <c r="AL606">
        <v>85.918015991656802</v>
      </c>
      <c r="AM606">
        <v>86.351034050917605</v>
      </c>
      <c r="AN606">
        <v>1.00000004008002</v>
      </c>
    </row>
    <row r="607" spans="1:40" x14ac:dyDescent="0.25">
      <c r="A607" t="str">
        <f>"20190312151234505"</f>
        <v>20190312151234505</v>
      </c>
      <c r="B607" t="str">
        <f>"1552374754500073"</f>
        <v>1552374754500073</v>
      </c>
      <c r="C607" t="s">
        <v>40</v>
      </c>
      <c r="D607">
        <v>3.7524660000000001</v>
      </c>
      <c r="E607">
        <v>0.48502220000000001</v>
      </c>
      <c r="F607" t="s">
        <v>43</v>
      </c>
      <c r="G607">
        <v>-295.65820000000002</v>
      </c>
      <c r="H607">
        <v>-0.05</v>
      </c>
      <c r="I607">
        <v>366.08530000000002</v>
      </c>
      <c r="J607">
        <v>-322.5197</v>
      </c>
      <c r="K607">
        <v>1.1104039999999999</v>
      </c>
      <c r="L607">
        <v>366.59559999999999</v>
      </c>
      <c r="M607">
        <v>0.99989220000000001</v>
      </c>
      <c r="N607">
        <v>0</v>
      </c>
      <c r="O607">
        <v>6.386091E-3</v>
      </c>
      <c r="P607">
        <v>0.99658749999999996</v>
      </c>
      <c r="Q607">
        <v>5.8862299999999999E-2</v>
      </c>
      <c r="R607">
        <v>-5.7867099999999901E-2</v>
      </c>
      <c r="S607">
        <v>3.014313</v>
      </c>
      <c r="T607">
        <v>-0.1287885</v>
      </c>
      <c r="U607">
        <v>-5.6396479999999999E-2</v>
      </c>
      <c r="V607">
        <v>6.4189220000000005E-2</v>
      </c>
      <c r="W607">
        <v>7.2062260000000003E-2</v>
      </c>
      <c r="X607">
        <v>0.99533249999999995</v>
      </c>
      <c r="Y607">
        <v>2.506276E-2</v>
      </c>
      <c r="Z607">
        <v>-8.0784879999999996E-4</v>
      </c>
      <c r="AA607">
        <v>0.9996855</v>
      </c>
      <c r="AB607">
        <v>29</v>
      </c>
      <c r="AC607">
        <v>26.8614999999999</v>
      </c>
      <c r="AD607">
        <v>-1.160404</v>
      </c>
      <c r="AE607">
        <v>-0.510299999999972</v>
      </c>
      <c r="AF607">
        <v>0.68057494105277905</v>
      </c>
      <c r="AG607">
        <v>-1.160404</v>
      </c>
      <c r="AH607">
        <v>26.807682639534899</v>
      </c>
      <c r="AI607">
        <v>92.477774705238701</v>
      </c>
      <c r="AJ607">
        <v>88.545726682188501</v>
      </c>
      <c r="AK607">
        <v>26.841415167528499</v>
      </c>
      <c r="AL607">
        <v>85.867554775520304</v>
      </c>
      <c r="AM607">
        <v>86.310091876484407</v>
      </c>
      <c r="AN607">
        <v>1.00000000541838</v>
      </c>
    </row>
    <row r="608" spans="1:40" x14ac:dyDescent="0.25">
      <c r="A608" t="str">
        <f>"20190312151234527"</f>
        <v>20190312151234527</v>
      </c>
      <c r="B608" t="str">
        <f>"1552374754520573"</f>
        <v>1552374754520573</v>
      </c>
      <c r="C608" t="s">
        <v>40</v>
      </c>
      <c r="D608">
        <v>3.7780719999999999</v>
      </c>
      <c r="E608">
        <v>0.48508679999999899</v>
      </c>
      <c r="F608" t="s">
        <v>43</v>
      </c>
      <c r="G608">
        <v>-295.47460000000001</v>
      </c>
      <c r="H608">
        <v>-0.05</v>
      </c>
      <c r="I608">
        <v>366.06819999999999</v>
      </c>
      <c r="J608">
        <v>-322.23919999999998</v>
      </c>
      <c r="K608">
        <v>1.1104210000000001</v>
      </c>
      <c r="L608">
        <v>366.59769999999997</v>
      </c>
      <c r="M608">
        <v>0.99988860000000002</v>
      </c>
      <c r="N608">
        <v>0</v>
      </c>
      <c r="O608">
        <v>6.701579E-3</v>
      </c>
      <c r="P608">
        <v>0.99653009999999997</v>
      </c>
      <c r="Q608">
        <v>5.9704350000000003E-2</v>
      </c>
      <c r="R608">
        <v>-5.7996529999999998E-2</v>
      </c>
      <c r="S608">
        <v>3.0144959999999998</v>
      </c>
      <c r="T608">
        <v>-0.1293406</v>
      </c>
      <c r="U608">
        <v>-5.877686E-2</v>
      </c>
      <c r="V608">
        <v>6.4632159999999994E-2</v>
      </c>
      <c r="W608">
        <v>7.3018669999999994E-2</v>
      </c>
      <c r="X608">
        <v>0.99523410000000001</v>
      </c>
      <c r="Y608">
        <v>2.6164610000000001E-2</v>
      </c>
      <c r="Z608">
        <v>-8.4840950000000001E-4</v>
      </c>
      <c r="AA608">
        <v>0.99965729999999997</v>
      </c>
      <c r="AB608">
        <v>29</v>
      </c>
      <c r="AC608">
        <v>26.764599999999898</v>
      </c>
      <c r="AD608">
        <v>-1.1604209999999999</v>
      </c>
      <c r="AE608">
        <v>-0.52949999999998398</v>
      </c>
      <c r="AF608">
        <v>0.70753963683668097</v>
      </c>
      <c r="AG608">
        <v>-1.1604209999999999</v>
      </c>
      <c r="AH608">
        <v>26.7102599984335</v>
      </c>
      <c r="AI608">
        <v>92.486766214401399</v>
      </c>
      <c r="AJ608">
        <v>88.482622143118604</v>
      </c>
      <c r="AK608">
        <v>26.7448159167127</v>
      </c>
      <c r="AL608">
        <v>85.812611653352505</v>
      </c>
      <c r="AM608">
        <v>86.284334299101602</v>
      </c>
      <c r="AN608">
        <v>0.99999997803882201</v>
      </c>
    </row>
    <row r="609" spans="1:40" x14ac:dyDescent="0.25">
      <c r="A609" t="str">
        <f>"20190312151234549"</f>
        <v>20190312151234549</v>
      </c>
      <c r="B609" t="str">
        <f>"1552374754540088"</f>
        <v>1552374754540088</v>
      </c>
      <c r="C609" t="s">
        <v>40</v>
      </c>
      <c r="D609">
        <v>3.78369</v>
      </c>
      <c r="E609">
        <v>0.48511559999999998</v>
      </c>
      <c r="F609" t="s">
        <v>43</v>
      </c>
      <c r="G609">
        <v>-294.255</v>
      </c>
      <c r="H609">
        <v>-0.05</v>
      </c>
      <c r="I609">
        <v>366.04379999999998</v>
      </c>
      <c r="J609">
        <v>-321.94720000000001</v>
      </c>
      <c r="K609">
        <v>1.1104400000000001</v>
      </c>
      <c r="L609">
        <v>366.6</v>
      </c>
      <c r="M609">
        <v>0.99988480000000002</v>
      </c>
      <c r="N609">
        <v>0</v>
      </c>
      <c r="O609">
        <v>7.0288629999999998E-3</v>
      </c>
      <c r="P609">
        <v>0.99652629999999998</v>
      </c>
      <c r="Q609">
        <v>5.9918649999999997E-2</v>
      </c>
      <c r="R609">
        <v>-5.7839889999999998E-2</v>
      </c>
      <c r="S609">
        <v>3.0144959999999998</v>
      </c>
      <c r="T609">
        <v>-0.12500240000000001</v>
      </c>
      <c r="U609">
        <v>-5.9661869999999999E-2</v>
      </c>
      <c r="V609">
        <v>6.4801719999999993E-2</v>
      </c>
      <c r="W609">
        <v>7.3356770000000002E-2</v>
      </c>
      <c r="X609">
        <v>0.99519820000000003</v>
      </c>
      <c r="Y609">
        <v>2.6786359999999999E-2</v>
      </c>
      <c r="Z609">
        <v>-8.4642619999999904E-4</v>
      </c>
      <c r="AA609">
        <v>0.9996408</v>
      </c>
      <c r="AB609">
        <v>29</v>
      </c>
      <c r="AC609">
        <v>27.6922</v>
      </c>
      <c r="AD609">
        <v>-1.1604399999999999</v>
      </c>
      <c r="AE609">
        <v>-0.55620000000004599</v>
      </c>
      <c r="AF609">
        <v>0.74953288674165897</v>
      </c>
      <c r="AG609">
        <v>-1.1604399999999999</v>
      </c>
      <c r="AH609">
        <v>27.6390906583458</v>
      </c>
      <c r="AI609">
        <v>92.403295264907001</v>
      </c>
      <c r="AJ609">
        <v>88.446600553071093</v>
      </c>
      <c r="AK609">
        <v>27.6735930620179</v>
      </c>
      <c r="AL609">
        <v>85.793187816197801</v>
      </c>
      <c r="AM609">
        <v>86.274479798778003</v>
      </c>
      <c r="AN609">
        <v>0.99999996795151502</v>
      </c>
    </row>
    <row r="610" spans="1:40" x14ac:dyDescent="0.25">
      <c r="A610" t="str">
        <f>"20190312151234572"</f>
        <v>20190312151234572</v>
      </c>
      <c r="B610" t="str">
        <f>"1552374754559612"</f>
        <v>1552374754559612</v>
      </c>
      <c r="C610" t="s">
        <v>40</v>
      </c>
      <c r="D610">
        <v>3.7327759999999999</v>
      </c>
      <c r="E610">
        <v>0.48519970000000001</v>
      </c>
      <c r="F610" t="s">
        <v>43</v>
      </c>
      <c r="G610">
        <v>-293.05739999999997</v>
      </c>
      <c r="H610">
        <v>-0.05</v>
      </c>
      <c r="I610">
        <v>366.02530000000002</v>
      </c>
      <c r="J610">
        <v>-321.6669</v>
      </c>
      <c r="K610">
        <v>1.1104540000000001</v>
      </c>
      <c r="L610">
        <v>366.60230000000001</v>
      </c>
      <c r="M610">
        <v>0.99988089999999996</v>
      </c>
      <c r="N610">
        <v>0</v>
      </c>
      <c r="O610">
        <v>7.3419840000000002E-3</v>
      </c>
      <c r="P610">
        <v>0.99651250000000002</v>
      </c>
      <c r="Q610">
        <v>6.079503E-2</v>
      </c>
      <c r="R610">
        <v>-5.7160589999999997E-2</v>
      </c>
      <c r="S610">
        <v>3.0142519999999999</v>
      </c>
      <c r="T610">
        <v>-0.12107569999999999</v>
      </c>
      <c r="U610">
        <v>-5.9967039999999999E-2</v>
      </c>
      <c r="V610">
        <v>6.4433569999999996E-2</v>
      </c>
      <c r="W610">
        <v>7.4353989999999995E-2</v>
      </c>
      <c r="X610">
        <v>0.99514809999999998</v>
      </c>
      <c r="Y610">
        <v>2.7203390000000001E-2</v>
      </c>
      <c r="Z610">
        <v>-8.4086939999999998E-4</v>
      </c>
      <c r="AA610">
        <v>0.99962960000000001</v>
      </c>
      <c r="AB610">
        <v>29</v>
      </c>
      <c r="AC610">
        <v>28.609500000000001</v>
      </c>
      <c r="AD610">
        <v>-1.1604540000000001</v>
      </c>
      <c r="AE610">
        <v>-0.57699999999999796</v>
      </c>
      <c r="AF610">
        <v>0.78576203394980304</v>
      </c>
      <c r="AG610">
        <v>-1.1604540000000001</v>
      </c>
      <c r="AH610">
        <v>28.557526501071301</v>
      </c>
      <c r="AI610">
        <v>92.326092312404995</v>
      </c>
      <c r="AJ610">
        <v>88.423900894749394</v>
      </c>
      <c r="AK610">
        <v>28.591893874304699</v>
      </c>
      <c r="AL610">
        <v>85.735894857812596</v>
      </c>
      <c r="AM610">
        <v>86.295400057985503</v>
      </c>
      <c r="AN610">
        <v>0.99999997085273695</v>
      </c>
    </row>
    <row r="611" spans="1:40" x14ac:dyDescent="0.25">
      <c r="A611" t="str">
        <f>"20190312151234593"</f>
        <v>20190312151234593</v>
      </c>
      <c r="B611" t="str">
        <f>"1552374754589865"</f>
        <v>1552374754589865</v>
      </c>
      <c r="C611" t="s">
        <v>40</v>
      </c>
      <c r="D611">
        <v>3.691808</v>
      </c>
      <c r="E611">
        <v>0.4851935</v>
      </c>
      <c r="F611" t="s">
        <v>43</v>
      </c>
      <c r="G611">
        <v>-291.63810000000001</v>
      </c>
      <c r="H611">
        <v>-0.05</v>
      </c>
      <c r="I611">
        <v>366.02159999999998</v>
      </c>
      <c r="J611">
        <v>-321.3897</v>
      </c>
      <c r="K611">
        <v>1.1104719999999999</v>
      </c>
      <c r="L611">
        <v>366.60469999999998</v>
      </c>
      <c r="M611">
        <v>0.99987680000000001</v>
      </c>
      <c r="N611">
        <v>0</v>
      </c>
      <c r="O611">
        <v>7.6513459999999998E-3</v>
      </c>
      <c r="P611">
        <v>0.99653239999999998</v>
      </c>
      <c r="Q611">
        <v>6.0977150000000001E-2</v>
      </c>
      <c r="R611">
        <v>-5.6609159999999999E-2</v>
      </c>
      <c r="S611">
        <v>3.0142820000000001</v>
      </c>
      <c r="T611">
        <v>-0.1164858</v>
      </c>
      <c r="U611">
        <v>-5.8288569999999998E-2</v>
      </c>
      <c r="V611">
        <v>6.4190750000000005E-2</v>
      </c>
      <c r="W611">
        <v>7.4656879999999995E-2</v>
      </c>
      <c r="X611">
        <v>0.9951411</v>
      </c>
      <c r="Y611">
        <v>2.6958099999999902E-2</v>
      </c>
      <c r="Z611">
        <v>-8.1622659999999996E-4</v>
      </c>
      <c r="AA611">
        <v>0.99963619999999997</v>
      </c>
      <c r="AB611">
        <v>29</v>
      </c>
      <c r="AC611">
        <v>29.7516</v>
      </c>
      <c r="AD611">
        <v>-1.1604719999999999</v>
      </c>
      <c r="AE611">
        <v>-0.58310000000000095</v>
      </c>
      <c r="AF611">
        <v>0.80951296203842604</v>
      </c>
      <c r="AG611">
        <v>-1.1604719999999999</v>
      </c>
      <c r="AH611">
        <v>29.701096583695499</v>
      </c>
      <c r="AI611">
        <v>92.2366749736955</v>
      </c>
      <c r="AJ611">
        <v>88.438771570089799</v>
      </c>
      <c r="AK611">
        <v>29.734780052532798</v>
      </c>
      <c r="AL611">
        <v>85.718492103880195</v>
      </c>
      <c r="AM611">
        <v>86.309296415402599</v>
      </c>
      <c r="AN611">
        <v>0.99999995551305199</v>
      </c>
    </row>
    <row r="612" spans="1:40" x14ac:dyDescent="0.25">
      <c r="A612" t="str">
        <f>"20190312151234618"</f>
        <v>20190312151234618</v>
      </c>
      <c r="B612" t="str">
        <f>"1552374754610363"</f>
        <v>1552374754610363</v>
      </c>
      <c r="C612" t="s">
        <v>40</v>
      </c>
      <c r="D612">
        <v>3.7035239999999998</v>
      </c>
      <c r="E612">
        <v>0.48535650000000002</v>
      </c>
      <c r="F612" t="s">
        <v>43</v>
      </c>
      <c r="G612">
        <v>-291.31060000000002</v>
      </c>
      <c r="H612">
        <v>-0.05</v>
      </c>
      <c r="I612">
        <v>366.04259999999999</v>
      </c>
      <c r="J612">
        <v>-321.08229999999998</v>
      </c>
      <c r="K612">
        <v>1.1103689999999999</v>
      </c>
      <c r="L612">
        <v>366.60750000000002</v>
      </c>
      <c r="M612">
        <v>0.9998785</v>
      </c>
      <c r="N612">
        <v>0</v>
      </c>
      <c r="O612">
        <v>8.0035839999999994E-3</v>
      </c>
      <c r="P612">
        <v>0.99657209999999996</v>
      </c>
      <c r="Q612">
        <v>6.0997370000000002E-2</v>
      </c>
      <c r="R612">
        <v>-5.5886560000000002E-2</v>
      </c>
      <c r="S612">
        <v>3.0143430000000002</v>
      </c>
      <c r="T612">
        <v>-0.1162953</v>
      </c>
      <c r="U612">
        <v>-5.6335450000000002E-2</v>
      </c>
      <c r="V612">
        <v>6.3819710000000002E-2</v>
      </c>
      <c r="W612">
        <v>7.4349219999999994E-2</v>
      </c>
      <c r="X612">
        <v>0.99518810000000002</v>
      </c>
      <c r="Y612">
        <v>2.6662390000000001E-2</v>
      </c>
      <c r="Z612">
        <v>-8.2276300000000001E-4</v>
      </c>
      <c r="AA612">
        <v>0.99964419999999998</v>
      </c>
      <c r="AB612">
        <v>29</v>
      </c>
      <c r="AC612">
        <v>29.7716999999999</v>
      </c>
      <c r="AD612">
        <v>-1.160369</v>
      </c>
      <c r="AE612">
        <v>-0.56490000000002205</v>
      </c>
      <c r="AF612">
        <v>0.80196570186974303</v>
      </c>
      <c r="AG612">
        <v>-1.160369</v>
      </c>
      <c r="AH612">
        <v>29.721091720550199</v>
      </c>
      <c r="AI612">
        <v>92.234990044734701</v>
      </c>
      <c r="AJ612">
        <v>88.454360166867104</v>
      </c>
      <c r="AK612">
        <v>29.754544161598201</v>
      </c>
      <c r="AL612">
        <v>85.736169290129297</v>
      </c>
      <c r="AM612">
        <v>86.330744055557602</v>
      </c>
      <c r="AN612">
        <v>1.0000000581403401</v>
      </c>
    </row>
    <row r="613" spans="1:40" x14ac:dyDescent="0.25">
      <c r="A613" t="str">
        <f>"20190312151234640"</f>
        <v>20190312151234640</v>
      </c>
      <c r="B613" t="str">
        <f>"1552374754629880"</f>
        <v>1552374754629880</v>
      </c>
      <c r="C613" t="s">
        <v>40</v>
      </c>
      <c r="D613">
        <v>3.690639</v>
      </c>
      <c r="E613">
        <v>0.48554839999999999</v>
      </c>
      <c r="F613" t="s">
        <v>43</v>
      </c>
      <c r="G613">
        <v>-291.42759999999998</v>
      </c>
      <c r="H613">
        <v>-0.05</v>
      </c>
      <c r="I613">
        <v>366.06020000000001</v>
      </c>
      <c r="J613">
        <v>-320.78519999999997</v>
      </c>
      <c r="K613">
        <v>1.110087</v>
      </c>
      <c r="L613">
        <v>366.61020000000002</v>
      </c>
      <c r="M613">
        <v>0.99988549999999998</v>
      </c>
      <c r="N613">
        <v>0</v>
      </c>
      <c r="O613">
        <v>8.3544229999999997E-3</v>
      </c>
      <c r="P613">
        <v>0.99655749999999999</v>
      </c>
      <c r="Q613">
        <v>6.1655010000000003E-2</v>
      </c>
      <c r="R613">
        <v>-5.5427530000000003E-2</v>
      </c>
      <c r="S613">
        <v>3.0144350000000002</v>
      </c>
      <c r="T613">
        <v>-0.11795269999999999</v>
      </c>
      <c r="U613">
        <v>-5.5633540000000002E-2</v>
      </c>
      <c r="V613">
        <v>6.3710059999999999E-2</v>
      </c>
      <c r="W613">
        <v>7.4264590000000005E-2</v>
      </c>
      <c r="X613">
        <v>0.99520140000000001</v>
      </c>
      <c r="Y613">
        <v>2.6778719999999999E-2</v>
      </c>
      <c r="Z613">
        <v>-8.5045059999999998E-4</v>
      </c>
      <c r="AA613">
        <v>0.999641</v>
      </c>
      <c r="AB613">
        <v>29</v>
      </c>
      <c r="AC613">
        <v>29.357599999999898</v>
      </c>
      <c r="AD613">
        <v>-1.1600870000000001</v>
      </c>
      <c r="AE613">
        <v>-0.55000000000001104</v>
      </c>
      <c r="AF613">
        <v>0.794026703526864</v>
      </c>
      <c r="AG613">
        <v>-1.1600870000000001</v>
      </c>
      <c r="AH613">
        <v>29.306234571099498</v>
      </c>
      <c r="AI613">
        <v>92.266038589026394</v>
      </c>
      <c r="AJ613">
        <v>88.448000838248504</v>
      </c>
      <c r="AK613">
        <v>29.3399329411263</v>
      </c>
      <c r="AL613">
        <v>85.741031484996697</v>
      </c>
      <c r="AM613">
        <v>86.337079923048407</v>
      </c>
      <c r="AN613">
        <v>1.00000001381751</v>
      </c>
    </row>
    <row r="614" spans="1:40" x14ac:dyDescent="0.25">
      <c r="A614" t="str">
        <f>"20190312151234662"</f>
        <v>20190312151234662</v>
      </c>
      <c r="B614" t="str">
        <f>"1552374754650377"</f>
        <v>1552374754650377</v>
      </c>
      <c r="C614" t="s">
        <v>40</v>
      </c>
      <c r="D614">
        <v>3.642226</v>
      </c>
      <c r="E614">
        <v>0.51147509999999996</v>
      </c>
      <c r="F614" t="s">
        <v>43</v>
      </c>
      <c r="G614">
        <v>-290.13760000000002</v>
      </c>
      <c r="H614">
        <v>-0.05</v>
      </c>
      <c r="I614">
        <v>366.04520000000002</v>
      </c>
      <c r="J614">
        <v>-320.50599999999997</v>
      </c>
      <c r="K614">
        <v>1.1097729999999999</v>
      </c>
      <c r="L614">
        <v>366.61279999999999</v>
      </c>
      <c r="M614">
        <v>0.99988600000000005</v>
      </c>
      <c r="N614">
        <v>0</v>
      </c>
      <c r="O614">
        <v>8.6854580000000001E-3</v>
      </c>
      <c r="P614">
        <v>0.99653320000000001</v>
      </c>
      <c r="Q614">
        <v>6.1859619999999997E-2</v>
      </c>
      <c r="R614">
        <v>-5.5636900000000003E-2</v>
      </c>
      <c r="S614">
        <v>3.0143430000000002</v>
      </c>
      <c r="T614">
        <v>-0.1141002</v>
      </c>
      <c r="U614">
        <v>-5.5572509999999999E-2</v>
      </c>
      <c r="V614">
        <v>6.4248520000000003E-2</v>
      </c>
      <c r="W614">
        <v>7.4194689999999994E-2</v>
      </c>
      <c r="X614">
        <v>0.99517199999999995</v>
      </c>
      <c r="Y614">
        <v>2.7091230000000001E-2</v>
      </c>
      <c r="Z614">
        <v>-8.4115609999999995E-4</v>
      </c>
      <c r="AA614">
        <v>0.99963259999999998</v>
      </c>
      <c r="AB614">
        <v>29</v>
      </c>
      <c r="AC614">
        <v>30.368399999999902</v>
      </c>
      <c r="AD614">
        <v>-1.1597729999999999</v>
      </c>
      <c r="AE614">
        <v>-0.56759999999997002</v>
      </c>
      <c r="AF614">
        <v>0.83015182909089402</v>
      </c>
      <c r="AG614">
        <v>-1.1597729999999999</v>
      </c>
      <c r="AH614">
        <v>30.318121005055598</v>
      </c>
      <c r="AI614">
        <v>92.189873639997401</v>
      </c>
      <c r="AJ614">
        <v>88.431554693750201</v>
      </c>
      <c r="AK614">
        <v>30.3516504781546</v>
      </c>
      <c r="AL614">
        <v>85.745047552940505</v>
      </c>
      <c r="AM614">
        <v>86.306098452502795</v>
      </c>
      <c r="AN614">
        <v>1.0000000169651899</v>
      </c>
    </row>
    <row r="615" spans="1:40" x14ac:dyDescent="0.25">
      <c r="A615" t="str">
        <f>"20190312151234683"</f>
        <v>20190312151234683</v>
      </c>
      <c r="B615" t="str">
        <f>"1552374754679657"</f>
        <v>1552374754679657</v>
      </c>
      <c r="C615" t="s">
        <v>40</v>
      </c>
      <c r="D615">
        <v>3.6589149999999999</v>
      </c>
      <c r="E615">
        <v>0.52099319999999905</v>
      </c>
      <c r="F615" t="s">
        <v>50</v>
      </c>
      <c r="G615">
        <v>-158.78319999999999</v>
      </c>
      <c r="H615">
        <v>1.7615430000000001</v>
      </c>
      <c r="I615">
        <v>352.53359999999998</v>
      </c>
      <c r="J615">
        <v>-320.21859999999998</v>
      </c>
      <c r="K615">
        <v>1.1093580000000001</v>
      </c>
      <c r="L615">
        <v>366.61559999999997</v>
      </c>
      <c r="M615">
        <v>0.99987919999999997</v>
      </c>
      <c r="N615">
        <v>0</v>
      </c>
      <c r="O615">
        <v>9.0255839999999997E-3</v>
      </c>
      <c r="P615">
        <v>0.99651460000000003</v>
      </c>
      <c r="Q615">
        <v>6.1619140000000003E-2</v>
      </c>
      <c r="R615">
        <v>-5.6232089999999998E-2</v>
      </c>
      <c r="S615">
        <v>2.9950559999999999</v>
      </c>
      <c r="T615">
        <v>1.207221E-2</v>
      </c>
      <c r="U615">
        <v>-0.26074219999999998</v>
      </c>
      <c r="V615">
        <v>6.5182019999999993E-2</v>
      </c>
      <c r="W615">
        <v>7.4251750000000005E-2</v>
      </c>
      <c r="X615">
        <v>0.99510699999999996</v>
      </c>
      <c r="Y615">
        <v>9.5717410000000003E-2</v>
      </c>
      <c r="Z615">
        <v>2.288565E-4</v>
      </c>
      <c r="AA615">
        <v>0.99540850000000003</v>
      </c>
      <c r="AB615">
        <v>29</v>
      </c>
      <c r="AC615">
        <v>161.43539999999999</v>
      </c>
      <c r="AD615">
        <v>0.65218500000000001</v>
      </c>
      <c r="AE615">
        <v>-14.081999999999899</v>
      </c>
      <c r="AF615">
        <v>15.5383400754953</v>
      </c>
      <c r="AG615">
        <v>0.65218500000000001</v>
      </c>
      <c r="AH615">
        <v>161.29910233779299</v>
      </c>
      <c r="AI615">
        <v>89.769403176006406</v>
      </c>
      <c r="AJ615">
        <v>84.497535282128993</v>
      </c>
      <c r="AK615">
        <v>162.04710973218201</v>
      </c>
      <c r="AL615">
        <v>85.7417690543774</v>
      </c>
      <c r="AM615">
        <v>86.2523356026161</v>
      </c>
      <c r="AN615">
        <v>0.99999997977917099</v>
      </c>
    </row>
    <row r="616" spans="1:40" x14ac:dyDescent="0.25">
      <c r="A616" t="str">
        <f>"20190312151234697"</f>
        <v>20190312151234697</v>
      </c>
      <c r="B616" t="str">
        <f>"1552374754690393"</f>
        <v>1552374754690393</v>
      </c>
      <c r="C616" t="s">
        <v>40</v>
      </c>
      <c r="D616">
        <v>3.6843089999999998</v>
      </c>
      <c r="E616">
        <v>0.5221846</v>
      </c>
      <c r="F616" t="s">
        <v>51</v>
      </c>
      <c r="G616">
        <v>-179.9821</v>
      </c>
      <c r="H616">
        <v>6.7933080000000007E-2</v>
      </c>
      <c r="I616">
        <v>350.74540000000002</v>
      </c>
      <c r="J616">
        <v>-320.04390000000001</v>
      </c>
      <c r="K616">
        <v>1.1089960000000001</v>
      </c>
      <c r="L616">
        <v>366.6173</v>
      </c>
      <c r="M616">
        <v>0.99987159999999997</v>
      </c>
      <c r="N616">
        <v>0</v>
      </c>
      <c r="O616">
        <v>9.229592E-3</v>
      </c>
      <c r="P616">
        <v>0.99652359999999895</v>
      </c>
      <c r="Q616">
        <v>6.1282540000000003E-2</v>
      </c>
      <c r="R616">
        <v>-5.6438080000000002E-2</v>
      </c>
      <c r="S616">
        <v>2.9927670000000002</v>
      </c>
      <c r="T616">
        <v>-2.2224899999999999E-2</v>
      </c>
      <c r="U616">
        <v>-0.33868409999999999</v>
      </c>
      <c r="V616">
        <v>6.5590350000000006E-2</v>
      </c>
      <c r="W616">
        <v>7.4359220000000004E-2</v>
      </c>
      <c r="X616">
        <v>0.99507219999999996</v>
      </c>
      <c r="Y616">
        <v>0.1216132</v>
      </c>
      <c r="Z616">
        <v>-5.1845549999999998E-4</v>
      </c>
      <c r="AA616">
        <v>0.99257740000000005</v>
      </c>
      <c r="AB616">
        <v>29</v>
      </c>
      <c r="AC616">
        <v>140.06180000000001</v>
      </c>
      <c r="AD616">
        <v>-1.0410629199999999</v>
      </c>
      <c r="AE616">
        <v>-15.871899999999901</v>
      </c>
      <c r="AF616">
        <v>17.1631118384954</v>
      </c>
      <c r="AG616">
        <v>-1.0410629199999999</v>
      </c>
      <c r="AH616">
        <v>139.90169825347499</v>
      </c>
      <c r="AI616">
        <v>90.423179809024205</v>
      </c>
      <c r="AJ616">
        <v>83.005913495645302</v>
      </c>
      <c r="AK616">
        <v>140.95439473173801</v>
      </c>
      <c r="AL616">
        <v>85.735594644857102</v>
      </c>
      <c r="AM616">
        <v>86.228794547871004</v>
      </c>
      <c r="AN616">
        <v>1.0000000354124801</v>
      </c>
    </row>
    <row r="617" spans="1:40" x14ac:dyDescent="0.25">
      <c r="A617" t="str">
        <f>"20190312151234717"</f>
        <v>20190312151234717</v>
      </c>
      <c r="B617" t="str">
        <f>"1552374754709913"</f>
        <v>1552374754709913</v>
      </c>
      <c r="C617" t="s">
        <v>40</v>
      </c>
      <c r="D617">
        <v>3.6366749999999999</v>
      </c>
      <c r="E617">
        <v>0.52348139999999999</v>
      </c>
      <c r="F617" t="s">
        <v>51</v>
      </c>
      <c r="G617">
        <v>-183.07980000000001</v>
      </c>
      <c r="H617" s="1">
        <v>-2.1960350000000001E-6</v>
      </c>
      <c r="I617">
        <v>350.65350000000001</v>
      </c>
      <c r="J617">
        <v>-319.77370000000002</v>
      </c>
      <c r="K617">
        <v>1.1082970000000001</v>
      </c>
      <c r="L617">
        <v>366.62009999999998</v>
      </c>
      <c r="M617">
        <v>0.99985550000000001</v>
      </c>
      <c r="N617">
        <v>0</v>
      </c>
      <c r="O617">
        <v>9.5231180000000006E-3</v>
      </c>
      <c r="P617">
        <v>0.99655340000000003</v>
      </c>
      <c r="Q617">
        <v>6.0310830000000003E-2</v>
      </c>
      <c r="R617">
        <v>-5.6959940000000001E-2</v>
      </c>
      <c r="S617">
        <v>2.9921880000000001</v>
      </c>
      <c r="T617">
        <v>-2.4227740000000001E-2</v>
      </c>
      <c r="U617">
        <v>-0.34875489999999998</v>
      </c>
      <c r="V617">
        <v>6.640298E-2</v>
      </c>
      <c r="W617">
        <v>7.4373949999999994E-2</v>
      </c>
      <c r="X617">
        <v>0.99501719999999905</v>
      </c>
      <c r="Y617">
        <v>0.12522179999999999</v>
      </c>
      <c r="Z617">
        <v>-5.8210680000000004E-4</v>
      </c>
      <c r="AA617">
        <v>0.99212860000000003</v>
      </c>
      <c r="AB617">
        <v>29</v>
      </c>
      <c r="AC617">
        <v>136.69390000000001</v>
      </c>
      <c r="AD617">
        <v>-1.1082991960349999</v>
      </c>
      <c r="AE617">
        <v>-15.9665999999999</v>
      </c>
      <c r="AF617">
        <v>17.266637262484501</v>
      </c>
      <c r="AG617">
        <v>-1.1082991960349999</v>
      </c>
      <c r="AH617">
        <v>136.52677918694701</v>
      </c>
      <c r="AI617">
        <v>90.461430891190602</v>
      </c>
      <c r="AJ617">
        <v>82.7920302335298</v>
      </c>
      <c r="AK617">
        <v>137.61877242812301</v>
      </c>
      <c r="AL617">
        <v>85.734748329603406</v>
      </c>
      <c r="AM617">
        <v>86.181998221694798</v>
      </c>
      <c r="AN617">
        <v>1.0000000342436599</v>
      </c>
    </row>
    <row r="618" spans="1:40" x14ac:dyDescent="0.25">
      <c r="A618" t="str">
        <f>"20190312151234741"</f>
        <v>20190312151234741</v>
      </c>
      <c r="B618" t="str">
        <f>"1552374754730409"</f>
        <v>1552374754730409</v>
      </c>
      <c r="C618" t="s">
        <v>40</v>
      </c>
      <c r="D618">
        <v>3.6400329999999999</v>
      </c>
      <c r="E618">
        <v>0.52407099999999995</v>
      </c>
      <c r="F618" t="s">
        <v>52</v>
      </c>
      <c r="G618">
        <v>-249.9151</v>
      </c>
      <c r="H618">
        <v>0.39295099999999999</v>
      </c>
      <c r="I618">
        <v>358.19979999999998</v>
      </c>
      <c r="J618">
        <v>-319.47980000000001</v>
      </c>
      <c r="K618">
        <v>1.1073500000000001</v>
      </c>
      <c r="L618">
        <v>366.62329999999997</v>
      </c>
      <c r="M618">
        <v>0.99982800000000005</v>
      </c>
      <c r="N618">
        <v>0</v>
      </c>
      <c r="O618">
        <v>9.8122820000000003E-3</v>
      </c>
      <c r="P618">
        <v>0.99660839999999995</v>
      </c>
      <c r="Q618">
        <v>5.8993919999999998E-2</v>
      </c>
      <c r="R618">
        <v>-5.7371680000000001E-2</v>
      </c>
      <c r="S618">
        <v>2.9916689999999999</v>
      </c>
      <c r="T618">
        <v>-3.0630830000000001E-2</v>
      </c>
      <c r="U618">
        <v>-0.36059570000000002</v>
      </c>
      <c r="V618">
        <v>6.7101880000000003E-2</v>
      </c>
      <c r="W618">
        <v>7.4703480000000003E-2</v>
      </c>
      <c r="X618">
        <v>0.99494559999999999</v>
      </c>
      <c r="Y618">
        <v>0.12939719999999999</v>
      </c>
      <c r="Z618">
        <v>-7.6015049999999997E-4</v>
      </c>
      <c r="AA618">
        <v>0.99159249999999999</v>
      </c>
      <c r="AB618">
        <v>29</v>
      </c>
      <c r="AC618">
        <v>69.564700000000002</v>
      </c>
      <c r="AD618">
        <v>-0.71439900000000001</v>
      </c>
      <c r="AE618">
        <v>-8.42349999999999</v>
      </c>
      <c r="AF618">
        <v>9.1048210290673808</v>
      </c>
      <c r="AG618">
        <v>-0.71439900000000001</v>
      </c>
      <c r="AH618">
        <v>69.471465362595694</v>
      </c>
      <c r="AI618">
        <v>90.584176177677094</v>
      </c>
      <c r="AJ618">
        <v>82.533460355653006</v>
      </c>
      <c r="AK618">
        <v>70.069198878885999</v>
      </c>
      <c r="AL618">
        <v>85.715814875840096</v>
      </c>
      <c r="AM618">
        <v>86.141657184360298</v>
      </c>
      <c r="AN618">
        <v>1.0000000095915</v>
      </c>
    </row>
    <row r="619" spans="1:40" x14ac:dyDescent="0.25">
      <c r="A619" t="str">
        <f>"20190312151234762"</f>
        <v>20190312151234762</v>
      </c>
      <c r="B619" t="str">
        <f>"1552374754759689"</f>
        <v>1552374754759689</v>
      </c>
      <c r="C619" t="s">
        <v>40</v>
      </c>
      <c r="D619">
        <v>3.5913210000000002</v>
      </c>
      <c r="E619">
        <v>0.52480819999999995</v>
      </c>
      <c r="F619" t="s">
        <v>52</v>
      </c>
      <c r="G619">
        <v>-249.95099999999999</v>
      </c>
      <c r="H619">
        <v>0.23228950000000001</v>
      </c>
      <c r="I619">
        <v>358.10129999999998</v>
      </c>
      <c r="J619">
        <v>-319.19630000000001</v>
      </c>
      <c r="K619">
        <v>1.1062609999999999</v>
      </c>
      <c r="L619">
        <v>366.62630000000001</v>
      </c>
      <c r="M619">
        <v>0.99978979999999995</v>
      </c>
      <c r="N619">
        <v>0</v>
      </c>
      <c r="O619">
        <v>1.0086070000000001E-2</v>
      </c>
      <c r="P619">
        <v>0.99669240000000003</v>
      </c>
      <c r="Q619">
        <v>5.7325019999999997E-2</v>
      </c>
      <c r="R619">
        <v>-5.7604250000000003E-2</v>
      </c>
      <c r="S619">
        <v>2.991333</v>
      </c>
      <c r="T619">
        <v>-3.7644030000000002E-2</v>
      </c>
      <c r="U619">
        <v>-0.36663820000000003</v>
      </c>
      <c r="V619">
        <v>6.7607849999999997E-2</v>
      </c>
      <c r="W619">
        <v>7.5139999999999998E-2</v>
      </c>
      <c r="X619">
        <v>0.9948785</v>
      </c>
      <c r="Y619">
        <v>0.13165199999999999</v>
      </c>
      <c r="Z619">
        <v>-9.5174460000000002E-4</v>
      </c>
      <c r="AA619">
        <v>0.9912955</v>
      </c>
      <c r="AB619">
        <v>29</v>
      </c>
      <c r="AC619">
        <v>69.2453</v>
      </c>
      <c r="AD619">
        <v>-0.87397150000000001</v>
      </c>
      <c r="AE619">
        <v>-8.5250000000000306</v>
      </c>
      <c r="AF619">
        <v>9.22164339927639</v>
      </c>
      <c r="AG619">
        <v>-0.87397150000000001</v>
      </c>
      <c r="AH619">
        <v>69.144928933701394</v>
      </c>
      <c r="AI619">
        <v>90.717808266166003</v>
      </c>
      <c r="AJ619">
        <v>82.403468163702698</v>
      </c>
      <c r="AK619">
        <v>69.762624165184903</v>
      </c>
      <c r="AL619">
        <v>85.690733740578395</v>
      </c>
      <c r="AM619">
        <v>86.112391511865894</v>
      </c>
      <c r="AN619">
        <v>1.0000000353719301</v>
      </c>
    </row>
    <row r="620" spans="1:40" x14ac:dyDescent="0.25">
      <c r="A620" t="str">
        <f>"20190312151234786"</f>
        <v>20190312151234786</v>
      </c>
      <c r="B620" t="str">
        <f>"1552374754780185"</f>
        <v>1552374754780185</v>
      </c>
      <c r="C620" t="s">
        <v>40</v>
      </c>
      <c r="D620">
        <v>3.6039400000000001</v>
      </c>
      <c r="E620">
        <v>0.52517939999999996</v>
      </c>
      <c r="F620" t="s">
        <v>52</v>
      </c>
      <c r="G620">
        <v>-250.1806</v>
      </c>
      <c r="H620">
        <v>8.2067520000000005E-2</v>
      </c>
      <c r="I620">
        <v>358.02109999999999</v>
      </c>
      <c r="J620">
        <v>-318.90690000000001</v>
      </c>
      <c r="K620">
        <v>1.104975</v>
      </c>
      <c r="L620">
        <v>366.62950000000001</v>
      </c>
      <c r="M620">
        <v>0.99974099999999999</v>
      </c>
      <c r="N620">
        <v>0</v>
      </c>
      <c r="O620">
        <v>1.037768E-2</v>
      </c>
      <c r="P620">
        <v>0.99677640000000001</v>
      </c>
      <c r="Q620">
        <v>5.561924E-2</v>
      </c>
      <c r="R620">
        <v>-5.7823699999999999E-2</v>
      </c>
      <c r="S620">
        <v>2.990936</v>
      </c>
      <c r="T620">
        <v>-4.4381860000000002E-2</v>
      </c>
      <c r="U620">
        <v>-0.3729248</v>
      </c>
      <c r="V620">
        <v>6.8119289999999999E-2</v>
      </c>
      <c r="W620">
        <v>7.5828950000000006E-2</v>
      </c>
      <c r="X620">
        <v>0.99479130000000004</v>
      </c>
      <c r="Y620">
        <v>0.1340047</v>
      </c>
      <c r="Z620">
        <v>-1.1437890000000001E-3</v>
      </c>
      <c r="AA620">
        <v>0.99097999999999997</v>
      </c>
      <c r="AB620">
        <v>29</v>
      </c>
      <c r="AC620">
        <v>68.726299999999995</v>
      </c>
      <c r="AD620">
        <v>-1.02290748</v>
      </c>
      <c r="AE620">
        <v>-8.6084000000000103</v>
      </c>
      <c r="AF620">
        <v>9.3192695585773908</v>
      </c>
      <c r="AG620">
        <v>-1.02290748</v>
      </c>
      <c r="AH620">
        <v>68.618278047154305</v>
      </c>
      <c r="AI620">
        <v>90.846289099544805</v>
      </c>
      <c r="AJ620">
        <v>82.265796858867304</v>
      </c>
      <c r="AK620">
        <v>69.255781036492806</v>
      </c>
      <c r="AL620">
        <v>85.651146712913103</v>
      </c>
      <c r="AM620">
        <v>86.082731449614002</v>
      </c>
      <c r="AN620">
        <v>0.99999999894194802</v>
      </c>
    </row>
    <row r="621" spans="1:40" x14ac:dyDescent="0.25">
      <c r="A621" t="str">
        <f>"20190312151234807"</f>
        <v>20190312151234807</v>
      </c>
      <c r="B621" t="str">
        <f>"1552374754799705"</f>
        <v>1552374754799705</v>
      </c>
      <c r="C621" t="s">
        <v>40</v>
      </c>
      <c r="D621">
        <v>3.5697839999999998</v>
      </c>
      <c r="E621">
        <v>0.52524999999999999</v>
      </c>
      <c r="F621" t="s">
        <v>42</v>
      </c>
      <c r="G621">
        <v>-259.2328</v>
      </c>
      <c r="H621">
        <v>7.9985600000000004E-2</v>
      </c>
      <c r="I621">
        <v>359.12040000000002</v>
      </c>
      <c r="J621">
        <v>-318.6311</v>
      </c>
      <c r="K621">
        <v>1.10358</v>
      </c>
      <c r="L621">
        <v>366.6327</v>
      </c>
      <c r="M621">
        <v>0.99969079999999999</v>
      </c>
      <c r="N621">
        <v>0</v>
      </c>
      <c r="O621">
        <v>1.066835E-2</v>
      </c>
      <c r="P621">
        <v>0.99685939999999995</v>
      </c>
      <c r="Q621">
        <v>5.4031349999999999E-2</v>
      </c>
      <c r="R621">
        <v>-5.7898140000000001E-2</v>
      </c>
      <c r="S621">
        <v>2.9907530000000002</v>
      </c>
      <c r="T621">
        <v>-5.1370499999999999E-2</v>
      </c>
      <c r="U621">
        <v>-0.37634279999999998</v>
      </c>
      <c r="V621">
        <v>6.8484820000000002E-2</v>
      </c>
      <c r="W621">
        <v>7.6443230000000001E-2</v>
      </c>
      <c r="X621">
        <v>0.99471920000000003</v>
      </c>
      <c r="Y621">
        <v>0.13541010000000001</v>
      </c>
      <c r="Z621">
        <v>-1.3408649999999999E-3</v>
      </c>
      <c r="AA621">
        <v>0.99078880000000003</v>
      </c>
      <c r="AB621">
        <v>29</v>
      </c>
      <c r="AC621">
        <v>59.398299999999999</v>
      </c>
      <c r="AD621">
        <v>-1.0235943999999999</v>
      </c>
      <c r="AE621">
        <v>-7.5122999999999802</v>
      </c>
      <c r="AF621">
        <v>8.1433338021957091</v>
      </c>
      <c r="AG621">
        <v>-1.0235943999999999</v>
      </c>
      <c r="AH621">
        <v>59.297421833984899</v>
      </c>
      <c r="AI621">
        <v>90.979749871254697</v>
      </c>
      <c r="AJ621">
        <v>82.180465368806196</v>
      </c>
      <c r="AK621">
        <v>59.862725189112901</v>
      </c>
      <c r="AL621">
        <v>85.615848665023705</v>
      </c>
      <c r="AM621">
        <v>86.061492691225098</v>
      </c>
      <c r="AN621">
        <v>1.00000001241595</v>
      </c>
    </row>
    <row r="622" spans="1:40" x14ac:dyDescent="0.25">
      <c r="A622" t="str">
        <f>"20190312151234829"</f>
        <v>20190312151234829</v>
      </c>
      <c r="B622" t="str">
        <f>"1552374754820206"</f>
        <v>1552374754820206</v>
      </c>
      <c r="C622" t="s">
        <v>40</v>
      </c>
      <c r="D622">
        <v>3.6060029999999998</v>
      </c>
      <c r="E622">
        <v>0.52543719999999905</v>
      </c>
      <c r="F622" t="s">
        <v>42</v>
      </c>
      <c r="G622">
        <v>-262.90210000000002</v>
      </c>
      <c r="H622">
        <v>6.3309180000000007E-2</v>
      </c>
      <c r="I622">
        <v>359.60300000000001</v>
      </c>
      <c r="J622">
        <v>-318.33839999999998</v>
      </c>
      <c r="K622">
        <v>1.101899</v>
      </c>
      <c r="L622">
        <v>366.63619999999997</v>
      </c>
      <c r="M622">
        <v>0.99964649999999999</v>
      </c>
      <c r="N622">
        <v>0</v>
      </c>
      <c r="O622">
        <v>1.099079E-2</v>
      </c>
      <c r="P622">
        <v>0.99693240000000005</v>
      </c>
      <c r="Q622">
        <v>5.3004339999999997E-2</v>
      </c>
      <c r="R622">
        <v>-5.7592209999999998E-2</v>
      </c>
      <c r="S622">
        <v>2.9905400000000002</v>
      </c>
      <c r="T622">
        <v>-5.5823209999999998E-2</v>
      </c>
      <c r="U622">
        <v>-0.3772278</v>
      </c>
      <c r="V622">
        <v>6.8502030000000005E-2</v>
      </c>
      <c r="W622">
        <v>7.7150689999999994E-2</v>
      </c>
      <c r="X622">
        <v>0.99466339999999998</v>
      </c>
      <c r="Y622">
        <v>0.13602349999999999</v>
      </c>
      <c r="Z622">
        <v>-1.468855E-3</v>
      </c>
      <c r="AA622">
        <v>0.99070449999999999</v>
      </c>
      <c r="AB622">
        <v>28</v>
      </c>
      <c r="AC622">
        <v>55.436299999999903</v>
      </c>
      <c r="AD622">
        <v>-1.0385898200000001</v>
      </c>
      <c r="AE622">
        <v>-7.0331999999999599</v>
      </c>
      <c r="AF622">
        <v>7.6396033193786801</v>
      </c>
      <c r="AG622">
        <v>-1.0385898200000001</v>
      </c>
      <c r="AH622">
        <v>55.336511461563198</v>
      </c>
      <c r="AI622">
        <v>91.065135969513094</v>
      </c>
      <c r="AJ622">
        <v>82.139593545697096</v>
      </c>
      <c r="AK622">
        <v>55.871027450973003</v>
      </c>
      <c r="AL622">
        <v>85.575194155193003</v>
      </c>
      <c r="AM622">
        <v>86.060285766638003</v>
      </c>
      <c r="AN622">
        <v>1.0000000181905699</v>
      </c>
    </row>
    <row r="623" spans="1:40" x14ac:dyDescent="0.25">
      <c r="A623" t="str">
        <f>"20190312151234853"</f>
        <v>20190312151234853</v>
      </c>
      <c r="B623" t="str">
        <f>"1552374754850457"</f>
        <v>1552374754850457</v>
      </c>
      <c r="C623" t="s">
        <v>40</v>
      </c>
      <c r="D623">
        <v>3.5722800000000001</v>
      </c>
      <c r="E623">
        <v>0.5257098</v>
      </c>
      <c r="F623" t="s">
        <v>42</v>
      </c>
      <c r="G623">
        <v>-260.87180000000001</v>
      </c>
      <c r="H623">
        <v>7.9986570000000007E-2</v>
      </c>
      <c r="I623">
        <v>359.3759</v>
      </c>
      <c r="J623">
        <v>-318.04660000000001</v>
      </c>
      <c r="K623">
        <v>1.1000379999999901</v>
      </c>
      <c r="L623">
        <v>366.6397</v>
      </c>
      <c r="M623">
        <v>0.99961199999999995</v>
      </c>
      <c r="N623">
        <v>0</v>
      </c>
      <c r="O623">
        <v>1.1295019999999999E-2</v>
      </c>
      <c r="P623">
        <v>0.99699749999999998</v>
      </c>
      <c r="Q623">
        <v>5.2162710000000001E-2</v>
      </c>
      <c r="R623">
        <v>-5.7229429999999998E-2</v>
      </c>
      <c r="S623">
        <v>2.9902039999999999</v>
      </c>
      <c r="T623">
        <v>-5.3173900000000003E-2</v>
      </c>
      <c r="U623">
        <v>-0.37777709999999998</v>
      </c>
      <c r="V623">
        <v>6.8444099999999994E-2</v>
      </c>
      <c r="W623">
        <v>7.7555730000000003E-2</v>
      </c>
      <c r="X623">
        <v>0.99463590000000002</v>
      </c>
      <c r="Y623">
        <v>0.13652049999999999</v>
      </c>
      <c r="Z623">
        <v>-1.4090939999999901E-3</v>
      </c>
      <c r="AA623">
        <v>0.99063619999999997</v>
      </c>
      <c r="AB623">
        <v>28</v>
      </c>
      <c r="AC623">
        <v>57.174799999999998</v>
      </c>
      <c r="AD623">
        <v>-1.0200514300000001</v>
      </c>
      <c r="AE623">
        <v>-7.2637999999999998</v>
      </c>
      <c r="AF623">
        <v>7.90685950475011</v>
      </c>
      <c r="AG623">
        <v>-1.0200514300000001</v>
      </c>
      <c r="AH623">
        <v>57.071201895493097</v>
      </c>
      <c r="AI623">
        <v>91.014270524185804</v>
      </c>
      <c r="AJ623">
        <v>82.112237807868993</v>
      </c>
      <c r="AK623">
        <v>57.625350480008699</v>
      </c>
      <c r="AL623">
        <v>85.551917381626495</v>
      </c>
      <c r="AM623">
        <v>86.063498487432398</v>
      </c>
      <c r="AN623">
        <v>1.00000002982472</v>
      </c>
    </row>
    <row r="624" spans="1:40" x14ac:dyDescent="0.25">
      <c r="A624" t="str">
        <f>"20190312151234873"</f>
        <v>20190312151234873</v>
      </c>
      <c r="B624" t="str">
        <f>"1552374754869977"</f>
        <v>1552374754869977</v>
      </c>
      <c r="C624" t="s">
        <v>40</v>
      </c>
      <c r="D624">
        <v>3.5799750000000001</v>
      </c>
      <c r="E624">
        <v>0.52585919999999997</v>
      </c>
      <c r="F624" t="s">
        <v>42</v>
      </c>
      <c r="G624">
        <v>-261.3691</v>
      </c>
      <c r="H624">
        <v>7.9986420000000003E-2</v>
      </c>
      <c r="I624">
        <v>359.4622</v>
      </c>
      <c r="J624">
        <v>-317.77690000000001</v>
      </c>
      <c r="K624">
        <v>1.0981829999999999</v>
      </c>
      <c r="L624">
        <v>366.6431</v>
      </c>
      <c r="M624">
        <v>0.99958579999999997</v>
      </c>
      <c r="N624">
        <v>0</v>
      </c>
      <c r="O624">
        <v>1.1542230000000001E-2</v>
      </c>
      <c r="P624">
        <v>0.99706079999999997</v>
      </c>
      <c r="Q624">
        <v>5.1049110000000002E-2</v>
      </c>
      <c r="R624">
        <v>-5.7128270000000002E-2</v>
      </c>
      <c r="S624">
        <v>2.9901119999999999</v>
      </c>
      <c r="T624">
        <v>-5.381441E-2</v>
      </c>
      <c r="U624">
        <v>-0.3786621</v>
      </c>
      <c r="V624">
        <v>6.8591269999999996E-2</v>
      </c>
      <c r="W624">
        <v>7.734038E-2</v>
      </c>
      <c r="X624">
        <v>0.99464249999999998</v>
      </c>
      <c r="Y624">
        <v>0.1370574</v>
      </c>
      <c r="Z624">
        <v>-1.4353320000000001E-3</v>
      </c>
      <c r="AA624">
        <v>0.9905621</v>
      </c>
      <c r="AB624">
        <v>28</v>
      </c>
      <c r="AC624">
        <v>56.407800000000002</v>
      </c>
      <c r="AD624">
        <v>-1.0181965799999999</v>
      </c>
      <c r="AE624">
        <v>-7.1809000000000003</v>
      </c>
      <c r="AF624">
        <v>7.8292092157433002</v>
      </c>
      <c r="AG624">
        <v>-1.0181965799999999</v>
      </c>
      <c r="AH624">
        <v>56.303075022073998</v>
      </c>
      <c r="AI624">
        <v>91.026164495868102</v>
      </c>
      <c r="AJ624">
        <v>82.083515018006594</v>
      </c>
      <c r="AK624">
        <v>56.853931246314801</v>
      </c>
      <c r="AL624">
        <v>85.564293065888506</v>
      </c>
      <c r="AM624">
        <v>86.055086927003302</v>
      </c>
      <c r="AN624">
        <v>0.99999999975250298</v>
      </c>
    </row>
    <row r="625" spans="1:40" x14ac:dyDescent="0.25">
      <c r="A625" t="str">
        <f>"20190312151234896"</f>
        <v>20190312151234896</v>
      </c>
      <c r="B625" t="str">
        <f>"1552374754890472"</f>
        <v>1552374754890472</v>
      </c>
      <c r="C625" t="s">
        <v>40</v>
      </c>
      <c r="D625">
        <v>3.4807890000000001</v>
      </c>
      <c r="E625">
        <v>0.51383719999999999</v>
      </c>
      <c r="F625" t="s">
        <v>42</v>
      </c>
      <c r="G625">
        <v>-260.89699999999999</v>
      </c>
      <c r="H625">
        <v>7.9986559999999998E-2</v>
      </c>
      <c r="I625">
        <v>359.42579999999998</v>
      </c>
      <c r="J625">
        <v>-317.49439999999998</v>
      </c>
      <c r="K625">
        <v>1.096095</v>
      </c>
      <c r="L625">
        <v>366.64659999999998</v>
      </c>
      <c r="M625">
        <v>0.99956429999999996</v>
      </c>
      <c r="N625">
        <v>0</v>
      </c>
      <c r="O625">
        <v>1.176875E-2</v>
      </c>
      <c r="P625">
        <v>0.99713160000000001</v>
      </c>
      <c r="Q625">
        <v>4.9955680000000002E-2</v>
      </c>
      <c r="R625">
        <v>-5.686078E-2</v>
      </c>
      <c r="S625">
        <v>2.9898380000000002</v>
      </c>
      <c r="T625">
        <v>-5.3520440000000002E-2</v>
      </c>
      <c r="U625">
        <v>-0.37936399999999998</v>
      </c>
      <c r="V625">
        <v>6.8553230000000007E-2</v>
      </c>
      <c r="W625">
        <v>7.6947680000000004E-2</v>
      </c>
      <c r="X625">
        <v>0.99467559999999999</v>
      </c>
      <c r="Y625">
        <v>0.13752239999999999</v>
      </c>
      <c r="Z625">
        <v>-1.435792E-3</v>
      </c>
      <c r="AA625">
        <v>0.99049759999999998</v>
      </c>
      <c r="AB625">
        <v>28</v>
      </c>
      <c r="AC625">
        <v>56.597399999999901</v>
      </c>
      <c r="AD625">
        <v>-1.01610844</v>
      </c>
      <c r="AE625">
        <v>-7.2207999999999899</v>
      </c>
      <c r="AF625">
        <v>7.8841238602201704</v>
      </c>
      <c r="AG625">
        <v>-1.01610844</v>
      </c>
      <c r="AH625">
        <v>56.4905501795714</v>
      </c>
      <c r="AI625">
        <v>91.0205914300915</v>
      </c>
      <c r="AJ625">
        <v>82.054815494458694</v>
      </c>
      <c r="AK625">
        <v>57.047122144730501</v>
      </c>
      <c r="AL625">
        <v>85.586860459761198</v>
      </c>
      <c r="AM625">
        <v>86.057398621700301</v>
      </c>
      <c r="AN625">
        <v>1.0000000200180801</v>
      </c>
    </row>
    <row r="626" spans="1:40" x14ac:dyDescent="0.25">
      <c r="A626" t="str">
        <f>"20190312151234918"</f>
        <v>20190312151234918</v>
      </c>
      <c r="B626" t="str">
        <f>"1552374754909993"</f>
        <v>1552374754909993</v>
      </c>
      <c r="C626" t="s">
        <v>40</v>
      </c>
      <c r="D626">
        <v>3.4618739999999999</v>
      </c>
      <c r="E626">
        <v>0.50946119999999995</v>
      </c>
      <c r="F626" t="s">
        <v>50</v>
      </c>
      <c r="G626">
        <v>-158.78319999999999</v>
      </c>
      <c r="H626">
        <v>2.0485669999999998</v>
      </c>
      <c r="I626">
        <v>351.68389999999999</v>
      </c>
      <c r="J626">
        <v>-317.22160000000002</v>
      </c>
      <c r="K626">
        <v>1.093909</v>
      </c>
      <c r="L626">
        <v>366.65010000000001</v>
      </c>
      <c r="M626">
        <v>0.99955179999999999</v>
      </c>
      <c r="N626">
        <v>0</v>
      </c>
      <c r="O626">
        <v>1.196091E-2</v>
      </c>
      <c r="P626">
        <v>0.99714530000000001</v>
      </c>
      <c r="Q626">
        <v>4.9352729999999997E-2</v>
      </c>
      <c r="R626">
        <v>-5.714934E-2</v>
      </c>
      <c r="S626">
        <v>2.9916689999999999</v>
      </c>
      <c r="T626">
        <v>1.7955539999999999E-2</v>
      </c>
      <c r="U626">
        <v>-0.2820435</v>
      </c>
      <c r="V626">
        <v>6.9038089999999996E-2</v>
      </c>
      <c r="W626">
        <v>7.671472E-2</v>
      </c>
      <c r="X626">
        <v>0.99465999999999999</v>
      </c>
      <c r="Y626">
        <v>0.10576389999999999</v>
      </c>
      <c r="Z626">
        <v>3.8834850000000001E-4</v>
      </c>
      <c r="AA626">
        <v>0.99439120000000003</v>
      </c>
      <c r="AB626">
        <v>28</v>
      </c>
      <c r="AC626">
        <v>158.4384</v>
      </c>
      <c r="AD626">
        <v>0.95465799999999901</v>
      </c>
      <c r="AE626">
        <v>-14.966200000000001</v>
      </c>
      <c r="AF626">
        <v>16.860303353656601</v>
      </c>
      <c r="AG626">
        <v>0.95465799999999901</v>
      </c>
      <c r="AH626">
        <v>158.24228658108399</v>
      </c>
      <c r="AI626">
        <v>89.656290571334296</v>
      </c>
      <c r="AJ626">
        <v>83.918228837177097</v>
      </c>
      <c r="AK626">
        <v>159.140825885391</v>
      </c>
      <c r="AL626">
        <v>85.600247394573401</v>
      </c>
      <c r="AM626">
        <v>86.029540380195002</v>
      </c>
      <c r="AN626">
        <v>0.99999996086776199</v>
      </c>
    </row>
    <row r="627" spans="1:40" x14ac:dyDescent="0.25">
      <c r="A627" t="str">
        <f>"20190312151234941"</f>
        <v>20190312151234941</v>
      </c>
      <c r="B627" t="str">
        <f>"1552374754930489"</f>
        <v>1552374754930489</v>
      </c>
      <c r="C627" t="s">
        <v>40</v>
      </c>
      <c r="D627">
        <v>3.5061559999999998</v>
      </c>
      <c r="E627">
        <v>0.50819119999999995</v>
      </c>
      <c r="F627" t="s">
        <v>50</v>
      </c>
      <c r="G627">
        <v>-169.2955</v>
      </c>
      <c r="H627">
        <v>2.3181669999999999</v>
      </c>
      <c r="I627">
        <v>354.3852</v>
      </c>
      <c r="J627">
        <v>-316.93329999999997</v>
      </c>
      <c r="K627">
        <v>1.0914299999999999</v>
      </c>
      <c r="L627">
        <v>366.65379999999999</v>
      </c>
      <c r="M627">
        <v>0.99954889999999996</v>
      </c>
      <c r="N627">
        <v>0</v>
      </c>
      <c r="O627">
        <v>1.213614E-2</v>
      </c>
      <c r="P627">
        <v>0.99716059999999995</v>
      </c>
      <c r="Q627">
        <v>4.9100499999999998E-2</v>
      </c>
      <c r="R627">
        <v>-5.7097540000000002E-2</v>
      </c>
      <c r="S627">
        <v>2.993134</v>
      </c>
      <c r="T627">
        <v>2.4773360000000001E-2</v>
      </c>
      <c r="U627">
        <v>-0.2481689</v>
      </c>
      <c r="V627">
        <v>6.9167419999999993E-2</v>
      </c>
      <c r="W627">
        <v>7.6487940000000004E-2</v>
      </c>
      <c r="X627">
        <v>0.99466849999999996</v>
      </c>
      <c r="Y627">
        <v>9.4718720000000006E-2</v>
      </c>
      <c r="Z627">
        <v>4.9162510000000002E-4</v>
      </c>
      <c r="AA627">
        <v>0.99550400000000006</v>
      </c>
      <c r="AB627">
        <v>28</v>
      </c>
      <c r="AC627">
        <v>147.637799999999</v>
      </c>
      <c r="AD627">
        <v>1.226737</v>
      </c>
      <c r="AE627">
        <v>-12.2685999999999</v>
      </c>
      <c r="AF627">
        <v>14.059161305720499</v>
      </c>
      <c r="AG627">
        <v>1.226737</v>
      </c>
      <c r="AH627">
        <v>147.46785771949001</v>
      </c>
      <c r="AI627">
        <v>89.5255373541967</v>
      </c>
      <c r="AJ627">
        <v>84.5540451437857</v>
      </c>
      <c r="AK627">
        <v>148.14160104664501</v>
      </c>
      <c r="AL627">
        <v>85.613279310237402</v>
      </c>
      <c r="AM627">
        <v>86.022160203614405</v>
      </c>
      <c r="AN627">
        <v>0.99999998092357401</v>
      </c>
    </row>
    <row r="628" spans="1:40" x14ac:dyDescent="0.25">
      <c r="A628" t="str">
        <f>"20190312151234962"</f>
        <v>20190312151234962</v>
      </c>
      <c r="B628" t="str">
        <f>"1552374754959810"</f>
        <v>1552374754959810</v>
      </c>
      <c r="C628" t="s">
        <v>40</v>
      </c>
      <c r="D628">
        <v>3.508562</v>
      </c>
      <c r="E628">
        <v>0.50795049999999997</v>
      </c>
      <c r="F628" t="s">
        <v>50</v>
      </c>
      <c r="G628">
        <v>-169.2955</v>
      </c>
      <c r="H628">
        <v>2.296961</v>
      </c>
      <c r="I628">
        <v>354.92849999999999</v>
      </c>
      <c r="J628">
        <v>-316.66239999999999</v>
      </c>
      <c r="K628">
        <v>1.088967</v>
      </c>
      <c r="L628">
        <v>366.65730000000002</v>
      </c>
      <c r="M628">
        <v>0.99955479999999997</v>
      </c>
      <c r="N628">
        <v>0</v>
      </c>
      <c r="O628">
        <v>1.225324E-2</v>
      </c>
      <c r="P628">
        <v>0.99710069999999995</v>
      </c>
      <c r="Q628">
        <v>4.9776580000000001E-2</v>
      </c>
      <c r="R628">
        <v>-5.755768E-2</v>
      </c>
      <c r="S628">
        <v>2.993744</v>
      </c>
      <c r="T628">
        <v>2.444708E-2</v>
      </c>
      <c r="U628">
        <v>-0.23776249999999999</v>
      </c>
      <c r="V628">
        <v>6.9747760000000006E-2</v>
      </c>
      <c r="W628">
        <v>7.6891570000000006E-2</v>
      </c>
      <c r="X628">
        <v>0.99459690000000001</v>
      </c>
      <c r="Y628">
        <v>9.1380379999999997E-2</v>
      </c>
      <c r="Z628">
        <v>4.7246510000000002E-4</v>
      </c>
      <c r="AA628">
        <v>0.99581589999999998</v>
      </c>
      <c r="AB628">
        <v>28</v>
      </c>
      <c r="AC628">
        <v>147.36689999999999</v>
      </c>
      <c r="AD628">
        <v>1.207994</v>
      </c>
      <c r="AE628">
        <v>-11.7288</v>
      </c>
      <c r="AF628">
        <v>13.533405720886</v>
      </c>
      <c r="AG628">
        <v>1.207994</v>
      </c>
      <c r="AH628">
        <v>147.20223058063999</v>
      </c>
      <c r="AI628">
        <v>89.531795453036906</v>
      </c>
      <c r="AJ628">
        <v>84.747135760259994</v>
      </c>
      <c r="AK628">
        <v>147.827970992725</v>
      </c>
      <c r="AL628">
        <v>85.590084916474794</v>
      </c>
      <c r="AM628">
        <v>85.988605348157904</v>
      </c>
      <c r="AN628">
        <v>1.0000000285258399</v>
      </c>
    </row>
    <row r="629" spans="1:40" x14ac:dyDescent="0.25">
      <c r="A629" t="str">
        <f>"20190312151234976"</f>
        <v>20190312151234976</v>
      </c>
      <c r="B629" t="str">
        <f>"1552374754970546"</f>
        <v>1552374754970546</v>
      </c>
      <c r="C629" t="s">
        <v>40</v>
      </c>
      <c r="D629">
        <v>3.5228920000000001</v>
      </c>
      <c r="E629">
        <v>0.50779439999999998</v>
      </c>
      <c r="F629" t="s">
        <v>50</v>
      </c>
      <c r="G629">
        <v>-169.2955</v>
      </c>
      <c r="H629">
        <v>2.6927880000000002</v>
      </c>
      <c r="I629">
        <v>354.98219999999998</v>
      </c>
      <c r="J629">
        <v>-316.49790000000002</v>
      </c>
      <c r="K629">
        <v>1.087432</v>
      </c>
      <c r="L629">
        <v>366.65940000000001</v>
      </c>
      <c r="M629">
        <v>0.99956020000000001</v>
      </c>
      <c r="N629">
        <v>0</v>
      </c>
      <c r="O629">
        <v>1.231178E-2</v>
      </c>
      <c r="P629">
        <v>0.9970793</v>
      </c>
      <c r="Q629">
        <v>5.0249929999999998E-2</v>
      </c>
      <c r="R629">
        <v>-5.7513290000000002E-2</v>
      </c>
      <c r="S629">
        <v>2.9934080000000001</v>
      </c>
      <c r="T629">
        <v>3.2579539999999997E-2</v>
      </c>
      <c r="U629">
        <v>-0.2371521</v>
      </c>
      <c r="V629">
        <v>6.9764519999999997E-2</v>
      </c>
      <c r="W629">
        <v>7.7133090000000001E-2</v>
      </c>
      <c r="X629">
        <v>0.99457700000000004</v>
      </c>
      <c r="Y629">
        <v>9.1243009999999999E-2</v>
      </c>
      <c r="Z629">
        <v>6.2958969999999997E-4</v>
      </c>
      <c r="AA629">
        <v>0.99582839999999995</v>
      </c>
      <c r="AB629">
        <v>28</v>
      </c>
      <c r="AC629">
        <v>147.20240000000001</v>
      </c>
      <c r="AD629">
        <v>1.605356</v>
      </c>
      <c r="AE629">
        <v>-11.677199999999999</v>
      </c>
      <c r="AF629">
        <v>13.487703620093599</v>
      </c>
      <c r="AG629">
        <v>1.605356</v>
      </c>
      <c r="AH629">
        <v>147.03003772883201</v>
      </c>
      <c r="AI629">
        <v>89.377052974114093</v>
      </c>
      <c r="AJ629">
        <v>84.758678812346304</v>
      </c>
      <c r="AK629">
        <v>147.656111662782</v>
      </c>
      <c r="AL629">
        <v>85.576205517998105</v>
      </c>
      <c r="AM629">
        <v>85.987564561164305</v>
      </c>
      <c r="AN629">
        <v>1.00000000537638</v>
      </c>
    </row>
    <row r="630" spans="1:40" x14ac:dyDescent="0.25">
      <c r="A630" t="str">
        <f>"20190312151234996"</f>
        <v>20190312151234996</v>
      </c>
      <c r="B630" t="str">
        <f>"1552374754990066"</f>
        <v>1552374754990066</v>
      </c>
      <c r="C630" t="s">
        <v>40</v>
      </c>
      <c r="D630">
        <v>3.4649939999999999</v>
      </c>
      <c r="E630">
        <v>0.50759540000000003</v>
      </c>
      <c r="F630" t="s">
        <v>50</v>
      </c>
      <c r="G630">
        <v>-169.2955</v>
      </c>
      <c r="H630">
        <v>3.014103</v>
      </c>
      <c r="I630">
        <v>355.07170000000002</v>
      </c>
      <c r="J630">
        <v>-316.23599999999999</v>
      </c>
      <c r="K630">
        <v>1.0849709999999999</v>
      </c>
      <c r="L630">
        <v>366.6628</v>
      </c>
      <c r="M630">
        <v>0.99957039999999997</v>
      </c>
      <c r="N630">
        <v>0</v>
      </c>
      <c r="O630">
        <v>1.2403809999999999E-2</v>
      </c>
      <c r="P630">
        <v>0.9969808</v>
      </c>
      <c r="Q630">
        <v>5.145487E-2</v>
      </c>
      <c r="R630">
        <v>-5.8153749999999997E-2</v>
      </c>
      <c r="S630">
        <v>2.9932249999999998</v>
      </c>
      <c r="T630">
        <v>3.9178850000000001E-2</v>
      </c>
      <c r="U630">
        <v>-0.23562620000000001</v>
      </c>
      <c r="V630">
        <v>7.0499919999999994E-2</v>
      </c>
      <c r="W630">
        <v>7.7911330000000001E-2</v>
      </c>
      <c r="X630">
        <v>0.99446449999999997</v>
      </c>
      <c r="Y630">
        <v>9.083215E-2</v>
      </c>
      <c r="Z630">
        <v>7.556873E-4</v>
      </c>
      <c r="AA630">
        <v>0.99586589999999997</v>
      </c>
      <c r="AB630">
        <v>28</v>
      </c>
      <c r="AC630">
        <v>146.94049999999999</v>
      </c>
      <c r="AD630">
        <v>1.9291320000000001</v>
      </c>
      <c r="AE630">
        <v>-11.5910999999999</v>
      </c>
      <c r="AF630">
        <v>13.411175390648699</v>
      </c>
      <c r="AG630">
        <v>1.9291320000000001</v>
      </c>
      <c r="AH630">
        <v>146.76022392179601</v>
      </c>
      <c r="AI630">
        <v>89.250026997454896</v>
      </c>
      <c r="AJ630">
        <v>84.778724733050097</v>
      </c>
      <c r="AK630">
        <v>147.38434279531899</v>
      </c>
      <c r="AL630">
        <v>85.531481157879796</v>
      </c>
      <c r="AM630">
        <v>85.944951960652702</v>
      </c>
      <c r="AN630">
        <v>1.0000000279113099</v>
      </c>
    </row>
    <row r="631" spans="1:40" x14ac:dyDescent="0.25">
      <c r="A631" t="str">
        <f>"20190312151235019"</f>
        <v>20190312151235019</v>
      </c>
      <c r="B631" t="str">
        <f>"1552374755010567"</f>
        <v>1552374755010567</v>
      </c>
      <c r="C631" t="s">
        <v>40</v>
      </c>
      <c r="D631">
        <v>3.48407</v>
      </c>
      <c r="E631">
        <v>0.50748559999999998</v>
      </c>
      <c r="F631" t="s">
        <v>50</v>
      </c>
      <c r="G631">
        <v>-169.2955</v>
      </c>
      <c r="H631">
        <v>2.7877779999999999</v>
      </c>
      <c r="I631">
        <v>355.07870000000003</v>
      </c>
      <c r="J631">
        <v>-315.95679999999999</v>
      </c>
      <c r="K631">
        <v>1.082355</v>
      </c>
      <c r="L631">
        <v>366.66629999999998</v>
      </c>
      <c r="M631">
        <v>0.99958409999999998</v>
      </c>
      <c r="N631">
        <v>0</v>
      </c>
      <c r="O631">
        <v>1.250427E-2</v>
      </c>
      <c r="P631">
        <v>0.99689119999999998</v>
      </c>
      <c r="Q631">
        <v>5.268755E-2</v>
      </c>
      <c r="R631">
        <v>-5.8586810000000003E-2</v>
      </c>
      <c r="S631">
        <v>2.9935</v>
      </c>
      <c r="T631">
        <v>3.4691689999999997E-2</v>
      </c>
      <c r="U631">
        <v>-0.23599239999999999</v>
      </c>
      <c r="V631">
        <v>7.1036230000000006E-2</v>
      </c>
      <c r="W631">
        <v>7.8567819999999997E-2</v>
      </c>
      <c r="X631">
        <v>0.9943746</v>
      </c>
      <c r="Y631">
        <v>9.1047859999999994E-2</v>
      </c>
      <c r="Z631">
        <v>6.7148899999999896E-4</v>
      </c>
      <c r="AA631">
        <v>0.99584629999999996</v>
      </c>
      <c r="AB631">
        <v>28</v>
      </c>
      <c r="AC631">
        <v>146.66129999999899</v>
      </c>
      <c r="AD631">
        <v>1.7054229999999999</v>
      </c>
      <c r="AE631">
        <v>-11.587599999999901</v>
      </c>
      <c r="AF631">
        <v>13.419402164385501</v>
      </c>
      <c r="AG631">
        <v>1.7054229999999999</v>
      </c>
      <c r="AH631">
        <v>146.48519813988401</v>
      </c>
      <c r="AI631">
        <v>89.335757290465494</v>
      </c>
      <c r="AJ631">
        <v>84.765785096336202</v>
      </c>
      <c r="AK631">
        <v>147.10847051118199</v>
      </c>
      <c r="AL631">
        <v>85.493751027979002</v>
      </c>
      <c r="AM631">
        <v>85.913840165859796</v>
      </c>
      <c r="AN631">
        <v>0.99999994671866099</v>
      </c>
    </row>
    <row r="632" spans="1:40" x14ac:dyDescent="0.25">
      <c r="A632" t="str">
        <f>"20190312151235042"</f>
        <v>20190312151235042</v>
      </c>
      <c r="B632" t="str">
        <f>"1552374755039842"</f>
        <v>1552374755039842</v>
      </c>
      <c r="C632" t="s">
        <v>40</v>
      </c>
      <c r="D632">
        <v>3.506637</v>
      </c>
      <c r="E632">
        <v>0.50739509999999999</v>
      </c>
      <c r="F632" t="s">
        <v>50</v>
      </c>
      <c r="G632">
        <v>-169.2955</v>
      </c>
      <c r="H632">
        <v>2.6897190000000002</v>
      </c>
      <c r="I632">
        <v>355.07960000000003</v>
      </c>
      <c r="J632">
        <v>-315.67439999999999</v>
      </c>
      <c r="K632">
        <v>1.079777</v>
      </c>
      <c r="L632">
        <v>366.67</v>
      </c>
      <c r="M632">
        <v>0.99960179999999998</v>
      </c>
      <c r="N632">
        <v>0</v>
      </c>
      <c r="O632">
        <v>1.259941E-2</v>
      </c>
      <c r="P632">
        <v>0.99681390000000003</v>
      </c>
      <c r="Q632">
        <v>5.3552049999999997E-2</v>
      </c>
      <c r="R632">
        <v>-5.9114380000000001E-2</v>
      </c>
      <c r="S632">
        <v>2.9936829999999999</v>
      </c>
      <c r="T632">
        <v>3.2811640000000003E-2</v>
      </c>
      <c r="U632">
        <v>-0.2365112</v>
      </c>
      <c r="V632">
        <v>7.1659680000000003E-2</v>
      </c>
      <c r="W632">
        <v>7.8695219999999996E-2</v>
      </c>
      <c r="X632">
        <v>0.99431990000000003</v>
      </c>
      <c r="Y632">
        <v>9.1309849999999998E-2</v>
      </c>
      <c r="Z632">
        <v>6.3753059999999996E-4</v>
      </c>
      <c r="AA632">
        <v>0.99582230000000005</v>
      </c>
      <c r="AB632">
        <v>28</v>
      </c>
      <c r="AC632">
        <v>146.37889999999999</v>
      </c>
      <c r="AD632">
        <v>1.60994199999999</v>
      </c>
      <c r="AE632">
        <v>-11.590399999999899</v>
      </c>
      <c r="AF632">
        <v>13.432740556254</v>
      </c>
      <c r="AG632">
        <v>1.60994199999999</v>
      </c>
      <c r="AH632">
        <v>146.203619403289</v>
      </c>
      <c r="AI632">
        <v>89.371750711092901</v>
      </c>
      <c r="AJ632">
        <v>84.750577016000406</v>
      </c>
      <c r="AK632">
        <v>146.82822875291001</v>
      </c>
      <c r="AL632">
        <v>85.486429365883495</v>
      </c>
      <c r="AM632">
        <v>85.877875052482196</v>
      </c>
      <c r="AN632">
        <v>1.0000000554622701</v>
      </c>
    </row>
    <row r="633" spans="1:40" x14ac:dyDescent="0.25">
      <c r="A633" t="str">
        <f>"20190312151235064"</f>
        <v>20190312151235064</v>
      </c>
      <c r="B633" t="str">
        <f>"1552374755060338"</f>
        <v>1552374755060338</v>
      </c>
      <c r="C633" t="s">
        <v>40</v>
      </c>
      <c r="D633">
        <v>3.5061529999999999</v>
      </c>
      <c r="E633">
        <v>0.507386</v>
      </c>
      <c r="F633" t="s">
        <v>50</v>
      </c>
      <c r="G633">
        <v>-169.2955</v>
      </c>
      <c r="H633">
        <v>2.4354789999999999</v>
      </c>
      <c r="I633">
        <v>355.06060000000002</v>
      </c>
      <c r="J633">
        <v>-315.40750000000003</v>
      </c>
      <c r="K633">
        <v>1.0774570000000001</v>
      </c>
      <c r="L633">
        <v>366.67340000000002</v>
      </c>
      <c r="M633">
        <v>0.99962079999999998</v>
      </c>
      <c r="N633">
        <v>0</v>
      </c>
      <c r="O633">
        <v>1.2676679999999999E-2</v>
      </c>
      <c r="P633">
        <v>0.99672470000000002</v>
      </c>
      <c r="Q633">
        <v>5.4369639999999997E-2</v>
      </c>
      <c r="R633">
        <v>-5.986619E-2</v>
      </c>
      <c r="S633">
        <v>2.9940190000000002</v>
      </c>
      <c r="T633">
        <v>2.7731180000000001E-2</v>
      </c>
      <c r="U633">
        <v>-0.23745730000000001</v>
      </c>
      <c r="V633">
        <v>7.248773E-2</v>
      </c>
      <c r="W633">
        <v>7.8712799999999999E-2</v>
      </c>
      <c r="X633">
        <v>0.99425839999999999</v>
      </c>
      <c r="Y633">
        <v>9.1692259999999998E-2</v>
      </c>
      <c r="Z633">
        <v>5.4123579999999999E-4</v>
      </c>
      <c r="AA633">
        <v>0.99578730000000004</v>
      </c>
      <c r="AB633">
        <v>28</v>
      </c>
      <c r="AC633">
        <v>146.11199999999999</v>
      </c>
      <c r="AD633">
        <v>1.3580219999999901</v>
      </c>
      <c r="AE633">
        <v>-11.612799999999901</v>
      </c>
      <c r="AF633">
        <v>13.463479294398301</v>
      </c>
      <c r="AG633">
        <v>1.3580219999999901</v>
      </c>
      <c r="AH633">
        <v>145.940468755289</v>
      </c>
      <c r="AI633">
        <v>89.469114301282801</v>
      </c>
      <c r="AJ633">
        <v>84.729198285339095</v>
      </c>
      <c r="AK633">
        <v>146.566469286043</v>
      </c>
      <c r="AL633">
        <v>85.485418589491303</v>
      </c>
      <c r="AM633">
        <v>85.830152648962894</v>
      </c>
      <c r="AN633">
        <v>0.99999997092747595</v>
      </c>
    </row>
    <row r="634" spans="1:40" x14ac:dyDescent="0.25">
      <c r="A634" t="str">
        <f>"20190312151235086"</f>
        <v>20190312151235086</v>
      </c>
      <c r="B634" t="str">
        <f>"1552374755079862"</f>
        <v>1552374755079862</v>
      </c>
      <c r="C634" t="s">
        <v>40</v>
      </c>
      <c r="D634">
        <v>3.542351</v>
      </c>
      <c r="E634">
        <v>0.50743850000000001</v>
      </c>
      <c r="F634" t="s">
        <v>50</v>
      </c>
      <c r="G634">
        <v>-169.2955</v>
      </c>
      <c r="H634">
        <v>2.451759</v>
      </c>
      <c r="I634">
        <v>354.99549999999999</v>
      </c>
      <c r="J634">
        <v>-315.13339999999999</v>
      </c>
      <c r="K634">
        <v>1.075256</v>
      </c>
      <c r="L634">
        <v>366.67700000000002</v>
      </c>
      <c r="M634">
        <v>0.99964059999999999</v>
      </c>
      <c r="N634">
        <v>0</v>
      </c>
      <c r="O634">
        <v>1.2740690000000001E-2</v>
      </c>
      <c r="P634">
        <v>0.99662930000000005</v>
      </c>
      <c r="Q634">
        <v>5.5345520000000002E-2</v>
      </c>
      <c r="R634">
        <v>-6.0556939999999997E-2</v>
      </c>
      <c r="S634">
        <v>2.9939269999999998</v>
      </c>
      <c r="T634">
        <v>2.8162119999999999E-2</v>
      </c>
      <c r="U634">
        <v>-0.23928830000000001</v>
      </c>
      <c r="V634">
        <v>7.3240070000000004E-2</v>
      </c>
      <c r="W634">
        <v>7.8835440000000007E-2</v>
      </c>
      <c r="X634">
        <v>0.99419360000000001</v>
      </c>
      <c r="Y634">
        <v>9.236316E-2</v>
      </c>
      <c r="Z634">
        <v>5.5339899999999999E-4</v>
      </c>
      <c r="AA634">
        <v>0.99572519999999998</v>
      </c>
      <c r="AB634">
        <v>28</v>
      </c>
      <c r="AC634">
        <v>145.83789999999999</v>
      </c>
      <c r="AD634">
        <v>1.376503</v>
      </c>
      <c r="AE634">
        <v>-11.6814999999999</v>
      </c>
      <c r="AF634">
        <v>13.5379455248016</v>
      </c>
      <c r="AG634">
        <v>1.376503</v>
      </c>
      <c r="AH634">
        <v>145.66429051664099</v>
      </c>
      <c r="AI634">
        <v>89.460903792041904</v>
      </c>
      <c r="AJ634">
        <v>84.690220164510905</v>
      </c>
      <c r="AK634">
        <v>146.29851763178499</v>
      </c>
      <c r="AL634">
        <v>85.478370173248194</v>
      </c>
      <c r="AM634">
        <v>85.786755811483403</v>
      </c>
      <c r="AN634">
        <v>1.00000002436727</v>
      </c>
    </row>
    <row r="635" spans="1:40" x14ac:dyDescent="0.25">
      <c r="A635" t="str">
        <f>"20190312151235109"</f>
        <v>20190312151235109</v>
      </c>
      <c r="B635" t="str">
        <f>"1552374755100358"</f>
        <v>1552374755100358</v>
      </c>
      <c r="C635" t="s">
        <v>40</v>
      </c>
      <c r="D635">
        <v>3.5290900000000001</v>
      </c>
      <c r="E635">
        <v>0.50744829999999996</v>
      </c>
      <c r="F635" t="s">
        <v>50</v>
      </c>
      <c r="G635">
        <v>-169.2955</v>
      </c>
      <c r="H635">
        <v>2.3922479999999999</v>
      </c>
      <c r="I635">
        <v>354.89030000000002</v>
      </c>
      <c r="J635">
        <v>-314.858</v>
      </c>
      <c r="K635">
        <v>1.073253</v>
      </c>
      <c r="L635">
        <v>366.68060000000003</v>
      </c>
      <c r="M635">
        <v>0.99965899999999996</v>
      </c>
      <c r="N635">
        <v>0</v>
      </c>
      <c r="O635">
        <v>1.281154E-2</v>
      </c>
      <c r="P635">
        <v>0.99655340000000003</v>
      </c>
      <c r="Q635">
        <v>5.6147870000000002E-2</v>
      </c>
      <c r="R635">
        <v>-6.1064359999999998E-2</v>
      </c>
      <c r="S635">
        <v>2.9939580000000001</v>
      </c>
      <c r="T635">
        <v>2.703881E-2</v>
      </c>
      <c r="U635">
        <v>-0.24197389999999999</v>
      </c>
      <c r="V635">
        <v>7.3817339999999995E-2</v>
      </c>
      <c r="W635">
        <v>7.8801220000000005E-2</v>
      </c>
      <c r="X635">
        <v>0.99415359999999997</v>
      </c>
      <c r="Y635">
        <v>9.3320349999999996E-2</v>
      </c>
      <c r="Z635">
        <v>5.3625400000000001E-4</v>
      </c>
      <c r="AA635">
        <v>0.99563599999999997</v>
      </c>
      <c r="AB635">
        <v>28</v>
      </c>
      <c r="AC635">
        <v>145.5625</v>
      </c>
      <c r="AD635">
        <v>1.3189949999999999</v>
      </c>
      <c r="AE635">
        <v>-11.7903</v>
      </c>
      <c r="AF635">
        <v>13.653580837320501</v>
      </c>
      <c r="AG635">
        <v>1.3189949999999999</v>
      </c>
      <c r="AH635">
        <v>145.38759658493001</v>
      </c>
      <c r="AI635">
        <v>89.482488620318307</v>
      </c>
      <c r="AJ635">
        <v>84.634997148099103</v>
      </c>
      <c r="AK635">
        <v>146.03326079436101</v>
      </c>
      <c r="AL635">
        <v>85.480336871044301</v>
      </c>
      <c r="AM635">
        <v>85.753498262740194</v>
      </c>
      <c r="AN635">
        <v>1.0000000061755601</v>
      </c>
    </row>
    <row r="636" spans="1:40" x14ac:dyDescent="0.25">
      <c r="A636" t="str">
        <f>"20190312151235131"</f>
        <v>20190312151235131</v>
      </c>
      <c r="B636" t="str">
        <f>"1552374755119874"</f>
        <v>1552374755119874</v>
      </c>
      <c r="C636" t="s">
        <v>40</v>
      </c>
      <c r="D636">
        <v>3.6227040000000001</v>
      </c>
      <c r="E636">
        <v>0.50737089999999996</v>
      </c>
      <c r="F636" t="s">
        <v>50</v>
      </c>
      <c r="G636">
        <v>-169.2955</v>
      </c>
      <c r="H636">
        <v>2.370663</v>
      </c>
      <c r="I636">
        <v>354.827</v>
      </c>
      <c r="J636">
        <v>-314.58620000000002</v>
      </c>
      <c r="K636">
        <v>1.071469</v>
      </c>
      <c r="L636">
        <v>366.68419999999998</v>
      </c>
      <c r="M636">
        <v>0.99967550000000005</v>
      </c>
      <c r="N636">
        <v>0</v>
      </c>
      <c r="O636">
        <v>1.2892860000000001E-2</v>
      </c>
      <c r="P636">
        <v>0.99652479999999999</v>
      </c>
      <c r="Q636">
        <v>5.6838659999999999E-2</v>
      </c>
      <c r="R636">
        <v>-6.0892179999999997E-2</v>
      </c>
      <c r="S636">
        <v>2.9939269999999998</v>
      </c>
      <c r="T636">
        <v>2.6686910000000001E-2</v>
      </c>
      <c r="U636">
        <v>-0.24380489999999999</v>
      </c>
      <c r="V636">
        <v>7.3726799999999995E-2</v>
      </c>
      <c r="W636">
        <v>7.8707579999999999E-2</v>
      </c>
      <c r="X636">
        <v>0.99416769999999999</v>
      </c>
      <c r="Y636">
        <v>9.4006939999999997E-2</v>
      </c>
      <c r="Z636">
        <v>5.3304429999999998E-4</v>
      </c>
      <c r="AA636">
        <v>0.9955714</v>
      </c>
      <c r="AB636">
        <v>27</v>
      </c>
      <c r="AC636">
        <v>145.29069999999999</v>
      </c>
      <c r="AD636">
        <v>1.299194</v>
      </c>
      <c r="AE636">
        <v>-11.857199999999899</v>
      </c>
      <c r="AF636">
        <v>13.728788395437601</v>
      </c>
      <c r="AG636">
        <v>1.299194</v>
      </c>
      <c r="AH636">
        <v>145.114181455834</v>
      </c>
      <c r="AI636">
        <v>89.489329978731405</v>
      </c>
      <c r="AJ636">
        <v>84.595515503573907</v>
      </c>
      <c r="AK636">
        <v>145.76794296227499</v>
      </c>
      <c r="AL636">
        <v>85.4857185998559</v>
      </c>
      <c r="AM636">
        <v>85.758747687334903</v>
      </c>
      <c r="AN636">
        <v>0.99999996995549201</v>
      </c>
    </row>
    <row r="637" spans="1:40" x14ac:dyDescent="0.25">
      <c r="A637" t="str">
        <f>"20190312151235153"</f>
        <v>20190312151235153</v>
      </c>
      <c r="B637" t="str">
        <f>"1552374755150131"</f>
        <v>1552374755150131</v>
      </c>
      <c r="C637" t="s">
        <v>40</v>
      </c>
      <c r="D637">
        <v>3.6136529999999998</v>
      </c>
      <c r="E637">
        <v>0.50727730000000004</v>
      </c>
      <c r="F637" t="s">
        <v>50</v>
      </c>
      <c r="G637">
        <v>-169.2955</v>
      </c>
      <c r="H637">
        <v>2.324859</v>
      </c>
      <c r="I637">
        <v>354.90550000000002</v>
      </c>
      <c r="J637">
        <v>-314.32319999999999</v>
      </c>
      <c r="K637">
        <v>1.069936</v>
      </c>
      <c r="L637">
        <v>366.68770000000001</v>
      </c>
      <c r="M637">
        <v>0.99968999999999997</v>
      </c>
      <c r="N637">
        <v>0</v>
      </c>
      <c r="O637">
        <v>1.297852E-2</v>
      </c>
      <c r="P637">
        <v>0.99650839999999996</v>
      </c>
      <c r="Q637">
        <v>5.6761430000000002E-2</v>
      </c>
      <c r="R637">
        <v>-6.1233139999999998E-2</v>
      </c>
      <c r="S637">
        <v>2.9941710000000001</v>
      </c>
      <c r="T637">
        <v>2.5831819999999998E-2</v>
      </c>
      <c r="U637">
        <v>-0.2427368</v>
      </c>
      <c r="V637">
        <v>7.4153899999999995E-2</v>
      </c>
      <c r="W637">
        <v>7.7921320000000002E-2</v>
      </c>
      <c r="X637">
        <v>0.99419789999999997</v>
      </c>
      <c r="Y637">
        <v>9.3732919999999997E-2</v>
      </c>
      <c r="Z637">
        <v>5.1548719999999998E-4</v>
      </c>
      <c r="AA637">
        <v>0.99559719999999996</v>
      </c>
      <c r="AB637">
        <v>27</v>
      </c>
      <c r="AC637">
        <v>145.02769999999899</v>
      </c>
      <c r="AD637">
        <v>1.254923</v>
      </c>
      <c r="AE637">
        <v>-11.7821999999999</v>
      </c>
      <c r="AF637">
        <v>13.6628608430239</v>
      </c>
      <c r="AG637">
        <v>1.254923</v>
      </c>
      <c r="AH637">
        <v>144.851754996723</v>
      </c>
      <c r="AI637">
        <v>89.505823829178695</v>
      </c>
      <c r="AJ637">
        <v>84.611628814023007</v>
      </c>
      <c r="AK637">
        <v>145.500101456262</v>
      </c>
      <c r="AL637">
        <v>85.530906896743701</v>
      </c>
      <c r="AM637">
        <v>85.734397606081501</v>
      </c>
      <c r="AN637">
        <v>0.99999999868008105</v>
      </c>
    </row>
    <row r="638" spans="1:40" x14ac:dyDescent="0.25">
      <c r="A638" t="str">
        <f>"20190312151235187"</f>
        <v>20190312151235187</v>
      </c>
      <c r="B638" t="str">
        <f>"1552374755180389"</f>
        <v>1552374755180389</v>
      </c>
      <c r="C638" t="s">
        <v>40</v>
      </c>
      <c r="D638">
        <v>3.63937</v>
      </c>
      <c r="E638">
        <v>0.50719979999999998</v>
      </c>
      <c r="F638" t="s">
        <v>50</v>
      </c>
      <c r="G638">
        <v>-169.2955</v>
      </c>
      <c r="H638">
        <v>2.163564</v>
      </c>
      <c r="I638">
        <v>354.92489999999998</v>
      </c>
      <c r="J638">
        <v>-313.90890000000002</v>
      </c>
      <c r="K638">
        <v>1.0678780000000001</v>
      </c>
      <c r="L638">
        <v>366.69319999999999</v>
      </c>
      <c r="M638">
        <v>0.99970919999999996</v>
      </c>
      <c r="N638">
        <v>0</v>
      </c>
      <c r="O638">
        <v>1.311496E-2</v>
      </c>
      <c r="P638">
        <v>0.99640989999999996</v>
      </c>
      <c r="Q638">
        <v>5.8240670000000001E-2</v>
      </c>
      <c r="R638">
        <v>-6.1447549999999997E-2</v>
      </c>
      <c r="S638">
        <v>2.9942929999999999</v>
      </c>
      <c r="T638">
        <v>2.2581219999999999E-2</v>
      </c>
      <c r="U638">
        <v>-0.24285889999999999</v>
      </c>
      <c r="V638">
        <v>7.4503139999999995E-2</v>
      </c>
      <c r="W638">
        <v>7.8386709999999998E-2</v>
      </c>
      <c r="X638">
        <v>0.9941352</v>
      </c>
      <c r="Y638">
        <v>9.3906509999999999E-2</v>
      </c>
      <c r="Z638">
        <v>4.5228180000000002E-4</v>
      </c>
      <c r="AA638">
        <v>0.99558089999999999</v>
      </c>
      <c r="AB638">
        <v>27</v>
      </c>
      <c r="AC638">
        <v>144.61340000000001</v>
      </c>
      <c r="AD638">
        <v>1.0956859999999999</v>
      </c>
      <c r="AE638">
        <v>-11.7683</v>
      </c>
      <c r="AF638">
        <v>13.663495669549301</v>
      </c>
      <c r="AG638">
        <v>1.0956859999999999</v>
      </c>
      <c r="AH638">
        <v>144.43834802535201</v>
      </c>
      <c r="AI638">
        <v>89.567303443263299</v>
      </c>
      <c r="AJ638">
        <v>84.596047956868105</v>
      </c>
      <c r="AK638">
        <v>145.08731171958101</v>
      </c>
      <c r="AL638">
        <v>85.504160186988301</v>
      </c>
      <c r="AM638">
        <v>85.714113435714097</v>
      </c>
      <c r="AN638">
        <v>0.99999999502676096</v>
      </c>
    </row>
    <row r="639" spans="1:40" x14ac:dyDescent="0.25">
      <c r="A639" t="str">
        <f>"20190312151235208"</f>
        <v>20190312151235208</v>
      </c>
      <c r="B639" t="str">
        <f>"1552374755199906"</f>
        <v>1552374755199906</v>
      </c>
      <c r="C639" t="s">
        <v>40</v>
      </c>
      <c r="D639">
        <v>3.6745640000000002</v>
      </c>
      <c r="E639">
        <v>0.50713909999999995</v>
      </c>
      <c r="F639" t="s">
        <v>50</v>
      </c>
      <c r="G639">
        <v>-169.2955</v>
      </c>
      <c r="H639">
        <v>2.1199279999999998</v>
      </c>
      <c r="I639">
        <v>354.96789999999999</v>
      </c>
      <c r="J639">
        <v>-313.63959999999997</v>
      </c>
      <c r="K639">
        <v>1.0667690000000001</v>
      </c>
      <c r="L639">
        <v>366.6968</v>
      </c>
      <c r="M639">
        <v>0.99971980000000005</v>
      </c>
      <c r="N639">
        <v>0</v>
      </c>
      <c r="O639">
        <v>1.3199000000000001E-2</v>
      </c>
      <c r="P639">
        <v>0.99635030000000002</v>
      </c>
      <c r="Q639">
        <v>5.9216110000000002E-2</v>
      </c>
      <c r="R639">
        <v>-6.1480760000000002E-2</v>
      </c>
      <c r="S639">
        <v>2.9945369999999998</v>
      </c>
      <c r="T639">
        <v>2.178681E-2</v>
      </c>
      <c r="U639">
        <v>-0.24279790000000001</v>
      </c>
      <c r="V639">
        <v>7.4619110000000002E-2</v>
      </c>
      <c r="W639">
        <v>7.8783619999999999E-2</v>
      </c>
      <c r="X639">
        <v>0.99409510000000001</v>
      </c>
      <c r="Y639">
        <v>9.3963560000000002E-2</v>
      </c>
      <c r="Z639">
        <v>4.3715250000000001E-4</v>
      </c>
      <c r="AA639">
        <v>0.99557549999999995</v>
      </c>
      <c r="AB639">
        <v>27</v>
      </c>
      <c r="AC639">
        <v>144.344099999999</v>
      </c>
      <c r="AD639">
        <v>1.05315899999999</v>
      </c>
      <c r="AE639">
        <v>-11.728899999999999</v>
      </c>
      <c r="AF639">
        <v>13.632722616989</v>
      </c>
      <c r="AG639">
        <v>1.05315899999999</v>
      </c>
      <c r="AH639">
        <v>144.16905722889399</v>
      </c>
      <c r="AI639">
        <v>89.583318882196806</v>
      </c>
      <c r="AJ639">
        <v>84.598135154372102</v>
      </c>
      <c r="AK639">
        <v>144.81601200177801</v>
      </c>
      <c r="AL639">
        <v>85.481348253746901</v>
      </c>
      <c r="AM639">
        <v>85.707294526292102</v>
      </c>
      <c r="AN639">
        <v>0.99999996910075195</v>
      </c>
    </row>
    <row r="640" spans="1:40" x14ac:dyDescent="0.25">
      <c r="A640" t="str">
        <f>"20190312151235232"</f>
        <v>20190312151235232</v>
      </c>
      <c r="B640" t="str">
        <f>"1552374755220402"</f>
        <v>1552374755220402</v>
      </c>
      <c r="C640" t="s">
        <v>40</v>
      </c>
      <c r="D640">
        <v>3.6845970000000001</v>
      </c>
      <c r="E640">
        <v>0.48681360000000001</v>
      </c>
      <c r="F640" t="s">
        <v>50</v>
      </c>
      <c r="G640">
        <v>-169.2955</v>
      </c>
      <c r="H640">
        <v>2.1992609999999999</v>
      </c>
      <c r="I640">
        <v>355.00400000000002</v>
      </c>
      <c r="J640">
        <v>-313.3621</v>
      </c>
      <c r="K640">
        <v>1.065793</v>
      </c>
      <c r="L640">
        <v>366.70060000000001</v>
      </c>
      <c r="M640">
        <v>0.99972910000000004</v>
      </c>
      <c r="N640">
        <v>0</v>
      </c>
      <c r="O640">
        <v>1.32838E-2</v>
      </c>
      <c r="P640">
        <v>0.99631270000000005</v>
      </c>
      <c r="Q640">
        <v>5.9562160000000003E-2</v>
      </c>
      <c r="R640">
        <v>-6.1755150000000002E-2</v>
      </c>
      <c r="S640">
        <v>2.9946290000000002</v>
      </c>
      <c r="T640">
        <v>2.3496989999999999E-2</v>
      </c>
      <c r="U640">
        <v>-0.2425842</v>
      </c>
      <c r="V640">
        <v>7.4977240000000001E-2</v>
      </c>
      <c r="W640">
        <v>7.859207E-2</v>
      </c>
      <c r="X640">
        <v>0.9940833</v>
      </c>
      <c r="Y640">
        <v>9.39744E-2</v>
      </c>
      <c r="Z640">
        <v>4.7215910000000002E-4</v>
      </c>
      <c r="AA640">
        <v>0.99557450000000003</v>
      </c>
      <c r="AB640">
        <v>27</v>
      </c>
      <c r="AC640">
        <v>144.06659999999999</v>
      </c>
      <c r="AD640">
        <v>1.1334679999999999</v>
      </c>
      <c r="AE640">
        <v>-11.696599999999901</v>
      </c>
      <c r="AF640">
        <v>13.608832229687399</v>
      </c>
      <c r="AG640">
        <v>1.1334679999999999</v>
      </c>
      <c r="AH640">
        <v>143.88963169751699</v>
      </c>
      <c r="AI640">
        <v>89.550675877109796</v>
      </c>
      <c r="AJ640">
        <v>84.597135758078196</v>
      </c>
      <c r="AK640">
        <v>144.536193302611</v>
      </c>
      <c r="AL640">
        <v>85.492357326935704</v>
      </c>
      <c r="AM640">
        <v>85.686718499775793</v>
      </c>
      <c r="AN640">
        <v>0.99999995366189498</v>
      </c>
    </row>
    <row r="641" spans="1:40" x14ac:dyDescent="0.25">
      <c r="A641" t="str">
        <f>"20190312151235254"</f>
        <v>20190312151235254</v>
      </c>
      <c r="B641" t="str">
        <f>"1552374755250659"</f>
        <v>1552374755250659</v>
      </c>
      <c r="C641" t="s">
        <v>40</v>
      </c>
      <c r="D641">
        <v>3.6944050000000002</v>
      </c>
      <c r="E641">
        <v>0.47958529999999999</v>
      </c>
      <c r="F641" t="s">
        <v>42</v>
      </c>
      <c r="G641">
        <v>-266.51330000000002</v>
      </c>
      <c r="H641" s="1">
        <v>-2.2883740000000001E-6</v>
      </c>
      <c r="I641">
        <v>365.42290000000003</v>
      </c>
      <c r="J641">
        <v>-313.09230000000002</v>
      </c>
      <c r="K641">
        <v>1.0649660000000001</v>
      </c>
      <c r="L641">
        <v>366.70429999999999</v>
      </c>
      <c r="M641">
        <v>0.99973679999999998</v>
      </c>
      <c r="N641">
        <v>0</v>
      </c>
      <c r="O641">
        <v>1.3366660000000001E-2</v>
      </c>
      <c r="P641">
        <v>0.99628360000000005</v>
      </c>
      <c r="Q641">
        <v>6.020785E-2</v>
      </c>
      <c r="R641">
        <v>-6.1595780000000003E-2</v>
      </c>
      <c r="S641">
        <v>3.0101010000000001</v>
      </c>
      <c r="T641">
        <v>-6.8478819999999996E-2</v>
      </c>
      <c r="U641">
        <v>-8.2092289999999998E-2</v>
      </c>
      <c r="V641">
        <v>7.489991E-2</v>
      </c>
      <c r="W641">
        <v>7.8767459999999997E-2</v>
      </c>
      <c r="X641">
        <v>0.9940753</v>
      </c>
      <c r="Y641">
        <v>4.060975E-2</v>
      </c>
      <c r="Z641">
        <v>-7.6583490000000005E-4</v>
      </c>
      <c r="AA641">
        <v>0.99917480000000003</v>
      </c>
      <c r="AB641">
        <v>27</v>
      </c>
      <c r="AC641">
        <v>46.579000000000001</v>
      </c>
      <c r="AD641">
        <v>-1.0649682883739999</v>
      </c>
      <c r="AE641">
        <v>-1.2813999999999599</v>
      </c>
      <c r="AF641">
        <v>1.9030053541932299</v>
      </c>
      <c r="AG641">
        <v>-1.0649682883739999</v>
      </c>
      <c r="AH641">
        <v>46.533399389337603</v>
      </c>
      <c r="AI641">
        <v>91.309953820082299</v>
      </c>
      <c r="AJ641">
        <v>87.6581669687084</v>
      </c>
      <c r="AK641">
        <v>46.584470004079002</v>
      </c>
      <c r="AL641">
        <v>85.482277205448099</v>
      </c>
      <c r="AM641">
        <v>85.691115822216005</v>
      </c>
      <c r="AN641">
        <v>1.00000000567147</v>
      </c>
    </row>
    <row r="642" spans="1:40" x14ac:dyDescent="0.25">
      <c r="A642" t="str">
        <f>"20190312151235277"</f>
        <v>20190312151235277</v>
      </c>
      <c r="B642" t="str">
        <f>"1552374755270178"</f>
        <v>1552374755270178</v>
      </c>
      <c r="C642" t="s">
        <v>40</v>
      </c>
      <c r="D642">
        <v>3.7292179999999999</v>
      </c>
      <c r="E642">
        <v>0.47785739999999999</v>
      </c>
      <c r="F642" t="s">
        <v>43</v>
      </c>
      <c r="G642">
        <v>-287.68849999999998</v>
      </c>
      <c r="H642">
        <v>-0.05</v>
      </c>
      <c r="I642">
        <v>366.4957</v>
      </c>
      <c r="J642">
        <v>-312.8227</v>
      </c>
      <c r="K642">
        <v>1.0642590000000001</v>
      </c>
      <c r="L642">
        <v>366.7079</v>
      </c>
      <c r="M642">
        <v>0.99974350000000001</v>
      </c>
      <c r="N642">
        <v>0</v>
      </c>
      <c r="O642">
        <v>1.3451090000000001E-2</v>
      </c>
      <c r="P642">
        <v>0.99626789999999998</v>
      </c>
      <c r="Q642">
        <v>6.0387820000000002E-2</v>
      </c>
      <c r="R642">
        <v>-6.1674960000000001E-2</v>
      </c>
      <c r="S642">
        <v>3.0176699999999999</v>
      </c>
      <c r="T642">
        <v>-0.13244500000000001</v>
      </c>
      <c r="U642">
        <v>-2.478027E-2</v>
      </c>
      <c r="V642">
        <v>7.5062859999999995E-2</v>
      </c>
      <c r="W642">
        <v>7.8526929999999995E-2</v>
      </c>
      <c r="X642">
        <v>0.99408200000000002</v>
      </c>
      <c r="Y642">
        <v>2.1629800000000001E-2</v>
      </c>
      <c r="Z642">
        <v>-1.064593E-3</v>
      </c>
      <c r="AA642">
        <v>0.99976549999999997</v>
      </c>
      <c r="AB642">
        <v>27</v>
      </c>
      <c r="AC642">
        <v>25.1342</v>
      </c>
      <c r="AD642">
        <v>-1.1142590000000001</v>
      </c>
      <c r="AE642">
        <v>-0.212199999999995</v>
      </c>
      <c r="AF642">
        <v>0.54923994081417404</v>
      </c>
      <c r="AG642">
        <v>-1.1142590000000001</v>
      </c>
      <c r="AH642">
        <v>25.0797832624128</v>
      </c>
      <c r="AI642">
        <v>92.543287844515305</v>
      </c>
      <c r="AJ642">
        <v>88.745439670244096</v>
      </c>
      <c r="AK642">
        <v>25.1105309804725</v>
      </c>
      <c r="AL642">
        <v>85.496101205855396</v>
      </c>
      <c r="AM642">
        <v>85.6818059572133</v>
      </c>
      <c r="AN642">
        <v>0.99999996720530104</v>
      </c>
    </row>
    <row r="643" spans="1:40" x14ac:dyDescent="0.25">
      <c r="A643" t="str">
        <f>"20190312151235298"</f>
        <v>20190312151235298</v>
      </c>
      <c r="B643" t="str">
        <f>"1552374755290675"</f>
        <v>1552374755290675</v>
      </c>
      <c r="C643" t="s">
        <v>40</v>
      </c>
      <c r="D643">
        <v>3.7128969999999999</v>
      </c>
      <c r="E643">
        <v>0.47676200000000002</v>
      </c>
      <c r="F643" t="s">
        <v>43</v>
      </c>
      <c r="G643">
        <v>-289.2568</v>
      </c>
      <c r="H643">
        <v>-0.05</v>
      </c>
      <c r="I643">
        <v>366.62200000000001</v>
      </c>
      <c r="J643">
        <v>-312.55860000000001</v>
      </c>
      <c r="K643">
        <v>1.0636730000000001</v>
      </c>
      <c r="L643">
        <v>366.71159999999998</v>
      </c>
      <c r="M643">
        <v>0.99974890000000005</v>
      </c>
      <c r="N643">
        <v>0</v>
      </c>
      <c r="O643">
        <v>1.3534839999999999E-2</v>
      </c>
      <c r="P643">
        <v>0.99627259999999995</v>
      </c>
      <c r="Q643">
        <v>6.0584440000000003E-2</v>
      </c>
      <c r="R643">
        <v>-6.1405149999999999E-2</v>
      </c>
      <c r="S643">
        <v>3.019196</v>
      </c>
      <c r="T643">
        <v>-0.14275560000000001</v>
      </c>
      <c r="U643">
        <v>-1.101685E-2</v>
      </c>
      <c r="V643">
        <v>7.4876520000000002E-2</v>
      </c>
      <c r="W643">
        <v>7.8354850000000004E-2</v>
      </c>
      <c r="X643">
        <v>0.99410969999999999</v>
      </c>
      <c r="Y643">
        <v>1.7151199999999998E-2</v>
      </c>
      <c r="Z643">
        <v>-1.044945E-3</v>
      </c>
      <c r="AA643">
        <v>0.99985239999999997</v>
      </c>
      <c r="AB643">
        <v>27</v>
      </c>
      <c r="AC643">
        <v>23.3018</v>
      </c>
      <c r="AD643">
        <v>-1.1136729999999999</v>
      </c>
      <c r="AE643">
        <v>-8.9600000000018498E-2</v>
      </c>
      <c r="AF643">
        <v>0.40410518384868299</v>
      </c>
      <c r="AG643">
        <v>-1.1136729999999999</v>
      </c>
      <c r="AH643">
        <v>23.245355417051002</v>
      </c>
      <c r="AI643">
        <v>92.742500186436402</v>
      </c>
      <c r="AJ643">
        <v>89.004050956768907</v>
      </c>
      <c r="AK643">
        <v>23.275526138318899</v>
      </c>
      <c r="AL643">
        <v>85.505991445568796</v>
      </c>
      <c r="AM643">
        <v>85.692604846402801</v>
      </c>
      <c r="AN643">
        <v>1.0000000356999601</v>
      </c>
    </row>
    <row r="644" spans="1:40" x14ac:dyDescent="0.25">
      <c r="A644" t="str">
        <f>"20190312151235320"</f>
        <v>20190312151235320</v>
      </c>
      <c r="B644" t="str">
        <f>"1552374755310198"</f>
        <v>1552374755310198</v>
      </c>
      <c r="C644" t="s">
        <v>40</v>
      </c>
      <c r="D644">
        <v>3.7326540000000001</v>
      </c>
      <c r="E644">
        <v>0.47637770000000002</v>
      </c>
      <c r="F644" t="s">
        <v>43</v>
      </c>
      <c r="G644">
        <v>-289.59840000000003</v>
      </c>
      <c r="H644">
        <v>-0.05</v>
      </c>
      <c r="I644">
        <v>366.69929999999999</v>
      </c>
      <c r="J644">
        <v>-312.28840000000002</v>
      </c>
      <c r="K644">
        <v>1.063164</v>
      </c>
      <c r="L644">
        <v>366.71539999999999</v>
      </c>
      <c r="M644">
        <v>0.99975400000000003</v>
      </c>
      <c r="N644">
        <v>0</v>
      </c>
      <c r="O644">
        <v>1.362038E-2</v>
      </c>
      <c r="P644">
        <v>0.99623640000000002</v>
      </c>
      <c r="Q644">
        <v>6.1222699999999998E-2</v>
      </c>
      <c r="R644">
        <v>-6.1361680000000002E-2</v>
      </c>
      <c r="S644">
        <v>3.0200499999999999</v>
      </c>
      <c r="T644">
        <v>-0.14648620000000001</v>
      </c>
      <c r="U644">
        <v>-1.617432E-3</v>
      </c>
      <c r="V644">
        <v>7.4917650000000002E-2</v>
      </c>
      <c r="W644">
        <v>7.8656229999999994E-2</v>
      </c>
      <c r="X644">
        <v>0.99408269999999999</v>
      </c>
      <c r="Y644">
        <v>1.412536E-2</v>
      </c>
      <c r="Z644">
        <v>-1.002719E-3</v>
      </c>
      <c r="AA644">
        <v>0.99989969999999995</v>
      </c>
      <c r="AB644">
        <v>27</v>
      </c>
      <c r="AC644">
        <v>22.69</v>
      </c>
      <c r="AD644">
        <v>-1.113164</v>
      </c>
      <c r="AE644">
        <v>-1.60999999999944E-2</v>
      </c>
      <c r="AF644">
        <v>0.32441147900336398</v>
      </c>
      <c r="AG644">
        <v>-1.113164</v>
      </c>
      <c r="AH644">
        <v>22.633200543115201</v>
      </c>
      <c r="AI644">
        <v>92.815408812588899</v>
      </c>
      <c r="AJ644">
        <v>89.178810978019996</v>
      </c>
      <c r="AK644">
        <v>22.662880305104199</v>
      </c>
      <c r="AL644">
        <v>85.488669732662601</v>
      </c>
      <c r="AM644">
        <v>85.690131072703593</v>
      </c>
      <c r="AN644">
        <v>0.99999993561931</v>
      </c>
    </row>
    <row r="645" spans="1:40" x14ac:dyDescent="0.25">
      <c r="A645" t="str">
        <f>"20190312151235342"</f>
        <v>20190312151235342</v>
      </c>
      <c r="B645" t="str">
        <f>"1552374755340451"</f>
        <v>1552374755340451</v>
      </c>
      <c r="C645" t="s">
        <v>40</v>
      </c>
      <c r="D645">
        <v>3.7490009999999998</v>
      </c>
      <c r="E645">
        <v>0.47589090000000001</v>
      </c>
      <c r="F645" t="s">
        <v>43</v>
      </c>
      <c r="G645">
        <v>-290.91590000000002</v>
      </c>
      <c r="H645">
        <v>-0.05</v>
      </c>
      <c r="I645">
        <v>366.72770000000003</v>
      </c>
      <c r="J645">
        <v>-312.02969999999999</v>
      </c>
      <c r="K645">
        <v>1.062748</v>
      </c>
      <c r="L645">
        <v>366.71899999999999</v>
      </c>
      <c r="M645">
        <v>0.99975780000000003</v>
      </c>
      <c r="N645">
        <v>0</v>
      </c>
      <c r="O645">
        <v>1.3702219999999999E-2</v>
      </c>
      <c r="P645">
        <v>0.99616559999999998</v>
      </c>
      <c r="Q645">
        <v>6.2129650000000002E-2</v>
      </c>
      <c r="R645">
        <v>-6.1595410000000003E-2</v>
      </c>
      <c r="S645">
        <v>3.0210880000000002</v>
      </c>
      <c r="T645">
        <v>-0.1573502</v>
      </c>
      <c r="U645">
        <v>1.739502E-3</v>
      </c>
      <c r="V645">
        <v>7.5232019999999997E-2</v>
      </c>
      <c r="W645">
        <v>7.927418E-2</v>
      </c>
      <c r="X645">
        <v>0.9940099</v>
      </c>
      <c r="Y645">
        <v>1.30922E-2</v>
      </c>
      <c r="Z645">
        <v>-1.0539869999999999E-3</v>
      </c>
      <c r="AA645">
        <v>0.99991379999999996</v>
      </c>
      <c r="AB645">
        <v>27</v>
      </c>
      <c r="AC645">
        <v>21.113799999999902</v>
      </c>
      <c r="AD645">
        <v>-1.1127479999999901</v>
      </c>
      <c r="AE645">
        <v>8.7000000000330095E-3</v>
      </c>
      <c r="AF645">
        <v>0.279872304562712</v>
      </c>
      <c r="AG645">
        <v>-1.1127479999999901</v>
      </c>
      <c r="AH645">
        <v>21.0534595933944</v>
      </c>
      <c r="AI645">
        <v>93.025197794944702</v>
      </c>
      <c r="AJ645">
        <v>89.238388478961198</v>
      </c>
      <c r="AK645">
        <v>21.0847029257957</v>
      </c>
      <c r="AL645">
        <v>85.453153039408804</v>
      </c>
      <c r="AM645">
        <v>85.671798774902101</v>
      </c>
      <c r="AN645">
        <v>0.99999996687297998</v>
      </c>
    </row>
    <row r="646" spans="1:40" x14ac:dyDescent="0.25">
      <c r="A646" t="str">
        <f>"20190312151235364"</f>
        <v>20190312151235364</v>
      </c>
      <c r="B646" t="str">
        <f>"1552374755359971"</f>
        <v>1552374755359971</v>
      </c>
      <c r="C646" t="s">
        <v>40</v>
      </c>
      <c r="D646">
        <v>3.7518150000000001</v>
      </c>
      <c r="E646">
        <v>0.47573179999999998</v>
      </c>
      <c r="F646" t="s">
        <v>43</v>
      </c>
      <c r="G646">
        <v>-290.4325</v>
      </c>
      <c r="H646">
        <v>-0.05</v>
      </c>
      <c r="I646">
        <v>366.75369999999998</v>
      </c>
      <c r="J646">
        <v>-311.76209999999998</v>
      </c>
      <c r="K646">
        <v>1.062387</v>
      </c>
      <c r="L646">
        <v>366.72269999999997</v>
      </c>
      <c r="M646">
        <v>0.99976120000000002</v>
      </c>
      <c r="N646">
        <v>0</v>
      </c>
      <c r="O646">
        <v>1.378622E-2</v>
      </c>
      <c r="P646">
        <v>0.9961333</v>
      </c>
      <c r="Q646">
        <v>6.2480290000000001E-2</v>
      </c>
      <c r="R646">
        <v>-6.1764260000000001E-2</v>
      </c>
      <c r="S646">
        <v>3.0215450000000001</v>
      </c>
      <c r="T646">
        <v>-0.1556786</v>
      </c>
      <c r="U646">
        <v>4.8522950000000004E-3</v>
      </c>
      <c r="V646">
        <v>7.5483919999999996E-2</v>
      </c>
      <c r="W646">
        <v>7.9359280000000004E-2</v>
      </c>
      <c r="X646">
        <v>0.99398399999999998</v>
      </c>
      <c r="Y646">
        <v>1.2148040000000001E-2</v>
      </c>
      <c r="Z646">
        <v>-1.022661E-3</v>
      </c>
      <c r="AA646">
        <v>0.99992570000000003</v>
      </c>
      <c r="AB646">
        <v>27</v>
      </c>
      <c r="AC646">
        <v>21.3295999999999</v>
      </c>
      <c r="AD646">
        <v>-1.112387</v>
      </c>
      <c r="AE646">
        <v>3.1000000000005901E-2</v>
      </c>
      <c r="AF646">
        <v>0.26238613023704199</v>
      </c>
      <c r="AG646">
        <v>-1.112387</v>
      </c>
      <c r="AH646">
        <v>21.270148123380402</v>
      </c>
      <c r="AI646">
        <v>92.993502090485293</v>
      </c>
      <c r="AJ646">
        <v>89.293241623328001</v>
      </c>
      <c r="AK646">
        <v>21.300832202279199</v>
      </c>
      <c r="AL646">
        <v>85.448261703545299</v>
      </c>
      <c r="AM646">
        <v>85.657249246142698</v>
      </c>
      <c r="AN646">
        <v>0.99999995487834104</v>
      </c>
    </row>
    <row r="647" spans="1:40" x14ac:dyDescent="0.25">
      <c r="A647" t="str">
        <f>"20190312151235388"</f>
        <v>20190312151235388</v>
      </c>
      <c r="B647" t="str">
        <f>"1552374755380470"</f>
        <v>1552374755380470</v>
      </c>
      <c r="C647" t="s">
        <v>40</v>
      </c>
      <c r="D647">
        <v>3.7258369999999998</v>
      </c>
      <c r="E647">
        <v>0.47547970000000001</v>
      </c>
      <c r="F647" t="s">
        <v>43</v>
      </c>
      <c r="G647">
        <v>-291.01889999999997</v>
      </c>
      <c r="H647">
        <v>-0.05</v>
      </c>
      <c r="I647">
        <v>366.7611</v>
      </c>
      <c r="J647">
        <v>-311.48379999999997</v>
      </c>
      <c r="K647">
        <v>1.062074</v>
      </c>
      <c r="L647">
        <v>366.72669999999999</v>
      </c>
      <c r="M647">
        <v>0.99976410000000004</v>
      </c>
      <c r="N647">
        <v>0</v>
      </c>
      <c r="O647">
        <v>1.387263E-2</v>
      </c>
      <c r="P647">
        <v>0.99611490000000003</v>
      </c>
      <c r="Q647">
        <v>6.2994629999999996E-2</v>
      </c>
      <c r="R647">
        <v>-6.1536050000000002E-2</v>
      </c>
      <c r="S647">
        <v>3.0221559999999998</v>
      </c>
      <c r="T647">
        <v>-0.1620682</v>
      </c>
      <c r="U647">
        <v>5.5847170000000003E-3</v>
      </c>
      <c r="V647">
        <v>7.5341489999999997E-2</v>
      </c>
      <c r="W647">
        <v>7.9630679999999995E-2</v>
      </c>
      <c r="X647">
        <v>0.99397310000000005</v>
      </c>
      <c r="Y647">
        <v>1.1989629999999999E-2</v>
      </c>
      <c r="Z647">
        <v>-1.0647429999999999E-3</v>
      </c>
      <c r="AA647">
        <v>0.99992760000000003</v>
      </c>
      <c r="AB647">
        <v>27</v>
      </c>
      <c r="AC647">
        <v>20.4649</v>
      </c>
      <c r="AD647">
        <v>-1.112074</v>
      </c>
      <c r="AE647">
        <v>3.4400000000005003E-2</v>
      </c>
      <c r="AF647">
        <v>0.24881024270299201</v>
      </c>
      <c r="AG647">
        <v>-1.112074</v>
      </c>
      <c r="AH647">
        <v>20.403159173971499</v>
      </c>
      <c r="AI647">
        <v>93.119587432948293</v>
      </c>
      <c r="AJ647">
        <v>89.301330245639505</v>
      </c>
      <c r="AK647">
        <v>20.434958267556301</v>
      </c>
      <c r="AL647">
        <v>85.432662258039997</v>
      </c>
      <c r="AM647">
        <v>85.665364935725805</v>
      </c>
      <c r="AN647">
        <v>0.99999995441814504</v>
      </c>
    </row>
    <row r="648" spans="1:40" x14ac:dyDescent="0.25">
      <c r="A648" t="str">
        <f>"20190312151235409"</f>
        <v>20190312151235409</v>
      </c>
      <c r="B648" t="str">
        <f>"1552374755399987"</f>
        <v>1552374755399987</v>
      </c>
      <c r="C648" t="s">
        <v>40</v>
      </c>
      <c r="D648">
        <v>3.7565580000000001</v>
      </c>
      <c r="E648">
        <v>0.47532400000000002</v>
      </c>
      <c r="F648" t="s">
        <v>43</v>
      </c>
      <c r="G648">
        <v>-290.74369999999999</v>
      </c>
      <c r="H648">
        <v>-0.05</v>
      </c>
      <c r="I648">
        <v>366.78190000000001</v>
      </c>
      <c r="J648">
        <v>-311.2269</v>
      </c>
      <c r="K648">
        <v>1.061831</v>
      </c>
      <c r="L648">
        <v>366.7303</v>
      </c>
      <c r="M648">
        <v>0.99976620000000005</v>
      </c>
      <c r="N648">
        <v>0</v>
      </c>
      <c r="O648">
        <v>1.395332E-2</v>
      </c>
      <c r="P648">
        <v>0.99609389999999998</v>
      </c>
      <c r="Q648">
        <v>6.3545080000000004E-2</v>
      </c>
      <c r="R648">
        <v>-6.130948E-2</v>
      </c>
      <c r="S648">
        <v>3.0224609999999998</v>
      </c>
      <c r="T648">
        <v>-0.16206309999999999</v>
      </c>
      <c r="U648">
        <v>8.0566409999999998E-3</v>
      </c>
      <c r="V648">
        <v>7.5194750000000005E-2</v>
      </c>
      <c r="W648">
        <v>7.9981930000000007E-2</v>
      </c>
      <c r="X648">
        <v>0.99395599999999995</v>
      </c>
      <c r="Y648">
        <v>1.1253640000000001E-2</v>
      </c>
      <c r="Z648">
        <v>-1.049204E-3</v>
      </c>
      <c r="AA648">
        <v>0.99993609999999999</v>
      </c>
      <c r="AB648">
        <v>27</v>
      </c>
      <c r="AC648">
        <v>20.4832</v>
      </c>
      <c r="AD648">
        <v>-1.111831</v>
      </c>
      <c r="AE648">
        <v>5.1600000000007598E-2</v>
      </c>
      <c r="AF648">
        <v>0.233564513775499</v>
      </c>
      <c r="AG648">
        <v>-1.111831</v>
      </c>
      <c r="AH648">
        <v>20.421756528995299</v>
      </c>
      <c r="AI648">
        <v>93.116100277044495</v>
      </c>
      <c r="AJ648">
        <v>89.344734258436901</v>
      </c>
      <c r="AK648">
        <v>20.453333720550798</v>
      </c>
      <c r="AL648">
        <v>85.412472673226901</v>
      </c>
      <c r="AM648">
        <v>85.673701125042896</v>
      </c>
      <c r="AN648">
        <v>0.99999994474504195</v>
      </c>
    </row>
    <row r="649" spans="1:40" x14ac:dyDescent="0.25">
      <c r="A649" t="str">
        <f>"20190312151235433"</f>
        <v>20190312151235433</v>
      </c>
      <c r="B649" t="str">
        <f>"1552374755430243"</f>
        <v>1552374755430243</v>
      </c>
      <c r="C649" t="s">
        <v>40</v>
      </c>
      <c r="D649">
        <v>3.780405</v>
      </c>
      <c r="E649">
        <v>0.47506280000000001</v>
      </c>
      <c r="F649" t="s">
        <v>43</v>
      </c>
      <c r="G649">
        <v>-290.41329999999999</v>
      </c>
      <c r="H649">
        <v>-0.05</v>
      </c>
      <c r="I649">
        <v>366.80090000000001</v>
      </c>
      <c r="J649">
        <v>-310.94670000000002</v>
      </c>
      <c r="K649">
        <v>1.0616049999999999</v>
      </c>
      <c r="L649">
        <v>366.73430000000002</v>
      </c>
      <c r="M649">
        <v>0.9997682</v>
      </c>
      <c r="N649">
        <v>0</v>
      </c>
      <c r="O649">
        <v>1.404097E-2</v>
      </c>
      <c r="P649">
        <v>0.99608529999999995</v>
      </c>
      <c r="Q649">
        <v>6.3762929999999995E-2</v>
      </c>
      <c r="R649">
        <v>-6.122524E-2</v>
      </c>
      <c r="S649">
        <v>3.0227050000000002</v>
      </c>
      <c r="T649">
        <v>-0.1614681</v>
      </c>
      <c r="U649">
        <v>1.025391E-2</v>
      </c>
      <c r="V649">
        <v>7.5197780000000006E-2</v>
      </c>
      <c r="W649">
        <v>8.0006659999999993E-2</v>
      </c>
      <c r="X649">
        <v>0.9939538</v>
      </c>
      <c r="Y649">
        <v>1.0615660000000001E-2</v>
      </c>
      <c r="Z649">
        <v>-1.0329200000000001E-3</v>
      </c>
      <c r="AA649">
        <v>0.99994309999999997</v>
      </c>
      <c r="AB649">
        <v>27</v>
      </c>
      <c r="AC649">
        <v>20.5334</v>
      </c>
      <c r="AD649">
        <v>-1.111605</v>
      </c>
      <c r="AE649">
        <v>6.6599999999993997E-2</v>
      </c>
      <c r="AF649">
        <v>0.22110583076635901</v>
      </c>
      <c r="AG649">
        <v>-1.111605</v>
      </c>
      <c r="AH649">
        <v>20.472311883625999</v>
      </c>
      <c r="AI649">
        <v>93.107811685595394</v>
      </c>
      <c r="AJ649">
        <v>89.381216031444396</v>
      </c>
      <c r="AK649">
        <v>20.503660827395599</v>
      </c>
      <c r="AL649">
        <v>85.411051282363303</v>
      </c>
      <c r="AM649">
        <v>85.673517917376302</v>
      </c>
      <c r="AN649">
        <v>0.99999996414786096</v>
      </c>
    </row>
    <row r="650" spans="1:40" x14ac:dyDescent="0.25">
      <c r="A650" t="str">
        <f>"20190312151235455"</f>
        <v>20190312151235455</v>
      </c>
      <c r="B650" t="str">
        <f>"1552374755450740"</f>
        <v>1552374755450740</v>
      </c>
      <c r="C650" t="s">
        <v>40</v>
      </c>
      <c r="D650">
        <v>3.7824949999999999</v>
      </c>
      <c r="E650">
        <v>0.47496050000000001</v>
      </c>
      <c r="F650" t="s">
        <v>43</v>
      </c>
      <c r="G650">
        <v>-290.6755</v>
      </c>
      <c r="H650">
        <v>-0.05</v>
      </c>
      <c r="I650">
        <v>366.81779999999998</v>
      </c>
      <c r="J650">
        <v>-310.68729999999999</v>
      </c>
      <c r="K650">
        <v>1.061431</v>
      </c>
      <c r="L650">
        <v>366.73809999999997</v>
      </c>
      <c r="M650">
        <v>0.99976969999999998</v>
      </c>
      <c r="N650">
        <v>0</v>
      </c>
      <c r="O650">
        <v>1.412242E-2</v>
      </c>
      <c r="P650">
        <v>0.99610589999999999</v>
      </c>
      <c r="Q650">
        <v>6.3544009999999998E-2</v>
      </c>
      <c r="R650">
        <v>-6.111962E-2</v>
      </c>
      <c r="S650">
        <v>3.0231629999999998</v>
      </c>
      <c r="T650">
        <v>-0.16578010000000001</v>
      </c>
      <c r="U650">
        <v>1.2451169999999999E-2</v>
      </c>
      <c r="V650">
        <v>7.5173589999999998E-2</v>
      </c>
      <c r="W650">
        <v>7.9631160000000006E-2</v>
      </c>
      <c r="X650">
        <v>0.99398580000000003</v>
      </c>
      <c r="Y650">
        <v>9.9698040000000005E-3</v>
      </c>
      <c r="Z650">
        <v>-1.0470659999999999E-3</v>
      </c>
      <c r="AA650">
        <v>0.9999498</v>
      </c>
      <c r="AB650">
        <v>27</v>
      </c>
      <c r="AC650">
        <v>20.011799999999901</v>
      </c>
      <c r="AD650">
        <v>-1.1114310000000001</v>
      </c>
      <c r="AE650">
        <v>7.9700000000002505E-2</v>
      </c>
      <c r="AF650">
        <v>0.20233579179237199</v>
      </c>
      <c r="AG650">
        <v>-1.1114310000000001</v>
      </c>
      <c r="AH650">
        <v>19.9493954212186</v>
      </c>
      <c r="AI650">
        <v>93.188631844811994</v>
      </c>
      <c r="AJ650">
        <v>89.418900213618599</v>
      </c>
      <c r="AK650">
        <v>19.981356218048301</v>
      </c>
      <c r="AL650">
        <v>85.432634787550796</v>
      </c>
      <c r="AM650">
        <v>85.675043112078001</v>
      </c>
      <c r="AN650">
        <v>0.99999998043903604</v>
      </c>
    </row>
    <row r="651" spans="1:40" x14ac:dyDescent="0.25">
      <c r="A651" t="str">
        <f>"20190312151235477"</f>
        <v>20190312151235477</v>
      </c>
      <c r="B651" t="str">
        <f>"1552374755470102"</f>
        <v>1552374755470102</v>
      </c>
      <c r="C651" t="s">
        <v>40</v>
      </c>
      <c r="D651">
        <v>3.796249</v>
      </c>
      <c r="E651">
        <v>0.47510380000000002</v>
      </c>
      <c r="F651" t="s">
        <v>43</v>
      </c>
      <c r="G651">
        <v>-290.9341</v>
      </c>
      <c r="H651">
        <v>-0.05</v>
      </c>
      <c r="I651">
        <v>366.82420000000002</v>
      </c>
      <c r="J651">
        <v>-310.41969999999998</v>
      </c>
      <c r="K651">
        <v>1.0612820000000001</v>
      </c>
      <c r="L651">
        <v>366.74189999999999</v>
      </c>
      <c r="M651">
        <v>0.99977079999999996</v>
      </c>
      <c r="N651">
        <v>0</v>
      </c>
      <c r="O651">
        <v>1.42059E-2</v>
      </c>
      <c r="P651">
        <v>0.99609820000000004</v>
      </c>
      <c r="Q651">
        <v>6.3698920000000006E-2</v>
      </c>
      <c r="R651">
        <v>-6.1082690000000002E-2</v>
      </c>
      <c r="S651">
        <v>3.0233759999999998</v>
      </c>
      <c r="T651">
        <v>-0.1701124</v>
      </c>
      <c r="U651">
        <v>1.318359E-2</v>
      </c>
      <c r="V651">
        <v>7.5219800000000003E-2</v>
      </c>
      <c r="W651">
        <v>7.9641139999999999E-2</v>
      </c>
      <c r="X651">
        <v>0.99398149999999996</v>
      </c>
      <c r="Y651">
        <v>9.8095309999999998E-3</v>
      </c>
      <c r="Z651">
        <v>-1.0744960000000001E-3</v>
      </c>
      <c r="AA651">
        <v>0.99995129999999999</v>
      </c>
      <c r="AB651">
        <v>27</v>
      </c>
      <c r="AC651">
        <v>19.485599999999899</v>
      </c>
      <c r="AD651">
        <v>-1.1112819999999899</v>
      </c>
      <c r="AE651">
        <v>8.2300000000032E-2</v>
      </c>
      <c r="AF651">
        <v>0.19392357473711699</v>
      </c>
      <c r="AG651">
        <v>-1.1112819999999899</v>
      </c>
      <c r="AH651">
        <v>19.421634245739199</v>
      </c>
      <c r="AI651">
        <v>93.274660286732697</v>
      </c>
      <c r="AJ651">
        <v>89.427924910383496</v>
      </c>
      <c r="AK651">
        <v>19.4543679108737</v>
      </c>
      <c r="AL651">
        <v>85.432061133099793</v>
      </c>
      <c r="AM651">
        <v>85.672375961913701</v>
      </c>
      <c r="AN651">
        <v>0.99999997591739398</v>
      </c>
    </row>
    <row r="652" spans="1:40" x14ac:dyDescent="0.25">
      <c r="A652" t="str">
        <f>"20190312151235499"</f>
        <v>20190312151235499</v>
      </c>
      <c r="B652" t="str">
        <f>"1552374755490601"</f>
        <v>1552374755490601</v>
      </c>
      <c r="C652" t="s">
        <v>40</v>
      </c>
      <c r="D652">
        <v>3.8193269999999999</v>
      </c>
      <c r="E652">
        <v>0.4752711</v>
      </c>
      <c r="F652" t="s">
        <v>43</v>
      </c>
      <c r="G652">
        <v>-290.90519999999998</v>
      </c>
      <c r="H652">
        <v>-0.05</v>
      </c>
      <c r="I652">
        <v>366.82190000000003</v>
      </c>
      <c r="J652">
        <v>-310.15980000000002</v>
      </c>
      <c r="K652">
        <v>1.061156</v>
      </c>
      <c r="L652">
        <v>366.7457</v>
      </c>
      <c r="M652">
        <v>0.99977159999999998</v>
      </c>
      <c r="N652">
        <v>0</v>
      </c>
      <c r="O652">
        <v>1.4287060000000001E-2</v>
      </c>
      <c r="P652">
        <v>0.99609130000000001</v>
      </c>
      <c r="Q652">
        <v>6.3498570000000004E-2</v>
      </c>
      <c r="R652">
        <v>-6.1401490000000003E-2</v>
      </c>
      <c r="S652">
        <v>3.0235599999999998</v>
      </c>
      <c r="T652">
        <v>-0.17218039999999901</v>
      </c>
      <c r="U652">
        <v>1.2390139999999999E-2</v>
      </c>
      <c r="V652">
        <v>7.5619439999999996E-2</v>
      </c>
      <c r="W652">
        <v>7.9316020000000001E-2</v>
      </c>
      <c r="X652">
        <v>0.99397720000000001</v>
      </c>
      <c r="Y652">
        <v>1.0151739999999999E-2</v>
      </c>
      <c r="Z652">
        <v>-1.1018250000000001E-3</v>
      </c>
      <c r="AA652">
        <v>0.99994780000000005</v>
      </c>
      <c r="AB652">
        <v>27</v>
      </c>
      <c r="AC652">
        <v>19.2546</v>
      </c>
      <c r="AD652">
        <v>-1.111156</v>
      </c>
      <c r="AE652">
        <v>7.6200000000028398E-2</v>
      </c>
      <c r="AF652">
        <v>0.19827386166603</v>
      </c>
      <c r="AG652">
        <v>-1.111156</v>
      </c>
      <c r="AH652">
        <v>19.1898165807055</v>
      </c>
      <c r="AI652">
        <v>93.313744737578702</v>
      </c>
      <c r="AJ652">
        <v>89.408027107311497</v>
      </c>
      <c r="AK652">
        <v>19.2229820938812</v>
      </c>
      <c r="AL652">
        <v>85.450748373644302</v>
      </c>
      <c r="AM652">
        <v>85.649452750181098</v>
      </c>
      <c r="AN652">
        <v>1.00000000242719</v>
      </c>
    </row>
    <row r="653" spans="1:40" x14ac:dyDescent="0.25">
      <c r="A653" t="str">
        <f>"20190312151235521"</f>
        <v>20190312151235521</v>
      </c>
      <c r="B653" t="str">
        <f>"1552374755510118"</f>
        <v>1552374755510118</v>
      </c>
      <c r="C653" t="s">
        <v>40</v>
      </c>
      <c r="D653">
        <v>3.8981150000000002</v>
      </c>
      <c r="E653">
        <v>0.47548420000000002</v>
      </c>
      <c r="F653" t="s">
        <v>43</v>
      </c>
      <c r="G653">
        <v>-291.17230000000001</v>
      </c>
      <c r="H653">
        <v>-0.05</v>
      </c>
      <c r="I653">
        <v>366.80860000000001</v>
      </c>
      <c r="J653">
        <v>-309.9008</v>
      </c>
      <c r="K653">
        <v>1.0610520000000001</v>
      </c>
      <c r="L653">
        <v>366.74950000000001</v>
      </c>
      <c r="M653">
        <v>0.99977229999999995</v>
      </c>
      <c r="N653">
        <v>0</v>
      </c>
      <c r="O653">
        <v>1.436641E-2</v>
      </c>
      <c r="P653">
        <v>0.99608850000000004</v>
      </c>
      <c r="Q653">
        <v>6.3390279999999993E-2</v>
      </c>
      <c r="R653">
        <v>-6.1561850000000001E-2</v>
      </c>
      <c r="S653">
        <v>3.023682</v>
      </c>
      <c r="T653">
        <v>-0.17694749999999901</v>
      </c>
      <c r="U653">
        <v>1.0009769999999999E-2</v>
      </c>
      <c r="V653">
        <v>7.5858579999999995E-2</v>
      </c>
      <c r="W653">
        <v>7.9097379999999995E-2</v>
      </c>
      <c r="X653">
        <v>0.99397639999999998</v>
      </c>
      <c r="Y653">
        <v>1.1014599999999999E-2</v>
      </c>
      <c r="Z653">
        <v>-1.162101E-3</v>
      </c>
      <c r="AA653">
        <v>0.99993869999999896</v>
      </c>
      <c r="AB653">
        <v>27</v>
      </c>
      <c r="AC653">
        <v>18.7285</v>
      </c>
      <c r="AD653">
        <v>-1.1110519999999999</v>
      </c>
      <c r="AE653">
        <v>5.9100000000000798E-2</v>
      </c>
      <c r="AF653">
        <v>0.20926444068955399</v>
      </c>
      <c r="AG653">
        <v>-1.1110519999999999</v>
      </c>
      <c r="AH653">
        <v>18.661739270337399</v>
      </c>
      <c r="AI653">
        <v>93.406946531165701</v>
      </c>
      <c r="AJ653">
        <v>89.357537549792298</v>
      </c>
      <c r="AK653">
        <v>18.695955197499099</v>
      </c>
      <c r="AL653">
        <v>85.463315001321604</v>
      </c>
      <c r="AM653">
        <v>85.635744089723602</v>
      </c>
      <c r="AN653">
        <v>1.0000000017197199</v>
      </c>
    </row>
    <row r="654" spans="1:40" x14ac:dyDescent="0.25">
      <c r="A654" t="str">
        <f>"20190312151235633"</f>
        <v>20190312151235633</v>
      </c>
      <c r="B654" t="str">
        <f>"1552374755630464"</f>
        <v>1552374755630464</v>
      </c>
      <c r="C654" t="s">
        <v>40</v>
      </c>
      <c r="D654">
        <v>3.8740839999999999</v>
      </c>
      <c r="E654">
        <v>0.49797940000000002</v>
      </c>
      <c r="F654" t="s">
        <v>43</v>
      </c>
      <c r="G654">
        <v>-290.89150000000001</v>
      </c>
      <c r="H654">
        <v>-0.05</v>
      </c>
      <c r="I654">
        <v>366.79809999999998</v>
      </c>
      <c r="J654">
        <v>-308.59190000000001</v>
      </c>
      <c r="K654">
        <v>1.0607260000000001</v>
      </c>
      <c r="L654">
        <v>366.76889999999997</v>
      </c>
      <c r="M654">
        <v>0.99977369999999999</v>
      </c>
      <c r="N654">
        <v>0</v>
      </c>
      <c r="O654">
        <v>1.468853E-2</v>
      </c>
      <c r="P654">
        <v>0.99602880000000005</v>
      </c>
      <c r="Q654">
        <v>6.3723150000000006E-2</v>
      </c>
      <c r="R654">
        <v>-6.2179129999999999E-2</v>
      </c>
      <c r="S654">
        <v>3.0234990000000002</v>
      </c>
      <c r="T654">
        <v>-0.17671700000000001</v>
      </c>
      <c r="U654">
        <v>7.7209469999999997E-3</v>
      </c>
      <c r="V654">
        <v>7.6800380000000001E-2</v>
      </c>
      <c r="W654">
        <v>7.9030810000000007E-2</v>
      </c>
      <c r="X654">
        <v>0.99390940000000005</v>
      </c>
      <c r="Y654">
        <v>1.209116E-2</v>
      </c>
      <c r="Z654">
        <v>-1.2109039999999901E-3</v>
      </c>
      <c r="AA654">
        <v>0.99992610000000004</v>
      </c>
      <c r="AB654">
        <v>26</v>
      </c>
      <c r="AC654">
        <v>17.700399999999998</v>
      </c>
      <c r="AD654">
        <v>-1.1107260000000001</v>
      </c>
      <c r="AE654">
        <v>2.9200000000002901E-2</v>
      </c>
      <c r="AF654">
        <v>0.22992142566420601</v>
      </c>
      <c r="AG654">
        <v>-1.1107260000000001</v>
      </c>
      <c r="AH654">
        <v>17.629498642825801</v>
      </c>
      <c r="AI654">
        <v>93.604782940437403</v>
      </c>
      <c r="AJ654">
        <v>89.252798916300193</v>
      </c>
      <c r="AK654">
        <v>17.6659502576695</v>
      </c>
      <c r="AL654">
        <v>85.467141293616294</v>
      </c>
      <c r="AM654">
        <v>85.5814775240828</v>
      </c>
      <c r="AN654">
        <v>1.0000000313528701</v>
      </c>
    </row>
    <row r="655" spans="1:40" x14ac:dyDescent="0.25">
      <c r="A655" t="str">
        <f>"20190312151235656"</f>
        <v>20190312151235656</v>
      </c>
      <c r="B655" t="str">
        <f>"1552374755649984"</f>
        <v>1552374755649984</v>
      </c>
      <c r="C655" t="s">
        <v>40</v>
      </c>
      <c r="D655">
        <v>4.2053260000000003</v>
      </c>
      <c r="E655">
        <v>0.52721689999999999</v>
      </c>
      <c r="F655" t="s">
        <v>50</v>
      </c>
      <c r="G655">
        <v>-158.19499999999999</v>
      </c>
      <c r="H655">
        <v>3.2518039999999999</v>
      </c>
      <c r="I655">
        <v>358.15870000000001</v>
      </c>
      <c r="J655">
        <v>-308.3202</v>
      </c>
      <c r="K655">
        <v>1.0606819999999999</v>
      </c>
      <c r="L655">
        <v>366.77289999999999</v>
      </c>
      <c r="M655">
        <v>0.99977400000000005</v>
      </c>
      <c r="N655">
        <v>0</v>
      </c>
      <c r="O655">
        <v>1.4726960000000001E-2</v>
      </c>
      <c r="P655">
        <v>0.99597869999999999</v>
      </c>
      <c r="Q655">
        <v>6.4177869999999998E-2</v>
      </c>
      <c r="R655">
        <v>-6.2510629999999998E-2</v>
      </c>
      <c r="S655">
        <v>2.9984440000000001</v>
      </c>
      <c r="T655">
        <v>4.3684960000000002E-2</v>
      </c>
      <c r="U655">
        <v>-0.17166139999999999</v>
      </c>
      <c r="V655">
        <v>7.7170939999999993E-2</v>
      </c>
      <c r="W655">
        <v>7.9427239999999996E-2</v>
      </c>
      <c r="X655">
        <v>0.99384899999999998</v>
      </c>
      <c r="Y655">
        <v>7.1845839999999994E-2</v>
      </c>
      <c r="Z655">
        <v>7.3732799999999999E-4</v>
      </c>
      <c r="AA655">
        <v>0.99741550000000001</v>
      </c>
      <c r="AB655">
        <v>26</v>
      </c>
      <c r="AC655">
        <v>150.12520000000001</v>
      </c>
      <c r="AD655">
        <v>2.191122</v>
      </c>
      <c r="AE655">
        <v>-8.6141999999999808</v>
      </c>
      <c r="AF655">
        <v>10.822115513389701</v>
      </c>
      <c r="AG655">
        <v>2.191122</v>
      </c>
      <c r="AH655">
        <v>149.950201595393</v>
      </c>
      <c r="AI655">
        <v>89.165006164939896</v>
      </c>
      <c r="AJ655">
        <v>85.872040743490203</v>
      </c>
      <c r="AK655">
        <v>150.35618430348299</v>
      </c>
      <c r="AL655">
        <v>85.444355473129093</v>
      </c>
      <c r="AM655">
        <v>85.559974551040895</v>
      </c>
      <c r="AN655">
        <v>0.99999993761774797</v>
      </c>
    </row>
    <row r="656" spans="1:40" x14ac:dyDescent="0.25">
      <c r="A656" t="str">
        <f>"20190312151235677"</f>
        <v>20190312151235677</v>
      </c>
      <c r="B656" t="str">
        <f>"1552374755670012"</f>
        <v>1552374755670012</v>
      </c>
      <c r="C656" t="s">
        <v>40</v>
      </c>
      <c r="D656">
        <v>4.148517</v>
      </c>
      <c r="E656">
        <v>0.53111929999999996</v>
      </c>
      <c r="F656" t="s">
        <v>44</v>
      </c>
      <c r="G656">
        <v>0</v>
      </c>
      <c r="H656">
        <v>0</v>
      </c>
      <c r="I656">
        <v>0</v>
      </c>
      <c r="J656">
        <v>-308.06880000000001</v>
      </c>
      <c r="K656">
        <v>1.060648</v>
      </c>
      <c r="L656">
        <v>366.77670000000001</v>
      </c>
      <c r="M656">
        <v>0.99977450000000001</v>
      </c>
      <c r="N656">
        <v>0</v>
      </c>
      <c r="O656">
        <v>1.4750279999999999E-2</v>
      </c>
      <c r="P656">
        <v>0.99597420000000003</v>
      </c>
      <c r="Q656">
        <v>6.4089629999999995E-2</v>
      </c>
      <c r="R656">
        <v>-6.267375E-2</v>
      </c>
      <c r="S656">
        <v>2.9801030000000002</v>
      </c>
      <c r="T656">
        <v>0.102735199999999</v>
      </c>
      <c r="U656">
        <v>-0.40460210000000002</v>
      </c>
      <c r="V656">
        <v>7.7358949999999996E-2</v>
      </c>
      <c r="W656">
        <v>7.9290819999999998E-2</v>
      </c>
      <c r="X656">
        <v>0.99384530000000004</v>
      </c>
      <c r="Y656">
        <v>0.14904120000000001</v>
      </c>
      <c r="Z656">
        <v>3.0627200000000001E-3</v>
      </c>
      <c r="AA656">
        <v>0.98882619999999999</v>
      </c>
      <c r="AB656">
        <v>26</v>
      </c>
      <c r="AC656">
        <v>2.9801030000000002</v>
      </c>
      <c r="AD656">
        <v>0.102735199999999</v>
      </c>
      <c r="AE656">
        <v>-0.40460210000000002</v>
      </c>
      <c r="AF656">
        <v>0.447997775903065</v>
      </c>
      <c r="AG656">
        <v>0.102735199999999</v>
      </c>
      <c r="AH656">
        <v>2.9703438507576001</v>
      </c>
      <c r="AI656">
        <v>88.041237984967594</v>
      </c>
      <c r="AJ656">
        <v>81.423092892244199</v>
      </c>
      <c r="AK656">
        <v>3.00569444891969</v>
      </c>
      <c r="AL656">
        <v>85.452196599353499</v>
      </c>
      <c r="AM656">
        <v>85.549184314844794</v>
      </c>
      <c r="AN656">
        <v>0.99999996080673104</v>
      </c>
    </row>
    <row r="657" spans="1:40" x14ac:dyDescent="0.25">
      <c r="A657" t="str">
        <f>"20190312151235700"</f>
        <v>20190312151235700</v>
      </c>
      <c r="B657" t="str">
        <f>"1552374755690510"</f>
        <v>1552374755690510</v>
      </c>
      <c r="C657" t="s">
        <v>40</v>
      </c>
      <c r="D657">
        <v>3.8986489999999998</v>
      </c>
      <c r="E657">
        <v>0.53033379999999997</v>
      </c>
      <c r="F657" t="s">
        <v>45</v>
      </c>
      <c r="G657">
        <v>-143.2285</v>
      </c>
      <c r="H657">
        <v>3.5957400000000002</v>
      </c>
      <c r="I657">
        <v>342.64400000000001</v>
      </c>
      <c r="J657">
        <v>-307.80689999999998</v>
      </c>
      <c r="K657">
        <v>1.060619</v>
      </c>
      <c r="L657">
        <v>366.78050000000002</v>
      </c>
      <c r="M657">
        <v>0.99977490000000002</v>
      </c>
      <c r="N657">
        <v>0</v>
      </c>
      <c r="O657">
        <v>1.476416E-2</v>
      </c>
      <c r="P657">
        <v>0.99593319999999996</v>
      </c>
      <c r="Q657">
        <v>6.4210660000000003E-2</v>
      </c>
      <c r="R657">
        <v>-6.3199430000000001E-2</v>
      </c>
      <c r="S657">
        <v>2.9817200000000001</v>
      </c>
      <c r="T657">
        <v>4.585624E-2</v>
      </c>
      <c r="U657">
        <v>-0.43652340000000001</v>
      </c>
      <c r="V657">
        <v>7.7899389999999999E-2</v>
      </c>
      <c r="W657">
        <v>7.9365930000000001E-2</v>
      </c>
      <c r="X657">
        <v>0.99379709999999999</v>
      </c>
      <c r="Y657">
        <v>0.15942999999999999</v>
      </c>
      <c r="Z657">
        <v>1.4452999999999901E-3</v>
      </c>
      <c r="AA657">
        <v>0.98720819999999998</v>
      </c>
      <c r="AB657">
        <v>26</v>
      </c>
      <c r="AC657">
        <v>164.57839999999999</v>
      </c>
      <c r="AD657">
        <v>2.53512099999999</v>
      </c>
      <c r="AE657">
        <v>-24.136500000000002</v>
      </c>
      <c r="AF657">
        <v>26.557843723476999</v>
      </c>
      <c r="AG657">
        <v>2.53512099999999</v>
      </c>
      <c r="AH657">
        <v>164.16592860783101</v>
      </c>
      <c r="AI657">
        <v>89.126636976992401</v>
      </c>
      <c r="AJ657">
        <v>80.810622953696495</v>
      </c>
      <c r="AK657">
        <v>166.31956594879901</v>
      </c>
      <c r="AL657">
        <v>85.4478795540238</v>
      </c>
      <c r="AM657">
        <v>85.518000078950493</v>
      </c>
      <c r="AN657">
        <v>0.99999997088777304</v>
      </c>
    </row>
    <row r="658" spans="1:40" x14ac:dyDescent="0.25">
      <c r="A658" t="str">
        <f>"20190312151235722"</f>
        <v>20190312151235722</v>
      </c>
      <c r="B658" t="str">
        <f>"1552374755710027"</f>
        <v>1552374755710027</v>
      </c>
      <c r="C658" t="s">
        <v>40</v>
      </c>
      <c r="D658">
        <v>3.8902830000000002</v>
      </c>
      <c r="E658">
        <v>0.5289758</v>
      </c>
      <c r="F658" t="s">
        <v>45</v>
      </c>
      <c r="G658">
        <v>-141.28829999999999</v>
      </c>
      <c r="H658">
        <v>3.3540619999999999</v>
      </c>
      <c r="I658">
        <v>342.64400000000001</v>
      </c>
      <c r="J658">
        <v>-307.55200000000002</v>
      </c>
      <c r="K658">
        <v>1.0605899999999999</v>
      </c>
      <c r="L658">
        <v>366.78429999999997</v>
      </c>
      <c r="M658">
        <v>0.99977550000000004</v>
      </c>
      <c r="N658">
        <v>0</v>
      </c>
      <c r="O658">
        <v>1.477087E-2</v>
      </c>
      <c r="P658">
        <v>0.99591410000000002</v>
      </c>
      <c r="Q658">
        <v>6.4634800000000006E-2</v>
      </c>
      <c r="R658">
        <v>-6.3069819999999999E-2</v>
      </c>
      <c r="S658">
        <v>2.9821170000000001</v>
      </c>
      <c r="T658">
        <v>4.1072490000000003E-2</v>
      </c>
      <c r="U658">
        <v>-0.432251</v>
      </c>
      <c r="V658">
        <v>7.7777559999999996E-2</v>
      </c>
      <c r="W658">
        <v>7.9750929999999998E-2</v>
      </c>
      <c r="X658">
        <v>0.99377579999999999</v>
      </c>
      <c r="Y658">
        <v>0.1580367</v>
      </c>
      <c r="Z658">
        <v>1.28505E-3</v>
      </c>
      <c r="AA658">
        <v>0.98743239999999999</v>
      </c>
      <c r="AB658">
        <v>26</v>
      </c>
      <c r="AC658">
        <v>166.2637</v>
      </c>
      <c r="AD658">
        <v>2.293472</v>
      </c>
      <c r="AE658">
        <v>-24.1402999999999</v>
      </c>
      <c r="AF658">
        <v>26.588853857427001</v>
      </c>
      <c r="AG658">
        <v>2.293472</v>
      </c>
      <c r="AH658">
        <v>165.858035031756</v>
      </c>
      <c r="AI658">
        <v>89.217755563675993</v>
      </c>
      <c r="AJ658">
        <v>80.892354294171597</v>
      </c>
      <c r="AK658">
        <v>167.991413315865</v>
      </c>
      <c r="AL658">
        <v>85.425750438684105</v>
      </c>
      <c r="AM658">
        <v>85.524885640244193</v>
      </c>
      <c r="AN658">
        <v>0.99999995017052801</v>
      </c>
    </row>
    <row r="659" spans="1:40" x14ac:dyDescent="0.25">
      <c r="A659" t="str">
        <f>"20190312151235746"</f>
        <v>20190312151235746</v>
      </c>
      <c r="B659" t="str">
        <f>"1552374755740284"</f>
        <v>1552374755740284</v>
      </c>
      <c r="C659" t="s">
        <v>40</v>
      </c>
      <c r="D659">
        <v>3.9068890000000001</v>
      </c>
      <c r="E659">
        <v>0.52762619999999905</v>
      </c>
      <c r="F659" t="s">
        <v>44</v>
      </c>
      <c r="G659">
        <v>0</v>
      </c>
      <c r="H659">
        <v>0</v>
      </c>
      <c r="I659">
        <v>0</v>
      </c>
      <c r="J659">
        <v>-307.28280000000001</v>
      </c>
      <c r="K659">
        <v>1.0605690000000001</v>
      </c>
      <c r="L659">
        <v>366.78829999999999</v>
      </c>
      <c r="M659">
        <v>0.99977590000000005</v>
      </c>
      <c r="N659">
        <v>0</v>
      </c>
      <c r="O659">
        <v>1.4771889999999999E-2</v>
      </c>
      <c r="P659">
        <v>0.99589559999999999</v>
      </c>
      <c r="Q659">
        <v>6.4433980000000002E-2</v>
      </c>
      <c r="R659">
        <v>-6.356871E-2</v>
      </c>
      <c r="S659">
        <v>2.9834290000000001</v>
      </c>
      <c r="T659">
        <v>3.3575649999999999E-2</v>
      </c>
      <c r="U659">
        <v>-0.42105100000000001</v>
      </c>
      <c r="V659">
        <v>7.8277769999999997E-2</v>
      </c>
      <c r="W659">
        <v>7.9513760000000003E-2</v>
      </c>
      <c r="X659">
        <v>0.99375559999999996</v>
      </c>
      <c r="Y659">
        <v>0.15434800000000001</v>
      </c>
      <c r="Z659">
        <v>1.0296870000000001E-3</v>
      </c>
      <c r="AA659">
        <v>0.98801600000000001</v>
      </c>
      <c r="AB659">
        <v>26</v>
      </c>
      <c r="AC659">
        <v>2.9834290000000001</v>
      </c>
      <c r="AD659">
        <v>3.3575649999999999E-2</v>
      </c>
      <c r="AE659">
        <v>-0.42105100000000001</v>
      </c>
      <c r="AF659">
        <v>0.46502325448294501</v>
      </c>
      <c r="AG659">
        <v>3.3575649999999999E-2</v>
      </c>
      <c r="AH659">
        <v>2.9765133439631599</v>
      </c>
      <c r="AI659">
        <v>89.361464938816098</v>
      </c>
      <c r="AJ659">
        <v>81.1204110774312</v>
      </c>
      <c r="AK659">
        <v>3.0128069367740098</v>
      </c>
      <c r="AL659">
        <v>85.439382889723603</v>
      </c>
      <c r="AM659">
        <v>85.496131745838198</v>
      </c>
      <c r="AN659">
        <v>1.00000001991843</v>
      </c>
    </row>
    <row r="660" spans="1:40" x14ac:dyDescent="0.25">
      <c r="A660" t="str">
        <f>"20190312151235769"</f>
        <v>20190312151235769</v>
      </c>
      <c r="B660" t="str">
        <f>"1552374755760311"</f>
        <v>1552374755760311</v>
      </c>
      <c r="C660" t="s">
        <v>40</v>
      </c>
      <c r="D660">
        <v>3.8988119999999999</v>
      </c>
      <c r="E660">
        <v>0.52736369999999999</v>
      </c>
      <c r="F660" t="s">
        <v>44</v>
      </c>
      <c r="G660">
        <v>0</v>
      </c>
      <c r="H660">
        <v>0</v>
      </c>
      <c r="I660">
        <v>0</v>
      </c>
      <c r="J660">
        <v>-307.02229999999997</v>
      </c>
      <c r="K660">
        <v>1.0605469999999999</v>
      </c>
      <c r="L660">
        <v>366.79219999999998</v>
      </c>
      <c r="M660">
        <v>0.99977640000000001</v>
      </c>
      <c r="N660">
        <v>0</v>
      </c>
      <c r="O660">
        <v>1.4768409999999999E-2</v>
      </c>
      <c r="P660">
        <v>0.99586799999999998</v>
      </c>
      <c r="Q660">
        <v>6.4545500000000006E-2</v>
      </c>
      <c r="R660">
        <v>-6.3883999999999996E-2</v>
      </c>
      <c r="S660">
        <v>2.9845890000000002</v>
      </c>
      <c r="T660">
        <v>2.3090240000000001E-2</v>
      </c>
      <c r="U660">
        <v>-0.41186519999999999</v>
      </c>
      <c r="V660">
        <v>7.8589729999999997E-2</v>
      </c>
      <c r="W660">
        <v>7.9593609999999995E-2</v>
      </c>
      <c r="X660">
        <v>0.99372459999999996</v>
      </c>
      <c r="Y660">
        <v>0.15131349999999999</v>
      </c>
      <c r="Z660">
        <v>6.9630279999999896E-4</v>
      </c>
      <c r="AA660">
        <v>0.98848559999999996</v>
      </c>
      <c r="AB660">
        <v>26</v>
      </c>
      <c r="AC660">
        <v>2.9845890000000002</v>
      </c>
      <c r="AD660">
        <v>2.3090240000000001E-2</v>
      </c>
      <c r="AE660">
        <v>-0.41186519999999999</v>
      </c>
      <c r="AF660">
        <v>0.455876179120148</v>
      </c>
      <c r="AG660">
        <v>2.3090240000000001E-2</v>
      </c>
      <c r="AH660">
        <v>2.97800522611595</v>
      </c>
      <c r="AI660">
        <v>89.5608759326159</v>
      </c>
      <c r="AJ660">
        <v>81.296666068722402</v>
      </c>
      <c r="AK660">
        <v>3.0127846548743502</v>
      </c>
      <c r="AL660">
        <v>85.434793342263404</v>
      </c>
      <c r="AM660">
        <v>85.478116317064703</v>
      </c>
      <c r="AN660">
        <v>1.00000003452973</v>
      </c>
    </row>
    <row r="661" spans="1:40" x14ac:dyDescent="0.25">
      <c r="A661" t="str">
        <f>"20190312151235790"</f>
        <v>20190312151235790</v>
      </c>
      <c r="B661" t="str">
        <f>"1552374755780807"</f>
        <v>1552374755780807</v>
      </c>
      <c r="C661" t="s">
        <v>40</v>
      </c>
      <c r="D661">
        <v>3.930685</v>
      </c>
      <c r="E661">
        <v>0.52710459999999904</v>
      </c>
      <c r="F661" t="s">
        <v>44</v>
      </c>
      <c r="G661">
        <v>0</v>
      </c>
      <c r="H661">
        <v>0</v>
      </c>
      <c r="I661">
        <v>0</v>
      </c>
      <c r="J661">
        <v>-306.7672</v>
      </c>
      <c r="K661">
        <v>1.0605389999999999</v>
      </c>
      <c r="L661">
        <v>366.79590000000002</v>
      </c>
      <c r="M661">
        <v>0.99977680000000002</v>
      </c>
      <c r="N661">
        <v>0</v>
      </c>
      <c r="O661">
        <v>1.476307E-2</v>
      </c>
      <c r="P661">
        <v>0.99581969999999997</v>
      </c>
      <c r="Q661">
        <v>6.4359719999999995E-2</v>
      </c>
      <c r="R661">
        <v>-6.4816620000000005E-2</v>
      </c>
      <c r="S661">
        <v>2.984772</v>
      </c>
      <c r="T661">
        <v>1.999474E-2</v>
      </c>
      <c r="U661">
        <v>-0.41079710000000003</v>
      </c>
      <c r="V661">
        <v>7.9516290000000003E-2</v>
      </c>
      <c r="W661">
        <v>7.9380179999999995E-2</v>
      </c>
      <c r="X661">
        <v>0.99366790000000005</v>
      </c>
      <c r="Y661">
        <v>0.15095410000000001</v>
      </c>
      <c r="Z661">
        <v>6.0170180000000001E-4</v>
      </c>
      <c r="AA661">
        <v>0.98854059999999999</v>
      </c>
      <c r="AB661">
        <v>26</v>
      </c>
      <c r="AC661">
        <v>2.984772</v>
      </c>
      <c r="AD661">
        <v>1.999474E-2</v>
      </c>
      <c r="AE661">
        <v>-0.41079710000000003</v>
      </c>
      <c r="AF661">
        <v>0.45480172207493003</v>
      </c>
      <c r="AG661">
        <v>1.999474E-2</v>
      </c>
      <c r="AH661">
        <v>2.9782501601633999</v>
      </c>
      <c r="AI661">
        <v>89.619753531825594</v>
      </c>
      <c r="AJ661">
        <v>81.317569226498506</v>
      </c>
      <c r="AK661">
        <v>3.01284224820074</v>
      </c>
      <c r="AL661">
        <v>85.447060521149396</v>
      </c>
      <c r="AM661">
        <v>85.424769111416595</v>
      </c>
      <c r="AN661">
        <v>0.99999997442130295</v>
      </c>
    </row>
    <row r="662" spans="1:40" x14ac:dyDescent="0.25">
      <c r="A662" t="str">
        <f>"20190312151235812"</f>
        <v>20190312151235812</v>
      </c>
      <c r="B662" t="str">
        <f>"1552374755800327"</f>
        <v>1552374755800327</v>
      </c>
      <c r="C662" t="s">
        <v>40</v>
      </c>
      <c r="D662">
        <v>4.4344039999999998</v>
      </c>
      <c r="E662">
        <v>0.52673400000000004</v>
      </c>
      <c r="F662" t="s">
        <v>44</v>
      </c>
      <c r="G662">
        <v>0</v>
      </c>
      <c r="H662">
        <v>0</v>
      </c>
      <c r="I662">
        <v>0</v>
      </c>
      <c r="J662">
        <v>-306.51740000000001</v>
      </c>
      <c r="K662">
        <v>1.0605359999999999</v>
      </c>
      <c r="L662">
        <v>366.7996</v>
      </c>
      <c r="M662">
        <v>0.99977729999999998</v>
      </c>
      <c r="N662">
        <v>0</v>
      </c>
      <c r="O662">
        <v>1.475778E-2</v>
      </c>
      <c r="P662">
        <v>0.99576089999999995</v>
      </c>
      <c r="Q662">
        <v>6.4054940000000005E-2</v>
      </c>
      <c r="R662">
        <v>-6.6010139999999995E-2</v>
      </c>
      <c r="S662">
        <v>2.9848940000000002</v>
      </c>
      <c r="T662">
        <v>1.3919829999999999E-2</v>
      </c>
      <c r="U662">
        <v>-0.41189579999999998</v>
      </c>
      <c r="V662">
        <v>8.0703259999999999E-2</v>
      </c>
      <c r="W662">
        <v>7.9050759999999998E-2</v>
      </c>
      <c r="X662">
        <v>0.99359850000000005</v>
      </c>
      <c r="Y662">
        <v>0.1513023</v>
      </c>
      <c r="Z662">
        <v>4.1964820000000002E-4</v>
      </c>
      <c r="AA662">
        <v>0.98848740000000002</v>
      </c>
      <c r="AB662">
        <v>26</v>
      </c>
      <c r="AC662">
        <v>2.9848940000000002</v>
      </c>
      <c r="AD662">
        <v>1.3919829999999999E-2</v>
      </c>
      <c r="AE662">
        <v>-0.41189579999999998</v>
      </c>
      <c r="AF662">
        <v>0.45589662601791903</v>
      </c>
      <c r="AG662">
        <v>1.3919829999999999E-2</v>
      </c>
      <c r="AH662">
        <v>2.9784259428009201</v>
      </c>
      <c r="AI662">
        <v>89.735309870180203</v>
      </c>
      <c r="AJ662">
        <v>81.297492303832101</v>
      </c>
      <c r="AK662">
        <v>3.0131472901322498</v>
      </c>
      <c r="AL662">
        <v>85.465994553975307</v>
      </c>
      <c r="AM662">
        <v>85.356446442998603</v>
      </c>
      <c r="AN662">
        <v>1.00000000901672</v>
      </c>
    </row>
    <row r="663" spans="1:40" x14ac:dyDescent="0.25">
      <c r="A663" t="str">
        <f>"20190312151235834"</f>
        <v>20190312151235834</v>
      </c>
      <c r="B663" t="str">
        <f>"1552374755830583"</f>
        <v>1552374755830583</v>
      </c>
      <c r="C663" t="s">
        <v>40</v>
      </c>
      <c r="D663">
        <v>3.8599540000000001</v>
      </c>
      <c r="E663">
        <v>0.52620690000000003</v>
      </c>
      <c r="F663" t="s">
        <v>44</v>
      </c>
      <c r="G663">
        <v>0</v>
      </c>
      <c r="H663">
        <v>0</v>
      </c>
      <c r="I663">
        <v>0</v>
      </c>
      <c r="J663">
        <v>-306.26150000000001</v>
      </c>
      <c r="K663">
        <v>1.0605249999999999</v>
      </c>
      <c r="L663">
        <v>366.80340000000001</v>
      </c>
      <c r="M663">
        <v>0.99977780000000005</v>
      </c>
      <c r="N663">
        <v>0</v>
      </c>
      <c r="O663">
        <v>1.475373E-2</v>
      </c>
      <c r="P663">
        <v>0.99565890000000001</v>
      </c>
      <c r="Q663">
        <v>6.4302360000000003E-2</v>
      </c>
      <c r="R663">
        <v>-6.7294889999999996E-2</v>
      </c>
      <c r="S663">
        <v>2.9848629999999998</v>
      </c>
      <c r="T663">
        <v>8.3242650000000008E-3</v>
      </c>
      <c r="U663">
        <v>-0.41287230000000003</v>
      </c>
      <c r="V663">
        <v>8.1982429999999995E-2</v>
      </c>
      <c r="W663">
        <v>7.9274659999999997E-2</v>
      </c>
      <c r="X663">
        <v>0.99347589999999997</v>
      </c>
      <c r="Y663">
        <v>0.15161810000000001</v>
      </c>
      <c r="Z663">
        <v>2.5138070000000002E-4</v>
      </c>
      <c r="AA663">
        <v>0.98843910000000001</v>
      </c>
      <c r="AB663">
        <v>26</v>
      </c>
      <c r="AC663">
        <v>2.9848629999999998</v>
      </c>
      <c r="AD663">
        <v>8.3242650000000008E-3</v>
      </c>
      <c r="AE663">
        <v>-0.41287230000000003</v>
      </c>
      <c r="AF663">
        <v>0.45686672013268698</v>
      </c>
      <c r="AG663">
        <v>8.3242650000000008E-3</v>
      </c>
      <c r="AH663">
        <v>2.97842322038395</v>
      </c>
      <c r="AI663">
        <v>89.841718226373999</v>
      </c>
      <c r="AJ663">
        <v>81.279250928244906</v>
      </c>
      <c r="AK663">
        <v>3.0132708761534999</v>
      </c>
      <c r="AL663">
        <v>85.453125497724599</v>
      </c>
      <c r="AM663">
        <v>85.282594845657101</v>
      </c>
      <c r="AN663">
        <v>0.99999997721381495</v>
      </c>
    </row>
    <row r="664" spans="1:40" x14ac:dyDescent="0.25">
      <c r="A664" t="str">
        <f>"20190312151235858"</f>
        <v>20190312151235858</v>
      </c>
      <c r="B664" t="str">
        <f>"1552374755850103"</f>
        <v>1552374755850103</v>
      </c>
      <c r="C664" t="s">
        <v>40</v>
      </c>
      <c r="D664">
        <v>3.8839969999999999</v>
      </c>
      <c r="E664">
        <v>0.52585230000000005</v>
      </c>
      <c r="F664" t="s">
        <v>44</v>
      </c>
      <c r="G664">
        <v>0</v>
      </c>
      <c r="H664">
        <v>0</v>
      </c>
      <c r="I664">
        <v>0</v>
      </c>
      <c r="J664">
        <v>-305.99529999999999</v>
      </c>
      <c r="K664">
        <v>1.0605180000000001</v>
      </c>
      <c r="L664">
        <v>366.8073</v>
      </c>
      <c r="M664">
        <v>0.99977800000000006</v>
      </c>
      <c r="N664">
        <v>0</v>
      </c>
      <c r="O664">
        <v>1.475157E-2</v>
      </c>
      <c r="P664">
        <v>0.99554260000000006</v>
      </c>
      <c r="Q664">
        <v>6.4950869999999994E-2</v>
      </c>
      <c r="R664">
        <v>-6.8385459999999995E-2</v>
      </c>
      <c r="S664">
        <v>2.9841609999999998</v>
      </c>
      <c r="T664">
        <v>1.566553E-2</v>
      </c>
      <c r="U664">
        <v>-0.41235349999999998</v>
      </c>
      <c r="V664">
        <v>8.3068870000000003E-2</v>
      </c>
      <c r="W664">
        <v>7.9900199999999894E-2</v>
      </c>
      <c r="X664">
        <v>0.99333550000000004</v>
      </c>
      <c r="Y664">
        <v>0.15147729999999901</v>
      </c>
      <c r="Z664">
        <v>4.7281059999999998E-4</v>
      </c>
      <c r="AA664">
        <v>0.98846060000000002</v>
      </c>
      <c r="AB664">
        <v>26</v>
      </c>
      <c r="AC664">
        <v>2.9841609999999998</v>
      </c>
      <c r="AD664">
        <v>1.566553E-2</v>
      </c>
      <c r="AE664">
        <v>-0.41235349999999998</v>
      </c>
      <c r="AF664">
        <v>0.45632232449548898</v>
      </c>
      <c r="AG664">
        <v>1.566553E-2</v>
      </c>
      <c r="AH664">
        <v>2.9776721480542299</v>
      </c>
      <c r="AI664">
        <v>89.7020480715872</v>
      </c>
      <c r="AJ664">
        <v>81.287319590166902</v>
      </c>
      <c r="AK664">
        <v>3.0124752105139398</v>
      </c>
      <c r="AL664">
        <v>85.417170504413093</v>
      </c>
      <c r="AM664">
        <v>85.219694596701302</v>
      </c>
      <c r="AN664">
        <v>0.99999994734168196</v>
      </c>
    </row>
    <row r="665" spans="1:40" x14ac:dyDescent="0.25">
      <c r="A665" t="str">
        <f>"20190312151235878"</f>
        <v>20190312151235878</v>
      </c>
      <c r="B665" t="str">
        <f>"1552374755870003"</f>
        <v>1552374755870003</v>
      </c>
      <c r="C665" t="s">
        <v>40</v>
      </c>
      <c r="D665">
        <v>3.88402</v>
      </c>
      <c r="E665">
        <v>0.52547349999999904</v>
      </c>
      <c r="F665" t="s">
        <v>44</v>
      </c>
      <c r="G665">
        <v>0</v>
      </c>
      <c r="H665">
        <v>0</v>
      </c>
      <c r="I665">
        <v>0</v>
      </c>
      <c r="J665">
        <v>-305.75290000000001</v>
      </c>
      <c r="K665">
        <v>1.0605119999999999</v>
      </c>
      <c r="L665">
        <v>366.8109</v>
      </c>
      <c r="M665">
        <v>0.99977830000000001</v>
      </c>
      <c r="N665">
        <v>0</v>
      </c>
      <c r="O665">
        <v>1.4750879999999999E-2</v>
      </c>
      <c r="P665">
        <v>0.99550360000000004</v>
      </c>
      <c r="Q665">
        <v>6.5026819999999999E-2</v>
      </c>
      <c r="R665">
        <v>-6.8879380000000004E-2</v>
      </c>
      <c r="S665">
        <v>2.9835820000000002</v>
      </c>
      <c r="T665">
        <v>2.302063E-2</v>
      </c>
      <c r="U665">
        <v>-0.41265869999999999</v>
      </c>
      <c r="V665">
        <v>8.3561170000000004E-2</v>
      </c>
      <c r="W665">
        <v>7.9958660000000001E-2</v>
      </c>
      <c r="X665">
        <v>0.99328950000000005</v>
      </c>
      <c r="Y665">
        <v>0.15159929999999999</v>
      </c>
      <c r="Z665">
        <v>6.9538529999999996E-4</v>
      </c>
      <c r="AA665">
        <v>0.98844180000000004</v>
      </c>
      <c r="AB665">
        <v>26</v>
      </c>
      <c r="AC665">
        <v>2.9835820000000002</v>
      </c>
      <c r="AD665">
        <v>2.302063E-2</v>
      </c>
      <c r="AE665">
        <v>-0.41265869999999999</v>
      </c>
      <c r="AF665">
        <v>0.45660254865608102</v>
      </c>
      <c r="AG665">
        <v>2.302063E-2</v>
      </c>
      <c r="AH665">
        <v>2.97699564326587</v>
      </c>
      <c r="AI665">
        <v>89.562070641582594</v>
      </c>
      <c r="AJ665">
        <v>81.280100715589896</v>
      </c>
      <c r="AK665">
        <v>3.0118962294323501</v>
      </c>
      <c r="AL665">
        <v>85.4138102248086</v>
      </c>
      <c r="AM665">
        <v>85.191275364660001</v>
      </c>
      <c r="AN665">
        <v>0.99999994362550504</v>
      </c>
    </row>
    <row r="666" spans="1:40" x14ac:dyDescent="0.25">
      <c r="A666" t="str">
        <f>"20190312151235901"</f>
        <v>20190312151235901</v>
      </c>
      <c r="B666" t="str">
        <f>"1552374755890500"</f>
        <v>1552374755890500</v>
      </c>
      <c r="C666" t="s">
        <v>40</v>
      </c>
      <c r="D666">
        <v>3.8879220000000001</v>
      </c>
      <c r="E666">
        <v>0.52521499999999999</v>
      </c>
      <c r="F666" t="s">
        <v>44</v>
      </c>
      <c r="G666">
        <v>0</v>
      </c>
      <c r="H666">
        <v>0</v>
      </c>
      <c r="I666">
        <v>0</v>
      </c>
      <c r="J666">
        <v>-305.49529999999999</v>
      </c>
      <c r="K666">
        <v>1.0605119999999999</v>
      </c>
      <c r="L666">
        <v>366.81470000000002</v>
      </c>
      <c r="M666">
        <v>0.99977859999999996</v>
      </c>
      <c r="N666">
        <v>0</v>
      </c>
      <c r="O666">
        <v>1.475053E-2</v>
      </c>
      <c r="P666">
        <v>0.9954904</v>
      </c>
      <c r="Q666">
        <v>6.5118980000000007E-2</v>
      </c>
      <c r="R666">
        <v>-6.8984740000000003E-2</v>
      </c>
      <c r="S666">
        <v>2.9832459999999998</v>
      </c>
      <c r="T666">
        <v>2.8361560000000001E-2</v>
      </c>
      <c r="U666">
        <v>-0.41113280000000002</v>
      </c>
      <c r="V666">
        <v>8.3665890000000007E-2</v>
      </c>
      <c r="W666">
        <v>8.0033759999999995E-2</v>
      </c>
      <c r="X666">
        <v>0.99327469999999995</v>
      </c>
      <c r="Y666">
        <v>0.15111540000000001</v>
      </c>
      <c r="Z666">
        <v>8.5454559999999897E-4</v>
      </c>
      <c r="AA666">
        <v>0.9885157</v>
      </c>
      <c r="AB666">
        <v>26</v>
      </c>
      <c r="AC666">
        <v>2.9832459999999998</v>
      </c>
      <c r="AD666">
        <v>2.8361560000000001E-2</v>
      </c>
      <c r="AE666">
        <v>-0.41113280000000002</v>
      </c>
      <c r="AF666">
        <v>0.455057113103918</v>
      </c>
      <c r="AG666">
        <v>2.8361560000000001E-2</v>
      </c>
      <c r="AH666">
        <v>2.9765922390222599</v>
      </c>
      <c r="AI666">
        <v>89.460360381358896</v>
      </c>
      <c r="AJ666">
        <v>81.308003229772496</v>
      </c>
      <c r="AK666">
        <v>3.01130913585432</v>
      </c>
      <c r="AL666">
        <v>85.409493767577899</v>
      </c>
      <c r="AM666">
        <v>85.185205914607593</v>
      </c>
      <c r="AN666">
        <v>1.00000000677465</v>
      </c>
    </row>
    <row r="667" spans="1:40" x14ac:dyDescent="0.25">
      <c r="A667" t="str">
        <f>"20190312151235923"</f>
        <v>20190312151235923</v>
      </c>
      <c r="B667" t="str">
        <f>"1552374755920755"</f>
        <v>1552374755920755</v>
      </c>
      <c r="C667" t="s">
        <v>40</v>
      </c>
      <c r="D667">
        <v>4.0181300000000002</v>
      </c>
      <c r="E667">
        <v>0.52470019999999995</v>
      </c>
      <c r="F667" t="s">
        <v>44</v>
      </c>
      <c r="G667">
        <v>0</v>
      </c>
      <c r="H667">
        <v>0</v>
      </c>
      <c r="I667">
        <v>0</v>
      </c>
      <c r="J667">
        <v>-305.24590000000001</v>
      </c>
      <c r="K667">
        <v>1.060514</v>
      </c>
      <c r="L667">
        <v>366.81830000000002</v>
      </c>
      <c r="M667">
        <v>0.99977890000000003</v>
      </c>
      <c r="N667">
        <v>0</v>
      </c>
      <c r="O667">
        <v>1.4750650000000001E-2</v>
      </c>
      <c r="P667">
        <v>0.99547450000000004</v>
      </c>
      <c r="Q667">
        <v>6.4780889999999994E-2</v>
      </c>
      <c r="R667">
        <v>-6.9530030000000007E-2</v>
      </c>
      <c r="S667">
        <v>2.9832459999999998</v>
      </c>
      <c r="T667">
        <v>3.0513999999999999E-2</v>
      </c>
      <c r="U667">
        <v>-0.4096069</v>
      </c>
      <c r="V667">
        <v>8.4211040000000001E-2</v>
      </c>
      <c r="W667">
        <v>7.9680580000000001E-2</v>
      </c>
      <c r="X667">
        <v>0.99325699999999995</v>
      </c>
      <c r="Y667">
        <v>0.15061820000000001</v>
      </c>
      <c r="Z667">
        <v>9.1689810000000001E-4</v>
      </c>
      <c r="AA667">
        <v>0.98859160000000001</v>
      </c>
      <c r="AB667">
        <v>26</v>
      </c>
      <c r="AC667">
        <v>2.9832459999999998</v>
      </c>
      <c r="AD667">
        <v>3.0513999999999999E-2</v>
      </c>
      <c r="AE667">
        <v>-0.4096069</v>
      </c>
      <c r="AF667">
        <v>0.453525515110066</v>
      </c>
      <c r="AG667">
        <v>3.0513999999999999E-2</v>
      </c>
      <c r="AH667">
        <v>2.9765730621957101</v>
      </c>
      <c r="AI667">
        <v>89.419360079257899</v>
      </c>
      <c r="AJ667">
        <v>81.336758574894205</v>
      </c>
      <c r="AK667">
        <v>3.0110801536393801</v>
      </c>
      <c r="AL667">
        <v>85.4297942067777</v>
      </c>
      <c r="AM667">
        <v>85.153896668004407</v>
      </c>
      <c r="AN667">
        <v>0.99999998106800803</v>
      </c>
    </row>
    <row r="668" spans="1:40" x14ac:dyDescent="0.25">
      <c r="A668" t="str">
        <f>"20190312151235946"</f>
        <v>20190312151235946</v>
      </c>
      <c r="B668" t="str">
        <f>"1552374755940275"</f>
        <v>1552374755940275</v>
      </c>
      <c r="C668" t="s">
        <v>40</v>
      </c>
      <c r="D668">
        <v>3.9570530000000002</v>
      </c>
      <c r="E668">
        <v>0.52442630000000001</v>
      </c>
      <c r="F668" t="s">
        <v>44</v>
      </c>
      <c r="G668">
        <v>0</v>
      </c>
      <c r="H668">
        <v>0</v>
      </c>
      <c r="I668">
        <v>0</v>
      </c>
      <c r="J668">
        <v>-304.98809999999997</v>
      </c>
      <c r="K668">
        <v>1.06051299999999</v>
      </c>
      <c r="L668">
        <v>366.82209999999998</v>
      </c>
      <c r="M668">
        <v>0.99977899999999997</v>
      </c>
      <c r="N668">
        <v>0</v>
      </c>
      <c r="O668">
        <v>1.4750889999999999E-2</v>
      </c>
      <c r="P668">
        <v>0.99548300000000001</v>
      </c>
      <c r="Q668">
        <v>6.4621929999999994E-2</v>
      </c>
      <c r="R668">
        <v>-6.9552470000000005E-2</v>
      </c>
      <c r="S668">
        <v>2.9830019999999999</v>
      </c>
      <c r="T668">
        <v>3.440845E-2</v>
      </c>
      <c r="U668">
        <v>-0.40664670000000003</v>
      </c>
      <c r="V668">
        <v>8.4234030000000001E-2</v>
      </c>
      <c r="W668">
        <v>7.950757E-2</v>
      </c>
      <c r="X668">
        <v>0.99326890000000001</v>
      </c>
      <c r="Y668">
        <v>0.14966399999999999</v>
      </c>
      <c r="Z668">
        <v>1.0285909999999999E-3</v>
      </c>
      <c r="AA668">
        <v>0.98873639999999996</v>
      </c>
      <c r="AB668">
        <v>25</v>
      </c>
      <c r="AC668">
        <v>2.9830019999999999</v>
      </c>
      <c r="AD668">
        <v>3.440845E-2</v>
      </c>
      <c r="AE668">
        <v>-0.40664670000000003</v>
      </c>
      <c r="AF668">
        <v>0.45055046500114099</v>
      </c>
      <c r="AG668">
        <v>3.440845E-2</v>
      </c>
      <c r="AH668">
        <v>2.9762895239082101</v>
      </c>
      <c r="AI668">
        <v>89.345101958010702</v>
      </c>
      <c r="AJ668">
        <v>81.391926374853298</v>
      </c>
      <c r="AK668">
        <v>3.0103951556348698</v>
      </c>
      <c r="AL668">
        <v>85.439738433358499</v>
      </c>
      <c r="AM668">
        <v>85.152637761345503</v>
      </c>
      <c r="AN668">
        <v>0.99999996660227697</v>
      </c>
    </row>
    <row r="669" spans="1:40" x14ac:dyDescent="0.25">
      <c r="A669" t="str">
        <f>"20190312151235968"</f>
        <v>20190312151235968</v>
      </c>
      <c r="B669" t="str">
        <f>"1552374755960304"</f>
        <v>1552374755960304</v>
      </c>
      <c r="C669" t="s">
        <v>40</v>
      </c>
      <c r="D669">
        <v>3.9816009999999999</v>
      </c>
      <c r="E669">
        <v>0.52426119999999998</v>
      </c>
      <c r="F669" t="s">
        <v>44</v>
      </c>
      <c r="G669">
        <v>0</v>
      </c>
      <c r="H669">
        <v>0</v>
      </c>
      <c r="I669">
        <v>0</v>
      </c>
      <c r="J669">
        <v>-304.73660000000001</v>
      </c>
      <c r="K669">
        <v>1.060505</v>
      </c>
      <c r="L669">
        <v>366.82589999999999</v>
      </c>
      <c r="M669">
        <v>0.99977919999999998</v>
      </c>
      <c r="N669">
        <v>0</v>
      </c>
      <c r="O669">
        <v>1.4750869999999999E-2</v>
      </c>
      <c r="P669">
        <v>0.99548329999999996</v>
      </c>
      <c r="Q669">
        <v>6.5059580000000006E-2</v>
      </c>
      <c r="R669">
        <v>-6.9141670000000002E-2</v>
      </c>
      <c r="S669">
        <v>2.982971</v>
      </c>
      <c r="T669">
        <v>3.6553500000000003E-2</v>
      </c>
      <c r="U669">
        <v>-0.4046631</v>
      </c>
      <c r="V669">
        <v>8.3822880000000002E-2</v>
      </c>
      <c r="W669">
        <v>7.9932509999999998E-2</v>
      </c>
      <c r="X669">
        <v>0.99326959999999997</v>
      </c>
      <c r="Y669">
        <v>0.14901829999999999</v>
      </c>
      <c r="Z669">
        <v>1.088831E-3</v>
      </c>
      <c r="AA669">
        <v>0.98883379999999998</v>
      </c>
      <c r="AB669">
        <v>25</v>
      </c>
      <c r="AC669">
        <v>2.982971</v>
      </c>
      <c r="AD669">
        <v>3.6553500000000003E-2</v>
      </c>
      <c r="AE669">
        <v>-0.4046631</v>
      </c>
      <c r="AF669">
        <v>0.44855926903393001</v>
      </c>
      <c r="AG669">
        <v>3.6553500000000003E-2</v>
      </c>
      <c r="AH669">
        <v>2.9762377370951199</v>
      </c>
      <c r="AI669">
        <v>89.304198421688795</v>
      </c>
      <c r="AJ669">
        <v>81.429256431029998</v>
      </c>
      <c r="AK669">
        <v>3.01007186690078</v>
      </c>
      <c r="AL669">
        <v>85.415313532857596</v>
      </c>
      <c r="AM669">
        <v>85.176189414094594</v>
      </c>
      <c r="AN669">
        <v>0.99999998982527705</v>
      </c>
    </row>
    <row r="670" spans="1:40" x14ac:dyDescent="0.25">
      <c r="A670" t="str">
        <f>"20190312151235991"</f>
        <v>20190312151235991</v>
      </c>
      <c r="B670" t="str">
        <f>"1552374755980797"</f>
        <v>1552374755980797</v>
      </c>
      <c r="C670" t="s">
        <v>40</v>
      </c>
      <c r="D670">
        <v>3.9854259999999999</v>
      </c>
      <c r="E670">
        <v>0.52411819999999998</v>
      </c>
      <c r="F670" t="s">
        <v>44</v>
      </c>
      <c r="G670">
        <v>0</v>
      </c>
      <c r="H670">
        <v>0</v>
      </c>
      <c r="I670">
        <v>0</v>
      </c>
      <c r="J670">
        <v>-304.47430000000003</v>
      </c>
      <c r="K670">
        <v>1.0605039999999999</v>
      </c>
      <c r="L670">
        <v>366.8297</v>
      </c>
      <c r="M670">
        <v>0.99977950000000004</v>
      </c>
      <c r="N670">
        <v>0</v>
      </c>
      <c r="O670">
        <v>1.475097E-2</v>
      </c>
      <c r="P670">
        <v>0.99548610000000004</v>
      </c>
      <c r="Q670">
        <v>6.5036540000000004E-2</v>
      </c>
      <c r="R670">
        <v>-6.9124179999999993E-2</v>
      </c>
      <c r="S670">
        <v>2.9831240000000001</v>
      </c>
      <c r="T670">
        <v>3.9016490000000001E-2</v>
      </c>
      <c r="U670">
        <v>-0.40216059999999998</v>
      </c>
      <c r="V670">
        <v>8.3805550000000006E-2</v>
      </c>
      <c r="W670">
        <v>7.9896850000000005E-2</v>
      </c>
      <c r="X670">
        <v>0.99327390000000004</v>
      </c>
      <c r="Y670">
        <v>0.14819549999999901</v>
      </c>
      <c r="Z670">
        <v>1.156841E-3</v>
      </c>
      <c r="AA670">
        <v>0.98895739999999999</v>
      </c>
      <c r="AB670">
        <v>25</v>
      </c>
      <c r="AC670">
        <v>2.9831240000000001</v>
      </c>
      <c r="AD670">
        <v>3.9016490000000001E-2</v>
      </c>
      <c r="AE670">
        <v>-0.40216059999999998</v>
      </c>
      <c r="AF670">
        <v>0.44605078198486697</v>
      </c>
      <c r="AG670">
        <v>3.9016490000000001E-2</v>
      </c>
      <c r="AH670">
        <v>2.9763663822814701</v>
      </c>
      <c r="AI670">
        <v>89.2572595096985</v>
      </c>
      <c r="AJ670">
        <v>81.476843807418305</v>
      </c>
      <c r="AK670">
        <v>3.00985721059596</v>
      </c>
      <c r="AL670">
        <v>85.417363112755496</v>
      </c>
      <c r="AM670">
        <v>85.177202790531595</v>
      </c>
      <c r="AN670">
        <v>0.99999995863596602</v>
      </c>
    </row>
    <row r="671" spans="1:40" x14ac:dyDescent="0.25">
      <c r="A671" t="str">
        <f>"20190312151236013"</f>
        <v>20190312151236013</v>
      </c>
      <c r="B671" t="str">
        <f>"1552374756010077"</f>
        <v>1552374756010077</v>
      </c>
      <c r="C671" t="s">
        <v>40</v>
      </c>
      <c r="D671">
        <v>4.0274070000000002</v>
      </c>
      <c r="E671">
        <v>0.52382879999999998</v>
      </c>
      <c r="F671" t="s">
        <v>44</v>
      </c>
      <c r="G671">
        <v>0</v>
      </c>
      <c r="H671">
        <v>0</v>
      </c>
      <c r="I671">
        <v>0</v>
      </c>
      <c r="J671">
        <v>-304.2364</v>
      </c>
      <c r="K671">
        <v>1.0605059999999999</v>
      </c>
      <c r="L671">
        <v>366.83330000000001</v>
      </c>
      <c r="M671">
        <v>0.99977950000000004</v>
      </c>
      <c r="N671">
        <v>0</v>
      </c>
      <c r="O671">
        <v>1.4751169999999999E-2</v>
      </c>
      <c r="P671">
        <v>0.9955077</v>
      </c>
      <c r="Q671">
        <v>6.4988580000000004E-2</v>
      </c>
      <c r="R671">
        <v>-6.8855310000000003E-2</v>
      </c>
      <c r="S671">
        <v>2.9833980000000002</v>
      </c>
      <c r="T671">
        <v>3.6384939999999998E-2</v>
      </c>
      <c r="U671">
        <v>-0.40093990000000002</v>
      </c>
      <c r="V671">
        <v>8.3537379999999994E-2</v>
      </c>
      <c r="W671">
        <v>7.9839350000000003E-2</v>
      </c>
      <c r="X671">
        <v>0.9933012</v>
      </c>
      <c r="Y671">
        <v>0.1477879</v>
      </c>
      <c r="Z671">
        <v>1.0762809999999999E-3</v>
      </c>
      <c r="AA671">
        <v>0.98901850000000002</v>
      </c>
      <c r="AB671">
        <v>25</v>
      </c>
      <c r="AC671">
        <v>2.9833980000000002</v>
      </c>
      <c r="AD671">
        <v>3.6384939999999998E-2</v>
      </c>
      <c r="AE671">
        <v>-0.40093990000000002</v>
      </c>
      <c r="AF671">
        <v>0.44484480149454297</v>
      </c>
      <c r="AG671">
        <v>3.6384939999999998E-2</v>
      </c>
      <c r="AH671">
        <v>2.9767234310251598</v>
      </c>
      <c r="AI671">
        <v>89.307390345075106</v>
      </c>
      <c r="AJ671">
        <v>81.500555334411601</v>
      </c>
      <c r="AK671">
        <v>3.0099988614764799</v>
      </c>
      <c r="AL671">
        <v>85.4206685738299</v>
      </c>
      <c r="AM671">
        <v>85.192694359185296</v>
      </c>
      <c r="AN671">
        <v>1.00000004479356</v>
      </c>
    </row>
    <row r="672" spans="1:40" x14ac:dyDescent="0.25">
      <c r="A672" t="str">
        <f>"20190312151236035"</f>
        <v>20190312151236035</v>
      </c>
      <c r="B672" t="str">
        <f>"1552374756030573"</f>
        <v>1552374756030573</v>
      </c>
      <c r="C672" t="s">
        <v>40</v>
      </c>
      <c r="D672">
        <v>4.0527259999999998</v>
      </c>
      <c r="E672">
        <v>0.5235978</v>
      </c>
      <c r="F672" t="s">
        <v>44</v>
      </c>
      <c r="G672">
        <v>0</v>
      </c>
      <c r="H672">
        <v>0</v>
      </c>
      <c r="I672">
        <v>0</v>
      </c>
      <c r="J672">
        <v>-303.98180000000002</v>
      </c>
      <c r="K672">
        <v>1.0604979999999999</v>
      </c>
      <c r="L672">
        <v>366.83699999999999</v>
      </c>
      <c r="M672">
        <v>0.9997798</v>
      </c>
      <c r="N672">
        <v>0</v>
      </c>
      <c r="O672">
        <v>1.475126E-2</v>
      </c>
      <c r="P672">
        <v>0.99551599999999996</v>
      </c>
      <c r="Q672">
        <v>6.4880919999999995E-2</v>
      </c>
      <c r="R672">
        <v>-6.8837190000000006E-2</v>
      </c>
      <c r="S672">
        <v>2.98407</v>
      </c>
      <c r="T672">
        <v>2.9223200000000001E-2</v>
      </c>
      <c r="U672">
        <v>-0.39813229999999999</v>
      </c>
      <c r="V672">
        <v>8.3519380000000004E-2</v>
      </c>
      <c r="W672">
        <v>7.9720509999999994E-2</v>
      </c>
      <c r="X672">
        <v>0.99331219999999998</v>
      </c>
      <c r="Y672">
        <v>0.1468487</v>
      </c>
      <c r="Z672">
        <v>8.5972800000000003E-4</v>
      </c>
      <c r="AA672">
        <v>0.9891586</v>
      </c>
      <c r="AB672">
        <v>25</v>
      </c>
      <c r="AC672">
        <v>2.98407</v>
      </c>
      <c r="AD672">
        <v>2.9223200000000001E-2</v>
      </c>
      <c r="AE672">
        <v>-0.39813229999999999</v>
      </c>
      <c r="AF672">
        <v>0.44207101217339001</v>
      </c>
      <c r="AG672">
        <v>2.9223200000000001E-2</v>
      </c>
      <c r="AH672">
        <v>2.9775910672791199</v>
      </c>
      <c r="AI672">
        <v>89.443791907304103</v>
      </c>
      <c r="AJ672">
        <v>81.555211788715397</v>
      </c>
      <c r="AK672">
        <v>3.01037029934237</v>
      </c>
      <c r="AL672">
        <v>85.427499110528302</v>
      </c>
      <c r="AM672">
        <v>85.193778323542105</v>
      </c>
      <c r="AN672">
        <v>0.99999998660954204</v>
      </c>
    </row>
    <row r="673" spans="1:40" x14ac:dyDescent="0.25">
      <c r="A673" t="str">
        <f>"20190312151236059"</f>
        <v>20190312151236059</v>
      </c>
      <c r="B673" t="str">
        <f>"1552374756050092"</f>
        <v>1552374756050092</v>
      </c>
      <c r="C673" t="s">
        <v>40</v>
      </c>
      <c r="D673">
        <v>4.0675179999999997</v>
      </c>
      <c r="E673">
        <v>0.52340070000000005</v>
      </c>
      <c r="F673" t="s">
        <v>44</v>
      </c>
      <c r="G673">
        <v>0</v>
      </c>
      <c r="H673">
        <v>0</v>
      </c>
      <c r="I673">
        <v>0</v>
      </c>
      <c r="J673">
        <v>-303.71629999999999</v>
      </c>
      <c r="K673">
        <v>1.060495</v>
      </c>
      <c r="L673">
        <v>366.84089999999998</v>
      </c>
      <c r="M673">
        <v>0.99977990000000005</v>
      </c>
      <c r="N673">
        <v>0</v>
      </c>
      <c r="O673">
        <v>1.4751220000000001E-2</v>
      </c>
      <c r="P673">
        <v>0.99551840000000003</v>
      </c>
      <c r="Q673">
        <v>6.475293E-2</v>
      </c>
      <c r="R673">
        <v>-6.8924120000000005E-2</v>
      </c>
      <c r="S673">
        <v>2.9844059999999999</v>
      </c>
      <c r="T673">
        <v>2.6074650000000001E-2</v>
      </c>
      <c r="U673">
        <v>-0.39596559999999997</v>
      </c>
      <c r="V673">
        <v>8.3606269999999996E-2</v>
      </c>
      <c r="W673">
        <v>7.9582200000000006E-2</v>
      </c>
      <c r="X673">
        <v>0.99331599999999998</v>
      </c>
      <c r="Y673">
        <v>0.14612999999999901</v>
      </c>
      <c r="Z673">
        <v>7.6392769999999999E-4</v>
      </c>
      <c r="AA673">
        <v>0.98926510000000001</v>
      </c>
      <c r="AB673">
        <v>25</v>
      </c>
      <c r="AC673">
        <v>2.9844059999999999</v>
      </c>
      <c r="AD673">
        <v>2.6074650000000001E-2</v>
      </c>
      <c r="AE673">
        <v>-0.39596559999999997</v>
      </c>
      <c r="AF673">
        <v>0.43991803636611299</v>
      </c>
      <c r="AG673">
        <v>2.6074650000000001E-2</v>
      </c>
      <c r="AH673">
        <v>2.9780161901409898</v>
      </c>
      <c r="AI673">
        <v>89.503732728017198</v>
      </c>
      <c r="AJ673">
        <v>81.596933436024898</v>
      </c>
      <c r="AK673">
        <v>3.01044651087421</v>
      </c>
      <c r="AL673">
        <v>85.435449034205007</v>
      </c>
      <c r="AM673">
        <v>85.1888199142807</v>
      </c>
      <c r="AN673">
        <v>1.00000000539807</v>
      </c>
    </row>
    <row r="674" spans="1:40" x14ac:dyDescent="0.25">
      <c r="A674" t="str">
        <f>"20190312151236080"</f>
        <v>20190312151236080</v>
      </c>
      <c r="B674" t="str">
        <f>"1552374756070120"</f>
        <v>1552374756070120</v>
      </c>
      <c r="C674" t="s">
        <v>40</v>
      </c>
      <c r="D674">
        <v>4.1137509999999997</v>
      </c>
      <c r="E674">
        <v>0.52327000000000001</v>
      </c>
      <c r="F674" t="s">
        <v>44</v>
      </c>
      <c r="G674">
        <v>0</v>
      </c>
      <c r="H674">
        <v>0</v>
      </c>
      <c r="I674">
        <v>0</v>
      </c>
      <c r="J674">
        <v>-303.4717</v>
      </c>
      <c r="K674">
        <v>1.060497</v>
      </c>
      <c r="L674">
        <v>366.84449999999998</v>
      </c>
      <c r="M674">
        <v>0.99977990000000005</v>
      </c>
      <c r="N674">
        <v>0</v>
      </c>
      <c r="O674">
        <v>1.475129E-2</v>
      </c>
      <c r="P674">
        <v>0.99548619999999999</v>
      </c>
      <c r="Q674">
        <v>6.482628E-2</v>
      </c>
      <c r="R674">
        <v>-6.9316909999999995E-2</v>
      </c>
      <c r="S674">
        <v>2.9846499999999998</v>
      </c>
      <c r="T674">
        <v>2.3365859999999999E-2</v>
      </c>
      <c r="U674">
        <v>-0.39483639999999998</v>
      </c>
      <c r="V674">
        <v>8.3998680000000006E-2</v>
      </c>
      <c r="W674">
        <v>7.9645899999999895E-2</v>
      </c>
      <c r="X674">
        <v>0.99327779999999999</v>
      </c>
      <c r="Y674">
        <v>0.14575279999999999</v>
      </c>
      <c r="Z674">
        <v>6.8306080000000004E-4</v>
      </c>
      <c r="AA674">
        <v>0.9893208</v>
      </c>
      <c r="AB674">
        <v>25</v>
      </c>
      <c r="AC674">
        <v>2.9846499999999998</v>
      </c>
      <c r="AD674">
        <v>2.3365859999999999E-2</v>
      </c>
      <c r="AE674">
        <v>-0.39483639999999998</v>
      </c>
      <c r="AF674">
        <v>0.43879933681484501</v>
      </c>
      <c r="AG674">
        <v>2.3365859999999999E-2</v>
      </c>
      <c r="AH674">
        <v>2.97832078848091</v>
      </c>
      <c r="AI674">
        <v>89.555306133151802</v>
      </c>
      <c r="AJ674">
        <v>81.618843308044603</v>
      </c>
      <c r="AK674">
        <v>3.0105623296155599</v>
      </c>
      <c r="AL674">
        <v>85.431787727815205</v>
      </c>
      <c r="AM674">
        <v>85.166160141070804</v>
      </c>
      <c r="AN674">
        <v>1.00000001780069</v>
      </c>
    </row>
    <row r="675" spans="1:40" x14ac:dyDescent="0.25">
      <c r="A675" t="str">
        <f>"20190312151236102"</f>
        <v>20190312151236102</v>
      </c>
      <c r="B675" t="str">
        <f>"1552374756100377"</f>
        <v>1552374756100377</v>
      </c>
      <c r="C675" t="s">
        <v>40</v>
      </c>
      <c r="D675">
        <v>4.102379</v>
      </c>
      <c r="E675">
        <v>0.52310429999999997</v>
      </c>
      <c r="F675" t="s">
        <v>44</v>
      </c>
      <c r="G675">
        <v>0</v>
      </c>
      <c r="H675">
        <v>0</v>
      </c>
      <c r="I675">
        <v>0</v>
      </c>
      <c r="J675">
        <v>-303.2235</v>
      </c>
      <c r="K675">
        <v>1.0604990000000001</v>
      </c>
      <c r="L675">
        <v>366.84820000000002</v>
      </c>
      <c r="M675">
        <v>0.99978020000000001</v>
      </c>
      <c r="N675">
        <v>0</v>
      </c>
      <c r="O675">
        <v>1.4751179999999999E-2</v>
      </c>
      <c r="P675">
        <v>0.99540960000000001</v>
      </c>
      <c r="Q675">
        <v>6.5355259999999998E-2</v>
      </c>
      <c r="R675">
        <v>-6.9918289999999994E-2</v>
      </c>
      <c r="S675">
        <v>2.984772</v>
      </c>
      <c r="T675">
        <v>2.0162820000000001E-2</v>
      </c>
      <c r="U675">
        <v>-0.39495849999999999</v>
      </c>
      <c r="V675">
        <v>8.4598850000000003E-2</v>
      </c>
      <c r="W675">
        <v>8.0164449999999998E-2</v>
      </c>
      <c r="X675">
        <v>0.99318510000000004</v>
      </c>
      <c r="Y675">
        <v>0.14578849999999999</v>
      </c>
      <c r="Z675">
        <v>5.895214E-4</v>
      </c>
      <c r="AA675">
        <v>0.98931559999999996</v>
      </c>
      <c r="AB675">
        <v>25</v>
      </c>
      <c r="AC675">
        <v>2.984772</v>
      </c>
      <c r="AD675">
        <v>2.0162820000000001E-2</v>
      </c>
      <c r="AE675">
        <v>-0.39495849999999999</v>
      </c>
      <c r="AF675">
        <v>0.43892962816629</v>
      </c>
      <c r="AG675">
        <v>2.0162820000000001E-2</v>
      </c>
      <c r="AH675">
        <v>2.9784868417196799</v>
      </c>
      <c r="AI675">
        <v>89.616287071673696</v>
      </c>
      <c r="AJ675">
        <v>81.616850831639994</v>
      </c>
      <c r="AK675">
        <v>3.0107224422204499</v>
      </c>
      <c r="AL675">
        <v>85.401981492460195</v>
      </c>
      <c r="AM675">
        <v>85.1313355931443</v>
      </c>
      <c r="AN675">
        <v>0.99999997366356697</v>
      </c>
    </row>
    <row r="676" spans="1:40" x14ac:dyDescent="0.25">
      <c r="A676" t="str">
        <f>"20190312151236124"</f>
        <v>20190312151236124</v>
      </c>
      <c r="B676" t="str">
        <f>"1552374756119897"</f>
        <v>1552374756119897</v>
      </c>
      <c r="C676" t="s">
        <v>40</v>
      </c>
      <c r="D676">
        <v>4.1016750000000002</v>
      </c>
      <c r="E676">
        <v>0.52294859999999999</v>
      </c>
      <c r="F676" t="s">
        <v>44</v>
      </c>
      <c r="G676">
        <v>0</v>
      </c>
      <c r="H676">
        <v>0</v>
      </c>
      <c r="I676">
        <v>0</v>
      </c>
      <c r="J676">
        <v>-302.98309999999998</v>
      </c>
      <c r="K676">
        <v>1.0605009999999999</v>
      </c>
      <c r="L676">
        <v>366.85169999999999</v>
      </c>
      <c r="M676">
        <v>0.99978020000000001</v>
      </c>
      <c r="N676">
        <v>0</v>
      </c>
      <c r="O676">
        <v>1.4751240000000001E-2</v>
      </c>
      <c r="P676">
        <v>0.99535010000000002</v>
      </c>
      <c r="Q676">
        <v>6.5750379999999997E-2</v>
      </c>
      <c r="R676">
        <v>-7.0392560000000007E-2</v>
      </c>
      <c r="S676">
        <v>2.984772</v>
      </c>
      <c r="T676">
        <v>1.8924710000000001E-2</v>
      </c>
      <c r="U676">
        <v>-0.39550780000000002</v>
      </c>
      <c r="V676">
        <v>8.5072170000000003E-2</v>
      </c>
      <c r="W676">
        <v>8.0550399999999994E-2</v>
      </c>
      <c r="X676">
        <v>0.99311349999999998</v>
      </c>
      <c r="Y676">
        <v>0.14596789999999901</v>
      </c>
      <c r="Z676">
        <v>5.5388259999999999E-4</v>
      </c>
      <c r="AA676">
        <v>0.98928919999999998</v>
      </c>
      <c r="AB676">
        <v>25</v>
      </c>
      <c r="AC676">
        <v>2.984772</v>
      </c>
      <c r="AD676">
        <v>1.8924710000000001E-2</v>
      </c>
      <c r="AE676">
        <v>-0.39550780000000002</v>
      </c>
      <c r="AF676">
        <v>0.43948136945578298</v>
      </c>
      <c r="AG676">
        <v>1.8924710000000001E-2</v>
      </c>
      <c r="AH676">
        <v>2.9784946182416698</v>
      </c>
      <c r="AI676">
        <v>89.6398591004438</v>
      </c>
      <c r="AJ676">
        <v>81.606484714059803</v>
      </c>
      <c r="AK676">
        <v>3.01080258563093</v>
      </c>
      <c r="AL676">
        <v>85.379796713952402</v>
      </c>
      <c r="AM676">
        <v>85.103876801235998</v>
      </c>
      <c r="AN676">
        <v>1.0000000324654501</v>
      </c>
    </row>
    <row r="677" spans="1:40" x14ac:dyDescent="0.25">
      <c r="A677" t="str">
        <f>"20190312151236148"</f>
        <v>20190312151236148</v>
      </c>
      <c r="B677" t="str">
        <f>"1552374756140395"</f>
        <v>1552374756140395</v>
      </c>
      <c r="C677" t="s">
        <v>40</v>
      </c>
      <c r="D677">
        <v>4.0739380000000001</v>
      </c>
      <c r="E677">
        <v>0.52279569999999997</v>
      </c>
      <c r="F677" t="s">
        <v>44</v>
      </c>
      <c r="G677">
        <v>0</v>
      </c>
      <c r="H677">
        <v>0</v>
      </c>
      <c r="I677">
        <v>0</v>
      </c>
      <c r="J677">
        <v>-302.72430000000003</v>
      </c>
      <c r="K677">
        <v>1.060503</v>
      </c>
      <c r="L677">
        <v>366.85559999999998</v>
      </c>
      <c r="M677">
        <v>0.99978049999999996</v>
      </c>
      <c r="N677">
        <v>0</v>
      </c>
      <c r="O677">
        <v>1.4751129999999999E-2</v>
      </c>
      <c r="P677">
        <v>0.9952801</v>
      </c>
      <c r="Q677">
        <v>6.6429909999999995E-2</v>
      </c>
      <c r="R677">
        <v>-7.0744829999999995E-2</v>
      </c>
      <c r="S677">
        <v>2.9848020000000002</v>
      </c>
      <c r="T677">
        <v>1.8069620000000002E-2</v>
      </c>
      <c r="U677">
        <v>-0.39602660000000001</v>
      </c>
      <c r="V677">
        <v>8.5423289999999999E-2</v>
      </c>
      <c r="W677">
        <v>8.1220059999999997E-2</v>
      </c>
      <c r="X677">
        <v>0.99302880000000004</v>
      </c>
      <c r="Y677">
        <v>0.14613570000000001</v>
      </c>
      <c r="Z677">
        <v>5.2935009999999997E-4</v>
      </c>
      <c r="AA677">
        <v>0.98926440000000004</v>
      </c>
      <c r="AB677">
        <v>25</v>
      </c>
      <c r="AC677">
        <v>2.9848020000000002</v>
      </c>
      <c r="AD677">
        <v>1.8069620000000002E-2</v>
      </c>
      <c r="AE677">
        <v>-0.39602660000000001</v>
      </c>
      <c r="AF677">
        <v>0.44000173061262898</v>
      </c>
      <c r="AG677">
        <v>1.8069620000000002E-2</v>
      </c>
      <c r="AH677">
        <v>2.9785274108377999</v>
      </c>
      <c r="AI677">
        <v>89.656143613759497</v>
      </c>
      <c r="AJ677">
        <v>81.596779523093602</v>
      </c>
      <c r="AK677">
        <v>3.0109057725576802</v>
      </c>
      <c r="AL677">
        <v>85.341301819841703</v>
      </c>
      <c r="AM677">
        <v>85.083350503008901</v>
      </c>
      <c r="AN677">
        <v>1.00000001712513</v>
      </c>
    </row>
    <row r="678" spans="1:40" x14ac:dyDescent="0.25">
      <c r="A678" t="str">
        <f>"20190312151236169"</f>
        <v>20190312151236169</v>
      </c>
      <c r="B678" t="str">
        <f>"1552374756160422"</f>
        <v>1552374756160422</v>
      </c>
      <c r="C678" t="s">
        <v>40</v>
      </c>
      <c r="D678">
        <v>4.1005099999999999</v>
      </c>
      <c r="E678">
        <v>0.52266869999999999</v>
      </c>
      <c r="F678" t="s">
        <v>44</v>
      </c>
      <c r="G678">
        <v>0</v>
      </c>
      <c r="H678">
        <v>0</v>
      </c>
      <c r="I678">
        <v>0</v>
      </c>
      <c r="J678">
        <v>-302.48599999999999</v>
      </c>
      <c r="K678">
        <v>1.060503</v>
      </c>
      <c r="L678">
        <v>366.85910000000001</v>
      </c>
      <c r="M678">
        <v>0.99978049999999996</v>
      </c>
      <c r="N678">
        <v>0</v>
      </c>
      <c r="O678">
        <v>1.47509999999999E-2</v>
      </c>
      <c r="P678">
        <v>0.99521369999999998</v>
      </c>
      <c r="Q678">
        <v>6.6733689999999998E-2</v>
      </c>
      <c r="R678">
        <v>-7.1388640000000003E-2</v>
      </c>
      <c r="S678">
        <v>2.9848330000000001</v>
      </c>
      <c r="T678">
        <v>1.8832680000000001E-2</v>
      </c>
      <c r="U678">
        <v>-0.39593509999999998</v>
      </c>
      <c r="V678">
        <v>8.6066039999999996E-2</v>
      </c>
      <c r="W678">
        <v>8.1515190000000001E-2</v>
      </c>
      <c r="X678">
        <v>0.99294910000000003</v>
      </c>
      <c r="Y678">
        <v>0.14610419999999999</v>
      </c>
      <c r="Z678">
        <v>5.5159939999999998E-4</v>
      </c>
      <c r="AA678">
        <v>0.98926910000000001</v>
      </c>
      <c r="AB678">
        <v>25</v>
      </c>
      <c r="AC678">
        <v>2.9848330000000001</v>
      </c>
      <c r="AD678">
        <v>1.8832680000000001E-2</v>
      </c>
      <c r="AE678">
        <v>-0.39593509999999998</v>
      </c>
      <c r="AF678">
        <v>0.439908947874534</v>
      </c>
      <c r="AG678">
        <v>1.8832680000000001E-2</v>
      </c>
      <c r="AH678">
        <v>2.9785505637527399</v>
      </c>
      <c r="AI678">
        <v>89.641624423705807</v>
      </c>
      <c r="AJ678">
        <v>81.598590582858094</v>
      </c>
      <c r="AK678">
        <v>3.0109197951934599</v>
      </c>
      <c r="AL678">
        <v>85.324335790815994</v>
      </c>
      <c r="AM678">
        <v>85.046143949179296</v>
      </c>
      <c r="AN678">
        <v>1.00000000231641</v>
      </c>
    </row>
    <row r="679" spans="1:40" x14ac:dyDescent="0.25">
      <c r="A679" t="str">
        <f>"20190312151236191"</f>
        <v>20190312151236191</v>
      </c>
      <c r="B679" t="str">
        <f>"1552374756179939"</f>
        <v>1552374756179939</v>
      </c>
      <c r="C679" t="s">
        <v>40</v>
      </c>
      <c r="D679">
        <v>4.201937</v>
      </c>
      <c r="E679">
        <v>0.52275649999999996</v>
      </c>
      <c r="F679" t="s">
        <v>44</v>
      </c>
      <c r="G679">
        <v>0</v>
      </c>
      <c r="H679">
        <v>0</v>
      </c>
      <c r="I679">
        <v>0</v>
      </c>
      <c r="J679">
        <v>-302.23779999999999</v>
      </c>
      <c r="K679">
        <v>1.060503</v>
      </c>
      <c r="L679">
        <v>366.86279999999999</v>
      </c>
      <c r="M679">
        <v>0.99978069999999997</v>
      </c>
      <c r="N679">
        <v>0</v>
      </c>
      <c r="O679">
        <v>1.475106E-2</v>
      </c>
      <c r="P679">
        <v>0.99514590000000003</v>
      </c>
      <c r="Q679">
        <v>6.7113430000000002E-2</v>
      </c>
      <c r="R679">
        <v>-7.1978310000000004E-2</v>
      </c>
      <c r="S679">
        <v>2.9845280000000001</v>
      </c>
      <c r="T679">
        <v>2.1452189999999999E-2</v>
      </c>
      <c r="U679">
        <v>-0.39675899999999997</v>
      </c>
      <c r="V679">
        <v>8.6654480000000006E-2</v>
      </c>
      <c r="W679">
        <v>8.1885899999999998E-2</v>
      </c>
      <c r="X679">
        <v>0.99286739999999996</v>
      </c>
      <c r="Y679">
        <v>0.14638489999999901</v>
      </c>
      <c r="Z679">
        <v>6.2937849999999897E-4</v>
      </c>
      <c r="AA679">
        <v>0.98922750000000004</v>
      </c>
      <c r="AB679">
        <v>25</v>
      </c>
      <c r="AC679">
        <v>2.9845280000000001</v>
      </c>
      <c r="AD679">
        <v>2.1452189999999999E-2</v>
      </c>
      <c r="AE679">
        <v>-0.39675899999999997</v>
      </c>
      <c r="AF679">
        <v>0.44072326388994099</v>
      </c>
      <c r="AG679">
        <v>2.1452189999999999E-2</v>
      </c>
      <c r="AH679">
        <v>2.9781987456688599</v>
      </c>
      <c r="AI679">
        <v>89.591747126245707</v>
      </c>
      <c r="AJ679">
        <v>81.582281258977901</v>
      </c>
      <c r="AK679">
        <v>3.01070838184192</v>
      </c>
      <c r="AL679">
        <v>85.303024353507297</v>
      </c>
      <c r="AM679">
        <v>85.012035988453704</v>
      </c>
      <c r="AN679">
        <v>0.99999998675281998</v>
      </c>
    </row>
    <row r="680" spans="1:40" x14ac:dyDescent="0.25">
      <c r="A680" t="str">
        <f>"20190312151236214"</f>
        <v>20190312151236214</v>
      </c>
      <c r="B680" t="str">
        <f>"1552374756210196"</f>
        <v>1552374756210196</v>
      </c>
      <c r="C680" t="s">
        <v>40</v>
      </c>
      <c r="D680">
        <v>4.0077790000000002</v>
      </c>
      <c r="E680">
        <v>0.52292950000000005</v>
      </c>
      <c r="F680" t="s">
        <v>44</v>
      </c>
      <c r="G680">
        <v>0</v>
      </c>
      <c r="H680">
        <v>0</v>
      </c>
      <c r="I680">
        <v>0</v>
      </c>
      <c r="J680">
        <v>-301.98829999999998</v>
      </c>
      <c r="K680">
        <v>1.060508</v>
      </c>
      <c r="L680">
        <v>366.8664</v>
      </c>
      <c r="M680">
        <v>0.99978069999999997</v>
      </c>
      <c r="N680">
        <v>0</v>
      </c>
      <c r="O680">
        <v>1.475112E-2</v>
      </c>
      <c r="P680">
        <v>0.99504579999999998</v>
      </c>
      <c r="Q680">
        <v>6.7383579999999998E-2</v>
      </c>
      <c r="R680">
        <v>-7.309918E-2</v>
      </c>
      <c r="S680">
        <v>2.9841310000000001</v>
      </c>
      <c r="T680">
        <v>2.4358149999999999E-2</v>
      </c>
      <c r="U680">
        <v>-0.39916990000000002</v>
      </c>
      <c r="V680">
        <v>8.7773889999999993E-2</v>
      </c>
      <c r="W680">
        <v>8.2146789999999997E-2</v>
      </c>
      <c r="X680">
        <v>0.9927475</v>
      </c>
      <c r="Y680">
        <v>0.14718609999999999</v>
      </c>
      <c r="Z680">
        <v>7.1794539999999905E-4</v>
      </c>
      <c r="AA680">
        <v>0.9891086</v>
      </c>
      <c r="AB680">
        <v>25</v>
      </c>
      <c r="AC680">
        <v>2.9841310000000001</v>
      </c>
      <c r="AD680">
        <v>2.4358149999999999E-2</v>
      </c>
      <c r="AE680">
        <v>-0.39916990000000002</v>
      </c>
      <c r="AF680">
        <v>0.44312159264134598</v>
      </c>
      <c r="AG680">
        <v>2.4358149999999999E-2</v>
      </c>
      <c r="AH680">
        <v>2.97772247966769</v>
      </c>
      <c r="AI680">
        <v>89.536428248146706</v>
      </c>
      <c r="AJ680">
        <v>81.535801321963206</v>
      </c>
      <c r="AK680">
        <v>3.0106114381059998</v>
      </c>
      <c r="AL680">
        <v>85.288025871036893</v>
      </c>
      <c r="AM680">
        <v>84.947325386156294</v>
      </c>
      <c r="AN680">
        <v>0.99999997481464198</v>
      </c>
    </row>
    <row r="681" spans="1:40" x14ac:dyDescent="0.25">
      <c r="A681" t="str">
        <f>"20190312151236247"</f>
        <v>20190312151236247</v>
      </c>
      <c r="B681" t="str">
        <f>"1552374756240454"</f>
        <v>1552374756240454</v>
      </c>
      <c r="C681" t="s">
        <v>40</v>
      </c>
      <c r="D681">
        <v>4.0838299999999998</v>
      </c>
      <c r="E681">
        <v>0.52308829999999995</v>
      </c>
      <c r="F681" t="s">
        <v>44</v>
      </c>
      <c r="G681">
        <v>0</v>
      </c>
      <c r="H681">
        <v>0</v>
      </c>
      <c r="I681">
        <v>0</v>
      </c>
      <c r="J681">
        <v>-301.62</v>
      </c>
      <c r="K681">
        <v>1.060516</v>
      </c>
      <c r="L681">
        <v>366.87189999999998</v>
      </c>
      <c r="M681">
        <v>0.99978100000000003</v>
      </c>
      <c r="N681">
        <v>0</v>
      </c>
      <c r="O681">
        <v>1.475073E-2</v>
      </c>
      <c r="P681">
        <v>0.99501499999999998</v>
      </c>
      <c r="Q681">
        <v>6.7421120000000001E-2</v>
      </c>
      <c r="R681">
        <v>-7.3483290000000007E-2</v>
      </c>
      <c r="S681">
        <v>2.9838559999999998</v>
      </c>
      <c r="T681">
        <v>2.053928E-2</v>
      </c>
      <c r="U681">
        <v>-0.40396120000000002</v>
      </c>
      <c r="V681">
        <v>8.8157150000000004E-2</v>
      </c>
      <c r="W681">
        <v>8.2172930000000005E-2</v>
      </c>
      <c r="X681">
        <v>0.99271140000000002</v>
      </c>
      <c r="Y681">
        <v>0.148759</v>
      </c>
      <c r="Z681">
        <v>6.1076589999999997E-4</v>
      </c>
      <c r="AA681">
        <v>0.98887329999999996</v>
      </c>
      <c r="AB681">
        <v>25</v>
      </c>
      <c r="AC681">
        <v>2.9838559999999998</v>
      </c>
      <c r="AD681">
        <v>2.053928E-2</v>
      </c>
      <c r="AE681">
        <v>-0.40396120000000002</v>
      </c>
      <c r="AF681">
        <v>0.44791530362596399</v>
      </c>
      <c r="AG681">
        <v>2.053928E-2</v>
      </c>
      <c r="AH681">
        <v>2.9774333738064498</v>
      </c>
      <c r="AI681">
        <v>89.609159519196297</v>
      </c>
      <c r="AJ681">
        <v>81.444764491968101</v>
      </c>
      <c r="AK681">
        <v>3.0110063893492001</v>
      </c>
      <c r="AL681">
        <v>85.286523191018205</v>
      </c>
      <c r="AM681">
        <v>84.9251945252865</v>
      </c>
      <c r="AN681">
        <v>0.99999999860543298</v>
      </c>
    </row>
    <row r="682" spans="1:40" x14ac:dyDescent="0.25">
      <c r="A682" t="str">
        <f>"20190312151236271"</f>
        <v>20190312151236271</v>
      </c>
      <c r="B682" t="str">
        <f>"1552374756260468"</f>
        <v>1552374756260468</v>
      </c>
      <c r="C682" t="s">
        <v>40</v>
      </c>
      <c r="D682">
        <v>4.0025029999999999</v>
      </c>
      <c r="E682">
        <v>0.52318310000000001</v>
      </c>
      <c r="F682" t="s">
        <v>44</v>
      </c>
      <c r="G682">
        <v>0</v>
      </c>
      <c r="H682">
        <v>0</v>
      </c>
      <c r="I682">
        <v>0</v>
      </c>
      <c r="J682">
        <v>-301.36110000000002</v>
      </c>
      <c r="K682">
        <v>1.06051299999999</v>
      </c>
      <c r="L682">
        <v>366.87569999999999</v>
      </c>
      <c r="M682">
        <v>0.99978109999999998</v>
      </c>
      <c r="N682">
        <v>0</v>
      </c>
      <c r="O682">
        <v>1.475078E-2</v>
      </c>
      <c r="P682">
        <v>0.99493279999999995</v>
      </c>
      <c r="Q682">
        <v>6.774935E-2</v>
      </c>
      <c r="R682">
        <v>-7.4290739999999994E-2</v>
      </c>
      <c r="S682">
        <v>2.9837950000000002</v>
      </c>
      <c r="T682">
        <v>1.73496E-2</v>
      </c>
      <c r="U682">
        <v>-0.40679929999999997</v>
      </c>
      <c r="V682">
        <v>8.896337E-2</v>
      </c>
      <c r="W682">
        <v>8.2492289999999996E-2</v>
      </c>
      <c r="X682">
        <v>0.99261299999999997</v>
      </c>
      <c r="Y682">
        <v>0.14968629999999999</v>
      </c>
      <c r="Z682">
        <v>5.1857919999999998E-4</v>
      </c>
      <c r="AA682">
        <v>0.98873339999999998</v>
      </c>
      <c r="AB682">
        <v>25</v>
      </c>
      <c r="AC682">
        <v>2.9837950000000002</v>
      </c>
      <c r="AD682">
        <v>1.73496E-2</v>
      </c>
      <c r="AE682">
        <v>-0.40679929999999997</v>
      </c>
      <c r="AF682">
        <v>0.45075821868493199</v>
      </c>
      <c r="AG682">
        <v>1.73496E-2</v>
      </c>
      <c r="AH682">
        <v>2.9773702009534699</v>
      </c>
      <c r="AI682">
        <v>89.669893905509696</v>
      </c>
      <c r="AJ682">
        <v>81.391095593673597</v>
      </c>
      <c r="AK682">
        <v>3.0113480858010799</v>
      </c>
      <c r="AL682">
        <v>85.268162946151094</v>
      </c>
      <c r="AM682">
        <v>84.878524818861294</v>
      </c>
      <c r="AN682">
        <v>1.0000000134400999</v>
      </c>
    </row>
    <row r="683" spans="1:40" x14ac:dyDescent="0.25">
      <c r="A683" t="str">
        <f>"20190312151236291"</f>
        <v>20190312151236291</v>
      </c>
      <c r="B683" t="str">
        <f>"1552374756279988"</f>
        <v>1552374756279988</v>
      </c>
      <c r="C683" t="s">
        <v>40</v>
      </c>
      <c r="D683">
        <v>3.938021</v>
      </c>
      <c r="E683">
        <v>0.52326620000000001</v>
      </c>
      <c r="F683" t="s">
        <v>44</v>
      </c>
      <c r="G683">
        <v>0</v>
      </c>
      <c r="H683">
        <v>0</v>
      </c>
      <c r="I683">
        <v>0</v>
      </c>
      <c r="J683">
        <v>-301.13069999999999</v>
      </c>
      <c r="K683">
        <v>1.060511</v>
      </c>
      <c r="L683">
        <v>366.87909999999999</v>
      </c>
      <c r="M683">
        <v>0.99978109999999998</v>
      </c>
      <c r="N683">
        <v>0</v>
      </c>
      <c r="O683">
        <v>1.4750650000000001E-2</v>
      </c>
      <c r="P683">
        <v>0.99489810000000001</v>
      </c>
      <c r="Q683">
        <v>6.8181140000000001E-2</v>
      </c>
      <c r="R683">
        <v>-7.4360800000000005E-2</v>
      </c>
      <c r="S683">
        <v>2.9836429999999998</v>
      </c>
      <c r="T683">
        <v>1.4997119999999999E-2</v>
      </c>
      <c r="U683">
        <v>-0.40982059999999998</v>
      </c>
      <c r="V683">
        <v>8.9032639999999996E-2</v>
      </c>
      <c r="W683">
        <v>8.2917099999999994E-2</v>
      </c>
      <c r="X683">
        <v>0.99257139999999999</v>
      </c>
      <c r="Y683">
        <v>0.15067630000000001</v>
      </c>
      <c r="Z683">
        <v>4.5073269999999999E-4</v>
      </c>
      <c r="AA683">
        <v>0.98858299999999999</v>
      </c>
      <c r="AB683">
        <v>25</v>
      </c>
      <c r="AC683">
        <v>2.9836429999999998</v>
      </c>
      <c r="AD683">
        <v>1.4997119999999999E-2</v>
      </c>
      <c r="AE683">
        <v>-0.40982059999999998</v>
      </c>
      <c r="AF683">
        <v>0.45378026983772102</v>
      </c>
      <c r="AG683">
        <v>1.4997119999999999E-2</v>
      </c>
      <c r="AH683">
        <v>2.9771987054702902</v>
      </c>
      <c r="AI683">
        <v>89.714680039071695</v>
      </c>
      <c r="AJ683">
        <v>81.333760029419096</v>
      </c>
      <c r="AK683">
        <v>3.01161975998901</v>
      </c>
      <c r="AL683">
        <v>85.243739486310503</v>
      </c>
      <c r="AM683">
        <v>84.874344620848106</v>
      </c>
      <c r="AN683">
        <v>1.0000000202778601</v>
      </c>
    </row>
    <row r="684" spans="1:40" x14ac:dyDescent="0.25">
      <c r="A684" t="str">
        <f>"20190312151236315"</f>
        <v>20190312151236315</v>
      </c>
      <c r="B684" t="str">
        <f>"1552374756310244"</f>
        <v>1552374756310244</v>
      </c>
      <c r="C684" t="s">
        <v>40</v>
      </c>
      <c r="D684">
        <v>4.0607670000000002</v>
      </c>
      <c r="E684">
        <v>0.52338960000000001</v>
      </c>
      <c r="F684" t="s">
        <v>44</v>
      </c>
      <c r="G684">
        <v>0</v>
      </c>
      <c r="H684">
        <v>0</v>
      </c>
      <c r="I684">
        <v>0</v>
      </c>
      <c r="J684">
        <v>-300.87990000000002</v>
      </c>
      <c r="K684">
        <v>1.0605059999999999</v>
      </c>
      <c r="L684">
        <v>366.88279999999997</v>
      </c>
      <c r="M684">
        <v>0.99978109999999998</v>
      </c>
      <c r="N684">
        <v>0</v>
      </c>
      <c r="O684">
        <v>1.47507E-2</v>
      </c>
      <c r="P684">
        <v>0.99483010000000005</v>
      </c>
      <c r="Q684">
        <v>6.8478349999999993E-2</v>
      </c>
      <c r="R684">
        <v>-7.4993950000000004E-2</v>
      </c>
      <c r="S684">
        <v>2.983765</v>
      </c>
      <c r="T684">
        <v>1.3703699999999999E-2</v>
      </c>
      <c r="U684">
        <v>-0.41067500000000001</v>
      </c>
      <c r="V684">
        <v>8.9664820000000006E-2</v>
      </c>
      <c r="W684">
        <v>8.3206500000000003E-2</v>
      </c>
      <c r="X684">
        <v>0.99249019999999999</v>
      </c>
      <c r="Y684">
        <v>0.1509491</v>
      </c>
      <c r="Z684">
        <v>4.1245890000000002E-4</v>
      </c>
      <c r="AA684">
        <v>0.98854140000000001</v>
      </c>
      <c r="AB684">
        <v>25</v>
      </c>
      <c r="AC684">
        <v>2.983765</v>
      </c>
      <c r="AD684">
        <v>1.3703699999999999E-2</v>
      </c>
      <c r="AE684">
        <v>-0.41067500000000001</v>
      </c>
      <c r="AF684">
        <v>0.45463836646619299</v>
      </c>
      <c r="AG684">
        <v>1.3703699999999999E-2</v>
      </c>
      <c r="AH684">
        <v>2.9773202574566602</v>
      </c>
      <c r="AI684">
        <v>89.739308581228798</v>
      </c>
      <c r="AJ684">
        <v>81.317970768579897</v>
      </c>
      <c r="AK684">
        <v>3.0118631693884299</v>
      </c>
      <c r="AL684">
        <v>85.227100251243598</v>
      </c>
      <c r="AM684">
        <v>84.837725582379406</v>
      </c>
      <c r="AN684">
        <v>0.99999994934195902</v>
      </c>
    </row>
    <row r="685" spans="1:40" x14ac:dyDescent="0.25">
      <c r="A685" t="str">
        <f>"20190312151236336"</f>
        <v>20190312151236336</v>
      </c>
      <c r="B685" t="str">
        <f>"1552374756330741"</f>
        <v>1552374756330741</v>
      </c>
      <c r="C685" t="s">
        <v>40</v>
      </c>
      <c r="D685">
        <v>3.9523899999999998</v>
      </c>
      <c r="E685">
        <v>0.52354899999999904</v>
      </c>
      <c r="F685" t="s">
        <v>44</v>
      </c>
      <c r="G685">
        <v>0</v>
      </c>
      <c r="H685">
        <v>0</v>
      </c>
      <c r="I685">
        <v>0</v>
      </c>
      <c r="J685">
        <v>-300.63600000000002</v>
      </c>
      <c r="K685">
        <v>1.060511</v>
      </c>
      <c r="L685">
        <v>366.88639999999998</v>
      </c>
      <c r="M685">
        <v>0.99978140000000004</v>
      </c>
      <c r="N685">
        <v>0</v>
      </c>
      <c r="O685">
        <v>1.474871E-2</v>
      </c>
      <c r="P685">
        <v>0.99479390000000001</v>
      </c>
      <c r="Q685">
        <v>6.8642380000000003E-2</v>
      </c>
      <c r="R685">
        <v>-7.5326489999999996E-2</v>
      </c>
      <c r="S685">
        <v>2.9837340000000001</v>
      </c>
      <c r="T685">
        <v>1.0043740000000001E-2</v>
      </c>
      <c r="U685">
        <v>-0.4135742</v>
      </c>
      <c r="V685">
        <v>8.999501E-2</v>
      </c>
      <c r="W685">
        <v>8.3362829999999999E-2</v>
      </c>
      <c r="X685">
        <v>0.99244730000000003</v>
      </c>
      <c r="Y685">
        <v>0.15189169999999999</v>
      </c>
      <c r="Z685">
        <v>3.0385630000000002E-4</v>
      </c>
      <c r="AA685">
        <v>0.98839710000000003</v>
      </c>
      <c r="AB685">
        <v>25</v>
      </c>
      <c r="AC685">
        <v>2.9837340000000001</v>
      </c>
      <c r="AD685">
        <v>1.0043740000000001E-2</v>
      </c>
      <c r="AE685">
        <v>-0.4135742</v>
      </c>
      <c r="AF685">
        <v>0.45753518056262699</v>
      </c>
      <c r="AG685">
        <v>1.0043740000000001E-2</v>
      </c>
      <c r="AH685">
        <v>2.97727593785782</v>
      </c>
      <c r="AI685">
        <v>89.808958019048006</v>
      </c>
      <c r="AJ685">
        <v>81.263374383269806</v>
      </c>
      <c r="AK685">
        <v>3.01224357054884</v>
      </c>
      <c r="AL685">
        <v>85.218112472570198</v>
      </c>
      <c r="AM685">
        <v>84.818596078833394</v>
      </c>
      <c r="AN685">
        <v>1.00000005326389</v>
      </c>
    </row>
    <row r="686" spans="1:40" x14ac:dyDescent="0.25">
      <c r="A686" t="str">
        <f>"20190312151236358"</f>
        <v>20190312151236358</v>
      </c>
      <c r="B686" t="str">
        <f>"1552374756350260"</f>
        <v>1552374756350260</v>
      </c>
      <c r="C686" t="s">
        <v>40</v>
      </c>
      <c r="D686">
        <v>3.9784160000000002</v>
      </c>
      <c r="E686">
        <v>0.52368190000000003</v>
      </c>
      <c r="F686" t="s">
        <v>44</v>
      </c>
      <c r="G686">
        <v>0</v>
      </c>
      <c r="H686">
        <v>0</v>
      </c>
      <c r="I686">
        <v>0</v>
      </c>
      <c r="J686">
        <v>-300.39389999999997</v>
      </c>
      <c r="K686">
        <v>1.0605089999999999</v>
      </c>
      <c r="L686">
        <v>366.89</v>
      </c>
      <c r="M686">
        <v>0.99978149999999999</v>
      </c>
      <c r="N686">
        <v>0</v>
      </c>
      <c r="O686">
        <v>1.474372E-2</v>
      </c>
      <c r="P686">
        <v>0.99474200000000002</v>
      </c>
      <c r="Q686">
        <v>6.8966299999999994E-2</v>
      </c>
      <c r="R686">
        <v>-7.5712199999999993E-2</v>
      </c>
      <c r="S686">
        <v>2.9834900000000002</v>
      </c>
      <c r="T686">
        <v>1.0416979999999999E-2</v>
      </c>
      <c r="U686">
        <v>-0.4159851</v>
      </c>
      <c r="V686">
        <v>9.0375269999999994E-2</v>
      </c>
      <c r="W686">
        <v>8.3678820000000001E-2</v>
      </c>
      <c r="X686">
        <v>0.99238610000000005</v>
      </c>
      <c r="Y686">
        <v>0.15268119999999999</v>
      </c>
      <c r="Z686">
        <v>3.165105E-4</v>
      </c>
      <c r="AA686">
        <v>0.98827540000000003</v>
      </c>
      <c r="AB686">
        <v>25</v>
      </c>
      <c r="AC686">
        <v>2.9834900000000002</v>
      </c>
      <c r="AD686">
        <v>1.0416979999999999E-2</v>
      </c>
      <c r="AE686">
        <v>-0.4159851</v>
      </c>
      <c r="AF686">
        <v>0.45992694605436302</v>
      </c>
      <c r="AG686">
        <v>1.0416979999999999E-2</v>
      </c>
      <c r="AH686">
        <v>2.9769961983118698</v>
      </c>
      <c r="AI686">
        <v>89.801864449005706</v>
      </c>
      <c r="AJ686">
        <v>81.217601425219797</v>
      </c>
      <c r="AK686">
        <v>3.0123325968329802</v>
      </c>
      <c r="AL686">
        <v>85.199943858109407</v>
      </c>
      <c r="AM686">
        <v>84.796503660379898</v>
      </c>
      <c r="AN686">
        <v>1.00000000290868</v>
      </c>
    </row>
    <row r="687" spans="1:40" x14ac:dyDescent="0.25">
      <c r="A687" t="str">
        <f>"20190312151236382"</f>
        <v>20190312151236382</v>
      </c>
      <c r="B687" t="str">
        <f>"1552374756370287"</f>
        <v>1552374756370287</v>
      </c>
      <c r="C687" t="s">
        <v>40</v>
      </c>
      <c r="D687">
        <v>3.974904</v>
      </c>
      <c r="E687">
        <v>0.52378270000000005</v>
      </c>
      <c r="F687" t="s">
        <v>44</v>
      </c>
      <c r="G687">
        <v>0</v>
      </c>
      <c r="H687">
        <v>0</v>
      </c>
      <c r="I687">
        <v>0</v>
      </c>
      <c r="J687">
        <v>-300.14479999999998</v>
      </c>
      <c r="K687">
        <v>1.060508</v>
      </c>
      <c r="L687">
        <v>366.89359999999999</v>
      </c>
      <c r="M687">
        <v>0.99978180000000005</v>
      </c>
      <c r="N687">
        <v>0</v>
      </c>
      <c r="O687">
        <v>1.473285E-2</v>
      </c>
      <c r="P687">
        <v>0.99468109999999998</v>
      </c>
      <c r="Q687">
        <v>6.9139439999999996E-2</v>
      </c>
      <c r="R687">
        <v>-7.6349440000000005E-2</v>
      </c>
      <c r="S687">
        <v>2.983215</v>
      </c>
      <c r="T687">
        <v>1.180959E-2</v>
      </c>
      <c r="U687">
        <v>-0.41793819999999998</v>
      </c>
      <c r="V687">
        <v>9.1001910000000005E-2</v>
      </c>
      <c r="W687">
        <v>8.3843230000000005E-2</v>
      </c>
      <c r="X687">
        <v>0.9923149</v>
      </c>
      <c r="Y687">
        <v>0.15331719999999999</v>
      </c>
      <c r="Z687">
        <v>3.6004960000000002E-4</v>
      </c>
      <c r="AA687">
        <v>0.98817690000000002</v>
      </c>
      <c r="AB687">
        <v>24</v>
      </c>
      <c r="AC687">
        <v>2.983215</v>
      </c>
      <c r="AD687">
        <v>1.180959E-2</v>
      </c>
      <c r="AE687">
        <v>-0.41793819999999998</v>
      </c>
      <c r="AF687">
        <v>0.46184181020369702</v>
      </c>
      <c r="AG687">
        <v>1.180959E-2</v>
      </c>
      <c r="AH687">
        <v>2.9766873015468902</v>
      </c>
      <c r="AI687">
        <v>89.775375732346703</v>
      </c>
      <c r="AJ687">
        <v>81.180709533711706</v>
      </c>
      <c r="AK687">
        <v>3.0123254497578298</v>
      </c>
      <c r="AL687">
        <v>85.190490373519594</v>
      </c>
      <c r="AM687">
        <v>84.760250163317295</v>
      </c>
      <c r="AN687">
        <v>0.99999994780124402</v>
      </c>
    </row>
    <row r="688" spans="1:40" x14ac:dyDescent="0.25">
      <c r="A688" t="str">
        <f>"20190312151236403"</f>
        <v>20190312151236403</v>
      </c>
      <c r="B688" t="str">
        <f>"1552374756400544"</f>
        <v>1552374756400544</v>
      </c>
      <c r="C688" t="s">
        <v>40</v>
      </c>
      <c r="D688">
        <v>4.0372180000000002</v>
      </c>
      <c r="E688">
        <v>0.5240629</v>
      </c>
      <c r="F688" t="s">
        <v>44</v>
      </c>
      <c r="G688">
        <v>0</v>
      </c>
      <c r="H688">
        <v>0</v>
      </c>
      <c r="I688">
        <v>0</v>
      </c>
      <c r="J688">
        <v>-299.9083</v>
      </c>
      <c r="K688">
        <v>1.0605039999999999</v>
      </c>
      <c r="L688">
        <v>366.89710000000002</v>
      </c>
      <c r="M688">
        <v>0.99978219999999995</v>
      </c>
      <c r="N688">
        <v>0</v>
      </c>
      <c r="O688">
        <v>1.471689E-2</v>
      </c>
      <c r="P688">
        <v>0.99460910000000002</v>
      </c>
      <c r="Q688">
        <v>6.9417969999999996E-2</v>
      </c>
      <c r="R688">
        <v>-7.7033899999999905E-2</v>
      </c>
      <c r="S688">
        <v>2.982971</v>
      </c>
      <c r="T688">
        <v>1.080501E-2</v>
      </c>
      <c r="U688">
        <v>-0.42083739999999997</v>
      </c>
      <c r="V688">
        <v>9.1670340000000003E-2</v>
      </c>
      <c r="W688">
        <v>8.4113579999999993E-2</v>
      </c>
      <c r="X688">
        <v>0.99223050000000002</v>
      </c>
      <c r="Y688">
        <v>0.15425449999999999</v>
      </c>
      <c r="Z688">
        <v>3.310586E-4</v>
      </c>
      <c r="AA688">
        <v>0.98803110000000005</v>
      </c>
      <c r="AB688">
        <v>24</v>
      </c>
      <c r="AC688">
        <v>2.982971</v>
      </c>
      <c r="AD688">
        <v>1.080501E-2</v>
      </c>
      <c r="AE688">
        <v>-0.42083739999999997</v>
      </c>
      <c r="AF688">
        <v>0.46469069878195601</v>
      </c>
      <c r="AG688">
        <v>1.080501E-2</v>
      </c>
      <c r="AH688">
        <v>2.9764154895727701</v>
      </c>
      <c r="AI688">
        <v>89.794494737929398</v>
      </c>
      <c r="AJ688">
        <v>81.126373038964303</v>
      </c>
      <c r="AK688">
        <v>3.0124912216211199</v>
      </c>
      <c r="AL688">
        <v>85.1749455842549</v>
      </c>
      <c r="AM688">
        <v>84.721533153139603</v>
      </c>
      <c r="AN688">
        <v>0.99999995535318997</v>
      </c>
    </row>
    <row r="689" spans="1:40" x14ac:dyDescent="0.25">
      <c r="A689" t="str">
        <f>"20190312151236426"</f>
        <v>20190312151236426</v>
      </c>
      <c r="B689" t="str">
        <f>"1552374756420063"</f>
        <v>1552374756420063</v>
      </c>
      <c r="C689" t="s">
        <v>40</v>
      </c>
      <c r="D689">
        <v>4.1018720000000002</v>
      </c>
      <c r="E689">
        <v>0.52422650000000004</v>
      </c>
      <c r="F689" t="s">
        <v>44</v>
      </c>
      <c r="G689">
        <v>0</v>
      </c>
      <c r="H689">
        <v>0</v>
      </c>
      <c r="I689">
        <v>0</v>
      </c>
      <c r="J689">
        <v>-299.66430000000003</v>
      </c>
      <c r="K689">
        <v>1.0604990000000001</v>
      </c>
      <c r="L689">
        <v>366.9006</v>
      </c>
      <c r="M689">
        <v>0.99978259999999997</v>
      </c>
      <c r="N689">
        <v>0</v>
      </c>
      <c r="O689">
        <v>1.4694550000000001E-2</v>
      </c>
      <c r="P689">
        <v>0.99455689999999997</v>
      </c>
      <c r="Q689">
        <v>6.9785459999999994E-2</v>
      </c>
      <c r="R689">
        <v>-7.737571E-2</v>
      </c>
      <c r="S689">
        <v>2.9828489999999999</v>
      </c>
      <c r="T689">
        <v>7.1623329999999999E-3</v>
      </c>
      <c r="U689">
        <v>-0.42544559999999998</v>
      </c>
      <c r="V689">
        <v>9.199011E-2</v>
      </c>
      <c r="W689">
        <v>8.4472790000000006E-2</v>
      </c>
      <c r="X689">
        <v>0.99217049999999996</v>
      </c>
      <c r="Y689">
        <v>0.15573480000000001</v>
      </c>
      <c r="Z689">
        <v>2.2114979999999999E-4</v>
      </c>
      <c r="AA689">
        <v>0.98779890000000004</v>
      </c>
      <c r="AB689">
        <v>24</v>
      </c>
      <c r="AC689">
        <v>2.9828489999999999</v>
      </c>
      <c r="AD689">
        <v>7.1623329999999999E-3</v>
      </c>
      <c r="AE689">
        <v>-0.42544559999999998</v>
      </c>
      <c r="AF689">
        <v>0.46923342303245602</v>
      </c>
      <c r="AG689">
        <v>7.1623329999999999E-3</v>
      </c>
      <c r="AH689">
        <v>2.97625763550657</v>
      </c>
      <c r="AI689">
        <v>89.863800877706495</v>
      </c>
      <c r="AJ689">
        <v>81.040559176605299</v>
      </c>
      <c r="AK689">
        <v>3.0130285125129399</v>
      </c>
      <c r="AL689">
        <v>85.154291397472903</v>
      </c>
      <c r="AM689">
        <v>84.702906542035294</v>
      </c>
      <c r="AN689">
        <v>1.0000000668292199</v>
      </c>
    </row>
    <row r="690" spans="1:40" x14ac:dyDescent="0.25">
      <c r="A690" t="str">
        <f>"20190312151236448"</f>
        <v>20190312151236448</v>
      </c>
      <c r="B690" t="str">
        <f>"1552374756440563"</f>
        <v>1552374756440563</v>
      </c>
      <c r="C690" t="s">
        <v>40</v>
      </c>
      <c r="D690">
        <v>4.0596170000000003</v>
      </c>
      <c r="E690">
        <v>0.52432780000000001</v>
      </c>
      <c r="F690" t="s">
        <v>44</v>
      </c>
      <c r="G690">
        <v>0</v>
      </c>
      <c r="H690">
        <v>0</v>
      </c>
      <c r="I690">
        <v>0</v>
      </c>
      <c r="J690">
        <v>-299.42610000000002</v>
      </c>
      <c r="K690">
        <v>1.060492</v>
      </c>
      <c r="L690">
        <v>366.90410000000003</v>
      </c>
      <c r="M690">
        <v>0.99978299999999998</v>
      </c>
      <c r="N690">
        <v>0</v>
      </c>
      <c r="O690">
        <v>1.466758E-2</v>
      </c>
      <c r="P690">
        <v>0.99451239999999996</v>
      </c>
      <c r="Q690">
        <v>6.9745009999999996E-2</v>
      </c>
      <c r="R690">
        <v>-7.7977820000000003E-2</v>
      </c>
      <c r="S690">
        <v>2.9827270000000001</v>
      </c>
      <c r="T690">
        <v>6.2257049999999998E-3</v>
      </c>
      <c r="U690">
        <v>-0.42749019999999999</v>
      </c>
      <c r="V690">
        <v>9.2565850000000005E-2</v>
      </c>
      <c r="W690">
        <v>8.4424330000000006E-2</v>
      </c>
      <c r="X690">
        <v>0.99212100000000003</v>
      </c>
      <c r="Y690">
        <v>0.1563774</v>
      </c>
      <c r="Z690">
        <v>1.9283970000000001E-4</v>
      </c>
      <c r="AA690">
        <v>0.98769739999999995</v>
      </c>
      <c r="AB690">
        <v>24</v>
      </c>
      <c r="AC690">
        <v>2.9827270000000001</v>
      </c>
      <c r="AD690">
        <v>6.2257049999999998E-3</v>
      </c>
      <c r="AE690">
        <v>-0.42749019999999999</v>
      </c>
      <c r="AF690">
        <v>0.47119636546937699</v>
      </c>
      <c r="AG690">
        <v>6.2257049999999998E-3</v>
      </c>
      <c r="AH690">
        <v>2.97612242599063</v>
      </c>
      <c r="AI690">
        <v>89.881618555517605</v>
      </c>
      <c r="AJ690">
        <v>81.003288892478196</v>
      </c>
      <c r="AK690">
        <v>3.0131992082699499</v>
      </c>
      <c r="AL690">
        <v>85.157077538253503</v>
      </c>
      <c r="AM690">
        <v>84.669679487777998</v>
      </c>
      <c r="AN690">
        <v>0.99999999136158502</v>
      </c>
    </row>
    <row r="691" spans="1:40" x14ac:dyDescent="0.25">
      <c r="A691" t="str">
        <f>"20190312151236471"</f>
        <v>20190312151236471</v>
      </c>
      <c r="B691" t="str">
        <f>"1552374756460530"</f>
        <v>1552374756460530</v>
      </c>
      <c r="C691" t="s">
        <v>40</v>
      </c>
      <c r="D691">
        <v>4.0068890000000001</v>
      </c>
      <c r="E691">
        <v>0.52451119999999996</v>
      </c>
      <c r="F691" t="s">
        <v>44</v>
      </c>
      <c r="G691">
        <v>0</v>
      </c>
      <c r="H691">
        <v>0</v>
      </c>
      <c r="I691">
        <v>0</v>
      </c>
      <c r="J691">
        <v>-299.17599999999999</v>
      </c>
      <c r="K691">
        <v>1.060489</v>
      </c>
      <c r="L691">
        <v>366.90780000000001</v>
      </c>
      <c r="M691">
        <v>0.99978370000000005</v>
      </c>
      <c r="N691">
        <v>0</v>
      </c>
      <c r="O691">
        <v>1.463414E-2</v>
      </c>
      <c r="P691">
        <v>0.99441570000000001</v>
      </c>
      <c r="Q691">
        <v>7.0689360000000007E-2</v>
      </c>
      <c r="R691">
        <v>-7.8362379999999995E-2</v>
      </c>
      <c r="S691">
        <v>2.982605</v>
      </c>
      <c r="T691">
        <v>2.525687E-3</v>
      </c>
      <c r="U691">
        <v>-0.43035889999999999</v>
      </c>
      <c r="V691">
        <v>9.2916390000000001E-2</v>
      </c>
      <c r="W691">
        <v>8.53603E-2</v>
      </c>
      <c r="X691">
        <v>0.99200809999999995</v>
      </c>
      <c r="Y691">
        <v>0.157281</v>
      </c>
      <c r="Z691" s="1">
        <v>7.8582869999999994E-5</v>
      </c>
      <c r="AA691">
        <v>0.98755389999999998</v>
      </c>
      <c r="AB691">
        <v>24</v>
      </c>
      <c r="AC691">
        <v>2.982605</v>
      </c>
      <c r="AD691">
        <v>2.525687E-3</v>
      </c>
      <c r="AE691">
        <v>-0.43035889999999999</v>
      </c>
      <c r="AF691">
        <v>0.473965098269781</v>
      </c>
      <c r="AG691">
        <v>2.525687E-3</v>
      </c>
      <c r="AH691">
        <v>2.97598482796537</v>
      </c>
      <c r="AI691">
        <v>89.951978895315193</v>
      </c>
      <c r="AJ691">
        <v>80.950885247372099</v>
      </c>
      <c r="AK691">
        <v>3.0134921585683299</v>
      </c>
      <c r="AL691">
        <v>85.103255930474603</v>
      </c>
      <c r="AM691">
        <v>84.649005493029804</v>
      </c>
      <c r="AN691">
        <v>0.99999995340616399</v>
      </c>
    </row>
    <row r="692" spans="1:40" x14ac:dyDescent="0.25">
      <c r="A692" t="str">
        <f>"20190312151236493"</f>
        <v>20190312151236493</v>
      </c>
      <c r="B692" t="str">
        <f>"1552374756489810"</f>
        <v>1552374756489810</v>
      </c>
      <c r="C692" t="s">
        <v>40</v>
      </c>
      <c r="D692">
        <v>4.1217969999999999</v>
      </c>
      <c r="E692">
        <v>0.52477390000000002</v>
      </c>
      <c r="F692" t="s">
        <v>44</v>
      </c>
      <c r="G692">
        <v>0</v>
      </c>
      <c r="H692">
        <v>0</v>
      </c>
      <c r="I692">
        <v>0</v>
      </c>
      <c r="J692">
        <v>-298.93700000000001</v>
      </c>
      <c r="K692">
        <v>1.060495</v>
      </c>
      <c r="L692">
        <v>366.91120000000001</v>
      </c>
      <c r="M692">
        <v>0.99978420000000001</v>
      </c>
      <c r="N692">
        <v>0</v>
      </c>
      <c r="O692">
        <v>1.4599529999999999E-2</v>
      </c>
      <c r="P692">
        <v>0.99430700000000005</v>
      </c>
      <c r="Q692">
        <v>7.1465189999999998E-2</v>
      </c>
      <c r="R692">
        <v>-7.9036780000000001E-2</v>
      </c>
      <c r="S692">
        <v>2.982605</v>
      </c>
      <c r="T692">
        <v>1.4407630000000001E-3</v>
      </c>
      <c r="U692">
        <v>-0.43307499999999999</v>
      </c>
      <c r="V692">
        <v>9.3554910000000005E-2</v>
      </c>
      <c r="W692">
        <v>8.6128049999999998E-2</v>
      </c>
      <c r="X692">
        <v>0.99188180000000004</v>
      </c>
      <c r="Y692">
        <v>0.15812770000000001</v>
      </c>
      <c r="Z692" s="1">
        <v>4.5011030000000002E-5</v>
      </c>
      <c r="AA692">
        <v>0.98741869999999998</v>
      </c>
      <c r="AB692">
        <v>24</v>
      </c>
      <c r="AC692">
        <v>2.982605</v>
      </c>
      <c r="AD692">
        <v>1.4407630000000001E-3</v>
      </c>
      <c r="AE692">
        <v>-0.43307499999999999</v>
      </c>
      <c r="AF692">
        <v>0.47657811156937602</v>
      </c>
      <c r="AG692">
        <v>1.4407630000000001E-3</v>
      </c>
      <c r="AH692">
        <v>2.9759629859304901</v>
      </c>
      <c r="AI692">
        <v>89.972610193951894</v>
      </c>
      <c r="AJ692">
        <v>80.901763173247602</v>
      </c>
      <c r="AK692">
        <v>3.0138819595089301</v>
      </c>
      <c r="AL692">
        <v>85.059104888660301</v>
      </c>
      <c r="AM692">
        <v>84.611767199158507</v>
      </c>
      <c r="AN692">
        <v>1.00000003367657</v>
      </c>
    </row>
    <row r="693" spans="1:40" x14ac:dyDescent="0.25">
      <c r="A693" t="str">
        <f>"20190312151236515"</f>
        <v>20190312151236515</v>
      </c>
      <c r="B693" t="str">
        <f>"1552374756510306"</f>
        <v>1552374756510306</v>
      </c>
      <c r="C693" t="s">
        <v>40</v>
      </c>
      <c r="D693">
        <v>4.3230490000000001</v>
      </c>
      <c r="E693">
        <v>0.52491639999999995</v>
      </c>
      <c r="F693" t="s">
        <v>44</v>
      </c>
      <c r="G693">
        <v>0</v>
      </c>
      <c r="H693">
        <v>0</v>
      </c>
      <c r="I693">
        <v>0</v>
      </c>
      <c r="J693">
        <v>-298.69909999999999</v>
      </c>
      <c r="K693">
        <v>1.0605</v>
      </c>
      <c r="L693">
        <v>366.91460000000001</v>
      </c>
      <c r="M693">
        <v>0.99978480000000003</v>
      </c>
      <c r="N693">
        <v>0</v>
      </c>
      <c r="O693">
        <v>1.456327E-2</v>
      </c>
      <c r="P693">
        <v>0.99419559999999996</v>
      </c>
      <c r="Q693">
        <v>7.2466649999999994E-2</v>
      </c>
      <c r="R693">
        <v>-7.9524709999999998E-2</v>
      </c>
      <c r="S693">
        <v>2.982513</v>
      </c>
      <c r="T693">
        <v>-1.1357069999999999E-3</v>
      </c>
      <c r="U693">
        <v>-0.43746950000000001</v>
      </c>
      <c r="V693">
        <v>9.4005259999999993E-2</v>
      </c>
      <c r="W693">
        <v>8.7121829999999997E-2</v>
      </c>
      <c r="X693">
        <v>0.99175239999999998</v>
      </c>
      <c r="Y693">
        <v>0.15952060000000001</v>
      </c>
      <c r="Z693" s="1">
        <v>-3.57281099999999E-5</v>
      </c>
      <c r="AA693">
        <v>0.98719460000000003</v>
      </c>
      <c r="AB693">
        <v>24</v>
      </c>
      <c r="AC693">
        <v>2.982513</v>
      </c>
      <c r="AD693">
        <v>-1.1357069999999999E-3</v>
      </c>
      <c r="AE693">
        <v>-0.43746950000000001</v>
      </c>
      <c r="AF693">
        <v>0.48086291101276202</v>
      </c>
      <c r="AG693">
        <v>-1.1357069999999999E-3</v>
      </c>
      <c r="AH693">
        <v>2.9758245310756002</v>
      </c>
      <c r="AI693">
        <v>90.021586606110006</v>
      </c>
      <c r="AJ693">
        <v>80.820929631452202</v>
      </c>
      <c r="AK693">
        <v>3.0144256615098999</v>
      </c>
      <c r="AL693">
        <v>85.001950539396503</v>
      </c>
      <c r="AM693">
        <v>84.585281142460801</v>
      </c>
      <c r="AN693">
        <v>1.00000001253798</v>
      </c>
    </row>
    <row r="694" spans="1:40" x14ac:dyDescent="0.25">
      <c r="A694" t="str">
        <f>"20190312151236538"</f>
        <v>20190312151236538</v>
      </c>
      <c r="B694" t="str">
        <f>"1552374756529830"</f>
        <v>1552374756529830</v>
      </c>
      <c r="C694" t="s">
        <v>40</v>
      </c>
      <c r="D694">
        <v>4.0476020000000004</v>
      </c>
      <c r="E694">
        <v>0.52509969999999995</v>
      </c>
      <c r="F694" t="s">
        <v>44</v>
      </c>
      <c r="G694">
        <v>0</v>
      </c>
      <c r="H694">
        <v>0</v>
      </c>
      <c r="I694">
        <v>0</v>
      </c>
      <c r="J694">
        <v>-298.45589999999999</v>
      </c>
      <c r="K694">
        <v>1.0605089999999999</v>
      </c>
      <c r="L694">
        <v>366.91820000000001</v>
      </c>
      <c r="M694">
        <v>0.99978549999999999</v>
      </c>
      <c r="N694">
        <v>0</v>
      </c>
      <c r="O694">
        <v>1.4525649999999999E-2</v>
      </c>
      <c r="P694">
        <v>0.99406110000000003</v>
      </c>
      <c r="Q694">
        <v>7.3421539999999993E-2</v>
      </c>
      <c r="R694">
        <v>-8.0324699999999999E-2</v>
      </c>
      <c r="S694">
        <v>2.9823909999999998</v>
      </c>
      <c r="T694">
        <v>-9.1433529999999995E-4</v>
      </c>
      <c r="U694">
        <v>-0.4398804</v>
      </c>
      <c r="V694">
        <v>9.4766050000000004E-2</v>
      </c>
      <c r="W694">
        <v>8.8068519999999997E-2</v>
      </c>
      <c r="X694">
        <v>0.99159629999999999</v>
      </c>
      <c r="Y694">
        <v>0.1602703</v>
      </c>
      <c r="Z694" s="1">
        <v>-2.886632E-5</v>
      </c>
      <c r="AA694">
        <v>0.98707319999999998</v>
      </c>
      <c r="AB694">
        <v>24</v>
      </c>
      <c r="AC694">
        <v>2.9823909999999998</v>
      </c>
      <c r="AD694">
        <v>-9.1433529999999995E-4</v>
      </c>
      <c r="AE694">
        <v>-0.4398804</v>
      </c>
      <c r="AF694">
        <v>0.48315982654502398</v>
      </c>
      <c r="AG694">
        <v>-9.1433529999999995E-4</v>
      </c>
      <c r="AH694">
        <v>2.97568576183378</v>
      </c>
      <c r="AI694">
        <v>90.0173776234613</v>
      </c>
      <c r="AJ694">
        <v>80.777413328037596</v>
      </c>
      <c r="AK694">
        <v>3.0146558687810998</v>
      </c>
      <c r="AL694">
        <v>84.9474995561105</v>
      </c>
      <c r="AM694">
        <v>84.540869042128804</v>
      </c>
      <c r="AN694">
        <v>0.99999994531063996</v>
      </c>
    </row>
    <row r="695" spans="1:40" x14ac:dyDescent="0.25">
      <c r="A695" t="str">
        <f>"20190312151236560"</f>
        <v>20190312151236560</v>
      </c>
      <c r="B695" t="str">
        <f>"1552374756550325"</f>
        <v>1552374756550325</v>
      </c>
      <c r="C695" t="s">
        <v>40</v>
      </c>
      <c r="D695">
        <v>4.0606159999999996</v>
      </c>
      <c r="E695">
        <v>0.52522569999999902</v>
      </c>
      <c r="F695" t="s">
        <v>44</v>
      </c>
      <c r="G695">
        <v>0</v>
      </c>
      <c r="H695">
        <v>0</v>
      </c>
      <c r="I695">
        <v>0</v>
      </c>
      <c r="J695">
        <v>-298.22000000000003</v>
      </c>
      <c r="K695">
        <v>1.060514</v>
      </c>
      <c r="L695">
        <v>366.92149999999998</v>
      </c>
      <c r="M695">
        <v>0.99978610000000001</v>
      </c>
      <c r="N695">
        <v>0</v>
      </c>
      <c r="O695">
        <v>1.4490060000000001E-2</v>
      </c>
      <c r="P695">
        <v>0.99390970000000001</v>
      </c>
      <c r="Q695">
        <v>7.4532200000000007E-2</v>
      </c>
      <c r="R695">
        <v>-8.1169720000000001E-2</v>
      </c>
      <c r="S695">
        <v>2.9819339999999999</v>
      </c>
      <c r="T695">
        <v>9.9468230000000009E-4</v>
      </c>
      <c r="U695">
        <v>-0.44412230000000003</v>
      </c>
      <c r="V695">
        <v>9.5573569999999997E-2</v>
      </c>
      <c r="W695">
        <v>8.917137E-2</v>
      </c>
      <c r="X695">
        <v>0.99142030000000003</v>
      </c>
      <c r="Y695">
        <v>0.16163079999999999</v>
      </c>
      <c r="Z695" s="1">
        <v>3.1618329999999997E-5</v>
      </c>
      <c r="AA695">
        <v>0.98685129999999999</v>
      </c>
      <c r="AB695">
        <v>24</v>
      </c>
      <c r="AC695">
        <v>2.9819339999999999</v>
      </c>
      <c r="AD695">
        <v>9.9468230000000009E-4</v>
      </c>
      <c r="AE695">
        <v>-0.44412230000000003</v>
      </c>
      <c r="AF695">
        <v>0.48728871855977202</v>
      </c>
      <c r="AG695">
        <v>9.9468230000000009E-4</v>
      </c>
      <c r="AH695">
        <v>2.9751844856566798</v>
      </c>
      <c r="AI695">
        <v>89.981096386846303</v>
      </c>
      <c r="AJ695">
        <v>80.698432568871795</v>
      </c>
      <c r="AK695">
        <v>3.0148257011510098</v>
      </c>
      <c r="AL695">
        <v>84.884061715166595</v>
      </c>
      <c r="AM695">
        <v>84.493664000293606</v>
      </c>
      <c r="AN695">
        <v>1.0000000258811499</v>
      </c>
    </row>
    <row r="696" spans="1:40" x14ac:dyDescent="0.25">
      <c r="A696" t="str">
        <f>"20190312151236583"</f>
        <v>20190312151236583</v>
      </c>
      <c r="B696" t="str">
        <f>"1552374756580110"</f>
        <v>1552374756580110</v>
      </c>
      <c r="C696" t="s">
        <v>40</v>
      </c>
      <c r="D696">
        <v>3.9944000000000002</v>
      </c>
      <c r="E696">
        <v>0.52546059999999895</v>
      </c>
      <c r="F696" t="s">
        <v>44</v>
      </c>
      <c r="G696">
        <v>0</v>
      </c>
      <c r="H696">
        <v>0</v>
      </c>
      <c r="I696">
        <v>0</v>
      </c>
      <c r="J696">
        <v>-297.97890000000001</v>
      </c>
      <c r="K696">
        <v>1.060527</v>
      </c>
      <c r="L696">
        <v>366.92500000000001</v>
      </c>
      <c r="M696">
        <v>0.99978670000000003</v>
      </c>
      <c r="N696">
        <v>0</v>
      </c>
      <c r="O696">
        <v>1.445448E-2</v>
      </c>
      <c r="P696">
        <v>0.99370179999999997</v>
      </c>
      <c r="Q696">
        <v>7.5902689999999995E-2</v>
      </c>
      <c r="R696">
        <v>-8.2436629999999997E-2</v>
      </c>
      <c r="S696">
        <v>2.9817499999999999</v>
      </c>
      <c r="T696">
        <v>9.922981E-4</v>
      </c>
      <c r="U696">
        <v>-0.44772339999999999</v>
      </c>
      <c r="V696">
        <v>9.6801849999999995E-2</v>
      </c>
      <c r="W696">
        <v>9.053245E-2</v>
      </c>
      <c r="X696">
        <v>0.99117770000000005</v>
      </c>
      <c r="Y696">
        <v>0.1627702</v>
      </c>
      <c r="Z696" s="1">
        <v>3.1718409999999998E-5</v>
      </c>
      <c r="AA696">
        <v>0.98666399999999999</v>
      </c>
      <c r="AB696">
        <v>24</v>
      </c>
      <c r="AC696">
        <v>2.9817499999999999</v>
      </c>
      <c r="AD696">
        <v>9.922981E-4</v>
      </c>
      <c r="AE696">
        <v>-0.44772339999999999</v>
      </c>
      <c r="AF696">
        <v>0.49078089858074597</v>
      </c>
      <c r="AG696">
        <v>9.922981E-4</v>
      </c>
      <c r="AH696">
        <v>2.9749657889940702</v>
      </c>
      <c r="AI696">
        <v>89.981143890807402</v>
      </c>
      <c r="AJ696">
        <v>80.632273372705498</v>
      </c>
      <c r="AK696">
        <v>3.01517633327677</v>
      </c>
      <c r="AL696">
        <v>84.805760604810203</v>
      </c>
      <c r="AM696">
        <v>84.421985330287399</v>
      </c>
      <c r="AN696">
        <v>0.99999997782185701</v>
      </c>
    </row>
    <row r="697" spans="1:40" x14ac:dyDescent="0.25">
      <c r="A697" t="str">
        <f>"20190312151236605"</f>
        <v>20190312151236605</v>
      </c>
      <c r="B697" t="str">
        <f>"1552374756600606"</f>
        <v>1552374756600606</v>
      </c>
      <c r="C697" t="s">
        <v>40</v>
      </c>
      <c r="D697">
        <v>4.0875649999999997</v>
      </c>
      <c r="E697">
        <v>0.52556009999999997</v>
      </c>
      <c r="F697" t="s">
        <v>44</v>
      </c>
      <c r="G697">
        <v>0</v>
      </c>
      <c r="H697">
        <v>0</v>
      </c>
      <c r="I697">
        <v>0</v>
      </c>
      <c r="J697">
        <v>-297.73520000000002</v>
      </c>
      <c r="K697">
        <v>1.0605329999999999</v>
      </c>
      <c r="L697">
        <v>366.92849999999999</v>
      </c>
      <c r="M697">
        <v>0.99978730000000005</v>
      </c>
      <c r="N697">
        <v>0</v>
      </c>
      <c r="O697">
        <v>1.4419360000000001E-2</v>
      </c>
      <c r="P697">
        <v>0.99341100000000004</v>
      </c>
      <c r="Q697">
        <v>7.7908099999999994E-2</v>
      </c>
      <c r="R697">
        <v>-8.4056619999999999E-2</v>
      </c>
      <c r="S697">
        <v>2.9813230000000002</v>
      </c>
      <c r="T697">
        <v>9.903907999999999E-4</v>
      </c>
      <c r="U697">
        <v>-0.45352170000000003</v>
      </c>
      <c r="V697">
        <v>9.8382579999999997E-2</v>
      </c>
      <c r="W697">
        <v>9.252676E-2</v>
      </c>
      <c r="X697">
        <v>0.99083790000000005</v>
      </c>
      <c r="Y697">
        <v>0.1646321</v>
      </c>
      <c r="Z697" s="1">
        <v>3.19532599999999E-5</v>
      </c>
      <c r="AA697">
        <v>0.98635510000000004</v>
      </c>
      <c r="AB697">
        <v>24</v>
      </c>
      <c r="AC697">
        <v>2.9813230000000002</v>
      </c>
      <c r="AD697">
        <v>9.903907999999999E-4</v>
      </c>
      <c r="AE697">
        <v>-0.45352170000000003</v>
      </c>
      <c r="AF697">
        <v>0.496467930141896</v>
      </c>
      <c r="AG697">
        <v>9.903907999999999E-4</v>
      </c>
      <c r="AH697">
        <v>2.9744724566371299</v>
      </c>
      <c r="AI697">
        <v>89.981182906970702</v>
      </c>
      <c r="AJ697">
        <v>80.524136919810502</v>
      </c>
      <c r="AK697">
        <v>3.0156206296260599</v>
      </c>
      <c r="AL697">
        <v>84.6910136927753</v>
      </c>
      <c r="AM697">
        <v>84.329556082260595</v>
      </c>
      <c r="AN697">
        <v>1.0000000387199799</v>
      </c>
    </row>
    <row r="698" spans="1:40" x14ac:dyDescent="0.25">
      <c r="A698" t="str">
        <f>"20190312151236626"</f>
        <v>20190312151236626</v>
      </c>
      <c r="B698" t="str">
        <f>"1552374756620126"</f>
        <v>1552374756620126</v>
      </c>
      <c r="C698" t="s">
        <v>40</v>
      </c>
      <c r="D698">
        <v>4.0889519999999999</v>
      </c>
      <c r="E698">
        <v>0.52564239999999995</v>
      </c>
      <c r="F698" t="s">
        <v>44</v>
      </c>
      <c r="G698">
        <v>0</v>
      </c>
      <c r="H698">
        <v>0</v>
      </c>
      <c r="I698">
        <v>0</v>
      </c>
      <c r="J698">
        <v>-297.50729999999999</v>
      </c>
      <c r="K698">
        <v>1.0605450000000001</v>
      </c>
      <c r="L698">
        <v>366.93169999999998</v>
      </c>
      <c r="M698">
        <v>0.9997878</v>
      </c>
      <c r="N698">
        <v>0</v>
      </c>
      <c r="O698">
        <v>1.438765E-2</v>
      </c>
      <c r="P698">
        <v>0.99302889999999999</v>
      </c>
      <c r="Q698">
        <v>8.0292539999999996E-2</v>
      </c>
      <c r="R698">
        <v>-8.6294339999999997E-2</v>
      </c>
      <c r="S698">
        <v>2.9807429999999999</v>
      </c>
      <c r="T698">
        <v>3.7004949999999998E-3</v>
      </c>
      <c r="U698">
        <v>-0.45959470000000002</v>
      </c>
      <c r="V698">
        <v>0.1005834</v>
      </c>
      <c r="W698">
        <v>9.4899510000000006E-2</v>
      </c>
      <c r="X698">
        <v>0.99039239999999995</v>
      </c>
      <c r="Y698">
        <v>0.1665924</v>
      </c>
      <c r="Z698">
        <v>1.205653E-4</v>
      </c>
      <c r="AA698">
        <v>0.98602579999999995</v>
      </c>
      <c r="AB698">
        <v>24</v>
      </c>
      <c r="AC698">
        <v>2.9807429999999999</v>
      </c>
      <c r="AD698">
        <v>3.7004949999999998E-3</v>
      </c>
      <c r="AE698">
        <v>-0.45959470000000002</v>
      </c>
      <c r="AF698">
        <v>0.50243691014062897</v>
      </c>
      <c r="AG698">
        <v>3.7004949999999998E-3</v>
      </c>
      <c r="AH698">
        <v>2.9738167200385401</v>
      </c>
      <c r="AI698">
        <v>89.929699838222803</v>
      </c>
      <c r="AJ698">
        <v>80.410237475810703</v>
      </c>
      <c r="AK698">
        <v>3.0159645930805699</v>
      </c>
      <c r="AL698">
        <v>84.554464089558195</v>
      </c>
      <c r="AM698">
        <v>84.200972942568896</v>
      </c>
      <c r="AN698">
        <v>1.0000000216657701</v>
      </c>
    </row>
    <row r="699" spans="1:40" x14ac:dyDescent="0.25">
      <c r="A699" t="str">
        <f>"20190312151236649"</f>
        <v>20190312151236649</v>
      </c>
      <c r="B699" t="str">
        <f>"1552374756640622"</f>
        <v>1552374756640622</v>
      </c>
      <c r="C699" t="s">
        <v>40</v>
      </c>
      <c r="D699">
        <v>4.5109000000000004</v>
      </c>
      <c r="E699">
        <v>0.52566190000000002</v>
      </c>
      <c r="F699" t="s">
        <v>45</v>
      </c>
      <c r="G699">
        <v>-142.42179999999999</v>
      </c>
      <c r="H699">
        <v>1.453087</v>
      </c>
      <c r="I699">
        <v>342.64400000000001</v>
      </c>
      <c r="J699">
        <v>-297.26740000000001</v>
      </c>
      <c r="K699">
        <v>1.0605549999999999</v>
      </c>
      <c r="L699">
        <v>366.93509999999998</v>
      </c>
      <c r="M699">
        <v>0.99978829999999996</v>
      </c>
      <c r="N699">
        <v>0</v>
      </c>
      <c r="O699">
        <v>1.4354199999999999E-2</v>
      </c>
      <c r="P699">
        <v>0.99259219999999904</v>
      </c>
      <c r="Q699">
        <v>8.3506289999999997E-2</v>
      </c>
      <c r="R699">
        <v>-8.8247439999999996E-2</v>
      </c>
      <c r="S699">
        <v>2.979889</v>
      </c>
      <c r="T699">
        <v>7.5426099999999999E-3</v>
      </c>
      <c r="U699">
        <v>-0.4666748</v>
      </c>
      <c r="V699">
        <v>0.102497</v>
      </c>
      <c r="W699">
        <v>9.8100300000000001E-2</v>
      </c>
      <c r="X699">
        <v>0.98988419999999999</v>
      </c>
      <c r="Y699">
        <v>0.1688886</v>
      </c>
      <c r="Z699">
        <v>2.4857390000000002E-4</v>
      </c>
      <c r="AA699">
        <v>0.98563509999999999</v>
      </c>
      <c r="AB699">
        <v>24</v>
      </c>
      <c r="AC699">
        <v>154.84559999999999</v>
      </c>
      <c r="AD699">
        <v>0.39253199999999999</v>
      </c>
      <c r="AE699">
        <v>-24.291099999999901</v>
      </c>
      <c r="AF699">
        <v>26.511356805201402</v>
      </c>
      <c r="AG699">
        <v>0.39253199999999999</v>
      </c>
      <c r="AH699">
        <v>154.479957208287</v>
      </c>
      <c r="AI699">
        <v>89.856510034541898</v>
      </c>
      <c r="AJ699">
        <v>80.261944645553598</v>
      </c>
      <c r="AK699">
        <v>156.73883788039899</v>
      </c>
      <c r="AL699">
        <v>84.370212321792295</v>
      </c>
      <c r="AM699">
        <v>84.088407774856194</v>
      </c>
      <c r="AN699">
        <v>1.0000000166393599</v>
      </c>
    </row>
    <row r="700" spans="1:40" x14ac:dyDescent="0.25">
      <c r="A700" t="str">
        <f>"20190312151236673"</f>
        <v>20190312151236673</v>
      </c>
      <c r="B700" t="str">
        <f>"1552374756670408"</f>
        <v>1552374756670408</v>
      </c>
      <c r="C700" t="s">
        <v>40</v>
      </c>
      <c r="D700">
        <v>4.1078859999999997</v>
      </c>
      <c r="E700">
        <v>0.54250169999999998</v>
      </c>
      <c r="F700" t="s">
        <v>45</v>
      </c>
      <c r="G700">
        <v>-143.63059999999999</v>
      </c>
      <c r="H700">
        <v>1.8698669999999999</v>
      </c>
      <c r="I700">
        <v>342.53190000000001</v>
      </c>
      <c r="J700">
        <v>-297.02370000000002</v>
      </c>
      <c r="K700">
        <v>1.06057</v>
      </c>
      <c r="L700">
        <v>366.93849999999998</v>
      </c>
      <c r="M700">
        <v>0.99978900000000004</v>
      </c>
      <c r="N700">
        <v>0</v>
      </c>
      <c r="O700">
        <v>1.432046E-2</v>
      </c>
      <c r="P700">
        <v>0.99207540000000005</v>
      </c>
      <c r="Q700">
        <v>8.6694489999999999E-2</v>
      </c>
      <c r="R700">
        <v>-9.0945059999999994E-2</v>
      </c>
      <c r="S700">
        <v>2.9790040000000002</v>
      </c>
      <c r="T700">
        <v>1.5692589999999999E-2</v>
      </c>
      <c r="U700">
        <v>-0.47317500000000001</v>
      </c>
      <c r="V700">
        <v>0.1051536</v>
      </c>
      <c r="W700">
        <v>0.101274</v>
      </c>
      <c r="X700">
        <v>0.98928579999999999</v>
      </c>
      <c r="Y700">
        <v>0.17099619999999999</v>
      </c>
      <c r="Z700">
        <v>5.2256600000000002E-4</v>
      </c>
      <c r="AA700">
        <v>0.98527160000000003</v>
      </c>
      <c r="AB700">
        <v>24</v>
      </c>
      <c r="AC700">
        <v>153.3931</v>
      </c>
      <c r="AD700">
        <v>0.80929699999999904</v>
      </c>
      <c r="AE700">
        <v>-24.406599999999901</v>
      </c>
      <c r="AF700">
        <v>26.6002725690029</v>
      </c>
      <c r="AG700">
        <v>0.80929699999999904</v>
      </c>
      <c r="AH700">
        <v>153.02366117858401</v>
      </c>
      <c r="AI700">
        <v>89.701459239703496</v>
      </c>
      <c r="AJ700">
        <v>80.138749856582194</v>
      </c>
      <c r="AK700">
        <v>155.32054063412701</v>
      </c>
      <c r="AL700">
        <v>84.1874625062935</v>
      </c>
      <c r="AM700">
        <v>83.932673164970296</v>
      </c>
      <c r="AN700">
        <v>1.00000004837529</v>
      </c>
    </row>
    <row r="701" spans="1:40" x14ac:dyDescent="0.25">
      <c r="A701" t="str">
        <f>"20190312151236694"</f>
        <v>20190312151236694</v>
      </c>
      <c r="B701" t="str">
        <f>"1552374756689929"</f>
        <v>1552374756689929</v>
      </c>
      <c r="C701" t="s">
        <v>40</v>
      </c>
      <c r="D701">
        <v>4.1024379999999896</v>
      </c>
      <c r="E701">
        <v>0.54683999999999999</v>
      </c>
      <c r="F701" t="s">
        <v>42</v>
      </c>
      <c r="G701">
        <v>-274.01839999999999</v>
      </c>
      <c r="H701" s="1">
        <v>-4.0048960000000003E-6</v>
      </c>
      <c r="I701">
        <v>362.16250000000002</v>
      </c>
      <c r="J701">
        <v>-296.78829999999999</v>
      </c>
      <c r="K701">
        <v>1.0605850000000001</v>
      </c>
      <c r="L701">
        <v>366.94189999999998</v>
      </c>
      <c r="M701">
        <v>0.9997895</v>
      </c>
      <c r="N701">
        <v>0</v>
      </c>
      <c r="O701">
        <v>1.428755E-2</v>
      </c>
      <c r="P701">
        <v>0.99159260000000005</v>
      </c>
      <c r="Q701">
        <v>8.8623240000000006E-2</v>
      </c>
      <c r="R701">
        <v>-9.4289369999999997E-2</v>
      </c>
      <c r="S701">
        <v>2.9792179999999999</v>
      </c>
      <c r="T701">
        <v>-0.13734569999999999</v>
      </c>
      <c r="U701">
        <v>-0.61849980000000004</v>
      </c>
      <c r="V701">
        <v>0.10845829999999999</v>
      </c>
      <c r="W701">
        <v>0.1031889</v>
      </c>
      <c r="X701">
        <v>0.98873089999999997</v>
      </c>
      <c r="Y701">
        <v>0.2170049</v>
      </c>
      <c r="Z701">
        <v>-5.5984709999999998E-3</v>
      </c>
      <c r="AA701">
        <v>0.97615439999999998</v>
      </c>
      <c r="AB701">
        <v>24</v>
      </c>
      <c r="AC701">
        <v>22.7699</v>
      </c>
      <c r="AD701">
        <v>-1.0605890048960001</v>
      </c>
      <c r="AE701">
        <v>-4.7793999999999501</v>
      </c>
      <c r="AF701">
        <v>5.09368867957284</v>
      </c>
      <c r="AG701">
        <v>-1.0605890048960001</v>
      </c>
      <c r="AH701">
        <v>22.6522105078278</v>
      </c>
      <c r="AI701">
        <v>92.615447775299501</v>
      </c>
      <c r="AJ701">
        <v>77.326980470849307</v>
      </c>
      <c r="AK701">
        <v>23.242055724325599</v>
      </c>
      <c r="AL701">
        <v>84.0771684858871</v>
      </c>
      <c r="AM701">
        <v>83.739999068471604</v>
      </c>
      <c r="AN701">
        <v>0.99999997226845405</v>
      </c>
    </row>
    <row r="702" spans="1:40" x14ac:dyDescent="0.25">
      <c r="A702" t="str">
        <f>"20190312151236717"</f>
        <v>20190312151236717</v>
      </c>
      <c r="B702" t="str">
        <f>"1552374756710428"</f>
        <v>1552374756710428</v>
      </c>
      <c r="C702" t="s">
        <v>40</v>
      </c>
      <c r="D702">
        <v>4.0910760000000002</v>
      </c>
      <c r="E702">
        <v>0.54864449999999998</v>
      </c>
      <c r="F702" t="s">
        <v>42</v>
      </c>
      <c r="G702">
        <v>-271.5539</v>
      </c>
      <c r="H702" s="1">
        <v>-5.077659E-6</v>
      </c>
      <c r="I702">
        <v>361.31790000000001</v>
      </c>
      <c r="J702">
        <v>-296.55579999999998</v>
      </c>
      <c r="K702">
        <v>1.0605929999999999</v>
      </c>
      <c r="L702">
        <v>366.9452</v>
      </c>
      <c r="M702">
        <v>0.99978999999999996</v>
      </c>
      <c r="N702">
        <v>0</v>
      </c>
      <c r="O702">
        <v>1.425542E-2</v>
      </c>
      <c r="P702">
        <v>0.99116119999999996</v>
      </c>
      <c r="Q702">
        <v>9.0411430000000001E-2</v>
      </c>
      <c r="R702">
        <v>-9.7083520000000006E-2</v>
      </c>
      <c r="S702">
        <v>2.973633</v>
      </c>
      <c r="T702">
        <v>-0.1249797</v>
      </c>
      <c r="U702">
        <v>-0.66271969999999902</v>
      </c>
      <c r="V702">
        <v>0.1112143</v>
      </c>
      <c r="W702">
        <v>0.104964</v>
      </c>
      <c r="X702">
        <v>0.98823780000000006</v>
      </c>
      <c r="Y702">
        <v>0.23121539999999999</v>
      </c>
      <c r="Z702">
        <v>-5.3899029999999997E-3</v>
      </c>
      <c r="AA702">
        <v>0.97288759999999996</v>
      </c>
      <c r="AB702">
        <v>24</v>
      </c>
      <c r="AC702">
        <v>25.0018999999999</v>
      </c>
      <c r="AD702">
        <v>-1.060598077659</v>
      </c>
      <c r="AE702">
        <v>-5.6272999999999902</v>
      </c>
      <c r="AF702">
        <v>5.9729491126195899</v>
      </c>
      <c r="AG702">
        <v>-1.060598077659</v>
      </c>
      <c r="AH702">
        <v>24.876523429064999</v>
      </c>
      <c r="AI702">
        <v>92.3739097967227</v>
      </c>
      <c r="AJ702">
        <v>76.498640612137805</v>
      </c>
      <c r="AK702">
        <v>25.605515173514799</v>
      </c>
      <c r="AL702">
        <v>83.974907582978901</v>
      </c>
      <c r="AM702">
        <v>83.5790635674866</v>
      </c>
      <c r="AN702">
        <v>1.0000000055846601</v>
      </c>
    </row>
    <row r="703" spans="1:40" x14ac:dyDescent="0.25">
      <c r="A703" t="str">
        <f>"20190312151236739"</f>
        <v>20190312151236739</v>
      </c>
      <c r="B703" t="str">
        <f>"1552374756729944"</f>
        <v>1552374756729944</v>
      </c>
      <c r="C703" t="s">
        <v>40</v>
      </c>
      <c r="D703">
        <v>4.0509620000000002</v>
      </c>
      <c r="E703">
        <v>0.5499001</v>
      </c>
      <c r="F703" t="s">
        <v>42</v>
      </c>
      <c r="G703">
        <v>-268.9051</v>
      </c>
      <c r="H703" s="1">
        <v>-2.7666150000000001E-6</v>
      </c>
      <c r="I703">
        <v>360.56639999999999</v>
      </c>
      <c r="J703">
        <v>-296.32130000000001</v>
      </c>
      <c r="K703">
        <v>1.0605929999999999</v>
      </c>
      <c r="L703">
        <v>366.94850000000002</v>
      </c>
      <c r="M703">
        <v>0.99979050000000003</v>
      </c>
      <c r="N703">
        <v>0</v>
      </c>
      <c r="O703">
        <v>1.4223039999999999E-2</v>
      </c>
      <c r="P703">
        <v>0.99098909999999996</v>
      </c>
      <c r="Q703">
        <v>9.1227680000000005E-2</v>
      </c>
      <c r="R703">
        <v>-9.8072290000000006E-2</v>
      </c>
      <c r="S703">
        <v>2.9700319999999998</v>
      </c>
      <c r="T703">
        <v>-0.1139208</v>
      </c>
      <c r="U703">
        <v>-0.68515009999999998</v>
      </c>
      <c r="V703">
        <v>0.1121684</v>
      </c>
      <c r="W703">
        <v>0.1057715</v>
      </c>
      <c r="X703">
        <v>0.98804380000000003</v>
      </c>
      <c r="Y703">
        <v>0.2384454</v>
      </c>
      <c r="Z703">
        <v>-5.0506800000000001E-3</v>
      </c>
      <c r="AA703">
        <v>0.97114279999999997</v>
      </c>
      <c r="AB703">
        <v>24</v>
      </c>
      <c r="AC703">
        <v>27.4162</v>
      </c>
      <c r="AD703">
        <v>-1.0605957666150001</v>
      </c>
      <c r="AE703">
        <v>-6.3821000000000296</v>
      </c>
      <c r="AF703">
        <v>6.7618391306571599</v>
      </c>
      <c r="AG703">
        <v>-1.0605957666150001</v>
      </c>
      <c r="AH703">
        <v>27.283911178297299</v>
      </c>
      <c r="AI703">
        <v>92.160807631252993</v>
      </c>
      <c r="AJ703">
        <v>76.080700956777903</v>
      </c>
      <c r="AK703">
        <v>28.1293288400961</v>
      </c>
      <c r="AL703">
        <v>83.928381942963199</v>
      </c>
      <c r="AM703">
        <v>83.5231840512876</v>
      </c>
      <c r="AN703">
        <v>0.99999995544462394</v>
      </c>
    </row>
    <row r="704" spans="1:40" x14ac:dyDescent="0.25">
      <c r="A704" t="str">
        <f>"20190312151236761"</f>
        <v>20190312151236761</v>
      </c>
      <c r="B704" t="str">
        <f>"1552374756750440"</f>
        <v>1552374756750440</v>
      </c>
      <c r="C704" t="s">
        <v>40</v>
      </c>
      <c r="D704">
        <v>4.0889290000000003</v>
      </c>
      <c r="E704">
        <v>0.55026799999999998</v>
      </c>
      <c r="F704" t="s">
        <v>42</v>
      </c>
      <c r="G704">
        <v>-268.35359999999997</v>
      </c>
      <c r="H704" s="1">
        <v>-3.0076050000000001E-6</v>
      </c>
      <c r="I704">
        <v>360.36599999999999</v>
      </c>
      <c r="J704">
        <v>-296.0831</v>
      </c>
      <c r="K704">
        <v>1.0605979999999999</v>
      </c>
      <c r="L704">
        <v>366.95179999999999</v>
      </c>
      <c r="M704">
        <v>0.99979099999999999</v>
      </c>
      <c r="N704">
        <v>0</v>
      </c>
      <c r="O704">
        <v>1.419024E-2</v>
      </c>
      <c r="P704">
        <v>0.99064200000000002</v>
      </c>
      <c r="Q704">
        <v>9.2382909999999999E-2</v>
      </c>
      <c r="R704">
        <v>-0.10046860000000001</v>
      </c>
      <c r="S704">
        <v>2.9685359999999998</v>
      </c>
      <c r="T704">
        <v>-0.1125734</v>
      </c>
      <c r="U704">
        <v>-0.6986694</v>
      </c>
      <c r="V704">
        <v>0.1145272</v>
      </c>
      <c r="W704">
        <v>0.1069156</v>
      </c>
      <c r="X704">
        <v>0.98765000000000003</v>
      </c>
      <c r="Y704">
        <v>0.2427146</v>
      </c>
      <c r="Z704">
        <v>-5.0694939999999999E-3</v>
      </c>
      <c r="AA704">
        <v>0.97008450000000002</v>
      </c>
      <c r="AB704">
        <v>24</v>
      </c>
      <c r="AC704">
        <v>27.729500000000002</v>
      </c>
      <c r="AD704">
        <v>-1.0606010076050001</v>
      </c>
      <c r="AE704">
        <v>-6.5857999999999999</v>
      </c>
      <c r="AF704">
        <v>6.9690169038281899</v>
      </c>
      <c r="AG704">
        <v>-1.0606010076050001</v>
      </c>
      <c r="AH704">
        <v>27.595029459530299</v>
      </c>
      <c r="AI704">
        <v>92.134111398624199</v>
      </c>
      <c r="AJ704">
        <v>75.826539760436305</v>
      </c>
      <c r="AK704">
        <v>28.481181892181301</v>
      </c>
      <c r="AL704">
        <v>83.862456111348294</v>
      </c>
      <c r="AM704">
        <v>83.385563240502805</v>
      </c>
      <c r="AN704">
        <v>0.99999997378159899</v>
      </c>
    </row>
    <row r="705" spans="1:40" x14ac:dyDescent="0.25">
      <c r="A705" t="str">
        <f>"20190312151236784"</f>
        <v>20190312151236784</v>
      </c>
      <c r="B705" t="str">
        <f>"1552374756780228"</f>
        <v>1552374756780228</v>
      </c>
      <c r="C705" t="s">
        <v>40</v>
      </c>
      <c r="D705">
        <v>4.0503619999999998</v>
      </c>
      <c r="E705">
        <v>0.55005109999999902</v>
      </c>
      <c r="F705" t="s">
        <v>42</v>
      </c>
      <c r="G705">
        <v>-262.40629999999999</v>
      </c>
      <c r="H705">
        <v>7.9986160000000001E-2</v>
      </c>
      <c r="I705">
        <v>358.90289999999999</v>
      </c>
      <c r="J705">
        <v>-295.84960000000001</v>
      </c>
      <c r="K705">
        <v>1.0606040000000001</v>
      </c>
      <c r="L705">
        <v>366.95499999999998</v>
      </c>
      <c r="M705">
        <v>0.9997916</v>
      </c>
      <c r="N705">
        <v>0</v>
      </c>
      <c r="O705">
        <v>1.415751E-2</v>
      </c>
      <c r="P705">
        <v>0.99040539999999999</v>
      </c>
      <c r="Q705">
        <v>9.3106030000000006E-2</v>
      </c>
      <c r="R705">
        <v>-0.10212019999999999</v>
      </c>
      <c r="S705">
        <v>2.9645079999999999</v>
      </c>
      <c r="T705">
        <v>-8.6321350000000005E-2</v>
      </c>
      <c r="U705">
        <v>-0.70852660000000001</v>
      </c>
      <c r="V705">
        <v>0.1161428</v>
      </c>
      <c r="W705">
        <v>0.10762910000000001</v>
      </c>
      <c r="X705">
        <v>0.98738380000000003</v>
      </c>
      <c r="Y705">
        <v>0.2460995</v>
      </c>
      <c r="Z705">
        <v>-3.9391599999999997E-3</v>
      </c>
      <c r="AA705">
        <v>0.9692366</v>
      </c>
      <c r="AB705">
        <v>24</v>
      </c>
      <c r="AC705">
        <v>33.443300000000001</v>
      </c>
      <c r="AD705">
        <v>-0.98061783999999996</v>
      </c>
      <c r="AE705">
        <v>-8.0520999999999905</v>
      </c>
      <c r="AF705">
        <v>8.5178957554840995</v>
      </c>
      <c r="AG705">
        <v>-0.98061783999999996</v>
      </c>
      <c r="AH705">
        <v>33.298876863192902</v>
      </c>
      <c r="AI705">
        <v>91.634224456090493</v>
      </c>
      <c r="AJ705">
        <v>75.651348799637901</v>
      </c>
      <c r="AK705">
        <v>34.385045583792703</v>
      </c>
      <c r="AL705">
        <v>83.821338289200398</v>
      </c>
      <c r="AM705">
        <v>83.291307908560995</v>
      </c>
      <c r="AN705">
        <v>0.99999997083054404</v>
      </c>
    </row>
    <row r="706" spans="1:40" x14ac:dyDescent="0.25">
      <c r="A706" t="str">
        <f>"20190312151236806"</f>
        <v>20190312151236806</v>
      </c>
      <c r="B706" t="str">
        <f>"1552374756800724"</f>
        <v>1552374756800724</v>
      </c>
      <c r="C706" t="s">
        <v>40</v>
      </c>
      <c r="D706">
        <v>4.0649150000000001</v>
      </c>
      <c r="E706">
        <v>0.54984840000000001</v>
      </c>
      <c r="F706" t="s">
        <v>42</v>
      </c>
      <c r="G706">
        <v>-262.70659999999998</v>
      </c>
      <c r="H706">
        <v>7.9986070000000006E-2</v>
      </c>
      <c r="I706">
        <v>358.99759999999998</v>
      </c>
      <c r="J706">
        <v>-295.61430000000001</v>
      </c>
      <c r="K706">
        <v>1.0606009999999999</v>
      </c>
      <c r="L706">
        <v>366.95830000000001</v>
      </c>
      <c r="M706">
        <v>0.99979220000000002</v>
      </c>
      <c r="N706">
        <v>0</v>
      </c>
      <c r="O706">
        <v>1.412472E-2</v>
      </c>
      <c r="P706">
        <v>0.99021939999999997</v>
      </c>
      <c r="Q706">
        <v>9.3417849999999997E-2</v>
      </c>
      <c r="R706">
        <v>-0.1036285</v>
      </c>
      <c r="S706">
        <v>2.9638979999999999</v>
      </c>
      <c r="T706">
        <v>-8.7694049999999996E-2</v>
      </c>
      <c r="U706">
        <v>-0.71160889999999999</v>
      </c>
      <c r="V706">
        <v>0.1176161</v>
      </c>
      <c r="W706">
        <v>0.107932</v>
      </c>
      <c r="X706">
        <v>0.98717639999999995</v>
      </c>
      <c r="Y706">
        <v>0.24706220000000001</v>
      </c>
      <c r="Z706">
        <v>-4.015182E-3</v>
      </c>
      <c r="AA706">
        <v>0.9689913</v>
      </c>
      <c r="AB706">
        <v>23</v>
      </c>
      <c r="AC706">
        <v>32.907699999999998</v>
      </c>
      <c r="AD706">
        <v>-0.98061493</v>
      </c>
      <c r="AE706">
        <v>-7.9607000000000303</v>
      </c>
      <c r="AF706">
        <v>8.4177064537136097</v>
      </c>
      <c r="AG706">
        <v>-0.98061493</v>
      </c>
      <c r="AH706">
        <v>32.764476005033103</v>
      </c>
      <c r="AI706">
        <v>91.660414637299297</v>
      </c>
      <c r="AJ706">
        <v>75.591438477688101</v>
      </c>
      <c r="AK706">
        <v>33.842728546413397</v>
      </c>
      <c r="AL706">
        <v>83.803882225685996</v>
      </c>
      <c r="AM706">
        <v>83.205583009834996</v>
      </c>
      <c r="AN706">
        <v>1.00000005416008</v>
      </c>
    </row>
    <row r="707" spans="1:40" x14ac:dyDescent="0.25">
      <c r="A707" t="str">
        <f>"20190312151236828"</f>
        <v>20190312151236828</v>
      </c>
      <c r="B707" t="str">
        <f>"1552374756820247"</f>
        <v>1552374756820247</v>
      </c>
      <c r="C707" t="s">
        <v>40</v>
      </c>
      <c r="D707">
        <v>4.0792089999999996</v>
      </c>
      <c r="E707">
        <v>0.54978380000000004</v>
      </c>
      <c r="F707" t="s">
        <v>42</v>
      </c>
      <c r="G707">
        <v>-262.96850000000001</v>
      </c>
      <c r="H707">
        <v>7.9985979999999998E-2</v>
      </c>
      <c r="I707">
        <v>359.08819999999997</v>
      </c>
      <c r="J707">
        <v>-295.39069999999998</v>
      </c>
      <c r="K707">
        <v>1.0606009999999999</v>
      </c>
      <c r="L707">
        <v>366.96140000000003</v>
      </c>
      <c r="M707">
        <v>0.99979269999999998</v>
      </c>
      <c r="N707">
        <v>0</v>
      </c>
      <c r="O707">
        <v>1.4093649999999999E-2</v>
      </c>
      <c r="P707">
        <v>0.99016130000000002</v>
      </c>
      <c r="Q707">
        <v>9.3354629999999994E-2</v>
      </c>
      <c r="R707">
        <v>-0.10423839999999999</v>
      </c>
      <c r="S707">
        <v>2.9631959999999999</v>
      </c>
      <c r="T707">
        <v>-8.9008450000000003E-2</v>
      </c>
      <c r="U707">
        <v>-0.71435550000000003</v>
      </c>
      <c r="V707">
        <v>0.1181942</v>
      </c>
      <c r="W707">
        <v>0.1078624</v>
      </c>
      <c r="X707">
        <v>0.98711490000000002</v>
      </c>
      <c r="Y707">
        <v>0.2479295</v>
      </c>
      <c r="Z707">
        <v>-4.0877589999999998E-3</v>
      </c>
      <c r="AA707">
        <v>0.9687694</v>
      </c>
      <c r="AB707">
        <v>23</v>
      </c>
      <c r="AC707">
        <v>32.422199999999897</v>
      </c>
      <c r="AD707">
        <v>-0.98061502</v>
      </c>
      <c r="AE707">
        <v>-7.8732000000000504</v>
      </c>
      <c r="AF707">
        <v>8.3222253386318901</v>
      </c>
      <c r="AG707">
        <v>-0.98061502</v>
      </c>
      <c r="AH707">
        <v>32.280120414710801</v>
      </c>
      <c r="AI707">
        <v>91.684949987623597</v>
      </c>
      <c r="AJ707">
        <v>75.543233292117904</v>
      </c>
      <c r="AK707">
        <v>33.350070680474502</v>
      </c>
      <c r="AL707">
        <v>83.807893067512296</v>
      </c>
      <c r="AM707">
        <v>83.172080600309002</v>
      </c>
      <c r="AN707">
        <v>0.99999999602470502</v>
      </c>
    </row>
    <row r="708" spans="1:40" x14ac:dyDescent="0.25">
      <c r="A708" t="str">
        <f>"20190312151236851"</f>
        <v>20190312151236851</v>
      </c>
      <c r="B708" t="str">
        <f>"1552374756840751"</f>
        <v>1552374756840751</v>
      </c>
      <c r="C708" t="s">
        <v>40</v>
      </c>
      <c r="D708">
        <v>4.0920569999999996</v>
      </c>
      <c r="E708">
        <v>0.54949429999999999</v>
      </c>
      <c r="F708" t="s">
        <v>42</v>
      </c>
      <c r="G708">
        <v>-263.63690000000003</v>
      </c>
      <c r="H708">
        <v>7.9985769999999998E-2</v>
      </c>
      <c r="I708">
        <v>359.28960000000001</v>
      </c>
      <c r="J708">
        <v>-295.15170000000001</v>
      </c>
      <c r="K708">
        <v>1.0606040000000001</v>
      </c>
      <c r="L708">
        <v>366.96480000000003</v>
      </c>
      <c r="M708">
        <v>0.99979320000000005</v>
      </c>
      <c r="N708">
        <v>0</v>
      </c>
      <c r="O708">
        <v>1.40602E-2</v>
      </c>
      <c r="P708">
        <v>0.99009879999999995</v>
      </c>
      <c r="Q708">
        <v>9.3423279999999997E-2</v>
      </c>
      <c r="R708">
        <v>-0.10477019999999999</v>
      </c>
      <c r="S708">
        <v>2.9630740000000002</v>
      </c>
      <c r="T708">
        <v>-9.1505169999999997E-2</v>
      </c>
      <c r="U708">
        <v>-0.71588130000000005</v>
      </c>
      <c r="V708">
        <v>0.1186919</v>
      </c>
      <c r="W708">
        <v>0.1079244</v>
      </c>
      <c r="X708">
        <v>0.98704840000000005</v>
      </c>
      <c r="Y708">
        <v>0.24837100000000001</v>
      </c>
      <c r="Z708">
        <v>-4.20799E-3</v>
      </c>
      <c r="AA708">
        <v>0.96865579999999996</v>
      </c>
      <c r="AB708">
        <v>23</v>
      </c>
      <c r="AC708">
        <v>31.514799999999902</v>
      </c>
      <c r="AD708">
        <v>-0.98061823000000004</v>
      </c>
      <c r="AE708">
        <v>-7.67520000000001</v>
      </c>
      <c r="AF708">
        <v>8.1101806611016691</v>
      </c>
      <c r="AG708">
        <v>-0.98061823000000004</v>
      </c>
      <c r="AH708">
        <v>31.375080765327599</v>
      </c>
      <c r="AI708">
        <v>91.733245722494004</v>
      </c>
      <c r="AJ708">
        <v>75.506790306835697</v>
      </c>
      <c r="AK708">
        <v>32.4211711000628</v>
      </c>
      <c r="AL708">
        <v>83.8043198553857</v>
      </c>
      <c r="AM708">
        <v>83.143144740372506</v>
      </c>
      <c r="AN708">
        <v>0.99999999359176495</v>
      </c>
    </row>
    <row r="709" spans="1:40" x14ac:dyDescent="0.25">
      <c r="A709" t="str">
        <f>"20190312151236874"</f>
        <v>20190312151236874</v>
      </c>
      <c r="B709" t="str">
        <f>"1552374756870526"</f>
        <v>1552374756870526</v>
      </c>
      <c r="C709" t="s">
        <v>40</v>
      </c>
      <c r="D709">
        <v>4.0768339999999998</v>
      </c>
      <c r="E709">
        <v>0.54908519999999905</v>
      </c>
      <c r="F709" t="s">
        <v>42</v>
      </c>
      <c r="G709">
        <v>-264.57859999999999</v>
      </c>
      <c r="H709">
        <v>7.9335050000000004E-2</v>
      </c>
      <c r="I709">
        <v>359.58690000000001</v>
      </c>
      <c r="J709">
        <v>-294.9171</v>
      </c>
      <c r="K709">
        <v>1.060602</v>
      </c>
      <c r="L709">
        <v>366.96800000000002</v>
      </c>
      <c r="M709">
        <v>0.99979379999999995</v>
      </c>
      <c r="N709">
        <v>0</v>
      </c>
      <c r="O709">
        <v>1.402775E-2</v>
      </c>
      <c r="P709">
        <v>0.99008819999999997</v>
      </c>
      <c r="Q709">
        <v>9.3636570000000002E-2</v>
      </c>
      <c r="R709">
        <v>-0.10467949999999999</v>
      </c>
      <c r="S709">
        <v>2.9632869999999998</v>
      </c>
      <c r="T709">
        <v>-9.5108750000000006E-2</v>
      </c>
      <c r="U709">
        <v>-0.7150879</v>
      </c>
      <c r="V709">
        <v>0.1185692</v>
      </c>
      <c r="W709">
        <v>0.10813159999999999</v>
      </c>
      <c r="X709">
        <v>0.98704049999999999</v>
      </c>
      <c r="Y709">
        <v>0.24806929999999999</v>
      </c>
      <c r="Z709">
        <v>-4.3676540000000003E-3</v>
      </c>
      <c r="AA709">
        <v>0.9687325</v>
      </c>
      <c r="AB709">
        <v>23</v>
      </c>
      <c r="AC709">
        <v>30.3385</v>
      </c>
      <c r="AD709">
        <v>-0.98126694999999997</v>
      </c>
      <c r="AE709">
        <v>-7.3811</v>
      </c>
      <c r="AF709">
        <v>7.79829821684854</v>
      </c>
      <c r="AG709">
        <v>-0.98126694999999997</v>
      </c>
      <c r="AH709">
        <v>30.202133103676399</v>
      </c>
      <c r="AI709">
        <v>91.801831326407694</v>
      </c>
      <c r="AJ709">
        <v>75.522237077386905</v>
      </c>
      <c r="AK709">
        <v>31.208094846021201</v>
      </c>
      <c r="AL709">
        <v>83.792378471538996</v>
      </c>
      <c r="AM709">
        <v>83.1501114578857</v>
      </c>
      <c r="AN709">
        <v>1.0000000233737201</v>
      </c>
    </row>
    <row r="710" spans="1:40" x14ac:dyDescent="0.25">
      <c r="A710" t="str">
        <f>"20190312151236895"</f>
        <v>20190312151236895</v>
      </c>
      <c r="B710" t="str">
        <f>"1552374756890046"</f>
        <v>1552374756890046</v>
      </c>
      <c r="C710" t="s">
        <v>40</v>
      </c>
      <c r="D710">
        <v>4.0793699999999999</v>
      </c>
      <c r="E710">
        <v>0.5488767</v>
      </c>
      <c r="F710" t="s">
        <v>42</v>
      </c>
      <c r="G710">
        <v>-264.2953</v>
      </c>
      <c r="H710">
        <v>3.7251069999999997E-2</v>
      </c>
      <c r="I710">
        <v>359.61630000000002</v>
      </c>
      <c r="J710">
        <v>-294.68349999999998</v>
      </c>
      <c r="K710">
        <v>1.060603</v>
      </c>
      <c r="L710">
        <v>366.97129999999999</v>
      </c>
      <c r="M710">
        <v>0.99979439999999997</v>
      </c>
      <c r="N710">
        <v>0</v>
      </c>
      <c r="O710">
        <v>1.3995189999999999E-2</v>
      </c>
      <c r="P710">
        <v>0.99000730000000003</v>
      </c>
      <c r="Q710">
        <v>9.4454579999999996E-2</v>
      </c>
      <c r="R710">
        <v>-0.1047109</v>
      </c>
      <c r="S710">
        <v>2.964172</v>
      </c>
      <c r="T710">
        <v>-9.9059820000000007E-2</v>
      </c>
      <c r="U710">
        <v>-0.71163940000000003</v>
      </c>
      <c r="V710">
        <v>0.1185673</v>
      </c>
      <c r="W710">
        <v>0.1089426</v>
      </c>
      <c r="X710">
        <v>0.98695149999999998</v>
      </c>
      <c r="Y710">
        <v>0.24689610000000001</v>
      </c>
      <c r="Z710">
        <v>-4.527896E-3</v>
      </c>
      <c r="AA710">
        <v>0.96903139999999999</v>
      </c>
      <c r="AB710">
        <v>23</v>
      </c>
      <c r="AC710">
        <v>30.388199999999902</v>
      </c>
      <c r="AD710">
        <v>-1.02335193</v>
      </c>
      <c r="AE710">
        <v>-7.3549999999999596</v>
      </c>
      <c r="AF710">
        <v>7.7712884594311804</v>
      </c>
      <c r="AG710">
        <v>-1.02335193</v>
      </c>
      <c r="AH710">
        <v>30.249870455362199</v>
      </c>
      <c r="AI710">
        <v>91.876680439868693</v>
      </c>
      <c r="AJ710">
        <v>75.592107428833302</v>
      </c>
      <c r="AK710">
        <v>31.248917358182499</v>
      </c>
      <c r="AL710">
        <v>83.745635176633797</v>
      </c>
      <c r="AM710">
        <v>83.149608359523896</v>
      </c>
      <c r="AN710">
        <v>0.99999997903814897</v>
      </c>
    </row>
    <row r="711" spans="1:40" x14ac:dyDescent="0.25">
      <c r="A711" t="str">
        <f>"20190312151236918"</f>
        <v>20190312151236918</v>
      </c>
      <c r="B711" t="str">
        <f>"1552374756910542"</f>
        <v>1552374756910542</v>
      </c>
      <c r="C711" t="s">
        <v>40</v>
      </c>
      <c r="D711">
        <v>4.1075920000000004</v>
      </c>
      <c r="E711">
        <v>0.54857699999999998</v>
      </c>
      <c r="F711" t="s">
        <v>42</v>
      </c>
      <c r="G711">
        <v>-263.97640000000001</v>
      </c>
      <c r="H711">
        <v>2.379856E-2</v>
      </c>
      <c r="I711">
        <v>359.61630000000002</v>
      </c>
      <c r="J711">
        <v>-294.45760000000001</v>
      </c>
      <c r="K711">
        <v>1.0606059999999999</v>
      </c>
      <c r="L711">
        <v>366.9744</v>
      </c>
      <c r="M711">
        <v>0.99979499999999999</v>
      </c>
      <c r="N711">
        <v>0</v>
      </c>
      <c r="O711">
        <v>1.3963410000000001E-2</v>
      </c>
      <c r="P711">
        <v>0.99000129999999997</v>
      </c>
      <c r="Q711">
        <v>9.4580789999999998E-2</v>
      </c>
      <c r="R711">
        <v>-0.1046542</v>
      </c>
      <c r="S711">
        <v>2.9647519999999998</v>
      </c>
      <c r="T711">
        <v>-0.10010289999999999</v>
      </c>
      <c r="U711">
        <v>-0.71011349999999995</v>
      </c>
      <c r="V711">
        <v>0.1184791</v>
      </c>
      <c r="W711">
        <v>0.10906349999999999</v>
      </c>
      <c r="X711">
        <v>0.98694879999999996</v>
      </c>
      <c r="Y711">
        <v>0.24634800000000001</v>
      </c>
      <c r="Z711">
        <v>-4.564767E-3</v>
      </c>
      <c r="AA711">
        <v>0.96917070000000005</v>
      </c>
      <c r="AB711">
        <v>23</v>
      </c>
      <c r="AC711">
        <v>30.481200000000001</v>
      </c>
      <c r="AD711">
        <v>-1.03680744</v>
      </c>
      <c r="AE711">
        <v>-7.3580999999999701</v>
      </c>
      <c r="AF711">
        <v>7.7745499136917697</v>
      </c>
      <c r="AG711">
        <v>-1.03680744</v>
      </c>
      <c r="AH711">
        <v>30.342299582832801</v>
      </c>
      <c r="AI711">
        <v>91.895858111809204</v>
      </c>
      <c r="AJ711">
        <v>75.628398530920407</v>
      </c>
      <c r="AK711">
        <v>31.339651242515501</v>
      </c>
      <c r="AL711">
        <v>83.738666970760605</v>
      </c>
      <c r="AM711">
        <v>83.154637316967893</v>
      </c>
      <c r="AN711">
        <v>1.0000000389952399</v>
      </c>
    </row>
    <row r="712" spans="1:40" x14ac:dyDescent="0.25">
      <c r="A712" t="str">
        <f>"20190312151236939"</f>
        <v>20190312151236939</v>
      </c>
      <c r="B712" t="str">
        <f>"1552374756930062"</f>
        <v>1552374756930062</v>
      </c>
      <c r="C712" t="s">
        <v>40</v>
      </c>
      <c r="D712">
        <v>4.1181710000000002</v>
      </c>
      <c r="E712">
        <v>0.54828710000000003</v>
      </c>
      <c r="F712" t="s">
        <v>42</v>
      </c>
      <c r="G712">
        <v>-263.74020000000002</v>
      </c>
      <c r="H712" s="1">
        <v>-4.7700729999999998E-6</v>
      </c>
      <c r="I712">
        <v>359.64249999999998</v>
      </c>
      <c r="J712">
        <v>-294.2319</v>
      </c>
      <c r="K712">
        <v>1.0606139999999999</v>
      </c>
      <c r="L712">
        <v>366.97750000000002</v>
      </c>
      <c r="M712">
        <v>0.99979530000000005</v>
      </c>
      <c r="N712">
        <v>0</v>
      </c>
      <c r="O712">
        <v>1.393199E-2</v>
      </c>
      <c r="P712">
        <v>0.9899481</v>
      </c>
      <c r="Q712">
        <v>9.5104869999999994E-2</v>
      </c>
      <c r="R712">
        <v>-0.1046793</v>
      </c>
      <c r="S712">
        <v>2.965271</v>
      </c>
      <c r="T712">
        <v>-0.1023848</v>
      </c>
      <c r="U712">
        <v>-0.7077637</v>
      </c>
      <c r="V712">
        <v>0.11847240000000001</v>
      </c>
      <c r="W712">
        <v>0.1095816</v>
      </c>
      <c r="X712">
        <v>0.9868922</v>
      </c>
      <c r="Y712">
        <v>0.2455465</v>
      </c>
      <c r="Z712">
        <v>-4.6536820000000001E-3</v>
      </c>
      <c r="AA712">
        <v>0.96937359999999995</v>
      </c>
      <c r="AB712">
        <v>23</v>
      </c>
      <c r="AC712">
        <v>30.491699999999899</v>
      </c>
      <c r="AD712">
        <v>-1.0606187700730001</v>
      </c>
      <c r="AE712">
        <v>-7.3350000000000302</v>
      </c>
      <c r="AF712">
        <v>7.7502795018826598</v>
      </c>
      <c r="AG712">
        <v>-1.0606187700730001</v>
      </c>
      <c r="AH712">
        <v>30.351823521748798</v>
      </c>
      <c r="AI712">
        <v>91.939166803405101</v>
      </c>
      <c r="AJ712">
        <v>75.675724485045393</v>
      </c>
      <c r="AK712">
        <v>31.343658619059099</v>
      </c>
      <c r="AL712">
        <v>83.708802948459294</v>
      </c>
      <c r="AM712">
        <v>83.154631903124994</v>
      </c>
      <c r="AN712">
        <v>1.0000000255205701</v>
      </c>
    </row>
    <row r="713" spans="1:40" x14ac:dyDescent="0.25">
      <c r="A713" t="str">
        <f>"20190312151236962"</f>
        <v>20190312151236962</v>
      </c>
      <c r="B713" t="str">
        <f>"1552374756950558"</f>
        <v>1552374756950558</v>
      </c>
      <c r="C713" t="s">
        <v>40</v>
      </c>
      <c r="D713">
        <v>4.0625030000000004</v>
      </c>
      <c r="E713">
        <v>0.54808089999999998</v>
      </c>
      <c r="F713" t="s">
        <v>42</v>
      </c>
      <c r="G713">
        <v>-263.95240000000001</v>
      </c>
      <c r="H713" s="1">
        <v>-4.6634610000000003E-6</v>
      </c>
      <c r="I713">
        <v>359.77170000000001</v>
      </c>
      <c r="J713">
        <v>-294.0034</v>
      </c>
      <c r="K713">
        <v>1.0606199999999999</v>
      </c>
      <c r="L713">
        <v>366.98070000000001</v>
      </c>
      <c r="M713">
        <v>0.99979600000000002</v>
      </c>
      <c r="N713">
        <v>0</v>
      </c>
      <c r="O713">
        <v>1.3899430000000001E-2</v>
      </c>
      <c r="P713">
        <v>0.98985409999999996</v>
      </c>
      <c r="Q713">
        <v>9.5707520000000004E-2</v>
      </c>
      <c r="R713">
        <v>-0.10502</v>
      </c>
      <c r="S713">
        <v>2.9657900000000001</v>
      </c>
      <c r="T713">
        <v>-0.1038845</v>
      </c>
      <c r="U713">
        <v>-0.70577999999999996</v>
      </c>
      <c r="V713">
        <v>0.1187796</v>
      </c>
      <c r="W713">
        <v>0.11017730000000001</v>
      </c>
      <c r="X713">
        <v>0.98678889999999997</v>
      </c>
      <c r="Y713">
        <v>0.2448593</v>
      </c>
      <c r="Z713">
        <v>-4.7083699999999999E-3</v>
      </c>
      <c r="AA713">
        <v>0.96954720000000005</v>
      </c>
      <c r="AB713">
        <v>23</v>
      </c>
      <c r="AC713">
        <v>30.050999999999899</v>
      </c>
      <c r="AD713">
        <v>-1.0606246634609999</v>
      </c>
      <c r="AE713">
        <v>-7.2089999999999996</v>
      </c>
      <c r="AF713">
        <v>7.6170679974149698</v>
      </c>
      <c r="AG713">
        <v>-1.0606246634609999</v>
      </c>
      <c r="AH713">
        <v>29.9126507794617</v>
      </c>
      <c r="AI713">
        <v>91.967957645782207</v>
      </c>
      <c r="AJ713">
        <v>75.713618002629602</v>
      </c>
      <c r="AK713">
        <v>30.885454929594601</v>
      </c>
      <c r="AL713">
        <v>83.674463650983697</v>
      </c>
      <c r="AM713">
        <v>83.136339298881694</v>
      </c>
      <c r="AN713">
        <v>0.99999998198732898</v>
      </c>
    </row>
    <row r="714" spans="1:40" x14ac:dyDescent="0.25">
      <c r="A714" t="str">
        <f>"20190312151236986"</f>
        <v>20190312151236986</v>
      </c>
      <c r="B714" t="str">
        <f>"1552374756980815"</f>
        <v>1552374756980815</v>
      </c>
      <c r="C714" t="s">
        <v>40</v>
      </c>
      <c r="D714">
        <v>4.0551690000000002</v>
      </c>
      <c r="E714">
        <v>0.54796420000000001</v>
      </c>
      <c r="F714" t="s">
        <v>42</v>
      </c>
      <c r="G714">
        <v>-263.85449999999997</v>
      </c>
      <c r="H714" s="1">
        <v>-4.6867079999999998E-6</v>
      </c>
      <c r="I714">
        <v>359.80970000000002</v>
      </c>
      <c r="J714">
        <v>-293.75810000000001</v>
      </c>
      <c r="K714">
        <v>1.060629</v>
      </c>
      <c r="L714">
        <v>366.98399999999998</v>
      </c>
      <c r="M714">
        <v>0.99979660000000004</v>
      </c>
      <c r="N714">
        <v>0</v>
      </c>
      <c r="O714">
        <v>1.386514E-2</v>
      </c>
      <c r="P714">
        <v>0.98965689999999995</v>
      </c>
      <c r="Q714">
        <v>9.6438499999999996E-2</v>
      </c>
      <c r="R714">
        <v>-0.10620350000000001</v>
      </c>
      <c r="S714">
        <v>2.9660340000000001</v>
      </c>
      <c r="T714">
        <v>-0.10434350000000001</v>
      </c>
      <c r="U714">
        <v>-0.70547490000000002</v>
      </c>
      <c r="V714">
        <v>0.1199264</v>
      </c>
      <c r="W714">
        <v>0.1108986</v>
      </c>
      <c r="X714">
        <v>0.98656940000000004</v>
      </c>
      <c r="Y714">
        <v>0.2447124</v>
      </c>
      <c r="Z714">
        <v>-4.7251050000000003E-3</v>
      </c>
      <c r="AA714">
        <v>0.96958420000000001</v>
      </c>
      <c r="AB714">
        <v>23</v>
      </c>
      <c r="AC714">
        <v>29.903600000000001</v>
      </c>
      <c r="AD714">
        <v>-1.060633686708</v>
      </c>
      <c r="AE714">
        <v>-7.1743000000000103</v>
      </c>
      <c r="AF714">
        <v>7.5792564616983702</v>
      </c>
      <c r="AG714">
        <v>-1.060633686708</v>
      </c>
      <c r="AH714">
        <v>29.765833861072299</v>
      </c>
      <c r="AI714">
        <v>91.977680272837205</v>
      </c>
      <c r="AJ714">
        <v>75.714387227492793</v>
      </c>
      <c r="AK714">
        <v>30.733937882649101</v>
      </c>
      <c r="AL714">
        <v>83.632881568620505</v>
      </c>
      <c r="AM714">
        <v>83.069186191327006</v>
      </c>
      <c r="AN714">
        <v>1.0000000109576399</v>
      </c>
    </row>
    <row r="715" spans="1:40" x14ac:dyDescent="0.25">
      <c r="A715" t="str">
        <f>"20190312151237007"</f>
        <v>20190312151237007</v>
      </c>
      <c r="B715" t="str">
        <f>"1552374757000338"</f>
        <v>1552374757000338</v>
      </c>
      <c r="C715" t="s">
        <v>40</v>
      </c>
      <c r="D715">
        <v>4.1752010000000004</v>
      </c>
      <c r="E715">
        <v>0.52859179999999995</v>
      </c>
      <c r="F715" t="s">
        <v>42</v>
      </c>
      <c r="G715">
        <v>-262.94009999999997</v>
      </c>
      <c r="H715" s="1">
        <v>-5.046564E-6</v>
      </c>
      <c r="I715">
        <v>359.62670000000003</v>
      </c>
      <c r="J715">
        <v>-293.5367</v>
      </c>
      <c r="K715">
        <v>1.060632</v>
      </c>
      <c r="L715">
        <v>366.9871</v>
      </c>
      <c r="M715">
        <v>0.99979700000000005</v>
      </c>
      <c r="N715">
        <v>0</v>
      </c>
      <c r="O715">
        <v>1.38342E-2</v>
      </c>
      <c r="P715">
        <v>0.98953020000000003</v>
      </c>
      <c r="Q715">
        <v>9.7037159999999997E-2</v>
      </c>
      <c r="R715">
        <v>-0.1068359</v>
      </c>
      <c r="S715">
        <v>2.9653320000000001</v>
      </c>
      <c r="T715">
        <v>-0.1020546</v>
      </c>
      <c r="U715">
        <v>-0.70791630000000005</v>
      </c>
      <c r="V715">
        <v>0.12052649999999999</v>
      </c>
      <c r="W715">
        <v>0.11149000000000001</v>
      </c>
      <c r="X715">
        <v>0.98642960000000002</v>
      </c>
      <c r="Y715">
        <v>0.24549550000000001</v>
      </c>
      <c r="Z715">
        <v>-4.6343729999999998E-3</v>
      </c>
      <c r="AA715">
        <v>0.96938659999999999</v>
      </c>
      <c r="AB715">
        <v>23</v>
      </c>
      <c r="AC715">
        <v>30.596599999999999</v>
      </c>
      <c r="AD715">
        <v>-1.060637046564</v>
      </c>
      <c r="AE715">
        <v>-7.3603999999999701</v>
      </c>
      <c r="AF715">
        <v>7.7741893828154396</v>
      </c>
      <c r="AG715">
        <v>-1.060637046564</v>
      </c>
      <c r="AH715">
        <v>30.4572376471971</v>
      </c>
      <c r="AI715">
        <v>91.932539316575998</v>
      </c>
      <c r="AJ715">
        <v>75.681035813348799</v>
      </c>
      <c r="AK715">
        <v>31.451650141165299</v>
      </c>
      <c r="AL715">
        <v>83.598785374970106</v>
      </c>
      <c r="AM715">
        <v>83.033867485219204</v>
      </c>
      <c r="AN715">
        <v>1.0000000065292001</v>
      </c>
    </row>
    <row r="716" spans="1:40" x14ac:dyDescent="0.25">
      <c r="A716" t="str">
        <f>"20190312151237029"</f>
        <v>20190312151237029</v>
      </c>
      <c r="B716" t="str">
        <f>"1552374757019858"</f>
        <v>1552374757019858</v>
      </c>
      <c r="C716" t="s">
        <v>40</v>
      </c>
      <c r="D716">
        <v>4.1272359999999999</v>
      </c>
      <c r="E716">
        <v>0.52656550000000002</v>
      </c>
      <c r="F716" t="s">
        <v>42</v>
      </c>
      <c r="G716">
        <v>-277.17599999999999</v>
      </c>
      <c r="H716" s="1">
        <v>-2.4596180000000002E-6</v>
      </c>
      <c r="I716">
        <v>363.93169999999998</v>
      </c>
      <c r="J716">
        <v>-293.3116</v>
      </c>
      <c r="K716">
        <v>1.0606359999999999</v>
      </c>
      <c r="L716">
        <v>366.99009999999998</v>
      </c>
      <c r="M716">
        <v>0.99979750000000001</v>
      </c>
      <c r="N716">
        <v>0</v>
      </c>
      <c r="O716">
        <v>1.380342E-2</v>
      </c>
      <c r="P716">
        <v>0.98938409999999999</v>
      </c>
      <c r="Q716">
        <v>9.7720890000000005E-2</v>
      </c>
      <c r="R716">
        <v>-0.1075636</v>
      </c>
      <c r="S716">
        <v>2.9904169999999999</v>
      </c>
      <c r="T716">
        <v>-0.1938617</v>
      </c>
      <c r="U716">
        <v>-0.55844119999999997</v>
      </c>
      <c r="V716">
        <v>0.1212216</v>
      </c>
      <c r="W716">
        <v>0.11216569999999999</v>
      </c>
      <c r="X716">
        <v>0.98626780000000003</v>
      </c>
      <c r="Y716">
        <v>0.1966957</v>
      </c>
      <c r="Z716">
        <v>-7.2011890000000002E-3</v>
      </c>
      <c r="AA716">
        <v>0.98043809999999998</v>
      </c>
      <c r="AB716">
        <v>23</v>
      </c>
      <c r="AC716">
        <v>16.1356</v>
      </c>
      <c r="AD716">
        <v>-1.0606384596179901</v>
      </c>
      <c r="AE716">
        <v>-3.0583999999999998</v>
      </c>
      <c r="AF716">
        <v>3.26723143170523</v>
      </c>
      <c r="AG716">
        <v>-1.0606384596179901</v>
      </c>
      <c r="AH716">
        <v>16.025001944644501</v>
      </c>
      <c r="AI716">
        <v>93.710566851934999</v>
      </c>
      <c r="AJ716">
        <v>78.476285073929006</v>
      </c>
      <c r="AK716">
        <v>16.389034214870701</v>
      </c>
      <c r="AL716">
        <v>83.559826186777698</v>
      </c>
      <c r="AM716">
        <v>82.992952644588797</v>
      </c>
      <c r="AN716">
        <v>0.99999999693994501</v>
      </c>
    </row>
    <row r="717" spans="1:40" x14ac:dyDescent="0.25">
      <c r="A717" t="str">
        <f>"20190312151237051"</f>
        <v>20190312151237051</v>
      </c>
      <c r="B717" t="str">
        <f>"1552374757040350"</f>
        <v>1552374757040350</v>
      </c>
      <c r="C717" t="s">
        <v>40</v>
      </c>
      <c r="D717">
        <v>4.115297</v>
      </c>
      <c r="E717">
        <v>0.52636059999999996</v>
      </c>
      <c r="F717" t="s">
        <v>42</v>
      </c>
      <c r="G717">
        <v>-272.88229999999999</v>
      </c>
      <c r="H717" s="1">
        <v>-4.1610779999999997E-6</v>
      </c>
      <c r="I717">
        <v>363.27229999999997</v>
      </c>
      <c r="J717">
        <v>-293.08589999999998</v>
      </c>
      <c r="K717">
        <v>1.060638</v>
      </c>
      <c r="L717">
        <v>366.9932</v>
      </c>
      <c r="M717">
        <v>0.99979799999999996</v>
      </c>
      <c r="N717">
        <v>0</v>
      </c>
      <c r="O717">
        <v>1.377169E-2</v>
      </c>
      <c r="P717">
        <v>0.98919769999999896</v>
      </c>
      <c r="Q717">
        <v>9.8360810000000007E-2</v>
      </c>
      <c r="R717">
        <v>-0.1086882</v>
      </c>
      <c r="S717">
        <v>2.9883730000000002</v>
      </c>
      <c r="T717">
        <v>-0.15514890000000001</v>
      </c>
      <c r="U717">
        <v>-0.54382319999999995</v>
      </c>
      <c r="V717">
        <v>0.12231259999999999</v>
      </c>
      <c r="W717">
        <v>0.1127973</v>
      </c>
      <c r="X717">
        <v>0.98606099999999997</v>
      </c>
      <c r="Y717">
        <v>0.19230410000000001</v>
      </c>
      <c r="Z717">
        <v>-5.6570459999999998E-3</v>
      </c>
      <c r="AA717">
        <v>0.9813191</v>
      </c>
      <c r="AB717">
        <v>23</v>
      </c>
      <c r="AC717">
        <v>20.203599999999899</v>
      </c>
      <c r="AD717">
        <v>-1.0606421610779999</v>
      </c>
      <c r="AE717">
        <v>-3.7209000000000199</v>
      </c>
      <c r="AF717">
        <v>3.9881837140525001</v>
      </c>
      <c r="AG717">
        <v>-1.0606421610779999</v>
      </c>
      <c r="AH717">
        <v>20.096864955760001</v>
      </c>
      <c r="AI717">
        <v>92.963385776697194</v>
      </c>
      <c r="AJ717">
        <v>78.775593021748705</v>
      </c>
      <c r="AK717">
        <v>20.516202187075098</v>
      </c>
      <c r="AL717">
        <v>83.523406739804201</v>
      </c>
      <c r="AM717">
        <v>82.929056576552398</v>
      </c>
      <c r="AN717">
        <v>0.99999994936352299</v>
      </c>
    </row>
    <row r="718" spans="1:40" x14ac:dyDescent="0.25">
      <c r="A718" t="str">
        <f>"20190312151237064"</f>
        <v>20190312151237064</v>
      </c>
      <c r="B718" t="str">
        <f>"1552374757059871"</f>
        <v>1552374757059871</v>
      </c>
      <c r="C718" t="s">
        <v>40</v>
      </c>
      <c r="D718">
        <v>4.1558409999999997</v>
      </c>
      <c r="E718">
        <v>0.52589980000000003</v>
      </c>
      <c r="F718" t="s">
        <v>42</v>
      </c>
      <c r="G718">
        <v>-270.26209999999998</v>
      </c>
      <c r="H718" s="1">
        <v>-5.3644730000000004E-6</v>
      </c>
      <c r="I718">
        <v>362.82510000000002</v>
      </c>
      <c r="J718">
        <v>-292.94970000000001</v>
      </c>
      <c r="K718">
        <v>1.0606329999999999</v>
      </c>
      <c r="L718">
        <v>366.99509999999998</v>
      </c>
      <c r="M718">
        <v>0.99979850000000003</v>
      </c>
      <c r="N718">
        <v>0</v>
      </c>
      <c r="O718">
        <v>1.37521E-2</v>
      </c>
      <c r="P718">
        <v>0.98911919999999998</v>
      </c>
      <c r="Q718">
        <v>9.8374130000000004E-2</v>
      </c>
      <c r="R718">
        <v>-0.109389</v>
      </c>
      <c r="S718">
        <v>2.9866329999999999</v>
      </c>
      <c r="T718">
        <v>-0.13879129999999901</v>
      </c>
      <c r="U718">
        <v>-0.54541019999999996</v>
      </c>
      <c r="V718">
        <v>0.1229928</v>
      </c>
      <c r="W718">
        <v>0.1128063</v>
      </c>
      <c r="X718">
        <v>0.98597539999999995</v>
      </c>
      <c r="Y718">
        <v>0.192943</v>
      </c>
      <c r="Z718">
        <v>-5.0777510000000001E-3</v>
      </c>
      <c r="AA718">
        <v>0.98119679999999998</v>
      </c>
      <c r="AB718">
        <v>23</v>
      </c>
      <c r="AC718">
        <v>22.6876</v>
      </c>
      <c r="AD718">
        <v>-1.060638364473</v>
      </c>
      <c r="AE718">
        <v>-4.1699999999999502</v>
      </c>
      <c r="AF718">
        <v>4.4721863807716504</v>
      </c>
      <c r="AG718">
        <v>-1.060638364473</v>
      </c>
      <c r="AH718">
        <v>22.580364258258399</v>
      </c>
      <c r="AI718">
        <v>92.638134197218804</v>
      </c>
      <c r="AJ718">
        <v>78.797182664993699</v>
      </c>
      <c r="AK718">
        <v>23.043399375964199</v>
      </c>
      <c r="AL718">
        <v>83.522888028369906</v>
      </c>
      <c r="AM718">
        <v>82.889524318124202</v>
      </c>
      <c r="AN718">
        <v>0.99999998978834503</v>
      </c>
    </row>
    <row r="719" spans="1:40" x14ac:dyDescent="0.25">
      <c r="A719" t="str">
        <f>"20190312151237086"</f>
        <v>20190312151237086</v>
      </c>
      <c r="B719" t="str">
        <f>"1552374757080367"</f>
        <v>1552374757080367</v>
      </c>
      <c r="C719" t="s">
        <v>40</v>
      </c>
      <c r="D719">
        <v>4.2183060000000001</v>
      </c>
      <c r="E719">
        <v>0.52598630000000002</v>
      </c>
      <c r="F719" t="s">
        <v>42</v>
      </c>
      <c r="G719">
        <v>-269.99630000000002</v>
      </c>
      <c r="H719" s="1">
        <v>-5.4802319999999997E-6</v>
      </c>
      <c r="I719">
        <v>362.81540000000001</v>
      </c>
      <c r="J719">
        <v>-292.73809999999997</v>
      </c>
      <c r="K719">
        <v>1.0606329999999999</v>
      </c>
      <c r="L719">
        <v>366.99790000000002</v>
      </c>
      <c r="M719">
        <v>0.99979890000000005</v>
      </c>
      <c r="N719">
        <v>0</v>
      </c>
      <c r="O719">
        <v>1.372198E-2</v>
      </c>
      <c r="P719">
        <v>0.98892910000000001</v>
      </c>
      <c r="Q719">
        <v>9.8813609999999996E-2</v>
      </c>
      <c r="R719">
        <v>-0.1107045</v>
      </c>
      <c r="S719">
        <v>2.9865719999999998</v>
      </c>
      <c r="T719">
        <v>-0.13800389999999901</v>
      </c>
      <c r="U719">
        <v>-0.54382319999999995</v>
      </c>
      <c r="V719">
        <v>0.12427580000000001</v>
      </c>
      <c r="W719">
        <v>0.113237</v>
      </c>
      <c r="X719">
        <v>0.98576520000000001</v>
      </c>
      <c r="Y719">
        <v>0.19241530000000001</v>
      </c>
      <c r="Z719">
        <v>-5.0358470000000004E-3</v>
      </c>
      <c r="AA719">
        <v>0.98130070000000003</v>
      </c>
      <c r="AB719">
        <v>23</v>
      </c>
      <c r="AC719">
        <v>22.741799999999898</v>
      </c>
      <c r="AD719">
        <v>-1.0606384802319999</v>
      </c>
      <c r="AE719">
        <v>-4.1825000000000001</v>
      </c>
      <c r="AF719">
        <v>4.4847662376614199</v>
      </c>
      <c r="AG719">
        <v>-1.0606384802319999</v>
      </c>
      <c r="AH719">
        <v>22.634637572477999</v>
      </c>
      <c r="AI719">
        <v>92.631777155622302</v>
      </c>
      <c r="AJ719">
        <v>78.792723596072307</v>
      </c>
      <c r="AK719">
        <v>23.0990237938673</v>
      </c>
      <c r="AL719">
        <v>83.498052062428201</v>
      </c>
      <c r="AM719">
        <v>82.814606502393403</v>
      </c>
      <c r="AN719">
        <v>1.0000000610828299</v>
      </c>
    </row>
    <row r="720" spans="1:40" x14ac:dyDescent="0.25">
      <c r="A720" t="str">
        <f>"20190312151237109"</f>
        <v>20190312151237109</v>
      </c>
      <c r="B720" t="str">
        <f>"1552374757099886"</f>
        <v>1552374757099886</v>
      </c>
      <c r="C720" t="s">
        <v>40</v>
      </c>
      <c r="D720">
        <v>4.2431609999999997</v>
      </c>
      <c r="E720">
        <v>0.52577719999999994</v>
      </c>
      <c r="F720" t="s">
        <v>42</v>
      </c>
      <c r="G720">
        <v>-266.8922</v>
      </c>
      <c r="H720" s="1">
        <v>-3.0031690000000001E-6</v>
      </c>
      <c r="I720">
        <v>362.2518</v>
      </c>
      <c r="J720">
        <v>-292.50389999999999</v>
      </c>
      <c r="K720">
        <v>1.060638</v>
      </c>
      <c r="L720">
        <v>367.00110000000001</v>
      </c>
      <c r="M720">
        <v>0.9997994</v>
      </c>
      <c r="N720">
        <v>0</v>
      </c>
      <c r="O720">
        <v>1.368787E-2</v>
      </c>
      <c r="P720">
        <v>0.98874119999999999</v>
      </c>
      <c r="Q720">
        <v>9.9391149999999998E-2</v>
      </c>
      <c r="R720">
        <v>-0.11186</v>
      </c>
      <c r="S720">
        <v>2.984467</v>
      </c>
      <c r="T720">
        <v>-0.122473</v>
      </c>
      <c r="U720">
        <v>-0.54803469999999999</v>
      </c>
      <c r="V720">
        <v>0.125394899999999</v>
      </c>
      <c r="W720">
        <v>0.113806</v>
      </c>
      <c r="X720">
        <v>0.98555789999999999</v>
      </c>
      <c r="Y720">
        <v>0.19388739999999999</v>
      </c>
      <c r="Z720">
        <v>-4.5007010000000002E-3</v>
      </c>
      <c r="AA720">
        <v>0.98101349999999998</v>
      </c>
      <c r="AB720">
        <v>23</v>
      </c>
      <c r="AC720">
        <v>25.6116999999999</v>
      </c>
      <c r="AD720">
        <v>-1.0606410031689999</v>
      </c>
      <c r="AE720">
        <v>-4.7492999999999999</v>
      </c>
      <c r="AF720">
        <v>5.0910213032422602</v>
      </c>
      <c r="AG720">
        <v>-1.0606410031689999</v>
      </c>
      <c r="AH720">
        <v>25.502003723358001</v>
      </c>
      <c r="AI720">
        <v>92.335555126089403</v>
      </c>
      <c r="AJ720">
        <v>78.710331408751998</v>
      </c>
      <c r="AK720">
        <v>26.026825606551299</v>
      </c>
      <c r="AL720">
        <v>83.465238443141999</v>
      </c>
      <c r="AM720">
        <v>82.7490789761207</v>
      </c>
      <c r="AN720">
        <v>1.0000000304172001</v>
      </c>
    </row>
    <row r="721" spans="1:40" x14ac:dyDescent="0.25">
      <c r="A721" t="str">
        <f>"20190312151237130"</f>
        <v>20190312151237130</v>
      </c>
      <c r="B721" t="str">
        <f>"1552374757120382"</f>
        <v>1552374757120382</v>
      </c>
      <c r="C721" t="s">
        <v>40</v>
      </c>
      <c r="D721">
        <v>4.1801110000000001</v>
      </c>
      <c r="E721">
        <v>0.52537979999999995</v>
      </c>
      <c r="F721" t="s">
        <v>42</v>
      </c>
      <c r="G721">
        <v>-261.4212</v>
      </c>
      <c r="H721" s="1">
        <v>-5.1424729999999998E-6</v>
      </c>
      <c r="I721">
        <v>361.27350000000001</v>
      </c>
      <c r="J721">
        <v>-292.28550000000001</v>
      </c>
      <c r="K721">
        <v>1.060638</v>
      </c>
      <c r="L721">
        <v>367.00409999999999</v>
      </c>
      <c r="M721">
        <v>0.99980000000000002</v>
      </c>
      <c r="N721">
        <v>0</v>
      </c>
      <c r="O721">
        <v>1.365561E-2</v>
      </c>
      <c r="P721">
        <v>0.98854070000000005</v>
      </c>
      <c r="Q721">
        <v>0.1002379</v>
      </c>
      <c r="R721">
        <v>-0.11287079999999999</v>
      </c>
      <c r="S721">
        <v>2.9822389999999999</v>
      </c>
      <c r="T721">
        <v>-0.10176350000000001</v>
      </c>
      <c r="U721">
        <v>-0.54952999999999996</v>
      </c>
      <c r="V721">
        <v>0.12637129999999999</v>
      </c>
      <c r="W721">
        <v>0.114644</v>
      </c>
      <c r="X721">
        <v>0.98533599999999999</v>
      </c>
      <c r="Y721">
        <v>0.19451350000000001</v>
      </c>
      <c r="Z721">
        <v>-3.7522079999999999E-3</v>
      </c>
      <c r="AA721">
        <v>0.98089269999999995</v>
      </c>
      <c r="AB721">
        <v>23</v>
      </c>
      <c r="AC721">
        <v>30.8643</v>
      </c>
      <c r="AD721">
        <v>-1.0606431424730001</v>
      </c>
      <c r="AE721">
        <v>-5.7305999999999804</v>
      </c>
      <c r="AF721">
        <v>6.1445668783627401</v>
      </c>
      <c r="AG721">
        <v>-1.0606431424730001</v>
      </c>
      <c r="AH721">
        <v>30.748056976469901</v>
      </c>
      <c r="AI721">
        <v>91.9373394171581</v>
      </c>
      <c r="AJ721">
        <v>78.699106203636205</v>
      </c>
      <c r="AK721">
        <v>31.373933030886999</v>
      </c>
      <c r="AL721">
        <v>83.416908003858893</v>
      </c>
      <c r="AM721">
        <v>82.691599078710894</v>
      </c>
      <c r="AN721">
        <v>0.999999992547845</v>
      </c>
    </row>
    <row r="722" spans="1:40" x14ac:dyDescent="0.25">
      <c r="A722" t="str">
        <f>"20190312151237151"</f>
        <v>20190312151237151</v>
      </c>
      <c r="B722" t="str">
        <f>"1552374757139902"</f>
        <v>1552374757139902</v>
      </c>
      <c r="C722" t="s">
        <v>40</v>
      </c>
      <c r="D722">
        <v>4.1648440000000004</v>
      </c>
      <c r="E722">
        <v>0.52565260000000003</v>
      </c>
      <c r="F722" t="s">
        <v>42</v>
      </c>
      <c r="G722">
        <v>-262.25360000000001</v>
      </c>
      <c r="H722" s="1">
        <v>-4.7892989999999998E-6</v>
      </c>
      <c r="I722">
        <v>361.47160000000002</v>
      </c>
      <c r="J722">
        <v>-292.06400000000002</v>
      </c>
      <c r="K722">
        <v>1.060638</v>
      </c>
      <c r="L722">
        <v>367.00700000000001</v>
      </c>
      <c r="M722">
        <v>0.99980040000000003</v>
      </c>
      <c r="N722">
        <v>0</v>
      </c>
      <c r="O722">
        <v>1.3623339999999999E-2</v>
      </c>
      <c r="P722">
        <v>0.98839489999999997</v>
      </c>
      <c r="Q722">
        <v>0.10071140000000001</v>
      </c>
      <c r="R722">
        <v>-0.11372350000000001</v>
      </c>
      <c r="S722">
        <v>2.9827270000000001</v>
      </c>
      <c r="T722">
        <v>-0.1053414</v>
      </c>
      <c r="U722">
        <v>-0.54946899999999999</v>
      </c>
      <c r="V722">
        <v>0.12718989999999999</v>
      </c>
      <c r="W722">
        <v>0.11511059999999999</v>
      </c>
      <c r="X722">
        <v>0.9851763</v>
      </c>
      <c r="Y722">
        <v>0.1944256</v>
      </c>
      <c r="Z722">
        <v>-3.8807669999999998E-3</v>
      </c>
      <c r="AA722">
        <v>0.98090960000000005</v>
      </c>
      <c r="AB722">
        <v>23</v>
      </c>
      <c r="AC722">
        <v>29.810400000000001</v>
      </c>
      <c r="AD722">
        <v>-1.060642789299</v>
      </c>
      <c r="AE722">
        <v>-5.5353999999999202</v>
      </c>
      <c r="AF722">
        <v>5.9337855118808296</v>
      </c>
      <c r="AG722">
        <v>-1.060642789299</v>
      </c>
      <c r="AH722">
        <v>29.695874928093701</v>
      </c>
      <c r="AI722">
        <v>92.005934010402797</v>
      </c>
      <c r="AJ722">
        <v>78.700066482530502</v>
      </c>
      <c r="AK722">
        <v>30.301481174564401</v>
      </c>
      <c r="AL722">
        <v>83.389995882893501</v>
      </c>
      <c r="AM722">
        <v>82.643594703796495</v>
      </c>
      <c r="AN722">
        <v>1.00000003148802</v>
      </c>
    </row>
    <row r="723" spans="1:40" x14ac:dyDescent="0.25">
      <c r="A723" t="str">
        <f>"20190312151237165"</f>
        <v>20190312151237165</v>
      </c>
      <c r="B723" t="str">
        <f>"1552374757160399"</f>
        <v>1552374757160399</v>
      </c>
      <c r="C723" t="s">
        <v>40</v>
      </c>
      <c r="D723">
        <v>4.2438739999999999</v>
      </c>
      <c r="E723">
        <v>0.52543660000000003</v>
      </c>
      <c r="F723" t="s">
        <v>42</v>
      </c>
      <c r="G723">
        <v>-261.90530000000001</v>
      </c>
      <c r="H723" s="1">
        <v>-4.9275080000000001E-6</v>
      </c>
      <c r="I723">
        <v>361.39760000000001</v>
      </c>
      <c r="J723">
        <v>-291.92739999999998</v>
      </c>
      <c r="K723">
        <v>1.06064</v>
      </c>
      <c r="L723">
        <v>367.00889999999998</v>
      </c>
      <c r="M723">
        <v>0.99980080000000005</v>
      </c>
      <c r="N723">
        <v>0</v>
      </c>
      <c r="O723">
        <v>1.3602929999999999E-2</v>
      </c>
      <c r="P723">
        <v>0.9883419</v>
      </c>
      <c r="Q723">
        <v>0.10094210000000001</v>
      </c>
      <c r="R723">
        <v>-0.1139791</v>
      </c>
      <c r="S723">
        <v>2.9820859999999998</v>
      </c>
      <c r="T723">
        <v>-0.104876</v>
      </c>
      <c r="U723">
        <v>-0.55465699999999996</v>
      </c>
      <c r="V723">
        <v>0.1274246</v>
      </c>
      <c r="W723">
        <v>0.11533690000000001</v>
      </c>
      <c r="X723">
        <v>0.98511950000000004</v>
      </c>
      <c r="Y723">
        <v>0.19609289999999999</v>
      </c>
      <c r="Z723">
        <v>-3.892193E-3</v>
      </c>
      <c r="AA723">
        <v>0.98057760000000005</v>
      </c>
      <c r="AB723">
        <v>23</v>
      </c>
      <c r="AC723">
        <v>30.022099999999899</v>
      </c>
      <c r="AD723">
        <v>-1.0606449275079901</v>
      </c>
      <c r="AE723">
        <v>-5.6112999999999698</v>
      </c>
      <c r="AF723">
        <v>6.0119624048684699</v>
      </c>
      <c r="AG723">
        <v>-1.0606449275079901</v>
      </c>
      <c r="AH723">
        <v>29.906915795479399</v>
      </c>
      <c r="AI723">
        <v>91.991332774396</v>
      </c>
      <c r="AJ723">
        <v>78.633748010817101</v>
      </c>
      <c r="AK723">
        <v>30.523634646249</v>
      </c>
      <c r="AL723">
        <v>83.376942894871206</v>
      </c>
      <c r="AM723">
        <v>82.629748974049093</v>
      </c>
      <c r="AN723">
        <v>1.0000000292335001</v>
      </c>
    </row>
    <row r="724" spans="1:40" x14ac:dyDescent="0.25">
      <c r="A724" t="str">
        <f>"20190312151237186"</f>
        <v>20190312151237186</v>
      </c>
      <c r="B724" t="str">
        <f>"1552374757179934"</f>
        <v>1552374757179934</v>
      </c>
      <c r="C724" t="s">
        <v>40</v>
      </c>
      <c r="D724">
        <v>4.2350339999999997</v>
      </c>
      <c r="E724">
        <v>0.52510749999999995</v>
      </c>
      <c r="F724" t="s">
        <v>42</v>
      </c>
      <c r="G724">
        <v>-262.76389999999998</v>
      </c>
      <c r="H724" s="1">
        <v>-4.5842339999999998E-6</v>
      </c>
      <c r="I724">
        <v>361.58960000000002</v>
      </c>
      <c r="J724">
        <v>-291.72050000000002</v>
      </c>
      <c r="K724">
        <v>1.060643</v>
      </c>
      <c r="L724">
        <v>367.01170000000002</v>
      </c>
      <c r="M724">
        <v>0.9998013</v>
      </c>
      <c r="N724">
        <v>0</v>
      </c>
      <c r="O724">
        <v>1.3572870000000001E-2</v>
      </c>
      <c r="P724">
        <v>0.9882495</v>
      </c>
      <c r="Q724">
        <v>0.1014229</v>
      </c>
      <c r="R724">
        <v>-0.1143533</v>
      </c>
      <c r="S724">
        <v>2.9825740000000001</v>
      </c>
      <c r="T724">
        <v>-0.10847279999999999</v>
      </c>
      <c r="U724">
        <v>-0.55422969999999905</v>
      </c>
      <c r="V724">
        <v>0.12776799999999999</v>
      </c>
      <c r="W724">
        <v>0.1158106</v>
      </c>
      <c r="X724">
        <v>0.98501939999999999</v>
      </c>
      <c r="Y724">
        <v>0.19589019999999999</v>
      </c>
      <c r="Z724">
        <v>-4.0202600000000003E-3</v>
      </c>
      <c r="AA724">
        <v>0.98061759999999998</v>
      </c>
      <c r="AB724">
        <v>23</v>
      </c>
      <c r="AC724">
        <v>28.956600000000002</v>
      </c>
      <c r="AD724">
        <v>-1.060647584234</v>
      </c>
      <c r="AE724">
        <v>-5.4221000000000004</v>
      </c>
      <c r="AF724">
        <v>5.8071391289577097</v>
      </c>
      <c r="AG724">
        <v>-1.060647584234</v>
      </c>
      <c r="AH724">
        <v>28.842943809885899</v>
      </c>
      <c r="AI724">
        <v>92.064607429976505</v>
      </c>
      <c r="AJ724">
        <v>78.616452516204205</v>
      </c>
      <c r="AK724">
        <v>29.440843156765201</v>
      </c>
      <c r="AL724">
        <v>83.349618505210103</v>
      </c>
      <c r="AM724">
        <v>82.609363264323903</v>
      </c>
      <c r="AN724">
        <v>0.99999998763636</v>
      </c>
    </row>
    <row r="725" spans="1:40" x14ac:dyDescent="0.25">
      <c r="A725" t="str">
        <f>"20190312151237208"</f>
        <v>20190312151237208</v>
      </c>
      <c r="B725" t="str">
        <f>"1552374757200418"</f>
        <v>1552374757200418</v>
      </c>
      <c r="C725" t="s">
        <v>40</v>
      </c>
      <c r="D725">
        <v>4.2216050000000003</v>
      </c>
      <c r="E725">
        <v>0.52496069999999995</v>
      </c>
      <c r="F725" t="s">
        <v>42</v>
      </c>
      <c r="G725">
        <v>-263.05149999999998</v>
      </c>
      <c r="H725" s="1">
        <v>-4.4570709999999999E-6</v>
      </c>
      <c r="I725">
        <v>361.69970000000001</v>
      </c>
      <c r="J725">
        <v>-291.50220000000002</v>
      </c>
      <c r="K725">
        <v>1.0606500000000001</v>
      </c>
      <c r="L725">
        <v>367.01459999999997</v>
      </c>
      <c r="M725">
        <v>0.99980170000000002</v>
      </c>
      <c r="N725">
        <v>0</v>
      </c>
      <c r="O725">
        <v>1.354061E-2</v>
      </c>
      <c r="P725">
        <v>0.98825499999999999</v>
      </c>
      <c r="Q725">
        <v>0.10174179999999999</v>
      </c>
      <c r="R725">
        <v>-0.11402080000000001</v>
      </c>
      <c r="S725">
        <v>2.9830019999999999</v>
      </c>
      <c r="T725">
        <v>-0.11036</v>
      </c>
      <c r="U725">
        <v>-0.55270390000000003</v>
      </c>
      <c r="V725">
        <v>0.12740370000000001</v>
      </c>
      <c r="W725">
        <v>0.11612509999999999</v>
      </c>
      <c r="X725">
        <v>0.98502959999999995</v>
      </c>
      <c r="Y725">
        <v>0.19534409999999999</v>
      </c>
      <c r="Z725">
        <v>-4.0785739999999997E-3</v>
      </c>
      <c r="AA725">
        <v>0.98072630000000005</v>
      </c>
      <c r="AB725">
        <v>23</v>
      </c>
      <c r="AC725">
        <v>28.450700000000001</v>
      </c>
      <c r="AD725">
        <v>-1.0606544570709999</v>
      </c>
      <c r="AE725">
        <v>-5.3148999999999598</v>
      </c>
      <c r="AF725">
        <v>5.6920493284541598</v>
      </c>
      <c r="AG725">
        <v>-1.0606544570709999</v>
      </c>
      <c r="AH725">
        <v>28.338059487886699</v>
      </c>
      <c r="AI725">
        <v>92.101564812059706</v>
      </c>
      <c r="AJ725">
        <v>78.642566540912597</v>
      </c>
      <c r="AK725">
        <v>28.923520341996099</v>
      </c>
      <c r="AL725">
        <v>83.331476843443298</v>
      </c>
      <c r="AM725">
        <v>82.630279390820505</v>
      </c>
      <c r="AN725">
        <v>1.0000000272499201</v>
      </c>
    </row>
    <row r="726" spans="1:40" x14ac:dyDescent="0.25">
      <c r="A726" t="str">
        <f>"20190312151237229"</f>
        <v>20190312151237229</v>
      </c>
      <c r="B726" t="str">
        <f>"1552374757219934"</f>
        <v>1552374757219934</v>
      </c>
      <c r="C726" t="s">
        <v>40</v>
      </c>
      <c r="D726">
        <v>4.216272</v>
      </c>
      <c r="E726">
        <v>0.52484039999999998</v>
      </c>
      <c r="F726" t="s">
        <v>42</v>
      </c>
      <c r="G726">
        <v>-263.58109999999999</v>
      </c>
      <c r="H726" s="1">
        <v>-4.2343479999999999E-6</v>
      </c>
      <c r="I726">
        <v>361.85939999999999</v>
      </c>
      <c r="J726">
        <v>-291.27420000000001</v>
      </c>
      <c r="K726">
        <v>1.0606500000000001</v>
      </c>
      <c r="L726">
        <v>367.01769999999999</v>
      </c>
      <c r="M726">
        <v>0.99980219999999997</v>
      </c>
      <c r="N726">
        <v>0</v>
      </c>
      <c r="O726">
        <v>1.35067999999999E-2</v>
      </c>
      <c r="P726">
        <v>0.98827030000000005</v>
      </c>
      <c r="Q726">
        <v>0.10210080000000001</v>
      </c>
      <c r="R726">
        <v>-0.1135654</v>
      </c>
      <c r="S726">
        <v>2.9838260000000001</v>
      </c>
      <c r="T726">
        <v>-0.1133479</v>
      </c>
      <c r="U726">
        <v>-0.55090329999999998</v>
      </c>
      <c r="V726">
        <v>0.12691530000000001</v>
      </c>
      <c r="W726">
        <v>0.1164789</v>
      </c>
      <c r="X726">
        <v>0.98505089999999995</v>
      </c>
      <c r="Y726">
        <v>0.1946831</v>
      </c>
      <c r="Z726">
        <v>-4.1742929999999999E-3</v>
      </c>
      <c r="AA726">
        <v>0.98085730000000004</v>
      </c>
      <c r="AB726">
        <v>23</v>
      </c>
      <c r="AC726">
        <v>27.693100000000001</v>
      </c>
      <c r="AD726">
        <v>-1.0606542343479901</v>
      </c>
      <c r="AE726">
        <v>-5.1582999999999899</v>
      </c>
      <c r="AF726">
        <v>5.5240827522709299</v>
      </c>
      <c r="AG726">
        <v>-1.0606542343479901</v>
      </c>
      <c r="AH726">
        <v>27.581790318553999</v>
      </c>
      <c r="AI726">
        <v>92.159375861269098</v>
      </c>
      <c r="AJ726">
        <v>78.67463900061</v>
      </c>
      <c r="AK726">
        <v>28.149522817189201</v>
      </c>
      <c r="AL726">
        <v>83.3110672577549</v>
      </c>
      <c r="AM726">
        <v>82.658379295925002</v>
      </c>
      <c r="AN726">
        <v>1.00000005155505</v>
      </c>
    </row>
    <row r="727" spans="1:40" x14ac:dyDescent="0.25">
      <c r="A727" t="str">
        <f>"20190312151237252"</f>
        <v>20190312151237252</v>
      </c>
      <c r="B727" t="str">
        <f>"1552374757240430"</f>
        <v>1552374757240430</v>
      </c>
      <c r="C727" t="s">
        <v>40</v>
      </c>
      <c r="D727">
        <v>4.2926359999999999</v>
      </c>
      <c r="E727">
        <v>0.52466919999999995</v>
      </c>
      <c r="F727" t="s">
        <v>42</v>
      </c>
      <c r="G727">
        <v>-263.5951</v>
      </c>
      <c r="H727" s="1">
        <v>-4.2108270000000001E-6</v>
      </c>
      <c r="I727">
        <v>361.92989999999998</v>
      </c>
      <c r="J727">
        <v>-291.05259999999998</v>
      </c>
      <c r="K727">
        <v>1.060649</v>
      </c>
      <c r="L727">
        <v>367.0206</v>
      </c>
      <c r="M727">
        <v>0.99980270000000004</v>
      </c>
      <c r="N727">
        <v>0</v>
      </c>
      <c r="O727">
        <v>1.3474180000000001E-2</v>
      </c>
      <c r="P727">
        <v>0.98832180000000003</v>
      </c>
      <c r="Q727">
        <v>0.1025628</v>
      </c>
      <c r="R727">
        <v>-0.1126993</v>
      </c>
      <c r="S727">
        <v>2.984375</v>
      </c>
      <c r="T727">
        <v>-0.11436</v>
      </c>
      <c r="U727">
        <v>-0.54855350000000003</v>
      </c>
      <c r="V727">
        <v>0.12601760000000001</v>
      </c>
      <c r="W727">
        <v>0.11693630000000001</v>
      </c>
      <c r="X727">
        <v>0.98511190000000004</v>
      </c>
      <c r="Y727">
        <v>0.19386990000000001</v>
      </c>
      <c r="Z727">
        <v>-4.1943850000000001E-3</v>
      </c>
      <c r="AA727">
        <v>0.98101830000000001</v>
      </c>
      <c r="AB727">
        <v>22</v>
      </c>
      <c r="AC727">
        <v>27.4574999999999</v>
      </c>
      <c r="AD727">
        <v>-1.0606532108269999</v>
      </c>
      <c r="AE727">
        <v>-5.0907000000000204</v>
      </c>
      <c r="AF727">
        <v>5.4523788461035103</v>
      </c>
      <c r="AG727">
        <v>-1.0606532108269999</v>
      </c>
      <c r="AH727">
        <v>27.346955709329201</v>
      </c>
      <c r="AI727">
        <v>92.178276256776002</v>
      </c>
      <c r="AJ727">
        <v>78.724343920859695</v>
      </c>
      <c r="AK727">
        <v>27.905365198883999</v>
      </c>
      <c r="AL727">
        <v>83.284679462234394</v>
      </c>
      <c r="AM727">
        <v>82.710194153376705</v>
      </c>
      <c r="AN727">
        <v>0.99999999464452904</v>
      </c>
    </row>
    <row r="728" spans="1:40" x14ac:dyDescent="0.25">
      <c r="A728" t="str">
        <f>"20190312151237266"</f>
        <v>20190312151237266</v>
      </c>
      <c r="B728" t="str">
        <f>"1552374757260927"</f>
        <v>1552374757260927</v>
      </c>
      <c r="C728" t="s">
        <v>40</v>
      </c>
      <c r="D728">
        <v>4.3042020000000001</v>
      </c>
      <c r="E728">
        <v>0.5246769</v>
      </c>
      <c r="F728" t="s">
        <v>42</v>
      </c>
      <c r="G728">
        <v>-263.5317</v>
      </c>
      <c r="H728" s="1">
        <v>-4.2140660000000004E-6</v>
      </c>
      <c r="I728">
        <v>361.99880000000002</v>
      </c>
      <c r="J728">
        <v>-290.90660000000003</v>
      </c>
      <c r="K728">
        <v>1.060648</v>
      </c>
      <c r="L728">
        <v>367.02260000000001</v>
      </c>
      <c r="M728">
        <v>0.99980309999999994</v>
      </c>
      <c r="N728">
        <v>0</v>
      </c>
      <c r="O728">
        <v>1.345263E-2</v>
      </c>
      <c r="P728">
        <v>0.98837240000000004</v>
      </c>
      <c r="Q728">
        <v>0.10275910000000001</v>
      </c>
      <c r="R728">
        <v>-0.1120744</v>
      </c>
      <c r="S728">
        <v>2.9852289999999999</v>
      </c>
      <c r="T728">
        <v>-0.11505020000000001</v>
      </c>
      <c r="U728">
        <v>-0.54470830000000003</v>
      </c>
      <c r="V728">
        <v>0.12537219999999999</v>
      </c>
      <c r="W728">
        <v>0.11713</v>
      </c>
      <c r="X728">
        <v>0.98517129999999997</v>
      </c>
      <c r="Y728">
        <v>0.1925752</v>
      </c>
      <c r="Z728">
        <v>-4.1934190000000003E-3</v>
      </c>
      <c r="AA728">
        <v>0.98127319999999996</v>
      </c>
      <c r="AB728">
        <v>22</v>
      </c>
      <c r="AC728">
        <v>27.3749</v>
      </c>
      <c r="AD728">
        <v>-1.060652214066</v>
      </c>
      <c r="AE728">
        <v>-5.0237999999999898</v>
      </c>
      <c r="AF728">
        <v>5.3838299682361201</v>
      </c>
      <c r="AG728">
        <v>-1.060652214066</v>
      </c>
      <c r="AH728">
        <v>27.265234586137598</v>
      </c>
      <c r="AI728">
        <v>92.185595499120495</v>
      </c>
      <c r="AJ728">
        <v>78.829995233350999</v>
      </c>
      <c r="AK728">
        <v>27.811933145382</v>
      </c>
      <c r="AL728">
        <v>83.273504902625504</v>
      </c>
      <c r="AM728">
        <v>82.747563024786501</v>
      </c>
      <c r="AN728">
        <v>1.00000005788826</v>
      </c>
    </row>
    <row r="729" spans="1:40" x14ac:dyDescent="0.25">
      <c r="A729" t="str">
        <f>"20190312151237288"</f>
        <v>20190312151237288</v>
      </c>
      <c r="B729" t="str">
        <f>"1552374757280446"</f>
        <v>1552374757280446</v>
      </c>
      <c r="C729" t="s">
        <v>40</v>
      </c>
      <c r="D729">
        <v>4.3408989999999896</v>
      </c>
      <c r="E729">
        <v>0.52461089999999999</v>
      </c>
      <c r="F729" t="s">
        <v>42</v>
      </c>
      <c r="G729">
        <v>-262.53879999999998</v>
      </c>
      <c r="H729" s="1">
        <v>-4.5881259999999996E-6</v>
      </c>
      <c r="I729">
        <v>361.86279999999999</v>
      </c>
      <c r="J729">
        <v>-290.69850000000002</v>
      </c>
      <c r="K729">
        <v>1.0606469999999999</v>
      </c>
      <c r="L729">
        <v>367.02539999999999</v>
      </c>
      <c r="M729">
        <v>0.99980369999999996</v>
      </c>
      <c r="N729">
        <v>0</v>
      </c>
      <c r="O729">
        <v>1.342168E-2</v>
      </c>
      <c r="P729">
        <v>0.98853049999999998</v>
      </c>
      <c r="Q729">
        <v>0.1025973</v>
      </c>
      <c r="R729">
        <v>-0.1108223</v>
      </c>
      <c r="S729">
        <v>2.985382</v>
      </c>
      <c r="T729">
        <v>-0.1116216</v>
      </c>
      <c r="U729">
        <v>-0.54299929999999996</v>
      </c>
      <c r="V729">
        <v>0.1240917</v>
      </c>
      <c r="W729">
        <v>0.11696620000000001</v>
      </c>
      <c r="X729">
        <v>0.98535280000000003</v>
      </c>
      <c r="Y729">
        <v>0.19200139999999999</v>
      </c>
      <c r="Z729">
        <v>-4.0567570000000002E-3</v>
      </c>
      <c r="AA729">
        <v>0.98138630000000004</v>
      </c>
      <c r="AB729">
        <v>22</v>
      </c>
      <c r="AC729">
        <v>28.159700000000001</v>
      </c>
      <c r="AD729">
        <v>-1.0606515881259999</v>
      </c>
      <c r="AE729">
        <v>-5.1625999999999896</v>
      </c>
      <c r="AF729">
        <v>5.5325317625047399</v>
      </c>
      <c r="AG729">
        <v>-1.0606515881259999</v>
      </c>
      <c r="AH729">
        <v>28.049365330195499</v>
      </c>
      <c r="AI729">
        <v>92.124640053376098</v>
      </c>
      <c r="AJ729">
        <v>78.842054745871593</v>
      </c>
      <c r="AK729">
        <v>28.609452719709498</v>
      </c>
      <c r="AL729">
        <v>83.282954457825198</v>
      </c>
      <c r="AM729">
        <v>82.822168226282898</v>
      </c>
      <c r="AN729">
        <v>0.99999999120958505</v>
      </c>
    </row>
    <row r="730" spans="1:40" x14ac:dyDescent="0.25">
      <c r="A730" t="str">
        <f>"20190312151237309"</f>
        <v>20190312151237309</v>
      </c>
      <c r="B730" t="str">
        <f>"1552374757299966"</f>
        <v>1552374757299966</v>
      </c>
      <c r="C730" t="s">
        <v>40</v>
      </c>
      <c r="D730">
        <v>4.2129500000000002</v>
      </c>
      <c r="E730">
        <v>0.49236730000000001</v>
      </c>
      <c r="F730" t="s">
        <v>42</v>
      </c>
      <c r="G730">
        <v>-261.72320000000002</v>
      </c>
      <c r="H730" s="1">
        <v>-4.9200030000000002E-6</v>
      </c>
      <c r="I730">
        <v>361.7971</v>
      </c>
      <c r="J730">
        <v>-290.48399999999998</v>
      </c>
      <c r="K730">
        <v>1.06064</v>
      </c>
      <c r="L730">
        <v>367.02820000000003</v>
      </c>
      <c r="M730">
        <v>0.99980409999999997</v>
      </c>
      <c r="N730">
        <v>0</v>
      </c>
      <c r="O730">
        <v>1.3390600000000001E-2</v>
      </c>
      <c r="P730">
        <v>0.98874050000000002</v>
      </c>
      <c r="Q730">
        <v>0.10205110000000001</v>
      </c>
      <c r="R730">
        <v>-0.1094441</v>
      </c>
      <c r="S730">
        <v>2.985687</v>
      </c>
      <c r="T730">
        <v>-0.109292</v>
      </c>
      <c r="U730">
        <v>-0.53872679999999995</v>
      </c>
      <c r="V730">
        <v>0.1226859</v>
      </c>
      <c r="W730">
        <v>0.1164187</v>
      </c>
      <c r="X730">
        <v>0.98559370000000002</v>
      </c>
      <c r="Y730">
        <v>0.19059989999999999</v>
      </c>
      <c r="Z730">
        <v>-3.9456830000000002E-3</v>
      </c>
      <c r="AA730">
        <v>0.98165990000000003</v>
      </c>
      <c r="AB730">
        <v>22</v>
      </c>
      <c r="AC730">
        <v>28.7608</v>
      </c>
      <c r="AD730">
        <v>-1.0606449200029999</v>
      </c>
      <c r="AE730">
        <v>-5.2311000000000201</v>
      </c>
      <c r="AF730">
        <v>5.6084129938220197</v>
      </c>
      <c r="AG730">
        <v>-1.0606449200029999</v>
      </c>
      <c r="AH730">
        <v>28.650448990288702</v>
      </c>
      <c r="AI730">
        <v>92.080677607452202</v>
      </c>
      <c r="AJ730">
        <v>78.924230421283596</v>
      </c>
      <c r="AK730">
        <v>29.2134813279885</v>
      </c>
      <c r="AL730">
        <v>83.314540030256893</v>
      </c>
      <c r="AM730">
        <v>82.904366978374895</v>
      </c>
      <c r="AN730">
        <v>1.00000004262409</v>
      </c>
    </row>
    <row r="731" spans="1:40" x14ac:dyDescent="0.25">
      <c r="A731" t="str">
        <f>"20190312151237331"</f>
        <v>20190312151237331</v>
      </c>
      <c r="B731" t="str">
        <f>"1552374757320467"</f>
        <v>1552374757320467</v>
      </c>
      <c r="C731" t="s">
        <v>40</v>
      </c>
      <c r="D731">
        <v>4.1671170000000002</v>
      </c>
      <c r="E731">
        <v>0.48644169999999998</v>
      </c>
      <c r="F731" t="s">
        <v>41</v>
      </c>
      <c r="G731">
        <v>-289.59160000000003</v>
      </c>
      <c r="H731">
        <v>0.989699</v>
      </c>
      <c r="I731">
        <v>366.94459999999998</v>
      </c>
      <c r="J731">
        <v>-290.26650000000001</v>
      </c>
      <c r="K731">
        <v>1.0606340000000001</v>
      </c>
      <c r="L731">
        <v>367.03109999999998</v>
      </c>
      <c r="M731">
        <v>0.99980469999999999</v>
      </c>
      <c r="N731">
        <v>0</v>
      </c>
      <c r="O731">
        <v>1.335834E-2</v>
      </c>
      <c r="P731">
        <v>0.98892020000000003</v>
      </c>
      <c r="Q731">
        <v>0.1015409</v>
      </c>
      <c r="R731">
        <v>-0.10828939999999999</v>
      </c>
      <c r="S731">
        <v>3.027679</v>
      </c>
      <c r="T731">
        <v>-0.24081540000000001</v>
      </c>
      <c r="U731">
        <v>-0.28305049999999998</v>
      </c>
      <c r="V731">
        <v>0.1215015</v>
      </c>
      <c r="W731">
        <v>0.1159063</v>
      </c>
      <c r="X731">
        <v>0.98580069999999997</v>
      </c>
      <c r="Y731">
        <v>0.1060014</v>
      </c>
      <c r="Z731">
        <v>-5.2585829999999998E-3</v>
      </c>
      <c r="AA731">
        <v>0.99435209999999996</v>
      </c>
      <c r="AB731">
        <v>22</v>
      </c>
      <c r="AC731">
        <v>0.67489999999997896</v>
      </c>
      <c r="AD731">
        <v>-7.0934999999999998E-2</v>
      </c>
      <c r="AE731">
        <v>-8.6500000000000896E-2</v>
      </c>
      <c r="AF731">
        <v>9.4481911713866995E-2</v>
      </c>
      <c r="AG731">
        <v>-7.0934999999999998E-2</v>
      </c>
      <c r="AH731">
        <v>0.66644099254759304</v>
      </c>
      <c r="AI731">
        <v>96.015895481799703</v>
      </c>
      <c r="AJ731">
        <v>81.930901613978904</v>
      </c>
      <c r="AK731">
        <v>0.67683247736343699</v>
      </c>
      <c r="AL731">
        <v>83.344097888409394</v>
      </c>
      <c r="AM731">
        <v>82.973640331841295</v>
      </c>
      <c r="AN731">
        <v>0.99999995250121299</v>
      </c>
    </row>
    <row r="732" spans="1:40" x14ac:dyDescent="0.25">
      <c r="A732" t="str">
        <f>"20190312151237352"</f>
        <v>20190312151237352</v>
      </c>
      <c r="B732" t="str">
        <f>"1552374757350719"</f>
        <v>1552374757350719</v>
      </c>
      <c r="C732" t="s">
        <v>40</v>
      </c>
      <c r="D732">
        <v>4.1189970000000002</v>
      </c>
      <c r="E732">
        <v>0.48317860000000001</v>
      </c>
      <c r="F732" t="s">
        <v>41</v>
      </c>
      <c r="G732">
        <v>-289.39100000000002</v>
      </c>
      <c r="H732">
        <v>0.99397170000000001</v>
      </c>
      <c r="I732">
        <v>366.96359999999999</v>
      </c>
      <c r="J732">
        <v>-290.05270000000002</v>
      </c>
      <c r="K732">
        <v>1.060629</v>
      </c>
      <c r="L732">
        <v>367.03390000000002</v>
      </c>
      <c r="M732">
        <v>0.99980519999999995</v>
      </c>
      <c r="N732">
        <v>0</v>
      </c>
      <c r="O732">
        <v>1.332704E-2</v>
      </c>
      <c r="P732">
        <v>0.9890738</v>
      </c>
      <c r="Q732">
        <v>0.1007876</v>
      </c>
      <c r="R732">
        <v>-0.10758909999999999</v>
      </c>
      <c r="S732">
        <v>3.0318299999999998</v>
      </c>
      <c r="T732">
        <v>-0.23104379999999999</v>
      </c>
      <c r="U732">
        <v>-0.2328491</v>
      </c>
      <c r="V732">
        <v>0.1207724</v>
      </c>
      <c r="W732">
        <v>0.1151503</v>
      </c>
      <c r="X732">
        <v>0.98597889999999999</v>
      </c>
      <c r="Y732">
        <v>8.9561859999999993E-2</v>
      </c>
      <c r="Z732">
        <v>-4.4155109999999996E-3</v>
      </c>
      <c r="AA732">
        <v>0.99597150000000001</v>
      </c>
      <c r="AB732">
        <v>22</v>
      </c>
      <c r="AC732">
        <v>0.66170000000005302</v>
      </c>
      <c r="AD732">
        <v>-6.66573000000001E-2</v>
      </c>
      <c r="AE732">
        <v>-7.0300000000031504E-2</v>
      </c>
      <c r="AF732">
        <v>7.8327212817046396E-2</v>
      </c>
      <c r="AG732">
        <v>-6.66573000000001E-2</v>
      </c>
      <c r="AH732">
        <v>0.65414021866196603</v>
      </c>
      <c r="AI732">
        <v>95.7774043867351</v>
      </c>
      <c r="AJ732">
        <v>83.171872487532397</v>
      </c>
      <c r="AK732">
        <v>0.66217654260937198</v>
      </c>
      <c r="AL732">
        <v>83.387705656635404</v>
      </c>
      <c r="AM732">
        <v>83.016635927943895</v>
      </c>
      <c r="AN732">
        <v>0.999999977718529</v>
      </c>
    </row>
    <row r="733" spans="1:40" x14ac:dyDescent="0.25">
      <c r="A733" t="str">
        <f>"20190312151237376"</f>
        <v>20190312151237376</v>
      </c>
      <c r="B733" t="str">
        <f>"1552374757370240"</f>
        <v>1552374757370240</v>
      </c>
      <c r="C733" t="s">
        <v>40</v>
      </c>
      <c r="D733">
        <v>4.1036929999999998</v>
      </c>
      <c r="E733">
        <v>0.48242659999999998</v>
      </c>
      <c r="F733" t="s">
        <v>41</v>
      </c>
      <c r="G733">
        <v>-289.19279999999998</v>
      </c>
      <c r="H733">
        <v>0.99429809999999996</v>
      </c>
      <c r="I733">
        <v>366.97559999999999</v>
      </c>
      <c r="J733">
        <v>-289.82420000000002</v>
      </c>
      <c r="K733">
        <v>1.0606260000000001</v>
      </c>
      <c r="L733">
        <v>367.0369</v>
      </c>
      <c r="M733">
        <v>0.99980559999999996</v>
      </c>
      <c r="N733">
        <v>0</v>
      </c>
      <c r="O733">
        <v>1.329376E-2</v>
      </c>
      <c r="P733">
        <v>0.98927569999999998</v>
      </c>
      <c r="Q733">
        <v>9.9419190000000005E-2</v>
      </c>
      <c r="R733">
        <v>-0.1070007</v>
      </c>
      <c r="S733">
        <v>3.034729</v>
      </c>
      <c r="T733">
        <v>-0.2343354</v>
      </c>
      <c r="U733">
        <v>-0.20501710000000001</v>
      </c>
      <c r="V733">
        <v>0.12015389999999999</v>
      </c>
      <c r="W733">
        <v>0.1137794</v>
      </c>
      <c r="X733">
        <v>0.98621360000000002</v>
      </c>
      <c r="Y733">
        <v>8.0384659999999997E-2</v>
      </c>
      <c r="Z733">
        <v>-4.1194719999999999E-3</v>
      </c>
      <c r="AA733">
        <v>0.99675539999999996</v>
      </c>
      <c r="AB733">
        <v>22</v>
      </c>
      <c r="AC733">
        <v>0.63140000000004104</v>
      </c>
      <c r="AD733">
        <v>-6.6327900000000106E-2</v>
      </c>
      <c r="AE733">
        <v>-6.1300000000017001E-2</v>
      </c>
      <c r="AF733">
        <v>6.8935532603289801E-2</v>
      </c>
      <c r="AG733">
        <v>-6.6327900000000106E-2</v>
      </c>
      <c r="AH733">
        <v>0.623710648012758</v>
      </c>
      <c r="AI733">
        <v>96.033781224814803</v>
      </c>
      <c r="AJ733">
        <v>83.692990419195098</v>
      </c>
      <c r="AK733">
        <v>0.63100433470634998</v>
      </c>
      <c r="AL733">
        <v>83.466772198011896</v>
      </c>
      <c r="AM733">
        <v>83.053686020201695</v>
      </c>
      <c r="AN733">
        <v>0.99999998818726399</v>
      </c>
    </row>
    <row r="734" spans="1:40" x14ac:dyDescent="0.25">
      <c r="A734" t="str">
        <f>"20190312151237397"</f>
        <v>20190312151237397</v>
      </c>
      <c r="B734" t="str">
        <f>"1552374757390735"</f>
        <v>1552374757390735</v>
      </c>
      <c r="C734" t="s">
        <v>40</v>
      </c>
      <c r="D734">
        <v>4.126735</v>
      </c>
      <c r="E734">
        <v>0.48219109999999998</v>
      </c>
      <c r="F734" t="s">
        <v>41</v>
      </c>
      <c r="G734">
        <v>-288.99400000000003</v>
      </c>
      <c r="H734">
        <v>0.99533990000000006</v>
      </c>
      <c r="I734">
        <v>366.98270000000002</v>
      </c>
      <c r="J734">
        <v>-289.61</v>
      </c>
      <c r="K734">
        <v>1.0606180000000001</v>
      </c>
      <c r="L734">
        <v>367.03980000000001</v>
      </c>
      <c r="M734">
        <v>0.99980630000000004</v>
      </c>
      <c r="N734">
        <v>0</v>
      </c>
      <c r="O734">
        <v>1.326215E-2</v>
      </c>
      <c r="P734">
        <v>0.98939440000000001</v>
      </c>
      <c r="Q734">
        <v>9.8526520000000006E-2</v>
      </c>
      <c r="R734">
        <v>-0.1067323</v>
      </c>
      <c r="S734">
        <v>3.0351560000000002</v>
      </c>
      <c r="T734">
        <v>-0.2387987</v>
      </c>
      <c r="U734">
        <v>-0.19766239999999999</v>
      </c>
      <c r="V734">
        <v>0.11985560000000001</v>
      </c>
      <c r="W734">
        <v>0.1128836</v>
      </c>
      <c r="X734">
        <v>0.98635289999999998</v>
      </c>
      <c r="Y734">
        <v>7.7935729999999995E-2</v>
      </c>
      <c r="Z734">
        <v>-4.0988700000000001E-3</v>
      </c>
      <c r="AA734">
        <v>0.99695</v>
      </c>
      <c r="AB734">
        <v>22</v>
      </c>
      <c r="AC734">
        <v>0.615999999999985</v>
      </c>
      <c r="AD734">
        <v>-6.5278100000000103E-2</v>
      </c>
      <c r="AE734">
        <v>-5.7099999999991199E-2</v>
      </c>
      <c r="AF734">
        <v>6.4546652053929801E-2</v>
      </c>
      <c r="AG734">
        <v>-6.5278100000000103E-2</v>
      </c>
      <c r="AH734">
        <v>0.60841427564600503</v>
      </c>
      <c r="AI734">
        <v>96.090045354649703</v>
      </c>
      <c r="AJ734">
        <v>83.944144414433893</v>
      </c>
      <c r="AK734">
        <v>0.61530109006959699</v>
      </c>
      <c r="AL734">
        <v>83.518431035048295</v>
      </c>
      <c r="AM734">
        <v>83.0717325005742</v>
      </c>
      <c r="AN734">
        <v>1.00000005766936</v>
      </c>
    </row>
    <row r="735" spans="1:40" x14ac:dyDescent="0.25">
      <c r="A735" t="str">
        <f>"20190312151237420"</f>
        <v>20190312151237420</v>
      </c>
      <c r="B735" t="str">
        <f>"1552374757410258"</f>
        <v>1552374757410258</v>
      </c>
      <c r="C735" t="s">
        <v>40</v>
      </c>
      <c r="D735">
        <v>4.0993170000000001</v>
      </c>
      <c r="E735">
        <v>0.48202319999999999</v>
      </c>
      <c r="F735" t="s">
        <v>41</v>
      </c>
      <c r="G735">
        <v>-288.7946</v>
      </c>
      <c r="H735">
        <v>0.99739549999999999</v>
      </c>
      <c r="I735">
        <v>366.98719999999997</v>
      </c>
      <c r="J735">
        <v>-289.38440000000003</v>
      </c>
      <c r="K735">
        <v>1.060619</v>
      </c>
      <c r="L735">
        <v>367.04270000000002</v>
      </c>
      <c r="M735">
        <v>0.99980659999999999</v>
      </c>
      <c r="N735">
        <v>0</v>
      </c>
      <c r="O735">
        <v>1.322953E-2</v>
      </c>
      <c r="P735">
        <v>0.98946579999999995</v>
      </c>
      <c r="Q735">
        <v>9.8237260000000007E-2</v>
      </c>
      <c r="R735">
        <v>-0.1063339</v>
      </c>
      <c r="S735">
        <v>3.0345759999999999</v>
      </c>
      <c r="T735">
        <v>-0.2353469</v>
      </c>
      <c r="U735">
        <v>-0.19509889999999999</v>
      </c>
      <c r="V735">
        <v>0.11942609999999999</v>
      </c>
      <c r="W735">
        <v>0.1125903</v>
      </c>
      <c r="X735">
        <v>0.9864385</v>
      </c>
      <c r="Y735">
        <v>7.7087420000000004E-2</v>
      </c>
      <c r="Z735">
        <v>-4.0053390000000001E-3</v>
      </c>
      <c r="AA735">
        <v>0.99701629999999997</v>
      </c>
      <c r="AB735">
        <v>22</v>
      </c>
      <c r="AC735">
        <v>0.58980000000002497</v>
      </c>
      <c r="AD735">
        <v>-6.3223499999999905E-2</v>
      </c>
      <c r="AE735">
        <v>-5.55000000000518E-2</v>
      </c>
      <c r="AF735">
        <v>6.2585899497058201E-2</v>
      </c>
      <c r="AG735">
        <v>-6.3223499999999905E-2</v>
      </c>
      <c r="AH735">
        <v>0.582380813016667</v>
      </c>
      <c r="AI735">
        <v>96.160592812090499</v>
      </c>
      <c r="AJ735">
        <v>83.866215514139</v>
      </c>
      <c r="AK735">
        <v>0.58913633153800604</v>
      </c>
      <c r="AL735">
        <v>83.535343602751297</v>
      </c>
      <c r="AM735">
        <v>83.096913071074994</v>
      </c>
      <c r="AN735">
        <v>1.00000004164877</v>
      </c>
    </row>
    <row r="736" spans="1:40" x14ac:dyDescent="0.25">
      <c r="A736" t="str">
        <f>"20190312151237442"</f>
        <v>20190312151237442</v>
      </c>
      <c r="B736" t="str">
        <f>"1552374757430751"</f>
        <v>1552374757430751</v>
      </c>
      <c r="C736" t="s">
        <v>40</v>
      </c>
      <c r="D736">
        <v>4.1486269999999896</v>
      </c>
      <c r="E736">
        <v>0.48208390000000001</v>
      </c>
      <c r="F736" t="s">
        <v>41</v>
      </c>
      <c r="G736">
        <v>-288.59480000000002</v>
      </c>
      <c r="H736">
        <v>1.0001910000000001</v>
      </c>
      <c r="I736">
        <v>366.99220000000003</v>
      </c>
      <c r="J736">
        <v>-289.16980000000001</v>
      </c>
      <c r="K736">
        <v>1.060616</v>
      </c>
      <c r="L736">
        <v>367.0455</v>
      </c>
      <c r="M736">
        <v>0.99980729999999995</v>
      </c>
      <c r="N736">
        <v>0</v>
      </c>
      <c r="O736">
        <v>1.319792E-2</v>
      </c>
      <c r="P736">
        <v>0.98948190000000003</v>
      </c>
      <c r="Q736">
        <v>9.8819519999999994E-2</v>
      </c>
      <c r="R736">
        <v>-0.105645</v>
      </c>
      <c r="S736">
        <v>3.0343019999999998</v>
      </c>
      <c r="T736">
        <v>-0.2325361</v>
      </c>
      <c r="U736">
        <v>-0.19271849999999999</v>
      </c>
      <c r="V736">
        <v>0.11870609999999999</v>
      </c>
      <c r="W736">
        <v>0.1131678</v>
      </c>
      <c r="X736">
        <v>0.98645930000000004</v>
      </c>
      <c r="Y736">
        <v>7.6291440000000002E-2</v>
      </c>
      <c r="Z736">
        <v>-3.9252530000000001E-3</v>
      </c>
      <c r="AA736">
        <v>0.99707780000000001</v>
      </c>
      <c r="AB736">
        <v>22</v>
      </c>
      <c r="AC736">
        <v>0.57499999999998797</v>
      </c>
      <c r="AD736">
        <v>-6.0424999999999902E-2</v>
      </c>
      <c r="AE736">
        <v>-5.3299999999978802E-2</v>
      </c>
      <c r="AF736">
        <v>6.02255414464982E-2</v>
      </c>
      <c r="AG736">
        <v>-6.0424999999999902E-2</v>
      </c>
      <c r="AH736">
        <v>0.56802695188094698</v>
      </c>
      <c r="AI736">
        <v>96.038523421831002</v>
      </c>
      <c r="AJ736">
        <v>83.947777232362299</v>
      </c>
      <c r="AK736">
        <v>0.57439787127972897</v>
      </c>
      <c r="AL736">
        <v>83.502042312273105</v>
      </c>
      <c r="AM736">
        <v>83.138275943633801</v>
      </c>
      <c r="AN736">
        <v>1.0000000198452601</v>
      </c>
    </row>
    <row r="737" spans="1:40" x14ac:dyDescent="0.25">
      <c r="A737" t="str">
        <f>"20190312151237464"</f>
        <v>20190312151237464</v>
      </c>
      <c r="B737" t="str">
        <f>"1552374757460031"</f>
        <v>1552374757460031</v>
      </c>
      <c r="C737" t="s">
        <v>40</v>
      </c>
      <c r="D737">
        <v>4.1178850000000002</v>
      </c>
      <c r="E737">
        <v>0.48266759999999997</v>
      </c>
      <c r="F737" t="s">
        <v>41</v>
      </c>
      <c r="G737">
        <v>-288.3954</v>
      </c>
      <c r="H737">
        <v>1.002691</v>
      </c>
      <c r="I737">
        <v>366.9966</v>
      </c>
      <c r="J737">
        <v>-288.95150000000001</v>
      </c>
      <c r="K737">
        <v>1.060613</v>
      </c>
      <c r="L737">
        <v>367.04840000000002</v>
      </c>
      <c r="M737">
        <v>0.99980769999999997</v>
      </c>
      <c r="N737">
        <v>0</v>
      </c>
      <c r="O737">
        <v>1.3166020000000001E-2</v>
      </c>
      <c r="P737">
        <v>0.98944259999999995</v>
      </c>
      <c r="Q737">
        <v>9.9381510000000006E-2</v>
      </c>
      <c r="R737">
        <v>-0.1054833</v>
      </c>
      <c r="S737">
        <v>3.0341800000000001</v>
      </c>
      <c r="T737">
        <v>-0.2270558</v>
      </c>
      <c r="U737">
        <v>-0.19122310000000001</v>
      </c>
      <c r="V737">
        <v>0.11851250000000001</v>
      </c>
      <c r="W737">
        <v>0.11372400000000001</v>
      </c>
      <c r="X737">
        <v>0.98641860000000003</v>
      </c>
      <c r="Y737">
        <v>7.5786309999999996E-2</v>
      </c>
      <c r="Z737">
        <v>-3.81198E-3</v>
      </c>
      <c r="AA737">
        <v>0.99711680000000003</v>
      </c>
      <c r="AB737">
        <v>22</v>
      </c>
      <c r="AC737">
        <v>0.55610000000001403</v>
      </c>
      <c r="AD737">
        <v>-5.7922000000000001E-2</v>
      </c>
      <c r="AE737">
        <v>-5.1800000000014203E-2</v>
      </c>
      <c r="AF737">
        <v>5.8488831545606398E-2</v>
      </c>
      <c r="AG737">
        <v>-5.7922000000000001E-2</v>
      </c>
      <c r="AH737">
        <v>0.54946001769962804</v>
      </c>
      <c r="AI737">
        <v>95.984119153071404</v>
      </c>
      <c r="AJ737">
        <v>83.923868980229798</v>
      </c>
      <c r="AK737">
        <v>0.55559176789261999</v>
      </c>
      <c r="AL737">
        <v>83.469967249322593</v>
      </c>
      <c r="AM737">
        <v>83.149080445809403</v>
      </c>
      <c r="AN737">
        <v>1.0000000076291</v>
      </c>
    </row>
    <row r="738" spans="1:40" x14ac:dyDescent="0.25">
      <c r="A738" t="str">
        <f>"20190312151237489"</f>
        <v>20190312151237489</v>
      </c>
      <c r="B738" t="str">
        <f>"1552374757480527"</f>
        <v>1552374757480527</v>
      </c>
      <c r="C738" t="s">
        <v>40</v>
      </c>
      <c r="D738">
        <v>4.1265179999999999</v>
      </c>
      <c r="E738">
        <v>0.4823366</v>
      </c>
      <c r="F738" t="s">
        <v>42</v>
      </c>
      <c r="G738">
        <v>-257.678</v>
      </c>
      <c r="H738" s="1">
        <v>-1.9866639999999998E-6</v>
      </c>
      <c r="I738">
        <v>365.06720000000001</v>
      </c>
      <c r="J738">
        <v>-288.714</v>
      </c>
      <c r="K738">
        <v>1.0606139999999999</v>
      </c>
      <c r="L738">
        <v>367.05149999999998</v>
      </c>
      <c r="M738">
        <v>0.99980829999999998</v>
      </c>
      <c r="N738">
        <v>0</v>
      </c>
      <c r="O738">
        <v>1.313139E-2</v>
      </c>
      <c r="P738">
        <v>0.98945110000000003</v>
      </c>
      <c r="Q738">
        <v>9.9946279999999998E-2</v>
      </c>
      <c r="R738">
        <v>-0.1048708</v>
      </c>
      <c r="S738">
        <v>3.021881</v>
      </c>
      <c r="T738">
        <v>-0.10248450000000001</v>
      </c>
      <c r="U738">
        <v>-0.19143679999999999</v>
      </c>
      <c r="V738">
        <v>0.1178657</v>
      </c>
      <c r="W738">
        <v>0.1142806</v>
      </c>
      <c r="X738">
        <v>0.98643179999999997</v>
      </c>
      <c r="Y738">
        <v>7.6273309999999997E-2</v>
      </c>
      <c r="Z738">
        <v>-1.736556E-3</v>
      </c>
      <c r="AA738">
        <v>0.99708549999999996</v>
      </c>
      <c r="AB738">
        <v>22</v>
      </c>
      <c r="AC738">
        <v>31.035999999999898</v>
      </c>
      <c r="AD738">
        <v>-1.0606159866639999</v>
      </c>
      <c r="AE738">
        <v>-1.98429999999996</v>
      </c>
      <c r="AF738">
        <v>2.38893913499671</v>
      </c>
      <c r="AG738">
        <v>-1.0606159866639999</v>
      </c>
      <c r="AH738">
        <v>30.971241802344299</v>
      </c>
      <c r="AI738">
        <v>91.955534016441604</v>
      </c>
      <c r="AJ738">
        <v>85.589274727917498</v>
      </c>
      <c r="AK738">
        <v>31.081340949855502</v>
      </c>
      <c r="AL738">
        <v>83.437867337444999</v>
      </c>
      <c r="AM738">
        <v>83.186208211382706</v>
      </c>
      <c r="AN738">
        <v>1.0000000374120399</v>
      </c>
    </row>
    <row r="739" spans="1:40" x14ac:dyDescent="0.25">
      <c r="A739" t="str">
        <f>"20190312151237509"</f>
        <v>20190312151237509</v>
      </c>
      <c r="B739" t="str">
        <f>"1552374757500047"</f>
        <v>1552374757500047</v>
      </c>
      <c r="C739" t="s">
        <v>40</v>
      </c>
      <c r="D739">
        <v>4.1240160000000001</v>
      </c>
      <c r="E739">
        <v>0.48258030000000002</v>
      </c>
      <c r="F739" t="s">
        <v>42</v>
      </c>
      <c r="G739">
        <v>-257.70979999999997</v>
      </c>
      <c r="H739" s="1">
        <v>-1.9580339999999998E-6</v>
      </c>
      <c r="I739">
        <v>365.13409999999999</v>
      </c>
      <c r="J739">
        <v>-288.50709999999998</v>
      </c>
      <c r="K739">
        <v>1.060616</v>
      </c>
      <c r="L739">
        <v>367.05419999999998</v>
      </c>
      <c r="M739">
        <v>0.99980899999999995</v>
      </c>
      <c r="N739">
        <v>0</v>
      </c>
      <c r="O739">
        <v>1.310072E-2</v>
      </c>
      <c r="P739">
        <v>0.98952910000000005</v>
      </c>
      <c r="Q739">
        <v>0.10046389999999999</v>
      </c>
      <c r="R739">
        <v>-0.1036301</v>
      </c>
      <c r="S739">
        <v>3.0226139999999999</v>
      </c>
      <c r="T739">
        <v>-0.10339959999999999</v>
      </c>
      <c r="U739">
        <v>-0.18692020000000001</v>
      </c>
      <c r="V739">
        <v>0.11659609999999999</v>
      </c>
      <c r="W739">
        <v>0.1147823</v>
      </c>
      <c r="X739">
        <v>0.98652439999999997</v>
      </c>
      <c r="Y739">
        <v>7.4743290000000004E-2</v>
      </c>
      <c r="Z739">
        <v>-1.724525E-3</v>
      </c>
      <c r="AA739">
        <v>0.99720129999999996</v>
      </c>
      <c r="AB739">
        <v>22</v>
      </c>
      <c r="AC739">
        <v>30.7973</v>
      </c>
      <c r="AD739">
        <v>-1.0606179580340001</v>
      </c>
      <c r="AE739">
        <v>-1.9200999999999899</v>
      </c>
      <c r="AF739">
        <v>2.3207026816783398</v>
      </c>
      <c r="AG739">
        <v>-1.0606179580340001</v>
      </c>
      <c r="AH739">
        <v>30.733190042579899</v>
      </c>
      <c r="AI739">
        <v>91.970915360447407</v>
      </c>
      <c r="AJ739">
        <v>85.681717154072004</v>
      </c>
      <c r="AK739">
        <v>30.8389289953946</v>
      </c>
      <c r="AL739">
        <v>83.408931452117102</v>
      </c>
      <c r="AM739">
        <v>83.259551389002198</v>
      </c>
      <c r="AN739">
        <v>1.0000000093619299</v>
      </c>
    </row>
    <row r="740" spans="1:40" x14ac:dyDescent="0.25">
      <c r="A740" t="str">
        <f>"20190312151237531"</f>
        <v>20190312151237531</v>
      </c>
      <c r="B740" t="str">
        <f>"1552374757520543"</f>
        <v>1552374757520543</v>
      </c>
      <c r="C740" t="s">
        <v>40</v>
      </c>
      <c r="D740">
        <v>4.1671420000000001</v>
      </c>
      <c r="E740">
        <v>0.48369990000000002</v>
      </c>
      <c r="F740" t="s">
        <v>42</v>
      </c>
      <c r="G740">
        <v>-257.37060000000002</v>
      </c>
      <c r="H740" s="1">
        <v>-2.0712160000000002E-6</v>
      </c>
      <c r="I740">
        <v>365.14260000000002</v>
      </c>
      <c r="J740">
        <v>-288.2919</v>
      </c>
      <c r="K740">
        <v>1.0606040000000001</v>
      </c>
      <c r="L740">
        <v>367.05700000000002</v>
      </c>
      <c r="M740">
        <v>0.99980990000000003</v>
      </c>
      <c r="N740">
        <v>0</v>
      </c>
      <c r="O740">
        <v>1.306948E-2</v>
      </c>
      <c r="P740">
        <v>0.98959260000000004</v>
      </c>
      <c r="Q740">
        <v>9.9841120000000005E-2</v>
      </c>
      <c r="R740">
        <v>-0.10362689999999999</v>
      </c>
      <c r="S740">
        <v>3.0227659999999998</v>
      </c>
      <c r="T740">
        <v>-0.10296569999999999</v>
      </c>
      <c r="U740">
        <v>-0.1855774</v>
      </c>
      <c r="V740">
        <v>0.11656270000000001</v>
      </c>
      <c r="W740">
        <v>0.11412949999999999</v>
      </c>
      <c r="X740">
        <v>0.98660409999999998</v>
      </c>
      <c r="Y740">
        <v>7.4268440000000005E-2</v>
      </c>
      <c r="Z740">
        <v>-1.708088E-3</v>
      </c>
      <c r="AA740">
        <v>0.99723680000000003</v>
      </c>
      <c r="AB740">
        <v>22</v>
      </c>
      <c r="AC740">
        <v>30.921299999999899</v>
      </c>
      <c r="AD740">
        <v>-1.0606060712159999</v>
      </c>
      <c r="AE740">
        <v>-1.9143999999999399</v>
      </c>
      <c r="AF740">
        <v>2.3156900677979202</v>
      </c>
      <c r="AG740">
        <v>-1.0606060712159999</v>
      </c>
      <c r="AH740">
        <v>30.857470392776499</v>
      </c>
      <c r="AI740">
        <v>91.963030121306801</v>
      </c>
      <c r="AJ740">
        <v>85.708299035798504</v>
      </c>
      <c r="AK740">
        <v>30.9624092210131</v>
      </c>
      <c r="AL740">
        <v>83.446581683895502</v>
      </c>
      <c r="AM740">
        <v>83.262003840751106</v>
      </c>
      <c r="AN740">
        <v>1.0000000279691701</v>
      </c>
    </row>
    <row r="741" spans="1:40" x14ac:dyDescent="0.25">
      <c r="A741" t="str">
        <f>"20190312151237553"</f>
        <v>20190312151237553</v>
      </c>
      <c r="B741" t="str">
        <f>"1552374757550799"</f>
        <v>1552374757550799</v>
      </c>
      <c r="C741" t="s">
        <v>40</v>
      </c>
      <c r="D741">
        <v>4.1242679999999998</v>
      </c>
      <c r="E741">
        <v>0.48371229999999998</v>
      </c>
      <c r="F741" t="s">
        <v>42</v>
      </c>
      <c r="G741">
        <v>-267.53829999999999</v>
      </c>
      <c r="H741" s="1">
        <v>-1.8619440000000001E-6</v>
      </c>
      <c r="I741">
        <v>365.71449999999999</v>
      </c>
      <c r="J741">
        <v>-288.07760000000002</v>
      </c>
      <c r="K741">
        <v>1.060595</v>
      </c>
      <c r="L741">
        <v>367.05970000000002</v>
      </c>
      <c r="M741">
        <v>0.99981089999999995</v>
      </c>
      <c r="N741">
        <v>0</v>
      </c>
      <c r="O741">
        <v>1.303765E-2</v>
      </c>
      <c r="P741">
        <v>0.98959540000000001</v>
      </c>
      <c r="Q741">
        <v>9.9664509999999998E-2</v>
      </c>
      <c r="R741">
        <v>-0.1037698</v>
      </c>
      <c r="S741">
        <v>3.0266109999999999</v>
      </c>
      <c r="T741">
        <v>-0.154673799999999</v>
      </c>
      <c r="U741">
        <v>-0.19577030000000001</v>
      </c>
      <c r="V741">
        <v>0.116674</v>
      </c>
      <c r="W741">
        <v>0.1139059</v>
      </c>
      <c r="X741">
        <v>0.98661670000000001</v>
      </c>
      <c r="Y741">
        <v>7.7436829999999998E-2</v>
      </c>
      <c r="Z741">
        <v>-2.6406210000000001E-3</v>
      </c>
      <c r="AA741">
        <v>0.99699380000000004</v>
      </c>
      <c r="AB741">
        <v>22</v>
      </c>
      <c r="AC741">
        <v>20.539300000000001</v>
      </c>
      <c r="AD741">
        <v>-1.060596861944</v>
      </c>
      <c r="AE741">
        <v>-1.3452000000000299</v>
      </c>
      <c r="AF741">
        <v>1.6086267629911899</v>
      </c>
      <c r="AG741">
        <v>-1.060596861944</v>
      </c>
      <c r="AH741">
        <v>20.4656767326656</v>
      </c>
      <c r="AI741">
        <v>92.9574912349578</v>
      </c>
      <c r="AJ741">
        <v>85.505723176623405</v>
      </c>
      <c r="AK741">
        <v>20.5561783873401</v>
      </c>
      <c r="AL741">
        <v>83.459476566440898</v>
      </c>
      <c r="AM741">
        <v>83.255714636002807</v>
      </c>
      <c r="AN741">
        <v>0.99999994452484797</v>
      </c>
    </row>
    <row r="742" spans="1:40" x14ac:dyDescent="0.25">
      <c r="A742" t="str">
        <f>"20190312151237576"</f>
        <v>20190312151237576</v>
      </c>
      <c r="B742" t="str">
        <f>"1552374757570322"</f>
        <v>1552374757570322</v>
      </c>
      <c r="C742" t="s">
        <v>40</v>
      </c>
      <c r="D742">
        <v>4.1891809999999996</v>
      </c>
      <c r="E742">
        <v>0.48371310000000001</v>
      </c>
      <c r="F742" t="s">
        <v>42</v>
      </c>
      <c r="G742">
        <v>-269.68779999999998</v>
      </c>
      <c r="H742" s="1">
        <v>-1.0905979999999999E-6</v>
      </c>
      <c r="I742">
        <v>365.86439999999999</v>
      </c>
      <c r="J742">
        <v>-287.85750000000002</v>
      </c>
      <c r="K742">
        <v>1.060586</v>
      </c>
      <c r="L742">
        <v>367.06259999999997</v>
      </c>
      <c r="M742">
        <v>0.99981249999999999</v>
      </c>
      <c r="N742">
        <v>0</v>
      </c>
      <c r="O742">
        <v>1.3005030000000001E-2</v>
      </c>
      <c r="P742">
        <v>0.98958460000000004</v>
      </c>
      <c r="Q742">
        <v>0.1001546</v>
      </c>
      <c r="R742">
        <v>-0.1034013</v>
      </c>
      <c r="S742">
        <v>3.028473</v>
      </c>
      <c r="T742">
        <v>-0.17466029999999999</v>
      </c>
      <c r="U742">
        <v>-0.1968384</v>
      </c>
      <c r="V742">
        <v>0.1162733</v>
      </c>
      <c r="W742">
        <v>0.1143252</v>
      </c>
      <c r="X742">
        <v>0.98661549999999998</v>
      </c>
      <c r="Y742">
        <v>7.7682470000000003E-2</v>
      </c>
      <c r="Z742">
        <v>-2.9846339999999999E-3</v>
      </c>
      <c r="AA742">
        <v>0.99697369999999996</v>
      </c>
      <c r="AB742">
        <v>22</v>
      </c>
      <c r="AC742">
        <v>18.169699999999999</v>
      </c>
      <c r="AD742">
        <v>-1.0605870905979999</v>
      </c>
      <c r="AE742">
        <v>-1.1981999999999799</v>
      </c>
      <c r="AF742">
        <v>1.4295707270601901</v>
      </c>
      <c r="AG742">
        <v>-1.0605870905979999</v>
      </c>
      <c r="AH742">
        <v>18.091205467538799</v>
      </c>
      <c r="AI742">
        <v>93.344691415630606</v>
      </c>
      <c r="AJ742">
        <v>85.481864305055197</v>
      </c>
      <c r="AK742">
        <v>18.1785651994077</v>
      </c>
      <c r="AL742">
        <v>83.435294433234802</v>
      </c>
      <c r="AM742">
        <v>83.278656535508702</v>
      </c>
      <c r="AN742">
        <v>0.99999993824408795</v>
      </c>
    </row>
    <row r="743" spans="1:40" x14ac:dyDescent="0.25">
      <c r="A743" t="str">
        <f>"20190312151237598"</f>
        <v>20190312151237598</v>
      </c>
      <c r="B743" t="str">
        <f>"1552374757590826"</f>
        <v>1552374757590826</v>
      </c>
      <c r="C743" t="s">
        <v>40</v>
      </c>
      <c r="D743">
        <v>4.1162460000000003</v>
      </c>
      <c r="E743">
        <v>0.48382940000000002</v>
      </c>
      <c r="F743" t="s">
        <v>42</v>
      </c>
      <c r="G743">
        <v>-269.262</v>
      </c>
      <c r="H743" s="1">
        <v>-1.2368420000000001E-6</v>
      </c>
      <c r="I743">
        <v>365.85939999999999</v>
      </c>
      <c r="J743">
        <v>-287.64120000000003</v>
      </c>
      <c r="K743">
        <v>1.060573</v>
      </c>
      <c r="L743">
        <v>367.06529999999998</v>
      </c>
      <c r="M743">
        <v>0.99981410000000004</v>
      </c>
      <c r="N743">
        <v>0</v>
      </c>
      <c r="O743">
        <v>1.2973699999999999E-2</v>
      </c>
      <c r="P743">
        <v>0.98956849999999996</v>
      </c>
      <c r="Q743">
        <v>0.10039869999999999</v>
      </c>
      <c r="R743">
        <v>-0.10331890000000001</v>
      </c>
      <c r="S743">
        <v>3.0285639999999998</v>
      </c>
      <c r="T743">
        <v>-0.172732</v>
      </c>
      <c r="U743">
        <v>-0.1959534</v>
      </c>
      <c r="V743">
        <v>0.11615979999999999</v>
      </c>
      <c r="W743">
        <v>0.1144777</v>
      </c>
      <c r="X743">
        <v>0.98661120000000002</v>
      </c>
      <c r="Y743">
        <v>7.7363009999999996E-2</v>
      </c>
      <c r="Z743">
        <v>-2.9407959999999999E-3</v>
      </c>
      <c r="AA743">
        <v>0.99699870000000002</v>
      </c>
      <c r="AB743">
        <v>22</v>
      </c>
      <c r="AC743">
        <v>18.379200000000001</v>
      </c>
      <c r="AD743">
        <v>-1.0605742368419999</v>
      </c>
      <c r="AE743">
        <v>-1.20589999999998</v>
      </c>
      <c r="AF743">
        <v>1.43949616824277</v>
      </c>
      <c r="AG743">
        <v>-1.0605742368419999</v>
      </c>
      <c r="AH743">
        <v>18.301326233858799</v>
      </c>
      <c r="AI743">
        <v>93.306430451231705</v>
      </c>
      <c r="AJ743">
        <v>85.502642983466203</v>
      </c>
      <c r="AK743">
        <v>18.388461296377301</v>
      </c>
      <c r="AL743">
        <v>83.426499168504407</v>
      </c>
      <c r="AM743">
        <v>83.285128625141994</v>
      </c>
      <c r="AN743">
        <v>0.99999995144938303</v>
      </c>
    </row>
    <row r="744" spans="1:40" x14ac:dyDescent="0.25">
      <c r="A744" t="str">
        <f>"20190312151237621"</f>
        <v>20190312151237621</v>
      </c>
      <c r="B744" t="str">
        <f>"1552374757610335"</f>
        <v>1552374757610335</v>
      </c>
      <c r="C744" t="s">
        <v>40</v>
      </c>
      <c r="D744">
        <v>4.1168440000000004</v>
      </c>
      <c r="E744">
        <v>0.48404839999999999</v>
      </c>
      <c r="F744" t="s">
        <v>42</v>
      </c>
      <c r="G744">
        <v>-269.27089999999998</v>
      </c>
      <c r="H744" s="1">
        <v>-1.2305450000000001E-6</v>
      </c>
      <c r="I744">
        <v>365.8716</v>
      </c>
      <c r="J744">
        <v>-287.42110000000002</v>
      </c>
      <c r="K744">
        <v>1.0605439999999999</v>
      </c>
      <c r="L744">
        <v>367.06810000000002</v>
      </c>
      <c r="M744">
        <v>0.99981609999999999</v>
      </c>
      <c r="N744">
        <v>0</v>
      </c>
      <c r="O744">
        <v>1.294156E-2</v>
      </c>
      <c r="P744">
        <v>0.98956829999999996</v>
      </c>
      <c r="Q744">
        <v>0.100592</v>
      </c>
      <c r="R744">
        <v>-0.1031313</v>
      </c>
      <c r="S744">
        <v>3.0288390000000001</v>
      </c>
      <c r="T744">
        <v>-0.17486380000000001</v>
      </c>
      <c r="U744">
        <v>-0.19680790000000001</v>
      </c>
      <c r="V744">
        <v>0.1159403</v>
      </c>
      <c r="W744">
        <v>0.1145592</v>
      </c>
      <c r="X744">
        <v>0.98662760000000005</v>
      </c>
      <c r="Y744">
        <v>7.760127E-2</v>
      </c>
      <c r="Z744">
        <v>-2.981746E-3</v>
      </c>
      <c r="AA744">
        <v>0.99697999999999998</v>
      </c>
      <c r="AB744">
        <v>22</v>
      </c>
      <c r="AC744">
        <v>18.150200000000002</v>
      </c>
      <c r="AD744">
        <v>-1.0605452305450001</v>
      </c>
      <c r="AE744">
        <v>-1.1965000000000101</v>
      </c>
      <c r="AF744">
        <v>1.42646596596258</v>
      </c>
      <c r="AG744">
        <v>-1.0605452305450001</v>
      </c>
      <c r="AH744">
        <v>18.071759010877098</v>
      </c>
      <c r="AI744">
        <v>93.348173248184096</v>
      </c>
      <c r="AJ744">
        <v>85.486805079392994</v>
      </c>
      <c r="AK744">
        <v>18.158965694259699</v>
      </c>
      <c r="AL744">
        <v>83.421798907771105</v>
      </c>
      <c r="AM744">
        <v>83.297812153834499</v>
      </c>
      <c r="AN744">
        <v>0.99999999227524505</v>
      </c>
    </row>
    <row r="745" spans="1:40" x14ac:dyDescent="0.25">
      <c r="A745" t="str">
        <f>"20190312151237643"</f>
        <v>20190312151237643</v>
      </c>
      <c r="B745" t="str">
        <f>"1552374757640592"</f>
        <v>1552374757640592</v>
      </c>
      <c r="C745" t="s">
        <v>40</v>
      </c>
      <c r="D745">
        <v>4.1222149999999997</v>
      </c>
      <c r="E745">
        <v>0.48430820000000002</v>
      </c>
      <c r="F745" t="s">
        <v>42</v>
      </c>
      <c r="G745">
        <v>-269.26929999999999</v>
      </c>
      <c r="H745" s="1">
        <v>-1.2285529999999999E-6</v>
      </c>
      <c r="I745">
        <v>365.88119999999998</v>
      </c>
      <c r="J745">
        <v>-287.20999999999998</v>
      </c>
      <c r="K745">
        <v>1.0605199999999999</v>
      </c>
      <c r="L745">
        <v>367.07080000000002</v>
      </c>
      <c r="M745">
        <v>0.99981830000000005</v>
      </c>
      <c r="N745">
        <v>0</v>
      </c>
      <c r="O745">
        <v>1.291145E-2</v>
      </c>
      <c r="P745">
        <v>0.98966969999999999</v>
      </c>
      <c r="Q745">
        <v>9.9943270000000001E-2</v>
      </c>
      <c r="R745">
        <v>-0.1027883</v>
      </c>
      <c r="S745">
        <v>3.028931</v>
      </c>
      <c r="T745">
        <v>-0.17696879999999901</v>
      </c>
      <c r="U745">
        <v>-0.19805909999999999</v>
      </c>
      <c r="V745">
        <v>0.11556900000000001</v>
      </c>
      <c r="W745">
        <v>0.1137903</v>
      </c>
      <c r="X745">
        <v>0.98676010000000003</v>
      </c>
      <c r="Y745">
        <v>7.7975180000000005E-2</v>
      </c>
      <c r="Z745">
        <v>-3.0265930000000002E-3</v>
      </c>
      <c r="AA745">
        <v>0.99695069999999997</v>
      </c>
      <c r="AB745">
        <v>22</v>
      </c>
      <c r="AC745">
        <v>17.9406999999999</v>
      </c>
      <c r="AD745">
        <v>-1.0605212285529999</v>
      </c>
      <c r="AE745">
        <v>-1.18960000000004</v>
      </c>
      <c r="AF745">
        <v>1.4162369601540401</v>
      </c>
      <c r="AG745">
        <v>-1.0605212285529999</v>
      </c>
      <c r="AH745">
        <v>17.861702363189899</v>
      </c>
      <c r="AI745">
        <v>93.387286209948101</v>
      </c>
      <c r="AJ745">
        <v>85.466557852456006</v>
      </c>
      <c r="AK745">
        <v>17.949118187663199</v>
      </c>
      <c r="AL745">
        <v>83.466143410061406</v>
      </c>
      <c r="AM745">
        <v>83.319970636396405</v>
      </c>
      <c r="AN745">
        <v>0.999999960543549</v>
      </c>
    </row>
    <row r="746" spans="1:40" x14ac:dyDescent="0.25">
      <c r="A746" t="str">
        <f>"20190312151237665"</f>
        <v>20190312151237665</v>
      </c>
      <c r="B746" t="str">
        <f>"1552374757660111"</f>
        <v>1552374757660111</v>
      </c>
      <c r="C746" t="s">
        <v>40</v>
      </c>
      <c r="D746">
        <v>4.1634399999999996</v>
      </c>
      <c r="E746">
        <v>0.48454989999999998</v>
      </c>
      <c r="F746" t="s">
        <v>42</v>
      </c>
      <c r="G746">
        <v>-268.60070000000002</v>
      </c>
      <c r="H746" s="1">
        <v>-1.4643009999999999E-6</v>
      </c>
      <c r="I746">
        <v>365.85019999999997</v>
      </c>
      <c r="J746">
        <v>-286.98939999999999</v>
      </c>
      <c r="K746">
        <v>1.0605009999999999</v>
      </c>
      <c r="L746">
        <v>367.07369999999997</v>
      </c>
      <c r="M746">
        <v>0.9998205</v>
      </c>
      <c r="N746">
        <v>0</v>
      </c>
      <c r="O746">
        <v>1.288273E-2</v>
      </c>
      <c r="P746">
        <v>0.98965829999999999</v>
      </c>
      <c r="Q746">
        <v>9.9688020000000002E-2</v>
      </c>
      <c r="R746">
        <v>-0.10314420000000001</v>
      </c>
      <c r="S746">
        <v>3.0281069999999999</v>
      </c>
      <c r="T746">
        <v>-0.17256779999999999</v>
      </c>
      <c r="U746">
        <v>-0.19860839999999999</v>
      </c>
      <c r="V746">
        <v>0.1158969</v>
      </c>
      <c r="W746">
        <v>0.1133971</v>
      </c>
      <c r="X746">
        <v>0.9867669</v>
      </c>
      <c r="Y746">
        <v>7.8151490000000004E-2</v>
      </c>
      <c r="Z746">
        <v>-2.9556109999999999E-3</v>
      </c>
      <c r="AA746">
        <v>0.99693710000000002</v>
      </c>
      <c r="AB746">
        <v>22</v>
      </c>
      <c r="AC746">
        <v>18.388699999999901</v>
      </c>
      <c r="AD746">
        <v>-1.0605024643009999</v>
      </c>
      <c r="AE746">
        <v>-1.2235</v>
      </c>
      <c r="AF746">
        <v>1.45549832797641</v>
      </c>
      <c r="AG746">
        <v>-1.0605024643009999</v>
      </c>
      <c r="AH746">
        <v>18.310777070008299</v>
      </c>
      <c r="AI746">
        <v>93.304288620817999</v>
      </c>
      <c r="AJ746">
        <v>85.455193735141094</v>
      </c>
      <c r="AK746">
        <v>18.399122200992998</v>
      </c>
      <c r="AL746">
        <v>83.488818842782194</v>
      </c>
      <c r="AM746">
        <v>83.301235365296193</v>
      </c>
      <c r="AN746">
        <v>0.99999995432681399</v>
      </c>
    </row>
    <row r="747" spans="1:40" x14ac:dyDescent="0.25">
      <c r="A747" t="str">
        <f>"20190312151237688"</f>
        <v>20190312151237688</v>
      </c>
      <c r="B747" t="str">
        <f>"1552374757680610"</f>
        <v>1552374757680610</v>
      </c>
      <c r="C747" t="s">
        <v>40</v>
      </c>
      <c r="D747">
        <v>4.1586860000000003</v>
      </c>
      <c r="E747">
        <v>0.48466720000000002</v>
      </c>
      <c r="F747" t="s">
        <v>42</v>
      </c>
      <c r="G747">
        <v>-268.96170000000001</v>
      </c>
      <c r="H747" s="1">
        <v>-1.335463E-6</v>
      </c>
      <c r="I747">
        <v>365.87270000000001</v>
      </c>
      <c r="J747">
        <v>-286.77510000000001</v>
      </c>
      <c r="K747">
        <v>1.0604849999999999</v>
      </c>
      <c r="L747">
        <v>367.07639999999998</v>
      </c>
      <c r="M747">
        <v>0.99982289999999996</v>
      </c>
      <c r="N747">
        <v>0</v>
      </c>
      <c r="O747">
        <v>1.2851970000000001E-2</v>
      </c>
      <c r="P747">
        <v>0.98955360000000003</v>
      </c>
      <c r="Q747">
        <v>0.1003299</v>
      </c>
      <c r="R747">
        <v>-0.1035257</v>
      </c>
      <c r="S747">
        <v>3.0282589999999998</v>
      </c>
      <c r="T747">
        <v>-0.17814059999999901</v>
      </c>
      <c r="U747">
        <v>-0.20172119999999999</v>
      </c>
      <c r="V747">
        <v>0.1162461</v>
      </c>
      <c r="W747">
        <v>0.11389879999999999</v>
      </c>
      <c r="X747">
        <v>0.98666810000000005</v>
      </c>
      <c r="Y747">
        <v>7.9126539999999995E-2</v>
      </c>
      <c r="Z747">
        <v>-3.0774560000000001E-3</v>
      </c>
      <c r="AA747">
        <v>0.99685979999999996</v>
      </c>
      <c r="AB747">
        <v>22</v>
      </c>
      <c r="AC747">
        <v>17.813400000000001</v>
      </c>
      <c r="AD747">
        <v>-1.0604863354629901</v>
      </c>
      <c r="AE747">
        <v>-1.20369999999996</v>
      </c>
      <c r="AF747">
        <v>1.4275230764012601</v>
      </c>
      <c r="AG747">
        <v>-1.0604863354629901</v>
      </c>
      <c r="AH747">
        <v>17.733890610580598</v>
      </c>
      <c r="AI747">
        <v>93.411203291130604</v>
      </c>
      <c r="AJ747">
        <v>85.397791095977396</v>
      </c>
      <c r="AK747">
        <v>17.8228316939088</v>
      </c>
      <c r="AL747">
        <v>83.459886500695305</v>
      </c>
      <c r="AM747">
        <v>83.280569450583599</v>
      </c>
      <c r="AN747">
        <v>1.0000000159821201</v>
      </c>
    </row>
    <row r="748" spans="1:40" x14ac:dyDescent="0.25">
      <c r="A748" t="str">
        <f>"20190312151237712"</f>
        <v>20190312151237712</v>
      </c>
      <c r="B748" t="str">
        <f>"1552374757700127"</f>
        <v>1552374757700127</v>
      </c>
      <c r="C748" t="s">
        <v>40</v>
      </c>
      <c r="D748">
        <v>4.1476689999999996</v>
      </c>
      <c r="E748">
        <v>0.48489979999999999</v>
      </c>
      <c r="F748" t="s">
        <v>42</v>
      </c>
      <c r="G748">
        <v>-269.22649999999999</v>
      </c>
      <c r="H748" s="1">
        <v>-1.2397110000000001E-6</v>
      </c>
      <c r="I748">
        <v>365.89400000000001</v>
      </c>
      <c r="J748">
        <v>-286.54230000000001</v>
      </c>
      <c r="K748">
        <v>1.0604709999999999</v>
      </c>
      <c r="L748">
        <v>367.07929999999999</v>
      </c>
      <c r="M748">
        <v>0.99982550000000003</v>
      </c>
      <c r="N748">
        <v>0</v>
      </c>
      <c r="O748">
        <v>1.2815139999999999E-2</v>
      </c>
      <c r="P748">
        <v>0.98940919999999999</v>
      </c>
      <c r="Q748">
        <v>0.1011407</v>
      </c>
      <c r="R748">
        <v>-0.104118</v>
      </c>
      <c r="S748">
        <v>3.02887</v>
      </c>
      <c r="T748">
        <v>-0.18303759999999999</v>
      </c>
      <c r="U748">
        <v>-0.204071</v>
      </c>
      <c r="V748">
        <v>0.1167995</v>
      </c>
      <c r="W748">
        <v>0.1145597</v>
      </c>
      <c r="X748">
        <v>0.98652620000000002</v>
      </c>
      <c r="Y748">
        <v>7.983643E-2</v>
      </c>
      <c r="Z748">
        <v>-3.1803700000000001E-3</v>
      </c>
      <c r="AA748">
        <v>0.99680290000000005</v>
      </c>
      <c r="AB748">
        <v>22</v>
      </c>
      <c r="AC748">
        <v>17.315799999999999</v>
      </c>
      <c r="AD748">
        <v>-1.060472239711</v>
      </c>
      <c r="AE748">
        <v>-1.18529999999998</v>
      </c>
      <c r="AF748">
        <v>1.4018939749952899</v>
      </c>
      <c r="AG748">
        <v>-1.060472239711</v>
      </c>
      <c r="AH748">
        <v>17.2348451983774</v>
      </c>
      <c r="AI748">
        <v>93.509449305728296</v>
      </c>
      <c r="AJ748">
        <v>85.349760280111198</v>
      </c>
      <c r="AK748">
        <v>17.324254590035299</v>
      </c>
      <c r="AL748">
        <v>83.421770092490505</v>
      </c>
      <c r="AM748">
        <v>83.247913464066002</v>
      </c>
      <c r="AN748">
        <v>0.99999999567539</v>
      </c>
    </row>
    <row r="749" spans="1:40" x14ac:dyDescent="0.25">
      <c r="A749" t="str">
        <f>"20190312151237734"</f>
        <v>20190312151237734</v>
      </c>
      <c r="B749" t="str">
        <f>"1552374757730383"</f>
        <v>1552374757730383</v>
      </c>
      <c r="C749" t="s">
        <v>40</v>
      </c>
      <c r="D749">
        <v>4.1646780000000003</v>
      </c>
      <c r="E749">
        <v>0.48518359999999999</v>
      </c>
      <c r="F749" t="s">
        <v>42</v>
      </c>
      <c r="G749">
        <v>-268.68419999999998</v>
      </c>
      <c r="H749" s="1">
        <v>-1.434784E-6</v>
      </c>
      <c r="I749">
        <v>365.85430000000002</v>
      </c>
      <c r="J749">
        <v>-286.3295</v>
      </c>
      <c r="K749">
        <v>1.060467</v>
      </c>
      <c r="L749">
        <v>367.08199999999999</v>
      </c>
      <c r="M749">
        <v>0.99982760000000004</v>
      </c>
      <c r="N749">
        <v>0</v>
      </c>
      <c r="O749">
        <v>1.2782740000000001E-2</v>
      </c>
      <c r="P749">
        <v>0.98927039999999999</v>
      </c>
      <c r="Q749">
        <v>0.1022735</v>
      </c>
      <c r="R749">
        <v>-0.10432900000000001</v>
      </c>
      <c r="S749">
        <v>3.0286249999999999</v>
      </c>
      <c r="T749">
        <v>-0.17984939999999999</v>
      </c>
      <c r="U749">
        <v>-0.20773320000000001</v>
      </c>
      <c r="V749">
        <v>0.1169766</v>
      </c>
      <c r="W749">
        <v>0.1155615</v>
      </c>
      <c r="X749">
        <v>0.98638840000000005</v>
      </c>
      <c r="Y749">
        <v>8.1012970000000004E-2</v>
      </c>
      <c r="Z749">
        <v>-3.1581339999999999E-3</v>
      </c>
      <c r="AA749">
        <v>0.99670800000000004</v>
      </c>
      <c r="AB749">
        <v>22</v>
      </c>
      <c r="AC749">
        <v>17.645299999999999</v>
      </c>
      <c r="AD749">
        <v>-1.0604684347840001</v>
      </c>
      <c r="AE749">
        <v>-1.22769999999997</v>
      </c>
      <c r="AF749">
        <v>1.4479706653614199</v>
      </c>
      <c r="AG749">
        <v>-1.0604684347840001</v>
      </c>
      <c r="AH749">
        <v>17.565025561191</v>
      </c>
      <c r="AI749">
        <v>93.443322270101902</v>
      </c>
      <c r="AJ749">
        <v>85.287485016521103</v>
      </c>
      <c r="AK749">
        <v>17.656481396762299</v>
      </c>
      <c r="AL749">
        <v>83.363987644385205</v>
      </c>
      <c r="AM749">
        <v>83.236834247626405</v>
      </c>
      <c r="AN749">
        <v>1.0000000304421801</v>
      </c>
    </row>
    <row r="750" spans="1:40" x14ac:dyDescent="0.25">
      <c r="A750" t="str">
        <f>"20190312151237755"</f>
        <v>20190312151237755</v>
      </c>
      <c r="B750" t="str">
        <f>"1552374757750879"</f>
        <v>1552374757750879</v>
      </c>
      <c r="C750" t="s">
        <v>40</v>
      </c>
      <c r="D750">
        <v>4.136876</v>
      </c>
      <c r="E750">
        <v>0.48535020000000001</v>
      </c>
      <c r="F750" t="s">
        <v>42</v>
      </c>
      <c r="G750">
        <v>-268.4178</v>
      </c>
      <c r="H750" s="1">
        <v>-1.5306630000000001E-6</v>
      </c>
      <c r="I750">
        <v>365.8347</v>
      </c>
      <c r="J750">
        <v>-286.12090000000001</v>
      </c>
      <c r="K750">
        <v>1.060457</v>
      </c>
      <c r="L750">
        <v>367.08460000000002</v>
      </c>
      <c r="M750">
        <v>0.99982969999999904</v>
      </c>
      <c r="N750">
        <v>0</v>
      </c>
      <c r="O750">
        <v>1.275274E-2</v>
      </c>
      <c r="P750">
        <v>0.98913229999999996</v>
      </c>
      <c r="Q750">
        <v>0.10343289999999999</v>
      </c>
      <c r="R750">
        <v>-0.1044963</v>
      </c>
      <c r="S750">
        <v>3.0288390000000001</v>
      </c>
      <c r="T750">
        <v>-0.17932339999999999</v>
      </c>
      <c r="U750">
        <v>-0.21090700000000001</v>
      </c>
      <c r="V750">
        <v>0.1171127</v>
      </c>
      <c r="W750">
        <v>0.1165996</v>
      </c>
      <c r="X750">
        <v>0.98624999999999996</v>
      </c>
      <c r="Y750">
        <v>8.2016969999999995E-2</v>
      </c>
      <c r="Z750">
        <v>-3.1764660000000002E-3</v>
      </c>
      <c r="AA750">
        <v>0.99662589999999995</v>
      </c>
      <c r="AB750">
        <v>22</v>
      </c>
      <c r="AC750">
        <v>17.703099999999999</v>
      </c>
      <c r="AD750">
        <v>-1.0604585306630001</v>
      </c>
      <c r="AE750">
        <v>-1.24990000000002</v>
      </c>
      <c r="AF750">
        <v>1.47033163949017</v>
      </c>
      <c r="AG750">
        <v>-1.0604585306630001</v>
      </c>
      <c r="AH750">
        <v>17.622796845822599</v>
      </c>
      <c r="AI750">
        <v>93.431747761540393</v>
      </c>
      <c r="AJ750">
        <v>85.230658748603801</v>
      </c>
      <c r="AK750">
        <v>17.715795666423698</v>
      </c>
      <c r="AL750">
        <v>83.304103574969702</v>
      </c>
      <c r="AM750">
        <v>83.228097108302094</v>
      </c>
      <c r="AN750">
        <v>0.99999995686072396</v>
      </c>
    </row>
    <row r="751" spans="1:40" x14ac:dyDescent="0.25">
      <c r="A751" t="str">
        <f>"20190312151237778"</f>
        <v>20190312151237778</v>
      </c>
      <c r="B751" t="str">
        <f>"1552374757770399"</f>
        <v>1552374757770399</v>
      </c>
      <c r="C751" t="s">
        <v>40</v>
      </c>
      <c r="D751">
        <v>4.1734049999999998</v>
      </c>
      <c r="E751">
        <v>0.48535080000000003</v>
      </c>
      <c r="F751" t="s">
        <v>42</v>
      </c>
      <c r="G751">
        <v>-268.0641</v>
      </c>
      <c r="H751" s="1">
        <v>-1.65531299999999E-6</v>
      </c>
      <c r="I751">
        <v>365.8186</v>
      </c>
      <c r="J751">
        <v>-285.8999</v>
      </c>
      <c r="K751">
        <v>1.0604420000000001</v>
      </c>
      <c r="L751">
        <v>367.0874</v>
      </c>
      <c r="M751">
        <v>0.99983160000000004</v>
      </c>
      <c r="N751">
        <v>0</v>
      </c>
      <c r="O751">
        <v>1.272209E-2</v>
      </c>
      <c r="P751">
        <v>0.9890312</v>
      </c>
      <c r="Q751">
        <v>0.1041888</v>
      </c>
      <c r="R751">
        <v>-0.1046993</v>
      </c>
      <c r="S751">
        <v>3.0291139999999999</v>
      </c>
      <c r="T751">
        <v>-0.17789669999999999</v>
      </c>
      <c r="U751">
        <v>-0.2123718</v>
      </c>
      <c r="V751">
        <v>0.1172846</v>
      </c>
      <c r="W751">
        <v>0.1172328</v>
      </c>
      <c r="X751">
        <v>0.98615459999999999</v>
      </c>
      <c r="Y751">
        <v>8.2461679999999996E-2</v>
      </c>
      <c r="Z751">
        <v>-3.1621349999999999E-3</v>
      </c>
      <c r="AA751">
        <v>0.99658919999999995</v>
      </c>
      <c r="AB751">
        <v>22</v>
      </c>
      <c r="AC751">
        <v>17.835799999999999</v>
      </c>
      <c r="AD751">
        <v>-1.0604436553129899</v>
      </c>
      <c r="AE751">
        <v>-1.2687999999999899</v>
      </c>
      <c r="AF751">
        <v>1.4903838137061101</v>
      </c>
      <c r="AG751">
        <v>-1.0604436553129899</v>
      </c>
      <c r="AH751">
        <v>17.755762444822</v>
      </c>
      <c r="AI751">
        <v>93.405919408210195</v>
      </c>
      <c r="AJ751">
        <v>85.201952112360999</v>
      </c>
      <c r="AK751">
        <v>17.849730660578601</v>
      </c>
      <c r="AL751">
        <v>83.267573989345806</v>
      </c>
      <c r="AM751">
        <v>83.217599755945997</v>
      </c>
      <c r="AN751">
        <v>1.0000000509470699</v>
      </c>
    </row>
    <row r="752" spans="1:40" x14ac:dyDescent="0.25">
      <c r="A752" t="str">
        <f>"20190312151237800"</f>
        <v>20190312151237800</v>
      </c>
      <c r="B752" t="str">
        <f>"1552374757790895"</f>
        <v>1552374757790895</v>
      </c>
      <c r="C752" t="s">
        <v>40</v>
      </c>
      <c r="D752">
        <v>4.1484880000000004</v>
      </c>
      <c r="E752">
        <v>0.48525600000000002</v>
      </c>
      <c r="F752" t="s">
        <v>42</v>
      </c>
      <c r="G752">
        <v>-267.78570000000002</v>
      </c>
      <c r="H752" s="1">
        <v>-1.7517290000000001E-6</v>
      </c>
      <c r="I752">
        <v>365.81240000000003</v>
      </c>
      <c r="J752">
        <v>-285.68599999999998</v>
      </c>
      <c r="K752">
        <v>1.06043</v>
      </c>
      <c r="L752">
        <v>367.09010000000001</v>
      </c>
      <c r="M752">
        <v>0.99983359999999999</v>
      </c>
      <c r="N752">
        <v>0</v>
      </c>
      <c r="O752">
        <v>1.268685E-2</v>
      </c>
      <c r="P752">
        <v>0.98898719999999996</v>
      </c>
      <c r="Q752">
        <v>0.10463</v>
      </c>
      <c r="R752">
        <v>-0.10467460000000001</v>
      </c>
      <c r="S752">
        <v>3.0294189999999999</v>
      </c>
      <c r="T752">
        <v>-0.1773479</v>
      </c>
      <c r="U752">
        <v>-0.21322630000000001</v>
      </c>
      <c r="V752">
        <v>0.117225</v>
      </c>
      <c r="W752">
        <v>0.1175581</v>
      </c>
      <c r="X752">
        <v>0.98612290000000002</v>
      </c>
      <c r="Y752">
        <v>8.2699949999999994E-2</v>
      </c>
      <c r="Z752">
        <v>-3.1569480000000001E-3</v>
      </c>
      <c r="AA752">
        <v>0.9965695</v>
      </c>
      <c r="AB752">
        <v>22</v>
      </c>
      <c r="AC752">
        <v>17.900299999999898</v>
      </c>
      <c r="AD752">
        <v>-1.0604317517290001</v>
      </c>
      <c r="AE752">
        <v>-1.2776999999999801</v>
      </c>
      <c r="AF752">
        <v>1.4994793425128601</v>
      </c>
      <c r="AG752">
        <v>-1.0604317517290001</v>
      </c>
      <c r="AH752">
        <v>17.8204240385544</v>
      </c>
      <c r="AI752">
        <v>93.393493771676006</v>
      </c>
      <c r="AJ752">
        <v>85.190241683577298</v>
      </c>
      <c r="AK752">
        <v>17.914811378091201</v>
      </c>
      <c r="AL752">
        <v>83.248805487808596</v>
      </c>
      <c r="AM752">
        <v>83.220798365719304</v>
      </c>
      <c r="AN752">
        <v>0.99999999070251</v>
      </c>
    </row>
    <row r="753" spans="1:40" x14ac:dyDescent="0.25">
      <c r="A753" t="str">
        <f>"20190312151237822"</f>
        <v>20190312151237822</v>
      </c>
      <c r="B753" t="str">
        <f>"1552374757810416"</f>
        <v>1552374757810416</v>
      </c>
      <c r="C753" t="s">
        <v>40</v>
      </c>
      <c r="D753">
        <v>4.1935890000000002</v>
      </c>
      <c r="E753">
        <v>0.48525570000000001</v>
      </c>
      <c r="F753" t="s">
        <v>42</v>
      </c>
      <c r="G753">
        <v>-267.81799999999998</v>
      </c>
      <c r="H753" s="1">
        <v>-1.73442E-6</v>
      </c>
      <c r="I753">
        <v>365.83620000000002</v>
      </c>
      <c r="J753">
        <v>-285.47840000000002</v>
      </c>
      <c r="K753">
        <v>1.0604199999999999</v>
      </c>
      <c r="L753">
        <v>367.09269999999998</v>
      </c>
      <c r="M753">
        <v>0.99983560000000005</v>
      </c>
      <c r="N753">
        <v>0</v>
      </c>
      <c r="O753">
        <v>1.265208E-2</v>
      </c>
      <c r="P753">
        <v>0.9888671</v>
      </c>
      <c r="Q753">
        <v>0.10562000000000001</v>
      </c>
      <c r="R753">
        <v>-0.10481790000000001</v>
      </c>
      <c r="S753">
        <v>3.0299070000000001</v>
      </c>
      <c r="T753">
        <v>-0.17981839999999999</v>
      </c>
      <c r="U753">
        <v>-0.212616</v>
      </c>
      <c r="V753">
        <v>0.11733200000000001</v>
      </c>
      <c r="W753">
        <v>0.1184346</v>
      </c>
      <c r="X753">
        <v>0.98600529999999997</v>
      </c>
      <c r="Y753">
        <v>8.2450259999999997E-2</v>
      </c>
      <c r="Z753">
        <v>-3.1909030000000001E-3</v>
      </c>
      <c r="AA753">
        <v>0.99659010000000003</v>
      </c>
      <c r="AB753">
        <v>22</v>
      </c>
      <c r="AC753">
        <v>17.660399999999999</v>
      </c>
      <c r="AD753">
        <v>-1.06042173442</v>
      </c>
      <c r="AE753">
        <v>-1.25649999999996</v>
      </c>
      <c r="AF753">
        <v>1.4745693855339099</v>
      </c>
      <c r="AG753">
        <v>-1.06042173442</v>
      </c>
      <c r="AH753">
        <v>17.580023349710199</v>
      </c>
      <c r="AI753">
        <v>93.439831759969195</v>
      </c>
      <c r="AJ753">
        <v>85.205393115115797</v>
      </c>
      <c r="AK753">
        <v>17.673598108589498</v>
      </c>
      <c r="AL753">
        <v>83.198232511318807</v>
      </c>
      <c r="AM753">
        <v>83.213866416876897</v>
      </c>
      <c r="AN753">
        <v>1.00000000216462</v>
      </c>
    </row>
    <row r="754" spans="1:40" x14ac:dyDescent="0.25">
      <c r="A754" t="str">
        <f>"20190312151237844"</f>
        <v>20190312151237844</v>
      </c>
      <c r="B754" t="str">
        <f>"1552374757840672"</f>
        <v>1552374757840672</v>
      </c>
      <c r="C754" t="s">
        <v>40</v>
      </c>
      <c r="D754">
        <v>4.2997120000000004</v>
      </c>
      <c r="E754">
        <v>0.51500249999999903</v>
      </c>
      <c r="F754" t="s">
        <v>42</v>
      </c>
      <c r="G754">
        <v>-267.59989999999999</v>
      </c>
      <c r="H754" s="1">
        <v>-1.808734E-6</v>
      </c>
      <c r="I754">
        <v>365.83569999999997</v>
      </c>
      <c r="J754">
        <v>-285.2602</v>
      </c>
      <c r="K754">
        <v>1.0604129999999901</v>
      </c>
      <c r="L754">
        <v>367.09539999999998</v>
      </c>
      <c r="M754">
        <v>0.99983759999999999</v>
      </c>
      <c r="N754">
        <v>0</v>
      </c>
      <c r="O754">
        <v>1.261837E-2</v>
      </c>
      <c r="P754">
        <v>0.98881490000000005</v>
      </c>
      <c r="Q754">
        <v>0.1058756</v>
      </c>
      <c r="R754">
        <v>-0.1050518</v>
      </c>
      <c r="S754">
        <v>3.0303960000000001</v>
      </c>
      <c r="T754">
        <v>-0.17974079999999901</v>
      </c>
      <c r="U754">
        <v>-0.21304319999999999</v>
      </c>
      <c r="V754">
        <v>0.1175321</v>
      </c>
      <c r="W754">
        <v>0.11857280000000001</v>
      </c>
      <c r="X754">
        <v>0.98596479999999997</v>
      </c>
      <c r="Y754">
        <v>8.2545350000000003E-2</v>
      </c>
      <c r="Z754">
        <v>-3.1898180000000001E-3</v>
      </c>
      <c r="AA754">
        <v>0.99658219999999997</v>
      </c>
      <c r="AB754">
        <v>22</v>
      </c>
      <c r="AC754">
        <v>17.660299999999999</v>
      </c>
      <c r="AD754">
        <v>-1.06041480873399</v>
      </c>
      <c r="AE754">
        <v>-1.2597</v>
      </c>
      <c r="AF754">
        <v>1.47716351112629</v>
      </c>
      <c r="AG754">
        <v>-1.06041480873399</v>
      </c>
      <c r="AH754">
        <v>17.579934939307702</v>
      </c>
      <c r="AI754">
        <v>93.439784272306198</v>
      </c>
      <c r="AJ754">
        <v>85.196973621515198</v>
      </c>
      <c r="AK754">
        <v>17.673726377747201</v>
      </c>
      <c r="AL754">
        <v>83.190257653197193</v>
      </c>
      <c r="AM754">
        <v>83.202124823130305</v>
      </c>
      <c r="AN754">
        <v>0.99999994513464296</v>
      </c>
    </row>
    <row r="755" spans="1:40" x14ac:dyDescent="0.25">
      <c r="A755" t="str">
        <f>"20190312151237867"</f>
        <v>20190312151237867</v>
      </c>
      <c r="B755" t="str">
        <f>"1552374757860194"</f>
        <v>1552374757860194</v>
      </c>
      <c r="C755" t="s">
        <v>40</v>
      </c>
      <c r="D755">
        <v>4.2240399999999996</v>
      </c>
      <c r="E755">
        <v>0.51710069999999997</v>
      </c>
      <c r="F755" t="s">
        <v>42</v>
      </c>
      <c r="G755">
        <v>-271.83569999999997</v>
      </c>
      <c r="H755" s="1">
        <v>-4.2892329999999998E-6</v>
      </c>
      <c r="I755">
        <v>365.08120000000002</v>
      </c>
      <c r="J755">
        <v>-285.0376</v>
      </c>
      <c r="K755">
        <v>1.06040499999999</v>
      </c>
      <c r="L755">
        <v>367.09820000000002</v>
      </c>
      <c r="M755">
        <v>0.99983949999999999</v>
      </c>
      <c r="N755">
        <v>0</v>
      </c>
      <c r="O755">
        <v>1.25848E-2</v>
      </c>
      <c r="P755">
        <v>0.98875469999999999</v>
      </c>
      <c r="Q755">
        <v>0.106049</v>
      </c>
      <c r="R755">
        <v>-0.10544240000000001</v>
      </c>
      <c r="S755">
        <v>3.0114139999999998</v>
      </c>
      <c r="T755">
        <v>-0.2378728</v>
      </c>
      <c r="U755">
        <v>-0.45181270000000001</v>
      </c>
      <c r="V755">
        <v>0.1178882</v>
      </c>
      <c r="W755">
        <v>0.1186334</v>
      </c>
      <c r="X755">
        <v>0.98591510000000004</v>
      </c>
      <c r="Y755">
        <v>0.1602807</v>
      </c>
      <c r="Z755">
        <v>-7.2727919999999897E-3</v>
      </c>
      <c r="AA755">
        <v>0.9870447</v>
      </c>
      <c r="AB755">
        <v>22</v>
      </c>
      <c r="AC755">
        <v>13.2019</v>
      </c>
      <c r="AD755">
        <v>-1.0604092892329999</v>
      </c>
      <c r="AE755">
        <v>-2.0169999999999901</v>
      </c>
      <c r="AF755">
        <v>2.1693204583490302</v>
      </c>
      <c r="AG755">
        <v>-1.0604092892329999</v>
      </c>
      <c r="AH755">
        <v>13.092923890913699</v>
      </c>
      <c r="AI755">
        <v>94.568325777007402</v>
      </c>
      <c r="AJ755">
        <v>80.592329228197201</v>
      </c>
      <c r="AK755">
        <v>13.313717554648701</v>
      </c>
      <c r="AL755">
        <v>83.186761550561698</v>
      </c>
      <c r="AM755">
        <v>83.181381684146999</v>
      </c>
      <c r="AN755">
        <v>1.0000000478514</v>
      </c>
    </row>
    <row r="756" spans="1:40" x14ac:dyDescent="0.25">
      <c r="A756" t="str">
        <f>"20190312151237889"</f>
        <v>20190312151237889</v>
      </c>
      <c r="B756" t="str">
        <f>"1552374757880687"</f>
        <v>1552374757880687</v>
      </c>
      <c r="C756" t="s">
        <v>40</v>
      </c>
      <c r="D756">
        <v>4.1881820000000003</v>
      </c>
      <c r="E756">
        <v>0.5178064</v>
      </c>
      <c r="F756" t="s">
        <v>42</v>
      </c>
      <c r="G756">
        <v>-272.22320000000002</v>
      </c>
      <c r="H756" s="1">
        <v>-4.1201039999999998E-6</v>
      </c>
      <c r="I756">
        <v>365.09739999999999</v>
      </c>
      <c r="J756">
        <v>-284.82639999999998</v>
      </c>
      <c r="K756">
        <v>1.060398</v>
      </c>
      <c r="L756">
        <v>367.10079999999999</v>
      </c>
      <c r="M756">
        <v>0.99984119999999999</v>
      </c>
      <c r="N756">
        <v>0</v>
      </c>
      <c r="O756">
        <v>1.2553470000000001E-2</v>
      </c>
      <c r="P756">
        <v>0.98867760000000005</v>
      </c>
      <c r="Q756">
        <v>0.1063931</v>
      </c>
      <c r="R756">
        <v>-0.1058188</v>
      </c>
      <c r="S756">
        <v>3.0107119999999998</v>
      </c>
      <c r="T756">
        <v>-0.2491399</v>
      </c>
      <c r="U756">
        <v>-0.47006229999999899</v>
      </c>
      <c r="V756">
        <v>0.1182323</v>
      </c>
      <c r="W756">
        <v>0.1188763</v>
      </c>
      <c r="X756">
        <v>0.98584459999999996</v>
      </c>
      <c r="Y756">
        <v>0.16605690000000001</v>
      </c>
      <c r="Z756">
        <v>-7.8490299999999999E-3</v>
      </c>
      <c r="AA756">
        <v>0.98608490000000004</v>
      </c>
      <c r="AB756">
        <v>22</v>
      </c>
      <c r="AC756">
        <v>12.6031999999999</v>
      </c>
      <c r="AD756">
        <v>-1.0604021201039999</v>
      </c>
      <c r="AE756">
        <v>-2.0033999999999899</v>
      </c>
      <c r="AF756">
        <v>2.14664680382942</v>
      </c>
      <c r="AG756">
        <v>-1.0604021201039999</v>
      </c>
      <c r="AH756">
        <v>12.4908103527734</v>
      </c>
      <c r="AI756">
        <v>94.782683739648405</v>
      </c>
      <c r="AJ756">
        <v>80.248516158940404</v>
      </c>
      <c r="AK756">
        <v>12.718210897200199</v>
      </c>
      <c r="AL756">
        <v>83.172744984996797</v>
      </c>
      <c r="AM756">
        <v>83.161182847046206</v>
      </c>
      <c r="AN756">
        <v>1.0000000134070699</v>
      </c>
    </row>
    <row r="757" spans="1:40" x14ac:dyDescent="0.25">
      <c r="A757" t="str">
        <f>"20190312151237912"</f>
        <v>20190312151237912</v>
      </c>
      <c r="B757" t="str">
        <f>"1552374757900208"</f>
        <v>1552374757900208</v>
      </c>
      <c r="C757" t="s">
        <v>40</v>
      </c>
      <c r="D757">
        <v>4.1818309999999999</v>
      </c>
      <c r="E757">
        <v>0.51860660000000003</v>
      </c>
      <c r="F757" t="s">
        <v>41</v>
      </c>
      <c r="G757">
        <v>-283.93150000000003</v>
      </c>
      <c r="H757">
        <v>0.98457519999999998</v>
      </c>
      <c r="I757">
        <v>366.95870000000002</v>
      </c>
      <c r="J757">
        <v>-284.6019</v>
      </c>
      <c r="K757">
        <v>1.0603940000000001</v>
      </c>
      <c r="L757">
        <v>367.1035</v>
      </c>
      <c r="M757">
        <v>0.99984280000000003</v>
      </c>
      <c r="N757">
        <v>0</v>
      </c>
      <c r="O757">
        <v>1.2520109999999999E-2</v>
      </c>
      <c r="P757">
        <v>0.98868290000000003</v>
      </c>
      <c r="Q757">
        <v>0.106265899999999</v>
      </c>
      <c r="R757">
        <v>-0.1058955</v>
      </c>
      <c r="S757">
        <v>3.010742</v>
      </c>
      <c r="T757">
        <v>-0.2552334</v>
      </c>
      <c r="U757">
        <v>-0.47732540000000001</v>
      </c>
      <c r="V757">
        <v>0.1182762</v>
      </c>
      <c r="W757">
        <v>0.11864719999999999</v>
      </c>
      <c r="X757">
        <v>0.98586689999999999</v>
      </c>
      <c r="Y757">
        <v>0.16830639999999999</v>
      </c>
      <c r="Z757">
        <v>-8.1305539999999999E-3</v>
      </c>
      <c r="AA757">
        <v>0.98570119999999894</v>
      </c>
      <c r="AB757">
        <v>22</v>
      </c>
      <c r="AC757">
        <v>0.67039999999997202</v>
      </c>
      <c r="AD757">
        <v>-7.5818799999999895E-2</v>
      </c>
      <c r="AE757">
        <v>-0.144799999999975</v>
      </c>
      <c r="AF757">
        <v>0.151333444917396</v>
      </c>
      <c r="AG757">
        <v>-7.5818799999999895E-2</v>
      </c>
      <c r="AH757">
        <v>0.66046330032644296</v>
      </c>
      <c r="AI757">
        <v>96.384643460069597</v>
      </c>
      <c r="AJ757">
        <v>77.094464642670303</v>
      </c>
      <c r="AK757">
        <v>0.68180794441111103</v>
      </c>
      <c r="AL757">
        <v>83.185964787324494</v>
      </c>
      <c r="AM757">
        <v>83.158820918590905</v>
      </c>
      <c r="AN757">
        <v>0.99999998103494403</v>
      </c>
    </row>
    <row r="758" spans="1:40" x14ac:dyDescent="0.25">
      <c r="A758" t="str">
        <f>"20190312151237934"</f>
        <v>20190312151237934</v>
      </c>
      <c r="B758" t="str">
        <f>"1552374757930463"</f>
        <v>1552374757930463</v>
      </c>
      <c r="C758" t="s">
        <v>40</v>
      </c>
      <c r="D758">
        <v>4.1844910000000004</v>
      </c>
      <c r="E758">
        <v>0.51880130000000002</v>
      </c>
      <c r="F758" t="s">
        <v>42</v>
      </c>
      <c r="G758">
        <v>-271.99310000000003</v>
      </c>
      <c r="H758" s="1">
        <v>-4.2223360000000004E-6</v>
      </c>
      <c r="I758">
        <v>365.07760000000002</v>
      </c>
      <c r="J758">
        <v>-284.3956</v>
      </c>
      <c r="K758">
        <v>1.060379</v>
      </c>
      <c r="L758">
        <v>367.10610000000003</v>
      </c>
      <c r="M758">
        <v>0.99984430000000002</v>
      </c>
      <c r="N758">
        <v>0</v>
      </c>
      <c r="O758">
        <v>1.249024E-2</v>
      </c>
      <c r="P758">
        <v>0.98866770000000004</v>
      </c>
      <c r="Q758">
        <v>0.1063086</v>
      </c>
      <c r="R758">
        <v>-0.1059942</v>
      </c>
      <c r="S758">
        <v>3.0097659999999999</v>
      </c>
      <c r="T758">
        <v>-0.25311990000000001</v>
      </c>
      <c r="U758">
        <v>-0.4835815</v>
      </c>
      <c r="V758">
        <v>0.1183453</v>
      </c>
      <c r="W758">
        <v>0.11859699999999999</v>
      </c>
      <c r="X758">
        <v>0.98586470000000004</v>
      </c>
      <c r="Y758">
        <v>0.17032749999999999</v>
      </c>
      <c r="Z758">
        <v>-8.1465389999999995E-3</v>
      </c>
      <c r="AA758">
        <v>0.98535379999999995</v>
      </c>
      <c r="AB758">
        <v>22</v>
      </c>
      <c r="AC758">
        <v>12.4024999999999</v>
      </c>
      <c r="AD758">
        <v>-1.0603832223359999</v>
      </c>
      <c r="AE758">
        <v>-2.0285000000000002</v>
      </c>
      <c r="AF758">
        <v>2.1678303642708499</v>
      </c>
      <c r="AG758">
        <v>-1.0603832223359999</v>
      </c>
      <c r="AH758">
        <v>12.288705963994</v>
      </c>
      <c r="AI758">
        <v>94.857162516421894</v>
      </c>
      <c r="AJ758">
        <v>79.995478428624907</v>
      </c>
      <c r="AK758">
        <v>12.5234258625972</v>
      </c>
      <c r="AL758">
        <v>83.188861840442499</v>
      </c>
      <c r="AM758">
        <v>83.154846907255006</v>
      </c>
      <c r="AN758">
        <v>1.0000000325735801</v>
      </c>
    </row>
    <row r="759" spans="1:40" x14ac:dyDescent="0.25">
      <c r="A759" t="str">
        <f>"20190312151237956"</f>
        <v>20190312151237956</v>
      </c>
      <c r="B759" t="str">
        <f>"1552374757949985"</f>
        <v>1552374757949985</v>
      </c>
      <c r="C759" t="s">
        <v>40</v>
      </c>
      <c r="D759">
        <v>4.4400750000000002</v>
      </c>
      <c r="E759">
        <v>0.51908480000000001</v>
      </c>
      <c r="F759" t="s">
        <v>41</v>
      </c>
      <c r="G759">
        <v>-283.54500000000002</v>
      </c>
      <c r="H759">
        <v>0.98731469999999999</v>
      </c>
      <c r="I759">
        <v>366.96879999999999</v>
      </c>
      <c r="J759">
        <v>-284.17009999999999</v>
      </c>
      <c r="K759">
        <v>1.0603670000000001</v>
      </c>
      <c r="L759">
        <v>367.10890000000001</v>
      </c>
      <c r="M759">
        <v>0.99984609999999996</v>
      </c>
      <c r="N759">
        <v>0</v>
      </c>
      <c r="O759">
        <v>1.245752E-2</v>
      </c>
      <c r="P759">
        <v>0.98856460000000002</v>
      </c>
      <c r="Q759">
        <v>0.10690139999999999</v>
      </c>
      <c r="R759">
        <v>-0.1063591</v>
      </c>
      <c r="S759">
        <v>3.010132</v>
      </c>
      <c r="T759">
        <v>-0.25871050000000001</v>
      </c>
      <c r="U759">
        <v>-0.48568729999999899</v>
      </c>
      <c r="V759">
        <v>0.1186767</v>
      </c>
      <c r="W759">
        <v>0.1190856</v>
      </c>
      <c r="X759">
        <v>0.98576589999999997</v>
      </c>
      <c r="Y759">
        <v>0.1709184</v>
      </c>
      <c r="Z759">
        <v>-8.3467690000000004E-3</v>
      </c>
      <c r="AA759">
        <v>0.98524979999999995</v>
      </c>
      <c r="AB759">
        <v>22</v>
      </c>
      <c r="AC759">
        <v>0.62509999999997401</v>
      </c>
      <c r="AD759">
        <v>-7.3052300000000098E-2</v>
      </c>
      <c r="AE759">
        <v>-0.14010000000001799</v>
      </c>
      <c r="AF759">
        <v>0.14597858188462301</v>
      </c>
      <c r="AG759">
        <v>-7.3052300000000098E-2</v>
      </c>
      <c r="AH759">
        <v>0.61530451047389201</v>
      </c>
      <c r="AI759">
        <v>96.589538144195103</v>
      </c>
      <c r="AJ759">
        <v>76.653554182308298</v>
      </c>
      <c r="AK759">
        <v>0.63658936962052104</v>
      </c>
      <c r="AL759">
        <v>83.160666916401894</v>
      </c>
      <c r="AM759">
        <v>83.135179787487203</v>
      </c>
      <c r="AN759">
        <v>0.99999997442652899</v>
      </c>
    </row>
    <row r="760" spans="1:40" x14ac:dyDescent="0.25">
      <c r="A760" t="str">
        <f>"20190312151237978"</f>
        <v>20190312151237978</v>
      </c>
      <c r="B760" t="str">
        <f>"1552374757970482"</f>
        <v>1552374757970482</v>
      </c>
      <c r="C760" t="s">
        <v>40</v>
      </c>
      <c r="D760">
        <v>4.2852030000000001</v>
      </c>
      <c r="E760">
        <v>0.51917029999999997</v>
      </c>
      <c r="F760" t="s">
        <v>42</v>
      </c>
      <c r="G760">
        <v>-270.935</v>
      </c>
      <c r="H760" s="1">
        <v>-4.6972149999999999E-6</v>
      </c>
      <c r="I760">
        <v>364.95949999999999</v>
      </c>
      <c r="J760">
        <v>-283.96030000000002</v>
      </c>
      <c r="K760">
        <v>1.060365</v>
      </c>
      <c r="L760">
        <v>367.1114</v>
      </c>
      <c r="M760">
        <v>0.99984759999999995</v>
      </c>
      <c r="N760">
        <v>0</v>
      </c>
      <c r="O760">
        <v>1.242768E-2</v>
      </c>
      <c r="P760">
        <v>0.988483</v>
      </c>
      <c r="Q760">
        <v>0.1072144</v>
      </c>
      <c r="R760">
        <v>-0.1068018</v>
      </c>
      <c r="S760">
        <v>3.0082399999999998</v>
      </c>
      <c r="T760">
        <v>-0.24101339999999999</v>
      </c>
      <c r="U760">
        <v>-0.4885254</v>
      </c>
      <c r="V760">
        <v>0.119089</v>
      </c>
      <c r="W760">
        <v>0.1193</v>
      </c>
      <c r="X760">
        <v>0.98569030000000002</v>
      </c>
      <c r="Y760">
        <v>0.1719754</v>
      </c>
      <c r="Z760">
        <v>-7.8215209999999997E-3</v>
      </c>
      <c r="AA760">
        <v>0.98507020000000001</v>
      </c>
      <c r="AB760">
        <v>22</v>
      </c>
      <c r="AC760">
        <v>13.0253</v>
      </c>
      <c r="AD760">
        <v>-1.0603696972149901</v>
      </c>
      <c r="AE760">
        <v>-2.1519000000000101</v>
      </c>
      <c r="AF760">
        <v>2.2987901336795802</v>
      </c>
      <c r="AG760">
        <v>-1.0603696972149901</v>
      </c>
      <c r="AH760">
        <v>12.9142357581441</v>
      </c>
      <c r="AI760">
        <v>94.621619860539496</v>
      </c>
      <c r="AJ760">
        <v>79.906818621097699</v>
      </c>
      <c r="AK760">
        <v>13.1600267929211</v>
      </c>
      <c r="AL760">
        <v>83.148294838898906</v>
      </c>
      <c r="AM760">
        <v>83.111035924033899</v>
      </c>
      <c r="AN760">
        <v>1.0000000237175399</v>
      </c>
    </row>
    <row r="761" spans="1:40" x14ac:dyDescent="0.25">
      <c r="A761" t="str">
        <f>"20190312151238001"</f>
        <v>20190312151238001</v>
      </c>
      <c r="B761" t="str">
        <f>"1552374757989999"</f>
        <v>1552374757989999</v>
      </c>
      <c r="C761" t="s">
        <v>40</v>
      </c>
      <c r="D761">
        <v>4.292764</v>
      </c>
      <c r="E761">
        <v>0.51923649999999999</v>
      </c>
      <c r="F761" t="s">
        <v>42</v>
      </c>
      <c r="G761">
        <v>-269.93189999999998</v>
      </c>
      <c r="H761" s="1">
        <v>-1.2835470000000001E-6</v>
      </c>
      <c r="I761">
        <v>364.82709999999997</v>
      </c>
      <c r="J761">
        <v>-283.74079999999998</v>
      </c>
      <c r="K761">
        <v>1.0603560000000001</v>
      </c>
      <c r="L761">
        <v>367.11410000000001</v>
      </c>
      <c r="M761">
        <v>0.99984919999999999</v>
      </c>
      <c r="N761">
        <v>0</v>
      </c>
      <c r="O761">
        <v>1.2395949999999999E-2</v>
      </c>
      <c r="P761">
        <v>0.98837969999999997</v>
      </c>
      <c r="Q761">
        <v>0.1076299</v>
      </c>
      <c r="R761">
        <v>-0.1073368</v>
      </c>
      <c r="S761">
        <v>3.0067140000000001</v>
      </c>
      <c r="T761">
        <v>-0.22726669999999999</v>
      </c>
      <c r="U761">
        <v>-0.48959350000000001</v>
      </c>
      <c r="V761">
        <v>0.11959160000000001</v>
      </c>
      <c r="W761">
        <v>0.1196135</v>
      </c>
      <c r="X761">
        <v>0.98559140000000001</v>
      </c>
      <c r="Y761">
        <v>0.1724262</v>
      </c>
      <c r="Z761">
        <v>-7.3946819999999996E-3</v>
      </c>
      <c r="AA761">
        <v>0.9849947</v>
      </c>
      <c r="AB761">
        <v>22</v>
      </c>
      <c r="AC761">
        <v>13.8088999999999</v>
      </c>
      <c r="AD761">
        <v>-1.0603572835470001</v>
      </c>
      <c r="AE761">
        <v>-2.2870000000000301</v>
      </c>
      <c r="AF761">
        <v>2.4439853812919399</v>
      </c>
      <c r="AG761">
        <v>-1.0603572835470001</v>
      </c>
      <c r="AH761">
        <v>13.7008583467523</v>
      </c>
      <c r="AI761">
        <v>94.356992656044</v>
      </c>
      <c r="AJ761">
        <v>79.885851338846095</v>
      </c>
      <c r="AK761">
        <v>13.957469023806301</v>
      </c>
      <c r="AL761">
        <v>83.130202721065203</v>
      </c>
      <c r="AM761">
        <v>83.081555632220997</v>
      </c>
      <c r="AN761">
        <v>0.99999997396338403</v>
      </c>
    </row>
    <row r="762" spans="1:40" x14ac:dyDescent="0.25">
      <c r="A762" t="str">
        <f>"20190312151238022"</f>
        <v>20190312151238022</v>
      </c>
      <c r="B762" t="str">
        <f>"1552374758010499"</f>
        <v>1552374758010499</v>
      </c>
      <c r="C762" t="s">
        <v>40</v>
      </c>
      <c r="D762">
        <v>4.1008399999999998</v>
      </c>
      <c r="E762">
        <v>0.51947469999999996</v>
      </c>
      <c r="F762" t="s">
        <v>42</v>
      </c>
      <c r="G762">
        <v>-268.94510000000002</v>
      </c>
      <c r="H762" s="1">
        <v>-1.6547340000000001E-6</v>
      </c>
      <c r="I762">
        <v>364.69409999999999</v>
      </c>
      <c r="J762">
        <v>-283.53480000000002</v>
      </c>
      <c r="K762">
        <v>1.0603450000000001</v>
      </c>
      <c r="L762">
        <v>367.11660000000001</v>
      </c>
      <c r="M762">
        <v>0.99985089999999999</v>
      </c>
      <c r="N762">
        <v>0</v>
      </c>
      <c r="O762">
        <v>1.2365879999999999E-2</v>
      </c>
      <c r="P762">
        <v>0.98827509999999996</v>
      </c>
      <c r="Q762">
        <v>0.1083078</v>
      </c>
      <c r="R762">
        <v>-0.1076204</v>
      </c>
      <c r="S762">
        <v>3.005341</v>
      </c>
      <c r="T762">
        <v>-0.2153814</v>
      </c>
      <c r="U762">
        <v>-0.4915466</v>
      </c>
      <c r="V762">
        <v>0.1198442</v>
      </c>
      <c r="W762">
        <v>0.1201976</v>
      </c>
      <c r="X762">
        <v>0.98548970000000002</v>
      </c>
      <c r="Y762">
        <v>0.17314160000000001</v>
      </c>
      <c r="Z762">
        <v>-7.0350459999999997E-3</v>
      </c>
      <c r="AA762">
        <v>0.98487179999999996</v>
      </c>
      <c r="AB762">
        <v>22</v>
      </c>
      <c r="AC762">
        <v>14.589699999999899</v>
      </c>
      <c r="AD762">
        <v>-1.0603466547339999</v>
      </c>
      <c r="AE762">
        <v>-2.4225000000000101</v>
      </c>
      <c r="AF762">
        <v>2.5894317785207401</v>
      </c>
      <c r="AG762">
        <v>-1.0603466547339999</v>
      </c>
      <c r="AH762">
        <v>14.484172246233101</v>
      </c>
      <c r="AI762">
        <v>94.121877089062906</v>
      </c>
      <c r="AJ762">
        <v>79.8639338399081</v>
      </c>
      <c r="AK762">
        <v>14.7519740245964</v>
      </c>
      <c r="AL762">
        <v>83.096493383491094</v>
      </c>
      <c r="AM762">
        <v>83.066376152668795</v>
      </c>
      <c r="AN762">
        <v>1.0000000220627401</v>
      </c>
    </row>
    <row r="763" spans="1:40" x14ac:dyDescent="0.25">
      <c r="A763" t="str">
        <f>"20190312151238045"</f>
        <v>20190312151238045</v>
      </c>
      <c r="B763" t="str">
        <f>"1552374758040751"</f>
        <v>1552374758040751</v>
      </c>
      <c r="C763" t="s">
        <v>40</v>
      </c>
      <c r="D763">
        <v>4.1349900000000002</v>
      </c>
      <c r="E763">
        <v>0.51983469999999998</v>
      </c>
      <c r="F763" t="s">
        <v>42</v>
      </c>
      <c r="G763">
        <v>-268.2199</v>
      </c>
      <c r="H763" s="1">
        <v>-1.9268980000000001E-6</v>
      </c>
      <c r="I763">
        <v>364.59859999999998</v>
      </c>
      <c r="J763">
        <v>-283.31459999999998</v>
      </c>
      <c r="K763">
        <v>1.060335</v>
      </c>
      <c r="L763">
        <v>367.11930000000001</v>
      </c>
      <c r="M763">
        <v>0.99985239999999997</v>
      </c>
      <c r="N763">
        <v>0</v>
      </c>
      <c r="O763">
        <v>1.233329E-2</v>
      </c>
      <c r="P763">
        <v>0.98814500000000005</v>
      </c>
      <c r="Q763">
        <v>0.109057399999999</v>
      </c>
      <c r="R763">
        <v>-0.108056</v>
      </c>
      <c r="S763">
        <v>3.0046080000000002</v>
      </c>
      <c r="T763">
        <v>-0.20802809999999999</v>
      </c>
      <c r="U763">
        <v>-0.49398799999999998</v>
      </c>
      <c r="V763">
        <v>0.12024600000000001</v>
      </c>
      <c r="W763">
        <v>0.120849499999999</v>
      </c>
      <c r="X763">
        <v>0.98536100000000004</v>
      </c>
      <c r="Y763">
        <v>0.1739561</v>
      </c>
      <c r="Z763">
        <v>-6.8223590000000001E-3</v>
      </c>
      <c r="AA763">
        <v>0.98472979999999999</v>
      </c>
      <c r="AB763">
        <v>22</v>
      </c>
      <c r="AC763">
        <v>15.0946999999999</v>
      </c>
      <c r="AD763">
        <v>-1.0603369268979901</v>
      </c>
      <c r="AE763">
        <v>-2.5207000000000299</v>
      </c>
      <c r="AF763">
        <v>2.6937572889661698</v>
      </c>
      <c r="AG763">
        <v>-1.0603369268979901</v>
      </c>
      <c r="AH763">
        <v>14.9904979406679</v>
      </c>
      <c r="AI763">
        <v>93.982439282353099</v>
      </c>
      <c r="AJ763">
        <v>79.8128067426331</v>
      </c>
      <c r="AK763">
        <v>15.267471016496801</v>
      </c>
      <c r="AL763">
        <v>83.058867848269799</v>
      </c>
      <c r="AM763">
        <v>83.042457587311304</v>
      </c>
      <c r="AN763">
        <v>1.0000000012436201</v>
      </c>
    </row>
    <row r="764" spans="1:40" x14ac:dyDescent="0.25">
      <c r="A764" t="str">
        <f>"20190312151238068"</f>
        <v>20190312151238068</v>
      </c>
      <c r="B764" t="str">
        <f>"1552374758060275"</f>
        <v>1552374758060275</v>
      </c>
      <c r="C764" t="s">
        <v>40</v>
      </c>
      <c r="D764">
        <v>4.1380319999999999</v>
      </c>
      <c r="E764">
        <v>0.51979140000000001</v>
      </c>
      <c r="F764" t="s">
        <v>42</v>
      </c>
      <c r="G764">
        <v>-268.464</v>
      </c>
      <c r="H764" s="1">
        <v>-1.8286229999999999E-6</v>
      </c>
      <c r="I764">
        <v>364.65589999999997</v>
      </c>
      <c r="J764">
        <v>-283.09640000000002</v>
      </c>
      <c r="K764">
        <v>1.0603209999999901</v>
      </c>
      <c r="L764">
        <v>367.12189999999998</v>
      </c>
      <c r="M764">
        <v>0.99985389999999996</v>
      </c>
      <c r="N764">
        <v>0</v>
      </c>
      <c r="O764">
        <v>1.230092E-2</v>
      </c>
      <c r="P764">
        <v>0.9881008</v>
      </c>
      <c r="Q764">
        <v>0.1093997</v>
      </c>
      <c r="R764">
        <v>-0.1081144</v>
      </c>
      <c r="S764">
        <v>3.0051570000000001</v>
      </c>
      <c r="T764">
        <v>-0.21456790000000001</v>
      </c>
      <c r="U764">
        <v>-0.49847409999999998</v>
      </c>
      <c r="V764">
        <v>0.1202718</v>
      </c>
      <c r="W764">
        <v>0.1210956</v>
      </c>
      <c r="X764">
        <v>0.98532770000000003</v>
      </c>
      <c r="Y764">
        <v>0.1752956</v>
      </c>
      <c r="Z764">
        <v>-7.0793409999999899E-3</v>
      </c>
      <c r="AA764">
        <v>0.98449039999999999</v>
      </c>
      <c r="AB764">
        <v>22</v>
      </c>
      <c r="AC764">
        <v>14.632400000000001</v>
      </c>
      <c r="AD764">
        <v>-1.06032282862299</v>
      </c>
      <c r="AE764">
        <v>-2.4660000000000002</v>
      </c>
      <c r="AF764">
        <v>2.6323771039846302</v>
      </c>
      <c r="AG764">
        <v>-1.06032282862299</v>
      </c>
      <c r="AH764">
        <v>14.526782605776001</v>
      </c>
      <c r="AI764">
        <v>94.108000006582898</v>
      </c>
      <c r="AJ764">
        <v>79.728969160276606</v>
      </c>
      <c r="AK764">
        <v>14.801388671133401</v>
      </c>
      <c r="AL764">
        <v>83.044663468432304</v>
      </c>
      <c r="AM764">
        <v>83.040746532631701</v>
      </c>
      <c r="AN764">
        <v>1.00000006330094</v>
      </c>
    </row>
    <row r="765" spans="1:40" x14ac:dyDescent="0.25">
      <c r="A765" t="str">
        <f>"20190312151238081"</f>
        <v>20190312151238081</v>
      </c>
      <c r="B765" t="str">
        <f>"1552374758071007"</f>
        <v>1552374758071007</v>
      </c>
      <c r="C765" t="s">
        <v>40</v>
      </c>
      <c r="D765">
        <v>4.0809769999999999</v>
      </c>
      <c r="E765">
        <v>0.51981940000000004</v>
      </c>
      <c r="F765" t="s">
        <v>42</v>
      </c>
      <c r="G765">
        <v>-268.75659999999999</v>
      </c>
      <c r="H765" s="1">
        <v>-1.7057189999999999E-6</v>
      </c>
      <c r="I765">
        <v>364.74349999999998</v>
      </c>
      <c r="J765">
        <v>-282.95420000000001</v>
      </c>
      <c r="K765">
        <v>1.060316</v>
      </c>
      <c r="L765">
        <v>367.12369999999999</v>
      </c>
      <c r="M765">
        <v>0.99985500000000005</v>
      </c>
      <c r="N765">
        <v>0</v>
      </c>
      <c r="O765">
        <v>1.227937E-2</v>
      </c>
      <c r="P765">
        <v>0.98804970000000003</v>
      </c>
      <c r="Q765">
        <v>0.10974680000000001</v>
      </c>
      <c r="R765">
        <v>-0.10822950000000001</v>
      </c>
      <c r="S765">
        <v>3.006195</v>
      </c>
      <c r="T765">
        <v>-0.2222857</v>
      </c>
      <c r="U765">
        <v>-0.49859619999999999</v>
      </c>
      <c r="V765">
        <v>0.120365</v>
      </c>
      <c r="W765">
        <v>0.12138</v>
      </c>
      <c r="X765">
        <v>0.98528119999999997</v>
      </c>
      <c r="Y765">
        <v>0.17522499999999999</v>
      </c>
      <c r="Z765">
        <v>-7.326623E-3</v>
      </c>
      <c r="AA765">
        <v>0.98450119999999997</v>
      </c>
      <c r="AB765">
        <v>22</v>
      </c>
      <c r="AC765">
        <v>14.1976</v>
      </c>
      <c r="AD765">
        <v>-1.0603177057189901</v>
      </c>
      <c r="AE765">
        <v>-2.3801999999999999</v>
      </c>
      <c r="AF765">
        <v>2.5405874079930402</v>
      </c>
      <c r="AG765">
        <v>-1.0603177057189901</v>
      </c>
      <c r="AH765">
        <v>14.0908563412943</v>
      </c>
      <c r="AI765">
        <v>94.2352833736891</v>
      </c>
      <c r="AJ765">
        <v>79.779354185989305</v>
      </c>
      <c r="AK765">
        <v>14.3572661201814</v>
      </c>
      <c r="AL765">
        <v>83.0282465954337</v>
      </c>
      <c r="AM765">
        <v>83.0350812085169</v>
      </c>
      <c r="AN765">
        <v>0.99999994034921802</v>
      </c>
    </row>
    <row r="766" spans="1:40" x14ac:dyDescent="0.25">
      <c r="A766" t="str">
        <f>"20190312151238103"</f>
        <v>20190312151238103</v>
      </c>
      <c r="B766" t="str">
        <f>"1552374758090527"</f>
        <v>1552374758090527</v>
      </c>
      <c r="C766" t="s">
        <v>40</v>
      </c>
      <c r="D766">
        <v>4.4600900000000001</v>
      </c>
      <c r="E766">
        <v>0.51990899999999995</v>
      </c>
      <c r="F766" t="s">
        <v>42</v>
      </c>
      <c r="G766">
        <v>-268.62759999999997</v>
      </c>
      <c r="H766" s="1">
        <v>-1.7488659999999901E-6</v>
      </c>
      <c r="I766">
        <v>364.74630000000002</v>
      </c>
      <c r="J766">
        <v>-282.75990000000002</v>
      </c>
      <c r="K766">
        <v>1.060308</v>
      </c>
      <c r="L766">
        <v>367.12599999999998</v>
      </c>
      <c r="M766">
        <v>0.99985619999999997</v>
      </c>
      <c r="N766">
        <v>0</v>
      </c>
      <c r="O766">
        <v>1.225066E-2</v>
      </c>
      <c r="P766">
        <v>0.98791709999999999</v>
      </c>
      <c r="Q766">
        <v>0.1105862</v>
      </c>
      <c r="R766">
        <v>-0.1085831</v>
      </c>
      <c r="S766">
        <v>3.0063780000000002</v>
      </c>
      <c r="T766">
        <v>-0.22250320000000001</v>
      </c>
      <c r="U766">
        <v>-0.4988708</v>
      </c>
      <c r="V766">
        <v>0.1206888</v>
      </c>
      <c r="W766">
        <v>0.12213590000000001</v>
      </c>
      <c r="X766">
        <v>0.98514829999999998</v>
      </c>
      <c r="Y766">
        <v>0.1752736</v>
      </c>
      <c r="Z766">
        <v>-7.3329550000000004E-3</v>
      </c>
      <c r="AA766">
        <v>0.98449249999999999</v>
      </c>
      <c r="AB766">
        <v>22</v>
      </c>
      <c r="AC766">
        <v>14.132300000000001</v>
      </c>
      <c r="AD766">
        <v>-1.060309748866</v>
      </c>
      <c r="AE766">
        <v>-2.37969999999995</v>
      </c>
      <c r="AF766">
        <v>2.5387663447211302</v>
      </c>
      <c r="AG766">
        <v>-1.060309748866</v>
      </c>
      <c r="AH766">
        <v>14.0253112508799</v>
      </c>
      <c r="AI766">
        <v>94.254443370218397</v>
      </c>
      <c r="AJ766">
        <v>79.739806500833197</v>
      </c>
      <c r="AK766">
        <v>14.2926186194374</v>
      </c>
      <c r="AL766">
        <v>82.984612968662702</v>
      </c>
      <c r="AM766">
        <v>83.015596507641703</v>
      </c>
      <c r="AN766">
        <v>1.00000006875356</v>
      </c>
    </row>
    <row r="767" spans="1:40" x14ac:dyDescent="0.25">
      <c r="A767" t="str">
        <f>"20190312151238124"</f>
        <v>20190312151238124</v>
      </c>
      <c r="B767" t="str">
        <f>"1552374758120784"</f>
        <v>1552374758120784</v>
      </c>
      <c r="C767" t="s">
        <v>40</v>
      </c>
      <c r="D767">
        <v>4.0731129999999904</v>
      </c>
      <c r="E767">
        <v>0.52021209999999996</v>
      </c>
      <c r="F767" t="s">
        <v>42</v>
      </c>
      <c r="G767">
        <v>-268.10140000000001</v>
      </c>
      <c r="H767" s="1">
        <v>-1.9447199999999999E-6</v>
      </c>
      <c r="I767">
        <v>364.68329999999997</v>
      </c>
      <c r="J767">
        <v>-282.54390000000001</v>
      </c>
      <c r="K767">
        <v>1.0603020000000001</v>
      </c>
      <c r="L767">
        <v>367.12869999999998</v>
      </c>
      <c r="M767">
        <v>0.99985769999999996</v>
      </c>
      <c r="N767">
        <v>0</v>
      </c>
      <c r="O767">
        <v>1.2218700000000001E-2</v>
      </c>
      <c r="P767">
        <v>0.9878905</v>
      </c>
      <c r="Q767">
        <v>0.1107455</v>
      </c>
      <c r="R767">
        <v>-0.1086637</v>
      </c>
      <c r="S767">
        <v>3.0060120000000001</v>
      </c>
      <c r="T767">
        <v>-0.2174355</v>
      </c>
      <c r="U767">
        <v>-0.50091549999999996</v>
      </c>
      <c r="V767">
        <v>0.12073739999999999</v>
      </c>
      <c r="W767">
        <v>0.12220780000000001</v>
      </c>
      <c r="X767">
        <v>0.98513329999999999</v>
      </c>
      <c r="Y767">
        <v>0.1759339</v>
      </c>
      <c r="Z767">
        <v>-7.1882259999999998E-3</v>
      </c>
      <c r="AA767">
        <v>0.98437569999999996</v>
      </c>
      <c r="AB767">
        <v>22</v>
      </c>
      <c r="AC767">
        <v>14.4424999999999</v>
      </c>
      <c r="AD767">
        <v>-1.06030394472</v>
      </c>
      <c r="AE767">
        <v>-2.4453999999999998</v>
      </c>
      <c r="AF767">
        <v>2.6080328197786802</v>
      </c>
      <c r="AG767">
        <v>-1.06030394472</v>
      </c>
      <c r="AH767">
        <v>14.336422584334001</v>
      </c>
      <c r="AI767">
        <v>94.161765847340604</v>
      </c>
      <c r="AJ767">
        <v>79.689696800414197</v>
      </c>
      <c r="AK767">
        <v>14.610239291703399</v>
      </c>
      <c r="AL767">
        <v>82.980461418631407</v>
      </c>
      <c r="AM767">
        <v>83.012706426839301</v>
      </c>
      <c r="AN767">
        <v>0.99999994245424295</v>
      </c>
    </row>
    <row r="768" spans="1:40" x14ac:dyDescent="0.25">
      <c r="A768" t="str">
        <f>"20190312151238147"</f>
        <v>20190312151238147</v>
      </c>
      <c r="B768" t="str">
        <f>"1552374758140307"</f>
        <v>1552374758140307</v>
      </c>
      <c r="C768" t="s">
        <v>40</v>
      </c>
      <c r="D768">
        <v>4.0271460000000001</v>
      </c>
      <c r="E768">
        <v>0.52036139999999997</v>
      </c>
      <c r="F768" t="s">
        <v>42</v>
      </c>
      <c r="G768">
        <v>-267.98790000000002</v>
      </c>
      <c r="H768" s="1">
        <v>-1.9818170000000001E-6</v>
      </c>
      <c r="I768">
        <v>364.68900000000002</v>
      </c>
      <c r="J768">
        <v>-282.32990000000001</v>
      </c>
      <c r="K768">
        <v>1.060287</v>
      </c>
      <c r="L768">
        <v>367.13119999999998</v>
      </c>
      <c r="M768">
        <v>0.9998591</v>
      </c>
      <c r="N768">
        <v>0</v>
      </c>
      <c r="O768">
        <v>1.2187740000000001E-2</v>
      </c>
      <c r="P768">
        <v>0.98787340000000001</v>
      </c>
      <c r="Q768">
        <v>0.11090129999999999</v>
      </c>
      <c r="R768">
        <v>-0.10866140000000001</v>
      </c>
      <c r="S768">
        <v>3.0058590000000001</v>
      </c>
      <c r="T768">
        <v>-0.21895600000000001</v>
      </c>
      <c r="U768">
        <v>-0.50378420000000002</v>
      </c>
      <c r="V768">
        <v>0.12070450000000001</v>
      </c>
      <c r="W768">
        <v>0.12227739999999999</v>
      </c>
      <c r="X768">
        <v>0.98512880000000003</v>
      </c>
      <c r="Y768">
        <v>0.17681649999999999</v>
      </c>
      <c r="Z768">
        <v>-7.2678049999999996E-3</v>
      </c>
      <c r="AA768">
        <v>0.98421700000000001</v>
      </c>
      <c r="AB768">
        <v>22</v>
      </c>
      <c r="AC768">
        <v>14.341999999999899</v>
      </c>
      <c r="AD768">
        <v>-1.060288981817</v>
      </c>
      <c r="AE768">
        <v>-2.44219999999995</v>
      </c>
      <c r="AF768">
        <v>2.6030010209637902</v>
      </c>
      <c r="AG768">
        <v>-1.060288981817</v>
      </c>
      <c r="AH768">
        <v>14.2355559334693</v>
      </c>
      <c r="AI768">
        <v>94.190401023873093</v>
      </c>
      <c r="AJ768">
        <v>79.637821563260601</v>
      </c>
      <c r="AK768">
        <v>14.5103714554464</v>
      </c>
      <c r="AL768">
        <v>82.976444227769804</v>
      </c>
      <c r="AM768">
        <v>83.014560002421106</v>
      </c>
      <c r="AN768">
        <v>1.0000000457302201</v>
      </c>
    </row>
    <row r="769" spans="1:40" x14ac:dyDescent="0.25">
      <c r="A769" t="str">
        <f>"20190312151238168"</f>
        <v>20190312151238168</v>
      </c>
      <c r="B769" t="str">
        <f>"1552374758160804"</f>
        <v>1552374758160804</v>
      </c>
      <c r="C769" t="s">
        <v>40</v>
      </c>
      <c r="D769">
        <v>4.0026149999999996</v>
      </c>
      <c r="E769">
        <v>0.52070490000000003</v>
      </c>
      <c r="F769" t="s">
        <v>42</v>
      </c>
      <c r="G769">
        <v>-267.32690000000002</v>
      </c>
      <c r="H769" s="1">
        <v>-2.2273529999999998E-6</v>
      </c>
      <c r="I769">
        <v>364.61160000000001</v>
      </c>
      <c r="J769">
        <v>-282.1148</v>
      </c>
      <c r="K769">
        <v>1.0602750000000001</v>
      </c>
      <c r="L769">
        <v>367.13380000000001</v>
      </c>
      <c r="M769">
        <v>0.99986050000000004</v>
      </c>
      <c r="N769">
        <v>0</v>
      </c>
      <c r="O769">
        <v>1.215638E-2</v>
      </c>
      <c r="P769">
        <v>0.98781819999999998</v>
      </c>
      <c r="Q769">
        <v>0.1107626</v>
      </c>
      <c r="R769">
        <v>-0.1093021</v>
      </c>
      <c r="S769">
        <v>3.0051570000000001</v>
      </c>
      <c r="T769">
        <v>-0.21237929999999999</v>
      </c>
      <c r="U769">
        <v>-0.50466920000000004</v>
      </c>
      <c r="V769">
        <v>0.1213135</v>
      </c>
      <c r="W769">
        <v>0.1220479</v>
      </c>
      <c r="X769">
        <v>0.98508240000000002</v>
      </c>
      <c r="Y769">
        <v>0.17713289999999901</v>
      </c>
      <c r="Z769">
        <v>-7.0603879999999999E-3</v>
      </c>
      <c r="AA769">
        <v>0.98416159999999997</v>
      </c>
      <c r="AB769">
        <v>22</v>
      </c>
      <c r="AC769">
        <v>14.787899999999899</v>
      </c>
      <c r="AD769">
        <v>-1.0602772273529999</v>
      </c>
      <c r="AE769">
        <v>-2.52219999999999</v>
      </c>
      <c r="AF769">
        <v>2.6883632157881099</v>
      </c>
      <c r="AG769">
        <v>-1.0602772273529999</v>
      </c>
      <c r="AH769">
        <v>14.682797510789101</v>
      </c>
      <c r="AI769">
        <v>94.062974729900503</v>
      </c>
      <c r="AJ769">
        <v>79.6242922438243</v>
      </c>
      <c r="AK769">
        <v>14.964492217301601</v>
      </c>
      <c r="AL769">
        <v>82.989692481904498</v>
      </c>
      <c r="AM769">
        <v>82.979339254005893</v>
      </c>
      <c r="AN769">
        <v>0.99999999498321002</v>
      </c>
    </row>
    <row r="770" spans="1:40" x14ac:dyDescent="0.25">
      <c r="A770" t="str">
        <f>"20190312151238191"</f>
        <v>20190312151238191</v>
      </c>
      <c r="B770" t="str">
        <f>"1552374758180319"</f>
        <v>1552374758180319</v>
      </c>
      <c r="C770" t="s">
        <v>40</v>
      </c>
      <c r="D770">
        <v>4.210191</v>
      </c>
      <c r="E770">
        <v>0.52123030000000004</v>
      </c>
      <c r="F770" t="s">
        <v>42</v>
      </c>
      <c r="G770">
        <v>-266.94580000000002</v>
      </c>
      <c r="H770" s="1">
        <v>-2.3705110000000001E-6</v>
      </c>
      <c r="I770">
        <v>364.56099999999998</v>
      </c>
      <c r="J770">
        <v>-281.89389999999997</v>
      </c>
      <c r="K770">
        <v>1.0602609999999999</v>
      </c>
      <c r="L770">
        <v>367.13650000000001</v>
      </c>
      <c r="M770">
        <v>0.99986200000000003</v>
      </c>
      <c r="N770">
        <v>0</v>
      </c>
      <c r="O770">
        <v>1.212446E-2</v>
      </c>
      <c r="P770">
        <v>0.98781399999999997</v>
      </c>
      <c r="Q770">
        <v>0.1107383</v>
      </c>
      <c r="R770">
        <v>-0.1093663</v>
      </c>
      <c r="S770">
        <v>3.004181</v>
      </c>
      <c r="T770">
        <v>-0.2099839</v>
      </c>
      <c r="U770">
        <v>-0.50952149999999996</v>
      </c>
      <c r="V770">
        <v>0.12134589999999899</v>
      </c>
      <c r="W770">
        <v>0.1219295</v>
      </c>
      <c r="X770">
        <v>0.98509310000000005</v>
      </c>
      <c r="Y770">
        <v>0.17870549999999999</v>
      </c>
      <c r="Z770">
        <v>-7.0345429999999999E-3</v>
      </c>
      <c r="AA770">
        <v>0.98387749999999996</v>
      </c>
      <c r="AB770">
        <v>22</v>
      </c>
      <c r="AC770">
        <v>14.948099999999901</v>
      </c>
      <c r="AD770">
        <v>-1.0602633705110001</v>
      </c>
      <c r="AE770">
        <v>-2.5755000000000301</v>
      </c>
      <c r="AF770">
        <v>2.7431570146499</v>
      </c>
      <c r="AG770">
        <v>-1.0602633705110001</v>
      </c>
      <c r="AH770">
        <v>14.8432488943242</v>
      </c>
      <c r="AI770">
        <v>94.017927162502403</v>
      </c>
      <c r="AJ770">
        <v>79.529397046713697</v>
      </c>
      <c r="AK770">
        <v>15.131791254201399</v>
      </c>
      <c r="AL770">
        <v>82.996527546008494</v>
      </c>
      <c r="AM770">
        <v>82.977558435811304</v>
      </c>
      <c r="AN770">
        <v>1.00000002304233</v>
      </c>
    </row>
    <row r="771" spans="1:40" x14ac:dyDescent="0.25">
      <c r="A771" t="str">
        <f>"20190312151238212"</f>
        <v>20190312151238212</v>
      </c>
      <c r="B771" t="str">
        <f>"1552374758210575"</f>
        <v>1552374758210575</v>
      </c>
      <c r="C771" t="s">
        <v>40</v>
      </c>
      <c r="D771">
        <v>4.0574320000000004</v>
      </c>
      <c r="E771">
        <v>0.54234340000000003</v>
      </c>
      <c r="F771" t="s">
        <v>42</v>
      </c>
      <c r="G771">
        <v>-266.65179999999998</v>
      </c>
      <c r="H771" s="1">
        <v>-2.4788650000000002E-6</v>
      </c>
      <c r="I771">
        <v>364.52969999999999</v>
      </c>
      <c r="J771">
        <v>-281.68290000000002</v>
      </c>
      <c r="K771">
        <v>1.0602480000000001</v>
      </c>
      <c r="L771">
        <v>367.13900000000001</v>
      </c>
      <c r="M771">
        <v>0.99986339999999996</v>
      </c>
      <c r="N771">
        <v>0</v>
      </c>
      <c r="O771">
        <v>1.209318E-2</v>
      </c>
      <c r="P771">
        <v>0.98780939999999995</v>
      </c>
      <c r="Q771">
        <v>0.1105674</v>
      </c>
      <c r="R771">
        <v>-0.10957890000000001</v>
      </c>
      <c r="S771">
        <v>3.003571</v>
      </c>
      <c r="T771">
        <v>-0.2089329</v>
      </c>
      <c r="U771">
        <v>-0.51367189999999996</v>
      </c>
      <c r="V771">
        <v>0.12152780000000001</v>
      </c>
      <c r="W771">
        <v>0.12166449999999999</v>
      </c>
      <c r="X771">
        <v>0.98510339999999996</v>
      </c>
      <c r="Y771">
        <v>0.1800302</v>
      </c>
      <c r="Z771">
        <v>-7.04354E-3</v>
      </c>
      <c r="AA771">
        <v>0.98363579999999995</v>
      </c>
      <c r="AB771">
        <v>22</v>
      </c>
      <c r="AC771">
        <v>15.0311</v>
      </c>
      <c r="AD771">
        <v>-1.06025047886499</v>
      </c>
      <c r="AE771">
        <v>-2.6093000000000202</v>
      </c>
      <c r="AF771">
        <v>2.7774794567106902</v>
      </c>
      <c r="AG771">
        <v>-1.06025047886499</v>
      </c>
      <c r="AH771">
        <v>14.926350645428499</v>
      </c>
      <c r="AI771">
        <v>93.994674709625102</v>
      </c>
      <c r="AJ771">
        <v>79.459020616739394</v>
      </c>
      <c r="AK771">
        <v>15.219542266463501</v>
      </c>
      <c r="AL771">
        <v>83.011824531716002</v>
      </c>
      <c r="AM771">
        <v>82.967209789341894</v>
      </c>
      <c r="AN771">
        <v>0.99999998271232404</v>
      </c>
    </row>
    <row r="772" spans="1:40" x14ac:dyDescent="0.25">
      <c r="A772" t="str">
        <f>"20190312151238234"</f>
        <v>20190312151238234</v>
      </c>
      <c r="B772" t="str">
        <f>"1552374758230095"</f>
        <v>1552374758230095</v>
      </c>
      <c r="C772" t="s">
        <v>40</v>
      </c>
      <c r="D772">
        <v>4.0465090000000004</v>
      </c>
      <c r="E772">
        <v>0.54158070000000003</v>
      </c>
      <c r="F772" t="s">
        <v>42</v>
      </c>
      <c r="G772">
        <v>-267.69139999999999</v>
      </c>
      <c r="H772" s="1">
        <v>-2.2814179999999999E-6</v>
      </c>
      <c r="I772">
        <v>363.94220000000001</v>
      </c>
      <c r="J772">
        <v>-281.46190000000001</v>
      </c>
      <c r="K772">
        <v>1.060233</v>
      </c>
      <c r="L772">
        <v>367.14159999999998</v>
      </c>
      <c r="M772">
        <v>0.99986509999999995</v>
      </c>
      <c r="N772">
        <v>0</v>
      </c>
      <c r="O772">
        <v>1.2060309999999999E-2</v>
      </c>
      <c r="P772">
        <v>0.98780349999999995</v>
      </c>
      <c r="Q772">
        <v>0.1105955</v>
      </c>
      <c r="R772">
        <v>-0.10960549999999999</v>
      </c>
      <c r="S772">
        <v>2.9866640000000002</v>
      </c>
      <c r="T772">
        <v>-0.22632289999999999</v>
      </c>
      <c r="U772">
        <v>-0.68237300000000001</v>
      </c>
      <c r="V772">
        <v>0.121521699999999</v>
      </c>
      <c r="W772">
        <v>0.1215859</v>
      </c>
      <c r="X772">
        <v>0.98511389999999999</v>
      </c>
      <c r="Y772">
        <v>0.2338054</v>
      </c>
      <c r="Z772">
        <v>-9.6352820000000002E-3</v>
      </c>
      <c r="AA772">
        <v>0.97223570000000004</v>
      </c>
      <c r="AB772">
        <v>22</v>
      </c>
      <c r="AC772">
        <v>13.7705</v>
      </c>
      <c r="AD772">
        <v>-1.0602352814180001</v>
      </c>
      <c r="AE772">
        <v>-3.1993999999999598</v>
      </c>
      <c r="AF772">
        <v>3.3464325946718798</v>
      </c>
      <c r="AG772">
        <v>-1.0602352814180001</v>
      </c>
      <c r="AH772">
        <v>13.6541146741405</v>
      </c>
      <c r="AI772">
        <v>94.312938630853694</v>
      </c>
      <c r="AJ772">
        <v>76.229050018686294</v>
      </c>
      <c r="AK772">
        <v>14.098140214128399</v>
      </c>
      <c r="AL772">
        <v>83.016361962264199</v>
      </c>
      <c r="AM772">
        <v>82.967633466306197</v>
      </c>
      <c r="AN772">
        <v>1.00000002531145</v>
      </c>
    </row>
    <row r="773" spans="1:40" x14ac:dyDescent="0.25">
      <c r="A773" t="str">
        <f>"20190312151238257"</f>
        <v>20190312151238257</v>
      </c>
      <c r="B773" t="str">
        <f>"1552374758250592"</f>
        <v>1552374758250592</v>
      </c>
      <c r="C773" t="s">
        <v>40</v>
      </c>
      <c r="D773">
        <v>4.3685049999999999</v>
      </c>
      <c r="E773">
        <v>0.53982220000000003</v>
      </c>
      <c r="F773" t="s">
        <v>42</v>
      </c>
      <c r="G773">
        <v>-267.41019999999997</v>
      </c>
      <c r="H773" s="1">
        <v>-2.372464E-6</v>
      </c>
      <c r="I773">
        <v>363.9597</v>
      </c>
      <c r="J773">
        <v>-281.24650000000003</v>
      </c>
      <c r="K773">
        <v>1.0603849999999999</v>
      </c>
      <c r="L773">
        <v>367.14409999999998</v>
      </c>
      <c r="M773">
        <v>0.99985979999999997</v>
      </c>
      <c r="N773">
        <v>0</v>
      </c>
      <c r="O773">
        <v>1.2029430000000001E-2</v>
      </c>
      <c r="P773">
        <v>0.98781589999999997</v>
      </c>
      <c r="Q773">
        <v>0.1103083</v>
      </c>
      <c r="R773">
        <v>-0.1097819</v>
      </c>
      <c r="S773">
        <v>2.9872130000000001</v>
      </c>
      <c r="T773">
        <v>-0.2253925</v>
      </c>
      <c r="U773">
        <v>-0.67642209999999903</v>
      </c>
      <c r="V773">
        <v>0.12166780000000001</v>
      </c>
      <c r="W773">
        <v>0.12178799999999999</v>
      </c>
      <c r="X773">
        <v>0.98507089999999997</v>
      </c>
      <c r="Y773">
        <v>0.2319051</v>
      </c>
      <c r="Z773">
        <v>-9.5231510000000005E-3</v>
      </c>
      <c r="AA773">
        <v>0.9726918</v>
      </c>
      <c r="AB773">
        <v>22</v>
      </c>
      <c r="AC773">
        <v>13.8363</v>
      </c>
      <c r="AD773">
        <v>-1.0603873724640001</v>
      </c>
      <c r="AE773">
        <v>-3.1843999999999801</v>
      </c>
      <c r="AF773">
        <v>3.3320377429299399</v>
      </c>
      <c r="AG773">
        <v>-1.0603873724640001</v>
      </c>
      <c r="AH773">
        <v>13.7204577062359</v>
      </c>
      <c r="AI773">
        <v>94.294976418878903</v>
      </c>
      <c r="AJ773">
        <v>76.3498703646178</v>
      </c>
      <c r="AK773">
        <v>14.159020325170699</v>
      </c>
      <c r="AL773">
        <v>83.004695781313899</v>
      </c>
      <c r="AM773">
        <v>82.958959323999693</v>
      </c>
      <c r="AN773">
        <v>1.0000000242638201</v>
      </c>
    </row>
    <row r="774" spans="1:40" x14ac:dyDescent="0.25">
      <c r="A774" t="str">
        <f>"20190312151238271"</f>
        <v>20190312151238271</v>
      </c>
      <c r="B774" t="str">
        <f>"1552374758260351"</f>
        <v>1552374758260351</v>
      </c>
      <c r="C774" t="s">
        <v>40</v>
      </c>
      <c r="D774">
        <v>4.0670950000000001</v>
      </c>
      <c r="E774">
        <v>0.53996709999999903</v>
      </c>
      <c r="F774" t="s">
        <v>42</v>
      </c>
      <c r="G774">
        <v>-267.8954</v>
      </c>
      <c r="H774" s="1">
        <v>-2.1477900000000001E-6</v>
      </c>
      <c r="I774">
        <v>364.18349999999998</v>
      </c>
      <c r="J774">
        <v>-281.11110000000002</v>
      </c>
      <c r="K774">
        <v>1.060681</v>
      </c>
      <c r="L774">
        <v>367.14580000000001</v>
      </c>
      <c r="M774">
        <v>0.9998513</v>
      </c>
      <c r="N774">
        <v>0</v>
      </c>
      <c r="O774">
        <v>1.201089E-2</v>
      </c>
      <c r="P774">
        <v>0.98788949999999998</v>
      </c>
      <c r="Q774">
        <v>0.10967300000000001</v>
      </c>
      <c r="R774">
        <v>-0.1097578</v>
      </c>
      <c r="S774">
        <v>2.9898380000000002</v>
      </c>
      <c r="T774">
        <v>-0.23746229999999999</v>
      </c>
      <c r="U774">
        <v>-0.66299439999999998</v>
      </c>
      <c r="V774">
        <v>0.1216259</v>
      </c>
      <c r="W774">
        <v>0.1218751</v>
      </c>
      <c r="X774">
        <v>0.98506530000000003</v>
      </c>
      <c r="Y774">
        <v>0.2274824</v>
      </c>
      <c r="Z774">
        <v>-9.8531750000000005E-3</v>
      </c>
      <c r="AA774">
        <v>0.97373240000000005</v>
      </c>
      <c r="AB774">
        <v>22</v>
      </c>
      <c r="AC774">
        <v>13.2157</v>
      </c>
      <c r="AD774">
        <v>-1.0606831477900001</v>
      </c>
      <c r="AE774">
        <v>-2.9623000000000199</v>
      </c>
      <c r="AF774">
        <v>3.1018061499539402</v>
      </c>
      <c r="AG774">
        <v>-1.0606831477900001</v>
      </c>
      <c r="AH774">
        <v>13.0988236883413</v>
      </c>
      <c r="AI774">
        <v>94.505389358365093</v>
      </c>
      <c r="AJ774">
        <v>76.677733607598995</v>
      </c>
      <c r="AK774">
        <v>13.5027934943163</v>
      </c>
      <c r="AL774">
        <v>82.999667851981897</v>
      </c>
      <c r="AM774">
        <v>82.961320181007295</v>
      </c>
      <c r="AN774">
        <v>1.0000000224074499</v>
      </c>
    </row>
    <row r="775" spans="1:40" x14ac:dyDescent="0.25">
      <c r="A775" t="str">
        <f>"20190312151238291"</f>
        <v>20190312151238291</v>
      </c>
      <c r="B775" t="str">
        <f>"1552374758280009"</f>
        <v>1552374758280009</v>
      </c>
      <c r="C775" t="s">
        <v>40</v>
      </c>
      <c r="D775">
        <v>4.0102169999999999</v>
      </c>
      <c r="E775">
        <v>0.54004580000000002</v>
      </c>
      <c r="F775" t="s">
        <v>42</v>
      </c>
      <c r="G775">
        <v>-267.8236</v>
      </c>
      <c r="H775" s="1">
        <v>-2.1695079999999999E-6</v>
      </c>
      <c r="I775">
        <v>364.19380000000001</v>
      </c>
      <c r="J775">
        <v>-280.923</v>
      </c>
      <c r="K775">
        <v>1.061326</v>
      </c>
      <c r="L775">
        <v>367.14800000000002</v>
      </c>
      <c r="M775">
        <v>0.99984030000000002</v>
      </c>
      <c r="N775">
        <v>0</v>
      </c>
      <c r="O775">
        <v>1.1985269999999999E-2</v>
      </c>
      <c r="P775">
        <v>0.98791379999999995</v>
      </c>
      <c r="Q775">
        <v>0.1092456</v>
      </c>
      <c r="R775">
        <v>-0.10996309999999999</v>
      </c>
      <c r="S775">
        <v>2.9894409999999998</v>
      </c>
      <c r="T775">
        <v>-0.23863229999999999</v>
      </c>
      <c r="U775">
        <v>-0.66412349999999998</v>
      </c>
      <c r="V775">
        <v>0.1218062</v>
      </c>
      <c r="W775">
        <v>0.1223119</v>
      </c>
      <c r="X775">
        <v>0.98498889999999995</v>
      </c>
      <c r="Y775">
        <v>0.22782720000000001</v>
      </c>
      <c r="Z775">
        <v>-9.9140249999999999E-3</v>
      </c>
      <c r="AA775">
        <v>0.97365109999999999</v>
      </c>
      <c r="AB775">
        <v>21</v>
      </c>
      <c r="AC775">
        <v>13.099399999999999</v>
      </c>
      <c r="AD775">
        <v>-1.0613281695079999</v>
      </c>
      <c r="AE775">
        <v>-2.9542000000000099</v>
      </c>
      <c r="AF775">
        <v>3.0916885201587898</v>
      </c>
      <c r="AG775">
        <v>-1.0613281695079999</v>
      </c>
      <c r="AH775">
        <v>12.981954394425999</v>
      </c>
      <c r="AI775">
        <v>94.547155559524697</v>
      </c>
      <c r="AJ775">
        <v>76.604382287543999</v>
      </c>
      <c r="AK775">
        <v>13.3871615844446</v>
      </c>
      <c r="AL775">
        <v>82.974452548734405</v>
      </c>
      <c r="AM775">
        <v>82.950449582927504</v>
      </c>
      <c r="AN775">
        <v>1.00000004218162</v>
      </c>
    </row>
    <row r="776" spans="1:40" x14ac:dyDescent="0.25">
      <c r="A776" t="str">
        <f>"20190312151238314"</f>
        <v>20190312151238314</v>
      </c>
      <c r="B776" t="str">
        <f>"1552374758310264"</f>
        <v>1552374758310264</v>
      </c>
      <c r="C776" t="s">
        <v>40</v>
      </c>
      <c r="D776">
        <v>4.0281079999999996</v>
      </c>
      <c r="E776">
        <v>0.54012289999999996</v>
      </c>
      <c r="F776" t="s">
        <v>42</v>
      </c>
      <c r="G776">
        <v>-267.72370000000001</v>
      </c>
      <c r="H776" s="1">
        <v>-2.1992609999999998E-6</v>
      </c>
      <c r="I776">
        <v>364.2097</v>
      </c>
      <c r="J776">
        <v>-280.71179999999998</v>
      </c>
      <c r="K776">
        <v>1.062065</v>
      </c>
      <c r="L776">
        <v>367.15050000000002</v>
      </c>
      <c r="M776">
        <v>0.99984689999999998</v>
      </c>
      <c r="N776">
        <v>0</v>
      </c>
      <c r="O776">
        <v>1.195593E-2</v>
      </c>
      <c r="P776">
        <v>0.98772720000000003</v>
      </c>
      <c r="Q776">
        <v>0.1103099</v>
      </c>
      <c r="R776">
        <v>-0.1105754</v>
      </c>
      <c r="S776">
        <v>2.9892270000000001</v>
      </c>
      <c r="T776">
        <v>-0.24035500000000001</v>
      </c>
      <c r="U776">
        <v>-0.66540529999999998</v>
      </c>
      <c r="V776">
        <v>0.12238789999999999</v>
      </c>
      <c r="W776">
        <v>0.1228926</v>
      </c>
      <c r="X776">
        <v>0.98484439999999995</v>
      </c>
      <c r="Y776">
        <v>0.2281995</v>
      </c>
      <c r="Z776">
        <v>-9.9980390000000002E-3</v>
      </c>
      <c r="AA776">
        <v>0.97356310000000001</v>
      </c>
      <c r="AB776">
        <v>21</v>
      </c>
      <c r="AC776">
        <v>12.9880999999999</v>
      </c>
      <c r="AD776">
        <v>-1.062067199261</v>
      </c>
      <c r="AE776">
        <v>-2.9408000000000198</v>
      </c>
      <c r="AF776">
        <v>3.0763199526142202</v>
      </c>
      <c r="AG776">
        <v>-1.062067199261</v>
      </c>
      <c r="AH776">
        <v>12.8701465150719</v>
      </c>
      <c r="AI776">
        <v>94.588768276295497</v>
      </c>
      <c r="AJ776">
        <v>76.556959558360603</v>
      </c>
      <c r="AK776">
        <v>13.2752552708419</v>
      </c>
      <c r="AL776">
        <v>82.9409272573875</v>
      </c>
      <c r="AM776">
        <v>82.916096085755797</v>
      </c>
      <c r="AN776">
        <v>0.99999994070626297</v>
      </c>
    </row>
    <row r="777" spans="1:40" x14ac:dyDescent="0.25">
      <c r="A777" t="str">
        <f>"20190312151238336"</f>
        <v>20190312151238336</v>
      </c>
      <c r="B777" t="str">
        <f>"1552374758330760"</f>
        <v>1552374758330760</v>
      </c>
      <c r="C777" t="s">
        <v>40</v>
      </c>
      <c r="D777">
        <v>3.997255</v>
      </c>
      <c r="E777">
        <v>0.54019110000000004</v>
      </c>
      <c r="F777" t="s">
        <v>42</v>
      </c>
      <c r="G777">
        <v>-267.66649999999998</v>
      </c>
      <c r="H777" s="1">
        <v>-2.211679E-6</v>
      </c>
      <c r="I777">
        <v>364.2362</v>
      </c>
      <c r="J777">
        <v>-280.49419999999998</v>
      </c>
      <c r="K777">
        <v>1.062846</v>
      </c>
      <c r="L777">
        <v>367.15300000000002</v>
      </c>
      <c r="M777">
        <v>0.99987159999999997</v>
      </c>
      <c r="N777">
        <v>0</v>
      </c>
      <c r="O777">
        <v>1.1926310000000001E-2</v>
      </c>
      <c r="P777">
        <v>0.98730709999999999</v>
      </c>
      <c r="Q777">
        <v>0.11358409999999999</v>
      </c>
      <c r="R777">
        <v>-0.1110125</v>
      </c>
      <c r="S777">
        <v>2.9896850000000001</v>
      </c>
      <c r="T777">
        <v>-0.24340020000000001</v>
      </c>
      <c r="U777">
        <v>-0.66787719999999995</v>
      </c>
      <c r="V777">
        <v>0.122791</v>
      </c>
      <c r="W777">
        <v>0.1241357</v>
      </c>
      <c r="X777">
        <v>0.98463840000000002</v>
      </c>
      <c r="Y777">
        <v>0.22888510000000001</v>
      </c>
      <c r="Z777">
        <v>-1.014703E-2</v>
      </c>
      <c r="AA777">
        <v>0.97340059999999995</v>
      </c>
      <c r="AB777">
        <v>21</v>
      </c>
      <c r="AC777">
        <v>12.827699999999901</v>
      </c>
      <c r="AD777">
        <v>-1.0628482116789999</v>
      </c>
      <c r="AE777">
        <v>-2.9168000000000198</v>
      </c>
      <c r="AF777">
        <v>3.0496813997665599</v>
      </c>
      <c r="AG777">
        <v>-1.0628482116789999</v>
      </c>
      <c r="AH777">
        <v>12.709039728570801</v>
      </c>
      <c r="AI777">
        <v>94.649107598457903</v>
      </c>
      <c r="AJ777">
        <v>76.506347528440202</v>
      </c>
      <c r="AK777">
        <v>13.1129666278665</v>
      </c>
      <c r="AL777">
        <v>82.869153991133004</v>
      </c>
      <c r="AM777">
        <v>82.891530882325</v>
      </c>
      <c r="AN777">
        <v>1.00000004022502</v>
      </c>
    </row>
    <row r="778" spans="1:40" x14ac:dyDescent="0.25">
      <c r="A778" t="str">
        <f>"20190312151238358"</f>
        <v>20190312151238358</v>
      </c>
      <c r="B778" t="str">
        <f>"1552374758350280"</f>
        <v>1552374758350280</v>
      </c>
      <c r="C778" t="s">
        <v>40</v>
      </c>
      <c r="D778">
        <v>3.9224019999999999</v>
      </c>
      <c r="E778">
        <v>0.54061979999999998</v>
      </c>
      <c r="F778" t="s">
        <v>42</v>
      </c>
      <c r="G778">
        <v>-266.90050000000002</v>
      </c>
      <c r="H778" s="1">
        <v>-2.5066529999999998E-6</v>
      </c>
      <c r="I778">
        <v>364.10719999999998</v>
      </c>
      <c r="J778">
        <v>-280.27910000000003</v>
      </c>
      <c r="K778">
        <v>1.063887</v>
      </c>
      <c r="L778">
        <v>367.15550000000002</v>
      </c>
      <c r="M778">
        <v>0.99989439999999996</v>
      </c>
      <c r="N778">
        <v>0</v>
      </c>
      <c r="O778">
        <v>1.1896500000000001E-2</v>
      </c>
      <c r="P778">
        <v>0.9869097</v>
      </c>
      <c r="Q778">
        <v>0.1168941</v>
      </c>
      <c r="R778">
        <v>-0.11110829999999999</v>
      </c>
      <c r="S778">
        <v>2.9901119999999999</v>
      </c>
      <c r="T778">
        <v>-0.2337873</v>
      </c>
      <c r="U778">
        <v>-0.6699524</v>
      </c>
      <c r="V778">
        <v>0.1228529</v>
      </c>
      <c r="W778">
        <v>0.1251032</v>
      </c>
      <c r="X778">
        <v>0.98450820000000006</v>
      </c>
      <c r="Y778">
        <v>0.2295268</v>
      </c>
      <c r="Z778">
        <v>-9.7678179999999993E-3</v>
      </c>
      <c r="AA778">
        <v>0.97325329999999999</v>
      </c>
      <c r="AB778">
        <v>22</v>
      </c>
      <c r="AC778">
        <v>13.3786</v>
      </c>
      <c r="AD778">
        <v>-1.0638895066529901</v>
      </c>
      <c r="AE778">
        <v>-3.04830000000003</v>
      </c>
      <c r="AF778">
        <v>3.1880828086603099</v>
      </c>
      <c r="AG778">
        <v>-1.0638895066529901</v>
      </c>
      <c r="AH778">
        <v>13.2616638330149</v>
      </c>
      <c r="AI778">
        <v>94.460080291473602</v>
      </c>
      <c r="AJ778">
        <v>76.482685067551799</v>
      </c>
      <c r="AK778">
        <v>13.680915923180599</v>
      </c>
      <c r="AL778">
        <v>82.813284661934802</v>
      </c>
      <c r="AM778">
        <v>82.887053206132606</v>
      </c>
      <c r="AN778">
        <v>1.00000002077794</v>
      </c>
    </row>
    <row r="779" spans="1:40" x14ac:dyDescent="0.25">
      <c r="A779" t="str">
        <f>"20190312151238380"</f>
        <v>20190312151238380</v>
      </c>
      <c r="B779" t="str">
        <f>"1552374758370781"</f>
        <v>1552374758370781</v>
      </c>
      <c r="C779" t="s">
        <v>40</v>
      </c>
      <c r="D779">
        <v>3.8853759999999999</v>
      </c>
      <c r="E779">
        <v>0.54122019999999904</v>
      </c>
      <c r="F779" t="s">
        <v>42</v>
      </c>
      <c r="G779">
        <v>-264.94290000000001</v>
      </c>
      <c r="H779" s="1">
        <v>-3.2811689999999998E-6</v>
      </c>
      <c r="I779">
        <v>363.70010000000002</v>
      </c>
      <c r="J779">
        <v>-280.06060000000002</v>
      </c>
      <c r="K779">
        <v>1.0652509999999999</v>
      </c>
      <c r="L779">
        <v>367.15809999999999</v>
      </c>
      <c r="M779">
        <v>0.99991079999999999</v>
      </c>
      <c r="N779">
        <v>0</v>
      </c>
      <c r="O779">
        <v>1.186394E-2</v>
      </c>
      <c r="P779">
        <v>0.98653190000000002</v>
      </c>
      <c r="Q779">
        <v>0.119243</v>
      </c>
      <c r="R779">
        <v>-0.11196449999999999</v>
      </c>
      <c r="S779">
        <v>2.988556</v>
      </c>
      <c r="T779">
        <v>-0.20731810000000001</v>
      </c>
      <c r="U779">
        <v>-0.67333980000000004</v>
      </c>
      <c r="V779">
        <v>0.1236719</v>
      </c>
      <c r="W779">
        <v>0.12529199999999999</v>
      </c>
      <c r="X779">
        <v>0.98438159999999997</v>
      </c>
      <c r="Y779">
        <v>0.23079959999999999</v>
      </c>
      <c r="Z779">
        <v>-8.7092719999999901E-3</v>
      </c>
      <c r="AA779">
        <v>0.97296229999999995</v>
      </c>
      <c r="AB779">
        <v>22</v>
      </c>
      <c r="AC779">
        <v>15.117699999999999</v>
      </c>
      <c r="AD779">
        <v>-1.065254281169</v>
      </c>
      <c r="AE779">
        <v>-3.45799999999997</v>
      </c>
      <c r="AF779">
        <v>3.6200350222474298</v>
      </c>
      <c r="AG779">
        <v>-1.065254281169</v>
      </c>
      <c r="AH779">
        <v>15.0048123099343</v>
      </c>
      <c r="AI779">
        <v>93.9479554909759</v>
      </c>
      <c r="AJ779">
        <v>76.436119211160502</v>
      </c>
      <c r="AK779">
        <v>15.47203324396</v>
      </c>
      <c r="AL779">
        <v>82.802381130087596</v>
      </c>
      <c r="AM779">
        <v>82.839213928031498</v>
      </c>
      <c r="AN779">
        <v>0.99999997926608397</v>
      </c>
    </row>
    <row r="780" spans="1:40" x14ac:dyDescent="0.25">
      <c r="A780" t="str">
        <f>"20190312151238402"</f>
        <v>20190312151238402</v>
      </c>
      <c r="B780" t="str">
        <f>"1552374758390296"</f>
        <v>1552374758390296</v>
      </c>
      <c r="C780" t="s">
        <v>40</v>
      </c>
      <c r="D780">
        <v>3.950059</v>
      </c>
      <c r="E780">
        <v>0.54125909999999999</v>
      </c>
      <c r="F780" t="s">
        <v>42</v>
      </c>
      <c r="G780">
        <v>-262.78210000000001</v>
      </c>
      <c r="H780" s="1">
        <v>-4.2124639999999998E-6</v>
      </c>
      <c r="I780">
        <v>363.2251</v>
      </c>
      <c r="J780">
        <v>-279.84480000000002</v>
      </c>
      <c r="K780">
        <v>1.066784</v>
      </c>
      <c r="L780">
        <v>367.16059999999999</v>
      </c>
      <c r="M780">
        <v>0.99992099999999995</v>
      </c>
      <c r="N780">
        <v>0</v>
      </c>
      <c r="O780">
        <v>1.183086E-2</v>
      </c>
      <c r="P780">
        <v>0.98619889999999999</v>
      </c>
      <c r="Q780">
        <v>0.121252399999999</v>
      </c>
      <c r="R780">
        <v>-0.1127372</v>
      </c>
      <c r="S780">
        <v>2.9860530000000001</v>
      </c>
      <c r="T780">
        <v>-0.18409610000000001</v>
      </c>
      <c r="U780">
        <v>-0.6796875</v>
      </c>
      <c r="V780">
        <v>0.1244073</v>
      </c>
      <c r="W780">
        <v>0.12541169999999999</v>
      </c>
      <c r="X780">
        <v>0.98427370000000003</v>
      </c>
      <c r="Y780">
        <v>0.2330218</v>
      </c>
      <c r="Z780">
        <v>-7.8057029999999998E-3</v>
      </c>
      <c r="AA780">
        <v>0.97244019999999998</v>
      </c>
      <c r="AB780">
        <v>22</v>
      </c>
      <c r="AC780">
        <v>17.0627</v>
      </c>
      <c r="AD780">
        <v>-1.066788212464</v>
      </c>
      <c r="AE780">
        <v>-3.93549999999999</v>
      </c>
      <c r="AF780">
        <v>4.1217947201904801</v>
      </c>
      <c r="AG780">
        <v>-1.066788212464</v>
      </c>
      <c r="AH780">
        <v>16.952027451858498</v>
      </c>
      <c r="AI780">
        <v>93.499180392633093</v>
      </c>
      <c r="AJ780">
        <v>76.334026597635201</v>
      </c>
      <c r="AK780">
        <v>17.4785143400177</v>
      </c>
      <c r="AL780">
        <v>82.795468403321195</v>
      </c>
      <c r="AM780">
        <v>82.796297781387295</v>
      </c>
      <c r="AN780">
        <v>0.99999999365093495</v>
      </c>
    </row>
    <row r="781" spans="1:40" x14ac:dyDescent="0.25">
      <c r="A781" t="str">
        <f>"20190312151238425"</f>
        <v>20190312151238425</v>
      </c>
      <c r="B781" t="str">
        <f>"1552374758420553"</f>
        <v>1552374758420553</v>
      </c>
      <c r="C781" t="s">
        <v>40</v>
      </c>
      <c r="D781">
        <v>3.8946640000000001</v>
      </c>
      <c r="E781">
        <v>0.54159619999999997</v>
      </c>
      <c r="F781" t="s">
        <v>42</v>
      </c>
      <c r="G781">
        <v>-261.11669999999998</v>
      </c>
      <c r="H781" s="1">
        <v>-4.9876180000000004E-6</v>
      </c>
      <c r="I781">
        <v>362.88279999999997</v>
      </c>
      <c r="J781">
        <v>-279.62369999999999</v>
      </c>
      <c r="K781">
        <v>1.0684009999999999</v>
      </c>
      <c r="L781">
        <v>367.16309999999999</v>
      </c>
      <c r="M781">
        <v>0.99992760000000003</v>
      </c>
      <c r="N781">
        <v>0</v>
      </c>
      <c r="O781">
        <v>1.179609E-2</v>
      </c>
      <c r="P781">
        <v>0.98589199999999999</v>
      </c>
      <c r="Q781">
        <v>0.12324980000000001</v>
      </c>
      <c r="R781">
        <v>-0.1132561</v>
      </c>
      <c r="S781">
        <v>2.9849239999999999</v>
      </c>
      <c r="T781">
        <v>-0.17002729999999999</v>
      </c>
      <c r="U781">
        <v>-0.68179319999999999</v>
      </c>
      <c r="V781">
        <v>0.1248879</v>
      </c>
      <c r="W781">
        <v>0.12561600000000001</v>
      </c>
      <c r="X781">
        <v>0.98418680000000003</v>
      </c>
      <c r="Y781">
        <v>0.23378309999999999</v>
      </c>
      <c r="Z781">
        <v>-7.2316809999999898E-3</v>
      </c>
      <c r="AA781">
        <v>0.97226179999999995</v>
      </c>
      <c r="AB781">
        <v>22</v>
      </c>
      <c r="AC781">
        <v>18.507000000000001</v>
      </c>
      <c r="AD781">
        <v>-1.0684059876180001</v>
      </c>
      <c r="AE781">
        <v>-4.2803000000000102</v>
      </c>
      <c r="AF781">
        <v>4.4841274382720702</v>
      </c>
      <c r="AG781">
        <v>-1.0684059876180001</v>
      </c>
      <c r="AH781">
        <v>18.397022132942801</v>
      </c>
      <c r="AI781">
        <v>93.229379704534296</v>
      </c>
      <c r="AJ781">
        <v>76.301714273506704</v>
      </c>
      <c r="AK781">
        <v>18.965740523297001</v>
      </c>
      <c r="AL781">
        <v>82.783669702987694</v>
      </c>
      <c r="AM781">
        <v>82.768131322381194</v>
      </c>
      <c r="AN781">
        <v>1.0000000121583199</v>
      </c>
    </row>
    <row r="782" spans="1:40" x14ac:dyDescent="0.25">
      <c r="A782" t="str">
        <f>"20190312151238448"</f>
        <v>20190312151238448</v>
      </c>
      <c r="B782" t="str">
        <f>"1552374758440072"</f>
        <v>1552374758440072</v>
      </c>
      <c r="C782" t="s">
        <v>40</v>
      </c>
      <c r="D782">
        <v>3.9182139999999999</v>
      </c>
      <c r="E782">
        <v>0.54194929999999997</v>
      </c>
      <c r="F782" t="s">
        <v>42</v>
      </c>
      <c r="G782">
        <v>-258.2407</v>
      </c>
      <c r="H782" s="1">
        <v>-2.54625E-6</v>
      </c>
      <c r="I782">
        <v>362.24439999999998</v>
      </c>
      <c r="J782">
        <v>-279.39339999999999</v>
      </c>
      <c r="K782">
        <v>1.070047</v>
      </c>
      <c r="L782">
        <v>367.16590000000002</v>
      </c>
      <c r="M782">
        <v>0.99993069999999895</v>
      </c>
      <c r="N782">
        <v>0</v>
      </c>
      <c r="O782">
        <v>1.1762E-2</v>
      </c>
      <c r="P782">
        <v>0.98565159999999996</v>
      </c>
      <c r="Q782">
        <v>0.12486120000000001</v>
      </c>
      <c r="R782">
        <v>-0.1135838</v>
      </c>
      <c r="S782">
        <v>2.9827880000000002</v>
      </c>
      <c r="T782">
        <v>-0.14903459999999999</v>
      </c>
      <c r="U782">
        <v>-0.68612669999999998</v>
      </c>
      <c r="V782">
        <v>0.12517890000000001</v>
      </c>
      <c r="W782">
        <v>0.12551010000000001</v>
      </c>
      <c r="X782">
        <v>0.98416329999999996</v>
      </c>
      <c r="Y782">
        <v>0.23532839999999999</v>
      </c>
      <c r="Z782">
        <v>-6.3797659999999898E-3</v>
      </c>
      <c r="AA782">
        <v>0.97189499999999995</v>
      </c>
      <c r="AB782">
        <v>22</v>
      </c>
      <c r="AC782">
        <v>21.1526999999999</v>
      </c>
      <c r="AD782">
        <v>-1.0700495462499999</v>
      </c>
      <c r="AE782">
        <v>-4.9215000000000302</v>
      </c>
      <c r="AF782">
        <v>5.1574373478377398</v>
      </c>
      <c r="AG782">
        <v>-1.0700495462499999</v>
      </c>
      <c r="AH782">
        <v>21.042267451213998</v>
      </c>
      <c r="AI782">
        <v>92.827569101087803</v>
      </c>
      <c r="AJ782">
        <v>76.228351852491699</v>
      </c>
      <c r="AK782">
        <v>21.691500305804599</v>
      </c>
      <c r="AL782">
        <v>82.789785436679296</v>
      </c>
      <c r="AM782">
        <v>82.751288199166794</v>
      </c>
      <c r="AN782">
        <v>0.99999997163705401</v>
      </c>
    </row>
    <row r="783" spans="1:40" x14ac:dyDescent="0.25">
      <c r="A783" t="str">
        <f>"20190312151238469"</f>
        <v>20190312151238469</v>
      </c>
      <c r="B783" t="str">
        <f>"1552374758460573"</f>
        <v>1552374758460573</v>
      </c>
      <c r="C783" t="s">
        <v>40</v>
      </c>
      <c r="D783">
        <v>3.8825609999999999</v>
      </c>
      <c r="E783">
        <v>0.54211489999999996</v>
      </c>
      <c r="F783" t="s">
        <v>42</v>
      </c>
      <c r="G783">
        <v>-257.04930000000002</v>
      </c>
      <c r="H783" s="1">
        <v>-3.017465E-6</v>
      </c>
      <c r="I783">
        <v>361.99720000000002</v>
      </c>
      <c r="J783">
        <v>-279.17720000000003</v>
      </c>
      <c r="K783">
        <v>1.071534</v>
      </c>
      <c r="L783">
        <v>367.16840000000002</v>
      </c>
      <c r="M783">
        <v>0.99993100000000001</v>
      </c>
      <c r="N783">
        <v>0</v>
      </c>
      <c r="O783">
        <v>1.173222E-2</v>
      </c>
      <c r="P783">
        <v>0.98546279999999997</v>
      </c>
      <c r="Q783">
        <v>0.1259535</v>
      </c>
      <c r="R783">
        <v>-0.1140145</v>
      </c>
      <c r="S783">
        <v>2.9822389999999999</v>
      </c>
      <c r="T783">
        <v>-0.14281749999999999</v>
      </c>
      <c r="U783">
        <v>-0.68984990000000002</v>
      </c>
      <c r="V783">
        <v>0.12557850000000001</v>
      </c>
      <c r="W783">
        <v>0.1251718</v>
      </c>
      <c r="X783">
        <v>0.98415549999999996</v>
      </c>
      <c r="Y783">
        <v>0.2365131</v>
      </c>
      <c r="Z783">
        <v>-6.1407509999999998E-3</v>
      </c>
      <c r="AA783">
        <v>0.9716089</v>
      </c>
      <c r="AB783">
        <v>22</v>
      </c>
      <c r="AC783">
        <v>22.1279</v>
      </c>
      <c r="AD783">
        <v>-1.0715370174650001</v>
      </c>
      <c r="AE783">
        <v>-5.17119999999999</v>
      </c>
      <c r="AF783">
        <v>5.4184056105063796</v>
      </c>
      <c r="AG783">
        <v>-1.0715370174650001</v>
      </c>
      <c r="AH783">
        <v>22.016752752351</v>
      </c>
      <c r="AI783">
        <v>92.705730088102797</v>
      </c>
      <c r="AJ783">
        <v>76.174054897641099</v>
      </c>
      <c r="AK783">
        <v>22.6990024604148</v>
      </c>
      <c r="AL783">
        <v>82.809322834888306</v>
      </c>
      <c r="AM783">
        <v>82.728338906226895</v>
      </c>
      <c r="AN783">
        <v>0.99999999367886905</v>
      </c>
    </row>
    <row r="784" spans="1:40" x14ac:dyDescent="0.25">
      <c r="A784" t="str">
        <f>"20190312151238581"</f>
        <v>20190312151238581</v>
      </c>
      <c r="B784" t="str">
        <f>"1552374758569885"</f>
        <v>1552374758569885</v>
      </c>
      <c r="C784" t="s">
        <v>40</v>
      </c>
      <c r="D784">
        <v>3.742162</v>
      </c>
      <c r="E784">
        <v>0.54225659999999998</v>
      </c>
      <c r="F784" t="s">
        <v>42</v>
      </c>
      <c r="G784">
        <v>-255.9014</v>
      </c>
      <c r="H784" s="1">
        <v>-3.4701940000000001E-6</v>
      </c>
      <c r="I784">
        <v>361.76389999999998</v>
      </c>
      <c r="J784">
        <v>-278.06729999999999</v>
      </c>
      <c r="K784">
        <v>1.078924</v>
      </c>
      <c r="L784">
        <v>367.18209999999999</v>
      </c>
      <c r="M784">
        <v>0.99993600000000005</v>
      </c>
      <c r="N784">
        <v>0</v>
      </c>
      <c r="O784">
        <v>1.1044150000000001E-2</v>
      </c>
      <c r="P784">
        <v>0.98468489999999997</v>
      </c>
      <c r="Q784">
        <v>0.12853539999999999</v>
      </c>
      <c r="R784">
        <v>-0.1177897</v>
      </c>
      <c r="S784">
        <v>2.9816889999999998</v>
      </c>
      <c r="T784">
        <v>-0.13726569999999999</v>
      </c>
      <c r="U784">
        <v>-0.69232179999999999</v>
      </c>
      <c r="V784">
        <v>0.12891069999999999</v>
      </c>
      <c r="W784">
        <v>0.1258639</v>
      </c>
      <c r="X784">
        <v>0.98363630000000002</v>
      </c>
      <c r="Y784">
        <v>0.2366694</v>
      </c>
      <c r="Z784">
        <v>-5.8750900000000003E-3</v>
      </c>
      <c r="AA784">
        <v>0.97157249999999995</v>
      </c>
      <c r="AB784">
        <v>22</v>
      </c>
      <c r="AC784">
        <v>22.165899999999901</v>
      </c>
      <c r="AD784">
        <v>-1.0789274701939999</v>
      </c>
      <c r="AE784">
        <v>-5.4182000000000103</v>
      </c>
      <c r="AF784">
        <v>5.6500421078377396</v>
      </c>
      <c r="AG784">
        <v>-1.0789274701939999</v>
      </c>
      <c r="AH784">
        <v>22.055399647733498</v>
      </c>
      <c r="AI784">
        <v>92.713143977492606</v>
      </c>
      <c r="AJ784">
        <v>75.631253536681299</v>
      </c>
      <c r="AK784">
        <v>22.793150592393399</v>
      </c>
      <c r="AL784">
        <v>82.769352578491706</v>
      </c>
      <c r="AM784">
        <v>82.533639426097906</v>
      </c>
      <c r="AN784">
        <v>1.0000000302876899</v>
      </c>
    </row>
    <row r="785" spans="1:40" x14ac:dyDescent="0.25">
      <c r="A785" t="str">
        <f>"20190312151238604"</f>
        <v>20190312151238604</v>
      </c>
      <c r="B785" t="str">
        <f>"1552374758600137"</f>
        <v>1552374758600137</v>
      </c>
      <c r="C785" t="s">
        <v>40</v>
      </c>
      <c r="D785">
        <v>3.743881</v>
      </c>
      <c r="E785">
        <v>0.54197830000000002</v>
      </c>
      <c r="F785" t="s">
        <v>42</v>
      </c>
      <c r="G785">
        <v>-251.05359999999999</v>
      </c>
      <c r="H785" s="1">
        <v>-5.3883529999999997E-6</v>
      </c>
      <c r="I785">
        <v>360.7765</v>
      </c>
      <c r="J785">
        <v>-277.84379999999999</v>
      </c>
      <c r="K785">
        <v>1.080973</v>
      </c>
      <c r="L785">
        <v>367.18439999999998</v>
      </c>
      <c r="M785">
        <v>0.99992389999999998</v>
      </c>
      <c r="N785">
        <v>0</v>
      </c>
      <c r="O785">
        <v>1.21206E-2</v>
      </c>
      <c r="P785">
        <v>0.98463889999999998</v>
      </c>
      <c r="Q785">
        <v>0.129358</v>
      </c>
      <c r="R785">
        <v>-0.1172734</v>
      </c>
      <c r="S785">
        <v>2.977722</v>
      </c>
      <c r="T785">
        <v>-0.1189301</v>
      </c>
      <c r="U785">
        <v>-0.70608519999999997</v>
      </c>
      <c r="V785">
        <v>0.129501</v>
      </c>
      <c r="W785">
        <v>0.1267489</v>
      </c>
      <c r="X785">
        <v>0.98344500000000001</v>
      </c>
      <c r="Y785">
        <v>0.24230930000000001</v>
      </c>
      <c r="Z785">
        <v>-5.2483709999999999E-3</v>
      </c>
      <c r="AA785">
        <v>0.97018490000000002</v>
      </c>
      <c r="AB785">
        <v>22</v>
      </c>
      <c r="AC785">
        <v>26.790199999999999</v>
      </c>
      <c r="AD785">
        <v>-1.080978388353</v>
      </c>
      <c r="AE785">
        <v>-6.4078999999999802</v>
      </c>
      <c r="AF785">
        <v>6.7217918947608597</v>
      </c>
      <c r="AG785">
        <v>-1.080978388353</v>
      </c>
      <c r="AH785">
        <v>26.669493266466599</v>
      </c>
      <c r="AI785">
        <v>92.250752154846097</v>
      </c>
      <c r="AJ785">
        <v>75.853775668307605</v>
      </c>
      <c r="AK785">
        <v>27.524768330408701</v>
      </c>
      <c r="AL785">
        <v>82.718235706655094</v>
      </c>
      <c r="AM785">
        <v>82.498395965883304</v>
      </c>
      <c r="AN785">
        <v>0.99999993033860202</v>
      </c>
    </row>
    <row r="786" spans="1:40" x14ac:dyDescent="0.25">
      <c r="A786" t="str">
        <f>"20190312151238626"</f>
        <v>20190312151238626</v>
      </c>
      <c r="B786" t="str">
        <f>"1552374758620636"</f>
        <v>1552374758620636</v>
      </c>
      <c r="C786" t="s">
        <v>40</v>
      </c>
      <c r="D786">
        <v>4.0347850000000003</v>
      </c>
      <c r="E786">
        <v>0.54224090000000003</v>
      </c>
      <c r="F786" t="s">
        <v>42</v>
      </c>
      <c r="G786">
        <v>-247.90969999999999</v>
      </c>
      <c r="H786" s="1">
        <v>-3.3130319999999999E-6</v>
      </c>
      <c r="I786">
        <v>360.1223</v>
      </c>
      <c r="J786">
        <v>-277.61700000000002</v>
      </c>
      <c r="K786">
        <v>1.08345</v>
      </c>
      <c r="L786">
        <v>367.1866</v>
      </c>
      <c r="M786">
        <v>0.99991859999999999</v>
      </c>
      <c r="N786">
        <v>0</v>
      </c>
      <c r="O786">
        <v>1.257717E-2</v>
      </c>
      <c r="P786">
        <v>0.9846258</v>
      </c>
      <c r="Q786">
        <v>0.12941549999999999</v>
      </c>
      <c r="R786">
        <v>-0.1173203</v>
      </c>
      <c r="S786">
        <v>2.9772639999999999</v>
      </c>
      <c r="T786">
        <v>-0.107514899999999</v>
      </c>
      <c r="U786">
        <v>-0.70239259999999903</v>
      </c>
      <c r="V786">
        <v>0.12996769999999999</v>
      </c>
      <c r="W786">
        <v>0.12697549999999999</v>
      </c>
      <c r="X786">
        <v>0.98335430000000001</v>
      </c>
      <c r="Y786">
        <v>0.24168129999999999</v>
      </c>
      <c r="Z786">
        <v>-4.751412E-3</v>
      </c>
      <c r="AA786">
        <v>0.97034410000000004</v>
      </c>
      <c r="AB786">
        <v>22</v>
      </c>
      <c r="AC786">
        <v>29.7073</v>
      </c>
      <c r="AD786">
        <v>-1.0834533130320001</v>
      </c>
      <c r="AE786">
        <v>-7.0643000000000002</v>
      </c>
      <c r="AF786">
        <v>7.4280244262936499</v>
      </c>
      <c r="AG786">
        <v>-1.0834533130320001</v>
      </c>
      <c r="AH786">
        <v>29.578863142612899</v>
      </c>
      <c r="AI786">
        <v>92.034646551021495</v>
      </c>
      <c r="AJ786">
        <v>75.9030474166142</v>
      </c>
      <c r="AK786">
        <v>30.516529336878399</v>
      </c>
      <c r="AL786">
        <v>82.705147458576207</v>
      </c>
      <c r="AM786">
        <v>82.470984561822505</v>
      </c>
      <c r="AN786">
        <v>1.0000000299860099</v>
      </c>
    </row>
    <row r="787" spans="1:40" x14ac:dyDescent="0.25">
      <c r="A787" t="str">
        <f>"20190312151238647"</f>
        <v>20190312151238647</v>
      </c>
      <c r="B787" t="str">
        <f>"1552374758640156"</f>
        <v>1552374758640156</v>
      </c>
      <c r="C787" t="s">
        <v>40</v>
      </c>
      <c r="D787">
        <v>3.776996</v>
      </c>
      <c r="E787">
        <v>0.54214929999999995</v>
      </c>
      <c r="F787" t="s">
        <v>42</v>
      </c>
      <c r="G787">
        <v>-245.6636</v>
      </c>
      <c r="H787" s="1">
        <v>-4.3092350000000001E-6</v>
      </c>
      <c r="I787">
        <v>359.62009999999998</v>
      </c>
      <c r="J787">
        <v>-277.39299999999997</v>
      </c>
      <c r="K787">
        <v>1.086193</v>
      </c>
      <c r="L787">
        <v>367.1891</v>
      </c>
      <c r="M787">
        <v>0.99992369999999997</v>
      </c>
      <c r="N787">
        <v>0</v>
      </c>
      <c r="O787">
        <v>1.2257519999999999E-2</v>
      </c>
      <c r="P787">
        <v>0.9845547</v>
      </c>
      <c r="Q787">
        <v>0.12948769999999901</v>
      </c>
      <c r="R787">
        <v>-0.1178357</v>
      </c>
      <c r="S787">
        <v>2.976105</v>
      </c>
      <c r="T787">
        <v>-0.1009116</v>
      </c>
      <c r="U787">
        <v>-0.70474239999999999</v>
      </c>
      <c r="V787">
        <v>0.1300994</v>
      </c>
      <c r="W787">
        <v>0.12770139999999999</v>
      </c>
      <c r="X787">
        <v>0.98324279999999997</v>
      </c>
      <c r="Y787">
        <v>0.24219969999999999</v>
      </c>
      <c r="Z787">
        <v>-4.4590230000000003E-3</v>
      </c>
      <c r="AA787">
        <v>0.97021619999999997</v>
      </c>
      <c r="AB787">
        <v>23</v>
      </c>
      <c r="AC787">
        <v>31.729399999999899</v>
      </c>
      <c r="AD787">
        <v>-1.0861973092349999</v>
      </c>
      <c r="AE787">
        <v>-7.5690000000000097</v>
      </c>
      <c r="AF787">
        <v>7.9485421470062896</v>
      </c>
      <c r="AG787">
        <v>-1.0861973092349999</v>
      </c>
      <c r="AH787">
        <v>31.599201457033999</v>
      </c>
      <c r="AI787">
        <v>91.909290141905103</v>
      </c>
      <c r="AJ787">
        <v>75.880606753717203</v>
      </c>
      <c r="AK787">
        <v>32.601666822105102</v>
      </c>
      <c r="AL787">
        <v>82.663214523835094</v>
      </c>
      <c r="AM787">
        <v>82.462598028069493</v>
      </c>
      <c r="AN787">
        <v>0.99999995259707897</v>
      </c>
    </row>
    <row r="788" spans="1:40" x14ac:dyDescent="0.25">
      <c r="A788" t="str">
        <f>"20190312151238670"</f>
        <v>20190312151238670</v>
      </c>
      <c r="B788" t="str">
        <f>"1552374758660648"</f>
        <v>1552374758660648</v>
      </c>
      <c r="C788" t="s">
        <v>40</v>
      </c>
      <c r="D788">
        <v>3.7701129999999998</v>
      </c>
      <c r="E788">
        <v>0.54217199999999999</v>
      </c>
      <c r="F788" t="s">
        <v>42</v>
      </c>
      <c r="G788">
        <v>-245.3938</v>
      </c>
      <c r="H788">
        <v>6.0283410000000003E-2</v>
      </c>
      <c r="I788">
        <v>359.60599999999999</v>
      </c>
      <c r="J788">
        <v>-277.16199999999998</v>
      </c>
      <c r="K788">
        <v>1.0890439999999999</v>
      </c>
      <c r="L788">
        <v>367.1918</v>
      </c>
      <c r="M788">
        <v>0.99993160000000003</v>
      </c>
      <c r="N788">
        <v>0</v>
      </c>
      <c r="O788">
        <v>1.168771E-2</v>
      </c>
      <c r="P788">
        <v>0.98449529999999996</v>
      </c>
      <c r="Q788">
        <v>0.12895499999999999</v>
      </c>
      <c r="R788">
        <v>-0.118912</v>
      </c>
      <c r="S788">
        <v>2.9751889999999999</v>
      </c>
      <c r="T788">
        <v>-9.5385910000000004E-2</v>
      </c>
      <c r="U788">
        <v>-0.7050476</v>
      </c>
      <c r="V788">
        <v>0.13054979999999999</v>
      </c>
      <c r="W788">
        <v>0.12818860000000001</v>
      </c>
      <c r="X788">
        <v>0.98311970000000004</v>
      </c>
      <c r="Y788">
        <v>0.24182310000000001</v>
      </c>
      <c r="Z788">
        <v>-4.1922139999999997E-3</v>
      </c>
      <c r="AA788">
        <v>0.97031129999999999</v>
      </c>
      <c r="AB788">
        <v>23</v>
      </c>
      <c r="AC788">
        <v>31.7682</v>
      </c>
      <c r="AD788">
        <v>-1.0287605900000001</v>
      </c>
      <c r="AE788">
        <v>-7.5857999999999999</v>
      </c>
      <c r="AF788">
        <v>7.94869341219571</v>
      </c>
      <c r="AG788">
        <v>-1.0287605900000001</v>
      </c>
      <c r="AH788">
        <v>31.645973125418099</v>
      </c>
      <c r="AI788">
        <v>91.8058838334303</v>
      </c>
      <c r="AJ788">
        <v>75.900384238709904</v>
      </c>
      <c r="AK788">
        <v>32.645178669557097</v>
      </c>
      <c r="AL788">
        <v>82.635068720421501</v>
      </c>
      <c r="AM788">
        <v>82.435869287702999</v>
      </c>
      <c r="AN788">
        <v>0.99999995598904401</v>
      </c>
    </row>
    <row r="789" spans="1:40" x14ac:dyDescent="0.25">
      <c r="A789" t="str">
        <f>"20190312151238693"</f>
        <v>20190312151238693</v>
      </c>
      <c r="B789" t="str">
        <f>"1552374758689929"</f>
        <v>1552374758689929</v>
      </c>
      <c r="C789" t="s">
        <v>40</v>
      </c>
      <c r="D789">
        <v>3.7681800000000001</v>
      </c>
      <c r="E789">
        <v>0.54182909999999995</v>
      </c>
      <c r="F789" t="s">
        <v>42</v>
      </c>
      <c r="G789">
        <v>-245.2303</v>
      </c>
      <c r="H789">
        <v>7.3712420000000001E-2</v>
      </c>
      <c r="I789">
        <v>359.5926</v>
      </c>
      <c r="J789">
        <v>-276.93200000000002</v>
      </c>
      <c r="K789">
        <v>1.0916699999999999</v>
      </c>
      <c r="L789">
        <v>367.19450000000001</v>
      </c>
      <c r="M789">
        <v>0.99993589999999999</v>
      </c>
      <c r="N789">
        <v>0</v>
      </c>
      <c r="O789">
        <v>1.1314100000000001E-2</v>
      </c>
      <c r="P789">
        <v>0.98457570000000005</v>
      </c>
      <c r="Q789">
        <v>0.1279981</v>
      </c>
      <c r="R789">
        <v>-0.1192777</v>
      </c>
      <c r="S789">
        <v>2.9741520000000001</v>
      </c>
      <c r="T789">
        <v>-9.4569210000000001E-2</v>
      </c>
      <c r="U789">
        <v>-0.70779419999999904</v>
      </c>
      <c r="V789">
        <v>0.13051160000000001</v>
      </c>
      <c r="W789">
        <v>0.12827939999999999</v>
      </c>
      <c r="X789">
        <v>0.98311300000000001</v>
      </c>
      <c r="Y789">
        <v>0.24238660000000001</v>
      </c>
      <c r="Z789">
        <v>-4.154423E-3</v>
      </c>
      <c r="AA789">
        <v>0.97017089999999995</v>
      </c>
      <c r="AB789">
        <v>23</v>
      </c>
      <c r="AC789">
        <v>31.701699999999999</v>
      </c>
      <c r="AD789">
        <v>-1.01795758</v>
      </c>
      <c r="AE789">
        <v>-7.6018999999999997</v>
      </c>
      <c r="AF789">
        <v>7.9523359845914303</v>
      </c>
      <c r="AG789">
        <v>-1.01795758</v>
      </c>
      <c r="AH789">
        <v>31.58286831082</v>
      </c>
      <c r="AI789">
        <v>91.790239518076305</v>
      </c>
      <c r="AJ789">
        <v>75.867124738617704</v>
      </c>
      <c r="AK789">
        <v>32.584558551330801</v>
      </c>
      <c r="AL789">
        <v>82.629823476486393</v>
      </c>
      <c r="AM789">
        <v>82.438006061976793</v>
      </c>
      <c r="AN789">
        <v>1.0000000264839499</v>
      </c>
    </row>
    <row r="790" spans="1:40" x14ac:dyDescent="0.25">
      <c r="A790" t="str">
        <f>"20190312151238716"</f>
        <v>20190312151238716</v>
      </c>
      <c r="B790" t="str">
        <f>"1552374758710424"</f>
        <v>1552374758710424</v>
      </c>
      <c r="C790" t="s">
        <v>40</v>
      </c>
      <c r="D790">
        <v>3.7913670000000002</v>
      </c>
      <c r="E790">
        <v>0.54171139999999995</v>
      </c>
      <c r="F790" t="s">
        <v>42</v>
      </c>
      <c r="G790">
        <v>-244.90690000000001</v>
      </c>
      <c r="H790">
        <v>7.4245859999999997E-2</v>
      </c>
      <c r="I790">
        <v>359.59210000000002</v>
      </c>
      <c r="J790">
        <v>-276.69729999999998</v>
      </c>
      <c r="K790">
        <v>1.094052</v>
      </c>
      <c r="L790">
        <v>367.19709999999998</v>
      </c>
      <c r="M790">
        <v>0.99993600000000005</v>
      </c>
      <c r="N790">
        <v>0</v>
      </c>
      <c r="O790">
        <v>1.1235790000000001E-2</v>
      </c>
      <c r="P790">
        <v>0.98478969999999999</v>
      </c>
      <c r="Q790">
        <v>0.12672030000000001</v>
      </c>
      <c r="R790">
        <v>-0.11887499999999999</v>
      </c>
      <c r="S790">
        <v>2.9737550000000001</v>
      </c>
      <c r="T790">
        <v>-9.4474909999999995E-2</v>
      </c>
      <c r="U790">
        <v>-0.70593260000000002</v>
      </c>
      <c r="V790">
        <v>0.13002239999999901</v>
      </c>
      <c r="W790">
        <v>0.1279507</v>
      </c>
      <c r="X790">
        <v>0.9832206</v>
      </c>
      <c r="Y790">
        <v>0.24176549999999999</v>
      </c>
      <c r="Z790">
        <v>-4.138933E-3</v>
      </c>
      <c r="AA790">
        <v>0.97032589999999996</v>
      </c>
      <c r="AB790">
        <v>23</v>
      </c>
      <c r="AC790">
        <v>31.790399999999899</v>
      </c>
      <c r="AD790">
        <v>-1.01980614</v>
      </c>
      <c r="AE790">
        <v>-7.6049999999999596</v>
      </c>
      <c r="AF790">
        <v>7.9539684200662801</v>
      </c>
      <c r="AG790">
        <v>-1.01980614</v>
      </c>
      <c r="AH790">
        <v>31.672116559755501</v>
      </c>
      <c r="AI790">
        <v>91.788715985949196</v>
      </c>
      <c r="AJ790">
        <v>75.902582109825801</v>
      </c>
      <c r="AK790">
        <v>32.671525608170398</v>
      </c>
      <c r="AL790">
        <v>82.648812721925793</v>
      </c>
      <c r="AM790">
        <v>82.4668396991935</v>
      </c>
      <c r="AN790">
        <v>0.99999997719830402</v>
      </c>
    </row>
    <row r="791" spans="1:40" x14ac:dyDescent="0.25">
      <c r="A791" t="str">
        <f>"20190312151238737"</f>
        <v>20190312151238737</v>
      </c>
      <c r="B791" t="str">
        <f>"1552374758729945"</f>
        <v>1552374758729945</v>
      </c>
      <c r="C791" t="s">
        <v>40</v>
      </c>
      <c r="D791">
        <v>3.7166999999999999</v>
      </c>
      <c r="E791">
        <v>0.54168479999999997</v>
      </c>
      <c r="F791" t="s">
        <v>42</v>
      </c>
      <c r="G791">
        <v>-244.66300000000001</v>
      </c>
      <c r="H791">
        <v>5.359883E-2</v>
      </c>
      <c r="I791">
        <v>359.61270000000002</v>
      </c>
      <c r="J791">
        <v>-276.47559999999999</v>
      </c>
      <c r="K791">
        <v>1.0960650000000001</v>
      </c>
      <c r="L791">
        <v>367.19959999999998</v>
      </c>
      <c r="M791">
        <v>0.99993379999999998</v>
      </c>
      <c r="N791">
        <v>0</v>
      </c>
      <c r="O791">
        <v>1.131158E-2</v>
      </c>
      <c r="P791">
        <v>0.9849272</v>
      </c>
      <c r="Q791">
        <v>0.1256089</v>
      </c>
      <c r="R791">
        <v>-0.1189172</v>
      </c>
      <c r="S791">
        <v>2.9737849999999999</v>
      </c>
      <c r="T791">
        <v>-9.6586699999999998E-2</v>
      </c>
      <c r="U791">
        <v>-0.704071</v>
      </c>
      <c r="V791">
        <v>0.1301387</v>
      </c>
      <c r="W791">
        <v>0.12763859999999999</v>
      </c>
      <c r="X791">
        <v>0.98324579999999995</v>
      </c>
      <c r="Y791">
        <v>0.24125640000000001</v>
      </c>
      <c r="Z791">
        <v>-4.2259400000000001E-3</v>
      </c>
      <c r="AA791">
        <v>0.97045219999999999</v>
      </c>
      <c r="AB791">
        <v>23</v>
      </c>
      <c r="AC791">
        <v>31.8126</v>
      </c>
      <c r="AD791">
        <v>-1.04246617</v>
      </c>
      <c r="AE791">
        <v>-7.5868999999999502</v>
      </c>
      <c r="AF791">
        <v>7.9382008160774404</v>
      </c>
      <c r="AG791">
        <v>-1.04246617</v>
      </c>
      <c r="AH791">
        <v>31.69254446539</v>
      </c>
      <c r="AI791">
        <v>91.827540848819098</v>
      </c>
      <c r="AJ791">
        <v>75.938126540381504</v>
      </c>
      <c r="AK791">
        <v>32.688211064582397</v>
      </c>
      <c r="AL791">
        <v>82.666842724074797</v>
      </c>
      <c r="AM791">
        <v>82.460370084195404</v>
      </c>
      <c r="AN791">
        <v>0.99999999833264497</v>
      </c>
    </row>
    <row r="792" spans="1:40" x14ac:dyDescent="0.25">
      <c r="A792" t="str">
        <f>"20190312151238761"</f>
        <v>20190312151238761</v>
      </c>
      <c r="B792" t="str">
        <f>"1552374758750442"</f>
        <v>1552374758750442</v>
      </c>
      <c r="C792" t="s">
        <v>40</v>
      </c>
      <c r="D792">
        <v>3.7448999999999999</v>
      </c>
      <c r="E792">
        <v>0.54142829999999997</v>
      </c>
      <c r="F792" t="s">
        <v>42</v>
      </c>
      <c r="G792">
        <v>-244.4418</v>
      </c>
      <c r="H792">
        <v>3.7806760000000002E-2</v>
      </c>
      <c r="I792">
        <v>359.6164</v>
      </c>
      <c r="J792">
        <v>-276.23750000000001</v>
      </c>
      <c r="K792">
        <v>1.098023</v>
      </c>
      <c r="L792">
        <v>367.20209999999997</v>
      </c>
      <c r="M792">
        <v>0.99993089999999996</v>
      </c>
      <c r="N792">
        <v>0</v>
      </c>
      <c r="O792">
        <v>1.138276E-2</v>
      </c>
      <c r="P792">
        <v>0.98504510000000001</v>
      </c>
      <c r="Q792">
        <v>0.1247988</v>
      </c>
      <c r="R792">
        <v>-0.118793</v>
      </c>
      <c r="S792">
        <v>2.9734500000000001</v>
      </c>
      <c r="T792">
        <v>-9.8229650000000002E-2</v>
      </c>
      <c r="U792">
        <v>-0.70388790000000001</v>
      </c>
      <c r="V792">
        <v>0.13007969999999999</v>
      </c>
      <c r="W792">
        <v>0.12763289999999999</v>
      </c>
      <c r="X792">
        <v>0.98325439999999997</v>
      </c>
      <c r="Y792">
        <v>0.241289</v>
      </c>
      <c r="Z792">
        <v>-4.3011409999999996E-3</v>
      </c>
      <c r="AA792">
        <v>0.97044379999999997</v>
      </c>
      <c r="AB792">
        <v>23</v>
      </c>
      <c r="AC792">
        <v>31.7957</v>
      </c>
      <c r="AD792">
        <v>-1.0602162399999999</v>
      </c>
      <c r="AE792">
        <v>-7.5856999999999699</v>
      </c>
      <c r="AF792">
        <v>7.9387814357212001</v>
      </c>
      <c r="AG792">
        <v>-1.0602162399999999</v>
      </c>
      <c r="AH792">
        <v>31.673972877769099</v>
      </c>
      <c r="AI792">
        <v>91.859653385632498</v>
      </c>
      <c r="AJ792">
        <v>75.929220732330094</v>
      </c>
      <c r="AK792">
        <v>32.6709177560314</v>
      </c>
      <c r="AL792">
        <v>82.667172386442502</v>
      </c>
      <c r="AM792">
        <v>82.463814129844707</v>
      </c>
      <c r="AN792">
        <v>1.00000005031692</v>
      </c>
    </row>
    <row r="793" spans="1:40" x14ac:dyDescent="0.25">
      <c r="A793" t="str">
        <f>"20190312151238782"</f>
        <v>20190312151238782</v>
      </c>
      <c r="B793" t="str">
        <f>"1552374758769961"</f>
        <v>1552374758769961</v>
      </c>
      <c r="C793" t="s">
        <v>40</v>
      </c>
      <c r="D793">
        <v>3.844433</v>
      </c>
      <c r="E793">
        <v>0.54119729999999999</v>
      </c>
      <c r="F793" t="s">
        <v>42</v>
      </c>
      <c r="G793">
        <v>-244.0753</v>
      </c>
      <c r="H793">
        <v>4.0559949999999997E-2</v>
      </c>
      <c r="I793">
        <v>359.6164</v>
      </c>
      <c r="J793">
        <v>-276.01170000000002</v>
      </c>
      <c r="K793">
        <v>1.099701</v>
      </c>
      <c r="L793">
        <v>367.2045</v>
      </c>
      <c r="M793">
        <v>0.9999285</v>
      </c>
      <c r="N793">
        <v>0</v>
      </c>
      <c r="O793">
        <v>1.136961E-2</v>
      </c>
      <c r="P793">
        <v>0.9851761</v>
      </c>
      <c r="Q793">
        <v>0.123976</v>
      </c>
      <c r="R793">
        <v>-0.1185662</v>
      </c>
      <c r="S793">
        <v>2.9733580000000002</v>
      </c>
      <c r="T793">
        <v>-9.7761029999999999E-2</v>
      </c>
      <c r="U793">
        <v>-0.70129390000000003</v>
      </c>
      <c r="V793">
        <v>0.12982839999999901</v>
      </c>
      <c r="W793">
        <v>0.12753310000000001</v>
      </c>
      <c r="X793">
        <v>0.98330050000000002</v>
      </c>
      <c r="Y793">
        <v>0.24048269999999999</v>
      </c>
      <c r="Z793">
        <v>-4.2676859999999997E-3</v>
      </c>
      <c r="AA793">
        <v>0.97064410000000001</v>
      </c>
      <c r="AB793">
        <v>23</v>
      </c>
      <c r="AC793">
        <v>31.936399999999999</v>
      </c>
      <c r="AD793">
        <v>-1.05914105</v>
      </c>
      <c r="AE793">
        <v>-7.5880999999999901</v>
      </c>
      <c r="AF793">
        <v>7.94244769020648</v>
      </c>
      <c r="AG793">
        <v>-1.05914105</v>
      </c>
      <c r="AH793">
        <v>31.814939422688202</v>
      </c>
      <c r="AI793">
        <v>91.849976177486695</v>
      </c>
      <c r="AJ793">
        <v>75.982889560798398</v>
      </c>
      <c r="AK793">
        <v>32.808453568322598</v>
      </c>
      <c r="AL793">
        <v>82.6729371685432</v>
      </c>
      <c r="AM793">
        <v>82.478554975599394</v>
      </c>
      <c r="AN793">
        <v>0.99999998917120902</v>
      </c>
    </row>
    <row r="794" spans="1:40" x14ac:dyDescent="0.25">
      <c r="A794" t="str">
        <f>"20190312151238805"</f>
        <v>20190312151238805</v>
      </c>
      <c r="B794" t="str">
        <f>"1552374758800218"</f>
        <v>1552374758800218</v>
      </c>
      <c r="C794" t="s">
        <v>40</v>
      </c>
      <c r="D794">
        <v>3.7969189999999999</v>
      </c>
      <c r="E794">
        <v>0.54093279999999999</v>
      </c>
      <c r="F794" t="s">
        <v>42</v>
      </c>
      <c r="G794">
        <v>-243.6823</v>
      </c>
      <c r="H794">
        <v>5.7713889999999997E-2</v>
      </c>
      <c r="I794">
        <v>359.60860000000002</v>
      </c>
      <c r="J794">
        <v>-275.78039999999999</v>
      </c>
      <c r="K794">
        <v>1.1012360000000001</v>
      </c>
      <c r="L794">
        <v>367.20699999999999</v>
      </c>
      <c r="M794">
        <v>0.99992669999999995</v>
      </c>
      <c r="N794">
        <v>0</v>
      </c>
      <c r="O794">
        <v>1.1295110000000001E-2</v>
      </c>
      <c r="P794">
        <v>0.98524789999999995</v>
      </c>
      <c r="Q794">
        <v>0.123442899999999</v>
      </c>
      <c r="R794">
        <v>-0.1185274</v>
      </c>
      <c r="S794">
        <v>2.9731450000000001</v>
      </c>
      <c r="T794">
        <v>-9.5825309999999997E-2</v>
      </c>
      <c r="U794">
        <v>-0.69854740000000004</v>
      </c>
      <c r="V794">
        <v>0.1297006</v>
      </c>
      <c r="W794">
        <v>0.12768299999999999</v>
      </c>
      <c r="X794">
        <v>0.98329789999999995</v>
      </c>
      <c r="Y794">
        <v>0.23958180000000001</v>
      </c>
      <c r="Z794">
        <v>-4.1672640000000004E-3</v>
      </c>
      <c r="AA794">
        <v>0.97086729999999999</v>
      </c>
      <c r="AB794">
        <v>23</v>
      </c>
      <c r="AC794">
        <v>32.098099999999903</v>
      </c>
      <c r="AD794">
        <v>-1.0435221100000001</v>
      </c>
      <c r="AE794">
        <v>-7.5983999999999696</v>
      </c>
      <c r="AF794">
        <v>7.9525110958962699</v>
      </c>
      <c r="AG794">
        <v>-1.0435221100000001</v>
      </c>
      <c r="AH794">
        <v>31.978221680629002</v>
      </c>
      <c r="AI794">
        <v>91.813821048062707</v>
      </c>
      <c r="AJ794">
        <v>76.034678522248299</v>
      </c>
      <c r="AK794">
        <v>32.968743272679703</v>
      </c>
      <c r="AL794">
        <v>82.664277648659706</v>
      </c>
      <c r="AM794">
        <v>82.485854621773001</v>
      </c>
      <c r="AN794">
        <v>0.99999997713688404</v>
      </c>
    </row>
    <row r="795" spans="1:40" x14ac:dyDescent="0.25">
      <c r="A795" t="str">
        <f>"20190312151238827"</f>
        <v>20190312151238827</v>
      </c>
      <c r="B795" t="str">
        <f>"1552374758820716"</f>
        <v>1552374758820716</v>
      </c>
      <c r="C795" t="s">
        <v>40</v>
      </c>
      <c r="D795">
        <v>3.9991189999999999</v>
      </c>
      <c r="E795">
        <v>0.54079270000000002</v>
      </c>
      <c r="F795" t="s">
        <v>42</v>
      </c>
      <c r="G795">
        <v>-242.2133</v>
      </c>
      <c r="H795">
        <v>7.9985840000000002E-2</v>
      </c>
      <c r="I795">
        <v>359.34480000000002</v>
      </c>
      <c r="J795">
        <v>-275.55309999999997</v>
      </c>
      <c r="K795">
        <v>1.1025430000000001</v>
      </c>
      <c r="L795">
        <v>367.20940000000002</v>
      </c>
      <c r="M795">
        <v>0.99992499999999995</v>
      </c>
      <c r="N795">
        <v>0</v>
      </c>
      <c r="O795">
        <v>1.121408E-2</v>
      </c>
      <c r="P795">
        <v>0.98533530000000003</v>
      </c>
      <c r="Q795">
        <v>0.122795</v>
      </c>
      <c r="R795">
        <v>-0.1184751</v>
      </c>
      <c r="S795">
        <v>2.9725039999999998</v>
      </c>
      <c r="T795">
        <v>-9.0435979999999999E-2</v>
      </c>
      <c r="U795">
        <v>-0.69622799999999996</v>
      </c>
      <c r="V795">
        <v>0.12955539999999999</v>
      </c>
      <c r="W795">
        <v>0.12763239999999901</v>
      </c>
      <c r="X795">
        <v>0.98332359999999996</v>
      </c>
      <c r="Y795">
        <v>0.23884540000000001</v>
      </c>
      <c r="Z795">
        <v>-3.9206880000000003E-3</v>
      </c>
      <c r="AA795">
        <v>0.97104970000000002</v>
      </c>
      <c r="AB795">
        <v>23</v>
      </c>
      <c r="AC795">
        <v>33.339799999999897</v>
      </c>
      <c r="AD795">
        <v>-1.0225571600000001</v>
      </c>
      <c r="AE795">
        <v>-7.8645999999999896</v>
      </c>
      <c r="AF795">
        <v>8.2306507652658105</v>
      </c>
      <c r="AG795">
        <v>-1.0225571600000001</v>
      </c>
      <c r="AH795">
        <v>33.219905642055402</v>
      </c>
      <c r="AI795">
        <v>91.711377857849399</v>
      </c>
      <c r="AJ795">
        <v>76.084471753738399</v>
      </c>
      <c r="AK795">
        <v>34.239616908375403</v>
      </c>
      <c r="AL795">
        <v>82.667200654470605</v>
      </c>
      <c r="AM795">
        <v>82.494364687421793</v>
      </c>
      <c r="AN795">
        <v>0.99999996675793901</v>
      </c>
    </row>
    <row r="796" spans="1:40" x14ac:dyDescent="0.25">
      <c r="A796" t="str">
        <f>"20190312151238849"</f>
        <v>20190312151238849</v>
      </c>
      <c r="B796" t="str">
        <f>"1552374758840236"</f>
        <v>1552374758840236</v>
      </c>
      <c r="C796" t="s">
        <v>40</v>
      </c>
      <c r="D796">
        <v>4.0454239999999997</v>
      </c>
      <c r="E796">
        <v>0.54062659999999996</v>
      </c>
      <c r="F796" t="s">
        <v>42</v>
      </c>
      <c r="G796">
        <v>-241.19649999999999</v>
      </c>
      <c r="H796">
        <v>7.9986109999999999E-2</v>
      </c>
      <c r="I796">
        <v>359.17829999999998</v>
      </c>
      <c r="J796">
        <v>-275.32479999999998</v>
      </c>
      <c r="K796">
        <v>1.1036709999999901</v>
      </c>
      <c r="L796">
        <v>367.21190000000001</v>
      </c>
      <c r="M796">
        <v>0.9999228</v>
      </c>
      <c r="N796">
        <v>0</v>
      </c>
      <c r="O796">
        <v>1.1156660000000001E-2</v>
      </c>
      <c r="P796">
        <v>0.98539540000000003</v>
      </c>
      <c r="Q796">
        <v>0.12234150000000001</v>
      </c>
      <c r="R796">
        <v>-0.1184432</v>
      </c>
      <c r="S796">
        <v>2.972137</v>
      </c>
      <c r="T796">
        <v>-8.8459609999999994E-2</v>
      </c>
      <c r="U796">
        <v>-0.69476319999999903</v>
      </c>
      <c r="V796">
        <v>0.12945809999999999</v>
      </c>
      <c r="W796">
        <v>0.1277133</v>
      </c>
      <c r="X796">
        <v>0.98332600000000003</v>
      </c>
      <c r="Y796">
        <v>0.23836740000000001</v>
      </c>
      <c r="Z796">
        <v>-3.8270119999999999E-3</v>
      </c>
      <c r="AA796">
        <v>0.97116749999999996</v>
      </c>
      <c r="AB796">
        <v>23</v>
      </c>
      <c r="AC796">
        <v>34.128300000000003</v>
      </c>
      <c r="AD796">
        <v>-1.02368488999999</v>
      </c>
      <c r="AE796">
        <v>-8.0336000000000301</v>
      </c>
      <c r="AF796">
        <v>8.4066970270303898</v>
      </c>
      <c r="AG796">
        <v>-1.02368488999999</v>
      </c>
      <c r="AH796">
        <v>34.007555783982497</v>
      </c>
      <c r="AI796">
        <v>91.673825131946998</v>
      </c>
      <c r="AJ796">
        <v>76.114800532725198</v>
      </c>
      <c r="AK796">
        <v>35.046174342700702</v>
      </c>
      <c r="AL796">
        <v>82.662527826683601</v>
      </c>
      <c r="AM796">
        <v>82.499955545883097</v>
      </c>
      <c r="AN796">
        <v>1.00000005446424</v>
      </c>
    </row>
    <row r="797" spans="1:40" x14ac:dyDescent="0.25">
      <c r="A797" t="str">
        <f>"20190312151238871"</f>
        <v>20190312151238871</v>
      </c>
      <c r="B797" t="str">
        <f>"1552374758860729"</f>
        <v>1552374758860729</v>
      </c>
      <c r="C797" t="s">
        <v>40</v>
      </c>
      <c r="D797">
        <v>3.8350610000000001</v>
      </c>
      <c r="E797">
        <v>0.54049119999999995</v>
      </c>
      <c r="F797" t="s">
        <v>42</v>
      </c>
      <c r="G797">
        <v>-240.46119999999999</v>
      </c>
      <c r="H797">
        <v>7.9986299999999996E-2</v>
      </c>
      <c r="I797">
        <v>359.07889999999998</v>
      </c>
      <c r="J797">
        <v>-275.09309999999999</v>
      </c>
      <c r="K797">
        <v>1.10466</v>
      </c>
      <c r="L797">
        <v>367.21440000000001</v>
      </c>
      <c r="M797">
        <v>0.99992040000000004</v>
      </c>
      <c r="N797">
        <v>0</v>
      </c>
      <c r="O797">
        <v>1.112284E-2</v>
      </c>
      <c r="P797">
        <v>0.98540340000000004</v>
      </c>
      <c r="Q797">
        <v>0.1221218</v>
      </c>
      <c r="R797">
        <v>-0.1186041</v>
      </c>
      <c r="S797">
        <v>2.9719540000000002</v>
      </c>
      <c r="T797">
        <v>-8.7264179999999997E-2</v>
      </c>
      <c r="U797">
        <v>-0.69329830000000003</v>
      </c>
      <c r="V797">
        <v>0.12958019999999901</v>
      </c>
      <c r="W797">
        <v>0.12797910000000001</v>
      </c>
      <c r="X797">
        <v>0.98327529999999996</v>
      </c>
      <c r="Y797">
        <v>0.237897</v>
      </c>
      <c r="Z797">
        <v>-3.7679570000000002E-3</v>
      </c>
      <c r="AA797">
        <v>0.97128309999999995</v>
      </c>
      <c r="AB797">
        <v>23</v>
      </c>
      <c r="AC797">
        <v>34.631900000000002</v>
      </c>
      <c r="AD797">
        <v>-1.0246736999999999</v>
      </c>
      <c r="AE797">
        <v>-8.1355000000000306</v>
      </c>
      <c r="AF797">
        <v>8.5131457752669508</v>
      </c>
      <c r="AG797">
        <v>-1.0246736999999999</v>
      </c>
      <c r="AH797">
        <v>34.510634663222902</v>
      </c>
      <c r="AI797">
        <v>91.651230243578595</v>
      </c>
      <c r="AJ797">
        <v>76.142830690530303</v>
      </c>
      <c r="AK797">
        <v>35.559914398671701</v>
      </c>
      <c r="AL797">
        <v>82.647172179032296</v>
      </c>
      <c r="AM797">
        <v>82.492579762722698</v>
      </c>
      <c r="AN797">
        <v>0.99999999692946995</v>
      </c>
    </row>
    <row r="798" spans="1:40" x14ac:dyDescent="0.25">
      <c r="A798" t="str">
        <f>"20190312151238885"</f>
        <v>20190312151238885</v>
      </c>
      <c r="B798" t="str">
        <f>"1552374758880249"</f>
        <v>1552374758880249</v>
      </c>
      <c r="C798" t="s">
        <v>40</v>
      </c>
      <c r="D798">
        <v>3.8122419999999999</v>
      </c>
      <c r="E798">
        <v>0.54034009999999999</v>
      </c>
      <c r="F798" t="s">
        <v>42</v>
      </c>
      <c r="G798">
        <v>-239.3758</v>
      </c>
      <c r="H798">
        <v>7.9985570000000006E-2</v>
      </c>
      <c r="I798">
        <v>358.88529999999997</v>
      </c>
      <c r="J798">
        <v>-274.94639999999998</v>
      </c>
      <c r="K798">
        <v>1.1052169999999999</v>
      </c>
      <c r="L798">
        <v>367.21600000000001</v>
      </c>
      <c r="M798">
        <v>0.99991859999999999</v>
      </c>
      <c r="N798">
        <v>0</v>
      </c>
      <c r="O798">
        <v>1.1107560000000001E-2</v>
      </c>
      <c r="P798">
        <v>0.98543860000000005</v>
      </c>
      <c r="Q798">
        <v>0.12198879999999999</v>
      </c>
      <c r="R798">
        <v>-0.11844639999999999</v>
      </c>
      <c r="S798">
        <v>2.971619</v>
      </c>
      <c r="T798">
        <v>-8.5250969999999995E-2</v>
      </c>
      <c r="U798">
        <v>-0.69296259999999998</v>
      </c>
      <c r="V798">
        <v>0.12940550000000001</v>
      </c>
      <c r="W798">
        <v>0.128133199999999</v>
      </c>
      <c r="X798">
        <v>0.98327819999999999</v>
      </c>
      <c r="Y798">
        <v>0.23780689999999999</v>
      </c>
      <c r="Z798">
        <v>-3.6798099999999999E-3</v>
      </c>
      <c r="AA798">
        <v>0.97130550000000004</v>
      </c>
      <c r="AB798">
        <v>23</v>
      </c>
      <c r="AC798">
        <v>35.570599999999899</v>
      </c>
      <c r="AD798">
        <v>-1.0252314300000001</v>
      </c>
      <c r="AE798">
        <v>-8.3307000000000304</v>
      </c>
      <c r="AF798">
        <v>8.7184303328217307</v>
      </c>
      <c r="AG798">
        <v>-1.0252314300000001</v>
      </c>
      <c r="AH798">
        <v>35.447953412619498</v>
      </c>
      <c r="AI798">
        <v>91.608739169230802</v>
      </c>
      <c r="AJ798">
        <v>76.182352384526794</v>
      </c>
      <c r="AK798">
        <v>36.518755839931998</v>
      </c>
      <c r="AL798">
        <v>82.6382693265613</v>
      </c>
      <c r="AM798">
        <v>82.502607904869294</v>
      </c>
      <c r="AN798">
        <v>0.999999959483864</v>
      </c>
    </row>
    <row r="799" spans="1:40" x14ac:dyDescent="0.25">
      <c r="A799" t="str">
        <f>"20190312151238906"</f>
        <v>20190312151238906</v>
      </c>
      <c r="B799" t="str">
        <f>"1552374758900745"</f>
        <v>1552374758900745</v>
      </c>
      <c r="C799" t="s">
        <v>40</v>
      </c>
      <c r="D799">
        <v>3.8937650000000001</v>
      </c>
      <c r="E799">
        <v>0.53990229999999995</v>
      </c>
      <c r="F799" t="s">
        <v>42</v>
      </c>
      <c r="G799">
        <v>-238.83930000000001</v>
      </c>
      <c r="H799">
        <v>7.9985730000000005E-2</v>
      </c>
      <c r="I799">
        <v>358.8193</v>
      </c>
      <c r="J799">
        <v>-274.73360000000002</v>
      </c>
      <c r="K799">
        <v>1.105917</v>
      </c>
      <c r="L799">
        <v>367.21839999999997</v>
      </c>
      <c r="M799">
        <v>0.99991640000000004</v>
      </c>
      <c r="N799">
        <v>0</v>
      </c>
      <c r="O799">
        <v>1.1087380000000001E-2</v>
      </c>
      <c r="P799">
        <v>0.98551120000000003</v>
      </c>
      <c r="Q799">
        <v>0.1213279</v>
      </c>
      <c r="R799">
        <v>-0.1185208</v>
      </c>
      <c r="S799">
        <v>2.9717099999999999</v>
      </c>
      <c r="T799">
        <v>-8.4378960000000003E-2</v>
      </c>
      <c r="U799">
        <v>-0.69107059999999998</v>
      </c>
      <c r="V799">
        <v>0.12945870000000001</v>
      </c>
      <c r="W799">
        <v>0.12785089999999999</v>
      </c>
      <c r="X799">
        <v>0.98330799999999996</v>
      </c>
      <c r="Y799">
        <v>0.2371964</v>
      </c>
      <c r="Z799">
        <v>-3.6332169999999998E-3</v>
      </c>
      <c r="AA799">
        <v>0.97145490000000001</v>
      </c>
      <c r="AB799">
        <v>23</v>
      </c>
      <c r="AC799">
        <v>35.894300000000001</v>
      </c>
      <c r="AD799">
        <v>-1.0259312700000001</v>
      </c>
      <c r="AE799">
        <v>-8.3990999999999705</v>
      </c>
      <c r="AF799">
        <v>8.7897583905833105</v>
      </c>
      <c r="AG799">
        <v>-1.0259312700000001</v>
      </c>
      <c r="AH799">
        <v>35.771261843955401</v>
      </c>
      <c r="AI799">
        <v>91.595378872265499</v>
      </c>
      <c r="AJ799">
        <v>76.194722467819901</v>
      </c>
      <c r="AK799">
        <v>36.849634481829199</v>
      </c>
      <c r="AL799">
        <v>82.654578473915805</v>
      </c>
      <c r="AM799">
        <v>82.499785451032906</v>
      </c>
      <c r="AN799">
        <v>1.00000001525025</v>
      </c>
    </row>
    <row r="800" spans="1:40" x14ac:dyDescent="0.25">
      <c r="A800" t="str">
        <f>"20190312151238929"</f>
        <v>20190312151238929</v>
      </c>
      <c r="B800" t="str">
        <f>"1552374758920265"</f>
        <v>1552374758920265</v>
      </c>
      <c r="C800" t="s">
        <v>40</v>
      </c>
      <c r="D800">
        <v>3.914174</v>
      </c>
      <c r="E800">
        <v>0.53917250000000005</v>
      </c>
      <c r="F800" t="s">
        <v>42</v>
      </c>
      <c r="G800">
        <v>-239.7355</v>
      </c>
      <c r="H800">
        <v>7.998545E-2</v>
      </c>
      <c r="I800">
        <v>359.1164</v>
      </c>
      <c r="J800">
        <v>-274.49619999999999</v>
      </c>
      <c r="K800">
        <v>1.106581</v>
      </c>
      <c r="L800">
        <v>367.22089999999997</v>
      </c>
      <c r="M800">
        <v>0.99991419999999998</v>
      </c>
      <c r="N800">
        <v>0</v>
      </c>
      <c r="O800">
        <v>1.105891E-2</v>
      </c>
      <c r="P800">
        <v>0.98562099999999997</v>
      </c>
      <c r="Q800">
        <v>0.1205807</v>
      </c>
      <c r="R800">
        <v>-0.11837010000000001</v>
      </c>
      <c r="S800">
        <v>2.9720759999999999</v>
      </c>
      <c r="T800">
        <v>-8.7122920000000006E-2</v>
      </c>
      <c r="U800">
        <v>-0.68801880000000004</v>
      </c>
      <c r="V800">
        <v>0.12927949999999999</v>
      </c>
      <c r="W800">
        <v>0.12748199999999901</v>
      </c>
      <c r="X800">
        <v>0.98337949999999996</v>
      </c>
      <c r="Y800">
        <v>0.23618980000000001</v>
      </c>
      <c r="Z800">
        <v>-3.7359160000000001E-3</v>
      </c>
      <c r="AA800">
        <v>0.9716998</v>
      </c>
      <c r="AB800">
        <v>23</v>
      </c>
      <c r="AC800">
        <v>34.7606999999999</v>
      </c>
      <c r="AD800">
        <v>-1.0265955499999999</v>
      </c>
      <c r="AE800">
        <v>-8.1044999999999696</v>
      </c>
      <c r="AF800">
        <v>8.4814131117996308</v>
      </c>
      <c r="AG800">
        <v>-1.0265955499999999</v>
      </c>
      <c r="AH800">
        <v>34.640289146141697</v>
      </c>
      <c r="AI800">
        <v>91.648839362940393</v>
      </c>
      <c r="AJ800">
        <v>76.242215650690994</v>
      </c>
      <c r="AK800">
        <v>35.678255267383697</v>
      </c>
      <c r="AL800">
        <v>82.675889490419607</v>
      </c>
      <c r="AM800">
        <v>82.510587883613894</v>
      </c>
      <c r="AN800">
        <v>1.00000004523224</v>
      </c>
    </row>
    <row r="801" spans="1:40" x14ac:dyDescent="0.25">
      <c r="A801" t="str">
        <f>"20190312151238950"</f>
        <v>20190312151238950</v>
      </c>
      <c r="B801" t="str">
        <f>"1552374758940766"</f>
        <v>1552374758940766</v>
      </c>
      <c r="C801" t="s">
        <v>40</v>
      </c>
      <c r="D801">
        <v>3.9516559999999998</v>
      </c>
      <c r="E801">
        <v>0.53836349999999999</v>
      </c>
      <c r="F801" t="s">
        <v>42</v>
      </c>
      <c r="G801">
        <v>-240.98570000000001</v>
      </c>
      <c r="H801">
        <v>7.9986139999999997E-2</v>
      </c>
      <c r="I801">
        <v>359.53370000000001</v>
      </c>
      <c r="J801">
        <v>-274.27100000000002</v>
      </c>
      <c r="K801">
        <v>1.107121</v>
      </c>
      <c r="L801">
        <v>367.22340000000003</v>
      </c>
      <c r="M801">
        <v>0.99991229999999998</v>
      </c>
      <c r="N801">
        <v>0</v>
      </c>
      <c r="O801">
        <v>1.1027769999999999E-2</v>
      </c>
      <c r="P801">
        <v>0.98565630000000004</v>
      </c>
      <c r="Q801">
        <v>0.1201831</v>
      </c>
      <c r="R801">
        <v>-0.1184825</v>
      </c>
      <c r="S801">
        <v>2.9730219999999998</v>
      </c>
      <c r="T801">
        <v>-9.1078759999999995E-2</v>
      </c>
      <c r="U801">
        <v>-0.68200680000000002</v>
      </c>
      <c r="V801">
        <v>0.12936</v>
      </c>
      <c r="W801">
        <v>0.1274035</v>
      </c>
      <c r="X801">
        <v>0.98337909999999995</v>
      </c>
      <c r="Y801">
        <v>0.2342167</v>
      </c>
      <c r="Z801">
        <v>-3.8743660000000002E-3</v>
      </c>
      <c r="AA801">
        <v>0.9721767</v>
      </c>
      <c r="AB801">
        <v>23</v>
      </c>
      <c r="AC801">
        <v>33.2852999999999</v>
      </c>
      <c r="AD801">
        <v>-1.0271348600000001</v>
      </c>
      <c r="AE801">
        <v>-7.68970000000001</v>
      </c>
      <c r="AF801">
        <v>8.0490285675144193</v>
      </c>
      <c r="AG801">
        <v>-1.0271348600000001</v>
      </c>
      <c r="AH801">
        <v>33.168489067006099</v>
      </c>
      <c r="AI801">
        <v>91.723725488678198</v>
      </c>
      <c r="AJ801">
        <v>76.359655505999996</v>
      </c>
      <c r="AK801">
        <v>34.146603548367601</v>
      </c>
      <c r="AL801">
        <v>82.680424278100901</v>
      </c>
      <c r="AM801">
        <v>82.505974338251207</v>
      </c>
      <c r="AN801">
        <v>1.0000000578645201</v>
      </c>
    </row>
    <row r="802" spans="1:40" x14ac:dyDescent="0.25">
      <c r="A802" t="str">
        <f>"20190312151238971"</f>
        <v>20190312151238971</v>
      </c>
      <c r="B802" t="str">
        <f>"1552374758960280"</f>
        <v>1552374758960280</v>
      </c>
      <c r="C802" t="s">
        <v>40</v>
      </c>
      <c r="D802">
        <v>3.9585919999999999</v>
      </c>
      <c r="E802">
        <v>0.53762580000000004</v>
      </c>
      <c r="F802" t="s">
        <v>42</v>
      </c>
      <c r="G802">
        <v>-240.78319999999999</v>
      </c>
      <c r="H802">
        <v>5.45707E-2</v>
      </c>
      <c r="I802">
        <v>359.61180000000002</v>
      </c>
      <c r="J802">
        <v>-274.04649999999998</v>
      </c>
      <c r="K802">
        <v>1.107578</v>
      </c>
      <c r="L802">
        <v>367.22579999999999</v>
      </c>
      <c r="M802">
        <v>0.99991050000000004</v>
      </c>
      <c r="N802">
        <v>0</v>
      </c>
      <c r="O802">
        <v>1.0994520000000001E-2</v>
      </c>
      <c r="P802">
        <v>0.98577740000000003</v>
      </c>
      <c r="Q802">
        <v>0.1192319</v>
      </c>
      <c r="R802">
        <v>-0.118434999999999</v>
      </c>
      <c r="S802">
        <v>2.9738159999999998</v>
      </c>
      <c r="T802">
        <v>-9.3469499999999997E-2</v>
      </c>
      <c r="U802">
        <v>-0.67593380000000003</v>
      </c>
      <c r="V802">
        <v>0.12928000000000001</v>
      </c>
      <c r="W802">
        <v>0.12673609999999999</v>
      </c>
      <c r="X802">
        <v>0.98347580000000001</v>
      </c>
      <c r="Y802">
        <v>0.23223559999999999</v>
      </c>
      <c r="Z802">
        <v>-3.944108E-3</v>
      </c>
      <c r="AA802">
        <v>0.9726515</v>
      </c>
      <c r="AB802">
        <v>23</v>
      </c>
      <c r="AC802">
        <v>33.263299999999902</v>
      </c>
      <c r="AD802">
        <v>-1.0530073</v>
      </c>
      <c r="AE802">
        <v>-7.6139999999999697</v>
      </c>
      <c r="AF802">
        <v>7.9716733527495203</v>
      </c>
      <c r="AG802">
        <v>-1.0530073</v>
      </c>
      <c r="AH802">
        <v>33.146011249190501</v>
      </c>
      <c r="AI802">
        <v>91.769189963078901</v>
      </c>
      <c r="AJ802">
        <v>76.477087952905904</v>
      </c>
      <c r="AK802">
        <v>34.107396003627301</v>
      </c>
      <c r="AL802">
        <v>82.718975589264701</v>
      </c>
      <c r="AM802">
        <v>82.5112842737514</v>
      </c>
      <c r="AN802">
        <v>1.0000000033144201</v>
      </c>
    </row>
    <row r="803" spans="1:40" x14ac:dyDescent="0.25">
      <c r="A803" t="str">
        <f>"20190312151238995"</f>
        <v>20190312151238995</v>
      </c>
      <c r="B803" t="str">
        <f>"1552374758990537"</f>
        <v>1552374758990537</v>
      </c>
      <c r="C803" t="s">
        <v>40</v>
      </c>
      <c r="D803">
        <v>3.9679389999999999</v>
      </c>
      <c r="E803">
        <v>0.53661359999999902</v>
      </c>
      <c r="F803" t="s">
        <v>42</v>
      </c>
      <c r="G803">
        <v>-240.8039</v>
      </c>
      <c r="H803" s="1">
        <v>-6.1452059999999998E-6</v>
      </c>
      <c r="I803">
        <v>359.73360000000002</v>
      </c>
      <c r="J803">
        <v>-273.80549999999999</v>
      </c>
      <c r="K803">
        <v>1.1079889999999999</v>
      </c>
      <c r="L803">
        <v>367.22840000000002</v>
      </c>
      <c r="M803">
        <v>0.99990869999999998</v>
      </c>
      <c r="N803">
        <v>0</v>
      </c>
      <c r="O803">
        <v>1.095906E-2</v>
      </c>
      <c r="P803">
        <v>0.98585719999999999</v>
      </c>
      <c r="Q803">
        <v>0.1185982</v>
      </c>
      <c r="R803">
        <v>-0.11840729999999999</v>
      </c>
      <c r="S803">
        <v>2.9747309999999998</v>
      </c>
      <c r="T803">
        <v>-9.9112749999999999E-2</v>
      </c>
      <c r="U803">
        <v>-0.670440699999999</v>
      </c>
      <c r="V803">
        <v>0.12921750000000001</v>
      </c>
      <c r="W803">
        <v>0.1263724</v>
      </c>
      <c r="X803">
        <v>0.98353080000000004</v>
      </c>
      <c r="Y803">
        <v>0.23041420000000001</v>
      </c>
      <c r="Z803">
        <v>-4.1505709999999996E-3</v>
      </c>
      <c r="AA803">
        <v>0.97308380000000005</v>
      </c>
      <c r="AB803">
        <v>23</v>
      </c>
      <c r="AC803">
        <v>33.001600000000003</v>
      </c>
      <c r="AD803">
        <v>-1.107995145206</v>
      </c>
      <c r="AE803">
        <v>-7.4947999999999899</v>
      </c>
      <c r="AF803">
        <v>7.8476156414986198</v>
      </c>
      <c r="AG803">
        <v>-1.107995145206</v>
      </c>
      <c r="AH803">
        <v>32.882232194398199</v>
      </c>
      <c r="AI803">
        <v>91.877219018942498</v>
      </c>
      <c r="AJ803">
        <v>76.576979083011295</v>
      </c>
      <c r="AK803">
        <v>33.823866109373299</v>
      </c>
      <c r="AL803">
        <v>82.739982874276706</v>
      </c>
      <c r="AM803">
        <v>82.515277437538799</v>
      </c>
      <c r="AN803">
        <v>0.99999999016832497</v>
      </c>
    </row>
    <row r="804" spans="1:40" x14ac:dyDescent="0.25">
      <c r="A804" t="str">
        <f>"20190312151239016"</f>
        <v>20190312151239016</v>
      </c>
      <c r="B804" t="str">
        <f>"1552374759010057"</f>
        <v>1552374759010057</v>
      </c>
      <c r="C804" t="s">
        <v>40</v>
      </c>
      <c r="D804">
        <v>4.0017559999999897</v>
      </c>
      <c r="E804">
        <v>0.5360241</v>
      </c>
      <c r="F804" t="s">
        <v>42</v>
      </c>
      <c r="G804">
        <v>-242.4821</v>
      </c>
      <c r="H804" s="1">
        <v>-5.3615399999999997E-6</v>
      </c>
      <c r="I804">
        <v>360.25689999999997</v>
      </c>
      <c r="J804">
        <v>-273.57839999999999</v>
      </c>
      <c r="K804">
        <v>1.108314</v>
      </c>
      <c r="L804">
        <v>367.23090000000002</v>
      </c>
      <c r="M804">
        <v>0.99990730000000005</v>
      </c>
      <c r="N804">
        <v>0</v>
      </c>
      <c r="O804">
        <v>1.0926129999999999E-2</v>
      </c>
      <c r="P804">
        <v>0.98584059999999996</v>
      </c>
      <c r="Q804">
        <v>0.11852500000000001</v>
      </c>
      <c r="R804">
        <v>-0.11861819999999999</v>
      </c>
      <c r="S804">
        <v>2.9761350000000002</v>
      </c>
      <c r="T804">
        <v>-0.1052737</v>
      </c>
      <c r="U804">
        <v>-0.66238399999999997</v>
      </c>
      <c r="V804">
        <v>0.1293956</v>
      </c>
      <c r="W804">
        <v>0.12652379999999999</v>
      </c>
      <c r="X804">
        <v>0.98348800000000003</v>
      </c>
      <c r="Y804">
        <v>0.22775970000000001</v>
      </c>
      <c r="Z804">
        <v>-4.360165E-3</v>
      </c>
      <c r="AA804">
        <v>0.97370760000000001</v>
      </c>
      <c r="AB804">
        <v>23</v>
      </c>
      <c r="AC804">
        <v>31.0962999999999</v>
      </c>
      <c r="AD804">
        <v>-1.10831936154</v>
      </c>
      <c r="AE804">
        <v>-6.9740000000000402</v>
      </c>
      <c r="AF804">
        <v>7.3045224100065704</v>
      </c>
      <c r="AG804">
        <v>-1.10831936154</v>
      </c>
      <c r="AH804">
        <v>30.9807715905865</v>
      </c>
      <c r="AI804">
        <v>91.994216018154205</v>
      </c>
      <c r="AJ804">
        <v>76.733321443152207</v>
      </c>
      <c r="AK804">
        <v>31.849531045111899</v>
      </c>
      <c r="AL804">
        <v>82.731238682083102</v>
      </c>
      <c r="AM804">
        <v>82.504756014524304</v>
      </c>
      <c r="AN804">
        <v>1.0000000697048901</v>
      </c>
    </row>
    <row r="805" spans="1:40" x14ac:dyDescent="0.25">
      <c r="A805" t="str">
        <f>"20190312151239039"</f>
        <v>20190312151239039</v>
      </c>
      <c r="B805" t="str">
        <f>"1552374759030553"</f>
        <v>1552374759030553</v>
      </c>
      <c r="C805" t="s">
        <v>40</v>
      </c>
      <c r="D805">
        <v>4.0677820000000002</v>
      </c>
      <c r="E805">
        <v>0.53547319999999998</v>
      </c>
      <c r="F805" t="s">
        <v>42</v>
      </c>
      <c r="G805">
        <v>-242.94800000000001</v>
      </c>
      <c r="H805" s="1">
        <v>-5.1300349999999999E-6</v>
      </c>
      <c r="I805">
        <v>360.4545</v>
      </c>
      <c r="J805">
        <v>-273.34050000000002</v>
      </c>
      <c r="K805">
        <v>1.1085989999999999</v>
      </c>
      <c r="L805">
        <v>367.23340000000002</v>
      </c>
      <c r="M805">
        <v>0.99990590000000001</v>
      </c>
      <c r="N805">
        <v>0</v>
      </c>
      <c r="O805">
        <v>1.089204E-2</v>
      </c>
      <c r="P805">
        <v>0.98588370000000003</v>
      </c>
      <c r="Q805">
        <v>0.11815290000000001</v>
      </c>
      <c r="R805">
        <v>-0.118632</v>
      </c>
      <c r="S805">
        <v>2.9768370000000002</v>
      </c>
      <c r="T805">
        <v>-0.10771269999999999</v>
      </c>
      <c r="U805">
        <v>-0.65856930000000002</v>
      </c>
      <c r="V805">
        <v>0.12937609999999999</v>
      </c>
      <c r="W805">
        <v>0.1263601</v>
      </c>
      <c r="X805">
        <v>0.98351160000000004</v>
      </c>
      <c r="Y805">
        <v>0.22648260000000001</v>
      </c>
      <c r="Z805">
        <v>-4.4366639999999999E-3</v>
      </c>
      <c r="AA805">
        <v>0.97400509999999996</v>
      </c>
      <c r="AB805">
        <v>23</v>
      </c>
      <c r="AC805">
        <v>30.392499999999998</v>
      </c>
      <c r="AD805">
        <v>-1.10860413003499</v>
      </c>
      <c r="AE805">
        <v>-6.7789000000000197</v>
      </c>
      <c r="AF805">
        <v>7.1005460211872897</v>
      </c>
      <c r="AG805">
        <v>-1.10860413003499</v>
      </c>
      <c r="AH805">
        <v>30.278481578217001</v>
      </c>
      <c r="AI805">
        <v>92.041531990538004</v>
      </c>
      <c r="AJ805">
        <v>76.8021662086785</v>
      </c>
      <c r="AK805">
        <v>31.119659438987402</v>
      </c>
      <c r="AL805">
        <v>82.740693807831903</v>
      </c>
      <c r="AM805">
        <v>82.506050495538602</v>
      </c>
      <c r="AN805">
        <v>1.00000005872888</v>
      </c>
    </row>
    <row r="806" spans="1:40" x14ac:dyDescent="0.25">
      <c r="A806" t="str">
        <f>"20190312151239061"</f>
        <v>20190312151239061</v>
      </c>
      <c r="B806" t="str">
        <f>"1552374759050073"</f>
        <v>1552374759050073</v>
      </c>
      <c r="C806" t="s">
        <v>40</v>
      </c>
      <c r="D806">
        <v>4.0667220000000004</v>
      </c>
      <c r="E806">
        <v>0.53493930000000001</v>
      </c>
      <c r="F806" t="s">
        <v>42</v>
      </c>
      <c r="G806">
        <v>-243.60640000000001</v>
      </c>
      <c r="H806" s="1">
        <v>-4.8127550000000001E-6</v>
      </c>
      <c r="I806">
        <v>360.69670000000002</v>
      </c>
      <c r="J806">
        <v>-273.10669999999999</v>
      </c>
      <c r="K806">
        <v>1.108833</v>
      </c>
      <c r="L806">
        <v>367.23599999999999</v>
      </c>
      <c r="M806">
        <v>0.99990449999999997</v>
      </c>
      <c r="N806">
        <v>0</v>
      </c>
      <c r="O806">
        <v>1.085853E-2</v>
      </c>
      <c r="P806">
        <v>0.9858287</v>
      </c>
      <c r="Q806">
        <v>0.1186078</v>
      </c>
      <c r="R806">
        <v>-0.1186344</v>
      </c>
      <c r="S806">
        <v>2.977509</v>
      </c>
      <c r="T806">
        <v>-0.11101320000000001</v>
      </c>
      <c r="U806">
        <v>-0.65457149999999997</v>
      </c>
      <c r="V806">
        <v>0.12934469999999901</v>
      </c>
      <c r="W806">
        <v>0.12699530000000001</v>
      </c>
      <c r="X806">
        <v>0.98343380000000002</v>
      </c>
      <c r="Y806">
        <v>0.22514799999999999</v>
      </c>
      <c r="Z806">
        <v>-4.546352E-3</v>
      </c>
      <c r="AA806">
        <v>0.97431400000000001</v>
      </c>
      <c r="AB806">
        <v>23</v>
      </c>
      <c r="AC806">
        <v>29.5002999999999</v>
      </c>
      <c r="AD806">
        <v>-1.108837812755</v>
      </c>
      <c r="AE806">
        <v>-6.5392999999999599</v>
      </c>
      <c r="AF806">
        <v>6.8500315278889401</v>
      </c>
      <c r="AG806">
        <v>-1.108837812755</v>
      </c>
      <c r="AH806">
        <v>29.387975913873799</v>
      </c>
      <c r="AI806">
        <v>92.104443105232093</v>
      </c>
      <c r="AJ806">
        <v>76.879222287585904</v>
      </c>
      <c r="AK806">
        <v>30.196118650291702</v>
      </c>
      <c r="AL806">
        <v>82.704003144187894</v>
      </c>
      <c r="AM806">
        <v>82.507262662584196</v>
      </c>
      <c r="AN806">
        <v>0.99999994831130801</v>
      </c>
    </row>
    <row r="807" spans="1:40" x14ac:dyDescent="0.25">
      <c r="A807" t="str">
        <f>"20190312151239084"</f>
        <v>20190312151239084</v>
      </c>
      <c r="B807" t="str">
        <f>"1552374759080329"</f>
        <v>1552374759080329</v>
      </c>
      <c r="C807" t="s">
        <v>40</v>
      </c>
      <c r="D807">
        <v>4.0612469999999998</v>
      </c>
      <c r="E807">
        <v>0.53423520000000002</v>
      </c>
      <c r="F807" t="s">
        <v>42</v>
      </c>
      <c r="G807">
        <v>-243.64279999999999</v>
      </c>
      <c r="H807" s="1">
        <v>-4.7707650000000002E-6</v>
      </c>
      <c r="I807">
        <v>360.80200000000002</v>
      </c>
      <c r="J807">
        <v>-272.8723</v>
      </c>
      <c r="K807">
        <v>1.1090279999999999</v>
      </c>
      <c r="L807">
        <v>367.23849999999999</v>
      </c>
      <c r="M807">
        <v>0.9999036</v>
      </c>
      <c r="N807">
        <v>0</v>
      </c>
      <c r="O807">
        <v>1.082432E-2</v>
      </c>
      <c r="P807">
        <v>0.98586510000000005</v>
      </c>
      <c r="Q807">
        <v>0.1184093</v>
      </c>
      <c r="R807">
        <v>-0.11853130000000001</v>
      </c>
      <c r="S807">
        <v>2.9783019999999998</v>
      </c>
      <c r="T807">
        <v>-0.1120847</v>
      </c>
      <c r="U807">
        <v>-0.6503601</v>
      </c>
      <c r="V807">
        <v>0.12920799999999999</v>
      </c>
      <c r="W807">
        <v>0.12695699999999999</v>
      </c>
      <c r="X807">
        <v>0.98345669999999996</v>
      </c>
      <c r="Y807">
        <v>0.22374340000000001</v>
      </c>
      <c r="Z807">
        <v>-4.5623119999999998E-3</v>
      </c>
      <c r="AA807">
        <v>0.97463739999999999</v>
      </c>
      <c r="AB807">
        <v>23</v>
      </c>
      <c r="AC807">
        <v>29.229500000000002</v>
      </c>
      <c r="AD807">
        <v>-1.1090327707650001</v>
      </c>
      <c r="AE807">
        <v>-6.4365000000000201</v>
      </c>
      <c r="AF807">
        <v>6.7432655798855299</v>
      </c>
      <c r="AG807">
        <v>-1.1090327707650001</v>
      </c>
      <c r="AH807">
        <v>29.1181338944257</v>
      </c>
      <c r="AI807">
        <v>92.1250055597813</v>
      </c>
      <c r="AJ807">
        <v>76.961121583857206</v>
      </c>
      <c r="AK807">
        <v>29.909318044067899</v>
      </c>
      <c r="AL807">
        <v>82.706215374449002</v>
      </c>
      <c r="AM807">
        <v>82.515263958792403</v>
      </c>
      <c r="AN807">
        <v>0.99999993394394204</v>
      </c>
    </row>
    <row r="808" spans="1:40" x14ac:dyDescent="0.25">
      <c r="A808" t="str">
        <f>"20190312151239107"</f>
        <v>20190312151239107</v>
      </c>
      <c r="B808" t="str">
        <f>"1552374759100825"</f>
        <v>1552374759100825</v>
      </c>
      <c r="C808" t="s">
        <v>40</v>
      </c>
      <c r="D808">
        <v>4.0928060000000004</v>
      </c>
      <c r="E808">
        <v>0.53377069999999904</v>
      </c>
      <c r="F808" t="s">
        <v>42</v>
      </c>
      <c r="G808">
        <v>-244.32980000000001</v>
      </c>
      <c r="H808" s="1">
        <v>-4.4378650000000004E-6</v>
      </c>
      <c r="I808">
        <v>361.0616</v>
      </c>
      <c r="J808">
        <v>-272.625</v>
      </c>
      <c r="K808">
        <v>1.1092010000000001</v>
      </c>
      <c r="L808">
        <v>367.24110000000002</v>
      </c>
      <c r="M808">
        <v>0.99990279999999998</v>
      </c>
      <c r="N808">
        <v>0</v>
      </c>
      <c r="O808">
        <v>1.0787420000000001E-2</v>
      </c>
      <c r="P808">
        <v>0.98589649999999995</v>
      </c>
      <c r="Q808">
        <v>0.1182463</v>
      </c>
      <c r="R808">
        <v>-0.11843139999999901</v>
      </c>
      <c r="S808">
        <v>2.9794010000000002</v>
      </c>
      <c r="T808">
        <v>-0.11576640000000001</v>
      </c>
      <c r="U808">
        <v>-0.6447754</v>
      </c>
      <c r="V808">
        <v>0.12907249999999901</v>
      </c>
      <c r="W808">
        <v>0.12694279999999999</v>
      </c>
      <c r="X808">
        <v>0.98347640000000003</v>
      </c>
      <c r="Y808">
        <v>0.2218784</v>
      </c>
      <c r="Z808">
        <v>-4.6740690000000003E-3</v>
      </c>
      <c r="AA808">
        <v>0.97506309999999996</v>
      </c>
      <c r="AB808">
        <v>24</v>
      </c>
      <c r="AC808">
        <v>28.295199999999902</v>
      </c>
      <c r="AD808">
        <v>-1.109205437865</v>
      </c>
      <c r="AE808">
        <v>-6.1795000000000098</v>
      </c>
      <c r="AF808">
        <v>6.4748873304122796</v>
      </c>
      <c r="AG808">
        <v>-1.109205437865</v>
      </c>
      <c r="AH808">
        <v>28.185548198513398</v>
      </c>
      <c r="AI808">
        <v>92.196483525992605</v>
      </c>
      <c r="AJ808">
        <v>77.062273943826995</v>
      </c>
      <c r="AK808">
        <v>28.940968019325901</v>
      </c>
      <c r="AL808">
        <v>82.707036147002896</v>
      </c>
      <c r="AM808">
        <v>82.523172397332999</v>
      </c>
      <c r="AN808">
        <v>1.0000000070425199</v>
      </c>
    </row>
    <row r="809" spans="1:40" x14ac:dyDescent="0.25">
      <c r="A809" t="str">
        <f>"20190312151239129"</f>
        <v>20190312151239129</v>
      </c>
      <c r="B809" t="str">
        <f>"1552374759120345"</f>
        <v>1552374759120345</v>
      </c>
      <c r="C809" t="s">
        <v>40</v>
      </c>
      <c r="D809">
        <v>4.1204340000000004</v>
      </c>
      <c r="E809">
        <v>0.53335149999999998</v>
      </c>
      <c r="F809" t="s">
        <v>42</v>
      </c>
      <c r="G809">
        <v>-244.59559999999999</v>
      </c>
      <c r="H809" s="1">
        <v>-4.2961269999999999E-6</v>
      </c>
      <c r="I809">
        <v>361.21069999999997</v>
      </c>
      <c r="J809">
        <v>-272.39299999999997</v>
      </c>
      <c r="K809">
        <v>1.109335</v>
      </c>
      <c r="L809">
        <v>367.24360000000001</v>
      </c>
      <c r="M809">
        <v>0.99990199999999996</v>
      </c>
      <c r="N809">
        <v>0</v>
      </c>
      <c r="O809">
        <v>1.075282E-2</v>
      </c>
      <c r="P809">
        <v>0.9859173</v>
      </c>
      <c r="Q809">
        <v>0.11783970000000001</v>
      </c>
      <c r="R809">
        <v>-0.1186653</v>
      </c>
      <c r="S809">
        <v>2.9800420000000001</v>
      </c>
      <c r="T809">
        <v>-0.1179289</v>
      </c>
      <c r="U809">
        <v>-0.64114380000000004</v>
      </c>
      <c r="V809">
        <v>0.1292721</v>
      </c>
      <c r="W809">
        <v>0.1266581</v>
      </c>
      <c r="X809">
        <v>0.98348690000000005</v>
      </c>
      <c r="Y809">
        <v>0.22066040000000001</v>
      </c>
      <c r="Z809">
        <v>-4.7357450000000004E-3</v>
      </c>
      <c r="AA809">
        <v>0.97533919999999996</v>
      </c>
      <c r="AB809">
        <v>24</v>
      </c>
      <c r="AC809">
        <v>27.7973999999999</v>
      </c>
      <c r="AD809">
        <v>-1.1093392961270001</v>
      </c>
      <c r="AE809">
        <v>-6.0329000000000397</v>
      </c>
      <c r="AF809">
        <v>6.32184806483599</v>
      </c>
      <c r="AG809">
        <v>-1.1093392961270001</v>
      </c>
      <c r="AH809">
        <v>27.6888046493258</v>
      </c>
      <c r="AI809">
        <v>92.2368023305485</v>
      </c>
      <c r="AJ809">
        <v>77.138807359897498</v>
      </c>
      <c r="AK809">
        <v>28.422988926876201</v>
      </c>
      <c r="AL809">
        <v>82.723481061874594</v>
      </c>
      <c r="AM809">
        <v>82.511820254489095</v>
      </c>
      <c r="AN809">
        <v>1.00000001630281</v>
      </c>
    </row>
    <row r="810" spans="1:40" x14ac:dyDescent="0.25">
      <c r="A810" t="str">
        <f>"20190312151239151"</f>
        <v>20190312151239151</v>
      </c>
      <c r="B810" t="str">
        <f>"1552374759140841"</f>
        <v>1552374759140841</v>
      </c>
      <c r="C810" t="s">
        <v>40</v>
      </c>
      <c r="D810">
        <v>4.0586710000000004</v>
      </c>
      <c r="E810">
        <v>0.53293900000000005</v>
      </c>
      <c r="F810" t="s">
        <v>42</v>
      </c>
      <c r="G810">
        <v>-245.14070000000001</v>
      </c>
      <c r="H810" s="1">
        <v>-4.0337250000000001E-6</v>
      </c>
      <c r="I810">
        <v>361.4101</v>
      </c>
      <c r="J810">
        <v>-272.16109999999998</v>
      </c>
      <c r="K810">
        <v>1.10945</v>
      </c>
      <c r="L810">
        <v>367.24599999999998</v>
      </c>
      <c r="M810">
        <v>0.99990140000000005</v>
      </c>
      <c r="N810">
        <v>0</v>
      </c>
      <c r="O810">
        <v>1.0718470000000001E-2</v>
      </c>
      <c r="P810">
        <v>0.98591139999999999</v>
      </c>
      <c r="Q810">
        <v>0.11755259999999999</v>
      </c>
      <c r="R810">
        <v>-0.11899709999999999</v>
      </c>
      <c r="S810">
        <v>2.9805600000000001</v>
      </c>
      <c r="T810">
        <v>-0.12132759999999999</v>
      </c>
      <c r="U810">
        <v>-0.63800049999999997</v>
      </c>
      <c r="V810">
        <v>0.12957009999999999</v>
      </c>
      <c r="W810">
        <v>0.1264788</v>
      </c>
      <c r="X810">
        <v>0.98347070000000003</v>
      </c>
      <c r="Y810">
        <v>0.2195993</v>
      </c>
      <c r="Z810">
        <v>-4.8490979999999996E-3</v>
      </c>
      <c r="AA810">
        <v>0.9755781</v>
      </c>
      <c r="AB810">
        <v>24</v>
      </c>
      <c r="AC810">
        <v>27.020399999999899</v>
      </c>
      <c r="AD810">
        <v>-1.1094540337250001</v>
      </c>
      <c r="AE810">
        <v>-5.8358999999999801</v>
      </c>
      <c r="AF810">
        <v>6.11534356505154</v>
      </c>
      <c r="AG810">
        <v>-1.1094540337250001</v>
      </c>
      <c r="AH810">
        <v>26.912942552664401</v>
      </c>
      <c r="AI810">
        <v>92.301998751268698</v>
      </c>
      <c r="AJ810">
        <v>77.198232609745901</v>
      </c>
      <c r="AK810">
        <v>27.621274264859299</v>
      </c>
      <c r="AL810">
        <v>82.733837054572007</v>
      </c>
      <c r="AM810">
        <v>82.494632732331596</v>
      </c>
      <c r="AN810">
        <v>0.99999995771096895</v>
      </c>
    </row>
    <row r="811" spans="1:40" x14ac:dyDescent="0.25">
      <c r="A811" t="str">
        <f>"20190312151239174"</f>
        <v>20190312151239174</v>
      </c>
      <c r="B811" t="str">
        <f>"1552374759170121"</f>
        <v>1552374759170121</v>
      </c>
      <c r="C811" t="s">
        <v>40</v>
      </c>
      <c r="D811">
        <v>4.1289009999999999</v>
      </c>
      <c r="E811">
        <v>0.53234289999999995</v>
      </c>
      <c r="F811" t="s">
        <v>42</v>
      </c>
      <c r="G811">
        <v>-245.49469999999999</v>
      </c>
      <c r="H811" s="1">
        <v>-3.8579659999999996E-6</v>
      </c>
      <c r="I811">
        <v>361.55990000000003</v>
      </c>
      <c r="J811">
        <v>-271.91989999999998</v>
      </c>
      <c r="K811">
        <v>1.109542</v>
      </c>
      <c r="L811">
        <v>367.24849999999998</v>
      </c>
      <c r="M811">
        <v>0.99990089999999998</v>
      </c>
      <c r="N811">
        <v>0</v>
      </c>
      <c r="O811">
        <v>1.0682769999999999E-2</v>
      </c>
      <c r="P811">
        <v>0.98592970000000002</v>
      </c>
      <c r="Q811">
        <v>0.1172608</v>
      </c>
      <c r="R811">
        <v>-0.11913219999999999</v>
      </c>
      <c r="S811">
        <v>2.980896</v>
      </c>
      <c r="T811">
        <v>-0.12401959999999999</v>
      </c>
      <c r="U811">
        <v>-0.63562010000000002</v>
      </c>
      <c r="V811">
        <v>0.12967020000000001</v>
      </c>
      <c r="W811">
        <v>0.12628629999999999</v>
      </c>
      <c r="X811">
        <v>0.98348230000000003</v>
      </c>
      <c r="Y811">
        <v>0.21878939999999999</v>
      </c>
      <c r="Z811">
        <v>-4.9383389999999999E-3</v>
      </c>
      <c r="AA811">
        <v>0.97575959999999995</v>
      </c>
      <c r="AB811">
        <v>24</v>
      </c>
      <c r="AC811">
        <v>26.425199999999901</v>
      </c>
      <c r="AD811">
        <v>-1.109545857966</v>
      </c>
      <c r="AE811">
        <v>-5.6885999999999504</v>
      </c>
      <c r="AF811">
        <v>5.9605385137320601</v>
      </c>
      <c r="AG811">
        <v>-1.109545857966</v>
      </c>
      <c r="AH811">
        <v>26.318574629775998</v>
      </c>
      <c r="AI811">
        <v>92.354503633843294</v>
      </c>
      <c r="AJ811">
        <v>77.239121481435802</v>
      </c>
      <c r="AK811">
        <v>27.0078966587126</v>
      </c>
      <c r="AL811">
        <v>82.744956044899794</v>
      </c>
      <c r="AM811">
        <v>82.488988183670102</v>
      </c>
      <c r="AN811">
        <v>1.0000000123745101</v>
      </c>
    </row>
    <row r="812" spans="1:40" x14ac:dyDescent="0.25">
      <c r="A812" t="str">
        <f>"20190312151239196"</f>
        <v>20190312151239196</v>
      </c>
      <c r="B812" t="str">
        <f>"1552374759190618"</f>
        <v>1552374759190618</v>
      </c>
      <c r="C812" t="s">
        <v>40</v>
      </c>
      <c r="D812">
        <v>4.121848</v>
      </c>
      <c r="E812">
        <v>0.53198469999999998</v>
      </c>
      <c r="F812" t="s">
        <v>42</v>
      </c>
      <c r="G812">
        <v>-246.02690000000001</v>
      </c>
      <c r="H812" s="1">
        <v>-3.6004739999999998E-6</v>
      </c>
      <c r="I812">
        <v>361.75940000000003</v>
      </c>
      <c r="J812">
        <v>-271.68400000000003</v>
      </c>
      <c r="K812">
        <v>1.1096269999999999</v>
      </c>
      <c r="L812">
        <v>367.25099999999998</v>
      </c>
      <c r="M812">
        <v>0.99990049999999997</v>
      </c>
      <c r="N812">
        <v>0</v>
      </c>
      <c r="O812">
        <v>1.064815E-2</v>
      </c>
      <c r="P812">
        <v>0.98598710000000001</v>
      </c>
      <c r="Q812">
        <v>0.1167777</v>
      </c>
      <c r="R812">
        <v>-0.1191343</v>
      </c>
      <c r="S812">
        <v>2.981598</v>
      </c>
      <c r="T812">
        <v>-0.1277654</v>
      </c>
      <c r="U812">
        <v>-0.63208009999999903</v>
      </c>
      <c r="V812">
        <v>0.12963849999999999</v>
      </c>
      <c r="W812">
        <v>0.12588940000000001</v>
      </c>
      <c r="X812">
        <v>0.98353729999999995</v>
      </c>
      <c r="Y812">
        <v>0.21758959999999999</v>
      </c>
      <c r="Z812">
        <v>-5.0599340000000003E-3</v>
      </c>
      <c r="AA812">
        <v>0.97602730000000004</v>
      </c>
      <c r="AB812">
        <v>24</v>
      </c>
      <c r="AC812">
        <v>25.6571</v>
      </c>
      <c r="AD812">
        <v>-1.109630600474</v>
      </c>
      <c r="AE812">
        <v>-5.4915999999999396</v>
      </c>
      <c r="AF812">
        <v>5.7542096010586503</v>
      </c>
      <c r="AG812">
        <v>-1.109630600474</v>
      </c>
      <c r="AH812">
        <v>25.551468713112399</v>
      </c>
      <c r="AI812">
        <v>92.425956499401195</v>
      </c>
      <c r="AJ812">
        <v>77.308669764157301</v>
      </c>
      <c r="AK812">
        <v>26.214876722952301</v>
      </c>
      <c r="AL812">
        <v>82.767879245970803</v>
      </c>
      <c r="AM812">
        <v>82.491218543468705</v>
      </c>
      <c r="AN812">
        <v>0.99999995110294804</v>
      </c>
    </row>
    <row r="813" spans="1:40" x14ac:dyDescent="0.25">
      <c r="A813" t="str">
        <f>"20190312151239210"</f>
        <v>20190312151239210</v>
      </c>
      <c r="B813" t="str">
        <f>"1552374759200378"</f>
        <v>1552374759200378</v>
      </c>
      <c r="C813" t="s">
        <v>40</v>
      </c>
      <c r="D813">
        <v>4.1027459999999998</v>
      </c>
      <c r="E813">
        <v>0.53180780000000005</v>
      </c>
      <c r="F813" t="s">
        <v>42</v>
      </c>
      <c r="G813">
        <v>-246.423</v>
      </c>
      <c r="H813" s="1">
        <v>-3.405906E-6</v>
      </c>
      <c r="I813">
        <v>361.91899999999998</v>
      </c>
      <c r="J813">
        <v>-271.53280000000001</v>
      </c>
      <c r="K813">
        <v>1.109669</v>
      </c>
      <c r="L813">
        <v>367.25259999999997</v>
      </c>
      <c r="M813">
        <v>0.99990020000000002</v>
      </c>
      <c r="N813">
        <v>0</v>
      </c>
      <c r="O813">
        <v>1.0626450000000001E-2</v>
      </c>
      <c r="P813">
        <v>0.98598609999999998</v>
      </c>
      <c r="Q813">
        <v>0.1167212</v>
      </c>
      <c r="R813">
        <v>-0.11919730000000001</v>
      </c>
      <c r="S813">
        <v>2.9820859999999998</v>
      </c>
      <c r="T813">
        <v>-0.13099340000000001</v>
      </c>
      <c r="U813">
        <v>-0.6294556</v>
      </c>
      <c r="V813">
        <v>0.1296803</v>
      </c>
      <c r="W813">
        <v>0.12588279999999999</v>
      </c>
      <c r="X813">
        <v>0.98353270000000004</v>
      </c>
      <c r="Y813">
        <v>0.21670439999999999</v>
      </c>
      <c r="Z813">
        <v>-5.167123E-3</v>
      </c>
      <c r="AA813">
        <v>0.97622359999999997</v>
      </c>
      <c r="AB813">
        <v>24</v>
      </c>
      <c r="AC813">
        <v>25.1098</v>
      </c>
      <c r="AD813">
        <v>-1.1096724059059999</v>
      </c>
      <c r="AE813">
        <v>-5.3335999999999304</v>
      </c>
      <c r="AF813">
        <v>5.5896930140692902</v>
      </c>
      <c r="AG813">
        <v>-1.1096724059059999</v>
      </c>
      <c r="AH813">
        <v>25.004975851192</v>
      </c>
      <c r="AI813">
        <v>92.479881314998593</v>
      </c>
      <c r="AJ813">
        <v>77.399086243351803</v>
      </c>
      <c r="AK813">
        <v>25.646147043145799</v>
      </c>
      <c r="AL813">
        <v>82.768260900628803</v>
      </c>
      <c r="AM813">
        <v>82.488790359588705</v>
      </c>
      <c r="AN813">
        <v>1.0000000157566</v>
      </c>
    </row>
    <row r="814" spans="1:40" x14ac:dyDescent="0.25">
      <c r="A814" t="str">
        <f>"20190312151239228"</f>
        <v>20190312151239228</v>
      </c>
      <c r="B814" t="str">
        <f>"1552374759220882"</f>
        <v>1552374759220882</v>
      </c>
      <c r="C814" t="s">
        <v>40</v>
      </c>
      <c r="D814">
        <v>4.1279149999999998</v>
      </c>
      <c r="E814">
        <v>0.53148319999999905</v>
      </c>
      <c r="F814" t="s">
        <v>42</v>
      </c>
      <c r="G814">
        <v>-246.49109999999999</v>
      </c>
      <c r="H814" s="1">
        <v>-3.3635640000000001E-6</v>
      </c>
      <c r="I814">
        <v>361.97989999999999</v>
      </c>
      <c r="J814">
        <v>-271.33589999999998</v>
      </c>
      <c r="K814">
        <v>1.109715</v>
      </c>
      <c r="L814">
        <v>367.25470000000001</v>
      </c>
      <c r="M814">
        <v>0.99989989999999995</v>
      </c>
      <c r="N814">
        <v>0</v>
      </c>
      <c r="O814">
        <v>1.0598150000000001E-2</v>
      </c>
      <c r="P814">
        <v>0.98595100000000002</v>
      </c>
      <c r="Q814">
        <v>0.11663949999999999</v>
      </c>
      <c r="R814">
        <v>-0.1195659</v>
      </c>
      <c r="S814">
        <v>2.982361</v>
      </c>
      <c r="T814">
        <v>-0.1321571</v>
      </c>
      <c r="U814">
        <v>-0.62796019999999997</v>
      </c>
      <c r="V814">
        <v>0.13002079999999999</v>
      </c>
      <c r="W814">
        <v>0.125861</v>
      </c>
      <c r="X814">
        <v>0.98349050000000005</v>
      </c>
      <c r="Y814">
        <v>0.21618670000000001</v>
      </c>
      <c r="Z814">
        <v>-5.2002000000000003E-3</v>
      </c>
      <c r="AA814">
        <v>0.97633820000000004</v>
      </c>
      <c r="AB814">
        <v>24</v>
      </c>
      <c r="AC814">
        <v>24.8447999999999</v>
      </c>
      <c r="AD814">
        <v>-1.109718363564</v>
      </c>
      <c r="AE814">
        <v>-5.2748000000000204</v>
      </c>
      <c r="AF814">
        <v>5.5272726312163698</v>
      </c>
      <c r="AG814">
        <v>-1.109718363564</v>
      </c>
      <c r="AH814">
        <v>24.740269691538501</v>
      </c>
      <c r="AI814">
        <v>92.506554514580998</v>
      </c>
      <c r="AJ814">
        <v>77.406248506326406</v>
      </c>
      <c r="AK814">
        <v>25.374458851299298</v>
      </c>
      <c r="AL814">
        <v>82.769519714781893</v>
      </c>
      <c r="AM814">
        <v>82.468974907864606</v>
      </c>
      <c r="AN814">
        <v>0.99999998167194404</v>
      </c>
    </row>
    <row r="815" spans="1:40" x14ac:dyDescent="0.25">
      <c r="A815" t="str">
        <f>"20190312151239252"</f>
        <v>20190312151239252</v>
      </c>
      <c r="B815" t="str">
        <f>"1552374759240393"</f>
        <v>1552374759240393</v>
      </c>
      <c r="C815" t="s">
        <v>40</v>
      </c>
      <c r="D815">
        <v>4.1370760000000004</v>
      </c>
      <c r="E815">
        <v>0.53118310000000002</v>
      </c>
      <c r="F815" t="s">
        <v>42</v>
      </c>
      <c r="G815">
        <v>-246.6464</v>
      </c>
      <c r="H815" s="1">
        <v>-3.280648E-6</v>
      </c>
      <c r="I815">
        <v>362.06740000000002</v>
      </c>
      <c r="J815">
        <v>-271.09120000000001</v>
      </c>
      <c r="K815">
        <v>1.1097669999999999</v>
      </c>
      <c r="L815">
        <v>367.25729999999999</v>
      </c>
      <c r="M815">
        <v>0.9998996</v>
      </c>
      <c r="N815">
        <v>0</v>
      </c>
      <c r="O815">
        <v>1.0562759999999999E-2</v>
      </c>
      <c r="P815">
        <v>0.98602140000000005</v>
      </c>
      <c r="Q815">
        <v>0.116025</v>
      </c>
      <c r="R815">
        <v>-0.1195846</v>
      </c>
      <c r="S815">
        <v>2.9825740000000001</v>
      </c>
      <c r="T815">
        <v>-0.1340576</v>
      </c>
      <c r="U815">
        <v>-0.62664790000000004</v>
      </c>
      <c r="V815">
        <v>0.13000510000000001</v>
      </c>
      <c r="W815">
        <v>0.12531700000000001</v>
      </c>
      <c r="X815">
        <v>0.98356209999999999</v>
      </c>
      <c r="Y815">
        <v>0.21572089999999999</v>
      </c>
      <c r="Z815">
        <v>-5.2628550000000003E-3</v>
      </c>
      <c r="AA815">
        <v>0.9764408</v>
      </c>
      <c r="AB815">
        <v>24</v>
      </c>
      <c r="AC815">
        <v>24.444800000000001</v>
      </c>
      <c r="AD815">
        <v>-1.1097702806480001</v>
      </c>
      <c r="AE815">
        <v>-5.1898999999999598</v>
      </c>
      <c r="AF815">
        <v>5.4371036000282897</v>
      </c>
      <c r="AG815">
        <v>-1.1097702806480001</v>
      </c>
      <c r="AH815">
        <v>24.340610118870298</v>
      </c>
      <c r="AI815">
        <v>92.547795598929099</v>
      </c>
      <c r="AJ815">
        <v>77.408222152926001</v>
      </c>
      <c r="AK815">
        <v>24.9651554489873</v>
      </c>
      <c r="AL815">
        <v>82.800937799641304</v>
      </c>
      <c r="AM815">
        <v>82.470415720465297</v>
      </c>
      <c r="AN815">
        <v>1.0000000405356999</v>
      </c>
    </row>
    <row r="816" spans="1:40" x14ac:dyDescent="0.25">
      <c r="A816" t="str">
        <f>"20190312151239285"</f>
        <v>20190312151239285</v>
      </c>
      <c r="B816" t="str">
        <f>"1552374759280409"</f>
        <v>1552374759280409</v>
      </c>
      <c r="C816" t="s">
        <v>40</v>
      </c>
      <c r="D816">
        <v>4.1480110000000003</v>
      </c>
      <c r="E816">
        <v>0.53076369999999995</v>
      </c>
      <c r="F816" t="s">
        <v>42</v>
      </c>
      <c r="G816">
        <v>-246.96440000000001</v>
      </c>
      <c r="H816" s="1">
        <v>-3.1213390000000001E-6</v>
      </c>
      <c r="I816">
        <v>362.20710000000003</v>
      </c>
      <c r="J816">
        <v>-270.73939999999999</v>
      </c>
      <c r="K816">
        <v>1.109829</v>
      </c>
      <c r="L816">
        <v>367.26089999999999</v>
      </c>
      <c r="M816">
        <v>0.99989919999999999</v>
      </c>
      <c r="N816">
        <v>0</v>
      </c>
      <c r="O816">
        <v>1.0511680000000001E-2</v>
      </c>
      <c r="P816">
        <v>0.98599199999999998</v>
      </c>
      <c r="Q816">
        <v>0.116193699999999</v>
      </c>
      <c r="R816">
        <v>-0.1196634</v>
      </c>
      <c r="S816">
        <v>2.982971</v>
      </c>
      <c r="T816">
        <v>-0.13720929999999901</v>
      </c>
      <c r="U816">
        <v>-0.62438959999999999</v>
      </c>
      <c r="V816">
        <v>0.13003339999999999</v>
      </c>
      <c r="W816">
        <v>0.1255819</v>
      </c>
      <c r="X816">
        <v>0.98352450000000002</v>
      </c>
      <c r="Y816">
        <v>0.21492729999999999</v>
      </c>
      <c r="Z816">
        <v>-5.3657990000000001E-3</v>
      </c>
      <c r="AA816">
        <v>0.97661529999999996</v>
      </c>
      <c r="AB816">
        <v>24</v>
      </c>
      <c r="AC816">
        <v>23.774999999999899</v>
      </c>
      <c r="AD816">
        <v>-1.1098321213390001</v>
      </c>
      <c r="AE816">
        <v>-5.0537999999999599</v>
      </c>
      <c r="AF816">
        <v>5.29241330373201</v>
      </c>
      <c r="AG816">
        <v>-1.1098321213390001</v>
      </c>
      <c r="AH816">
        <v>23.6712084360985</v>
      </c>
      <c r="AI816">
        <v>92.6197780686838</v>
      </c>
      <c r="AJ816">
        <v>77.3970692203618</v>
      </c>
      <c r="AK816">
        <v>24.281010579057401</v>
      </c>
      <c r="AL816">
        <v>82.785638781607602</v>
      </c>
      <c r="AM816">
        <v>82.4685108527258</v>
      </c>
      <c r="AN816">
        <v>0.99999997041170896</v>
      </c>
    </row>
    <row r="817" spans="1:40" x14ac:dyDescent="0.25">
      <c r="A817" t="str">
        <f>"20190312151239307"</f>
        <v>20190312151239307</v>
      </c>
      <c r="B817" t="str">
        <f>"1552374759299929"</f>
        <v>1552374759299929</v>
      </c>
      <c r="C817" t="s">
        <v>40</v>
      </c>
      <c r="D817">
        <v>4.0235320000000003</v>
      </c>
      <c r="E817">
        <v>0.53097150000000004</v>
      </c>
      <c r="F817" t="s">
        <v>42</v>
      </c>
      <c r="G817">
        <v>-246.8801</v>
      </c>
      <c r="H817" s="1">
        <v>-3.130893E-6</v>
      </c>
      <c r="I817">
        <v>362.29289999999997</v>
      </c>
      <c r="J817">
        <v>-270.49349999999998</v>
      </c>
      <c r="K817">
        <v>1.1098709999999901</v>
      </c>
      <c r="L817">
        <v>367.26339999999999</v>
      </c>
      <c r="M817">
        <v>0.99989890000000003</v>
      </c>
      <c r="N817">
        <v>0</v>
      </c>
      <c r="O817">
        <v>1.0475959999999999E-2</v>
      </c>
      <c r="P817">
        <v>0.98595489999999997</v>
      </c>
      <c r="Q817">
        <v>0.1162093</v>
      </c>
      <c r="R817">
        <v>-0.11995069999999999</v>
      </c>
      <c r="S817">
        <v>2.9836119999999999</v>
      </c>
      <c r="T817">
        <v>-0.13878480000000001</v>
      </c>
      <c r="U817">
        <v>-0.62124630000000003</v>
      </c>
      <c r="V817">
        <v>0.13028529999999999</v>
      </c>
      <c r="W817">
        <v>0.12566099999999999</v>
      </c>
      <c r="X817">
        <v>0.9834811</v>
      </c>
      <c r="Y817">
        <v>0.2138602</v>
      </c>
      <c r="Z817">
        <v>-5.4005959999999997E-3</v>
      </c>
      <c r="AA817">
        <v>0.97684939999999998</v>
      </c>
      <c r="AB817">
        <v>24</v>
      </c>
      <c r="AC817">
        <v>23.613399999999899</v>
      </c>
      <c r="AD817">
        <v>-1.10987413089299</v>
      </c>
      <c r="AE817">
        <v>-4.9705000000000101</v>
      </c>
      <c r="AF817">
        <v>5.2065974193113904</v>
      </c>
      <c r="AG817">
        <v>-1.10987413089299</v>
      </c>
      <c r="AH817">
        <v>23.5102962019829</v>
      </c>
      <c r="AI817">
        <v>92.638967331048093</v>
      </c>
      <c r="AJ817">
        <v>77.512799181535598</v>
      </c>
      <c r="AK817">
        <v>24.105487026363399</v>
      </c>
      <c r="AL817">
        <v>82.7810707851567</v>
      </c>
      <c r="AM817">
        <v>82.453759703078205</v>
      </c>
      <c r="AN817">
        <v>1.00000001018714</v>
      </c>
    </row>
    <row r="818" spans="1:40" x14ac:dyDescent="0.25">
      <c r="A818" t="str">
        <f>"20190312151239331"</f>
        <v>20190312151239331</v>
      </c>
      <c r="B818" t="str">
        <f>"1552374759320425"</f>
        <v>1552374759320425</v>
      </c>
      <c r="C818" t="s">
        <v>40</v>
      </c>
      <c r="D818">
        <v>4.0190219999999997</v>
      </c>
      <c r="E818">
        <v>0.53114969999999995</v>
      </c>
      <c r="F818" t="s">
        <v>42</v>
      </c>
      <c r="G818">
        <v>-246.83529999999999</v>
      </c>
      <c r="H818" s="1">
        <v>-3.1415579999999998E-6</v>
      </c>
      <c r="I818">
        <v>362.3175</v>
      </c>
      <c r="J818">
        <v>-270.24790000000002</v>
      </c>
      <c r="K818">
        <v>1.1099019999999999</v>
      </c>
      <c r="L818">
        <v>367.26589999999999</v>
      </c>
      <c r="M818">
        <v>0.99989870000000003</v>
      </c>
      <c r="N818">
        <v>0</v>
      </c>
      <c r="O818">
        <v>1.043941E-2</v>
      </c>
      <c r="P818">
        <v>0.98586300000000004</v>
      </c>
      <c r="Q818">
        <v>0.11656809999999999</v>
      </c>
      <c r="R818">
        <v>-0.12035800000000001</v>
      </c>
      <c r="S818">
        <v>2.983368</v>
      </c>
      <c r="T818">
        <v>-0.13995829999999901</v>
      </c>
      <c r="U818">
        <v>-0.62368769999999996</v>
      </c>
      <c r="V818">
        <v>0.13065560000000001</v>
      </c>
      <c r="W818">
        <v>0.12608150000000001</v>
      </c>
      <c r="X818">
        <v>0.98337810000000003</v>
      </c>
      <c r="Y818">
        <v>0.21460170000000001</v>
      </c>
      <c r="Z818">
        <v>-5.461703E-3</v>
      </c>
      <c r="AA818">
        <v>0.97668639999999995</v>
      </c>
      <c r="AB818">
        <v>24</v>
      </c>
      <c r="AC818">
        <v>23.412600000000001</v>
      </c>
      <c r="AD818">
        <v>-1.1099051415579999</v>
      </c>
      <c r="AE818">
        <v>-4.9483999999999897</v>
      </c>
      <c r="AF818">
        <v>5.18140894429966</v>
      </c>
      <c r="AG818">
        <v>-1.1099051415579999</v>
      </c>
      <c r="AH818">
        <v>23.3095184725438</v>
      </c>
      <c r="AI818">
        <v>92.661275174424404</v>
      </c>
      <c r="AJ818">
        <v>77.467641423617096</v>
      </c>
      <c r="AK818">
        <v>23.904236852348799</v>
      </c>
      <c r="AL818">
        <v>82.756784380360301</v>
      </c>
      <c r="AM818">
        <v>82.431776380535695</v>
      </c>
      <c r="AN818">
        <v>0.99999995900660898</v>
      </c>
    </row>
    <row r="819" spans="1:40" x14ac:dyDescent="0.25">
      <c r="A819" t="str">
        <f>"20190312151239351"</f>
        <v>20190312151239351</v>
      </c>
      <c r="B819" t="str">
        <f>"1552374759339945"</f>
        <v>1552374759339945</v>
      </c>
      <c r="C819" t="s">
        <v>40</v>
      </c>
      <c r="D819">
        <v>4.0823470000000004</v>
      </c>
      <c r="E819">
        <v>0.53155859999999899</v>
      </c>
      <c r="F819" t="s">
        <v>42</v>
      </c>
      <c r="G819">
        <v>-246.55889999999999</v>
      </c>
      <c r="H819" s="1">
        <v>-3.2540699999999999E-6</v>
      </c>
      <c r="I819">
        <v>362.29349999999999</v>
      </c>
      <c r="J819">
        <v>-270.02199999999999</v>
      </c>
      <c r="K819">
        <v>1.1099300000000001</v>
      </c>
      <c r="L819">
        <v>367.26819999999998</v>
      </c>
      <c r="M819">
        <v>0.99989850000000002</v>
      </c>
      <c r="N819">
        <v>0</v>
      </c>
      <c r="O819">
        <v>1.040629E-2</v>
      </c>
      <c r="P819">
        <v>0.9858304</v>
      </c>
      <c r="Q819">
        <v>0.11669</v>
      </c>
      <c r="R819">
        <v>-0.12050660000000001</v>
      </c>
      <c r="S819">
        <v>2.9830930000000002</v>
      </c>
      <c r="T819">
        <v>-0.13976740000000001</v>
      </c>
      <c r="U819">
        <v>-0.62615969999999999</v>
      </c>
      <c r="V819">
        <v>0.1307712</v>
      </c>
      <c r="W819">
        <v>0.12625839999999999</v>
      </c>
      <c r="X819">
        <v>0.98334010000000005</v>
      </c>
      <c r="Y819">
        <v>0.21536250000000001</v>
      </c>
      <c r="Z819">
        <v>-5.4703829999999997E-3</v>
      </c>
      <c r="AA819">
        <v>0.97651889999999997</v>
      </c>
      <c r="AB819">
        <v>24</v>
      </c>
      <c r="AC819">
        <v>23.463100000000001</v>
      </c>
      <c r="AD819">
        <v>-1.10993325406999</v>
      </c>
      <c r="AE819">
        <v>-4.9746999999999799</v>
      </c>
      <c r="AF819">
        <v>5.2074540284255697</v>
      </c>
      <c r="AG819">
        <v>-1.10993325406999</v>
      </c>
      <c r="AH819">
        <v>23.360032381489098</v>
      </c>
      <c r="AI819">
        <v>92.6552391173568</v>
      </c>
      <c r="AJ819">
        <v>77.433016395555597</v>
      </c>
      <c r="AK819">
        <v>23.959145271709399</v>
      </c>
      <c r="AL819">
        <v>82.746567560851801</v>
      </c>
      <c r="AM819">
        <v>82.424868649855995</v>
      </c>
      <c r="AN819">
        <v>1.0000000212939999</v>
      </c>
    </row>
    <row r="820" spans="1:40" x14ac:dyDescent="0.25">
      <c r="A820" t="str">
        <f>"20190312151239374"</f>
        <v>20190312151239374</v>
      </c>
      <c r="B820" t="str">
        <f>"1552374759370202"</f>
        <v>1552374759370202</v>
      </c>
      <c r="C820" t="s">
        <v>40</v>
      </c>
      <c r="D820">
        <v>4.0861080000000003</v>
      </c>
      <c r="E820">
        <v>0.53212680000000001</v>
      </c>
      <c r="F820" t="s">
        <v>42</v>
      </c>
      <c r="G820">
        <v>-246.35849999999999</v>
      </c>
      <c r="H820" s="1">
        <v>-3.3379240000000001E-6</v>
      </c>
      <c r="I820">
        <v>362.26760000000002</v>
      </c>
      <c r="J820">
        <v>-269.7799</v>
      </c>
      <c r="K820">
        <v>1.10995</v>
      </c>
      <c r="L820">
        <v>367.27080000000001</v>
      </c>
      <c r="M820">
        <v>0.99989839999999997</v>
      </c>
      <c r="N820">
        <v>0</v>
      </c>
      <c r="O820">
        <v>1.037078E-2</v>
      </c>
      <c r="P820">
        <v>0.98581319999999995</v>
      </c>
      <c r="Q820">
        <v>0.11690200000000001</v>
      </c>
      <c r="R820">
        <v>-0.1204436</v>
      </c>
      <c r="S820">
        <v>2.982666</v>
      </c>
      <c r="T820">
        <v>-0.13990159999999999</v>
      </c>
      <c r="U820">
        <v>-0.63031009999999998</v>
      </c>
      <c r="V820">
        <v>0.13067300000000001</v>
      </c>
      <c r="W820">
        <v>0.12652569999999999</v>
      </c>
      <c r="X820">
        <v>0.98331880000000005</v>
      </c>
      <c r="Y820">
        <v>0.21665509999999999</v>
      </c>
      <c r="Z820">
        <v>-5.5039429999999999E-3</v>
      </c>
      <c r="AA820">
        <v>0.97623269999999995</v>
      </c>
      <c r="AB820">
        <v>24</v>
      </c>
      <c r="AC820">
        <v>23.421399999999998</v>
      </c>
      <c r="AD820">
        <v>-1.1099533379240001</v>
      </c>
      <c r="AE820">
        <v>-5.0031999999999899</v>
      </c>
      <c r="AF820">
        <v>5.2345975609761703</v>
      </c>
      <c r="AG820">
        <v>-1.1099533379240001</v>
      </c>
      <c r="AH820">
        <v>23.318166727330901</v>
      </c>
      <c r="AI820">
        <v>92.659162515457794</v>
      </c>
      <c r="AJ820">
        <v>77.347660882732995</v>
      </c>
      <c r="AK820">
        <v>23.924253542406401</v>
      </c>
      <c r="AL820">
        <v>82.731128604579496</v>
      </c>
      <c r="AM820">
        <v>82.430328994798202</v>
      </c>
      <c r="AN820">
        <v>1.0000000240614599</v>
      </c>
    </row>
    <row r="821" spans="1:40" x14ac:dyDescent="0.25">
      <c r="A821" t="str">
        <f>"20190312151239396"</f>
        <v>20190312151239396</v>
      </c>
      <c r="B821" t="str">
        <f>"1552374759390701"</f>
        <v>1552374759390701</v>
      </c>
      <c r="C821" t="s">
        <v>40</v>
      </c>
      <c r="D821">
        <v>4.1009580000000003</v>
      </c>
      <c r="E821">
        <v>0.53248660000000003</v>
      </c>
      <c r="F821" t="s">
        <v>42</v>
      </c>
      <c r="G821">
        <v>-245.57149999999999</v>
      </c>
      <c r="H821" s="1">
        <v>-3.679733E-6</v>
      </c>
      <c r="I821">
        <v>362.11880000000002</v>
      </c>
      <c r="J821">
        <v>-269.53719999999998</v>
      </c>
      <c r="K821">
        <v>1.1099749999999999</v>
      </c>
      <c r="L821">
        <v>367.27330000000001</v>
      </c>
      <c r="M821">
        <v>0.99989810000000001</v>
      </c>
      <c r="N821">
        <v>0</v>
      </c>
      <c r="O821">
        <v>1.0335749999999999E-2</v>
      </c>
      <c r="P821">
        <v>0.98572870000000001</v>
      </c>
      <c r="Q821">
        <v>0.1172415</v>
      </c>
      <c r="R821">
        <v>-0.1208026</v>
      </c>
      <c r="S821">
        <v>2.9818419999999999</v>
      </c>
      <c r="T821">
        <v>-0.13671710000000001</v>
      </c>
      <c r="U821">
        <v>-0.63458249999999905</v>
      </c>
      <c r="V821">
        <v>0.130997</v>
      </c>
      <c r="W821">
        <v>0.12691920000000001</v>
      </c>
      <c r="X821">
        <v>0.98322489999999996</v>
      </c>
      <c r="Y821">
        <v>0.2180232</v>
      </c>
      <c r="Z821">
        <v>-5.4088640000000002E-3</v>
      </c>
      <c r="AA821">
        <v>0.97592860000000003</v>
      </c>
      <c r="AB821">
        <v>24</v>
      </c>
      <c r="AC821">
        <v>23.965699999999998</v>
      </c>
      <c r="AD821">
        <v>-1.109978679733</v>
      </c>
      <c r="AE821">
        <v>-5.1544999999999801</v>
      </c>
      <c r="AF821">
        <v>5.3908873904548704</v>
      </c>
      <c r="AG821">
        <v>-1.109978679733</v>
      </c>
      <c r="AH821">
        <v>23.862217666939401</v>
      </c>
      <c r="AI821">
        <v>92.597881699114893</v>
      </c>
      <c r="AJ821">
        <v>77.269602345273597</v>
      </c>
      <c r="AK821">
        <v>24.488755613759199</v>
      </c>
      <c r="AL821">
        <v>82.708398940258107</v>
      </c>
      <c r="AM821">
        <v>82.411062403164806</v>
      </c>
      <c r="AN821">
        <v>0.99999995065882297</v>
      </c>
    </row>
    <row r="822" spans="1:40" x14ac:dyDescent="0.25">
      <c r="A822" t="str">
        <f>"20190312151239419"</f>
        <v>20190312151239419</v>
      </c>
      <c r="B822" t="str">
        <f>"1552374759410221"</f>
        <v>1552374759410221</v>
      </c>
      <c r="C822" t="s">
        <v>40</v>
      </c>
      <c r="D822">
        <v>4.1123629999999904</v>
      </c>
      <c r="E822">
        <v>0.53283290000000005</v>
      </c>
      <c r="F822" t="s">
        <v>42</v>
      </c>
      <c r="G822">
        <v>-244.9641</v>
      </c>
      <c r="H822" s="1">
        <v>-3.940777E-6</v>
      </c>
      <c r="I822">
        <v>362.01429999999999</v>
      </c>
      <c r="J822">
        <v>-269.29820000000001</v>
      </c>
      <c r="K822">
        <v>1.109993</v>
      </c>
      <c r="L822">
        <v>367.27569999999997</v>
      </c>
      <c r="M822">
        <v>0.99989799999999995</v>
      </c>
      <c r="N822">
        <v>0</v>
      </c>
      <c r="O822">
        <v>1.0301619999999999E-2</v>
      </c>
      <c r="P822">
        <v>0.98572090000000001</v>
      </c>
      <c r="Q822">
        <v>0.1171065</v>
      </c>
      <c r="R822">
        <v>-0.1209977</v>
      </c>
      <c r="S822">
        <v>2.981293</v>
      </c>
      <c r="T822">
        <v>-0.1346667</v>
      </c>
      <c r="U822">
        <v>-0.63803100000000001</v>
      </c>
      <c r="V822">
        <v>0.1311582</v>
      </c>
      <c r="W822">
        <v>0.1268378</v>
      </c>
      <c r="X822">
        <v>0.98321400000000003</v>
      </c>
      <c r="Y822">
        <v>0.2191118</v>
      </c>
      <c r="Z822">
        <v>-5.3509250000000003E-3</v>
      </c>
      <c r="AA822">
        <v>0.97568509999999997</v>
      </c>
      <c r="AB822">
        <v>24</v>
      </c>
      <c r="AC822">
        <v>24.334099999999999</v>
      </c>
      <c r="AD822">
        <v>-1.1099969407770001</v>
      </c>
      <c r="AE822">
        <v>-5.2613999999999796</v>
      </c>
      <c r="AF822">
        <v>5.50087911418807</v>
      </c>
      <c r="AG822">
        <v>-1.1099969407770001</v>
      </c>
      <c r="AH822">
        <v>24.230440015102399</v>
      </c>
      <c r="AI822">
        <v>92.557888597305904</v>
      </c>
      <c r="AJ822">
        <v>77.209313392690305</v>
      </c>
      <c r="AK822">
        <v>24.871791000306299</v>
      </c>
      <c r="AL822">
        <v>82.713101436859901</v>
      </c>
      <c r="AM822">
        <v>82.401749528624407</v>
      </c>
      <c r="AN822">
        <v>1.0000000353660301</v>
      </c>
    </row>
    <row r="823" spans="1:40" x14ac:dyDescent="0.25">
      <c r="A823" t="str">
        <f>"20190312151239440"</f>
        <v>20190312151239440</v>
      </c>
      <c r="B823" t="str">
        <f>"1552374759430713"</f>
        <v>1552374759430713</v>
      </c>
      <c r="C823" t="s">
        <v>40</v>
      </c>
      <c r="D823">
        <v>4.0899869999999998</v>
      </c>
      <c r="E823">
        <v>0.53316770000000002</v>
      </c>
      <c r="F823" t="s">
        <v>42</v>
      </c>
      <c r="G823">
        <v>-244.6053</v>
      </c>
      <c r="H823" s="1">
        <v>-4.0918349999999901E-6</v>
      </c>
      <c r="I823">
        <v>361.96449999999999</v>
      </c>
      <c r="J823">
        <v>-269.0616</v>
      </c>
      <c r="K823">
        <v>1.1100030000000001</v>
      </c>
      <c r="L823">
        <v>367.27809999999999</v>
      </c>
      <c r="M823">
        <v>0.99989779999999995</v>
      </c>
      <c r="N823">
        <v>0</v>
      </c>
      <c r="O823">
        <v>1.0267149999999999E-2</v>
      </c>
      <c r="P823">
        <v>0.98575849999999998</v>
      </c>
      <c r="Q823">
        <v>0.11665150000000001</v>
      </c>
      <c r="R823">
        <v>-0.1211301</v>
      </c>
      <c r="S823">
        <v>2.9807130000000002</v>
      </c>
      <c r="T823">
        <v>-0.13398929999999901</v>
      </c>
      <c r="U823">
        <v>-0.6411133</v>
      </c>
      <c r="V823">
        <v>0.13125729999999999</v>
      </c>
      <c r="W823">
        <v>0.12643299999999999</v>
      </c>
      <c r="X823">
        <v>0.98325289999999999</v>
      </c>
      <c r="Y823">
        <v>0.2200828</v>
      </c>
      <c r="Z823">
        <v>-5.3445119999999896E-3</v>
      </c>
      <c r="AA823">
        <v>0.97546650000000001</v>
      </c>
      <c r="AB823">
        <v>24</v>
      </c>
      <c r="AC823">
        <v>24.456299999999999</v>
      </c>
      <c r="AD823">
        <v>-1.110007091835</v>
      </c>
      <c r="AE823">
        <v>-5.3136000000000001</v>
      </c>
      <c r="AF823">
        <v>5.5535042405330497</v>
      </c>
      <c r="AG823">
        <v>-1.110007091835</v>
      </c>
      <c r="AH823">
        <v>24.352547424543399</v>
      </c>
      <c r="AI823">
        <v>92.544540845958693</v>
      </c>
      <c r="AJ823">
        <v>77.153604630963201</v>
      </c>
      <c r="AK823">
        <v>25.002401707799599</v>
      </c>
      <c r="AL823">
        <v>82.736482920727596</v>
      </c>
      <c r="AM823">
        <v>82.396372932304004</v>
      </c>
      <c r="AN823">
        <v>1.0000000238253399</v>
      </c>
    </row>
    <row r="824" spans="1:40" x14ac:dyDescent="0.25">
      <c r="A824" t="str">
        <f>"20190312151239462"</f>
        <v>20190312151239462</v>
      </c>
      <c r="B824" t="str">
        <f>"1552374759450233"</f>
        <v>1552374759450233</v>
      </c>
      <c r="C824" t="s">
        <v>40</v>
      </c>
      <c r="D824">
        <v>4.0763540000000003</v>
      </c>
      <c r="E824">
        <v>0.53350569999999997</v>
      </c>
      <c r="F824" t="s">
        <v>42</v>
      </c>
      <c r="G824">
        <v>-244.41149999999999</v>
      </c>
      <c r="H824" s="1">
        <v>-4.1703749999999999E-6</v>
      </c>
      <c r="I824">
        <v>361.94900000000001</v>
      </c>
      <c r="J824">
        <v>-268.822</v>
      </c>
      <c r="K824">
        <v>1.110015</v>
      </c>
      <c r="L824">
        <v>367.28050000000002</v>
      </c>
      <c r="M824">
        <v>0.99989779999999995</v>
      </c>
      <c r="N824">
        <v>0</v>
      </c>
      <c r="O824">
        <v>1.023204E-2</v>
      </c>
      <c r="P824">
        <v>0.98577669999999995</v>
      </c>
      <c r="Q824">
        <v>0.1163742</v>
      </c>
      <c r="R824">
        <v>-0.121252</v>
      </c>
      <c r="S824">
        <v>2.9800420000000001</v>
      </c>
      <c r="T824">
        <v>-0.13419320000000001</v>
      </c>
      <c r="U824">
        <v>-0.64425659999999996</v>
      </c>
      <c r="V824">
        <v>0.1313444</v>
      </c>
      <c r="W824">
        <v>0.12620209999999901</v>
      </c>
      <c r="X824">
        <v>0.98327089999999995</v>
      </c>
      <c r="Y824">
        <v>0.2210752</v>
      </c>
      <c r="Z824">
        <v>-5.3737430000000003E-3</v>
      </c>
      <c r="AA824">
        <v>0.97524200000000005</v>
      </c>
      <c r="AB824">
        <v>24</v>
      </c>
      <c r="AC824">
        <v>24.410499999999999</v>
      </c>
      <c r="AD824">
        <v>-1.110019170375</v>
      </c>
      <c r="AE824">
        <v>-5.3315000000000001</v>
      </c>
      <c r="AF824">
        <v>5.5700093078956501</v>
      </c>
      <c r="AG824">
        <v>-1.110019170375</v>
      </c>
      <c r="AH824">
        <v>24.3066943450651</v>
      </c>
      <c r="AI824">
        <v>92.548748887874595</v>
      </c>
      <c r="AJ824">
        <v>77.093206796860997</v>
      </c>
      <c r="AK824">
        <v>24.961420957811299</v>
      </c>
      <c r="AL824">
        <v>82.749819111478104</v>
      </c>
      <c r="AM824">
        <v>82.391524045050403</v>
      </c>
      <c r="AN824">
        <v>0.99999999212128898</v>
      </c>
    </row>
    <row r="825" spans="1:40" x14ac:dyDescent="0.25">
      <c r="A825" t="str">
        <f>"20190312151239486"</f>
        <v>20190312151239486</v>
      </c>
      <c r="B825" t="str">
        <f>"1552374759480493"</f>
        <v>1552374759480493</v>
      </c>
      <c r="C825" t="s">
        <v>40</v>
      </c>
      <c r="D825">
        <v>4.087402</v>
      </c>
      <c r="E825">
        <v>0.53392539999999999</v>
      </c>
      <c r="F825" t="s">
        <v>42</v>
      </c>
      <c r="G825">
        <v>-244.11179999999999</v>
      </c>
      <c r="H825" s="1">
        <v>-4.2956260000000003E-6</v>
      </c>
      <c r="I825">
        <v>361.91079999999999</v>
      </c>
      <c r="J825">
        <v>-268.56950000000001</v>
      </c>
      <c r="K825">
        <v>1.1100239999999999</v>
      </c>
      <c r="L825">
        <v>367.28300000000002</v>
      </c>
      <c r="M825">
        <v>0.9998977</v>
      </c>
      <c r="N825">
        <v>0</v>
      </c>
      <c r="O825">
        <v>1.019456E-2</v>
      </c>
      <c r="P825">
        <v>0.98577800000000004</v>
      </c>
      <c r="Q825">
        <v>0.11593000000000001</v>
      </c>
      <c r="R825">
        <v>-0.12166540000000001</v>
      </c>
      <c r="S825">
        <v>2.9794619999999998</v>
      </c>
      <c r="T825">
        <v>-0.13384219999999999</v>
      </c>
      <c r="U825">
        <v>-0.64746090000000001</v>
      </c>
      <c r="V825">
        <v>0.131720899999999</v>
      </c>
      <c r="W825">
        <v>0.12580239999999901</v>
      </c>
      <c r="X825">
        <v>0.98327180000000003</v>
      </c>
      <c r="Y825">
        <v>0.22207969999999999</v>
      </c>
      <c r="Z825">
        <v>-5.3807459999999996E-3</v>
      </c>
      <c r="AA825">
        <v>0.97501369999999998</v>
      </c>
      <c r="AB825">
        <v>24</v>
      </c>
      <c r="AC825">
        <v>24.457699999999999</v>
      </c>
      <c r="AD825">
        <v>-1.1100282956259999</v>
      </c>
      <c r="AE825">
        <v>-5.3722000000000198</v>
      </c>
      <c r="AF825">
        <v>5.6102444426010196</v>
      </c>
      <c r="AG825">
        <v>-1.1100282956259999</v>
      </c>
      <c r="AH825">
        <v>24.3538025487106</v>
      </c>
      <c r="AI825">
        <v>92.543176000985397</v>
      </c>
      <c r="AJ825">
        <v>77.027417900844</v>
      </c>
      <c r="AK825">
        <v>25.016288775604</v>
      </c>
      <c r="AL825">
        <v>82.772904543139902</v>
      </c>
      <c r="AM825">
        <v>82.369977752881795</v>
      </c>
      <c r="AN825">
        <v>1.0000000360089001</v>
      </c>
    </row>
    <row r="826" spans="1:40" x14ac:dyDescent="0.25">
      <c r="A826" t="str">
        <f>"20190312151239508"</f>
        <v>20190312151239508</v>
      </c>
      <c r="B826" t="str">
        <f>"1552374759500986"</f>
        <v>1552374759500986</v>
      </c>
      <c r="C826" t="s">
        <v>40</v>
      </c>
      <c r="D826">
        <v>4.0561259999999999</v>
      </c>
      <c r="E826">
        <v>0.53426819999999997</v>
      </c>
      <c r="F826" t="s">
        <v>42</v>
      </c>
      <c r="G826">
        <v>-243.89439999999999</v>
      </c>
      <c r="H826" s="1">
        <v>-4.3860790000000003E-6</v>
      </c>
      <c r="I826">
        <v>361.88470000000001</v>
      </c>
      <c r="J826">
        <v>-268.33139999999997</v>
      </c>
      <c r="K826">
        <v>1.1100270000000001</v>
      </c>
      <c r="L826">
        <v>367.28539999999998</v>
      </c>
      <c r="M826">
        <v>0.99989760000000005</v>
      </c>
      <c r="N826">
        <v>0</v>
      </c>
      <c r="O826">
        <v>1.0159619999999999E-2</v>
      </c>
      <c r="P826">
        <v>0.9857688</v>
      </c>
      <c r="Q826">
        <v>0.1159615</v>
      </c>
      <c r="R826">
        <v>-0.12170980000000001</v>
      </c>
      <c r="S826">
        <v>2.978577</v>
      </c>
      <c r="T826">
        <v>-0.13399330000000001</v>
      </c>
      <c r="U826">
        <v>-0.65164180000000005</v>
      </c>
      <c r="V826">
        <v>0.13173070000000001</v>
      </c>
      <c r="W826">
        <v>0.12587100000000001</v>
      </c>
      <c r="X826">
        <v>0.98326159999999996</v>
      </c>
      <c r="Y826">
        <v>0.2234102</v>
      </c>
      <c r="Z826">
        <v>-5.4155899999999996E-3</v>
      </c>
      <c r="AA826">
        <v>0.97470950000000001</v>
      </c>
      <c r="AB826">
        <v>24</v>
      </c>
      <c r="AC826">
        <v>24.436999999999902</v>
      </c>
      <c r="AD826">
        <v>-1.1100313860789901</v>
      </c>
      <c r="AE826">
        <v>-5.4006999999999703</v>
      </c>
      <c r="AF826">
        <v>5.6376137702453102</v>
      </c>
      <c r="AG826">
        <v>-1.1100313860789901</v>
      </c>
      <c r="AH826">
        <v>24.332997228413699</v>
      </c>
      <c r="AI826">
        <v>92.544617914585402</v>
      </c>
      <c r="AJ826">
        <v>76.955524380209795</v>
      </c>
      <c r="AK826">
        <v>25.002192160259199</v>
      </c>
      <c r="AL826">
        <v>82.768941788212601</v>
      </c>
      <c r="AM826">
        <v>82.369338545383897</v>
      </c>
      <c r="AN826">
        <v>0.99999992999902199</v>
      </c>
    </row>
    <row r="827" spans="1:40" x14ac:dyDescent="0.25">
      <c r="A827" t="str">
        <f>"20190312151239531"</f>
        <v>20190312151239531</v>
      </c>
      <c r="B827" t="str">
        <f>"1552374759520505"</f>
        <v>1552374759520505</v>
      </c>
      <c r="C827" t="s">
        <v>40</v>
      </c>
      <c r="D827">
        <v>4.0901339999999999</v>
      </c>
      <c r="E827">
        <v>0.53462919999999903</v>
      </c>
      <c r="F827" t="s">
        <v>42</v>
      </c>
      <c r="G827">
        <v>-243.39570000000001</v>
      </c>
      <c r="H827" s="1">
        <v>-4.5984669999999998E-6</v>
      </c>
      <c r="I827">
        <v>361.80619999999999</v>
      </c>
      <c r="J827">
        <v>-268.08350000000002</v>
      </c>
      <c r="K827">
        <v>1.1100380000000001</v>
      </c>
      <c r="L827">
        <v>367.28789999999998</v>
      </c>
      <c r="M827">
        <v>0.99989760000000005</v>
      </c>
      <c r="N827">
        <v>0</v>
      </c>
      <c r="O827">
        <v>1.012337E-2</v>
      </c>
      <c r="P827">
        <v>0.98578299999999996</v>
      </c>
      <c r="Q827">
        <v>0.11596869999999999</v>
      </c>
      <c r="R827">
        <v>-0.12158629999999999</v>
      </c>
      <c r="S827">
        <v>2.978119</v>
      </c>
      <c r="T827">
        <v>-0.13257289999999999</v>
      </c>
      <c r="U827">
        <v>-0.65438839999999998</v>
      </c>
      <c r="V827">
        <v>0.13157189999999999</v>
      </c>
      <c r="W827">
        <v>0.1259131</v>
      </c>
      <c r="X827">
        <v>0.98327759999999997</v>
      </c>
      <c r="Y827">
        <v>0.22426769999999999</v>
      </c>
      <c r="Z827">
        <v>-5.3757769999999896E-3</v>
      </c>
      <c r="AA827">
        <v>0.97451279999999996</v>
      </c>
      <c r="AB827">
        <v>24</v>
      </c>
      <c r="AC827">
        <v>24.687799999999999</v>
      </c>
      <c r="AD827">
        <v>-1.1100425984669999</v>
      </c>
      <c r="AE827">
        <v>-5.4816999999999796</v>
      </c>
      <c r="AF827">
        <v>5.7203342296186603</v>
      </c>
      <c r="AG827">
        <v>-1.1100425984669999</v>
      </c>
      <c r="AH827">
        <v>24.583673339100201</v>
      </c>
      <c r="AI827">
        <v>92.518174366327699</v>
      </c>
      <c r="AJ827">
        <v>76.901029761696094</v>
      </c>
      <c r="AK827">
        <v>25.2648256101748</v>
      </c>
      <c r="AL827">
        <v>82.766511207927195</v>
      </c>
      <c r="AM827">
        <v>82.378551597548494</v>
      </c>
      <c r="AN827">
        <v>1.0000000561414799</v>
      </c>
    </row>
    <row r="828" spans="1:40" x14ac:dyDescent="0.25">
      <c r="A828" t="str">
        <f>"20190312151239552"</f>
        <v>20190312151239552</v>
      </c>
      <c r="B828" t="str">
        <f>"1552374759541001"</f>
        <v>1552374759541001</v>
      </c>
      <c r="C828" t="s">
        <v>40</v>
      </c>
      <c r="D828">
        <v>4.0623750000000003</v>
      </c>
      <c r="E828">
        <v>0.53496339999999998</v>
      </c>
      <c r="F828" t="s">
        <v>42</v>
      </c>
      <c r="G828">
        <v>-242.8999</v>
      </c>
      <c r="H828" s="1">
        <v>-4.8084950000000003E-6</v>
      </c>
      <c r="I828">
        <v>361.73239999999998</v>
      </c>
      <c r="J828">
        <v>-267.85270000000003</v>
      </c>
      <c r="K828">
        <v>1.1100460000000001</v>
      </c>
      <c r="L828">
        <v>367.29020000000003</v>
      </c>
      <c r="M828">
        <v>0.9998977</v>
      </c>
      <c r="N828">
        <v>0</v>
      </c>
      <c r="O828">
        <v>1.009002E-2</v>
      </c>
      <c r="P828">
        <v>0.98581960000000002</v>
      </c>
      <c r="Q828">
        <v>0.1159428</v>
      </c>
      <c r="R828">
        <v>-0.12131400000000001</v>
      </c>
      <c r="S828">
        <v>2.9777529999999999</v>
      </c>
      <c r="T828">
        <v>-0.13125339999999999</v>
      </c>
      <c r="U828">
        <v>-0.65689090000000006</v>
      </c>
      <c r="V828">
        <v>0.131267299999999</v>
      </c>
      <c r="W828">
        <v>0.12591640000000001</v>
      </c>
      <c r="X828">
        <v>0.98331789999999997</v>
      </c>
      <c r="Y828">
        <v>0.225045</v>
      </c>
      <c r="Z828">
        <v>-5.3379539999999998E-3</v>
      </c>
      <c r="AA828">
        <v>0.97433380000000003</v>
      </c>
      <c r="AB828">
        <v>24</v>
      </c>
      <c r="AC828">
        <v>24.9528</v>
      </c>
      <c r="AD828">
        <v>-1.11005080849499</v>
      </c>
      <c r="AE828">
        <v>-5.5578000000000403</v>
      </c>
      <c r="AF828">
        <v>5.7983715920455099</v>
      </c>
      <c r="AG828">
        <v>-1.11005080849499</v>
      </c>
      <c r="AH828">
        <v>24.848597191391601</v>
      </c>
      <c r="AI828">
        <v>92.491016436314098</v>
      </c>
      <c r="AJ828">
        <v>76.865178266397194</v>
      </c>
      <c r="AK828">
        <v>25.540284029292199</v>
      </c>
      <c r="AL828">
        <v>82.766320702273902</v>
      </c>
      <c r="AM828">
        <v>82.3962971959714</v>
      </c>
      <c r="AN828">
        <v>1.00000006814932</v>
      </c>
    </row>
    <row r="829" spans="1:40" x14ac:dyDescent="0.25">
      <c r="A829" t="str">
        <f>"20190312151239576"</f>
        <v>20190312151239576</v>
      </c>
      <c r="B829" t="str">
        <f>"1552374759570283"</f>
        <v>1552374759570283</v>
      </c>
      <c r="C829" t="s">
        <v>40</v>
      </c>
      <c r="D829">
        <v>4.0892939999999998</v>
      </c>
      <c r="E829">
        <v>0.53540519999999903</v>
      </c>
      <c r="F829" t="s">
        <v>42</v>
      </c>
      <c r="G829">
        <v>-242.476</v>
      </c>
      <c r="H829" s="1">
        <v>-4.9858650000000001E-6</v>
      </c>
      <c r="I829">
        <v>361.67750000000001</v>
      </c>
      <c r="J829">
        <v>-267.5994</v>
      </c>
      <c r="K829">
        <v>1.110047</v>
      </c>
      <c r="L829">
        <v>367.29270000000002</v>
      </c>
      <c r="M829">
        <v>0.9998977</v>
      </c>
      <c r="N829">
        <v>0</v>
      </c>
      <c r="O829">
        <v>1.005315E-2</v>
      </c>
      <c r="P829">
        <v>0.98571030000000004</v>
      </c>
      <c r="Q829">
        <v>0.116315</v>
      </c>
      <c r="R829">
        <v>-0.1218439</v>
      </c>
      <c r="S829">
        <v>2.9774479999999999</v>
      </c>
      <c r="T829">
        <v>-0.13024249999999901</v>
      </c>
      <c r="U829">
        <v>-0.65853879999999998</v>
      </c>
      <c r="V829">
        <v>0.13175979999999901</v>
      </c>
      <c r="W829">
        <v>0.12631609999999999</v>
      </c>
      <c r="X829">
        <v>0.98320070000000004</v>
      </c>
      <c r="Y829">
        <v>0.2255471</v>
      </c>
      <c r="Z829">
        <v>-5.3063490000000001E-3</v>
      </c>
      <c r="AA829">
        <v>0.97421780000000002</v>
      </c>
      <c r="AB829">
        <v>24</v>
      </c>
      <c r="AC829">
        <v>25.1234</v>
      </c>
      <c r="AD829">
        <v>-1.110051985865</v>
      </c>
      <c r="AE829">
        <v>-5.6152000000000104</v>
      </c>
      <c r="AF829">
        <v>5.85660915238266</v>
      </c>
      <c r="AG829">
        <v>-1.110051985865</v>
      </c>
      <c r="AH829">
        <v>25.0191577265186</v>
      </c>
      <c r="AI829">
        <v>92.473654966277095</v>
      </c>
      <c r="AJ829">
        <v>76.825141707367905</v>
      </c>
      <c r="AK829">
        <v>25.7194544949832</v>
      </c>
      <c r="AL829">
        <v>82.743234824424306</v>
      </c>
      <c r="AM829">
        <v>82.367205583164605</v>
      </c>
      <c r="AN829">
        <v>1.00000000924787</v>
      </c>
    </row>
    <row r="830" spans="1:40" x14ac:dyDescent="0.25">
      <c r="A830" t="str">
        <f>"20190312151239598"</f>
        <v>20190312151239598</v>
      </c>
      <c r="B830" t="str">
        <f>"1552374759590781"</f>
        <v>1552374759590781</v>
      </c>
      <c r="C830" t="s">
        <v>40</v>
      </c>
      <c r="D830">
        <v>4.1034540000000002</v>
      </c>
      <c r="E830">
        <v>0.53569540000000004</v>
      </c>
      <c r="F830" t="s">
        <v>42</v>
      </c>
      <c r="G830">
        <v>-241.7602</v>
      </c>
      <c r="H830" s="1">
        <v>-5.3089930000000003E-6</v>
      </c>
      <c r="I830">
        <v>361.53500000000003</v>
      </c>
      <c r="J830">
        <v>-267.3605</v>
      </c>
      <c r="K830">
        <v>1.1100559999999999</v>
      </c>
      <c r="L830">
        <v>367.29500000000002</v>
      </c>
      <c r="M830">
        <v>0.99989790000000001</v>
      </c>
      <c r="N830">
        <v>0</v>
      </c>
      <c r="O830">
        <v>1.0017979999999999E-2</v>
      </c>
      <c r="P830">
        <v>0.98570310000000005</v>
      </c>
      <c r="Q830">
        <v>0.11605939999999999</v>
      </c>
      <c r="R830">
        <v>-0.1221458</v>
      </c>
      <c r="S830">
        <v>2.9765929999999998</v>
      </c>
      <c r="T830">
        <v>-0.1278746</v>
      </c>
      <c r="U830">
        <v>-0.663269</v>
      </c>
      <c r="V830">
        <v>0.13202700000000001</v>
      </c>
      <c r="W830">
        <v>0.1260848</v>
      </c>
      <c r="X830">
        <v>0.98319449999999997</v>
      </c>
      <c r="Y830">
        <v>0.22705339999999999</v>
      </c>
      <c r="Z830">
        <v>-5.240995E-3</v>
      </c>
      <c r="AA830">
        <v>0.97386819999999996</v>
      </c>
      <c r="AB830">
        <v>24</v>
      </c>
      <c r="AC830">
        <v>25.600300000000001</v>
      </c>
      <c r="AD830">
        <v>-1.110061308993</v>
      </c>
      <c r="AE830">
        <v>-5.75999999999999</v>
      </c>
      <c r="AF830">
        <v>6.0054401839692</v>
      </c>
      <c r="AG830">
        <v>-1.110061308993</v>
      </c>
      <c r="AH830">
        <v>25.495681515803099</v>
      </c>
      <c r="AI830">
        <v>92.426708691646596</v>
      </c>
      <c r="AJ830">
        <v>76.745732923015296</v>
      </c>
      <c r="AK830">
        <v>26.2169281928341</v>
      </c>
      <c r="AL830">
        <v>82.756593828174303</v>
      </c>
      <c r="AM830">
        <v>82.351862164521805</v>
      </c>
      <c r="AN830">
        <v>0.999999965175144</v>
      </c>
    </row>
    <row r="831" spans="1:40" x14ac:dyDescent="0.25">
      <c r="A831" t="str">
        <f>"20190312151239620"</f>
        <v>20190312151239620</v>
      </c>
      <c r="B831" t="str">
        <f>"1552374759610298"</f>
        <v>1552374759610298</v>
      </c>
      <c r="C831" t="s">
        <v>40</v>
      </c>
      <c r="D831">
        <v>4.1069769999999997</v>
      </c>
      <c r="E831">
        <v>0.53597220000000001</v>
      </c>
      <c r="F831" t="s">
        <v>42</v>
      </c>
      <c r="G831">
        <v>-241.53229999999999</v>
      </c>
      <c r="H831" s="1">
        <v>-5.4216309999999997E-6</v>
      </c>
      <c r="I831">
        <v>361.50720000000001</v>
      </c>
      <c r="J831">
        <v>-267.12130000000002</v>
      </c>
      <c r="K831">
        <v>1.110061</v>
      </c>
      <c r="L831">
        <v>367.29739999999998</v>
      </c>
      <c r="M831">
        <v>0.99989779999999995</v>
      </c>
      <c r="N831">
        <v>0</v>
      </c>
      <c r="O831">
        <v>9.9828199999999999E-3</v>
      </c>
      <c r="P831">
        <v>0.98566509999999996</v>
      </c>
      <c r="Q831">
        <v>0.1160071</v>
      </c>
      <c r="R831">
        <v>-0.12250179999999999</v>
      </c>
      <c r="S831">
        <v>2.9758909999999998</v>
      </c>
      <c r="T831">
        <v>-0.12790009999999999</v>
      </c>
      <c r="U831">
        <v>-0.66687010000000002</v>
      </c>
      <c r="V831">
        <v>0.13234789999999999</v>
      </c>
      <c r="W831">
        <v>0.12605359999999999</v>
      </c>
      <c r="X831">
        <v>0.98315540000000001</v>
      </c>
      <c r="Y831">
        <v>0.22818920000000001</v>
      </c>
      <c r="Z831">
        <v>-5.2651669999999899E-3</v>
      </c>
      <c r="AA831">
        <v>0.97360259999999998</v>
      </c>
      <c r="AB831">
        <v>24</v>
      </c>
      <c r="AC831">
        <v>25.588999999999999</v>
      </c>
      <c r="AD831">
        <v>-1.1100664216310001</v>
      </c>
      <c r="AE831">
        <v>-5.7901999999999703</v>
      </c>
      <c r="AF831">
        <v>6.0345720180855098</v>
      </c>
      <c r="AG831">
        <v>-1.1100664216310001</v>
      </c>
      <c r="AH831">
        <v>25.484296829294099</v>
      </c>
      <c r="AI831">
        <v>92.427125595924196</v>
      </c>
      <c r="AJ831">
        <v>76.677986130031698</v>
      </c>
      <c r="AK831">
        <v>26.212548364961801</v>
      </c>
      <c r="AL831">
        <v>82.758396150308698</v>
      </c>
      <c r="AM831">
        <v>82.333192435868099</v>
      </c>
      <c r="AN831">
        <v>1.0000000086282601</v>
      </c>
    </row>
    <row r="832" spans="1:40" x14ac:dyDescent="0.25">
      <c r="A832" t="str">
        <f>"20190312151239641"</f>
        <v>20190312151239641</v>
      </c>
      <c r="B832" t="str">
        <f>"1552374759630793"</f>
        <v>1552374759630793</v>
      </c>
      <c r="C832" t="s">
        <v>40</v>
      </c>
      <c r="D832">
        <v>4.1198009999999998</v>
      </c>
      <c r="E832">
        <v>0.53623100000000001</v>
      </c>
      <c r="F832" t="s">
        <v>42</v>
      </c>
      <c r="G832">
        <v>-241.32769999999999</v>
      </c>
      <c r="H832" s="1">
        <v>-5.5216239999999996E-6</v>
      </c>
      <c r="I832">
        <v>361.4889</v>
      </c>
      <c r="J832">
        <v>-266.88380000000001</v>
      </c>
      <c r="K832">
        <v>1.1100559999999999</v>
      </c>
      <c r="L832">
        <v>367.29969999999997</v>
      </c>
      <c r="M832">
        <v>0.99989810000000001</v>
      </c>
      <c r="N832">
        <v>0</v>
      </c>
      <c r="O832">
        <v>9.9481459999999997E-3</v>
      </c>
      <c r="P832">
        <v>0.98568160000000005</v>
      </c>
      <c r="Q832">
        <v>0.115589</v>
      </c>
      <c r="R832">
        <v>-0.12276430000000001</v>
      </c>
      <c r="S832">
        <v>2.975403</v>
      </c>
      <c r="T832">
        <v>-0.12805079999999999</v>
      </c>
      <c r="U832">
        <v>-0.67004390000000003</v>
      </c>
      <c r="V832">
        <v>0.13257650000000001</v>
      </c>
      <c r="W832">
        <v>0.1256553</v>
      </c>
      <c r="X832">
        <v>0.98317560000000004</v>
      </c>
      <c r="Y832">
        <v>0.22917670000000001</v>
      </c>
      <c r="Z832">
        <v>-5.2911039999999996E-3</v>
      </c>
      <c r="AA832">
        <v>0.97337050000000003</v>
      </c>
      <c r="AB832">
        <v>24</v>
      </c>
      <c r="AC832">
        <v>25.556100000000001</v>
      </c>
      <c r="AD832">
        <v>-1.110061521624</v>
      </c>
      <c r="AE832">
        <v>-5.8107999999999702</v>
      </c>
      <c r="AF832">
        <v>6.0539010942851901</v>
      </c>
      <c r="AG832">
        <v>-1.110061521624</v>
      </c>
      <c r="AH832">
        <v>25.4513667247897</v>
      </c>
      <c r="AI832">
        <v>92.429670251045295</v>
      </c>
      <c r="AJ832">
        <v>76.620174889585499</v>
      </c>
      <c r="AK832">
        <v>26.184996146665899</v>
      </c>
      <c r="AL832">
        <v>82.781400063273793</v>
      </c>
      <c r="AM832">
        <v>82.320263640379096</v>
      </c>
      <c r="AN832">
        <v>1.00000002160284</v>
      </c>
    </row>
    <row r="833" spans="1:40" x14ac:dyDescent="0.25">
      <c r="A833" t="str">
        <f>"20190312151239663"</f>
        <v>20190312151239663</v>
      </c>
      <c r="B833" t="str">
        <f>"1552374759661050"</f>
        <v>1552374759661050</v>
      </c>
      <c r="C833" t="s">
        <v>40</v>
      </c>
      <c r="D833">
        <v>4.0977290000000002</v>
      </c>
      <c r="E833">
        <v>0.53660459999999999</v>
      </c>
      <c r="F833" t="s">
        <v>42</v>
      </c>
      <c r="G833">
        <v>-241.3802</v>
      </c>
      <c r="H833" s="1">
        <v>-5.4894420000000002E-6</v>
      </c>
      <c r="I833">
        <v>361.53019999999998</v>
      </c>
      <c r="J833">
        <v>-266.63900000000001</v>
      </c>
      <c r="K833">
        <v>1.1100559999999999</v>
      </c>
      <c r="L833">
        <v>367.30220000000003</v>
      </c>
      <c r="M833">
        <v>0.99989830000000002</v>
      </c>
      <c r="N833">
        <v>0</v>
      </c>
      <c r="O833">
        <v>9.9124650000000005E-3</v>
      </c>
      <c r="P833">
        <v>0.98568979999999995</v>
      </c>
      <c r="Q833">
        <v>0.11566890000000001</v>
      </c>
      <c r="R833">
        <v>-0.12262530000000001</v>
      </c>
      <c r="S833">
        <v>2.974945</v>
      </c>
      <c r="T833">
        <v>-0.12948689999999999</v>
      </c>
      <c r="U833">
        <v>-0.67300419999999905</v>
      </c>
      <c r="V833">
        <v>0.1324022</v>
      </c>
      <c r="W833">
        <v>0.12575319999999901</v>
      </c>
      <c r="X833">
        <v>0.98318649999999996</v>
      </c>
      <c r="Y833">
        <v>0.23008990000000001</v>
      </c>
      <c r="Z833">
        <v>-5.368701E-3</v>
      </c>
      <c r="AA833">
        <v>0.97315450000000003</v>
      </c>
      <c r="AB833">
        <v>24</v>
      </c>
      <c r="AC833">
        <v>25.258800000000001</v>
      </c>
      <c r="AD833">
        <v>-1.110061489442</v>
      </c>
      <c r="AE833">
        <v>-5.7720000000000402</v>
      </c>
      <c r="AF833">
        <v>6.0110729946592398</v>
      </c>
      <c r="AG833">
        <v>-1.110061489442</v>
      </c>
      <c r="AH833">
        <v>25.154169808241502</v>
      </c>
      <c r="AI833">
        <v>92.457728270512902</v>
      </c>
      <c r="AJ833">
        <v>76.560121152229101</v>
      </c>
      <c r="AK833">
        <v>25.886241399618299</v>
      </c>
      <c r="AL833">
        <v>82.775745450099507</v>
      </c>
      <c r="AM833">
        <v>82.330324042867304</v>
      </c>
      <c r="AN833">
        <v>0.99999995182866297</v>
      </c>
    </row>
    <row r="834" spans="1:40" x14ac:dyDescent="0.25">
      <c r="A834" t="str">
        <f>"20190312151239687"</f>
        <v>20190312151239687</v>
      </c>
      <c r="B834" t="str">
        <f>"1552374759680569"</f>
        <v>1552374759680569</v>
      </c>
      <c r="C834" t="s">
        <v>40</v>
      </c>
      <c r="D834">
        <v>4.1760419999999998</v>
      </c>
      <c r="E834">
        <v>0.53678340000000002</v>
      </c>
      <c r="F834" t="s">
        <v>42</v>
      </c>
      <c r="G834">
        <v>-241.16739999999999</v>
      </c>
      <c r="H834" s="1">
        <v>-5.591894E-6</v>
      </c>
      <c r="I834">
        <v>361.5197</v>
      </c>
      <c r="J834">
        <v>-266.38979999999998</v>
      </c>
      <c r="K834">
        <v>1.110058</v>
      </c>
      <c r="L834">
        <v>367.30459999999999</v>
      </c>
      <c r="M834">
        <v>0.99989839999999997</v>
      </c>
      <c r="N834">
        <v>0</v>
      </c>
      <c r="O834">
        <v>9.876849E-3</v>
      </c>
      <c r="P834">
        <v>0.9858325</v>
      </c>
      <c r="Q834">
        <v>0.1149998</v>
      </c>
      <c r="R834">
        <v>-0.12210360000000001</v>
      </c>
      <c r="S834">
        <v>2.9747919999999999</v>
      </c>
      <c r="T834">
        <v>-0.1296426</v>
      </c>
      <c r="U834">
        <v>-0.67532349999999997</v>
      </c>
      <c r="V834">
        <v>0.1318473</v>
      </c>
      <c r="W834">
        <v>0.1251022</v>
      </c>
      <c r="X834">
        <v>0.98334410000000005</v>
      </c>
      <c r="Y834">
        <v>0.23078650000000001</v>
      </c>
      <c r="Z834">
        <v>-5.3884120000000004E-3</v>
      </c>
      <c r="AA834">
        <v>0.97298949999999995</v>
      </c>
      <c r="AB834">
        <v>24</v>
      </c>
      <c r="AC834">
        <v>25.2224</v>
      </c>
      <c r="AD834">
        <v>-1.1100635918940001</v>
      </c>
      <c r="AE834">
        <v>-5.7848999999999897</v>
      </c>
      <c r="AF834">
        <v>6.02266606629302</v>
      </c>
      <c r="AG834">
        <v>-1.1100635918940001</v>
      </c>
      <c r="AH834">
        <v>25.1178089572761</v>
      </c>
      <c r="AI834">
        <v>92.460837027864102</v>
      </c>
      <c r="AJ834">
        <v>76.516363112627801</v>
      </c>
      <c r="AK834">
        <v>25.853608539976499</v>
      </c>
      <c r="AL834">
        <v>82.813341863820895</v>
      </c>
      <c r="AM834">
        <v>82.363297225942304</v>
      </c>
      <c r="AN834">
        <v>0.999999944983468</v>
      </c>
    </row>
    <row r="835" spans="1:40" x14ac:dyDescent="0.25">
      <c r="A835" t="str">
        <f>"20190312151239709"</f>
        <v>20190312151239709</v>
      </c>
      <c r="B835" t="str">
        <f>"1552374759701065"</f>
        <v>1552374759701065</v>
      </c>
      <c r="C835" t="s">
        <v>40</v>
      </c>
      <c r="D835">
        <v>4.2700469999999999</v>
      </c>
      <c r="E835">
        <v>0.53675399999999995</v>
      </c>
      <c r="F835" t="s">
        <v>42</v>
      </c>
      <c r="G835">
        <v>-241.405</v>
      </c>
      <c r="H835" s="1">
        <v>-5.4595989999999898E-6</v>
      </c>
      <c r="I835">
        <v>361.63240000000002</v>
      </c>
      <c r="J835">
        <v>-266.14089999999999</v>
      </c>
      <c r="K835">
        <v>1.1100540000000001</v>
      </c>
      <c r="L835">
        <v>367.30700000000002</v>
      </c>
      <c r="M835">
        <v>0.99989870000000003</v>
      </c>
      <c r="N835">
        <v>0</v>
      </c>
      <c r="O835">
        <v>9.8405339999999997E-3</v>
      </c>
      <c r="P835">
        <v>0.98585780000000001</v>
      </c>
      <c r="Q835">
        <v>0.11497499999999999</v>
      </c>
      <c r="R835">
        <v>-0.12192359999999999</v>
      </c>
      <c r="S835">
        <v>2.9749150000000002</v>
      </c>
      <c r="T835">
        <v>-0.1321745</v>
      </c>
      <c r="U835">
        <v>-0.67538450000000005</v>
      </c>
      <c r="V835">
        <v>0.13163159999999999</v>
      </c>
      <c r="W835">
        <v>0.12509229999999999</v>
      </c>
      <c r="X835">
        <v>0.98337430000000003</v>
      </c>
      <c r="Y835">
        <v>0.23075309999999999</v>
      </c>
      <c r="Z835">
        <v>-5.4909889999999999E-3</v>
      </c>
      <c r="AA835">
        <v>0.9729968</v>
      </c>
      <c r="AB835">
        <v>24</v>
      </c>
      <c r="AC835">
        <v>24.735899999999901</v>
      </c>
      <c r="AD835">
        <v>-1.1100594595990001</v>
      </c>
      <c r="AE835">
        <v>-5.6745999999999404</v>
      </c>
      <c r="AF835">
        <v>5.9064522755256004</v>
      </c>
      <c r="AG835">
        <v>-1.1100594595990001</v>
      </c>
      <c r="AH835">
        <v>24.6317325015834</v>
      </c>
      <c r="AI835">
        <v>92.509320015266795</v>
      </c>
      <c r="AJ835">
        <v>76.515623968456197</v>
      </c>
      <c r="AK835">
        <v>25.354302524748402</v>
      </c>
      <c r="AL835">
        <v>82.813913892304598</v>
      </c>
      <c r="AM835">
        <v>82.375875055440503</v>
      </c>
      <c r="AN835">
        <v>0.99999998776916998</v>
      </c>
    </row>
    <row r="836" spans="1:40" x14ac:dyDescent="0.25">
      <c r="A836" t="str">
        <f>"20190312151239733"</f>
        <v>20190312151239733</v>
      </c>
      <c r="B836" t="str">
        <f>"1552374759720585"</f>
        <v>1552374759720585</v>
      </c>
      <c r="C836" t="s">
        <v>40</v>
      </c>
      <c r="D836">
        <v>4.2356109999999996</v>
      </c>
      <c r="E836">
        <v>0.51225459999999901</v>
      </c>
      <c r="F836" t="s">
        <v>42</v>
      </c>
      <c r="G836">
        <v>-241.29660000000001</v>
      </c>
      <c r="H836" s="1">
        <v>-5.5033850000000003E-6</v>
      </c>
      <c r="I836">
        <v>361.6746</v>
      </c>
      <c r="J836">
        <v>-265.89280000000002</v>
      </c>
      <c r="K836">
        <v>1.110063</v>
      </c>
      <c r="L836">
        <v>367.30939999999998</v>
      </c>
      <c r="M836">
        <v>0.99989890000000003</v>
      </c>
      <c r="N836">
        <v>0</v>
      </c>
      <c r="O836">
        <v>9.8042249999999997E-3</v>
      </c>
      <c r="P836">
        <v>0.98594250000000005</v>
      </c>
      <c r="Q836">
        <v>0.1145101</v>
      </c>
      <c r="R836">
        <v>-0.1216773</v>
      </c>
      <c r="S836">
        <v>2.975098</v>
      </c>
      <c r="T836">
        <v>-0.13292880000000001</v>
      </c>
      <c r="U836">
        <v>-0.67446899999999999</v>
      </c>
      <c r="V836">
        <v>0.1313503</v>
      </c>
      <c r="W836">
        <v>0.1246419</v>
      </c>
      <c r="X836">
        <v>0.98346909999999998</v>
      </c>
      <c r="Y836">
        <v>0.23041780000000001</v>
      </c>
      <c r="Z836">
        <v>-5.513156E-3</v>
      </c>
      <c r="AA836">
        <v>0.97307619999999895</v>
      </c>
      <c r="AB836">
        <v>24</v>
      </c>
      <c r="AC836">
        <v>24.5962</v>
      </c>
      <c r="AD836">
        <v>-1.110068503385</v>
      </c>
      <c r="AE836">
        <v>-5.6347999999999798</v>
      </c>
      <c r="AF836">
        <v>5.8643393604549301</v>
      </c>
      <c r="AG836">
        <v>-1.110068503385</v>
      </c>
      <c r="AH836">
        <v>24.492369854657198</v>
      </c>
      <c r="AI836">
        <v>92.523803042820902</v>
      </c>
      <c r="AJ836">
        <v>76.534860241135206</v>
      </c>
      <c r="AK836">
        <v>25.2091036991423</v>
      </c>
      <c r="AL836">
        <v>82.839923475358503</v>
      </c>
      <c r="AM836">
        <v>82.392701731809296</v>
      </c>
      <c r="AN836">
        <v>0.99999998760025499</v>
      </c>
    </row>
    <row r="837" spans="1:40" x14ac:dyDescent="0.25">
      <c r="A837" t="str">
        <f>"20190312151239754"</f>
        <v>20190312151239754</v>
      </c>
      <c r="B837" t="str">
        <f>"1552374759750843"</f>
        <v>1552374759750843</v>
      </c>
      <c r="C837" t="s">
        <v>40</v>
      </c>
      <c r="D837">
        <v>4.2477369999999999</v>
      </c>
      <c r="E837">
        <v>0.51126419999999995</v>
      </c>
      <c r="F837" t="s">
        <v>41</v>
      </c>
      <c r="G837">
        <v>-265.01549999999997</v>
      </c>
      <c r="H837">
        <v>1.0374209999999999</v>
      </c>
      <c r="I837">
        <v>367.16820000000001</v>
      </c>
      <c r="J837">
        <v>-265.65469999999999</v>
      </c>
      <c r="K837">
        <v>1.110066</v>
      </c>
      <c r="L837">
        <v>367.3116</v>
      </c>
      <c r="M837">
        <v>0.99989899999999998</v>
      </c>
      <c r="N837">
        <v>0</v>
      </c>
      <c r="O837">
        <v>9.7692370000000001E-3</v>
      </c>
      <c r="P837">
        <v>0.98593430000000004</v>
      </c>
      <c r="Q837">
        <v>0.1144593</v>
      </c>
      <c r="R837">
        <v>-0.12179039999999999</v>
      </c>
      <c r="S837">
        <v>3.012054</v>
      </c>
      <c r="T837">
        <v>-0.24958959999999999</v>
      </c>
      <c r="U837">
        <v>-0.48376459999999999</v>
      </c>
      <c r="V837">
        <v>0.13142879999999901</v>
      </c>
      <c r="W837">
        <v>0.12460309999999999</v>
      </c>
      <c r="X837">
        <v>0.98346350000000005</v>
      </c>
      <c r="Y837">
        <v>0.16762289999999999</v>
      </c>
      <c r="Z837">
        <v>-7.6923139999999996E-3</v>
      </c>
      <c r="AA837">
        <v>0.98582119999999995</v>
      </c>
      <c r="AB837">
        <v>24</v>
      </c>
      <c r="AC837">
        <v>0.63920000000001598</v>
      </c>
      <c r="AD837">
        <v>-7.2645000000000001E-2</v>
      </c>
      <c r="AE837">
        <v>-0.14339999999998501</v>
      </c>
      <c r="AF837">
        <v>0.14782018561549201</v>
      </c>
      <c r="AG837">
        <v>-7.2645000000000001E-2</v>
      </c>
      <c r="AH837">
        <v>0.63002091027268803</v>
      </c>
      <c r="AI837">
        <v>96.4050492737192</v>
      </c>
      <c r="AJ837">
        <v>76.795680120615202</v>
      </c>
      <c r="AK837">
        <v>0.65119463348619899</v>
      </c>
      <c r="AL837">
        <v>82.842163811997096</v>
      </c>
      <c r="AM837">
        <v>82.388165772700205</v>
      </c>
      <c r="AN837">
        <v>0.99999995891564897</v>
      </c>
    </row>
    <row r="838" spans="1:40" x14ac:dyDescent="0.25">
      <c r="A838" t="str">
        <f>"20190312151239778"</f>
        <v>20190312151239778</v>
      </c>
      <c r="B838" t="str">
        <f>"1552374759770362"</f>
        <v>1552374759770362</v>
      </c>
      <c r="C838" t="s">
        <v>40</v>
      </c>
      <c r="D838">
        <v>4.251347</v>
      </c>
      <c r="E838">
        <v>0.51151449999999998</v>
      </c>
      <c r="F838" t="s">
        <v>41</v>
      </c>
      <c r="G838">
        <v>-264.79860000000002</v>
      </c>
      <c r="H838">
        <v>1.0365329999999999</v>
      </c>
      <c r="I838">
        <v>367.17610000000002</v>
      </c>
      <c r="J838">
        <v>-265.40120000000002</v>
      </c>
      <c r="K838">
        <v>1.110069</v>
      </c>
      <c r="L838">
        <v>367.3141</v>
      </c>
      <c r="M838">
        <v>0.99989930000000005</v>
      </c>
      <c r="N838">
        <v>0</v>
      </c>
      <c r="O838">
        <v>9.7321009999999999E-3</v>
      </c>
      <c r="P838">
        <v>0.98584609999999995</v>
      </c>
      <c r="Q838">
        <v>0.1147828</v>
      </c>
      <c r="R838">
        <v>-0.1221998</v>
      </c>
      <c r="S838">
        <v>3.014008</v>
      </c>
      <c r="T838">
        <v>-0.25901560000000001</v>
      </c>
      <c r="U838">
        <v>-0.47683720000000002</v>
      </c>
      <c r="V838">
        <v>0.13180069999999999</v>
      </c>
      <c r="W838">
        <v>0.1249371</v>
      </c>
      <c r="X838">
        <v>0.98337140000000001</v>
      </c>
      <c r="Y838">
        <v>0.16523969999999999</v>
      </c>
      <c r="Z838">
        <v>-7.8733759999999996E-3</v>
      </c>
      <c r="AA838">
        <v>0.98622200000000004</v>
      </c>
      <c r="AB838">
        <v>25</v>
      </c>
      <c r="AC838">
        <v>0.60259999999999503</v>
      </c>
      <c r="AD838">
        <v>-7.3536000000000004E-2</v>
      </c>
      <c r="AE838">
        <v>-0.137999999999976</v>
      </c>
      <c r="AF838">
        <v>0.14185121035905399</v>
      </c>
      <c r="AG838">
        <v>-7.3536000000000004E-2</v>
      </c>
      <c r="AH838">
        <v>0.59283994057715605</v>
      </c>
      <c r="AI838">
        <v>96.878636232132806</v>
      </c>
      <c r="AJ838">
        <v>76.543602034647705</v>
      </c>
      <c r="AK838">
        <v>0.61399389599559895</v>
      </c>
      <c r="AL838">
        <v>82.822876648212699</v>
      </c>
      <c r="AM838">
        <v>82.366173933360102</v>
      </c>
      <c r="AN838">
        <v>1.00000000690743</v>
      </c>
    </row>
    <row r="839" spans="1:40" x14ac:dyDescent="0.25">
      <c r="A839" t="str">
        <f>"20190312151239799"</f>
        <v>20190312151239799</v>
      </c>
      <c r="B839" t="str">
        <f>"1552374759790858"</f>
        <v>1552374759790858</v>
      </c>
      <c r="C839" t="s">
        <v>40</v>
      </c>
      <c r="D839">
        <v>4.4914670000000001</v>
      </c>
      <c r="E839">
        <v>0.51153890000000002</v>
      </c>
      <c r="F839" t="s">
        <v>41</v>
      </c>
      <c r="G839">
        <v>-264.57799999999997</v>
      </c>
      <c r="H839">
        <v>1.038856</v>
      </c>
      <c r="I839">
        <v>367.18259999999998</v>
      </c>
      <c r="J839">
        <v>-265.15820000000002</v>
      </c>
      <c r="K839">
        <v>1.11007099999999</v>
      </c>
      <c r="L839">
        <v>367.31639999999999</v>
      </c>
      <c r="M839">
        <v>0.99989950000000005</v>
      </c>
      <c r="N839">
        <v>0</v>
      </c>
      <c r="O839">
        <v>9.6971739999999994E-3</v>
      </c>
      <c r="P839">
        <v>0.98581859999999999</v>
      </c>
      <c r="Q839">
        <v>0.1145747</v>
      </c>
      <c r="R839">
        <v>-0.1226151</v>
      </c>
      <c r="S839">
        <v>3.0138850000000001</v>
      </c>
      <c r="T839">
        <v>-0.26090659999999999</v>
      </c>
      <c r="U839">
        <v>-0.4805603</v>
      </c>
      <c r="V839">
        <v>0.13218150000000001</v>
      </c>
      <c r="W839">
        <v>0.1247384</v>
      </c>
      <c r="X839">
        <v>0.98334549999999998</v>
      </c>
      <c r="Y839">
        <v>0.16638649999999999</v>
      </c>
      <c r="Z839">
        <v>-7.9764390000000001E-3</v>
      </c>
      <c r="AA839">
        <v>0.98602840000000003</v>
      </c>
      <c r="AB839">
        <v>25</v>
      </c>
      <c r="AC839">
        <v>0.58020000000004701</v>
      </c>
      <c r="AD839">
        <v>-7.1214999999999806E-2</v>
      </c>
      <c r="AE839">
        <v>-0.133800000000007</v>
      </c>
      <c r="AF839">
        <v>0.137454044693338</v>
      </c>
      <c r="AG839">
        <v>-7.1214999999999806E-2</v>
      </c>
      <c r="AH839">
        <v>0.57071120537170605</v>
      </c>
      <c r="AI839">
        <v>96.916977155079493</v>
      </c>
      <c r="AJ839">
        <v>76.458392591880497</v>
      </c>
      <c r="AK839">
        <v>0.59133448281356304</v>
      </c>
      <c r="AL839">
        <v>82.834350995407306</v>
      </c>
      <c r="AM839">
        <v>82.344180158220894</v>
      </c>
      <c r="AN839">
        <v>0.99999999487352997</v>
      </c>
    </row>
    <row r="840" spans="1:40" x14ac:dyDescent="0.25">
      <c r="A840" t="str">
        <f>"20190312151239821"</f>
        <v>20190312151239821</v>
      </c>
      <c r="B840" t="str">
        <f>"1552374759810378"</f>
        <v>1552374759810378</v>
      </c>
      <c r="C840" t="s">
        <v>40</v>
      </c>
      <c r="D840">
        <v>4.2949809999999999</v>
      </c>
      <c r="E840">
        <v>0.51168559999999996</v>
      </c>
      <c r="F840" t="s">
        <v>41</v>
      </c>
      <c r="G840">
        <v>-264.35599999999999</v>
      </c>
      <c r="H840">
        <v>1.041941</v>
      </c>
      <c r="I840">
        <v>367.18799999999999</v>
      </c>
      <c r="J840">
        <v>-264.91899999999998</v>
      </c>
      <c r="K840">
        <v>1.110069</v>
      </c>
      <c r="L840">
        <v>367.31869999999998</v>
      </c>
      <c r="M840">
        <v>0.99989989999999995</v>
      </c>
      <c r="N840">
        <v>0</v>
      </c>
      <c r="O840">
        <v>9.6622559999999993E-3</v>
      </c>
      <c r="P840">
        <v>0.98569980000000001</v>
      </c>
      <c r="Q840">
        <v>0.1152041</v>
      </c>
      <c r="R840">
        <v>-0.12298199999999999</v>
      </c>
      <c r="S840">
        <v>3.0130620000000001</v>
      </c>
      <c r="T840">
        <v>-0.25605440000000002</v>
      </c>
      <c r="U840">
        <v>-0.48153689999999999</v>
      </c>
      <c r="V840">
        <v>0.13251270000000001</v>
      </c>
      <c r="W840">
        <v>0.12537619999999999</v>
      </c>
      <c r="X840">
        <v>0.98321979999999998</v>
      </c>
      <c r="Y840">
        <v>0.16672790000000001</v>
      </c>
      <c r="Z840">
        <v>-7.8419800000000001E-3</v>
      </c>
      <c r="AA840">
        <v>0.98597170000000001</v>
      </c>
      <c r="AB840">
        <v>25</v>
      </c>
      <c r="AC840">
        <v>0.56300000000004502</v>
      </c>
      <c r="AD840">
        <v>-6.8127999999999897E-2</v>
      </c>
      <c r="AE840">
        <v>-0.13069999999993301</v>
      </c>
      <c r="AF840">
        <v>0.13426846740748799</v>
      </c>
      <c r="AG840">
        <v>-6.8127999999999897E-2</v>
      </c>
      <c r="AH840">
        <v>0.55401314562371395</v>
      </c>
      <c r="AI840">
        <v>96.815210211609497</v>
      </c>
      <c r="AJ840">
        <v>76.376692551296998</v>
      </c>
      <c r="AK840">
        <v>0.57410801357221797</v>
      </c>
      <c r="AL840">
        <v>82.797518567426295</v>
      </c>
      <c r="AM840">
        <v>82.324256257004507</v>
      </c>
      <c r="AN840">
        <v>0.99999999114988503</v>
      </c>
    </row>
    <row r="841" spans="1:40" x14ac:dyDescent="0.25">
      <c r="A841" t="str">
        <f>"20190312151239836"</f>
        <v>20190312151239836</v>
      </c>
      <c r="B841" t="str">
        <f>"1552374759830874"</f>
        <v>1552374759830874</v>
      </c>
      <c r="C841" t="s">
        <v>40</v>
      </c>
      <c r="D841">
        <v>4.2910640000000004</v>
      </c>
      <c r="E841">
        <v>0.51182950000000005</v>
      </c>
      <c r="F841" t="s">
        <v>42</v>
      </c>
      <c r="G841">
        <v>-251.32069999999999</v>
      </c>
      <c r="H841" s="1">
        <v>-4.5005189999999998E-6</v>
      </c>
      <c r="I841">
        <v>365.13549999999998</v>
      </c>
      <c r="J841">
        <v>-264.75139999999999</v>
      </c>
      <c r="K841">
        <v>1.1100669999999999</v>
      </c>
      <c r="L841">
        <v>367.32029999999997</v>
      </c>
      <c r="M841">
        <v>0.99990000000000001</v>
      </c>
      <c r="N841">
        <v>0</v>
      </c>
      <c r="O841">
        <v>9.6378450000000008E-3</v>
      </c>
      <c r="P841">
        <v>0.9857321</v>
      </c>
      <c r="Q841">
        <v>0.11494939999999999</v>
      </c>
      <c r="R841">
        <v>-0.1229601</v>
      </c>
      <c r="S841">
        <v>3.0119020000000001</v>
      </c>
      <c r="T841">
        <v>-0.2458699</v>
      </c>
      <c r="U841">
        <v>-0.48355100000000001</v>
      </c>
      <c r="V841">
        <v>0.13246740000000001</v>
      </c>
      <c r="W841">
        <v>0.12512780000000001</v>
      </c>
      <c r="X841">
        <v>0.98325750000000001</v>
      </c>
      <c r="Y841">
        <v>0.1674515</v>
      </c>
      <c r="Z841">
        <v>-7.560883E-3</v>
      </c>
      <c r="AA841">
        <v>0.98585129999999999</v>
      </c>
      <c r="AB841">
        <v>25</v>
      </c>
      <c r="AC841">
        <v>13.4307</v>
      </c>
      <c r="AD841">
        <v>-1.1100715005189901</v>
      </c>
      <c r="AE841">
        <v>-2.1847999999999899</v>
      </c>
      <c r="AF841">
        <v>2.2988491335126899</v>
      </c>
      <c r="AG841">
        <v>-1.1100715005189901</v>
      </c>
      <c r="AH841">
        <v>13.320368426587599</v>
      </c>
      <c r="AI841">
        <v>94.694731232748495</v>
      </c>
      <c r="AJ841">
        <v>80.208261851770501</v>
      </c>
      <c r="AK841">
        <v>13.562786627199801</v>
      </c>
      <c r="AL841">
        <v>82.811863474009996</v>
      </c>
      <c r="AM841">
        <v>82.327139672438605</v>
      </c>
      <c r="AN841">
        <v>0.99999994485092303</v>
      </c>
    </row>
    <row r="842" spans="1:40" x14ac:dyDescent="0.25">
      <c r="A842" t="str">
        <f>"20190312151239855"</f>
        <v>20190312151239855</v>
      </c>
      <c r="B842" t="str">
        <f>"1552374759850395"</f>
        <v>1552374759850395</v>
      </c>
      <c r="C842" t="s">
        <v>40</v>
      </c>
      <c r="D842">
        <v>4.604533</v>
      </c>
      <c r="E842">
        <v>0.51185599999999998</v>
      </c>
      <c r="F842" t="s">
        <v>42</v>
      </c>
      <c r="G842">
        <v>-250.85159999999999</v>
      </c>
      <c r="H842" s="1">
        <v>-4.7110000000000003E-6</v>
      </c>
      <c r="I842">
        <v>365.08339999999998</v>
      </c>
      <c r="J842">
        <v>-264.54689999999999</v>
      </c>
      <c r="K842">
        <v>1.1100680000000001</v>
      </c>
      <c r="L842">
        <v>367.32220000000001</v>
      </c>
      <c r="M842">
        <v>0.99990009999999996</v>
      </c>
      <c r="N842">
        <v>0</v>
      </c>
      <c r="O842">
        <v>9.6081250000000003E-3</v>
      </c>
      <c r="P842">
        <v>0.98576629999999998</v>
      </c>
      <c r="Q842">
        <v>0.1147157</v>
      </c>
      <c r="R842">
        <v>-0.1229025</v>
      </c>
      <c r="S842">
        <v>3.0110779999999999</v>
      </c>
      <c r="T842">
        <v>-0.2404705</v>
      </c>
      <c r="U842">
        <v>-0.48455809999999999</v>
      </c>
      <c r="V842">
        <v>0.13238069999999999</v>
      </c>
      <c r="W842">
        <v>0.1249017</v>
      </c>
      <c r="X842">
        <v>0.98329800000000001</v>
      </c>
      <c r="Y842">
        <v>0.1678095</v>
      </c>
      <c r="Z842">
        <v>-7.4089919999999997E-3</v>
      </c>
      <c r="AA842">
        <v>0.98579159999999999</v>
      </c>
      <c r="AB842">
        <v>25</v>
      </c>
      <c r="AC842">
        <v>13.6953</v>
      </c>
      <c r="AD842">
        <v>-1.1100727109999999</v>
      </c>
      <c r="AE842">
        <v>-2.2388000000000199</v>
      </c>
      <c r="AF842">
        <v>2.3552190253530698</v>
      </c>
      <c r="AG842">
        <v>-1.1100727109999999</v>
      </c>
      <c r="AH842">
        <v>13.5862188711048</v>
      </c>
      <c r="AI842">
        <v>94.602675821700501</v>
      </c>
      <c r="AJ842">
        <v>80.165312507605194</v>
      </c>
      <c r="AK842">
        <v>13.833461652625401</v>
      </c>
      <c r="AL842">
        <v>82.824921030645996</v>
      </c>
      <c r="AM842">
        <v>82.332413864199793</v>
      </c>
      <c r="AN842">
        <v>1.00000002059968</v>
      </c>
    </row>
    <row r="843" spans="1:40" x14ac:dyDescent="0.25">
      <c r="A843" t="str">
        <f>"20190312151239877"</f>
        <v>20190312151239877</v>
      </c>
      <c r="B843" t="str">
        <f>"1552374759870894"</f>
        <v>1552374759870894</v>
      </c>
      <c r="C843" t="s">
        <v>40</v>
      </c>
      <c r="D843">
        <v>4.3428809999999904</v>
      </c>
      <c r="E843">
        <v>0.51183599999999996</v>
      </c>
      <c r="F843" t="s">
        <v>42</v>
      </c>
      <c r="G843">
        <v>-250.4819</v>
      </c>
      <c r="H843" s="1">
        <v>-4.8739629999999999E-6</v>
      </c>
      <c r="I843">
        <v>365.05889999999999</v>
      </c>
      <c r="J843">
        <v>-264.30079999999998</v>
      </c>
      <c r="K843">
        <v>1.1100730000000001</v>
      </c>
      <c r="L843">
        <v>367.3245</v>
      </c>
      <c r="M843">
        <v>0.99990049999999997</v>
      </c>
      <c r="N843">
        <v>0</v>
      </c>
      <c r="O843">
        <v>9.5718439999999995E-3</v>
      </c>
      <c r="P843">
        <v>0.98574099999999998</v>
      </c>
      <c r="Q843">
        <v>0.11471050000000001</v>
      </c>
      <c r="R843">
        <v>-0.1231117</v>
      </c>
      <c r="S843">
        <v>3.010529</v>
      </c>
      <c r="T843">
        <v>-0.23760319999999999</v>
      </c>
      <c r="U843">
        <v>-0.48443599999999998</v>
      </c>
      <c r="V843">
        <v>0.1325539</v>
      </c>
      <c r="W843">
        <v>0.124905</v>
      </c>
      <c r="X843">
        <v>0.98327419999999999</v>
      </c>
      <c r="Y843">
        <v>0.16777600000000001</v>
      </c>
      <c r="Z843">
        <v>-7.3181039999999998E-3</v>
      </c>
      <c r="AA843">
        <v>0.98579799999999995</v>
      </c>
      <c r="AB843">
        <v>25</v>
      </c>
      <c r="AC843">
        <v>13.8188999999999</v>
      </c>
      <c r="AD843">
        <v>-1.110077873963</v>
      </c>
      <c r="AE843">
        <v>-2.2656000000000001</v>
      </c>
      <c r="AF843">
        <v>2.3828019789261501</v>
      </c>
      <c r="AG843">
        <v>-1.110077873963</v>
      </c>
      <c r="AH843">
        <v>13.710422584191001</v>
      </c>
      <c r="AI843">
        <v>94.560839913181397</v>
      </c>
      <c r="AJ843">
        <v>80.140761730470203</v>
      </c>
      <c r="AK843">
        <v>13.960147047725901</v>
      </c>
      <c r="AL843">
        <v>82.824730125431302</v>
      </c>
      <c r="AM843">
        <v>82.322317955245197</v>
      </c>
      <c r="AN843">
        <v>0.99999997390792394</v>
      </c>
    </row>
    <row r="844" spans="1:40" x14ac:dyDescent="0.25">
      <c r="A844" t="str">
        <f>"20190312151239899"</f>
        <v>20190312151239899</v>
      </c>
      <c r="B844" t="str">
        <f>"1552374759890918"</f>
        <v>1552374759890918</v>
      </c>
      <c r="C844" t="s">
        <v>40</v>
      </c>
      <c r="D844">
        <v>4.343572</v>
      </c>
      <c r="E844">
        <v>0.51181220000000005</v>
      </c>
      <c r="F844" t="s">
        <v>42</v>
      </c>
      <c r="G844">
        <v>-250.25640000000001</v>
      </c>
      <c r="H844" s="1">
        <v>-4.9696249999999999E-6</v>
      </c>
      <c r="I844">
        <v>365.065</v>
      </c>
      <c r="J844">
        <v>-264.0573</v>
      </c>
      <c r="K844">
        <v>1.110077</v>
      </c>
      <c r="L844">
        <v>367.32679999999999</v>
      </c>
      <c r="M844">
        <v>0.99990060000000003</v>
      </c>
      <c r="N844">
        <v>0</v>
      </c>
      <c r="O844">
        <v>9.5363979999999997E-3</v>
      </c>
      <c r="P844">
        <v>0.98577329999999996</v>
      </c>
      <c r="Q844">
        <v>0.1142661</v>
      </c>
      <c r="R844">
        <v>-0.1232651</v>
      </c>
      <c r="S844">
        <v>3.0105900000000001</v>
      </c>
      <c r="T844">
        <v>-0.23795749999999999</v>
      </c>
      <c r="U844">
        <v>-0.48434450000000001</v>
      </c>
      <c r="V844">
        <v>0.1326727</v>
      </c>
      <c r="W844">
        <v>0.1244683</v>
      </c>
      <c r="X844">
        <v>0.98331360000000001</v>
      </c>
      <c r="Y844">
        <v>0.16770739999999901</v>
      </c>
      <c r="Z844">
        <v>-7.3233859999999899E-3</v>
      </c>
      <c r="AA844">
        <v>0.98580959999999995</v>
      </c>
      <c r="AB844">
        <v>25</v>
      </c>
      <c r="AC844">
        <v>13.800899999999899</v>
      </c>
      <c r="AD844">
        <v>-1.1100819696249999</v>
      </c>
      <c r="AE844">
        <v>-2.2617999999999898</v>
      </c>
      <c r="AF844">
        <v>2.3783301203296201</v>
      </c>
      <c r="AG844">
        <v>-1.1100819696249999</v>
      </c>
      <c r="AH844">
        <v>13.692430765299401</v>
      </c>
      <c r="AI844">
        <v>94.566899626680197</v>
      </c>
      <c r="AJ844">
        <v>80.146224827077603</v>
      </c>
      <c r="AK844">
        <v>13.941714256255301</v>
      </c>
      <c r="AL844">
        <v>82.849948316745696</v>
      </c>
      <c r="AM844">
        <v>82.3158233282943</v>
      </c>
      <c r="AN844">
        <v>1.00000001948757</v>
      </c>
    </row>
    <row r="845" spans="1:40" x14ac:dyDescent="0.25">
      <c r="A845" t="str">
        <f>"20190312151239923"</f>
        <v>20190312151239923</v>
      </c>
      <c r="B845" t="str">
        <f>"1552374759910439"</f>
        <v>1552374759910439</v>
      </c>
      <c r="C845" t="s">
        <v>40</v>
      </c>
      <c r="D845">
        <v>4.3424740000000002</v>
      </c>
      <c r="E845">
        <v>0.50810180000000005</v>
      </c>
      <c r="F845" t="s">
        <v>42</v>
      </c>
      <c r="G845">
        <v>-250.39230000000001</v>
      </c>
      <c r="H845" s="1">
        <v>-4.8998799999999997E-6</v>
      </c>
      <c r="I845">
        <v>365.12950000000001</v>
      </c>
      <c r="J845">
        <v>-263.80250000000001</v>
      </c>
      <c r="K845">
        <v>1.11008</v>
      </c>
      <c r="L845">
        <v>367.32920000000001</v>
      </c>
      <c r="M845">
        <v>0.99990100000000004</v>
      </c>
      <c r="N845">
        <v>0</v>
      </c>
      <c r="O845">
        <v>9.4996360000000005E-3</v>
      </c>
      <c r="P845">
        <v>0.9857823</v>
      </c>
      <c r="Q845">
        <v>0.114209</v>
      </c>
      <c r="R845">
        <v>-0.1232471</v>
      </c>
      <c r="S845">
        <v>3.0111080000000001</v>
      </c>
      <c r="T845">
        <v>-0.24460670000000001</v>
      </c>
      <c r="U845">
        <v>-0.48419190000000001</v>
      </c>
      <c r="V845">
        <v>0.13261870000000001</v>
      </c>
      <c r="W845">
        <v>0.1244186</v>
      </c>
      <c r="X845">
        <v>0.98332719999999996</v>
      </c>
      <c r="Y845">
        <v>0.1675661</v>
      </c>
      <c r="Z845">
        <v>-7.5174680000000002E-3</v>
      </c>
      <c r="AA845">
        <v>0.98583220000000005</v>
      </c>
      <c r="AB845">
        <v>25</v>
      </c>
      <c r="AC845">
        <v>13.4102</v>
      </c>
      <c r="AD845">
        <v>-1.1100848998799999</v>
      </c>
      <c r="AE845">
        <v>-2.1997</v>
      </c>
      <c r="AF845">
        <v>2.3115748362833601</v>
      </c>
      <c r="AG845">
        <v>-1.1100848998799999</v>
      </c>
      <c r="AH845">
        <v>13.299948867601101</v>
      </c>
      <c r="AI845">
        <v>94.701001760708095</v>
      </c>
      <c r="AJ845">
        <v>80.140297108246898</v>
      </c>
      <c r="AK845">
        <v>13.544899652248599</v>
      </c>
      <c r="AL845">
        <v>82.852818408435098</v>
      </c>
      <c r="AM845">
        <v>82.319018536033795</v>
      </c>
      <c r="AN845">
        <v>1.00000004493774</v>
      </c>
    </row>
    <row r="846" spans="1:40" x14ac:dyDescent="0.25">
      <c r="A846" t="str">
        <f>"20190312151239944"</f>
        <v>20190312151239944</v>
      </c>
      <c r="B846" t="str">
        <f>"1552374759940695"</f>
        <v>1552374759940695</v>
      </c>
      <c r="C846" t="s">
        <v>40</v>
      </c>
      <c r="D846">
        <v>4.3566070000000003</v>
      </c>
      <c r="E846">
        <v>0.50540350000000001</v>
      </c>
      <c r="F846" t="s">
        <v>41</v>
      </c>
      <c r="G846">
        <v>-263.0652</v>
      </c>
      <c r="H846">
        <v>0.98222909999999997</v>
      </c>
      <c r="I846">
        <v>367.21679999999998</v>
      </c>
      <c r="J846">
        <v>-263.56180000000001</v>
      </c>
      <c r="K846">
        <v>1.11008</v>
      </c>
      <c r="L846">
        <v>367.33150000000001</v>
      </c>
      <c r="M846">
        <v>0.99990120000000005</v>
      </c>
      <c r="N846">
        <v>0</v>
      </c>
      <c r="O846">
        <v>9.4644940000000004E-3</v>
      </c>
      <c r="P846">
        <v>0.98574439999999997</v>
      </c>
      <c r="Q846">
        <v>0.11404209999999999</v>
      </c>
      <c r="R846">
        <v>-0.1237038</v>
      </c>
      <c r="S846">
        <v>3.0463559999999998</v>
      </c>
      <c r="T846">
        <v>-0.52827239999999998</v>
      </c>
      <c r="U846">
        <v>-0.46481319999999998</v>
      </c>
      <c r="V846">
        <v>0.1330402</v>
      </c>
      <c r="W846">
        <v>0.1242587</v>
      </c>
      <c r="X846">
        <v>0.98329040000000001</v>
      </c>
      <c r="Y846">
        <v>0.15774440000000001</v>
      </c>
      <c r="Z846">
        <v>-1.511989E-2</v>
      </c>
      <c r="AA846">
        <v>0.98736420000000003</v>
      </c>
      <c r="AB846">
        <v>25</v>
      </c>
      <c r="AC846">
        <v>0.49659999999999999</v>
      </c>
      <c r="AD846">
        <v>-0.12785089999999999</v>
      </c>
      <c r="AE846">
        <v>-0.114700000000027</v>
      </c>
      <c r="AF846">
        <v>0.112327017664433</v>
      </c>
      <c r="AG846">
        <v>-0.12785089999999999</v>
      </c>
      <c r="AH846">
        <v>0.46615910541000799</v>
      </c>
      <c r="AI846">
        <v>104.929614212521</v>
      </c>
      <c r="AJ846">
        <v>76.452116494347607</v>
      </c>
      <c r="AK846">
        <v>0.49625348672312197</v>
      </c>
      <c r="AL846">
        <v>82.862051081342301</v>
      </c>
      <c r="AM846">
        <v>82.294614095714195</v>
      </c>
      <c r="AN846">
        <v>0.99999996503694399</v>
      </c>
    </row>
    <row r="847" spans="1:40" x14ac:dyDescent="0.25">
      <c r="A847" t="str">
        <f>"20190312151239968"</f>
        <v>20190312151239968</v>
      </c>
      <c r="B847" t="str">
        <f>"1552374759960214"</f>
        <v>1552374759960214</v>
      </c>
      <c r="C847" t="s">
        <v>40</v>
      </c>
      <c r="D847">
        <v>4.4123789999999996</v>
      </c>
      <c r="E847">
        <v>0.50443979999999999</v>
      </c>
      <c r="F847" t="s">
        <v>41</v>
      </c>
      <c r="G847">
        <v>-262.8723</v>
      </c>
      <c r="H847">
        <v>0.92319560000000001</v>
      </c>
      <c r="I847">
        <v>367.22899999999998</v>
      </c>
      <c r="J847">
        <v>-263.3075</v>
      </c>
      <c r="K847">
        <v>1.1100760000000001</v>
      </c>
      <c r="L847">
        <v>367.3338</v>
      </c>
      <c r="M847">
        <v>0.9999015</v>
      </c>
      <c r="N847">
        <v>0</v>
      </c>
      <c r="O847">
        <v>9.4277389999999992E-3</v>
      </c>
      <c r="P847">
        <v>0.98575380000000001</v>
      </c>
      <c r="Q847">
        <v>0.1138179</v>
      </c>
      <c r="R847">
        <v>-0.1238355</v>
      </c>
      <c r="S847">
        <v>3.0827939999999998</v>
      </c>
      <c r="T847">
        <v>-0.83557549999999903</v>
      </c>
      <c r="U847">
        <v>-0.45657350000000002</v>
      </c>
      <c r="V847">
        <v>0.1331359</v>
      </c>
      <c r="W847">
        <v>0.1240415</v>
      </c>
      <c r="X847">
        <v>0.98330490000000004</v>
      </c>
      <c r="Y847">
        <v>0.15018609999999999</v>
      </c>
      <c r="Z847">
        <v>-2.238768E-2</v>
      </c>
      <c r="AA847">
        <v>0.98840419999999996</v>
      </c>
      <c r="AB847">
        <v>25</v>
      </c>
      <c r="AC847">
        <v>0.43520000000000802</v>
      </c>
      <c r="AD847">
        <v>-0.1868804</v>
      </c>
      <c r="AE847">
        <v>-0.104799999999954</v>
      </c>
      <c r="AF847">
        <v>9.27357455942939E-2</v>
      </c>
      <c r="AG847">
        <v>-0.1868804</v>
      </c>
      <c r="AH847">
        <v>0.369749504875382</v>
      </c>
      <c r="AI847">
        <v>116.115960537981</v>
      </c>
      <c r="AJ847">
        <v>75.920249665851998</v>
      </c>
      <c r="AK847">
        <v>0.42454552025746201</v>
      </c>
      <c r="AL847">
        <v>82.874592961694205</v>
      </c>
      <c r="AM847">
        <v>82.289250367339093</v>
      </c>
      <c r="AN847">
        <v>0.99999999397753403</v>
      </c>
    </row>
    <row r="848" spans="1:40" x14ac:dyDescent="0.25">
      <c r="A848" t="str">
        <f>"20190312151239990"</f>
        <v>20190312151239990</v>
      </c>
      <c r="B848" t="str">
        <f>"1552374759980243"</f>
        <v>1552374759980243</v>
      </c>
      <c r="C848" t="s">
        <v>40</v>
      </c>
      <c r="D848">
        <v>4.3635799999999998</v>
      </c>
      <c r="E848">
        <v>0.5039709</v>
      </c>
      <c r="F848" t="s">
        <v>41</v>
      </c>
      <c r="G848">
        <v>-262.45729999999998</v>
      </c>
      <c r="H848">
        <v>0.85426899999999995</v>
      </c>
      <c r="I848">
        <v>367.20929999999998</v>
      </c>
      <c r="J848">
        <v>-263.0575</v>
      </c>
      <c r="K848">
        <v>1.110074</v>
      </c>
      <c r="L848">
        <v>367.33609999999999</v>
      </c>
      <c r="M848">
        <v>0.99990190000000001</v>
      </c>
      <c r="N848">
        <v>0</v>
      </c>
      <c r="O848">
        <v>9.3909309999999999E-3</v>
      </c>
      <c r="P848">
        <v>0.98582199999999998</v>
      </c>
      <c r="Q848">
        <v>0.1136336</v>
      </c>
      <c r="R848">
        <v>-0.1234619</v>
      </c>
      <c r="S848">
        <v>3.0939640000000002</v>
      </c>
      <c r="T848">
        <v>-0.93089750000000004</v>
      </c>
      <c r="U848">
        <v>-0.45275880000000002</v>
      </c>
      <c r="V848">
        <v>0.1327267</v>
      </c>
      <c r="W848">
        <v>0.12386460000000001</v>
      </c>
      <c r="X848">
        <v>0.98338250000000005</v>
      </c>
      <c r="Y848">
        <v>0.14728229999999901</v>
      </c>
      <c r="Z848">
        <v>-2.4320339999999999E-2</v>
      </c>
      <c r="AA848">
        <v>0.98879550000000005</v>
      </c>
      <c r="AB848">
        <v>25</v>
      </c>
      <c r="AC848">
        <v>0.60020000000002904</v>
      </c>
      <c r="AD848">
        <v>-0.25580499999999901</v>
      </c>
      <c r="AE848">
        <v>-0.12680000000000199</v>
      </c>
      <c r="AF848">
        <v>0.11281439074682501</v>
      </c>
      <c r="AG848">
        <v>-0.25580499999999901</v>
      </c>
      <c r="AH848">
        <v>0.51025660024175701</v>
      </c>
      <c r="AI848">
        <v>116.081973272197</v>
      </c>
      <c r="AJ848">
        <v>77.532837558175103</v>
      </c>
      <c r="AK848">
        <v>0.58182908390252697</v>
      </c>
      <c r="AL848">
        <v>82.884807248224703</v>
      </c>
      <c r="AM848">
        <v>82.313265294476494</v>
      </c>
      <c r="AN848">
        <v>0.99999997866614898</v>
      </c>
    </row>
    <row r="849" spans="1:40" x14ac:dyDescent="0.25">
      <c r="A849" t="str">
        <f>"20190312151240011"</f>
        <v>20190312151240011</v>
      </c>
      <c r="B849" t="str">
        <f>"1552374760000736"</f>
        <v>1552374760000736</v>
      </c>
      <c r="C849" t="s">
        <v>40</v>
      </c>
      <c r="D849">
        <v>4.3507300000000004</v>
      </c>
      <c r="E849">
        <v>0.50333729999999999</v>
      </c>
      <c r="F849" t="s">
        <v>41</v>
      </c>
      <c r="G849">
        <v>-262.23719999999997</v>
      </c>
      <c r="H849">
        <v>0.85005560000000002</v>
      </c>
      <c r="I849">
        <v>367.21699999999998</v>
      </c>
      <c r="J849">
        <v>-262.82040000000001</v>
      </c>
      <c r="K849">
        <v>1.1100730000000001</v>
      </c>
      <c r="L849">
        <v>367.3383</v>
      </c>
      <c r="M849">
        <v>0.99990199999999996</v>
      </c>
      <c r="N849">
        <v>0</v>
      </c>
      <c r="O849">
        <v>9.3562109999999997E-3</v>
      </c>
      <c r="P849">
        <v>0.98585610000000001</v>
      </c>
      <c r="Q849">
        <v>0.11352329999999999</v>
      </c>
      <c r="R849">
        <v>-0.123289</v>
      </c>
      <c r="S849">
        <v>3.1001280000000002</v>
      </c>
      <c r="T849">
        <v>-0.98279740000000004</v>
      </c>
      <c r="U849">
        <v>-0.44949339999999999</v>
      </c>
      <c r="V849">
        <v>0.1325199</v>
      </c>
      <c r="W849">
        <v>0.12376</v>
      </c>
      <c r="X849">
        <v>0.98342359999999895</v>
      </c>
      <c r="Y849">
        <v>0.1453091</v>
      </c>
      <c r="Z849">
        <v>-2.5254269999999999E-2</v>
      </c>
      <c r="AA849">
        <v>0.9890639</v>
      </c>
      <c r="AB849">
        <v>25</v>
      </c>
      <c r="AC849">
        <v>0.58320000000003303</v>
      </c>
      <c r="AD849">
        <v>-0.26001739999999901</v>
      </c>
      <c r="AE849">
        <v>-0.121300000000019</v>
      </c>
      <c r="AF849">
        <v>0.106465927437004</v>
      </c>
      <c r="AG849">
        <v>-0.26001739999999901</v>
      </c>
      <c r="AH849">
        <v>0.488888584424015</v>
      </c>
      <c r="AI849">
        <v>117.459737153593</v>
      </c>
      <c r="AJ849">
        <v>77.714435482624097</v>
      </c>
      <c r="AK849">
        <v>0.56387595265971302</v>
      </c>
      <c r="AL849">
        <v>82.890847147853705</v>
      </c>
      <c r="AM849">
        <v>82.325415981052402</v>
      </c>
      <c r="AN849">
        <v>1.00000001926648</v>
      </c>
    </row>
    <row r="850" spans="1:40" x14ac:dyDescent="0.25">
      <c r="A850" t="str">
        <f>"20190312151240032"</f>
        <v>20190312151240032</v>
      </c>
      <c r="B850" t="str">
        <f>"1552374760030991"</f>
        <v>1552374760030991</v>
      </c>
      <c r="C850" t="s">
        <v>40</v>
      </c>
      <c r="D850">
        <v>4.3492319999999998</v>
      </c>
      <c r="E850">
        <v>0.50330059999999999</v>
      </c>
      <c r="F850" t="s">
        <v>41</v>
      </c>
      <c r="G850">
        <v>-262.01639999999998</v>
      </c>
      <c r="H850">
        <v>0.84712299999999996</v>
      </c>
      <c r="I850">
        <v>367.22289999999998</v>
      </c>
      <c r="J850">
        <v>-262.57749999999999</v>
      </c>
      <c r="K850">
        <v>1.110069</v>
      </c>
      <c r="L850">
        <v>367.34059999999999</v>
      </c>
      <c r="M850">
        <v>0.99990239999999997</v>
      </c>
      <c r="N850">
        <v>0</v>
      </c>
      <c r="O850">
        <v>9.3209490000000002E-3</v>
      </c>
      <c r="P850">
        <v>0.98585739999999999</v>
      </c>
      <c r="Q850">
        <v>0.113567</v>
      </c>
      <c r="R850">
        <v>-0.12323919999999999</v>
      </c>
      <c r="S850">
        <v>3.1043400000000001</v>
      </c>
      <c r="T850">
        <v>-1.0152300000000001</v>
      </c>
      <c r="U850">
        <v>-0.44476320000000003</v>
      </c>
      <c r="V850">
        <v>0.13243559999999999</v>
      </c>
      <c r="W850">
        <v>0.12380969999999999</v>
      </c>
      <c r="X850">
        <v>0.98342870000000004</v>
      </c>
      <c r="Y850">
        <v>0.14324619999999999</v>
      </c>
      <c r="Z850">
        <v>-2.5678389999999999E-2</v>
      </c>
      <c r="AA850">
        <v>0.98935390000000001</v>
      </c>
      <c r="AB850">
        <v>25</v>
      </c>
      <c r="AC850">
        <v>0.56110000000001004</v>
      </c>
      <c r="AD850">
        <v>-0.26294600000000001</v>
      </c>
      <c r="AE850">
        <v>-0.117700000000013</v>
      </c>
      <c r="AF850">
        <v>0.101561303388619</v>
      </c>
      <c r="AG850">
        <v>-0.26294600000000001</v>
      </c>
      <c r="AH850">
        <v>0.462656690897364</v>
      </c>
      <c r="AI850">
        <v>119.035601158155</v>
      </c>
      <c r="AJ850">
        <v>77.618945624801796</v>
      </c>
      <c r="AK850">
        <v>0.54176241185052199</v>
      </c>
      <c r="AL850">
        <v>82.887977475160199</v>
      </c>
      <c r="AM850">
        <v>82.3302791914073</v>
      </c>
      <c r="AN850">
        <v>1.00000001897256</v>
      </c>
    </row>
    <row r="851" spans="1:40" x14ac:dyDescent="0.25">
      <c r="A851" t="str">
        <f>"20190312151240056"</f>
        <v>20190312151240056</v>
      </c>
      <c r="B851" t="str">
        <f>"1552374760050515"</f>
        <v>1552374760050515</v>
      </c>
      <c r="C851" t="s">
        <v>40</v>
      </c>
      <c r="D851">
        <v>4.3536739999999998</v>
      </c>
      <c r="E851">
        <v>0.50286129999999996</v>
      </c>
      <c r="F851" t="s">
        <v>41</v>
      </c>
      <c r="G851">
        <v>-261.7944</v>
      </c>
      <c r="H851">
        <v>0.84628680000000001</v>
      </c>
      <c r="I851">
        <v>367.2285</v>
      </c>
      <c r="J851">
        <v>-262.31720000000001</v>
      </c>
      <c r="K851">
        <v>1.1100719999999999</v>
      </c>
      <c r="L851">
        <v>367.34289999999999</v>
      </c>
      <c r="M851">
        <v>0.99990270000000003</v>
      </c>
      <c r="N851">
        <v>0</v>
      </c>
      <c r="O851">
        <v>9.2834809999999997E-3</v>
      </c>
      <c r="P851">
        <v>0.98588109999999995</v>
      </c>
      <c r="Q851">
        <v>0.1132316</v>
      </c>
      <c r="R851">
        <v>-0.1233582</v>
      </c>
      <c r="S851">
        <v>3.1080320000000001</v>
      </c>
      <c r="T851">
        <v>-1.047013</v>
      </c>
      <c r="U851">
        <v>-0.44494630000000002</v>
      </c>
      <c r="V851">
        <v>0.132518</v>
      </c>
      <c r="W851">
        <v>0.1234813</v>
      </c>
      <c r="X851">
        <v>0.98345890000000002</v>
      </c>
      <c r="Y851">
        <v>0.1426703</v>
      </c>
      <c r="Z851">
        <v>-2.6305499999999999E-2</v>
      </c>
      <c r="AA851">
        <v>0.98942070000000004</v>
      </c>
      <c r="AB851">
        <v>25</v>
      </c>
      <c r="AC851">
        <v>0.52280000000001703</v>
      </c>
      <c r="AD851">
        <v>-0.263785199999999</v>
      </c>
      <c r="AE851">
        <v>-0.114399999999989</v>
      </c>
      <c r="AF851">
        <v>9.5940090763388997E-2</v>
      </c>
      <c r="AG851">
        <v>-0.263785199999999</v>
      </c>
      <c r="AH851">
        <v>0.41973963342949</v>
      </c>
      <c r="AI851">
        <v>121.493700078069</v>
      </c>
      <c r="AJ851">
        <v>77.125049925603903</v>
      </c>
      <c r="AK851">
        <v>0.50494404900567902</v>
      </c>
      <c r="AL851">
        <v>82.906938988109104</v>
      </c>
      <c r="AM851">
        <v>82.325796886436805</v>
      </c>
      <c r="AN851">
        <v>1.00000002988144</v>
      </c>
    </row>
    <row r="852" spans="1:40" x14ac:dyDescent="0.25">
      <c r="A852" t="str">
        <f>"20190312151240077"</f>
        <v>20190312151240077</v>
      </c>
      <c r="B852" t="str">
        <f>"1552374760071007"</f>
        <v>1552374760071007</v>
      </c>
      <c r="C852" t="s">
        <v>40</v>
      </c>
      <c r="D852">
        <v>4.3667550000000004</v>
      </c>
      <c r="E852">
        <v>0.50242370000000003</v>
      </c>
      <c r="F852" t="s">
        <v>41</v>
      </c>
      <c r="G852">
        <v>-261.56849999999997</v>
      </c>
      <c r="H852">
        <v>0.85478460000000001</v>
      </c>
      <c r="I852">
        <v>367.23630000000003</v>
      </c>
      <c r="J852">
        <v>-262.0761</v>
      </c>
      <c r="K852">
        <v>1.110074</v>
      </c>
      <c r="L852">
        <v>367.3451</v>
      </c>
      <c r="M852">
        <v>0.99990290000000004</v>
      </c>
      <c r="N852">
        <v>0</v>
      </c>
      <c r="O852">
        <v>9.2485229999999998E-3</v>
      </c>
      <c r="P852">
        <v>0.9858787</v>
      </c>
      <c r="Q852">
        <v>0.11321920000000001</v>
      </c>
      <c r="R852">
        <v>-0.123388</v>
      </c>
      <c r="S852">
        <v>3.109467</v>
      </c>
      <c r="T852">
        <v>-1.0602</v>
      </c>
      <c r="U852">
        <v>-0.44186399999999998</v>
      </c>
      <c r="V852">
        <v>0.1325134</v>
      </c>
      <c r="W852">
        <v>0.12347420000000001</v>
      </c>
      <c r="X852">
        <v>0.98346040000000001</v>
      </c>
      <c r="Y852">
        <v>0.14148129999999901</v>
      </c>
      <c r="Z852">
        <v>-2.6401830000000001E-2</v>
      </c>
      <c r="AA852">
        <v>0.98958880000000005</v>
      </c>
      <c r="AB852">
        <v>25</v>
      </c>
      <c r="AC852">
        <v>0.50760000000002403</v>
      </c>
      <c r="AD852">
        <v>-0.2552894</v>
      </c>
      <c r="AE852">
        <v>-0.108799999999973</v>
      </c>
      <c r="AF852">
        <v>9.1389264229649603E-2</v>
      </c>
      <c r="AG852">
        <v>-0.2552894</v>
      </c>
      <c r="AH852">
        <v>0.40792298877132999</v>
      </c>
      <c r="AI852">
        <v>121.411962910472</v>
      </c>
      <c r="AJ852">
        <v>77.372221839785198</v>
      </c>
      <c r="AK852">
        <v>0.489822253615463</v>
      </c>
      <c r="AL852">
        <v>82.907348846287206</v>
      </c>
      <c r="AM852">
        <v>82.326071666007095</v>
      </c>
      <c r="AN852">
        <v>1.00000001880668</v>
      </c>
    </row>
    <row r="853" spans="1:40" x14ac:dyDescent="0.25">
      <c r="A853" t="str">
        <f>"20190312151240100"</f>
        <v>20190312151240100</v>
      </c>
      <c r="B853" t="str">
        <f>"1552374760090527"</f>
        <v>1552374760090527</v>
      </c>
      <c r="C853" t="s">
        <v>40</v>
      </c>
      <c r="D853">
        <v>4.4491620000000003</v>
      </c>
      <c r="E853">
        <v>0.50301340000000005</v>
      </c>
      <c r="F853" t="s">
        <v>41</v>
      </c>
      <c r="G853">
        <v>-261.34390000000002</v>
      </c>
      <c r="H853">
        <v>0.85911299999999902</v>
      </c>
      <c r="I853">
        <v>367.24169999999998</v>
      </c>
      <c r="J853">
        <v>-261.82549999999998</v>
      </c>
      <c r="K853">
        <v>1.11007099999999</v>
      </c>
      <c r="L853">
        <v>367.34739999999999</v>
      </c>
      <c r="M853">
        <v>0.99990310000000004</v>
      </c>
      <c r="N853">
        <v>0</v>
      </c>
      <c r="O853">
        <v>9.2120759999999996E-3</v>
      </c>
      <c r="P853">
        <v>0.98581260000000004</v>
      </c>
      <c r="Q853">
        <v>0.1134816</v>
      </c>
      <c r="R853">
        <v>-0.1236757</v>
      </c>
      <c r="S853">
        <v>3.110535</v>
      </c>
      <c r="T853">
        <v>-1.0661639999999999</v>
      </c>
      <c r="U853">
        <v>-0.4387817</v>
      </c>
      <c r="V853">
        <v>0.1327644</v>
      </c>
      <c r="W853">
        <v>0.1237415</v>
      </c>
      <c r="X853">
        <v>0.98339290000000001</v>
      </c>
      <c r="Y853">
        <v>0.14041090000000001</v>
      </c>
      <c r="Z853">
        <v>-2.634595E-2</v>
      </c>
      <c r="AA853">
        <v>0.98974280000000003</v>
      </c>
      <c r="AB853">
        <v>25</v>
      </c>
      <c r="AC853">
        <v>0.48159999999995701</v>
      </c>
      <c r="AD853">
        <v>-0.25095799999999902</v>
      </c>
      <c r="AE853">
        <v>-0.10570000000001301</v>
      </c>
      <c r="AF853">
        <v>8.7471960760652695E-2</v>
      </c>
      <c r="AG853">
        <v>-0.25095799999999902</v>
      </c>
      <c r="AH853">
        <v>0.38171848006519898</v>
      </c>
      <c r="AI853">
        <v>122.65306766421899</v>
      </c>
      <c r="AJ853">
        <v>77.0933316085017</v>
      </c>
      <c r="AK853">
        <v>0.46512391865673702</v>
      </c>
      <c r="AL853">
        <v>82.891914980306098</v>
      </c>
      <c r="AM853">
        <v>82.311188393725899</v>
      </c>
      <c r="AN853">
        <v>0.99999997025000897</v>
      </c>
    </row>
    <row r="854" spans="1:40" x14ac:dyDescent="0.25">
      <c r="A854" t="str">
        <f>"20190312151240123"</f>
        <v>20190312151240123</v>
      </c>
      <c r="B854" t="str">
        <f>"1552374760111024"</f>
        <v>1552374760111024</v>
      </c>
      <c r="C854" t="s">
        <v>40</v>
      </c>
      <c r="D854">
        <v>4.4075199999999999</v>
      </c>
      <c r="E854">
        <v>0.50378279999999998</v>
      </c>
      <c r="F854" t="s">
        <v>41</v>
      </c>
      <c r="G854">
        <v>-261.11790000000002</v>
      </c>
      <c r="H854">
        <v>0.86645039999999995</v>
      </c>
      <c r="I854">
        <v>367.24599999999998</v>
      </c>
      <c r="J854">
        <v>-261.57380000000001</v>
      </c>
      <c r="K854">
        <v>1.1100730000000001</v>
      </c>
      <c r="L854">
        <v>367.34969999999998</v>
      </c>
      <c r="M854">
        <v>0.9999034</v>
      </c>
      <c r="N854">
        <v>0</v>
      </c>
      <c r="O854">
        <v>9.1751539999999996E-3</v>
      </c>
      <c r="P854">
        <v>0.98581019999999997</v>
      </c>
      <c r="Q854">
        <v>0.1138738</v>
      </c>
      <c r="R854">
        <v>-0.12333330000000001</v>
      </c>
      <c r="S854">
        <v>3.110687</v>
      </c>
      <c r="T854">
        <v>-1.070927</v>
      </c>
      <c r="U854">
        <v>-0.44473269999999998</v>
      </c>
      <c r="V854">
        <v>0.1323858</v>
      </c>
      <c r="W854">
        <v>0.1241395</v>
      </c>
      <c r="X854">
        <v>0.98339379999999998</v>
      </c>
      <c r="Y854">
        <v>0.14206260000000001</v>
      </c>
      <c r="Z854">
        <v>-2.6715650000000001E-2</v>
      </c>
      <c r="AA854">
        <v>0.98949710000000002</v>
      </c>
      <c r="AB854">
        <v>25</v>
      </c>
      <c r="AC854">
        <v>0.45589999999998498</v>
      </c>
      <c r="AD854">
        <v>-0.243622599999999</v>
      </c>
      <c r="AE854">
        <v>-0.103700000000003</v>
      </c>
      <c r="AF854">
        <v>8.4842983310721903E-2</v>
      </c>
      <c r="AG854">
        <v>-0.243622599999999</v>
      </c>
      <c r="AH854">
        <v>0.35778626500627903</v>
      </c>
      <c r="AI854">
        <v>123.526194680486</v>
      </c>
      <c r="AJ854">
        <v>76.659679967972806</v>
      </c>
      <c r="AK854">
        <v>0.44109105009619798</v>
      </c>
      <c r="AL854">
        <v>82.868934214888299</v>
      </c>
      <c r="AM854">
        <v>82.332860084210097</v>
      </c>
      <c r="AN854">
        <v>0.99999999069016499</v>
      </c>
    </row>
    <row r="855" spans="1:40" x14ac:dyDescent="0.25">
      <c r="A855" t="str">
        <f>"20190312151240145"</f>
        <v>20190312151240145</v>
      </c>
      <c r="B855" t="str">
        <f>"1552374760140304"</f>
        <v>1552374760140304</v>
      </c>
      <c r="C855" t="s">
        <v>40</v>
      </c>
      <c r="D855">
        <v>4.4372860000000003</v>
      </c>
      <c r="E855">
        <v>0.50473230000000002</v>
      </c>
      <c r="F855" t="s">
        <v>41</v>
      </c>
      <c r="G855">
        <v>-260.89170000000001</v>
      </c>
      <c r="H855">
        <v>0.87384139999999999</v>
      </c>
      <c r="I855">
        <v>367.25080000000003</v>
      </c>
      <c r="J855">
        <v>-261.3245</v>
      </c>
      <c r="K855">
        <v>1.110077</v>
      </c>
      <c r="L855">
        <v>367.3519</v>
      </c>
      <c r="M855">
        <v>0.99990369999999995</v>
      </c>
      <c r="N855">
        <v>0</v>
      </c>
      <c r="O855">
        <v>9.1390429999999995E-3</v>
      </c>
      <c r="P855">
        <v>0.98575809999999997</v>
      </c>
      <c r="Q855">
        <v>0.114216</v>
      </c>
      <c r="R855">
        <v>-0.123433399999999</v>
      </c>
      <c r="S855">
        <v>3.1113279999999999</v>
      </c>
      <c r="T855">
        <v>-1.077485</v>
      </c>
      <c r="U855">
        <v>-0.45037840000000001</v>
      </c>
      <c r="V855">
        <v>0.1324497</v>
      </c>
      <c r="W855">
        <v>0.12448960000000001</v>
      </c>
      <c r="X855">
        <v>0.98334089999999996</v>
      </c>
      <c r="Y855">
        <v>0.14357679999999901</v>
      </c>
      <c r="Z855">
        <v>-2.7103490000000001E-2</v>
      </c>
      <c r="AA855">
        <v>0.98926789999999998</v>
      </c>
      <c r="AB855">
        <v>25</v>
      </c>
      <c r="AC855">
        <v>0.43279999999998597</v>
      </c>
      <c r="AD855">
        <v>-0.23623559999999899</v>
      </c>
      <c r="AE855">
        <v>-0.101099999999974</v>
      </c>
      <c r="AF855">
        <v>8.1910416776045894E-2</v>
      </c>
      <c r="AG855">
        <v>-0.23623559999999899</v>
      </c>
      <c r="AH855">
        <v>0.336727275016038</v>
      </c>
      <c r="AI855">
        <v>124.28166223455</v>
      </c>
      <c r="AJ855">
        <v>76.328085242164207</v>
      </c>
      <c r="AK855">
        <v>0.419406524536173</v>
      </c>
      <c r="AL855">
        <v>82.848717883663198</v>
      </c>
      <c r="AM855">
        <v>82.328795615119404</v>
      </c>
      <c r="AN855">
        <v>0.99999995457552904</v>
      </c>
    </row>
    <row r="856" spans="1:40" x14ac:dyDescent="0.25">
      <c r="A856" t="str">
        <f>"20190312151240168"</f>
        <v>20190312151240168</v>
      </c>
      <c r="B856" t="str">
        <f>"1552374760160799"</f>
        <v>1552374760160799</v>
      </c>
      <c r="C856" t="s">
        <v>40</v>
      </c>
      <c r="D856">
        <v>4.4370159999999998</v>
      </c>
      <c r="E856">
        <v>0.50522199999999995</v>
      </c>
      <c r="F856" t="s">
        <v>41</v>
      </c>
      <c r="G856">
        <v>-260.66469999999998</v>
      </c>
      <c r="H856">
        <v>0.88247249999999999</v>
      </c>
      <c r="I856">
        <v>367.25459999999998</v>
      </c>
      <c r="J856">
        <v>-261.07139999999998</v>
      </c>
      <c r="K856">
        <v>1.110082</v>
      </c>
      <c r="L856">
        <v>367.35419999999999</v>
      </c>
      <c r="M856">
        <v>0.99990389999999996</v>
      </c>
      <c r="N856">
        <v>0</v>
      </c>
      <c r="O856">
        <v>9.1021899999999996E-3</v>
      </c>
      <c r="P856">
        <v>0.98581850000000004</v>
      </c>
      <c r="Q856">
        <v>0.1136926</v>
      </c>
      <c r="R856">
        <v>-0.1234348</v>
      </c>
      <c r="S856">
        <v>3.1102289999999999</v>
      </c>
      <c r="T856">
        <v>-1.072951</v>
      </c>
      <c r="U856">
        <v>-0.45825199999999999</v>
      </c>
      <c r="V856">
        <v>0.13241549999999999</v>
      </c>
      <c r="W856">
        <v>0.1239809</v>
      </c>
      <c r="X856">
        <v>0.9834098</v>
      </c>
      <c r="Y856">
        <v>0.14597679999999999</v>
      </c>
      <c r="Z856">
        <v>-2.7388039999999999E-2</v>
      </c>
      <c r="AA856">
        <v>0.98890880000000003</v>
      </c>
      <c r="AB856">
        <v>25</v>
      </c>
      <c r="AC856">
        <v>0.40670000000000001</v>
      </c>
      <c r="AD856">
        <v>-0.22760949999999999</v>
      </c>
      <c r="AE856">
        <v>-9.9600000000009403E-2</v>
      </c>
      <c r="AF856">
        <v>7.9736826666549299E-2</v>
      </c>
      <c r="AG856">
        <v>-0.22760949999999999</v>
      </c>
      <c r="AH856">
        <v>0.31322341286664401</v>
      </c>
      <c r="AI856">
        <v>125.153521922674</v>
      </c>
      <c r="AJ856">
        <v>75.717662100249996</v>
      </c>
      <c r="AK856">
        <v>0.395313739180577</v>
      </c>
      <c r="AL856">
        <v>82.878092006876102</v>
      </c>
      <c r="AM856">
        <v>82.331283759269695</v>
      </c>
      <c r="AN856">
        <v>0.99999998147054903</v>
      </c>
    </row>
    <row r="857" spans="1:40" x14ac:dyDescent="0.25">
      <c r="A857" t="str">
        <f>"20190312151240189"</f>
        <v>20190312151240189</v>
      </c>
      <c r="B857" t="str">
        <f>"1552374760180825"</f>
        <v>1552374760180825</v>
      </c>
      <c r="C857" t="s">
        <v>40</v>
      </c>
      <c r="D857">
        <v>4.3877790000000001</v>
      </c>
      <c r="E857">
        <v>0.50553609999999904</v>
      </c>
      <c r="F857" t="s">
        <v>41</v>
      </c>
      <c r="G857">
        <v>-260.24</v>
      </c>
      <c r="H857">
        <v>0.82319100000000001</v>
      </c>
      <c r="I857">
        <v>367.23099999999999</v>
      </c>
      <c r="J857">
        <v>-260.82549999999998</v>
      </c>
      <c r="K857">
        <v>1.1100859999999999</v>
      </c>
      <c r="L857">
        <v>367.35640000000001</v>
      </c>
      <c r="M857">
        <v>0.99990400000000002</v>
      </c>
      <c r="N857">
        <v>0</v>
      </c>
      <c r="O857">
        <v>9.0664979999999992E-3</v>
      </c>
      <c r="P857">
        <v>0.98578679999999996</v>
      </c>
      <c r="Q857">
        <v>0.1136968</v>
      </c>
      <c r="R857">
        <v>-0.123684</v>
      </c>
      <c r="S857">
        <v>3.1093139999999999</v>
      </c>
      <c r="T857">
        <v>-1.072991</v>
      </c>
      <c r="U857">
        <v>-0.4599915</v>
      </c>
      <c r="V857">
        <v>0.13262929999999901</v>
      </c>
      <c r="W857">
        <v>0.12400509999999999</v>
      </c>
      <c r="X857">
        <v>0.98337799999999997</v>
      </c>
      <c r="Y857">
        <v>0.14649289999999901</v>
      </c>
      <c r="Z857">
        <v>-2.7469759999999999E-2</v>
      </c>
      <c r="AA857">
        <v>0.98883019999999999</v>
      </c>
      <c r="AB857">
        <v>25</v>
      </c>
      <c r="AC857">
        <v>0.58549999999996705</v>
      </c>
      <c r="AD857">
        <v>-0.28689500000000001</v>
      </c>
      <c r="AE857">
        <v>-0.125400000000013</v>
      </c>
      <c r="AF857">
        <v>0.106300284168081</v>
      </c>
      <c r="AG857">
        <v>-0.28689500000000001</v>
      </c>
      <c r="AH857">
        <v>0.475238693239943</v>
      </c>
      <c r="AI857">
        <v>120.503547991856</v>
      </c>
      <c r="AJ857">
        <v>77.391750029453306</v>
      </c>
      <c r="AK857">
        <v>0.56520819791615196</v>
      </c>
      <c r="AL857">
        <v>82.876695109723798</v>
      </c>
      <c r="AM857">
        <v>82.318804020471603</v>
      </c>
      <c r="AN857">
        <v>1.00000004346424</v>
      </c>
    </row>
    <row r="858" spans="1:40" x14ac:dyDescent="0.25">
      <c r="A858" t="str">
        <f>"20190312151240212"</f>
        <v>20190312151240212</v>
      </c>
      <c r="B858" t="str">
        <f>"1552374760200345"</f>
        <v>1552374760200345</v>
      </c>
      <c r="C858" t="s">
        <v>40</v>
      </c>
      <c r="D858">
        <v>4.4321820000000001</v>
      </c>
      <c r="E858">
        <v>0.50595020000000002</v>
      </c>
      <c r="F858" t="s">
        <v>41</v>
      </c>
      <c r="G858">
        <v>-260.01299999999998</v>
      </c>
      <c r="H858">
        <v>0.83061529999999995</v>
      </c>
      <c r="I858">
        <v>367.23500000000001</v>
      </c>
      <c r="J858">
        <v>-260.57220000000001</v>
      </c>
      <c r="K858">
        <v>1.110088</v>
      </c>
      <c r="L858">
        <v>367.35860000000002</v>
      </c>
      <c r="M858">
        <v>0.99990400000000002</v>
      </c>
      <c r="N858">
        <v>0</v>
      </c>
      <c r="O858">
        <v>9.0292919999999995E-3</v>
      </c>
      <c r="P858">
        <v>0.98578149999999998</v>
      </c>
      <c r="Q858">
        <v>0.11375109999999999</v>
      </c>
      <c r="R858">
        <v>-0.12367690000000001</v>
      </c>
      <c r="S858">
        <v>3.108368</v>
      </c>
      <c r="T858">
        <v>-1.069151</v>
      </c>
      <c r="U858">
        <v>-0.46392820000000001</v>
      </c>
      <c r="V858">
        <v>0.13258539999999999</v>
      </c>
      <c r="W858">
        <v>0.1240841</v>
      </c>
      <c r="X858">
        <v>0.98337390000000002</v>
      </c>
      <c r="Y858">
        <v>0.147716299999999</v>
      </c>
      <c r="Z858">
        <v>-2.757329E-2</v>
      </c>
      <c r="AA858">
        <v>0.98864529999999995</v>
      </c>
      <c r="AB858">
        <v>25</v>
      </c>
      <c r="AC858">
        <v>0.559200000000032</v>
      </c>
      <c r="AD858">
        <v>-0.27947269999999902</v>
      </c>
      <c r="AE858">
        <v>-0.12360000000000999</v>
      </c>
      <c r="AF858">
        <v>0.10390149219277101</v>
      </c>
      <c r="AG858">
        <v>-0.27947269999999902</v>
      </c>
      <c r="AH858">
        <v>0.450725986520709</v>
      </c>
      <c r="AI858">
        <v>121.14055245495101</v>
      </c>
      <c r="AJ858">
        <v>77.018925172769997</v>
      </c>
      <c r="AK858">
        <v>0.54042060013496995</v>
      </c>
      <c r="AL858">
        <v>82.872133127167899</v>
      </c>
      <c r="AM858">
        <v>82.321284507149997</v>
      </c>
      <c r="AN858">
        <v>0.99999998968358905</v>
      </c>
    </row>
    <row r="859" spans="1:40" x14ac:dyDescent="0.25">
      <c r="A859" t="str">
        <f>"20190312151240234"</f>
        <v>20190312151240234</v>
      </c>
      <c r="B859" t="str">
        <f>"1552374760230602"</f>
        <v>1552374760230602</v>
      </c>
      <c r="C859" t="s">
        <v>40</v>
      </c>
      <c r="D859">
        <v>4.3841039999999998</v>
      </c>
      <c r="E859">
        <v>0.50604459999999996</v>
      </c>
      <c r="F859" t="s">
        <v>41</v>
      </c>
      <c r="G859">
        <v>-259.78579999999999</v>
      </c>
      <c r="H859">
        <v>0.83806239999999999</v>
      </c>
      <c r="I859">
        <v>367.24009999999998</v>
      </c>
      <c r="J859">
        <v>-260.32350000000002</v>
      </c>
      <c r="K859">
        <v>1.1100920000000001</v>
      </c>
      <c r="L859">
        <v>367.36079999999998</v>
      </c>
      <c r="M859">
        <v>0.99990409999999996</v>
      </c>
      <c r="N859">
        <v>0</v>
      </c>
      <c r="O859">
        <v>8.9930900000000005E-3</v>
      </c>
      <c r="P859">
        <v>0.98572499999999996</v>
      </c>
      <c r="Q859">
        <v>0.11373229999999999</v>
      </c>
      <c r="R859">
        <v>-0.1241416</v>
      </c>
      <c r="S859">
        <v>3.1086429999999998</v>
      </c>
      <c r="T859">
        <v>-1.0752170000000001</v>
      </c>
      <c r="U859">
        <v>-0.46783449999999999</v>
      </c>
      <c r="V859">
        <v>0.1330141</v>
      </c>
      <c r="W859">
        <v>0.1240907</v>
      </c>
      <c r="X859">
        <v>0.98331519999999994</v>
      </c>
      <c r="Y859">
        <v>0.1487327</v>
      </c>
      <c r="Z859">
        <v>-2.7874449999999999E-2</v>
      </c>
      <c r="AA859">
        <v>0.98848449999999999</v>
      </c>
      <c r="AB859">
        <v>25</v>
      </c>
      <c r="AC859">
        <v>0.53770000000002904</v>
      </c>
      <c r="AD859">
        <v>-0.27202959999999998</v>
      </c>
      <c r="AE859">
        <v>-0.120699999999999</v>
      </c>
      <c r="AF859">
        <v>0.10093591254216901</v>
      </c>
      <c r="AG859">
        <v>-0.27202959999999998</v>
      </c>
      <c r="AH859">
        <v>0.431459074224327</v>
      </c>
      <c r="AI859">
        <v>121.54627071119801</v>
      </c>
      <c r="AJ859">
        <v>76.832969996336899</v>
      </c>
      <c r="AK859">
        <v>0.51994720351915902</v>
      </c>
      <c r="AL859">
        <v>82.871752229571001</v>
      </c>
      <c r="AM859">
        <v>82.296299557997799</v>
      </c>
      <c r="AN859">
        <v>1.00000001758816</v>
      </c>
    </row>
    <row r="860" spans="1:40" x14ac:dyDescent="0.25">
      <c r="A860" t="str">
        <f>"20190312151240256"</f>
        <v>20190312151240256</v>
      </c>
      <c r="B860" t="str">
        <f>"1552374760250121"</f>
        <v>1552374760250121</v>
      </c>
      <c r="C860" t="s">
        <v>40</v>
      </c>
      <c r="D860">
        <v>4.4327030000000001</v>
      </c>
      <c r="E860">
        <v>0.50858760000000003</v>
      </c>
      <c r="F860" t="s">
        <v>41</v>
      </c>
      <c r="G860">
        <v>-259.55810000000002</v>
      </c>
      <c r="H860">
        <v>0.84616179999999996</v>
      </c>
      <c r="I860">
        <v>367.245</v>
      </c>
      <c r="J860">
        <v>-260.0718</v>
      </c>
      <c r="K860">
        <v>1.110096</v>
      </c>
      <c r="L860">
        <v>367.36309999999997</v>
      </c>
      <c r="M860">
        <v>0.99990400000000002</v>
      </c>
      <c r="N860">
        <v>0</v>
      </c>
      <c r="O860">
        <v>8.9568189999999995E-3</v>
      </c>
      <c r="P860">
        <v>0.98568359999999999</v>
      </c>
      <c r="Q860">
        <v>0.11405659999999999</v>
      </c>
      <c r="R860">
        <v>-0.1241728</v>
      </c>
      <c r="S860">
        <v>3.107971</v>
      </c>
      <c r="T860">
        <v>-1.071763</v>
      </c>
      <c r="U860">
        <v>-0.46966550000000001</v>
      </c>
      <c r="V860">
        <v>0.1330094</v>
      </c>
      <c r="W860">
        <v>0.1244413</v>
      </c>
      <c r="X860">
        <v>0.98327149999999996</v>
      </c>
      <c r="Y860">
        <v>0.149319799999999</v>
      </c>
      <c r="Z860">
        <v>-2.788001E-2</v>
      </c>
      <c r="AA860">
        <v>0.98839580000000005</v>
      </c>
      <c r="AB860">
        <v>25</v>
      </c>
      <c r="AC860">
        <v>0.51369999999997096</v>
      </c>
      <c r="AD860">
        <v>-0.26393419999999901</v>
      </c>
      <c r="AE860">
        <v>-0.11809999999996899</v>
      </c>
      <c r="AF860">
        <v>9.8100127409315799E-2</v>
      </c>
      <c r="AG860">
        <v>-0.26393419999999901</v>
      </c>
      <c r="AH860">
        <v>0.40985832026878</v>
      </c>
      <c r="AI860">
        <v>122.05788317733899</v>
      </c>
      <c r="AJ860">
        <v>76.539414649858699</v>
      </c>
      <c r="AK860">
        <v>0.49726123880804302</v>
      </c>
      <c r="AL860">
        <v>82.851507213741996</v>
      </c>
      <c r="AM860">
        <v>82.296230240601304</v>
      </c>
      <c r="AN860">
        <v>0.999999990173149</v>
      </c>
    </row>
    <row r="861" spans="1:40" x14ac:dyDescent="0.25">
      <c r="A861" t="str">
        <f>"20190312151240278"</f>
        <v>20190312151240278</v>
      </c>
      <c r="B861" t="str">
        <f>"1552374760270617"</f>
        <v>1552374760270617</v>
      </c>
      <c r="C861" t="s">
        <v>40</v>
      </c>
      <c r="D861">
        <v>4.4550349999999996</v>
      </c>
      <c r="E861">
        <v>0.50901569999999996</v>
      </c>
      <c r="F861" t="s">
        <v>41</v>
      </c>
      <c r="G861">
        <v>-259.29719999999998</v>
      </c>
      <c r="H861">
        <v>0.93030489999999999</v>
      </c>
      <c r="I861">
        <v>367.24220000000003</v>
      </c>
      <c r="J861">
        <v>-259.82569999999998</v>
      </c>
      <c r="K861">
        <v>1.1100969999999999</v>
      </c>
      <c r="L861">
        <v>367.36520000000002</v>
      </c>
      <c r="M861">
        <v>0.99990420000000002</v>
      </c>
      <c r="N861">
        <v>0</v>
      </c>
      <c r="O861">
        <v>8.9210709999999992E-3</v>
      </c>
      <c r="P861">
        <v>0.98569899999999999</v>
      </c>
      <c r="Q861">
        <v>0.11407200000000001</v>
      </c>
      <c r="R861">
        <v>-0.1240377</v>
      </c>
      <c r="S861">
        <v>3.0657649999999999</v>
      </c>
      <c r="T861">
        <v>-0.71158859999999902</v>
      </c>
      <c r="U861">
        <v>-0.47744750000000002</v>
      </c>
      <c r="V861">
        <v>0.13283919999999999</v>
      </c>
      <c r="W861">
        <v>0.12448670000000001</v>
      </c>
      <c r="X861">
        <v>0.98328879999999996</v>
      </c>
      <c r="Y861">
        <v>0.1583454</v>
      </c>
      <c r="Z861">
        <v>-2.0063210000000001E-2</v>
      </c>
      <c r="AA861">
        <v>0.9871799</v>
      </c>
      <c r="AB861">
        <v>25</v>
      </c>
      <c r="AC861">
        <v>0.52850000000000796</v>
      </c>
      <c r="AD861">
        <v>-0.17979209999999901</v>
      </c>
      <c r="AE861">
        <v>-0.12299999999999001</v>
      </c>
      <c r="AF861">
        <v>0.115076494986856</v>
      </c>
      <c r="AG861">
        <v>-0.17979209999999901</v>
      </c>
      <c r="AH861">
        <v>0.47521066466542</v>
      </c>
      <c r="AI861">
        <v>110.189178264087</v>
      </c>
      <c r="AJ861">
        <v>76.387364774387805</v>
      </c>
      <c r="AK861">
        <v>0.52095390845315603</v>
      </c>
      <c r="AL861">
        <v>82.848885870962405</v>
      </c>
      <c r="AM861">
        <v>82.306103643029203</v>
      </c>
      <c r="AN861">
        <v>1.0000000278694801</v>
      </c>
    </row>
    <row r="862" spans="1:40" x14ac:dyDescent="0.25">
      <c r="A862" t="str">
        <f>"20190312151240313"</f>
        <v>20190312151240313</v>
      </c>
      <c r="B862" t="str">
        <f>"1552374760310634"</f>
        <v>1552374760310634</v>
      </c>
      <c r="C862" t="s">
        <v>40</v>
      </c>
      <c r="D862">
        <v>4.4371640000000001</v>
      </c>
      <c r="E862">
        <v>0.51127370000000005</v>
      </c>
      <c r="F862" t="s">
        <v>41</v>
      </c>
      <c r="G862">
        <v>-259.04599999999999</v>
      </c>
      <c r="H862">
        <v>0.9859947</v>
      </c>
      <c r="I862">
        <v>367.24400000000003</v>
      </c>
      <c r="J862">
        <v>-259.44450000000001</v>
      </c>
      <c r="K862">
        <v>1.110101</v>
      </c>
      <c r="L862">
        <v>367.36849999999998</v>
      </c>
      <c r="M862">
        <v>0.99990400000000002</v>
      </c>
      <c r="N862">
        <v>0</v>
      </c>
      <c r="O862">
        <v>8.8653999999999903E-3</v>
      </c>
      <c r="P862">
        <v>0.98572289999999996</v>
      </c>
      <c r="Q862">
        <v>0.1136326</v>
      </c>
      <c r="R862">
        <v>-0.1242523</v>
      </c>
      <c r="S862">
        <v>3.0401310000000001</v>
      </c>
      <c r="T862">
        <v>-0.4839408</v>
      </c>
      <c r="U862">
        <v>-0.47204590000000002</v>
      </c>
      <c r="V862">
        <v>0.1329989</v>
      </c>
      <c r="W862">
        <v>0.1241025</v>
      </c>
      <c r="X862">
        <v>0.98331579999999996</v>
      </c>
      <c r="Y862">
        <v>0.16010949999999999</v>
      </c>
      <c r="Z862">
        <v>-1.39842E-2</v>
      </c>
      <c r="AA862">
        <v>0.98700019999999999</v>
      </c>
      <c r="AB862">
        <v>25</v>
      </c>
      <c r="AC862">
        <v>0.39850000000001201</v>
      </c>
      <c r="AD862">
        <v>-0.1241063</v>
      </c>
      <c r="AE862">
        <v>-0.12449999999995399</v>
      </c>
      <c r="AF862">
        <v>0.11763340337091401</v>
      </c>
      <c r="AG862">
        <v>-0.1241063</v>
      </c>
      <c r="AH862">
        <v>0.36511671517696798</v>
      </c>
      <c r="AI862">
        <v>107.928040476202</v>
      </c>
      <c r="AJ862">
        <v>72.142083335707099</v>
      </c>
      <c r="AK862">
        <v>0.40317515671223297</v>
      </c>
      <c r="AL862">
        <v>82.871071106419393</v>
      </c>
      <c r="AM862">
        <v>82.297173961536899</v>
      </c>
      <c r="AN862">
        <v>1.00000005021854</v>
      </c>
    </row>
    <row r="863" spans="1:40" x14ac:dyDescent="0.25">
      <c r="A863" t="str">
        <f>"20190312151240336"</f>
        <v>20190312151240336</v>
      </c>
      <c r="B863" t="str">
        <f>"1552374760330154"</f>
        <v>1552374760330154</v>
      </c>
      <c r="C863" t="s">
        <v>40</v>
      </c>
      <c r="D863">
        <v>4.456429</v>
      </c>
      <c r="E863">
        <v>0.51133689999999998</v>
      </c>
      <c r="F863" t="s">
        <v>41</v>
      </c>
      <c r="G863">
        <v>-258.5813</v>
      </c>
      <c r="H863">
        <v>1.015128</v>
      </c>
      <c r="I863">
        <v>367.22969999999998</v>
      </c>
      <c r="J863">
        <v>-259.19130000000001</v>
      </c>
      <c r="K863">
        <v>1.1101049999999999</v>
      </c>
      <c r="L863">
        <v>367.3707</v>
      </c>
      <c r="M863">
        <v>0.99990389999999996</v>
      </c>
      <c r="N863">
        <v>0</v>
      </c>
      <c r="O863">
        <v>8.8285540000000006E-3</v>
      </c>
      <c r="P863">
        <v>0.98572919999999997</v>
      </c>
      <c r="Q863">
        <v>0.113454399999999</v>
      </c>
      <c r="R863">
        <v>-0.12436469999999999</v>
      </c>
      <c r="S863">
        <v>3.0206300000000001</v>
      </c>
      <c r="T863">
        <v>-0.33249099999999998</v>
      </c>
      <c r="U863">
        <v>-0.48513790000000001</v>
      </c>
      <c r="V863">
        <v>0.1330752</v>
      </c>
      <c r="W863">
        <v>0.1239701</v>
      </c>
      <c r="X863">
        <v>0.98332209999999998</v>
      </c>
      <c r="Y863">
        <v>0.16625580000000001</v>
      </c>
      <c r="Z863">
        <v>-1.002802E-2</v>
      </c>
      <c r="AA863">
        <v>0.98603169999999996</v>
      </c>
      <c r="AB863">
        <v>25</v>
      </c>
      <c r="AC863">
        <v>0.61000000000001298</v>
      </c>
      <c r="AD863">
        <v>-9.4976999999999798E-2</v>
      </c>
      <c r="AE863">
        <v>-0.141000000000019</v>
      </c>
      <c r="AF863">
        <v>0.14308737050449799</v>
      </c>
      <c r="AG863">
        <v>-9.4976999999999798E-2</v>
      </c>
      <c r="AH863">
        <v>0.59503776560948596</v>
      </c>
      <c r="AI863">
        <v>98.821430012473996</v>
      </c>
      <c r="AJ863">
        <v>76.4789309384701</v>
      </c>
      <c r="AK863">
        <v>0.61932589856102505</v>
      </c>
      <c r="AL863">
        <v>82.878715554826201</v>
      </c>
      <c r="AM863">
        <v>82.292856819918299</v>
      </c>
      <c r="AN863">
        <v>0.99999997344872904</v>
      </c>
    </row>
    <row r="864" spans="1:40" x14ac:dyDescent="0.25">
      <c r="A864" t="str">
        <f>"20190312151240358"</f>
        <v>20190312151240358</v>
      </c>
      <c r="B864" t="str">
        <f>"1552374760350649"</f>
        <v>1552374760350649</v>
      </c>
      <c r="C864" t="s">
        <v>40</v>
      </c>
      <c r="D864">
        <v>4.4663120000000003</v>
      </c>
      <c r="E864">
        <v>0.5111</v>
      </c>
      <c r="F864" t="s">
        <v>41</v>
      </c>
      <c r="G864">
        <v>-258.35230000000001</v>
      </c>
      <c r="H864">
        <v>1.0233890000000001</v>
      </c>
      <c r="I864">
        <v>367.23559999999998</v>
      </c>
      <c r="J864">
        <v>-258.93790000000001</v>
      </c>
      <c r="K864">
        <v>1.1101099999999999</v>
      </c>
      <c r="L864">
        <v>367.37299999999999</v>
      </c>
      <c r="M864">
        <v>0.99990369999999995</v>
      </c>
      <c r="N864">
        <v>0</v>
      </c>
      <c r="O864">
        <v>8.791854E-3</v>
      </c>
      <c r="P864">
        <v>0.98569739999999995</v>
      </c>
      <c r="Q864">
        <v>0.1134766</v>
      </c>
      <c r="R864">
        <v>-0.1245964</v>
      </c>
      <c r="S864">
        <v>3.0181269999999998</v>
      </c>
      <c r="T864">
        <v>-0.31214540000000002</v>
      </c>
      <c r="U864">
        <v>-0.4850159</v>
      </c>
      <c r="V864">
        <v>0.13327059999999999</v>
      </c>
      <c r="W864">
        <v>0.124042</v>
      </c>
      <c r="X864">
        <v>0.98328660000000001</v>
      </c>
      <c r="Y864">
        <v>0.16642860000000001</v>
      </c>
      <c r="Z864">
        <v>-9.4304760000000001E-3</v>
      </c>
      <c r="AA864">
        <v>0.98600840000000001</v>
      </c>
      <c r="AB864">
        <v>25</v>
      </c>
      <c r="AC864">
        <v>0.58559999999999901</v>
      </c>
      <c r="AD864">
        <v>-8.6721000000000006E-2</v>
      </c>
      <c r="AE864">
        <v>-0.13740000000006999</v>
      </c>
      <c r="AF864">
        <v>0.139640908097312</v>
      </c>
      <c r="AG864">
        <v>-8.6721000000000006E-2</v>
      </c>
      <c r="AH864">
        <v>0.57246988780899899</v>
      </c>
      <c r="AI864">
        <v>98.372154821391803</v>
      </c>
      <c r="AJ864">
        <v>76.291706453243293</v>
      </c>
      <c r="AK864">
        <v>0.59560212180892202</v>
      </c>
      <c r="AL864">
        <v>82.874564163793806</v>
      </c>
      <c r="AM864">
        <v>82.281401108080104</v>
      </c>
      <c r="AN864">
        <v>1.0000000041639501</v>
      </c>
    </row>
    <row r="865" spans="1:40" x14ac:dyDescent="0.25">
      <c r="A865" t="str">
        <f>"20190312151240380"</f>
        <v>20190312151240380</v>
      </c>
      <c r="B865" t="str">
        <f>"1552374760370170"</f>
        <v>1552374760370170</v>
      </c>
      <c r="C865" t="s">
        <v>40</v>
      </c>
      <c r="D865">
        <v>4.4628119999999996</v>
      </c>
      <c r="E865">
        <v>0.51094189999999995</v>
      </c>
      <c r="F865" t="s">
        <v>41</v>
      </c>
      <c r="G865">
        <v>-258.12520000000001</v>
      </c>
      <c r="H865">
        <v>1.027417</v>
      </c>
      <c r="I865">
        <v>367.24250000000001</v>
      </c>
      <c r="J865">
        <v>-258.68439999999998</v>
      </c>
      <c r="K865">
        <v>1.1101270000000001</v>
      </c>
      <c r="L865">
        <v>367.37509999999997</v>
      </c>
      <c r="M865">
        <v>0.99990330000000005</v>
      </c>
      <c r="N865">
        <v>0</v>
      </c>
      <c r="O865">
        <v>8.754955E-3</v>
      </c>
      <c r="P865">
        <v>0.9856665</v>
      </c>
      <c r="Q865">
        <v>0.1133575</v>
      </c>
      <c r="R865">
        <v>-0.124947</v>
      </c>
      <c r="S865">
        <v>3.0177</v>
      </c>
      <c r="T865">
        <v>-0.3071777</v>
      </c>
      <c r="U865">
        <v>-0.4838867</v>
      </c>
      <c r="V865">
        <v>0.1335847</v>
      </c>
      <c r="W865">
        <v>0.1239767</v>
      </c>
      <c r="X865">
        <v>0.98325220000000002</v>
      </c>
      <c r="Y865">
        <v>0.1660848</v>
      </c>
      <c r="Z865">
        <v>-9.2616460000000001E-3</v>
      </c>
      <c r="AA865">
        <v>0.98606799999999994</v>
      </c>
      <c r="AB865">
        <v>25</v>
      </c>
      <c r="AC865">
        <v>0.55919999999997505</v>
      </c>
      <c r="AD865">
        <v>-8.2710000000000006E-2</v>
      </c>
      <c r="AE865">
        <v>-0.13259999999996799</v>
      </c>
      <c r="AF865">
        <v>0.13470103345561199</v>
      </c>
      <c r="AG865">
        <v>-8.2710000000000006E-2</v>
      </c>
      <c r="AH865">
        <v>0.54669440455979401</v>
      </c>
      <c r="AI865">
        <v>98.3568550020657</v>
      </c>
      <c r="AJ865">
        <v>76.158493395732407</v>
      </c>
      <c r="AK865">
        <v>0.56908706231208395</v>
      </c>
      <c r="AL865">
        <v>82.878334592051601</v>
      </c>
      <c r="AM865">
        <v>82.263162129961998</v>
      </c>
      <c r="AN865">
        <v>0.99999999151091001</v>
      </c>
    </row>
    <row r="866" spans="1:40" x14ac:dyDescent="0.25">
      <c r="A866" t="str">
        <f>"20190312151240401"</f>
        <v>20190312151240401</v>
      </c>
      <c r="B866" t="str">
        <f>"1552374760390666"</f>
        <v>1552374760390666</v>
      </c>
      <c r="C866" t="s">
        <v>40</v>
      </c>
      <c r="D866">
        <v>4.442876</v>
      </c>
      <c r="E866">
        <v>0.5108104</v>
      </c>
      <c r="F866" t="s">
        <v>41</v>
      </c>
      <c r="G866">
        <v>-257.89890000000003</v>
      </c>
      <c r="H866">
        <v>1.0295589999999999</v>
      </c>
      <c r="I866">
        <v>367.24900000000002</v>
      </c>
      <c r="J866">
        <v>-258.44299999999998</v>
      </c>
      <c r="K866">
        <v>1.1101319999999999</v>
      </c>
      <c r="L866">
        <v>367.37720000000002</v>
      </c>
      <c r="M866">
        <v>0.99990310000000004</v>
      </c>
      <c r="N866">
        <v>0</v>
      </c>
      <c r="O866">
        <v>8.719915E-3</v>
      </c>
      <c r="P866">
        <v>0.9855448</v>
      </c>
      <c r="Q866">
        <v>0.11384370000000001</v>
      </c>
      <c r="R866">
        <v>-0.12546299999999999</v>
      </c>
      <c r="S866">
        <v>3.0178989999999999</v>
      </c>
      <c r="T866">
        <v>-0.30964239999999998</v>
      </c>
      <c r="U866">
        <v>-0.48391719999999999</v>
      </c>
      <c r="V866">
        <v>0.1340652</v>
      </c>
      <c r="W866">
        <v>0.1245132</v>
      </c>
      <c r="X866">
        <v>0.98311899999999997</v>
      </c>
      <c r="Y866">
        <v>0.16603619999999999</v>
      </c>
      <c r="Z866">
        <v>-9.3289380000000002E-3</v>
      </c>
      <c r="AA866">
        <v>0.98607549999999999</v>
      </c>
      <c r="AB866">
        <v>25</v>
      </c>
      <c r="AC866">
        <v>0.54409999999995695</v>
      </c>
      <c r="AD866">
        <v>-8.05729999999997E-2</v>
      </c>
      <c r="AE866">
        <v>-0.12819999999999199</v>
      </c>
      <c r="AF866">
        <v>0.13023419697903299</v>
      </c>
      <c r="AG866">
        <v>-8.05729999999997E-2</v>
      </c>
      <c r="AH866">
        <v>0.53191051101753495</v>
      </c>
      <c r="AI866">
        <v>98.370020305375803</v>
      </c>
      <c r="AJ866">
        <v>76.242223109308696</v>
      </c>
      <c r="AK866">
        <v>0.55351761139344902</v>
      </c>
      <c r="AL866">
        <v>82.847355365412099</v>
      </c>
      <c r="AM866">
        <v>82.234632686542398</v>
      </c>
      <c r="AN866">
        <v>0.99999999149313901</v>
      </c>
    </row>
    <row r="867" spans="1:40" x14ac:dyDescent="0.25">
      <c r="A867" t="str">
        <f>"20190312151240423"</f>
        <v>20190312151240423</v>
      </c>
      <c r="B867" t="str">
        <f>"1552374760420922"</f>
        <v>1552374760420922</v>
      </c>
      <c r="C867" t="s">
        <v>40</v>
      </c>
      <c r="D867">
        <v>4.4124980000000003</v>
      </c>
      <c r="E867">
        <v>0.51070669999999996</v>
      </c>
      <c r="F867" t="s">
        <v>41</v>
      </c>
      <c r="G867">
        <v>-257.67219999999998</v>
      </c>
      <c r="H867">
        <v>1.0321610000000001</v>
      </c>
      <c r="I867">
        <v>367.2534</v>
      </c>
      <c r="J867">
        <v>-258.1909</v>
      </c>
      <c r="K867">
        <v>1.110139</v>
      </c>
      <c r="L867">
        <v>367.3793</v>
      </c>
      <c r="M867">
        <v>0.99990279999999998</v>
      </c>
      <c r="N867">
        <v>0</v>
      </c>
      <c r="O867">
        <v>8.682894E-3</v>
      </c>
      <c r="P867">
        <v>0.98558380000000001</v>
      </c>
      <c r="Q867">
        <v>0.1136409</v>
      </c>
      <c r="R867">
        <v>-0.12534110000000001</v>
      </c>
      <c r="S867">
        <v>3.017563</v>
      </c>
      <c r="T867">
        <v>-0.30522860000000002</v>
      </c>
      <c r="U867">
        <v>-0.48455809999999999</v>
      </c>
      <c r="V867">
        <v>0.1339069</v>
      </c>
      <c r="W867">
        <v>0.12436659999999999</v>
      </c>
      <c r="X867">
        <v>0.98315909999999995</v>
      </c>
      <c r="Y867">
        <v>0.16624529999999901</v>
      </c>
      <c r="Z867">
        <v>-9.2042430000000008E-3</v>
      </c>
      <c r="AA867">
        <v>0.98604150000000002</v>
      </c>
      <c r="AB867">
        <v>25</v>
      </c>
      <c r="AC867">
        <v>0.51870000000002303</v>
      </c>
      <c r="AD867">
        <v>-7.7977999999999797E-2</v>
      </c>
      <c r="AE867">
        <v>-0.12590000000000101</v>
      </c>
      <c r="AF867">
        <v>0.12767441170577801</v>
      </c>
      <c r="AG867">
        <v>-7.7977999999999797E-2</v>
      </c>
      <c r="AH867">
        <v>0.50677129493216599</v>
      </c>
      <c r="AI867">
        <v>98.486475106372495</v>
      </c>
      <c r="AJ867">
        <v>75.859353635274601</v>
      </c>
      <c r="AK867">
        <v>0.52839234405471902</v>
      </c>
      <c r="AL867">
        <v>82.855820518479902</v>
      </c>
      <c r="AM867">
        <v>82.244002618658598</v>
      </c>
      <c r="AN867">
        <v>0.99999996248798895</v>
      </c>
    </row>
    <row r="868" spans="1:40" x14ac:dyDescent="0.25">
      <c r="A868" t="str">
        <f>"20190312151240447"</f>
        <v>20190312151240447</v>
      </c>
      <c r="B868" t="str">
        <f>"1552374760440445"</f>
        <v>1552374760440445</v>
      </c>
      <c r="C868" t="s">
        <v>40</v>
      </c>
      <c r="D868">
        <v>4.409084</v>
      </c>
      <c r="E868">
        <v>0.51062969999999996</v>
      </c>
      <c r="F868" t="s">
        <v>41</v>
      </c>
      <c r="G868">
        <v>-257.4452</v>
      </c>
      <c r="H868">
        <v>1.0353319999999999</v>
      </c>
      <c r="I868">
        <v>367.25970000000001</v>
      </c>
      <c r="J868">
        <v>-257.93540000000002</v>
      </c>
      <c r="K868">
        <v>1.1101460000000001</v>
      </c>
      <c r="L868">
        <v>367.38150000000002</v>
      </c>
      <c r="M868">
        <v>0.99990250000000003</v>
      </c>
      <c r="N868">
        <v>0</v>
      </c>
      <c r="O868">
        <v>8.6459729999999995E-3</v>
      </c>
      <c r="P868">
        <v>0.9856203</v>
      </c>
      <c r="Q868">
        <v>0.1134899</v>
      </c>
      <c r="R868">
        <v>-0.12519230000000001</v>
      </c>
      <c r="S868">
        <v>3.0173649999999999</v>
      </c>
      <c r="T868">
        <v>-0.30285269999999997</v>
      </c>
      <c r="U868">
        <v>-0.48318480000000003</v>
      </c>
      <c r="V868">
        <v>0.13372220000000001</v>
      </c>
      <c r="W868">
        <v>0.1242719</v>
      </c>
      <c r="X868">
        <v>0.98319630000000002</v>
      </c>
      <c r="Y868">
        <v>0.1657971</v>
      </c>
      <c r="Z868">
        <v>-9.1078989999999992E-3</v>
      </c>
      <c r="AA868">
        <v>0.98611780000000004</v>
      </c>
      <c r="AB868">
        <v>25</v>
      </c>
      <c r="AC868">
        <v>0.49020000000001501</v>
      </c>
      <c r="AD868">
        <v>-7.4813999999999894E-2</v>
      </c>
      <c r="AE868">
        <v>-0.121800000000007</v>
      </c>
      <c r="AF868">
        <v>0.123328349166286</v>
      </c>
      <c r="AG868">
        <v>-7.4813999999999894E-2</v>
      </c>
      <c r="AH868">
        <v>0.47862826468930703</v>
      </c>
      <c r="AI868">
        <v>98.607242155615893</v>
      </c>
      <c r="AJ868">
        <v>75.550877729759605</v>
      </c>
      <c r="AK868">
        <v>0.499892020403986</v>
      </c>
      <c r="AL868">
        <v>82.861289465321406</v>
      </c>
      <c r="AM868">
        <v>82.254860145411001</v>
      </c>
      <c r="AN868">
        <v>1.00000004811806</v>
      </c>
    </row>
    <row r="869" spans="1:40" x14ac:dyDescent="0.25">
      <c r="A869" t="str">
        <f>"20190312151240468"</f>
        <v>20190312151240468</v>
      </c>
      <c r="B869" t="str">
        <f>"1552374760460939"</f>
        <v>1552374760460939</v>
      </c>
      <c r="C869" t="s">
        <v>40</v>
      </c>
      <c r="D869">
        <v>4.3269120000000001</v>
      </c>
      <c r="E869">
        <v>0.51050419999999996</v>
      </c>
      <c r="F869" t="s">
        <v>41</v>
      </c>
      <c r="G869">
        <v>-257.0018</v>
      </c>
      <c r="H869">
        <v>1.016953</v>
      </c>
      <c r="I869">
        <v>367.2321</v>
      </c>
      <c r="J869">
        <v>-257.68680000000001</v>
      </c>
      <c r="K869">
        <v>1.1101589999999999</v>
      </c>
      <c r="L869">
        <v>367.3836</v>
      </c>
      <c r="M869">
        <v>0.99990210000000002</v>
      </c>
      <c r="N869">
        <v>0</v>
      </c>
      <c r="O869">
        <v>8.6098860000000006E-3</v>
      </c>
      <c r="P869">
        <v>0.98566509999999996</v>
      </c>
      <c r="Q869">
        <v>0.11349869999999999</v>
      </c>
      <c r="R869">
        <v>-0.124829</v>
      </c>
      <c r="S869">
        <v>3.0172270000000001</v>
      </c>
      <c r="T869">
        <v>-0.30140790000000001</v>
      </c>
      <c r="U869">
        <v>-0.48220829999999998</v>
      </c>
      <c r="V869">
        <v>0.1333241</v>
      </c>
      <c r="W869">
        <v>0.1243382</v>
      </c>
      <c r="X869">
        <v>0.9832419</v>
      </c>
      <c r="Y869">
        <v>0.16546710000000001</v>
      </c>
      <c r="Z869">
        <v>-9.0453800000000004E-3</v>
      </c>
      <c r="AA869">
        <v>0.98617379999999999</v>
      </c>
      <c r="AB869">
        <v>25</v>
      </c>
      <c r="AC869">
        <v>0.68500000000000205</v>
      </c>
      <c r="AD869">
        <v>-9.3206000000000094E-2</v>
      </c>
      <c r="AE869">
        <v>-0.151499999999998</v>
      </c>
      <c r="AF869">
        <v>0.154662584822119</v>
      </c>
      <c r="AG869">
        <v>-9.3206000000000094E-2</v>
      </c>
      <c r="AH869">
        <v>0.67181206002066696</v>
      </c>
      <c r="AI869">
        <v>97.699792973083902</v>
      </c>
      <c r="AJ869">
        <v>77.035425281113504</v>
      </c>
      <c r="AK869">
        <v>0.69565747143912104</v>
      </c>
      <c r="AL869">
        <v>82.857460492706295</v>
      </c>
      <c r="AM869">
        <v>82.277993131679494</v>
      </c>
      <c r="AN869">
        <v>0.99999996876782904</v>
      </c>
    </row>
    <row r="870" spans="1:40" x14ac:dyDescent="0.25">
      <c r="A870" t="str">
        <f>"20190312151240491"</f>
        <v>20190312151240491</v>
      </c>
      <c r="B870" t="str">
        <f>"1552374760480458"</f>
        <v>1552374760480458</v>
      </c>
      <c r="C870" t="s">
        <v>40</v>
      </c>
      <c r="D870">
        <v>4.3775269999999997</v>
      </c>
      <c r="E870">
        <v>0.5105788</v>
      </c>
      <c r="F870" t="s">
        <v>41</v>
      </c>
      <c r="G870">
        <v>-256.77550000000002</v>
      </c>
      <c r="H870">
        <v>1.0185839999999999</v>
      </c>
      <c r="I870">
        <v>367.23860000000002</v>
      </c>
      <c r="J870">
        <v>-257.43520000000001</v>
      </c>
      <c r="K870">
        <v>1.110166</v>
      </c>
      <c r="L870">
        <v>367.38569999999999</v>
      </c>
      <c r="M870">
        <v>0.99990179999999995</v>
      </c>
      <c r="N870">
        <v>0</v>
      </c>
      <c r="O870">
        <v>8.5731379999999992E-3</v>
      </c>
      <c r="P870">
        <v>0.98566900000000002</v>
      </c>
      <c r="Q870">
        <v>0.1134202</v>
      </c>
      <c r="R870">
        <v>-0.1248707</v>
      </c>
      <c r="S870">
        <v>3.0177610000000001</v>
      </c>
      <c r="T870">
        <v>-0.3033518</v>
      </c>
      <c r="U870">
        <v>-0.48001100000000002</v>
      </c>
      <c r="V870">
        <v>0.13332939999999999</v>
      </c>
      <c r="W870">
        <v>0.12431780000000001</v>
      </c>
      <c r="X870">
        <v>0.9832438</v>
      </c>
      <c r="Y870">
        <v>0.1646966</v>
      </c>
      <c r="Z870">
        <v>-9.0603100000000002E-3</v>
      </c>
      <c r="AA870">
        <v>0.98630269999999998</v>
      </c>
      <c r="AB870">
        <v>25</v>
      </c>
      <c r="AC870">
        <v>0.65969999999998596</v>
      </c>
      <c r="AD870">
        <v>-9.1581999999999997E-2</v>
      </c>
      <c r="AE870">
        <v>-0.14709999999996601</v>
      </c>
      <c r="AF870">
        <v>0.14999681853949001</v>
      </c>
      <c r="AG870">
        <v>-9.1581999999999997E-2</v>
      </c>
      <c r="AH870">
        <v>0.64654452680119401</v>
      </c>
      <c r="AI870">
        <v>97.856275862204697</v>
      </c>
      <c r="AJ870">
        <v>76.938576037213593</v>
      </c>
      <c r="AK870">
        <v>0.67000457717283501</v>
      </c>
      <c r="AL870">
        <v>82.858638742726598</v>
      </c>
      <c r="AM870">
        <v>82.277704607003102</v>
      </c>
      <c r="AN870">
        <v>1.0000000072698101</v>
      </c>
    </row>
    <row r="871" spans="1:40" x14ac:dyDescent="0.25">
      <c r="A871" t="str">
        <f>"20190312151240513"</f>
        <v>20190312151240513</v>
      </c>
      <c r="B871" t="str">
        <f>"1552374760510714"</f>
        <v>1552374760510714</v>
      </c>
      <c r="C871" t="s">
        <v>40</v>
      </c>
      <c r="D871">
        <v>4.4969039999999998</v>
      </c>
      <c r="E871">
        <v>0.51038339999999904</v>
      </c>
      <c r="F871" t="s">
        <v>41</v>
      </c>
      <c r="G871">
        <v>-256.54840000000002</v>
      </c>
      <c r="H871">
        <v>1.0214749999999999</v>
      </c>
      <c r="I871">
        <v>367.24439999999998</v>
      </c>
      <c r="J871">
        <v>-257.18270000000001</v>
      </c>
      <c r="K871">
        <v>1.1101719999999999</v>
      </c>
      <c r="L871">
        <v>367.3879</v>
      </c>
      <c r="M871">
        <v>0.9999015</v>
      </c>
      <c r="N871">
        <v>0</v>
      </c>
      <c r="O871">
        <v>8.5362240000000002E-3</v>
      </c>
      <c r="P871">
        <v>0.98566790000000004</v>
      </c>
      <c r="Q871">
        <v>0.1136025</v>
      </c>
      <c r="R871">
        <v>-0.12471309999999999</v>
      </c>
      <c r="S871">
        <v>3.0175019999999999</v>
      </c>
      <c r="T871">
        <v>-0.30190650000000002</v>
      </c>
      <c r="U871">
        <v>-0.48040769999999999</v>
      </c>
      <c r="V871">
        <v>0.13313539999999999</v>
      </c>
      <c r="W871">
        <v>0.12455629999999999</v>
      </c>
      <c r="X871">
        <v>0.98323990000000006</v>
      </c>
      <c r="Y871">
        <v>0.16480739999999999</v>
      </c>
      <c r="Z871">
        <v>-9.0198559999999997E-3</v>
      </c>
      <c r="AA871">
        <v>0.98628450000000001</v>
      </c>
      <c r="AB871">
        <v>25</v>
      </c>
      <c r="AC871">
        <v>0.63429999999999598</v>
      </c>
      <c r="AD871">
        <v>-8.8696999999999998E-2</v>
      </c>
      <c r="AE871">
        <v>-0.143500000000017</v>
      </c>
      <c r="AF871">
        <v>0.14619025899947299</v>
      </c>
      <c r="AG871">
        <v>-8.8696999999999998E-2</v>
      </c>
      <c r="AH871">
        <v>0.62149112380264004</v>
      </c>
      <c r="AI871">
        <v>97.909179727894596</v>
      </c>
      <c r="AJ871">
        <v>76.763231725132499</v>
      </c>
      <c r="AK871">
        <v>0.644585111991273</v>
      </c>
      <c r="AL871">
        <v>82.844866630776394</v>
      </c>
      <c r="AM871">
        <v>82.288775369967496</v>
      </c>
      <c r="AN871">
        <v>1.0000000037774299</v>
      </c>
    </row>
    <row r="872" spans="1:40" x14ac:dyDescent="0.25">
      <c r="A872" t="str">
        <f>"20190312151240537"</f>
        <v>20190312151240537</v>
      </c>
      <c r="B872" t="str">
        <f>"1552374760530235"</f>
        <v>1552374760530235</v>
      </c>
      <c r="C872" t="s">
        <v>40</v>
      </c>
      <c r="D872">
        <v>4.351737</v>
      </c>
      <c r="E872">
        <v>0.51045129999999905</v>
      </c>
      <c r="F872" t="s">
        <v>41</v>
      </c>
      <c r="G872">
        <v>-256.32170000000002</v>
      </c>
      <c r="H872">
        <v>1.02342</v>
      </c>
      <c r="I872">
        <v>367.25130000000001</v>
      </c>
      <c r="J872">
        <v>-256.91739999999999</v>
      </c>
      <c r="K872">
        <v>1.1101760000000001</v>
      </c>
      <c r="L872">
        <v>367.39010000000002</v>
      </c>
      <c r="M872">
        <v>0.99990120000000005</v>
      </c>
      <c r="N872">
        <v>0</v>
      </c>
      <c r="O872">
        <v>8.4977530000000003E-3</v>
      </c>
      <c r="P872">
        <v>0.98571620000000004</v>
      </c>
      <c r="Q872">
        <v>0.1134208</v>
      </c>
      <c r="R872">
        <v>-0.12449739999999999</v>
      </c>
      <c r="S872">
        <v>3.0181269999999998</v>
      </c>
      <c r="T872">
        <v>-0.30413059999999997</v>
      </c>
      <c r="U872">
        <v>-0.47851559999999999</v>
      </c>
      <c r="V872">
        <v>0.13288229999999901</v>
      </c>
      <c r="W872">
        <v>0.124430399999999</v>
      </c>
      <c r="X872">
        <v>0.98329009999999994</v>
      </c>
      <c r="Y872">
        <v>0.16412599999999999</v>
      </c>
      <c r="Z872">
        <v>-9.0466850000000005E-3</v>
      </c>
      <c r="AA872">
        <v>0.98639790000000005</v>
      </c>
      <c r="AB872">
        <v>25</v>
      </c>
      <c r="AC872">
        <v>0.59569999999996504</v>
      </c>
      <c r="AD872">
        <v>-8.6756E-2</v>
      </c>
      <c r="AE872">
        <v>-0.138800000000003</v>
      </c>
      <c r="AF872">
        <v>0.14102037684695501</v>
      </c>
      <c r="AG872">
        <v>-8.6756E-2</v>
      </c>
      <c r="AH872">
        <v>0.58277469895314005</v>
      </c>
      <c r="AI872">
        <v>98.233058685604107</v>
      </c>
      <c r="AJ872">
        <v>76.396996394285907</v>
      </c>
      <c r="AK872">
        <v>0.60583801462270503</v>
      </c>
      <c r="AL872">
        <v>82.852136883094005</v>
      </c>
      <c r="AM872">
        <v>82.303647308513206</v>
      </c>
      <c r="AN872">
        <v>1.0000000254277199</v>
      </c>
    </row>
    <row r="873" spans="1:40" x14ac:dyDescent="0.25">
      <c r="A873" t="str">
        <f>"20190312151240559"</f>
        <v>20190312151240559</v>
      </c>
      <c r="B873" t="str">
        <f>"1552374760550731"</f>
        <v>1552374760550731</v>
      </c>
      <c r="C873" t="s">
        <v>40</v>
      </c>
      <c r="D873">
        <v>4.3426799999999997</v>
      </c>
      <c r="E873">
        <v>0.51060519999999998</v>
      </c>
      <c r="F873" t="s">
        <v>41</v>
      </c>
      <c r="G873">
        <v>-256.09390000000002</v>
      </c>
      <c r="H873">
        <v>1.0276700000000001</v>
      </c>
      <c r="I873">
        <v>367.25920000000002</v>
      </c>
      <c r="J873">
        <v>-256.66910000000001</v>
      </c>
      <c r="K873">
        <v>1.110182</v>
      </c>
      <c r="L873">
        <v>367.39210000000003</v>
      </c>
      <c r="M873">
        <v>0.99990089999999998</v>
      </c>
      <c r="N873">
        <v>0</v>
      </c>
      <c r="O873">
        <v>8.4615599999999999E-3</v>
      </c>
      <c r="P873">
        <v>0.98568120000000004</v>
      </c>
      <c r="Q873">
        <v>0.1135625</v>
      </c>
      <c r="R873">
        <v>-0.12464450000000001</v>
      </c>
      <c r="S873">
        <v>3.0178530000000001</v>
      </c>
      <c r="T873">
        <v>-0.30263279999999998</v>
      </c>
      <c r="U873">
        <v>-0.47857670000000002</v>
      </c>
      <c r="V873">
        <v>0.13299339999999901</v>
      </c>
      <c r="W873">
        <v>0.12462579999999999</v>
      </c>
      <c r="X873">
        <v>0.98325030000000002</v>
      </c>
      <c r="Y873">
        <v>0.164132</v>
      </c>
      <c r="Z873">
        <v>-8.9998419999999992E-3</v>
      </c>
      <c r="AA873">
        <v>0.98639730000000003</v>
      </c>
      <c r="AB873">
        <v>25</v>
      </c>
      <c r="AC873">
        <v>0.57519999999999505</v>
      </c>
      <c r="AD873">
        <v>-8.2511999999999905E-2</v>
      </c>
      <c r="AE873">
        <v>-0.13290000000000601</v>
      </c>
      <c r="AF873">
        <v>0.13512303316246399</v>
      </c>
      <c r="AG873">
        <v>-8.2511999999999905E-2</v>
      </c>
      <c r="AH873">
        <v>0.56305559595710997</v>
      </c>
      <c r="AI873">
        <v>98.109901421966995</v>
      </c>
      <c r="AJ873">
        <v>76.505258703481402</v>
      </c>
      <c r="AK873">
        <v>0.58489150136896395</v>
      </c>
      <c r="AL873">
        <v>82.840853228729003</v>
      </c>
      <c r="AM873">
        <v>82.296981729479697</v>
      </c>
      <c r="AN873">
        <v>0.99999999345964397</v>
      </c>
    </row>
    <row r="874" spans="1:40" x14ac:dyDescent="0.25">
      <c r="A874" t="str">
        <f>"20190312151240580"</f>
        <v>20190312151240580</v>
      </c>
      <c r="B874" t="str">
        <f>"1552374760570250"</f>
        <v>1552374760570250</v>
      </c>
      <c r="C874" t="s">
        <v>40</v>
      </c>
      <c r="D874">
        <v>4.3253149999999998</v>
      </c>
      <c r="E874">
        <v>0.51089659999999903</v>
      </c>
      <c r="F874" t="s">
        <v>41</v>
      </c>
      <c r="G874">
        <v>-255.86680000000001</v>
      </c>
      <c r="H874">
        <v>1.030381</v>
      </c>
      <c r="I874">
        <v>367.2645</v>
      </c>
      <c r="J874">
        <v>-256.42</v>
      </c>
      <c r="K874">
        <v>1.1101890000000001</v>
      </c>
      <c r="L874">
        <v>367.39420000000001</v>
      </c>
      <c r="M874">
        <v>0.99990060000000003</v>
      </c>
      <c r="N874">
        <v>0</v>
      </c>
      <c r="O874">
        <v>8.4251059999999999E-3</v>
      </c>
      <c r="P874">
        <v>0.98565729999999996</v>
      </c>
      <c r="Q874">
        <v>0.1133369</v>
      </c>
      <c r="R874">
        <v>-0.12503919999999999</v>
      </c>
      <c r="S874">
        <v>3.0174409999999998</v>
      </c>
      <c r="T874">
        <v>-0.3001219</v>
      </c>
      <c r="U874">
        <v>-0.48016360000000002</v>
      </c>
      <c r="V874">
        <v>0.1333519</v>
      </c>
      <c r="W874">
        <v>0.1244569</v>
      </c>
      <c r="X874">
        <v>0.98322310000000002</v>
      </c>
      <c r="Y874">
        <v>0.16463429999999901</v>
      </c>
      <c r="Z874">
        <v>-8.9475400000000004E-3</v>
      </c>
      <c r="AA874">
        <v>0.98631409999999997</v>
      </c>
      <c r="AB874">
        <v>25</v>
      </c>
      <c r="AC874">
        <v>0.55320000000000302</v>
      </c>
      <c r="AD874">
        <v>-7.9807999999999796E-2</v>
      </c>
      <c r="AE874">
        <v>-0.129700000000013</v>
      </c>
      <c r="AF874">
        <v>0.131757122970624</v>
      </c>
      <c r="AG874">
        <v>-7.9807999999999796E-2</v>
      </c>
      <c r="AH874">
        <v>0.54140654462807802</v>
      </c>
      <c r="AI874">
        <v>98.150943281031203</v>
      </c>
      <c r="AJ874">
        <v>76.322334477712104</v>
      </c>
      <c r="AK874">
        <v>0.56289457528351705</v>
      </c>
      <c r="AL874">
        <v>82.850606156643906</v>
      </c>
      <c r="AM874">
        <v>82.276256516391697</v>
      </c>
      <c r="AN874">
        <v>0.99999995678241405</v>
      </c>
    </row>
    <row r="875" spans="1:40" x14ac:dyDescent="0.25">
      <c r="A875" t="str">
        <f>"20190312151240603"</f>
        <v>20190312151240603</v>
      </c>
      <c r="B875" t="str">
        <f>"1552374760600507"</f>
        <v>1552374760600507</v>
      </c>
      <c r="C875" t="s">
        <v>40</v>
      </c>
      <c r="D875">
        <v>4.2722579999999999</v>
      </c>
      <c r="E875">
        <v>0.53126850000000003</v>
      </c>
      <c r="F875" t="s">
        <v>41</v>
      </c>
      <c r="G875">
        <v>-255.6396</v>
      </c>
      <c r="H875">
        <v>1.033039</v>
      </c>
      <c r="I875">
        <v>367.2688</v>
      </c>
      <c r="J875">
        <v>-256.16890000000001</v>
      </c>
      <c r="K875">
        <v>1.110196</v>
      </c>
      <c r="L875">
        <v>367.3963</v>
      </c>
      <c r="M875">
        <v>0.99990020000000002</v>
      </c>
      <c r="N875">
        <v>0</v>
      </c>
      <c r="O875">
        <v>8.3881749999999995E-3</v>
      </c>
      <c r="P875">
        <v>0.9856412</v>
      </c>
      <c r="Q875">
        <v>0.1131728</v>
      </c>
      <c r="R875">
        <v>-0.12531320000000001</v>
      </c>
      <c r="S875">
        <v>3.016632</v>
      </c>
      <c r="T875">
        <v>-0.29855359999999997</v>
      </c>
      <c r="U875">
        <v>-0.48361209999999999</v>
      </c>
      <c r="V875">
        <v>0.1335896</v>
      </c>
      <c r="W875">
        <v>0.12435</v>
      </c>
      <c r="X875">
        <v>0.98320439999999998</v>
      </c>
      <c r="Y875">
        <v>0.16574159999999999</v>
      </c>
      <c r="Z875">
        <v>-8.9532540000000008E-3</v>
      </c>
      <c r="AA875">
        <v>0.98612860000000002</v>
      </c>
      <c r="AB875">
        <v>25</v>
      </c>
      <c r="AC875">
        <v>0.52930000000000599</v>
      </c>
      <c r="AD875">
        <v>-7.7156999999999906E-2</v>
      </c>
      <c r="AE875">
        <v>-0.127499999999997</v>
      </c>
      <c r="AF875">
        <v>0.12933803274919101</v>
      </c>
      <c r="AG875">
        <v>-7.7156999999999906E-2</v>
      </c>
      <c r="AH875">
        <v>0.51781206149214698</v>
      </c>
      <c r="AI875">
        <v>98.225942092752405</v>
      </c>
      <c r="AJ875">
        <v>75.975731557150098</v>
      </c>
      <c r="AK875">
        <v>0.53926882015482602</v>
      </c>
      <c r="AL875">
        <v>82.856779323985094</v>
      </c>
      <c r="AM875">
        <v>82.262510178177493</v>
      </c>
      <c r="AN875">
        <v>0.99999999795375905</v>
      </c>
    </row>
    <row r="876" spans="1:40" x14ac:dyDescent="0.25">
      <c r="A876" t="str">
        <f>"20190312151240625"</f>
        <v>20190312151240625</v>
      </c>
      <c r="B876" t="str">
        <f>"1552374760620026"</f>
        <v>1552374760620026</v>
      </c>
      <c r="C876" t="s">
        <v>40</v>
      </c>
      <c r="D876">
        <v>4.2843150000000003</v>
      </c>
      <c r="E876">
        <v>0.53150189999999997</v>
      </c>
      <c r="F876" t="s">
        <v>42</v>
      </c>
      <c r="G876">
        <v>-236.91149999999999</v>
      </c>
      <c r="H876" s="1">
        <v>-2.7300670000000001E-6</v>
      </c>
      <c r="I876">
        <v>363.25360000000001</v>
      </c>
      <c r="J876">
        <v>-255.91499999999999</v>
      </c>
      <c r="K876">
        <v>1.110201</v>
      </c>
      <c r="L876">
        <v>367.39830000000001</v>
      </c>
      <c r="M876">
        <v>0.99989980000000001</v>
      </c>
      <c r="N876">
        <v>0</v>
      </c>
      <c r="O876">
        <v>8.3512310000000006E-3</v>
      </c>
      <c r="P876">
        <v>0.98553930000000001</v>
      </c>
      <c r="Q876">
        <v>0.113436</v>
      </c>
      <c r="R876">
        <v>-0.12587599999999999</v>
      </c>
      <c r="S876">
        <v>2.9818880000000001</v>
      </c>
      <c r="T876">
        <v>-0.17190610000000001</v>
      </c>
      <c r="U876">
        <v>-0.64144899999999905</v>
      </c>
      <c r="V876">
        <v>0.13411509999999999</v>
      </c>
      <c r="W876">
        <v>0.1246698</v>
      </c>
      <c r="X876">
        <v>0.98309239999999998</v>
      </c>
      <c r="Y876">
        <v>0.2181023</v>
      </c>
      <c r="Z876">
        <v>-6.6864869999999996E-3</v>
      </c>
      <c r="AA876">
        <v>0.97590299999999996</v>
      </c>
      <c r="AB876">
        <v>25</v>
      </c>
      <c r="AC876">
        <v>19.003499999999999</v>
      </c>
      <c r="AD876">
        <v>-1.110203730067</v>
      </c>
      <c r="AE876">
        <v>-4.1447000000000003</v>
      </c>
      <c r="AF876">
        <v>4.2892937631160697</v>
      </c>
      <c r="AG876">
        <v>-1.110203730067</v>
      </c>
      <c r="AH876">
        <v>18.906623169795299</v>
      </c>
      <c r="AI876">
        <v>93.277472880280499</v>
      </c>
      <c r="AJ876">
        <v>77.217826483595402</v>
      </c>
      <c r="AK876">
        <v>19.418830886363899</v>
      </c>
      <c r="AL876">
        <v>82.838312755325404</v>
      </c>
      <c r="AM876">
        <v>82.231570024738105</v>
      </c>
      <c r="AN876">
        <v>1.0000000430089</v>
      </c>
    </row>
    <row r="877" spans="1:40" x14ac:dyDescent="0.25">
      <c r="A877" t="str">
        <f>"20190312151240648"</f>
        <v>20190312151240648</v>
      </c>
      <c r="B877" t="str">
        <f>"1552374760640523"</f>
        <v>1552374760640523</v>
      </c>
      <c r="C877" t="s">
        <v>40</v>
      </c>
      <c r="D877">
        <v>4.2896289999999997</v>
      </c>
      <c r="E877">
        <v>0.53158619999999901</v>
      </c>
      <c r="F877" t="s">
        <v>42</v>
      </c>
      <c r="G877">
        <v>-236.2998</v>
      </c>
      <c r="H877" s="1">
        <v>-2.963889E-6</v>
      </c>
      <c r="I877">
        <v>363.15719999999999</v>
      </c>
      <c r="J877">
        <v>-255.66800000000001</v>
      </c>
      <c r="K877">
        <v>1.1102080000000001</v>
      </c>
      <c r="L877">
        <v>367.40039999999999</v>
      </c>
      <c r="M877">
        <v>0.99989950000000005</v>
      </c>
      <c r="N877">
        <v>0</v>
      </c>
      <c r="O877">
        <v>8.3144810000000003E-3</v>
      </c>
      <c r="P877">
        <v>0.98563129999999999</v>
      </c>
      <c r="Q877">
        <v>0.1131361</v>
      </c>
      <c r="R877">
        <v>-0.1254248</v>
      </c>
      <c r="S877">
        <v>2.981125</v>
      </c>
      <c r="T877">
        <v>-0.16872870000000001</v>
      </c>
      <c r="U877">
        <v>-0.64456179999999996</v>
      </c>
      <c r="V877">
        <v>0.13362850000000001</v>
      </c>
      <c r="W877">
        <v>0.1244271</v>
      </c>
      <c r="X877">
        <v>0.98318930000000004</v>
      </c>
      <c r="Y877">
        <v>0.21910299999999999</v>
      </c>
      <c r="Z877">
        <v>-6.5899369999999997E-3</v>
      </c>
      <c r="AA877">
        <v>0.97567950000000003</v>
      </c>
      <c r="AB877">
        <v>25</v>
      </c>
      <c r="AC877">
        <v>19.368200000000002</v>
      </c>
      <c r="AD877">
        <v>-1.1102109638889901</v>
      </c>
      <c r="AE877">
        <v>-4.2431999999999999</v>
      </c>
      <c r="AF877">
        <v>4.3903356426679601</v>
      </c>
      <c r="AG877">
        <v>-1.1102109638889901</v>
      </c>
      <c r="AH877">
        <v>19.271826032479101</v>
      </c>
      <c r="AI877">
        <v>93.214862357771295</v>
      </c>
      <c r="AJ877">
        <v>77.166406609630499</v>
      </c>
      <c r="AK877">
        <v>19.796739480676099</v>
      </c>
      <c r="AL877">
        <v>82.852326822178199</v>
      </c>
      <c r="AM877">
        <v>82.260166973863093</v>
      </c>
      <c r="AN877">
        <v>0.99999993943057297</v>
      </c>
    </row>
    <row r="878" spans="1:40" x14ac:dyDescent="0.25">
      <c r="A878" t="str">
        <f>"20190312151240669"</f>
        <v>20190312151240669</v>
      </c>
      <c r="B878" t="str">
        <f>"1552374760660042"</f>
        <v>1552374760660042</v>
      </c>
      <c r="C878" t="s">
        <v>40</v>
      </c>
      <c r="D878">
        <v>4.2917480000000001</v>
      </c>
      <c r="E878">
        <v>0.53156789999999998</v>
      </c>
      <c r="F878" t="s">
        <v>42</v>
      </c>
      <c r="G878">
        <v>-236.1849</v>
      </c>
      <c r="H878" s="1">
        <v>-2.9942809999999898E-6</v>
      </c>
      <c r="I878">
        <v>363.19</v>
      </c>
      <c r="J878">
        <v>-255.41300000000001</v>
      </c>
      <c r="K878">
        <v>1.110215</v>
      </c>
      <c r="L878">
        <v>367.4024</v>
      </c>
      <c r="M878">
        <v>0.99989919999999999</v>
      </c>
      <c r="N878">
        <v>0</v>
      </c>
      <c r="O878">
        <v>8.2760309999999997E-3</v>
      </c>
      <c r="P878">
        <v>0.98561880000000002</v>
      </c>
      <c r="Q878">
        <v>0.11320760000000001</v>
      </c>
      <c r="R878">
        <v>-0.12545870000000001</v>
      </c>
      <c r="S878">
        <v>2.9812620000000001</v>
      </c>
      <c r="T878">
        <v>-0.16988130000000001</v>
      </c>
      <c r="U878">
        <v>-0.64425659999999996</v>
      </c>
      <c r="V878">
        <v>0.13362460000000001</v>
      </c>
      <c r="W878">
        <v>0.12455819999999999</v>
      </c>
      <c r="X878">
        <v>0.98317330000000003</v>
      </c>
      <c r="Y878">
        <v>0.2189564</v>
      </c>
      <c r="Z878">
        <v>-6.6283660000000001E-3</v>
      </c>
      <c r="AA878">
        <v>0.97571209999999997</v>
      </c>
      <c r="AB878">
        <v>25</v>
      </c>
      <c r="AC878">
        <v>19.228099999999898</v>
      </c>
      <c r="AD878">
        <v>-1.110217994281</v>
      </c>
      <c r="AE878">
        <v>-4.2123999999999997</v>
      </c>
      <c r="AF878">
        <v>4.3575366566621199</v>
      </c>
      <c r="AG878">
        <v>-1.110217994281</v>
      </c>
      <c r="AH878">
        <v>19.131716156607801</v>
      </c>
      <c r="AI878">
        <v>93.238408931526706</v>
      </c>
      <c r="AJ878">
        <v>77.168913185664493</v>
      </c>
      <c r="AK878">
        <v>19.653072859122801</v>
      </c>
      <c r="AL878">
        <v>82.844756947422596</v>
      </c>
      <c r="AM878">
        <v>82.2602656995047</v>
      </c>
      <c r="AN878">
        <v>1.0000000083726399</v>
      </c>
    </row>
    <row r="879" spans="1:40" x14ac:dyDescent="0.25">
      <c r="A879" t="str">
        <f>"20190312151240692"</f>
        <v>20190312151240692</v>
      </c>
      <c r="B879" t="str">
        <f>"1552374760680538"</f>
        <v>1552374760680538</v>
      </c>
      <c r="C879" t="s">
        <v>40</v>
      </c>
      <c r="D879">
        <v>4.2978269999999998</v>
      </c>
      <c r="E879">
        <v>0.53157430000000006</v>
      </c>
      <c r="F879" t="s">
        <v>42</v>
      </c>
      <c r="G879">
        <v>-236.14680000000001</v>
      </c>
      <c r="H879" s="1">
        <v>-2.9937420000000001E-6</v>
      </c>
      <c r="I879">
        <v>363.2407</v>
      </c>
      <c r="J879">
        <v>-255.1618</v>
      </c>
      <c r="K879">
        <v>1.11022</v>
      </c>
      <c r="L879">
        <v>367.40449999999998</v>
      </c>
      <c r="M879">
        <v>0.99989870000000003</v>
      </c>
      <c r="N879">
        <v>0</v>
      </c>
      <c r="O879">
        <v>8.2377019999999995E-3</v>
      </c>
      <c r="P879">
        <v>0.98560400000000004</v>
      </c>
      <c r="Q879">
        <v>0.1128523</v>
      </c>
      <c r="R879">
        <v>-0.12589439999999999</v>
      </c>
      <c r="S879">
        <v>2.981522</v>
      </c>
      <c r="T879">
        <v>-0.17180989999999999</v>
      </c>
      <c r="U879">
        <v>-0.64404300000000003</v>
      </c>
      <c r="V879">
        <v>0.13402249999999999</v>
      </c>
      <c r="W879">
        <v>0.124261999999999</v>
      </c>
      <c r="X879">
        <v>0.98315660000000005</v>
      </c>
      <c r="Y879">
        <v>0.21882699999999999</v>
      </c>
      <c r="Z879">
        <v>-6.6971089999999997E-3</v>
      </c>
      <c r="AA879">
        <v>0.97574070000000002</v>
      </c>
      <c r="AB879">
        <v>25</v>
      </c>
      <c r="AC879">
        <v>19.014999999999901</v>
      </c>
      <c r="AD879">
        <v>-1.1102229937420001</v>
      </c>
      <c r="AE879">
        <v>-4.1637999999999797</v>
      </c>
      <c r="AF879">
        <v>4.3063006580741403</v>
      </c>
      <c r="AG879">
        <v>-1.1102229937420001</v>
      </c>
      <c r="AH879">
        <v>18.918509902013898</v>
      </c>
      <c r="AI879">
        <v>93.274940629591697</v>
      </c>
      <c r="AJ879">
        <v>77.176615438995697</v>
      </c>
      <c r="AK879">
        <v>19.434166752556202</v>
      </c>
      <c r="AL879">
        <v>82.861860690572598</v>
      </c>
      <c r="AM879">
        <v>82.237369074220894</v>
      </c>
      <c r="AN879">
        <v>0.99999998763690401</v>
      </c>
    </row>
    <row r="880" spans="1:40" x14ac:dyDescent="0.25">
      <c r="A880" t="str">
        <f>"20190312151240714"</f>
        <v>20190312151240714</v>
      </c>
      <c r="B880" t="str">
        <f>"1552374760710794"</f>
        <v>1552374760710794</v>
      </c>
      <c r="C880" t="s">
        <v>40</v>
      </c>
      <c r="D880">
        <v>4.2621289999999998</v>
      </c>
      <c r="E880">
        <v>0.53149820000000003</v>
      </c>
      <c r="F880" t="s">
        <v>42</v>
      </c>
      <c r="G880">
        <v>-236.04689999999999</v>
      </c>
      <c r="H880" s="1">
        <v>-3.0198840000000001E-6</v>
      </c>
      <c r="I880">
        <v>363.27019999999999</v>
      </c>
      <c r="J880">
        <v>-254.90989999999999</v>
      </c>
      <c r="K880">
        <v>1.110225</v>
      </c>
      <c r="L880">
        <v>367.40649999999999</v>
      </c>
      <c r="M880">
        <v>0.99989839999999997</v>
      </c>
      <c r="N880">
        <v>0</v>
      </c>
      <c r="O880">
        <v>8.1970429999999993E-3</v>
      </c>
      <c r="P880">
        <v>0.98564030000000002</v>
      </c>
      <c r="Q880">
        <v>0.1127286</v>
      </c>
      <c r="R880">
        <v>-0.1257199</v>
      </c>
      <c r="S880">
        <v>2.9813079999999998</v>
      </c>
      <c r="T880">
        <v>-0.17315820000000001</v>
      </c>
      <c r="U880">
        <v>-0.64480590000000004</v>
      </c>
      <c r="V880">
        <v>0.13380889999999901</v>
      </c>
      <c r="W880">
        <v>0.12419529999999999</v>
      </c>
      <c r="X880">
        <v>0.98319409999999896</v>
      </c>
      <c r="Y880">
        <v>0.21903429999999999</v>
      </c>
      <c r="Z880">
        <v>-6.753485E-3</v>
      </c>
      <c r="AA880">
        <v>0.97569379999999994</v>
      </c>
      <c r="AB880">
        <v>25</v>
      </c>
      <c r="AC880">
        <v>18.863</v>
      </c>
      <c r="AD880">
        <v>-1.110228019884</v>
      </c>
      <c r="AE880">
        <v>-4.1363000000000003</v>
      </c>
      <c r="AF880">
        <v>4.2766568575162998</v>
      </c>
      <c r="AG880">
        <v>-1.110228019884</v>
      </c>
      <c r="AH880">
        <v>18.7664303728764</v>
      </c>
      <c r="AI880">
        <v>93.301247551622595</v>
      </c>
      <c r="AJ880">
        <v>77.162180834206694</v>
      </c>
      <c r="AK880">
        <v>19.279556765473</v>
      </c>
      <c r="AL880">
        <v>82.865712000777506</v>
      </c>
      <c r="AM880">
        <v>82.249882392145693</v>
      </c>
      <c r="AN880">
        <v>0.99999996626805399</v>
      </c>
    </row>
    <row r="881" spans="1:40" x14ac:dyDescent="0.25">
      <c r="A881" t="str">
        <f>"20190312151240738"</f>
        <v>20190312151240738</v>
      </c>
      <c r="B881" t="str">
        <f>"1552374760730314"</f>
        <v>1552374760730314</v>
      </c>
      <c r="C881" t="s">
        <v>40</v>
      </c>
      <c r="D881">
        <v>4.2783670000000003</v>
      </c>
      <c r="E881">
        <v>0.53145980000000004</v>
      </c>
      <c r="F881" t="s">
        <v>42</v>
      </c>
      <c r="G881">
        <v>-235.8416</v>
      </c>
      <c r="H881" s="1">
        <v>-3.0851820000000001E-6</v>
      </c>
      <c r="I881">
        <v>363.28739999999999</v>
      </c>
      <c r="J881">
        <v>-254.64760000000001</v>
      </c>
      <c r="K881">
        <v>1.1102240000000001</v>
      </c>
      <c r="L881">
        <v>367.40859999999998</v>
      </c>
      <c r="M881">
        <v>0.99989810000000001</v>
      </c>
      <c r="N881">
        <v>0</v>
      </c>
      <c r="O881">
        <v>8.1509960000000006E-3</v>
      </c>
      <c r="P881">
        <v>0.98561500000000002</v>
      </c>
      <c r="Q881">
        <v>0.1127224</v>
      </c>
      <c r="R881">
        <v>-0.1259246</v>
      </c>
      <c r="S881">
        <v>2.9814150000000001</v>
      </c>
      <c r="T881">
        <v>-0.17358850000000001</v>
      </c>
      <c r="U881">
        <v>-0.64404300000000003</v>
      </c>
      <c r="V881">
        <v>0.1339688</v>
      </c>
      <c r="W881">
        <v>0.1242473</v>
      </c>
      <c r="X881">
        <v>0.98316579999999998</v>
      </c>
      <c r="Y881">
        <v>0.2187423</v>
      </c>
      <c r="Z881">
        <v>-6.7591400000000003E-3</v>
      </c>
      <c r="AA881">
        <v>0.9757593</v>
      </c>
      <c r="AB881">
        <v>25</v>
      </c>
      <c r="AC881">
        <v>18.806000000000001</v>
      </c>
      <c r="AD881">
        <v>-1.110227085182</v>
      </c>
      <c r="AE881">
        <v>-4.1211999999999804</v>
      </c>
      <c r="AF881">
        <v>4.2601938692355796</v>
      </c>
      <c r="AG881">
        <v>-1.110227085182</v>
      </c>
      <c r="AH881">
        <v>18.7095619438022</v>
      </c>
      <c r="AI881">
        <v>93.311390719190797</v>
      </c>
      <c r="AJ881">
        <v>77.172380077649393</v>
      </c>
      <c r="AK881">
        <v>19.220550567377501</v>
      </c>
      <c r="AL881">
        <v>82.862709681456707</v>
      </c>
      <c r="AM881">
        <v>82.240513223397102</v>
      </c>
      <c r="AN881">
        <v>1.0000000106101801</v>
      </c>
    </row>
    <row r="882" spans="1:40" x14ac:dyDescent="0.25">
      <c r="A882" t="str">
        <f>"20190312151240760"</f>
        <v>20190312151240760</v>
      </c>
      <c r="B882" t="str">
        <f>"1552374760750811"</f>
        <v>1552374760750811</v>
      </c>
      <c r="C882" t="s">
        <v>40</v>
      </c>
      <c r="D882">
        <v>4.3094060000000001</v>
      </c>
      <c r="E882">
        <v>0.53156939999999997</v>
      </c>
      <c r="F882" t="s">
        <v>42</v>
      </c>
      <c r="G882">
        <v>-235.73859999999999</v>
      </c>
      <c r="H882" s="1">
        <v>-3.1113429999999999E-6</v>
      </c>
      <c r="I882">
        <v>363.32080000000002</v>
      </c>
      <c r="J882">
        <v>-254.39060000000001</v>
      </c>
      <c r="K882">
        <v>1.1102299999999901</v>
      </c>
      <c r="L882">
        <v>367.41059999999999</v>
      </c>
      <c r="M882">
        <v>0.99989760000000005</v>
      </c>
      <c r="N882">
        <v>0</v>
      </c>
      <c r="O882">
        <v>8.1099869999999904E-3</v>
      </c>
      <c r="P882">
        <v>0.98564289999999999</v>
      </c>
      <c r="Q882">
        <v>0.11242729999999999</v>
      </c>
      <c r="R882">
        <v>-0.12596949999999901</v>
      </c>
      <c r="S882">
        <v>2.9814609999999999</v>
      </c>
      <c r="T882">
        <v>-0.1750535</v>
      </c>
      <c r="U882">
        <v>-0.64453130000000003</v>
      </c>
      <c r="V882">
        <v>0.13397339999999999</v>
      </c>
      <c r="W882">
        <v>0.1240117</v>
      </c>
      <c r="X882">
        <v>0.98319489999999998</v>
      </c>
      <c r="Y882">
        <v>0.2188457</v>
      </c>
      <c r="Z882">
        <v>-6.8164870000000004E-3</v>
      </c>
      <c r="AA882">
        <v>0.97573569999999998</v>
      </c>
      <c r="AB882">
        <v>25</v>
      </c>
      <c r="AC882">
        <v>18.652000000000001</v>
      </c>
      <c r="AD882">
        <v>-1.11023311134299</v>
      </c>
      <c r="AE882">
        <v>-4.0897999999999604</v>
      </c>
      <c r="AF882">
        <v>4.2266551793815799</v>
      </c>
      <c r="AG882">
        <v>-1.11023311134299</v>
      </c>
      <c r="AH882">
        <v>18.555488769408399</v>
      </c>
      <c r="AI882">
        <v>93.338782553631702</v>
      </c>
      <c r="AJ882">
        <v>77.167847614827707</v>
      </c>
      <c r="AK882">
        <v>19.063142318058599</v>
      </c>
      <c r="AL882">
        <v>82.876313651170705</v>
      </c>
      <c r="AM882">
        <v>82.240476907220696</v>
      </c>
      <c r="AN882">
        <v>0.99999999251522997</v>
      </c>
    </row>
    <row r="883" spans="1:40" x14ac:dyDescent="0.25">
      <c r="A883" t="str">
        <f>"20190312151240782"</f>
        <v>20190312151240782</v>
      </c>
      <c r="B883" t="str">
        <f>"1552374760770330"</f>
        <v>1552374760770330</v>
      </c>
      <c r="C883" t="s">
        <v>40</v>
      </c>
      <c r="D883">
        <v>4.3078469999999998</v>
      </c>
      <c r="E883">
        <v>0.53164269999999902</v>
      </c>
      <c r="F883" t="s">
        <v>42</v>
      </c>
      <c r="G883">
        <v>-235.51050000000001</v>
      </c>
      <c r="H883" s="1">
        <v>-3.188383E-6</v>
      </c>
      <c r="I883">
        <v>363.32299999999998</v>
      </c>
      <c r="J883">
        <v>-254.14859999999999</v>
      </c>
      <c r="K883">
        <v>1.110247</v>
      </c>
      <c r="L883">
        <v>367.4126</v>
      </c>
      <c r="M883">
        <v>0.99989720000000004</v>
      </c>
      <c r="N883">
        <v>0</v>
      </c>
      <c r="O883">
        <v>8.0740589999999998E-3</v>
      </c>
      <c r="P883">
        <v>0.98563020000000001</v>
      </c>
      <c r="Q883">
        <v>0.1123715</v>
      </c>
      <c r="R883">
        <v>-0.12611889999999901</v>
      </c>
      <c r="S883">
        <v>2.9812319999999999</v>
      </c>
      <c r="T883">
        <v>-0.17530850000000001</v>
      </c>
      <c r="U883">
        <v>-0.64544679999999999</v>
      </c>
      <c r="V883">
        <v>0.13408680000000001</v>
      </c>
      <c r="W883">
        <v>0.1240188</v>
      </c>
      <c r="X883">
        <v>0.98317860000000001</v>
      </c>
      <c r="Y883">
        <v>0.21911069999999999</v>
      </c>
      <c r="Z883">
        <v>-6.8323029999999996E-3</v>
      </c>
      <c r="AA883">
        <v>0.97567610000000005</v>
      </c>
      <c r="AB883">
        <v>25</v>
      </c>
      <c r="AC883">
        <v>18.638099999999898</v>
      </c>
      <c r="AD883">
        <v>-1.110250188383</v>
      </c>
      <c r="AE883">
        <v>-4.0895999999999599</v>
      </c>
      <c r="AF883">
        <v>4.2256566017052997</v>
      </c>
      <c r="AG883">
        <v>-1.110250188383</v>
      </c>
      <c r="AH883">
        <v>18.541698360988299</v>
      </c>
      <c r="AI883">
        <v>93.341227987620798</v>
      </c>
      <c r="AJ883">
        <v>77.161553306607601</v>
      </c>
      <c r="AK883">
        <v>19.049498872836999</v>
      </c>
      <c r="AL883">
        <v>82.8759040700036</v>
      </c>
      <c r="AM883">
        <v>82.233861896513204</v>
      </c>
      <c r="AN883">
        <v>1.00000004609281</v>
      </c>
    </row>
    <row r="884" spans="1:40" x14ac:dyDescent="0.25">
      <c r="A884" t="str">
        <f>"20190312151240804"</f>
        <v>20190312151240804</v>
      </c>
      <c r="B884" t="str">
        <f>"1552374760800586"</f>
        <v>1552374760800586</v>
      </c>
      <c r="C884" t="s">
        <v>40</v>
      </c>
      <c r="D884">
        <v>4.3084100000000003</v>
      </c>
      <c r="E884">
        <v>0.53176469999999998</v>
      </c>
      <c r="F884" t="s">
        <v>42</v>
      </c>
      <c r="G884">
        <v>-235.21459999999999</v>
      </c>
      <c r="H884" s="1">
        <v>-3.293157E-6</v>
      </c>
      <c r="I884">
        <v>363.30759999999998</v>
      </c>
      <c r="J884">
        <v>-253.89429999999999</v>
      </c>
      <c r="K884">
        <v>1.110257</v>
      </c>
      <c r="L884">
        <v>367.41460000000001</v>
      </c>
      <c r="M884">
        <v>0.99989649999999997</v>
      </c>
      <c r="N884">
        <v>0</v>
      </c>
      <c r="O884">
        <v>8.0403339999999997E-3</v>
      </c>
      <c r="P884">
        <v>0.98567389999999999</v>
      </c>
      <c r="Q884">
        <v>0.1123451</v>
      </c>
      <c r="R884">
        <v>-0.12579939999999901</v>
      </c>
      <c r="S884">
        <v>2.980972</v>
      </c>
      <c r="T884">
        <v>-0.17479749999999999</v>
      </c>
      <c r="U884">
        <v>-0.64627080000000003</v>
      </c>
      <c r="V884">
        <v>0.1337342</v>
      </c>
      <c r="W884">
        <v>0.1240723</v>
      </c>
      <c r="X884">
        <v>0.98321990000000004</v>
      </c>
      <c r="Y884">
        <v>0.21935479999999999</v>
      </c>
      <c r="Z884">
        <v>-6.8179199999999999E-3</v>
      </c>
      <c r="AA884">
        <v>0.97562130000000002</v>
      </c>
      <c r="AB884">
        <v>25</v>
      </c>
      <c r="AC884">
        <v>18.6797</v>
      </c>
      <c r="AD884">
        <v>-1.110260293157</v>
      </c>
      <c r="AE884">
        <v>-4.1070000000000197</v>
      </c>
      <c r="AF884">
        <v>4.2427715402766202</v>
      </c>
      <c r="AG884">
        <v>-1.110260293157</v>
      </c>
      <c r="AH884">
        <v>18.583449111635701</v>
      </c>
      <c r="AI884">
        <v>93.333473662816203</v>
      </c>
      <c r="AJ884">
        <v>77.139280378673902</v>
      </c>
      <c r="AK884">
        <v>19.093935402276198</v>
      </c>
      <c r="AL884">
        <v>82.872815071000701</v>
      </c>
      <c r="AM884">
        <v>82.254357211429095</v>
      </c>
      <c r="AN884">
        <v>1.0000000718164599</v>
      </c>
    </row>
    <row r="885" spans="1:40" x14ac:dyDescent="0.25">
      <c r="A885" t="str">
        <f>"20190312151240826"</f>
        <v>20190312151240826</v>
      </c>
      <c r="B885" t="str">
        <f>"1552374760820106"</f>
        <v>1552374760820106</v>
      </c>
      <c r="C885" t="s">
        <v>40</v>
      </c>
      <c r="D885">
        <v>4.3090199999999896</v>
      </c>
      <c r="E885">
        <v>0.53182010000000002</v>
      </c>
      <c r="F885" t="s">
        <v>42</v>
      </c>
      <c r="G885">
        <v>-235.12309999999999</v>
      </c>
      <c r="H885" s="1">
        <v>-3.3148859999999998E-6</v>
      </c>
      <c r="I885">
        <v>363.34300000000002</v>
      </c>
      <c r="J885">
        <v>-253.64529999999999</v>
      </c>
      <c r="K885">
        <v>1.110277</v>
      </c>
      <c r="L885">
        <v>367.41649999999998</v>
      </c>
      <c r="M885">
        <v>0.9998958</v>
      </c>
      <c r="N885">
        <v>0</v>
      </c>
      <c r="O885">
        <v>8.0055819999999903E-3</v>
      </c>
      <c r="P885">
        <v>0.98568929999999999</v>
      </c>
      <c r="Q885">
        <v>0.11219850000000001</v>
      </c>
      <c r="R885">
        <v>-0.12581199999999901</v>
      </c>
      <c r="S885">
        <v>2.9811550000000002</v>
      </c>
      <c r="T885">
        <v>-0.17632519999999999</v>
      </c>
      <c r="U885">
        <v>-0.64660640000000003</v>
      </c>
      <c r="V885">
        <v>0.13371179999999999</v>
      </c>
      <c r="W885">
        <v>0.1240193</v>
      </c>
      <c r="X885">
        <v>0.98322960000000004</v>
      </c>
      <c r="Y885">
        <v>0.21940689999999999</v>
      </c>
      <c r="Z885">
        <v>-6.8764029999999997E-3</v>
      </c>
      <c r="AA885">
        <v>0.97560919999999896</v>
      </c>
      <c r="AB885">
        <v>25</v>
      </c>
      <c r="AC885">
        <v>18.522200000000002</v>
      </c>
      <c r="AD885">
        <v>-1.1102803148860001</v>
      </c>
      <c r="AE885">
        <v>-4.0734999999999602</v>
      </c>
      <c r="AF885">
        <v>4.2072411723759702</v>
      </c>
      <c r="AG885">
        <v>-1.1102803148860001</v>
      </c>
      <c r="AH885">
        <v>18.425840266603299</v>
      </c>
      <c r="AI885">
        <v>93.361964608335995</v>
      </c>
      <c r="AJ885">
        <v>77.137941038937001</v>
      </c>
      <c r="AK885">
        <v>18.932648789605199</v>
      </c>
      <c r="AL885">
        <v>82.875875150397704</v>
      </c>
      <c r="AM885">
        <v>82.255714308200993</v>
      </c>
      <c r="AN885">
        <v>1.0000000392739401</v>
      </c>
    </row>
    <row r="886" spans="1:40" x14ac:dyDescent="0.25">
      <c r="A886" t="str">
        <f>"20190312151240849"</f>
        <v>20190312151240849</v>
      </c>
      <c r="B886" t="str">
        <f>"1552374760840602"</f>
        <v>1552374760840602</v>
      </c>
      <c r="C886" t="s">
        <v>40</v>
      </c>
      <c r="D886">
        <v>4.2692290000000002</v>
      </c>
      <c r="E886">
        <v>0.53192850000000003</v>
      </c>
      <c r="F886" t="s">
        <v>42</v>
      </c>
      <c r="G886">
        <v>-234.98439999999999</v>
      </c>
      <c r="H886" s="1">
        <v>-3.35601E-6</v>
      </c>
      <c r="I886">
        <v>363.36590000000001</v>
      </c>
      <c r="J886">
        <v>-253.38900000000001</v>
      </c>
      <c r="K886">
        <v>1.110303</v>
      </c>
      <c r="L886">
        <v>367.41849999999999</v>
      </c>
      <c r="M886">
        <v>0.99989470000000003</v>
      </c>
      <c r="N886">
        <v>0</v>
      </c>
      <c r="O886">
        <v>7.9683269999999903E-3</v>
      </c>
      <c r="P886">
        <v>0.98572369999999998</v>
      </c>
      <c r="Q886">
        <v>0.11197550000000001</v>
      </c>
      <c r="R886">
        <v>-0.12573980000000001</v>
      </c>
      <c r="S886">
        <v>2.9811550000000002</v>
      </c>
      <c r="T886">
        <v>-0.177370899999999</v>
      </c>
      <c r="U886">
        <v>-0.64709469999999902</v>
      </c>
      <c r="V886">
        <v>0.13360279999999899</v>
      </c>
      <c r="W886">
        <v>0.12390760000000001</v>
      </c>
      <c r="X886">
        <v>0.98325850000000004</v>
      </c>
      <c r="Y886">
        <v>0.21951860000000001</v>
      </c>
      <c r="Z886">
        <v>-6.9180880000000002E-3</v>
      </c>
      <c r="AA886">
        <v>0.9755838</v>
      </c>
      <c r="AB886">
        <v>25</v>
      </c>
      <c r="AC886">
        <v>18.404599999999999</v>
      </c>
      <c r="AD886">
        <v>-1.1103063560099999</v>
      </c>
      <c r="AE886">
        <v>-4.0525999999999804</v>
      </c>
      <c r="AF886">
        <v>4.1846106698236598</v>
      </c>
      <c r="AG886">
        <v>-1.1103063560099999</v>
      </c>
      <c r="AH886">
        <v>18.3081708343943</v>
      </c>
      <c r="AI886">
        <v>93.383431973443095</v>
      </c>
      <c r="AJ886">
        <v>77.125337766952299</v>
      </c>
      <c r="AK886">
        <v>18.813103570744602</v>
      </c>
      <c r="AL886">
        <v>82.882324839325605</v>
      </c>
      <c r="AM886">
        <v>82.262175507786694</v>
      </c>
      <c r="AN886">
        <v>1.0000000396639199</v>
      </c>
    </row>
    <row r="887" spans="1:40" x14ac:dyDescent="0.25">
      <c r="A887" t="str">
        <f>"20190312151240870"</f>
        <v>20190312151240870</v>
      </c>
      <c r="B887" t="str">
        <f>"1552374760860122"</f>
        <v>1552374760860122</v>
      </c>
      <c r="C887" t="s">
        <v>40</v>
      </c>
      <c r="D887">
        <v>4.3135269999999997</v>
      </c>
      <c r="E887">
        <v>0.53197159999999999</v>
      </c>
      <c r="F887" t="s">
        <v>42</v>
      </c>
      <c r="G887">
        <v>-234.8322</v>
      </c>
      <c r="H887" s="1">
        <v>-3.4017669999999999E-6</v>
      </c>
      <c r="I887">
        <v>363.3886</v>
      </c>
      <c r="J887">
        <v>-253.1448</v>
      </c>
      <c r="K887">
        <v>1.1103240000000001</v>
      </c>
      <c r="L887">
        <v>367.42039999999997</v>
      </c>
      <c r="M887">
        <v>0.99989349999999999</v>
      </c>
      <c r="N887">
        <v>0</v>
      </c>
      <c r="O887">
        <v>7.9325290000000007E-3</v>
      </c>
      <c r="P887">
        <v>0.98572329999999997</v>
      </c>
      <c r="Q887">
        <v>0.1118157</v>
      </c>
      <c r="R887">
        <v>-0.12588550000000001</v>
      </c>
      <c r="S887">
        <v>2.9811550000000002</v>
      </c>
      <c r="T887">
        <v>-0.1783698</v>
      </c>
      <c r="U887">
        <v>-0.64739990000000003</v>
      </c>
      <c r="V887">
        <v>0.1337129</v>
      </c>
      <c r="W887">
        <v>0.12386079999999999</v>
      </c>
      <c r="X887">
        <v>0.98324940000000005</v>
      </c>
      <c r="Y887">
        <v>0.21957470000000001</v>
      </c>
      <c r="Z887">
        <v>-6.9564469999999897E-3</v>
      </c>
      <c r="AA887">
        <v>0.97557090000000002</v>
      </c>
      <c r="AB887">
        <v>25</v>
      </c>
      <c r="AC887">
        <v>18.3126</v>
      </c>
      <c r="AD887">
        <v>-1.110327401767</v>
      </c>
      <c r="AE887">
        <v>-4.0317999999999703</v>
      </c>
      <c r="AF887">
        <v>4.1623549335871797</v>
      </c>
      <c r="AG887">
        <v>-1.110327401767</v>
      </c>
      <c r="AH887">
        <v>18.216168231216798</v>
      </c>
      <c r="AI887">
        <v>93.400594281949395</v>
      </c>
      <c r="AJ887">
        <v>77.129005954461803</v>
      </c>
      <c r="AK887">
        <v>18.718622026214</v>
      </c>
      <c r="AL887">
        <v>82.885026885920098</v>
      </c>
      <c r="AM887">
        <v>82.255805429742296</v>
      </c>
      <c r="AN887">
        <v>1.0000000100016999</v>
      </c>
    </row>
    <row r="888" spans="1:40" x14ac:dyDescent="0.25">
      <c r="A888" t="str">
        <f>"20190312151240893"</f>
        <v>20190312151240893</v>
      </c>
      <c r="B888" t="str">
        <f>"1552374760890378"</f>
        <v>1552374760890378</v>
      </c>
      <c r="C888" t="s">
        <v>40</v>
      </c>
      <c r="D888">
        <v>4.3812559999999996</v>
      </c>
      <c r="E888">
        <v>0.53102289999999996</v>
      </c>
      <c r="F888" t="s">
        <v>42</v>
      </c>
      <c r="G888">
        <v>-234.75069999999999</v>
      </c>
      <c r="H888" s="1">
        <v>-3.4213569999999998E-6</v>
      </c>
      <c r="I888">
        <v>363.41910000000001</v>
      </c>
      <c r="J888">
        <v>-252.8963</v>
      </c>
      <c r="K888">
        <v>1.1103479999999999</v>
      </c>
      <c r="L888">
        <v>367.42239999999998</v>
      </c>
      <c r="M888">
        <v>0.99989220000000001</v>
      </c>
      <c r="N888">
        <v>0</v>
      </c>
      <c r="O888">
        <v>7.8972980000000005E-3</v>
      </c>
      <c r="P888">
        <v>0.98571339999999996</v>
      </c>
      <c r="Q888">
        <v>0.1117952</v>
      </c>
      <c r="R888">
        <v>-0.1259808</v>
      </c>
      <c r="S888">
        <v>2.9810639999999999</v>
      </c>
      <c r="T888">
        <v>-0.1799462</v>
      </c>
      <c r="U888">
        <v>-0.64846800000000004</v>
      </c>
      <c r="V888">
        <v>0.13377329999999901</v>
      </c>
      <c r="W888">
        <v>0.1239625</v>
      </c>
      <c r="X888">
        <v>0.9832284</v>
      </c>
      <c r="Y888">
        <v>0.21987290000000001</v>
      </c>
      <c r="Z888">
        <v>-7.0245569999999998E-3</v>
      </c>
      <c r="AA888">
        <v>0.97550320000000001</v>
      </c>
      <c r="AB888">
        <v>25</v>
      </c>
      <c r="AC888">
        <v>18.145600000000002</v>
      </c>
      <c r="AD888">
        <v>-1.1103514213569901</v>
      </c>
      <c r="AE888">
        <v>-4.0032999999999603</v>
      </c>
      <c r="AF888">
        <v>4.13173467198129</v>
      </c>
      <c r="AG888">
        <v>-1.1103514213569901</v>
      </c>
      <c r="AH888">
        <v>18.048971216293001</v>
      </c>
      <c r="AI888">
        <v>93.431782205745606</v>
      </c>
      <c r="AJ888">
        <v>77.106127861386994</v>
      </c>
      <c r="AK888">
        <v>18.549109780394701</v>
      </c>
      <c r="AL888">
        <v>82.879154877564503</v>
      </c>
      <c r="AM888">
        <v>82.252186279384802</v>
      </c>
      <c r="AN888">
        <v>1.0000000418828401</v>
      </c>
    </row>
    <row r="889" spans="1:40" x14ac:dyDescent="0.25">
      <c r="A889" t="str">
        <f>"20190312151240915"</f>
        <v>20190312151240915</v>
      </c>
      <c r="B889" t="str">
        <f>"1552374760910874"</f>
        <v>1552374760910874</v>
      </c>
      <c r="C889" t="s">
        <v>40</v>
      </c>
      <c r="D889">
        <v>4.689508</v>
      </c>
      <c r="E889">
        <v>0.53034269999999994</v>
      </c>
      <c r="F889" t="s">
        <v>42</v>
      </c>
      <c r="G889">
        <v>-234.79900000000001</v>
      </c>
      <c r="H889" s="1">
        <v>-3.375533E-6</v>
      </c>
      <c r="I889">
        <v>363.52960000000002</v>
      </c>
      <c r="J889">
        <v>-252.64060000000001</v>
      </c>
      <c r="K889">
        <v>1.110366</v>
      </c>
      <c r="L889">
        <v>367.42430000000002</v>
      </c>
      <c r="M889">
        <v>0.99989079999999997</v>
      </c>
      <c r="N889">
        <v>0</v>
      </c>
      <c r="O889">
        <v>7.8618109999999998E-3</v>
      </c>
      <c r="P889">
        <v>0.98565409999999998</v>
      </c>
      <c r="Q889">
        <v>0.1122365</v>
      </c>
      <c r="R889">
        <v>-0.1260529</v>
      </c>
      <c r="S889">
        <v>2.9822389999999999</v>
      </c>
      <c r="T889">
        <v>-0.18297269999999999</v>
      </c>
      <c r="U889">
        <v>-0.64147949999999998</v>
      </c>
      <c r="V889">
        <v>0.13381019999999999</v>
      </c>
      <c r="W889">
        <v>0.124544</v>
      </c>
      <c r="X889">
        <v>0.98314979999999996</v>
      </c>
      <c r="Y889">
        <v>0.21756490000000001</v>
      </c>
      <c r="Z889">
        <v>-7.0693980000000002E-3</v>
      </c>
      <c r="AA889">
        <v>0.97602029999999995</v>
      </c>
      <c r="AB889">
        <v>25</v>
      </c>
      <c r="AC889">
        <v>17.8416</v>
      </c>
      <c r="AD889">
        <v>-1.110369375533</v>
      </c>
      <c r="AE889">
        <v>-3.8946999999999998</v>
      </c>
      <c r="AF889">
        <v>4.0199959319181398</v>
      </c>
      <c r="AG889">
        <v>-1.110369375533</v>
      </c>
      <c r="AH889">
        <v>17.7448239863647</v>
      </c>
      <c r="AI889">
        <v>93.492304780037998</v>
      </c>
      <c r="AJ889">
        <v>77.235403969633495</v>
      </c>
      <c r="AK889">
        <v>18.228331403335499</v>
      </c>
      <c r="AL889">
        <v>82.8455765371951</v>
      </c>
      <c r="AM889">
        <v>82.249463038730099</v>
      </c>
      <c r="AN889">
        <v>0.999999953400038</v>
      </c>
    </row>
    <row r="890" spans="1:40" x14ac:dyDescent="0.25">
      <c r="A890" t="str">
        <f>"20190312151240938"</f>
        <v>20190312151240938</v>
      </c>
      <c r="B890" t="str">
        <f>"1552374760930398"</f>
        <v>1552374760930398</v>
      </c>
      <c r="C890" t="s">
        <v>40</v>
      </c>
      <c r="D890">
        <v>4.3856529999999996</v>
      </c>
      <c r="E890">
        <v>0.52977220000000003</v>
      </c>
      <c r="F890" t="s">
        <v>42</v>
      </c>
      <c r="G890">
        <v>-234.39500000000001</v>
      </c>
      <c r="H890" s="1">
        <v>-3.5125069999999998E-6</v>
      </c>
      <c r="I890">
        <v>363.53149999999999</v>
      </c>
      <c r="J890">
        <v>-252.3929</v>
      </c>
      <c r="K890">
        <v>1.110398</v>
      </c>
      <c r="L890">
        <v>367.42630000000003</v>
      </c>
      <c r="M890">
        <v>0.99988900000000003</v>
      </c>
      <c r="N890">
        <v>0</v>
      </c>
      <c r="O890">
        <v>7.8275140000000007E-3</v>
      </c>
      <c r="P890">
        <v>0.98567439999999995</v>
      </c>
      <c r="Q890">
        <v>0.1122662</v>
      </c>
      <c r="R890">
        <v>-0.12586739999999999</v>
      </c>
      <c r="S890">
        <v>2.98291</v>
      </c>
      <c r="T890">
        <v>-0.1815293</v>
      </c>
      <c r="U890">
        <v>-0.63641359999999902</v>
      </c>
      <c r="V890">
        <v>0.133591299999999</v>
      </c>
      <c r="W890">
        <v>0.1247323</v>
      </c>
      <c r="X890">
        <v>0.98315569999999997</v>
      </c>
      <c r="Y890">
        <v>0.21591050000000001</v>
      </c>
      <c r="Z890">
        <v>-6.9616189999999996E-3</v>
      </c>
      <c r="AA890">
        <v>0.97638829999999999</v>
      </c>
      <c r="AB890">
        <v>25</v>
      </c>
      <c r="AC890">
        <v>17.997899999999898</v>
      </c>
      <c r="AD890">
        <v>-1.1104015125069999</v>
      </c>
      <c r="AE890">
        <v>-3.8948000000000298</v>
      </c>
      <c r="AF890">
        <v>4.0209500759466597</v>
      </c>
      <c r="AG890">
        <v>-1.1104015125069999</v>
      </c>
      <c r="AH890">
        <v>17.9017662246338</v>
      </c>
      <c r="AI890">
        <v>93.463296042398397</v>
      </c>
      <c r="AJ890">
        <v>77.340782210657395</v>
      </c>
      <c r="AK890">
        <v>18.381356451406699</v>
      </c>
      <c r="AL890">
        <v>82.834702972709806</v>
      </c>
      <c r="AM890">
        <v>82.262034274084996</v>
      </c>
      <c r="AN890">
        <v>0.99999995627073401</v>
      </c>
    </row>
    <row r="891" spans="1:40" x14ac:dyDescent="0.25">
      <c r="A891" t="str">
        <f>"20190312151240961"</f>
        <v>20190312151240961</v>
      </c>
      <c r="B891" t="str">
        <f>"1552374760950890"</f>
        <v>1552374760950890</v>
      </c>
      <c r="C891" t="s">
        <v>40</v>
      </c>
      <c r="D891">
        <v>4.356179</v>
      </c>
      <c r="E891">
        <v>0.52928260000000005</v>
      </c>
      <c r="F891" t="s">
        <v>42</v>
      </c>
      <c r="G891">
        <v>-233.94980000000001</v>
      </c>
      <c r="H891" s="1">
        <v>-3.666357E-6</v>
      </c>
      <c r="I891">
        <v>363.52269999999999</v>
      </c>
      <c r="J891">
        <v>-252.13460000000001</v>
      </c>
      <c r="K891">
        <v>1.1104290000000001</v>
      </c>
      <c r="L891">
        <v>367.42829999999998</v>
      </c>
      <c r="M891">
        <v>0.99988699999999997</v>
      </c>
      <c r="N891">
        <v>0</v>
      </c>
      <c r="O891">
        <v>7.7906950000000003E-3</v>
      </c>
      <c r="P891">
        <v>0.98562629999999996</v>
      </c>
      <c r="Q891">
        <v>0.11243400000000001</v>
      </c>
      <c r="R891">
        <v>-0.12609289999999901</v>
      </c>
      <c r="S891">
        <v>2.9833980000000002</v>
      </c>
      <c r="T891">
        <v>-0.17962030000000001</v>
      </c>
      <c r="U891">
        <v>-0.63143919999999998</v>
      </c>
      <c r="V891">
        <v>0.1337806</v>
      </c>
      <c r="W891">
        <v>0.12508569999999999</v>
      </c>
      <c r="X891">
        <v>0.98308510000000005</v>
      </c>
      <c r="Y891">
        <v>0.21429509999999999</v>
      </c>
      <c r="Z891">
        <v>-6.8383690000000004E-3</v>
      </c>
      <c r="AA891">
        <v>0.97674499999999997</v>
      </c>
      <c r="AB891">
        <v>25</v>
      </c>
      <c r="AC891">
        <v>18.184799999999999</v>
      </c>
      <c r="AD891">
        <v>-1.1104326663570001</v>
      </c>
      <c r="AE891">
        <v>-3.90559999999999</v>
      </c>
      <c r="AF891">
        <v>4.0327910325416401</v>
      </c>
      <c r="AG891">
        <v>-1.1104326663570001</v>
      </c>
      <c r="AH891">
        <v>18.0893410699714</v>
      </c>
      <c r="AI891">
        <v>93.428786278430593</v>
      </c>
      <c r="AJ891">
        <v>77.432148748928</v>
      </c>
      <c r="AK891">
        <v>18.566656256968201</v>
      </c>
      <c r="AL891">
        <v>82.814295108890306</v>
      </c>
      <c r="AM891">
        <v>82.250652914184897</v>
      </c>
      <c r="AN891">
        <v>0.99999999756142999</v>
      </c>
    </row>
    <row r="892" spans="1:40" x14ac:dyDescent="0.25">
      <c r="A892" t="str">
        <f>"20190312151240983"</f>
        <v>20190312151240983</v>
      </c>
      <c r="B892" t="str">
        <f>"1552374760970411"</f>
        <v>1552374760970411</v>
      </c>
      <c r="C892" t="s">
        <v>40</v>
      </c>
      <c r="D892">
        <v>4.3277010000000002</v>
      </c>
      <c r="E892">
        <v>0.52889069999999905</v>
      </c>
      <c r="F892" t="s">
        <v>42</v>
      </c>
      <c r="G892">
        <v>-233.74369999999999</v>
      </c>
      <c r="H892" s="1">
        <v>-3.7412700000000001E-6</v>
      </c>
      <c r="I892">
        <v>363.55599999999998</v>
      </c>
      <c r="J892">
        <v>-251.893</v>
      </c>
      <c r="K892">
        <v>1.1104540000000001</v>
      </c>
      <c r="L892">
        <v>367.43009999999998</v>
      </c>
      <c r="M892">
        <v>0.99988469999999996</v>
      </c>
      <c r="N892">
        <v>0</v>
      </c>
      <c r="O892">
        <v>7.7558289999999997E-3</v>
      </c>
      <c r="P892">
        <v>0.98562669999999997</v>
      </c>
      <c r="Q892">
        <v>0.1119507</v>
      </c>
      <c r="R892">
        <v>-0.12652099999999999</v>
      </c>
      <c r="S892">
        <v>2.9839169999999999</v>
      </c>
      <c r="T892">
        <v>-0.1801662</v>
      </c>
      <c r="U892">
        <v>-0.62826539999999997</v>
      </c>
      <c r="V892">
        <v>0.13417419999999999</v>
      </c>
      <c r="W892">
        <v>0.1247891</v>
      </c>
      <c r="X892">
        <v>0.98306919999999998</v>
      </c>
      <c r="Y892">
        <v>0.21323159999999999</v>
      </c>
      <c r="Z892">
        <v>-6.8248859999999996E-3</v>
      </c>
      <c r="AA892">
        <v>0.97697780000000001</v>
      </c>
      <c r="AB892">
        <v>25</v>
      </c>
      <c r="AC892">
        <v>18.1493</v>
      </c>
      <c r="AD892">
        <v>-1.1104577412700001</v>
      </c>
      <c r="AE892">
        <v>-3.8740999999999901</v>
      </c>
      <c r="AF892">
        <v>4.0004350949974397</v>
      </c>
      <c r="AG892">
        <v>-1.1104577412700001</v>
      </c>
      <c r="AH892">
        <v>18.054063526699899</v>
      </c>
      <c r="AI892">
        <v>93.436532321085394</v>
      </c>
      <c r="AJ892">
        <v>77.5062145836133</v>
      </c>
      <c r="AK892">
        <v>18.525274820378499</v>
      </c>
      <c r="AL892">
        <v>82.831423575058295</v>
      </c>
      <c r="AM892">
        <v>82.228007397182495</v>
      </c>
      <c r="AN892">
        <v>1.0000000437065399</v>
      </c>
    </row>
    <row r="893" spans="1:40" x14ac:dyDescent="0.25">
      <c r="A893" t="str">
        <f>"20190312151241005"</f>
        <v>20190312151241005</v>
      </c>
      <c r="B893" t="str">
        <f>"1552374761000666"</f>
        <v>1552374761000666</v>
      </c>
      <c r="C893" t="s">
        <v>40</v>
      </c>
      <c r="D893">
        <v>4.274292</v>
      </c>
      <c r="E893">
        <v>0.52837069999999997</v>
      </c>
      <c r="F893" t="s">
        <v>42</v>
      </c>
      <c r="G893">
        <v>-233.86940000000001</v>
      </c>
      <c r="H893" s="1">
        <v>-3.670959E-6</v>
      </c>
      <c r="I893">
        <v>363.64830000000001</v>
      </c>
      <c r="J893">
        <v>-251.6413</v>
      </c>
      <c r="K893">
        <v>1.1104780000000001</v>
      </c>
      <c r="L893">
        <v>367.43200000000002</v>
      </c>
      <c r="M893">
        <v>0.99988239999999995</v>
      </c>
      <c r="N893">
        <v>0</v>
      </c>
      <c r="O893">
        <v>7.7192780000000004E-3</v>
      </c>
      <c r="P893">
        <v>0.98574899999999999</v>
      </c>
      <c r="Q893">
        <v>0.1112496</v>
      </c>
      <c r="R893">
        <v>-0.12618499999999999</v>
      </c>
      <c r="S893">
        <v>2.9842529999999998</v>
      </c>
      <c r="T893">
        <v>-0.1838632</v>
      </c>
      <c r="U893">
        <v>-0.62615969999999999</v>
      </c>
      <c r="V893">
        <v>0.13380310000000001</v>
      </c>
      <c r="W893">
        <v>0.1242847</v>
      </c>
      <c r="X893">
        <v>0.98318360000000005</v>
      </c>
      <c r="Y893">
        <v>0.21249889999999999</v>
      </c>
      <c r="Z893">
        <v>-6.9398749999999999E-3</v>
      </c>
      <c r="AA893">
        <v>0.97713669999999997</v>
      </c>
      <c r="AB893">
        <v>25</v>
      </c>
      <c r="AC893">
        <v>17.771899999999899</v>
      </c>
      <c r="AD893">
        <v>-1.110481670959</v>
      </c>
      <c r="AE893">
        <v>-3.7836999999999499</v>
      </c>
      <c r="AF893">
        <v>3.9061954910403198</v>
      </c>
      <c r="AG893">
        <v>-1.110481670959</v>
      </c>
      <c r="AH893">
        <v>17.676138225038699</v>
      </c>
      <c r="AI893">
        <v>93.510339607747895</v>
      </c>
      <c r="AJ893">
        <v>77.538656346036007</v>
      </c>
      <c r="AK893">
        <v>18.136631310870101</v>
      </c>
      <c r="AL893">
        <v>82.860549815714094</v>
      </c>
      <c r="AM893">
        <v>82.2501324829216</v>
      </c>
      <c r="AN893">
        <v>0.99999997376632899</v>
      </c>
    </row>
    <row r="894" spans="1:40" x14ac:dyDescent="0.25">
      <c r="A894" t="str">
        <f>"20190312151241027"</f>
        <v>20190312151241027</v>
      </c>
      <c r="B894" t="str">
        <f>"1552374761020190"</f>
        <v>1552374761020190</v>
      </c>
      <c r="C894" t="s">
        <v>40</v>
      </c>
      <c r="D894">
        <v>4.2425139999999999</v>
      </c>
      <c r="E894">
        <v>0.52806019999999998</v>
      </c>
      <c r="F894" t="s">
        <v>42</v>
      </c>
      <c r="G894">
        <v>-234.11060000000001</v>
      </c>
      <c r="H894" s="1">
        <v>-3.5436330000000001E-6</v>
      </c>
      <c r="I894">
        <v>363.78289999999998</v>
      </c>
      <c r="J894">
        <v>-251.39590000000001</v>
      </c>
      <c r="K894">
        <v>1.110501</v>
      </c>
      <c r="L894">
        <v>367.43380000000002</v>
      </c>
      <c r="M894">
        <v>0.99988030000000006</v>
      </c>
      <c r="N894">
        <v>0</v>
      </c>
      <c r="O894">
        <v>7.6837659999999999E-3</v>
      </c>
      <c r="P894">
        <v>0.98578909999999997</v>
      </c>
      <c r="Q894">
        <v>0.11093889999999999</v>
      </c>
      <c r="R894">
        <v>-0.12614600000000001</v>
      </c>
      <c r="S894">
        <v>2.9851679999999998</v>
      </c>
      <c r="T894">
        <v>-0.18909429999999999</v>
      </c>
      <c r="U894">
        <v>-0.62136840000000004</v>
      </c>
      <c r="V894">
        <v>0.13372970000000001</v>
      </c>
      <c r="W894">
        <v>0.1241541</v>
      </c>
      <c r="X894">
        <v>0.98321009999999998</v>
      </c>
      <c r="Y894">
        <v>0.21088109999999999</v>
      </c>
      <c r="Z894">
        <v>-7.0830930000000004E-3</v>
      </c>
      <c r="AA894">
        <v>0.97748610000000002</v>
      </c>
      <c r="AB894">
        <v>25</v>
      </c>
      <c r="AC894">
        <v>17.285299999999999</v>
      </c>
      <c r="AD894">
        <v>-1.1105045436330001</v>
      </c>
      <c r="AE894">
        <v>-3.6509000000000298</v>
      </c>
      <c r="AF894">
        <v>3.7687292745296501</v>
      </c>
      <c r="AG894">
        <v>-1.1105045436330001</v>
      </c>
      <c r="AH894">
        <v>17.188817511433001</v>
      </c>
      <c r="AI894">
        <v>93.610985513737901</v>
      </c>
      <c r="AJ894">
        <v>77.633318205625102</v>
      </c>
      <c r="AK894">
        <v>17.632129426914702</v>
      </c>
      <c r="AL894">
        <v>82.868091147993098</v>
      </c>
      <c r="AM894">
        <v>82.254538415711494</v>
      </c>
      <c r="AN894">
        <v>0.999999986975454</v>
      </c>
    </row>
    <row r="895" spans="1:40" x14ac:dyDescent="0.25">
      <c r="A895" t="str">
        <f>"20190312151241049"</f>
        <v>20190312151241049</v>
      </c>
      <c r="B895" t="str">
        <f>"1552374761040686"</f>
        <v>1552374761040686</v>
      </c>
      <c r="C895" t="s">
        <v>40</v>
      </c>
      <c r="D895">
        <v>4.2290939999999999</v>
      </c>
      <c r="E895">
        <v>0.52782929999999995</v>
      </c>
      <c r="F895" t="s">
        <v>42</v>
      </c>
      <c r="G895">
        <v>-234.101</v>
      </c>
      <c r="H895" s="1">
        <v>-3.5362519999999999E-6</v>
      </c>
      <c r="I895">
        <v>363.8476</v>
      </c>
      <c r="J895">
        <v>-251.148</v>
      </c>
      <c r="K895">
        <v>1.11052</v>
      </c>
      <c r="L895">
        <v>367.4357</v>
      </c>
      <c r="M895">
        <v>0.99987809999999999</v>
      </c>
      <c r="N895">
        <v>0</v>
      </c>
      <c r="O895">
        <v>7.6481509999999997E-3</v>
      </c>
      <c r="P895">
        <v>0.98580489999999998</v>
      </c>
      <c r="Q895">
        <v>0.11074680000000001</v>
      </c>
      <c r="R895">
        <v>-0.12619</v>
      </c>
      <c r="S895">
        <v>2.9855800000000001</v>
      </c>
      <c r="T895">
        <v>-0.19170329999999999</v>
      </c>
      <c r="U895">
        <v>-0.61907959999999995</v>
      </c>
      <c r="V895">
        <v>0.13373860000000001</v>
      </c>
      <c r="W895">
        <v>0.12412860000000001</v>
      </c>
      <c r="X895">
        <v>0.98321210000000003</v>
      </c>
      <c r="Y895">
        <v>0.210091</v>
      </c>
      <c r="Z895">
        <v>-7.1528769999999898E-3</v>
      </c>
      <c r="AA895">
        <v>0.97765559999999996</v>
      </c>
      <c r="AB895">
        <v>25</v>
      </c>
      <c r="AC895">
        <v>17.046999999999901</v>
      </c>
      <c r="AD895">
        <v>-1.1105235362520001</v>
      </c>
      <c r="AE895">
        <v>-3.5880999999999901</v>
      </c>
      <c r="AF895">
        <v>3.7033355070116998</v>
      </c>
      <c r="AG895">
        <v>-1.1105235362520001</v>
      </c>
      <c r="AH895">
        <v>16.950174213005798</v>
      </c>
      <c r="AI895">
        <v>93.662338232822293</v>
      </c>
      <c r="AJ895">
        <v>77.675478725393802</v>
      </c>
      <c r="AK895">
        <v>17.385521627299799</v>
      </c>
      <c r="AL895">
        <v>82.869563516188904</v>
      </c>
      <c r="AM895">
        <v>82.254044761524398</v>
      </c>
      <c r="AN895">
        <v>0.999999978027164</v>
      </c>
    </row>
    <row r="896" spans="1:40" x14ac:dyDescent="0.25">
      <c r="A896" t="str">
        <f>"20190312151241071"</f>
        <v>20190312151241071</v>
      </c>
      <c r="B896" t="str">
        <f>"1552374761060202"</f>
        <v>1552374761060202</v>
      </c>
      <c r="C896" t="s">
        <v>40</v>
      </c>
      <c r="D896">
        <v>4.1974479999999996</v>
      </c>
      <c r="E896">
        <v>0.52761829999999998</v>
      </c>
      <c r="F896" t="s">
        <v>42</v>
      </c>
      <c r="G896">
        <v>-234.01589999999999</v>
      </c>
      <c r="H896" s="1">
        <v>-3.5647719999999998E-6</v>
      </c>
      <c r="I896">
        <v>363.89269999999999</v>
      </c>
      <c r="J896">
        <v>-250.90520000000001</v>
      </c>
      <c r="K896">
        <v>1.1105339999999999</v>
      </c>
      <c r="L896">
        <v>367.4375</v>
      </c>
      <c r="M896">
        <v>0.9998764</v>
      </c>
      <c r="N896">
        <v>0</v>
      </c>
      <c r="O896">
        <v>7.6130199999999999E-3</v>
      </c>
      <c r="P896">
        <v>0.98582360000000002</v>
      </c>
      <c r="Q896">
        <v>0.1106075</v>
      </c>
      <c r="R896">
        <v>-0.12616769999999999</v>
      </c>
      <c r="S896">
        <v>2.9858859999999998</v>
      </c>
      <c r="T896">
        <v>-0.19354769999999999</v>
      </c>
      <c r="U896">
        <v>-0.61749270000000001</v>
      </c>
      <c r="V896">
        <v>0.1336821</v>
      </c>
      <c r="W896">
        <v>0.1241371</v>
      </c>
      <c r="X896">
        <v>0.9832187</v>
      </c>
      <c r="Y896">
        <v>0.20953140000000001</v>
      </c>
      <c r="Z896">
        <v>-7.201041E-3</v>
      </c>
      <c r="AA896">
        <v>0.97777539999999996</v>
      </c>
      <c r="AB896">
        <v>25</v>
      </c>
      <c r="AC896">
        <v>16.889299999999999</v>
      </c>
      <c r="AD896">
        <v>-1.1105375647719999</v>
      </c>
      <c r="AE896">
        <v>-3.5448</v>
      </c>
      <c r="AF896">
        <v>3.6581390851062499</v>
      </c>
      <c r="AG896">
        <v>-1.1105375647719999</v>
      </c>
      <c r="AH896">
        <v>16.7922818642697</v>
      </c>
      <c r="AI896">
        <v>93.697214730185095</v>
      </c>
      <c r="AJ896">
        <v>77.710327198019101</v>
      </c>
      <c r="AK896">
        <v>17.221962880514901</v>
      </c>
      <c r="AL896">
        <v>82.869072632218106</v>
      </c>
      <c r="AM896">
        <v>82.257328804503004</v>
      </c>
      <c r="AN896">
        <v>0.99999996774325395</v>
      </c>
    </row>
    <row r="897" spans="1:40" x14ac:dyDescent="0.25">
      <c r="A897" t="str">
        <f>"20190312151241094"</f>
        <v>20190312151241094</v>
      </c>
      <c r="B897" t="str">
        <f>"1552374761090459"</f>
        <v>1552374761090459</v>
      </c>
      <c r="C897" t="s">
        <v>40</v>
      </c>
      <c r="D897">
        <v>4.2179599999999997</v>
      </c>
      <c r="E897">
        <v>0.52733019999999997</v>
      </c>
      <c r="F897" t="s">
        <v>42</v>
      </c>
      <c r="G897">
        <v>-233.95240000000001</v>
      </c>
      <c r="H897" s="1">
        <v>-3.5831009999999999E-6</v>
      </c>
      <c r="I897">
        <v>363.94279999999998</v>
      </c>
      <c r="J897">
        <v>-250.65780000000001</v>
      </c>
      <c r="K897">
        <v>1.1105449999999999</v>
      </c>
      <c r="L897">
        <v>367.43939999999998</v>
      </c>
      <c r="M897">
        <v>0.99987470000000001</v>
      </c>
      <c r="N897">
        <v>0</v>
      </c>
      <c r="O897">
        <v>7.5773200000000002E-3</v>
      </c>
      <c r="P897">
        <v>0.98585429999999996</v>
      </c>
      <c r="Q897">
        <v>0.11056729999999999</v>
      </c>
      <c r="R897">
        <v>-0.12596179999999901</v>
      </c>
      <c r="S897">
        <v>2.9862980000000001</v>
      </c>
      <c r="T897">
        <v>-0.19562460000000001</v>
      </c>
      <c r="U897">
        <v>-0.61560059999999905</v>
      </c>
      <c r="V897">
        <v>0.133441</v>
      </c>
      <c r="W897">
        <v>0.1242313</v>
      </c>
      <c r="X897">
        <v>0.98323959999999999</v>
      </c>
      <c r="Y897">
        <v>0.20886769999999999</v>
      </c>
      <c r="Z897">
        <v>-7.2538250000000002E-3</v>
      </c>
      <c r="AA897">
        <v>0.97791700000000004</v>
      </c>
      <c r="AB897">
        <v>25</v>
      </c>
      <c r="AC897">
        <v>16.705399999999901</v>
      </c>
      <c r="AD897">
        <v>-1.110548583101</v>
      </c>
      <c r="AE897">
        <v>-3.4965999999999999</v>
      </c>
      <c r="AF897">
        <v>3.6078188752078701</v>
      </c>
      <c r="AG897">
        <v>-1.110548583101</v>
      </c>
      <c r="AH897">
        <v>16.608105991070499</v>
      </c>
      <c r="AI897">
        <v>93.738611879176702</v>
      </c>
      <c r="AJ897">
        <v>77.743919753730495</v>
      </c>
      <c r="AK897">
        <v>17.0317016120635</v>
      </c>
      <c r="AL897">
        <v>82.863633594084405</v>
      </c>
      <c r="AM897">
        <v>82.271286331170003</v>
      </c>
      <c r="AN897">
        <v>1.00000001369442</v>
      </c>
    </row>
    <row r="898" spans="1:40" x14ac:dyDescent="0.25">
      <c r="A898" t="str">
        <f>"20190312151241116"</f>
        <v>20190312151241116</v>
      </c>
      <c r="B898" t="str">
        <f>"1552374761109978"</f>
        <v>1552374761109978</v>
      </c>
      <c r="C898" t="s">
        <v>40</v>
      </c>
      <c r="D898">
        <v>4.1860809999999997</v>
      </c>
      <c r="E898">
        <v>0.52715780000000001</v>
      </c>
      <c r="F898" t="s">
        <v>42</v>
      </c>
      <c r="G898">
        <v>-233.87549999999999</v>
      </c>
      <c r="H898" s="1">
        <v>-3.6067289999999999E-6</v>
      </c>
      <c r="I898">
        <v>363.99560000000002</v>
      </c>
      <c r="J898">
        <v>-250.41239999999999</v>
      </c>
      <c r="K898">
        <v>1.110555</v>
      </c>
      <c r="L898">
        <v>367.44119999999998</v>
      </c>
      <c r="M898">
        <v>0.99987340000000002</v>
      </c>
      <c r="N898">
        <v>0</v>
      </c>
      <c r="O898">
        <v>7.5417330000000001E-3</v>
      </c>
      <c r="P898">
        <v>0.98585179999999994</v>
      </c>
      <c r="Q898">
        <v>0.1104855</v>
      </c>
      <c r="R898">
        <v>-0.12605250000000001</v>
      </c>
      <c r="S898">
        <v>2.9868929999999998</v>
      </c>
      <c r="T898">
        <v>-0.19765389999999999</v>
      </c>
      <c r="U898">
        <v>-0.61291499999999999</v>
      </c>
      <c r="V898">
        <v>0.1334969</v>
      </c>
      <c r="W898">
        <v>0.1242653</v>
      </c>
      <c r="X898">
        <v>0.98322770000000004</v>
      </c>
      <c r="Y898">
        <v>0.2079435</v>
      </c>
      <c r="Z898">
        <v>-7.2955809999999998E-3</v>
      </c>
      <c r="AA898">
        <v>0.97811369999999997</v>
      </c>
      <c r="AB898">
        <v>25</v>
      </c>
      <c r="AC898">
        <v>16.536899999999999</v>
      </c>
      <c r="AD898">
        <v>-1.1105586067290001</v>
      </c>
      <c r="AE898">
        <v>-3.44559999999995</v>
      </c>
      <c r="AF898">
        <v>3.5548657962466801</v>
      </c>
      <c r="AG898">
        <v>-1.1105586067290001</v>
      </c>
      <c r="AH898">
        <v>16.439384731872</v>
      </c>
      <c r="AI898">
        <v>93.777678760153293</v>
      </c>
      <c r="AJ898">
        <v>77.798185339566601</v>
      </c>
      <c r="AK898">
        <v>16.855971689903001</v>
      </c>
      <c r="AL898">
        <v>82.861670216020201</v>
      </c>
      <c r="AM898">
        <v>82.267995390848199</v>
      </c>
      <c r="AN898">
        <v>0.99999999857049504</v>
      </c>
    </row>
    <row r="899" spans="1:40" x14ac:dyDescent="0.25">
      <c r="A899" t="str">
        <f>"20190312151241140"</f>
        <v>20190312151241140</v>
      </c>
      <c r="B899" t="str">
        <f>"1552374761130478"</f>
        <v>1552374761130478</v>
      </c>
      <c r="C899" t="s">
        <v>40</v>
      </c>
      <c r="D899">
        <v>4.2066679999999996</v>
      </c>
      <c r="E899">
        <v>0.52703080000000002</v>
      </c>
      <c r="F899" t="s">
        <v>42</v>
      </c>
      <c r="G899">
        <v>-233.75210000000001</v>
      </c>
      <c r="H899" s="1">
        <v>-3.6537740000000002E-6</v>
      </c>
      <c r="I899">
        <v>364.02879999999999</v>
      </c>
      <c r="J899">
        <v>-250.15360000000001</v>
      </c>
      <c r="K899">
        <v>1.1105529999999999</v>
      </c>
      <c r="L899">
        <v>367.44310000000002</v>
      </c>
      <c r="M899">
        <v>0.99987219999999999</v>
      </c>
      <c r="N899">
        <v>0</v>
      </c>
      <c r="O899">
        <v>7.5038259999999999E-3</v>
      </c>
      <c r="P899">
        <v>0.98585270000000003</v>
      </c>
      <c r="Q899">
        <v>0.1104392</v>
      </c>
      <c r="R899">
        <v>-0.12608649999999999</v>
      </c>
      <c r="S899">
        <v>2.9871669999999999</v>
      </c>
      <c r="T899">
        <v>-0.19912060000000001</v>
      </c>
      <c r="U899">
        <v>-0.61181640000000004</v>
      </c>
      <c r="V899">
        <v>0.13349339999999901</v>
      </c>
      <c r="W899">
        <v>0.1243268</v>
      </c>
      <c r="X899">
        <v>0.98322039999999999</v>
      </c>
      <c r="Y899">
        <v>0.20753769999999999</v>
      </c>
      <c r="Z899">
        <v>-7.333343E-3</v>
      </c>
      <c r="AA899">
        <v>0.9781995</v>
      </c>
      <c r="AB899">
        <v>25</v>
      </c>
      <c r="AC899">
        <v>16.401499999999999</v>
      </c>
      <c r="AD899">
        <v>-1.1105566537739999</v>
      </c>
      <c r="AE899">
        <v>-3.4143000000000199</v>
      </c>
      <c r="AF899">
        <v>3.5218141800156202</v>
      </c>
      <c r="AG899">
        <v>-1.1105566537739999</v>
      </c>
      <c r="AH899">
        <v>16.3037714562548</v>
      </c>
      <c r="AI899">
        <v>93.809181586443302</v>
      </c>
      <c r="AJ899">
        <v>77.810696803393995</v>
      </c>
      <c r="AK899">
        <v>16.716742353030099</v>
      </c>
      <c r="AL899">
        <v>82.858118982387495</v>
      </c>
      <c r="AM899">
        <v>82.268138944162899</v>
      </c>
      <c r="AN899">
        <v>0.99999999800897998</v>
      </c>
    </row>
    <row r="900" spans="1:40" x14ac:dyDescent="0.25">
      <c r="A900" t="str">
        <f>"20190312151241162"</f>
        <v>20190312151241162</v>
      </c>
      <c r="B900" t="str">
        <f>"1552374761150971"</f>
        <v>1552374761150971</v>
      </c>
      <c r="C900" t="s">
        <v>40</v>
      </c>
      <c r="D900">
        <v>4.2012460000000003</v>
      </c>
      <c r="E900">
        <v>0.52687819999999996</v>
      </c>
      <c r="F900" t="s">
        <v>42</v>
      </c>
      <c r="G900">
        <v>-233.56479999999999</v>
      </c>
      <c r="H900" s="1">
        <v>-3.7299390000000001E-6</v>
      </c>
      <c r="I900">
        <v>364.05239999999998</v>
      </c>
      <c r="J900">
        <v>-249.91120000000001</v>
      </c>
      <c r="K900">
        <v>1.1105579999999999</v>
      </c>
      <c r="L900">
        <v>367.44490000000002</v>
      </c>
      <c r="M900">
        <v>0.99987110000000001</v>
      </c>
      <c r="N900">
        <v>0</v>
      </c>
      <c r="O900">
        <v>7.4688009999999997E-3</v>
      </c>
      <c r="P900">
        <v>0.98589839999999995</v>
      </c>
      <c r="Q900">
        <v>0.1100416</v>
      </c>
      <c r="R900">
        <v>-0.12607650000000001</v>
      </c>
      <c r="S900">
        <v>2.9873349999999999</v>
      </c>
      <c r="T900">
        <v>-0.1999899</v>
      </c>
      <c r="U900">
        <v>-0.61059569999999996</v>
      </c>
      <c r="V900">
        <v>0.13344919999999999</v>
      </c>
      <c r="W900">
        <v>0.1240169</v>
      </c>
      <c r="X900">
        <v>0.98326550000000001</v>
      </c>
      <c r="Y900">
        <v>0.20710600000000001</v>
      </c>
      <c r="Z900">
        <v>-7.3485759999999999E-3</v>
      </c>
      <c r="AA900">
        <v>0.97829089999999996</v>
      </c>
      <c r="AB900">
        <v>25</v>
      </c>
      <c r="AC900">
        <v>16.346399999999999</v>
      </c>
      <c r="AD900">
        <v>-1.110561729939</v>
      </c>
      <c r="AE900">
        <v>-3.39250000000004</v>
      </c>
      <c r="AF900">
        <v>3.49902204232369</v>
      </c>
      <c r="AG900">
        <v>-1.110561729939</v>
      </c>
      <c r="AH900">
        <v>16.248700759451399</v>
      </c>
      <c r="AI900">
        <v>93.822597710247393</v>
      </c>
      <c r="AJ900">
        <v>77.847410885420899</v>
      </c>
      <c r="AK900">
        <v>16.658234569691601</v>
      </c>
      <c r="AL900">
        <v>82.876013176595706</v>
      </c>
      <c r="AM900">
        <v>82.271018271488302</v>
      </c>
      <c r="AN900">
        <v>0.99999996197824903</v>
      </c>
    </row>
    <row r="901" spans="1:40" x14ac:dyDescent="0.25">
      <c r="A901" t="str">
        <f>"20190312151241184"</f>
        <v>20190312151241184</v>
      </c>
      <c r="B901" t="str">
        <f>"1552374761180251"</f>
        <v>1552374761180251</v>
      </c>
      <c r="C901" t="s">
        <v>40</v>
      </c>
      <c r="D901">
        <v>4.225034</v>
      </c>
      <c r="E901">
        <v>0.52665620000000002</v>
      </c>
      <c r="F901" t="s">
        <v>42</v>
      </c>
      <c r="G901">
        <v>-233.49950000000001</v>
      </c>
      <c r="H901" s="1">
        <v>-3.7501840000000001E-6</v>
      </c>
      <c r="I901">
        <v>364.09629999999999</v>
      </c>
      <c r="J901">
        <v>-249.6772</v>
      </c>
      <c r="K901">
        <v>1.1105670000000001</v>
      </c>
      <c r="L901">
        <v>367.44659999999999</v>
      </c>
      <c r="M901">
        <v>0.99987040000000005</v>
      </c>
      <c r="N901">
        <v>0</v>
      </c>
      <c r="O901">
        <v>7.4348299999999999E-3</v>
      </c>
      <c r="P901">
        <v>0.98587449999999999</v>
      </c>
      <c r="Q901">
        <v>0.11026900000000001</v>
      </c>
      <c r="R901">
        <v>-0.12606589999999901</v>
      </c>
      <c r="S901">
        <v>2.9875340000000001</v>
      </c>
      <c r="T901">
        <v>-0.20216290000000001</v>
      </c>
      <c r="U901">
        <v>-0.60955809999999999</v>
      </c>
      <c r="V901">
        <v>0.13340489999999999</v>
      </c>
      <c r="W901">
        <v>0.12431739999999999</v>
      </c>
      <c r="X901">
        <v>0.98323360000000004</v>
      </c>
      <c r="Y901">
        <v>0.20672470000000001</v>
      </c>
      <c r="Z901">
        <v>-7.4129859999999999E-3</v>
      </c>
      <c r="AA901">
        <v>0.97837110000000005</v>
      </c>
      <c r="AB901">
        <v>25</v>
      </c>
      <c r="AC901">
        <v>16.177699999999898</v>
      </c>
      <c r="AD901">
        <v>-1.1105707501840001</v>
      </c>
      <c r="AE901">
        <v>-3.3502999999999998</v>
      </c>
      <c r="AF901">
        <v>3.4548862219805199</v>
      </c>
      <c r="AG901">
        <v>-1.1105707501840001</v>
      </c>
      <c r="AH901">
        <v>16.079680767063198</v>
      </c>
      <c r="AI901">
        <v>93.863069900617006</v>
      </c>
      <c r="AJ901">
        <v>77.873766573723799</v>
      </c>
      <c r="AK901">
        <v>16.484105670877501</v>
      </c>
      <c r="AL901">
        <v>82.858661771720193</v>
      </c>
      <c r="AM901">
        <v>82.273305350279799</v>
      </c>
      <c r="AN901">
        <v>0.99999999772786496</v>
      </c>
    </row>
    <row r="902" spans="1:40" x14ac:dyDescent="0.25">
      <c r="A902" t="str">
        <f>"20190312151241206"</f>
        <v>20190312151241206</v>
      </c>
      <c r="B902" t="str">
        <f>"1552374761200750"</f>
        <v>1552374761200750</v>
      </c>
      <c r="C902" t="s">
        <v>40</v>
      </c>
      <c r="D902">
        <v>4.252173</v>
      </c>
      <c r="E902">
        <v>0.52652569999999999</v>
      </c>
      <c r="F902" t="s">
        <v>42</v>
      </c>
      <c r="G902">
        <v>-233.24520000000001</v>
      </c>
      <c r="H902" s="1">
        <v>-3.8582879999999996E-6</v>
      </c>
      <c r="I902">
        <v>364.1019</v>
      </c>
      <c r="J902">
        <v>-249.429</v>
      </c>
      <c r="K902">
        <v>1.1105700000000001</v>
      </c>
      <c r="L902">
        <v>367.44839999999999</v>
      </c>
      <c r="M902">
        <v>0.99986969999999997</v>
      </c>
      <c r="N902">
        <v>0</v>
      </c>
      <c r="O902">
        <v>7.3982240000000001E-3</v>
      </c>
      <c r="P902">
        <v>0.98584459999999996</v>
      </c>
      <c r="Q902">
        <v>0.110331</v>
      </c>
      <c r="R902">
        <v>-0.12624489999999999</v>
      </c>
      <c r="S902">
        <v>2.9878079999999998</v>
      </c>
      <c r="T902">
        <v>-0.20193240000000001</v>
      </c>
      <c r="U902">
        <v>-0.60815430000000004</v>
      </c>
      <c r="V902">
        <v>0.13354769999999999</v>
      </c>
      <c r="W902">
        <v>0.1244456</v>
      </c>
      <c r="X902">
        <v>0.98319800000000002</v>
      </c>
      <c r="Y902">
        <v>0.2062321</v>
      </c>
      <c r="Z902">
        <v>-7.385328E-3</v>
      </c>
      <c r="AA902">
        <v>0.97847519999999999</v>
      </c>
      <c r="AB902">
        <v>25</v>
      </c>
      <c r="AC902">
        <v>16.183799999999898</v>
      </c>
      <c r="AD902">
        <v>-1.110573858288</v>
      </c>
      <c r="AE902">
        <v>-3.34649999999999</v>
      </c>
      <c r="AF902">
        <v>3.4505694609271602</v>
      </c>
      <c r="AG902">
        <v>-1.110573858288</v>
      </c>
      <c r="AH902">
        <v>16.085952755733299</v>
      </c>
      <c r="AI902">
        <v>93.861857231619695</v>
      </c>
      <c r="AJ902">
        <v>77.893053282678096</v>
      </c>
      <c r="AK902">
        <v>16.489320178802998</v>
      </c>
      <c r="AL902">
        <v>82.851258992218803</v>
      </c>
      <c r="AM902">
        <v>82.264857894363203</v>
      </c>
      <c r="AN902">
        <v>1.00000000136932</v>
      </c>
    </row>
    <row r="903" spans="1:40" x14ac:dyDescent="0.25">
      <c r="A903" t="str">
        <f>"20190312151241228"</f>
        <v>20190312151241228</v>
      </c>
      <c r="B903" t="str">
        <f>"1552374761220266"</f>
        <v>1552374761220266</v>
      </c>
      <c r="C903" t="s">
        <v>40</v>
      </c>
      <c r="D903">
        <v>4.240062</v>
      </c>
      <c r="E903">
        <v>0.52641649999999995</v>
      </c>
      <c r="F903" t="s">
        <v>42</v>
      </c>
      <c r="G903">
        <v>-233.03</v>
      </c>
      <c r="H903" s="1">
        <v>-3.9484350000000001E-6</v>
      </c>
      <c r="I903">
        <v>364.11399999999998</v>
      </c>
      <c r="J903">
        <v>-249.1892</v>
      </c>
      <c r="K903">
        <v>1.1105769999999999</v>
      </c>
      <c r="L903">
        <v>367.45010000000002</v>
      </c>
      <c r="M903">
        <v>0.99986900000000001</v>
      </c>
      <c r="N903">
        <v>0</v>
      </c>
      <c r="O903">
        <v>7.3640779999999996E-3</v>
      </c>
      <c r="P903">
        <v>0.9859059</v>
      </c>
      <c r="Q903">
        <v>0.1099841</v>
      </c>
      <c r="R903">
        <v>-0.1260696</v>
      </c>
      <c r="S903">
        <v>2.98793</v>
      </c>
      <c r="T903">
        <v>-0.2023479</v>
      </c>
      <c r="U903">
        <v>-0.60751339999999998</v>
      </c>
      <c r="V903">
        <v>0.13333900000000001</v>
      </c>
      <c r="W903">
        <v>0.1241546</v>
      </c>
      <c r="X903">
        <v>0.98326309999999995</v>
      </c>
      <c r="Y903">
        <v>0.20598810000000001</v>
      </c>
      <c r="Z903">
        <v>-7.3898919999999899E-3</v>
      </c>
      <c r="AA903">
        <v>0.97852660000000002</v>
      </c>
      <c r="AB903">
        <v>24</v>
      </c>
      <c r="AC903">
        <v>16.159199999999998</v>
      </c>
      <c r="AD903">
        <v>-1.110580948435</v>
      </c>
      <c r="AE903">
        <v>-3.3360999999999801</v>
      </c>
      <c r="AF903">
        <v>3.4394375703218998</v>
      </c>
      <c r="AG903">
        <v>-1.110580948435</v>
      </c>
      <c r="AH903">
        <v>16.061427689203502</v>
      </c>
      <c r="AI903">
        <v>93.868049684132501</v>
      </c>
      <c r="AJ903">
        <v>77.913077256040694</v>
      </c>
      <c r="AK903">
        <v>16.463067158299499</v>
      </c>
      <c r="AL903">
        <v>82.868062289243696</v>
      </c>
      <c r="AM903">
        <v>82.277305053921495</v>
      </c>
      <c r="AN903">
        <v>0.999999988721884</v>
      </c>
    </row>
    <row r="904" spans="1:40" x14ac:dyDescent="0.25">
      <c r="A904" t="str">
        <f>"20190312151241251"</f>
        <v>20190312151241251</v>
      </c>
      <c r="B904" t="str">
        <f>"1552374761240763"</f>
        <v>1552374761240763</v>
      </c>
      <c r="C904" t="s">
        <v>40</v>
      </c>
      <c r="D904">
        <v>4.2776800000000001</v>
      </c>
      <c r="E904">
        <v>0.52634910000000001</v>
      </c>
      <c r="F904" t="s">
        <v>42</v>
      </c>
      <c r="G904">
        <v>-232.94499999999999</v>
      </c>
      <c r="H904" s="1">
        <v>-3.9780319999999999E-6</v>
      </c>
      <c r="I904">
        <v>364.15289999999999</v>
      </c>
      <c r="J904">
        <v>-248.94210000000001</v>
      </c>
      <c r="K904">
        <v>1.1105799999999999</v>
      </c>
      <c r="L904">
        <v>367.45190000000002</v>
      </c>
      <c r="M904">
        <v>0.99986870000000005</v>
      </c>
      <c r="N904">
        <v>0</v>
      </c>
      <c r="O904">
        <v>7.3277840000000004E-3</v>
      </c>
      <c r="P904">
        <v>0.98589930000000003</v>
      </c>
      <c r="Q904">
        <v>0.1098753</v>
      </c>
      <c r="R904">
        <v>-0.12621550000000001</v>
      </c>
      <c r="S904">
        <v>2.9880979999999999</v>
      </c>
      <c r="T904">
        <v>-0.20428869999999999</v>
      </c>
      <c r="U904">
        <v>-0.60650630000000005</v>
      </c>
      <c r="V904">
        <v>0.13344909999999999</v>
      </c>
      <c r="W904">
        <v>0.124094</v>
      </c>
      <c r="X904">
        <v>0.98325580000000001</v>
      </c>
      <c r="Y904">
        <v>0.20561699999999999</v>
      </c>
      <c r="Z904">
        <v>-7.4454539999999998E-3</v>
      </c>
      <c r="AA904">
        <v>0.97860420000000004</v>
      </c>
      <c r="AB904">
        <v>24</v>
      </c>
      <c r="AC904">
        <v>15.9971</v>
      </c>
      <c r="AD904">
        <v>-1.1105839780319999</v>
      </c>
      <c r="AE904">
        <v>-3.2990000000000301</v>
      </c>
      <c r="AF904">
        <v>3.4004264718456101</v>
      </c>
      <c r="AG904">
        <v>-1.1105839780319999</v>
      </c>
      <c r="AH904">
        <v>15.898991073191601</v>
      </c>
      <c r="AI904">
        <v>93.907669459535697</v>
      </c>
      <c r="AJ904">
        <v>77.927641347156396</v>
      </c>
      <c r="AK904">
        <v>16.2964478984875</v>
      </c>
      <c r="AL904">
        <v>82.871561380398205</v>
      </c>
      <c r="AM904">
        <v>82.270948667048401</v>
      </c>
      <c r="AN904">
        <v>0.99999997568022403</v>
      </c>
    </row>
    <row r="905" spans="1:40" x14ac:dyDescent="0.25">
      <c r="A905" t="str">
        <f>"20190312151241272"</f>
        <v>20190312151241272</v>
      </c>
      <c r="B905" t="str">
        <f>"1552374761260282"</f>
        <v>1552374761260282</v>
      </c>
      <c r="C905" t="s">
        <v>40</v>
      </c>
      <c r="D905">
        <v>4.3061829999999999</v>
      </c>
      <c r="E905">
        <v>0.52629340000000002</v>
      </c>
      <c r="F905" t="s">
        <v>42</v>
      </c>
      <c r="G905">
        <v>-232.76820000000001</v>
      </c>
      <c r="H905" s="1">
        <v>-4.050792E-6</v>
      </c>
      <c r="I905">
        <v>364.1703</v>
      </c>
      <c r="J905">
        <v>-248.70869999999999</v>
      </c>
      <c r="K905">
        <v>1.110584</v>
      </c>
      <c r="L905">
        <v>367.45359999999999</v>
      </c>
      <c r="M905">
        <v>0.99986830000000004</v>
      </c>
      <c r="N905">
        <v>0</v>
      </c>
      <c r="O905">
        <v>7.2938789999999996E-3</v>
      </c>
      <c r="P905">
        <v>0.98587619999999998</v>
      </c>
      <c r="Q905">
        <v>0.11011120000000001</v>
      </c>
      <c r="R905">
        <v>-0.12618950000000001</v>
      </c>
      <c r="S905">
        <v>2.9881739999999999</v>
      </c>
      <c r="T905">
        <v>-0.20518159999999999</v>
      </c>
      <c r="U905">
        <v>-0.60626219999999997</v>
      </c>
      <c r="V905">
        <v>0.1333898</v>
      </c>
      <c r="W905">
        <v>0.1243689</v>
      </c>
      <c r="X905">
        <v>0.98322920000000003</v>
      </c>
      <c r="Y905">
        <v>0.20549829999999999</v>
      </c>
      <c r="Z905">
        <v>-7.4714619999999999E-3</v>
      </c>
      <c r="AA905">
        <v>0.97862890000000002</v>
      </c>
      <c r="AB905">
        <v>24</v>
      </c>
      <c r="AC905">
        <v>15.940499999999901</v>
      </c>
      <c r="AD905">
        <v>-1.1105880507920001</v>
      </c>
      <c r="AE905">
        <v>-3.2832999999999899</v>
      </c>
      <c r="AF905">
        <v>3.3837366498324699</v>
      </c>
      <c r="AG905">
        <v>-1.1105880507920001</v>
      </c>
      <c r="AH905">
        <v>15.842355803675799</v>
      </c>
      <c r="AI905">
        <v>93.921840773372793</v>
      </c>
      <c r="AJ905">
        <v>77.943470945237905</v>
      </c>
      <c r="AK905">
        <v>16.2377127990442</v>
      </c>
      <c r="AL905">
        <v>82.855688413682898</v>
      </c>
      <c r="AM905">
        <v>82.274135209853199</v>
      </c>
      <c r="AN905">
        <v>1.0000000608819399</v>
      </c>
    </row>
    <row r="906" spans="1:40" x14ac:dyDescent="0.25">
      <c r="A906" t="str">
        <f>"20190312151241295"</f>
        <v>20190312151241295</v>
      </c>
      <c r="B906" t="str">
        <f>"1552374761290538"</f>
        <v>1552374761290538</v>
      </c>
      <c r="C906" t="s">
        <v>40</v>
      </c>
      <c r="D906">
        <v>4.3311380000000002</v>
      </c>
      <c r="E906">
        <v>0.52625310000000003</v>
      </c>
      <c r="F906" t="s">
        <v>42</v>
      </c>
      <c r="G906">
        <v>-232.5275</v>
      </c>
      <c r="H906" s="1">
        <v>-4.1534290000000001E-6</v>
      </c>
      <c r="I906">
        <v>364.1737</v>
      </c>
      <c r="J906">
        <v>-248.46170000000001</v>
      </c>
      <c r="K906">
        <v>1.1105910000000001</v>
      </c>
      <c r="L906">
        <v>367.4554</v>
      </c>
      <c r="M906">
        <v>0.99986819999999998</v>
      </c>
      <c r="N906">
        <v>0</v>
      </c>
      <c r="O906">
        <v>7.2579749999999998E-3</v>
      </c>
      <c r="P906">
        <v>0.9858268</v>
      </c>
      <c r="Q906">
        <v>0.11009529999999999</v>
      </c>
      <c r="R906">
        <v>-0.1265886</v>
      </c>
      <c r="S906">
        <v>2.9883579999999998</v>
      </c>
      <c r="T906">
        <v>-0.20510300000000001</v>
      </c>
      <c r="U906">
        <v>-0.6057129</v>
      </c>
      <c r="V906">
        <v>0.13375319999999999</v>
      </c>
      <c r="W906">
        <v>0.1243874</v>
      </c>
      <c r="X906">
        <v>0.98317739999999998</v>
      </c>
      <c r="Y906">
        <v>0.20527970000000001</v>
      </c>
      <c r="Z906">
        <v>-7.4584400000000002E-3</v>
      </c>
      <c r="AA906">
        <v>0.97867490000000001</v>
      </c>
      <c r="AB906">
        <v>24</v>
      </c>
      <c r="AC906">
        <v>15.934200000000001</v>
      </c>
      <c r="AD906">
        <v>-1.1105951534289999</v>
      </c>
      <c r="AE906">
        <v>-3.2816999999999998</v>
      </c>
      <c r="AF906">
        <v>3.38151703594915</v>
      </c>
      <c r="AG906">
        <v>-1.1105951534289999</v>
      </c>
      <c r="AH906">
        <v>15.836158673208301</v>
      </c>
      <c r="AI906">
        <v>93.923440916676498</v>
      </c>
      <c r="AJ906">
        <v>77.946571239886893</v>
      </c>
      <c r="AK906">
        <v>16.2312045326976</v>
      </c>
      <c r="AL906">
        <v>82.854619506985301</v>
      </c>
      <c r="AM906">
        <v>82.252939324238596</v>
      </c>
      <c r="AN906">
        <v>0.99999997182987899</v>
      </c>
    </row>
    <row r="907" spans="1:40" x14ac:dyDescent="0.25">
      <c r="A907" t="str">
        <f>"20190312151241318"</f>
        <v>20190312151241318</v>
      </c>
      <c r="B907" t="str">
        <f>"1552374761310058"</f>
        <v>1552374761310058</v>
      </c>
      <c r="C907" t="s">
        <v>40</v>
      </c>
      <c r="D907">
        <v>4.3724460000000001</v>
      </c>
      <c r="E907">
        <v>0.49395060000000002</v>
      </c>
      <c r="F907" t="s">
        <v>42</v>
      </c>
      <c r="G907">
        <v>-232.386</v>
      </c>
      <c r="H907" s="1">
        <v>-4.2109949999999997E-6</v>
      </c>
      <c r="I907">
        <v>364.19159999999999</v>
      </c>
      <c r="J907">
        <v>-248.21690000000001</v>
      </c>
      <c r="K907">
        <v>1.1105879999999999</v>
      </c>
      <c r="L907">
        <v>367.45710000000003</v>
      </c>
      <c r="M907">
        <v>0.99986799999999998</v>
      </c>
      <c r="N907">
        <v>0</v>
      </c>
      <c r="O907">
        <v>7.2223560000000001E-3</v>
      </c>
      <c r="P907">
        <v>0.98577369999999997</v>
      </c>
      <c r="Q907">
        <v>0.110152399999999</v>
      </c>
      <c r="R907">
        <v>-0.1269526</v>
      </c>
      <c r="S907">
        <v>2.9882970000000002</v>
      </c>
      <c r="T907">
        <v>-0.2064455</v>
      </c>
      <c r="U907">
        <v>-0.60668949999999999</v>
      </c>
      <c r="V907">
        <v>0.13408149999999999</v>
      </c>
      <c r="W907">
        <v>0.124473</v>
      </c>
      <c r="X907">
        <v>0.98312189999999999</v>
      </c>
      <c r="Y907">
        <v>0.20554910000000001</v>
      </c>
      <c r="Z907">
        <v>-7.5138180000000002E-3</v>
      </c>
      <c r="AA907">
        <v>0.97861799999999999</v>
      </c>
      <c r="AB907">
        <v>24</v>
      </c>
      <c r="AC907">
        <v>15.8309</v>
      </c>
      <c r="AD907">
        <v>-1.1105922109949999</v>
      </c>
      <c r="AE907">
        <v>-3.26550000000003</v>
      </c>
      <c r="AF907">
        <v>3.36388360947607</v>
      </c>
      <c r="AG907">
        <v>-1.1105922109949999</v>
      </c>
      <c r="AH907">
        <v>15.732631701629501</v>
      </c>
      <c r="AI907">
        <v>93.948938164295498</v>
      </c>
      <c r="AJ907">
        <v>77.930993126712593</v>
      </c>
      <c r="AK907">
        <v>16.126525610197099</v>
      </c>
      <c r="AL907">
        <v>82.849676943495695</v>
      </c>
      <c r="AM907">
        <v>82.233722703444499</v>
      </c>
      <c r="AN907">
        <v>1.00000002331542</v>
      </c>
    </row>
    <row r="908" spans="1:40" x14ac:dyDescent="0.25">
      <c r="A908" t="str">
        <f>"20190312151241353"</f>
        <v>20190312151241353</v>
      </c>
      <c r="B908" t="str">
        <f>"1552374761340315"</f>
        <v>1552374761340315</v>
      </c>
      <c r="C908" t="s">
        <v>40</v>
      </c>
      <c r="D908">
        <v>4.4192689999999999</v>
      </c>
      <c r="E908">
        <v>0.48129880000000003</v>
      </c>
      <c r="F908" t="s">
        <v>41</v>
      </c>
      <c r="G908">
        <v>-247.41120000000001</v>
      </c>
      <c r="H908">
        <v>1.028389</v>
      </c>
      <c r="I908">
        <v>367.3623</v>
      </c>
      <c r="J908">
        <v>-247.8527</v>
      </c>
      <c r="K908">
        <v>1.1105989999999999</v>
      </c>
      <c r="L908">
        <v>367.45960000000002</v>
      </c>
      <c r="M908">
        <v>0.99986779999999997</v>
      </c>
      <c r="N908">
        <v>0</v>
      </c>
      <c r="O908">
        <v>7.1697050000000002E-3</v>
      </c>
      <c r="P908">
        <v>0.98576929999999996</v>
      </c>
      <c r="Q908">
        <v>0.11006639999999999</v>
      </c>
      <c r="R908">
        <v>-0.12706210000000001</v>
      </c>
      <c r="S908">
        <v>3.0320130000000001</v>
      </c>
      <c r="T908">
        <v>-0.30939719999999998</v>
      </c>
      <c r="U908">
        <v>-0.35617070000000001</v>
      </c>
      <c r="V908">
        <v>0.13413900000000001</v>
      </c>
      <c r="W908">
        <v>0.1244219</v>
      </c>
      <c r="X908">
        <v>0.98312049999999995</v>
      </c>
      <c r="Y908">
        <v>0.1231188</v>
      </c>
      <c r="Z908">
        <v>-6.9715609999999898E-3</v>
      </c>
      <c r="AA908">
        <v>0.99236740000000001</v>
      </c>
      <c r="AB908">
        <v>24</v>
      </c>
      <c r="AC908">
        <v>0.44149999999999001</v>
      </c>
      <c r="AD908">
        <v>-8.2209999999999894E-2</v>
      </c>
      <c r="AE908">
        <v>-9.7300000000018302E-2</v>
      </c>
      <c r="AF908">
        <v>9.7247604785216796E-2</v>
      </c>
      <c r="AG908">
        <v>-8.2209999999999894E-2</v>
      </c>
      <c r="AH908">
        <v>0.42668200472534801</v>
      </c>
      <c r="AI908">
        <v>100.639325046037</v>
      </c>
      <c r="AJ908">
        <v>77.160698764849997</v>
      </c>
      <c r="AK908">
        <v>0.445278692385907</v>
      </c>
      <c r="AL908">
        <v>82.852627521770003</v>
      </c>
      <c r="AM908">
        <v>82.230421926301005</v>
      </c>
      <c r="AN908">
        <v>0.99999999902042902</v>
      </c>
    </row>
    <row r="909" spans="1:40" x14ac:dyDescent="0.25">
      <c r="A909" t="str">
        <f>"20190312151241374"</f>
        <v>20190312151241374</v>
      </c>
      <c r="B909" t="str">
        <f>"1552374761370571"</f>
        <v>1552374761370571</v>
      </c>
      <c r="C909" t="s">
        <v>40</v>
      </c>
      <c r="D909">
        <v>4.431978</v>
      </c>
      <c r="E909">
        <v>0.47825050000000002</v>
      </c>
      <c r="F909" t="s">
        <v>41</v>
      </c>
      <c r="G909">
        <v>-246.98679999999999</v>
      </c>
      <c r="H909">
        <v>1.0166120000000001</v>
      </c>
      <c r="I909">
        <v>367.38659999999999</v>
      </c>
      <c r="J909">
        <v>-247.61590000000001</v>
      </c>
      <c r="K909">
        <v>1.1106049999999901</v>
      </c>
      <c r="L909">
        <v>367.46129999999999</v>
      </c>
      <c r="M909">
        <v>0.99986779999999997</v>
      </c>
      <c r="N909">
        <v>0</v>
      </c>
      <c r="O909">
        <v>7.135125E-3</v>
      </c>
      <c r="P909">
        <v>0.98578840000000001</v>
      </c>
      <c r="Q909">
        <v>0.1099921</v>
      </c>
      <c r="R909">
        <v>-0.1269786</v>
      </c>
      <c r="S909">
        <v>3.0471189999999999</v>
      </c>
      <c r="T909">
        <v>-0.33068649999999999</v>
      </c>
      <c r="U909">
        <v>-0.25695800000000002</v>
      </c>
      <c r="V909">
        <v>0.13402139999999901</v>
      </c>
      <c r="W909">
        <v>0.12436609999999999</v>
      </c>
      <c r="X909">
        <v>0.98314360000000001</v>
      </c>
      <c r="Y909">
        <v>9.0568720000000005E-2</v>
      </c>
      <c r="Z909">
        <v>-5.6623100000000003E-3</v>
      </c>
      <c r="AA909">
        <v>0.99587409999999998</v>
      </c>
      <c r="AB909">
        <v>24</v>
      </c>
      <c r="AC909">
        <v>0.62910000000002197</v>
      </c>
      <c r="AD909">
        <v>-9.3992999999999702E-2</v>
      </c>
      <c r="AE909">
        <v>-7.4700000000007094E-2</v>
      </c>
      <c r="AF909">
        <v>7.7481711394337405E-2</v>
      </c>
      <c r="AG909">
        <v>-9.3992999999999702E-2</v>
      </c>
      <c r="AH909">
        <v>0.61501290603758496</v>
      </c>
      <c r="AI909">
        <v>98.622211067833902</v>
      </c>
      <c r="AJ909">
        <v>82.819485551068794</v>
      </c>
      <c r="AK909">
        <v>0.62696010578217098</v>
      </c>
      <c r="AL909">
        <v>82.855849662454403</v>
      </c>
      <c r="AM909">
        <v>82.237330617703194</v>
      </c>
      <c r="AN909">
        <v>1.0000000003540599</v>
      </c>
    </row>
    <row r="910" spans="1:40" x14ac:dyDescent="0.25">
      <c r="A910" t="str">
        <f>"20190312151241395"</f>
        <v>20190312151241395</v>
      </c>
      <c r="B910" t="str">
        <f>"1552374761390090"</f>
        <v>1552374761390090</v>
      </c>
      <c r="C910" t="s">
        <v>40</v>
      </c>
      <c r="D910">
        <v>4.4342259999999998</v>
      </c>
      <c r="E910">
        <v>0.47738350000000002</v>
      </c>
      <c r="F910" t="s">
        <v>41</v>
      </c>
      <c r="G910">
        <v>-246.7723</v>
      </c>
      <c r="H910">
        <v>1.016721</v>
      </c>
      <c r="I910">
        <v>367.39670000000001</v>
      </c>
      <c r="J910">
        <v>-247.38059999999999</v>
      </c>
      <c r="K910">
        <v>1.110609</v>
      </c>
      <c r="L910">
        <v>367.46289999999999</v>
      </c>
      <c r="M910">
        <v>0.99986790000000003</v>
      </c>
      <c r="N910">
        <v>0</v>
      </c>
      <c r="O910">
        <v>7.1009230000000003E-3</v>
      </c>
      <c r="P910">
        <v>0.98573180000000005</v>
      </c>
      <c r="Q910">
        <v>0.1100993</v>
      </c>
      <c r="R910">
        <v>-0.12732370000000001</v>
      </c>
      <c r="S910">
        <v>3.051132</v>
      </c>
      <c r="T910">
        <v>-0.3396517</v>
      </c>
      <c r="U910">
        <v>-0.23291020000000001</v>
      </c>
      <c r="V910">
        <v>0.1343326</v>
      </c>
      <c r="W910">
        <v>0.12448670000000001</v>
      </c>
      <c r="X910">
        <v>0.98308589999999996</v>
      </c>
      <c r="Y910">
        <v>8.2642149999999998E-2</v>
      </c>
      <c r="Z910">
        <v>-5.3661330000000004E-3</v>
      </c>
      <c r="AA910">
        <v>0.99656489999999998</v>
      </c>
      <c r="AB910">
        <v>24</v>
      </c>
      <c r="AC910">
        <v>0.60829999999998496</v>
      </c>
      <c r="AD910">
        <v>-9.3887999999999902E-2</v>
      </c>
      <c r="AE910">
        <v>-6.6199999999980705E-2</v>
      </c>
      <c r="AF910">
        <v>6.8896224921824303E-2</v>
      </c>
      <c r="AG910">
        <v>-9.3887999999999902E-2</v>
      </c>
      <c r="AH910">
        <v>0.59383360218715597</v>
      </c>
      <c r="AI910">
        <v>98.925478080475401</v>
      </c>
      <c r="AJ910">
        <v>83.382164687169904</v>
      </c>
      <c r="AK910">
        <v>0.605144605395316</v>
      </c>
      <c r="AL910">
        <v>82.848885931846993</v>
      </c>
      <c r="AM910">
        <v>82.219075026533503</v>
      </c>
      <c r="AN910">
        <v>1.0000000363392201</v>
      </c>
    </row>
    <row r="911" spans="1:40" x14ac:dyDescent="0.25">
      <c r="A911" t="str">
        <f>"20190312151241418"</f>
        <v>20190312151241418</v>
      </c>
      <c r="B911" t="str">
        <f>"1552374761410590"</f>
        <v>1552374761410590</v>
      </c>
      <c r="C911" t="s">
        <v>40</v>
      </c>
      <c r="D911">
        <v>4.5855319999999997</v>
      </c>
      <c r="E911">
        <v>0.47720839999999998</v>
      </c>
      <c r="F911" t="s">
        <v>41</v>
      </c>
      <c r="G911">
        <v>-246.55719999999999</v>
      </c>
      <c r="H911">
        <v>1.018537</v>
      </c>
      <c r="I911">
        <v>367.40170000000001</v>
      </c>
      <c r="J911">
        <v>-247.14400000000001</v>
      </c>
      <c r="K911">
        <v>1.110614</v>
      </c>
      <c r="L911">
        <v>367.46449999999999</v>
      </c>
      <c r="M911">
        <v>0.99986790000000003</v>
      </c>
      <c r="N911">
        <v>0</v>
      </c>
      <c r="O911">
        <v>7.0665619999999898E-3</v>
      </c>
      <c r="P911">
        <v>0.98569459999999998</v>
      </c>
      <c r="Q911">
        <v>0.1101651</v>
      </c>
      <c r="R911">
        <v>-0.1275541</v>
      </c>
      <c r="S911">
        <v>3.0522459999999998</v>
      </c>
      <c r="T911">
        <v>-0.34124779999999999</v>
      </c>
      <c r="U911">
        <v>-0.22668460000000001</v>
      </c>
      <c r="V911">
        <v>0.13452890000000001</v>
      </c>
      <c r="W911">
        <v>0.12456390000000001</v>
      </c>
      <c r="X911">
        <v>0.98304919999999996</v>
      </c>
      <c r="Y911">
        <v>8.0567109999999997E-2</v>
      </c>
      <c r="Z911">
        <v>-5.2703469999999999E-3</v>
      </c>
      <c r="AA911">
        <v>0.99673529999999999</v>
      </c>
      <c r="AB911">
        <v>24</v>
      </c>
      <c r="AC911">
        <v>0.58680000000000998</v>
      </c>
      <c r="AD911">
        <v>-9.2076999999999895E-2</v>
      </c>
      <c r="AE911">
        <v>-6.2799999999981496E-2</v>
      </c>
      <c r="AF911">
        <v>6.5354599852632297E-2</v>
      </c>
      <c r="AG911">
        <v>-9.2076999999999895E-2</v>
      </c>
      <c r="AH911">
        <v>0.57240733909852204</v>
      </c>
      <c r="AI911">
        <v>99.0802705242223</v>
      </c>
      <c r="AJ911">
        <v>83.486460801925304</v>
      </c>
      <c r="AK911">
        <v>0.58343770833290098</v>
      </c>
      <c r="AL911">
        <v>82.844427449165593</v>
      </c>
      <c r="AM911">
        <v>82.207557027499305</v>
      </c>
      <c r="AN911">
        <v>0.99999995986952905</v>
      </c>
    </row>
    <row r="912" spans="1:40" x14ac:dyDescent="0.25">
      <c r="A912" t="str">
        <f>"20190312151241440"</f>
        <v>20190312151241440</v>
      </c>
      <c r="B912" t="str">
        <f>"1552374761430106"</f>
        <v>1552374761430106</v>
      </c>
      <c r="C912" t="s">
        <v>40</v>
      </c>
      <c r="D912">
        <v>4.4443099999999998</v>
      </c>
      <c r="E912">
        <v>0.4770857</v>
      </c>
      <c r="F912" t="s">
        <v>41</v>
      </c>
      <c r="G912">
        <v>-246.34110000000001</v>
      </c>
      <c r="H912">
        <v>1.0231539999999999</v>
      </c>
      <c r="I912">
        <v>367.40499999999997</v>
      </c>
      <c r="J912">
        <v>-246.90119999999999</v>
      </c>
      <c r="K912">
        <v>1.110622</v>
      </c>
      <c r="L912">
        <v>367.46620000000001</v>
      </c>
      <c r="M912">
        <v>0.99986799999999998</v>
      </c>
      <c r="N912">
        <v>0</v>
      </c>
      <c r="O912">
        <v>7.0310290000000003E-3</v>
      </c>
      <c r="P912">
        <v>0.9856414</v>
      </c>
      <c r="Q912">
        <v>0.1105304</v>
      </c>
      <c r="R912">
        <v>-0.12765019999999999</v>
      </c>
      <c r="S912">
        <v>3.051498</v>
      </c>
      <c r="T912">
        <v>-0.33251829999999999</v>
      </c>
      <c r="U912">
        <v>-0.22586059999999999</v>
      </c>
      <c r="V912">
        <v>0.1345894</v>
      </c>
      <c r="W912">
        <v>0.1249386</v>
      </c>
      <c r="X912">
        <v>0.98299340000000002</v>
      </c>
      <c r="Y912">
        <v>8.0310870000000006E-2</v>
      </c>
      <c r="Z912">
        <v>-5.1198670000000002E-3</v>
      </c>
      <c r="AA912">
        <v>0.99675670000000005</v>
      </c>
      <c r="AB912">
        <v>24</v>
      </c>
      <c r="AC912">
        <v>0.56009999999997695</v>
      </c>
      <c r="AD912">
        <v>-8.7467999999999796E-2</v>
      </c>
      <c r="AE912">
        <v>-6.1200000000042103E-2</v>
      </c>
      <c r="AF912">
        <v>6.3604143665241503E-2</v>
      </c>
      <c r="AG912">
        <v>-8.7467999999999796E-2</v>
      </c>
      <c r="AH912">
        <v>0.54648563021509999</v>
      </c>
      <c r="AI912">
        <v>99.033411973841694</v>
      </c>
      <c r="AJ912">
        <v>83.361350844263598</v>
      </c>
      <c r="AK912">
        <v>0.55708408893719397</v>
      </c>
      <c r="AL912">
        <v>82.822789921170596</v>
      </c>
      <c r="AM912">
        <v>82.203658617251094</v>
      </c>
      <c r="AN912">
        <v>0.99999999240294002</v>
      </c>
    </row>
    <row r="913" spans="1:40" x14ac:dyDescent="0.25">
      <c r="A913" t="str">
        <f>"20190312151241462"</f>
        <v>20190312151241462</v>
      </c>
      <c r="B913" t="str">
        <f>"1552374761450603"</f>
        <v>1552374761450603</v>
      </c>
      <c r="C913" t="s">
        <v>40</v>
      </c>
      <c r="D913">
        <v>4.44292</v>
      </c>
      <c r="E913">
        <v>0.47704750000000001</v>
      </c>
      <c r="F913" t="s">
        <v>41</v>
      </c>
      <c r="G913">
        <v>-246.12549999999999</v>
      </c>
      <c r="H913">
        <v>1.0275840000000001</v>
      </c>
      <c r="I913">
        <v>367.40890000000002</v>
      </c>
      <c r="J913">
        <v>-246.6712</v>
      </c>
      <c r="K913">
        <v>1.1106210000000001</v>
      </c>
      <c r="L913">
        <v>367.46780000000001</v>
      </c>
      <c r="M913">
        <v>0.99986799999999998</v>
      </c>
      <c r="N913">
        <v>0</v>
      </c>
      <c r="O913">
        <v>6.9978929999999998E-3</v>
      </c>
      <c r="P913">
        <v>0.9855566</v>
      </c>
      <c r="Q913">
        <v>0.1109565</v>
      </c>
      <c r="R913">
        <v>-0.12793350000000001</v>
      </c>
      <c r="S913">
        <v>3.051193</v>
      </c>
      <c r="T913">
        <v>-0.32672489999999998</v>
      </c>
      <c r="U913">
        <v>-0.22500609999999999</v>
      </c>
      <c r="V913">
        <v>0.1348395</v>
      </c>
      <c r="W913">
        <v>0.1253705</v>
      </c>
      <c r="X913">
        <v>0.98290409999999995</v>
      </c>
      <c r="Y913">
        <v>8.0026949999999999E-2</v>
      </c>
      <c r="Z913">
        <v>-5.013053E-3</v>
      </c>
      <c r="AA913">
        <v>0.99678009999999995</v>
      </c>
      <c r="AB913">
        <v>24</v>
      </c>
      <c r="AC913">
        <v>0.54570000000000995</v>
      </c>
      <c r="AD913">
        <v>-8.3036999999999805E-2</v>
      </c>
      <c r="AE913">
        <v>-5.8899999999994103E-2</v>
      </c>
      <c r="AF913">
        <v>6.1314363870461699E-2</v>
      </c>
      <c r="AG913">
        <v>-8.3036999999999805E-2</v>
      </c>
      <c r="AH913">
        <v>0.53307350462573599</v>
      </c>
      <c r="AI913">
        <v>98.796743334022196</v>
      </c>
      <c r="AJ913">
        <v>83.438646190690605</v>
      </c>
      <c r="AK913">
        <v>0.54297509696099699</v>
      </c>
      <c r="AL913">
        <v>82.797847535449804</v>
      </c>
      <c r="AM913">
        <v>82.188648904768499</v>
      </c>
      <c r="AN913">
        <v>0.99999996141365399</v>
      </c>
    </row>
    <row r="914" spans="1:40" x14ac:dyDescent="0.25">
      <c r="A914" t="str">
        <f>"20190312151241485"</f>
        <v>20190312151241485</v>
      </c>
      <c r="B914" t="str">
        <f>"1552374761480858"</f>
        <v>1552374761480858</v>
      </c>
      <c r="C914" t="s">
        <v>40</v>
      </c>
      <c r="D914">
        <v>4.4434180000000003</v>
      </c>
      <c r="E914">
        <v>0.47675970000000001</v>
      </c>
      <c r="F914" t="s">
        <v>41</v>
      </c>
      <c r="G914">
        <v>-245.9109</v>
      </c>
      <c r="H914">
        <v>1.0306879999999901</v>
      </c>
      <c r="I914">
        <v>367.41129999999998</v>
      </c>
      <c r="J914">
        <v>-246.4205</v>
      </c>
      <c r="K914">
        <v>1.1106309999999999</v>
      </c>
      <c r="L914">
        <v>367.46949999999998</v>
      </c>
      <c r="M914">
        <v>0.99986819999999998</v>
      </c>
      <c r="N914">
        <v>0</v>
      </c>
      <c r="O914">
        <v>6.9619069999999998E-3</v>
      </c>
      <c r="P914">
        <v>0.98553349999999995</v>
      </c>
      <c r="Q914">
        <v>0.1106803</v>
      </c>
      <c r="R914">
        <v>-0.1283502</v>
      </c>
      <c r="S914">
        <v>3.0508120000000001</v>
      </c>
      <c r="T914">
        <v>-0.32103310000000002</v>
      </c>
      <c r="U914">
        <v>-0.22573850000000001</v>
      </c>
      <c r="V914">
        <v>0.1352206</v>
      </c>
      <c r="W914">
        <v>0.1251004</v>
      </c>
      <c r="X914">
        <v>0.98288620000000004</v>
      </c>
      <c r="Y914">
        <v>8.0254099999999995E-2</v>
      </c>
      <c r="Z914">
        <v>-4.9349019999999997E-3</v>
      </c>
      <c r="AA914">
        <v>0.99676220000000004</v>
      </c>
      <c r="AB914">
        <v>24</v>
      </c>
      <c r="AC914">
        <v>0.50960000000000605</v>
      </c>
      <c r="AD914">
        <v>-7.9943000000000097E-2</v>
      </c>
      <c r="AE914">
        <v>-5.8199999999999301E-2</v>
      </c>
      <c r="AF914">
        <v>6.0282343711216498E-2</v>
      </c>
      <c r="AG914">
        <v>-7.9943000000000097E-2</v>
      </c>
      <c r="AH914">
        <v>0.49710641253184501</v>
      </c>
      <c r="AI914">
        <v>99.070561325954401</v>
      </c>
      <c r="AJ914">
        <v>83.085703596478993</v>
      </c>
      <c r="AK914">
        <v>0.50708937041965096</v>
      </c>
      <c r="AL914">
        <v>82.813446220779298</v>
      </c>
      <c r="AM914">
        <v>82.166704309753001</v>
      </c>
      <c r="AN914">
        <v>1.0000000014474799</v>
      </c>
    </row>
    <row r="915" spans="1:40" x14ac:dyDescent="0.25">
      <c r="A915" t="str">
        <f>"20190312151241507"</f>
        <v>20190312151241507</v>
      </c>
      <c r="B915" t="str">
        <f>"1552374761501129"</f>
        <v>1552374761501129</v>
      </c>
      <c r="C915" t="s">
        <v>40</v>
      </c>
      <c r="D915">
        <v>4.441916</v>
      </c>
      <c r="E915">
        <v>0.47655350000000002</v>
      </c>
      <c r="F915" t="s">
        <v>41</v>
      </c>
      <c r="G915">
        <v>-245.49520000000001</v>
      </c>
      <c r="H915">
        <v>1.012394</v>
      </c>
      <c r="I915">
        <v>367.40120000000002</v>
      </c>
      <c r="J915">
        <v>-246.19030000000001</v>
      </c>
      <c r="K915">
        <v>1.1106309999999999</v>
      </c>
      <c r="L915">
        <v>367.47109999999998</v>
      </c>
      <c r="M915">
        <v>0.99986830000000004</v>
      </c>
      <c r="N915">
        <v>0</v>
      </c>
      <c r="O915">
        <v>6.9286209999999899E-3</v>
      </c>
      <c r="P915">
        <v>0.98553639999999998</v>
      </c>
      <c r="Q915">
        <v>0.1105998</v>
      </c>
      <c r="R915">
        <v>-0.12839800000000001</v>
      </c>
      <c r="S915">
        <v>3.0512389999999998</v>
      </c>
      <c r="T915">
        <v>-0.32419219999999999</v>
      </c>
      <c r="U915">
        <v>-0.22430420000000001</v>
      </c>
      <c r="V915">
        <v>0.13523560000000001</v>
      </c>
      <c r="W915">
        <v>0.12502369999999999</v>
      </c>
      <c r="X915">
        <v>0.98289389999999999</v>
      </c>
      <c r="Y915">
        <v>7.9738370000000003E-2</v>
      </c>
      <c r="Z915">
        <v>-4.9517789999999999E-3</v>
      </c>
      <c r="AA915">
        <v>0.99680349999999995</v>
      </c>
      <c r="AB915">
        <v>24</v>
      </c>
      <c r="AC915">
        <v>0.69509999999999605</v>
      </c>
      <c r="AD915">
        <v>-9.8236999999999894E-2</v>
      </c>
      <c r="AE915">
        <v>-6.9899999999961396E-2</v>
      </c>
      <c r="AF915">
        <v>7.3266188347325095E-2</v>
      </c>
      <c r="AG915">
        <v>-9.8236999999999894E-2</v>
      </c>
      <c r="AH915">
        <v>0.68113054291819497</v>
      </c>
      <c r="AI915">
        <v>98.160535774487798</v>
      </c>
      <c r="AJ915">
        <v>83.8605532819209</v>
      </c>
      <c r="AK915">
        <v>0.69206738040452398</v>
      </c>
      <c r="AL915">
        <v>82.817875614206002</v>
      </c>
      <c r="AM915">
        <v>82.165906763544598</v>
      </c>
      <c r="AN915">
        <v>1.00000000586313</v>
      </c>
    </row>
    <row r="916" spans="1:40" x14ac:dyDescent="0.25">
      <c r="A916" t="str">
        <f>"20190312151241530"</f>
        <v>20190312151241530</v>
      </c>
      <c r="B916" t="str">
        <f>"1552374761520654"</f>
        <v>1552374761520654</v>
      </c>
      <c r="C916" t="s">
        <v>40</v>
      </c>
      <c r="D916">
        <v>4.4597759999999997</v>
      </c>
      <c r="E916">
        <v>0.4763522</v>
      </c>
      <c r="F916" t="s">
        <v>41</v>
      </c>
      <c r="G916">
        <v>-245.28290000000001</v>
      </c>
      <c r="H916">
        <v>1.013368</v>
      </c>
      <c r="I916">
        <v>367.40469999999999</v>
      </c>
      <c r="J916">
        <v>-245.9468</v>
      </c>
      <c r="K916">
        <v>1.1106309999999999</v>
      </c>
      <c r="L916">
        <v>367.47269999999997</v>
      </c>
      <c r="M916">
        <v>0.99986850000000005</v>
      </c>
      <c r="N916">
        <v>0</v>
      </c>
      <c r="O916">
        <v>6.8934950000000004E-3</v>
      </c>
      <c r="P916">
        <v>0.98550300000000002</v>
      </c>
      <c r="Q916">
        <v>0.1113886</v>
      </c>
      <c r="R916">
        <v>-0.12797120000000001</v>
      </c>
      <c r="S916">
        <v>3.051682</v>
      </c>
      <c r="T916">
        <v>-0.32720969999999999</v>
      </c>
      <c r="U916">
        <v>-0.22311400000000001</v>
      </c>
      <c r="V916">
        <v>0.13477410000000001</v>
      </c>
      <c r="W916">
        <v>0.1258157</v>
      </c>
      <c r="X916">
        <v>0.98285619999999996</v>
      </c>
      <c r="Y916">
        <v>7.9299869999999995E-2</v>
      </c>
      <c r="Z916">
        <v>-4.9697989999999996E-3</v>
      </c>
      <c r="AA916">
        <v>0.99683840000000001</v>
      </c>
      <c r="AB916">
        <v>24</v>
      </c>
      <c r="AC916">
        <v>0.66389999999998395</v>
      </c>
      <c r="AD916">
        <v>-9.7262999999999794E-2</v>
      </c>
      <c r="AE916">
        <v>-6.7999999999983601E-2</v>
      </c>
      <c r="AF916">
        <v>7.1066015561531901E-2</v>
      </c>
      <c r="AG916">
        <v>-9.7262999999999794E-2</v>
      </c>
      <c r="AH916">
        <v>0.64961744195068605</v>
      </c>
      <c r="AI916">
        <v>98.465504433371507</v>
      </c>
      <c r="AJ916">
        <v>83.756856063140305</v>
      </c>
      <c r="AK916">
        <v>0.66069152455843105</v>
      </c>
      <c r="AL916">
        <v>82.772135992797899</v>
      </c>
      <c r="AM916">
        <v>82.192015021522295</v>
      </c>
      <c r="AN916">
        <v>0.99999997913786898</v>
      </c>
    </row>
    <row r="917" spans="1:40" x14ac:dyDescent="0.25">
      <c r="A917" t="str">
        <f>"20190312151241552"</f>
        <v>20190312151241552</v>
      </c>
      <c r="B917" t="str">
        <f>"1552374761541145"</f>
        <v>1552374761541145</v>
      </c>
      <c r="C917" t="s">
        <v>40</v>
      </c>
      <c r="D917">
        <v>4.4528569999999998</v>
      </c>
      <c r="E917">
        <v>0.47625529999999999</v>
      </c>
      <c r="F917" t="s">
        <v>41</v>
      </c>
      <c r="G917">
        <v>-245.06989999999999</v>
      </c>
      <c r="H917">
        <v>1.0168029999999999</v>
      </c>
      <c r="I917">
        <v>367.4092</v>
      </c>
      <c r="J917">
        <v>-245.7182</v>
      </c>
      <c r="K917">
        <v>1.110633</v>
      </c>
      <c r="L917">
        <v>367.4742</v>
      </c>
      <c r="M917">
        <v>0.9998688</v>
      </c>
      <c r="N917">
        <v>0</v>
      </c>
      <c r="O917">
        <v>6.860344E-3</v>
      </c>
      <c r="P917">
        <v>0.98549399999999998</v>
      </c>
      <c r="Q917">
        <v>0.111677399999999</v>
      </c>
      <c r="R917">
        <v>-0.1277885</v>
      </c>
      <c r="S917">
        <v>3.0524439999999999</v>
      </c>
      <c r="T917">
        <v>-0.32676889999999997</v>
      </c>
      <c r="U917">
        <v>-0.2204285</v>
      </c>
      <c r="V917">
        <v>0.13455889999999901</v>
      </c>
      <c r="W917">
        <v>0.12610560000000001</v>
      </c>
      <c r="X917">
        <v>0.98284850000000001</v>
      </c>
      <c r="Y917">
        <v>7.8383179999999997E-2</v>
      </c>
      <c r="Z917">
        <v>-4.9096679999999998E-3</v>
      </c>
      <c r="AA917">
        <v>0.9969112</v>
      </c>
      <c r="AB917">
        <v>24</v>
      </c>
      <c r="AC917">
        <v>0.64830000000000598</v>
      </c>
      <c r="AD917">
        <v>-9.3829999999999802E-2</v>
      </c>
      <c r="AE917">
        <v>-6.4999999999997699E-2</v>
      </c>
      <c r="AF917">
        <v>6.8035522496017395E-2</v>
      </c>
      <c r="AG917">
        <v>-9.3829999999999802E-2</v>
      </c>
      <c r="AH917">
        <v>0.63467623129273798</v>
      </c>
      <c r="AI917">
        <v>98.362417846097898</v>
      </c>
      <c r="AJ917">
        <v>83.881417494618901</v>
      </c>
      <c r="AK917">
        <v>0.64517193041022702</v>
      </c>
      <c r="AL917">
        <v>82.755392354146196</v>
      </c>
      <c r="AM917">
        <v>82.204268648384698</v>
      </c>
      <c r="AN917">
        <v>0.99999994693640804</v>
      </c>
    </row>
    <row r="918" spans="1:40" x14ac:dyDescent="0.25">
      <c r="A918" t="str">
        <f>"20190312151241575"</f>
        <v>20190312151241575</v>
      </c>
      <c r="B918" t="str">
        <f>"1552374761570425"</f>
        <v>1552374761570425</v>
      </c>
      <c r="C918" t="s">
        <v>40</v>
      </c>
      <c r="D918">
        <v>4.5017269999999998</v>
      </c>
      <c r="E918">
        <v>0.47597719999999999</v>
      </c>
      <c r="F918" t="s">
        <v>41</v>
      </c>
      <c r="G918">
        <v>-244.85810000000001</v>
      </c>
      <c r="H918">
        <v>1.018437</v>
      </c>
      <c r="I918">
        <v>367.41250000000002</v>
      </c>
      <c r="J918">
        <v>-245.48079999999999</v>
      </c>
      <c r="K918">
        <v>1.1106400000000001</v>
      </c>
      <c r="L918">
        <v>367.47579999999999</v>
      </c>
      <c r="M918">
        <v>0.99986900000000001</v>
      </c>
      <c r="N918">
        <v>0</v>
      </c>
      <c r="O918">
        <v>6.8255950000000003E-3</v>
      </c>
      <c r="P918">
        <v>0.98547890000000005</v>
      </c>
      <c r="Q918">
        <v>0.11114930000000001</v>
      </c>
      <c r="R918">
        <v>-0.12836510000000001</v>
      </c>
      <c r="S918">
        <v>3.0527950000000001</v>
      </c>
      <c r="T918">
        <v>-0.32721289999999997</v>
      </c>
      <c r="U918">
        <v>-0.21932979999999999</v>
      </c>
      <c r="V918">
        <v>0.13510069999999999</v>
      </c>
      <c r="W918">
        <v>0.1255782</v>
      </c>
      <c r="X918">
        <v>0.98284170000000004</v>
      </c>
      <c r="Y918">
        <v>7.7984620000000004E-2</v>
      </c>
      <c r="Z918">
        <v>-4.8908229999999999E-3</v>
      </c>
      <c r="AA918">
        <v>0.99694260000000001</v>
      </c>
      <c r="AB918">
        <v>24</v>
      </c>
      <c r="AC918">
        <v>0.62269999999998005</v>
      </c>
      <c r="AD918">
        <v>-9.2202999999999993E-2</v>
      </c>
      <c r="AE918">
        <v>-6.32999999999697E-2</v>
      </c>
      <c r="AF918">
        <v>6.6114568839472296E-2</v>
      </c>
      <c r="AG918">
        <v>-9.2202999999999993E-2</v>
      </c>
      <c r="AH918">
        <v>0.60903704153652705</v>
      </c>
      <c r="AI918">
        <v>98.559186035052505</v>
      </c>
      <c r="AJ918">
        <v>83.8044654948458</v>
      </c>
      <c r="AK918">
        <v>0.61951484839783699</v>
      </c>
      <c r="AL918">
        <v>82.785852285938404</v>
      </c>
      <c r="AM918">
        <v>82.173214006793401</v>
      </c>
      <c r="AN918">
        <v>0.99999994535730796</v>
      </c>
    </row>
    <row r="919" spans="1:40" x14ac:dyDescent="0.25">
      <c r="A919" t="str">
        <f>"20190312151241597"</f>
        <v>20190312151241597</v>
      </c>
      <c r="B919" t="str">
        <f>"1552374761590921"</f>
        <v>1552374761590921</v>
      </c>
      <c r="C919" t="s">
        <v>40</v>
      </c>
      <c r="D919">
        <v>4.4546679999999999</v>
      </c>
      <c r="E919">
        <v>0.47589609999999899</v>
      </c>
      <c r="F919" t="s">
        <v>41</v>
      </c>
      <c r="G919">
        <v>-244.64660000000001</v>
      </c>
      <c r="H919">
        <v>1.020392</v>
      </c>
      <c r="I919">
        <v>367.41609999999997</v>
      </c>
      <c r="J919">
        <v>-245.24160000000001</v>
      </c>
      <c r="K919">
        <v>1.1106370000000001</v>
      </c>
      <c r="L919">
        <v>367.47739999999999</v>
      </c>
      <c r="M919">
        <v>0.99986920000000001</v>
      </c>
      <c r="N919">
        <v>0</v>
      </c>
      <c r="O919">
        <v>6.7906709999999999E-3</v>
      </c>
      <c r="P919">
        <v>0.98555329999999997</v>
      </c>
      <c r="Q919">
        <v>0.11063820000000001</v>
      </c>
      <c r="R919">
        <v>-0.1282345</v>
      </c>
      <c r="S919">
        <v>3.0530849999999998</v>
      </c>
      <c r="T919">
        <v>-0.33049630000000002</v>
      </c>
      <c r="U919">
        <v>-0.21804809999999999</v>
      </c>
      <c r="V919">
        <v>0.13493640000000001</v>
      </c>
      <c r="W919">
        <v>0.12506819999999999</v>
      </c>
      <c r="X919">
        <v>0.98292930000000001</v>
      </c>
      <c r="Y919">
        <v>7.7519889999999994E-2</v>
      </c>
      <c r="Z919">
        <v>-4.9104099999999996E-3</v>
      </c>
      <c r="AA919">
        <v>0.9969787</v>
      </c>
      <c r="AB919">
        <v>24</v>
      </c>
      <c r="AC919">
        <v>0.59499999999999797</v>
      </c>
      <c r="AD919">
        <v>-9.0245000000000103E-2</v>
      </c>
      <c r="AE919">
        <v>-6.1300000000017001E-2</v>
      </c>
      <c r="AF919">
        <v>6.3885259220329296E-2</v>
      </c>
      <c r="AG919">
        <v>-9.0245000000000103E-2</v>
      </c>
      <c r="AH919">
        <v>0.58133706650515804</v>
      </c>
      <c r="AI919">
        <v>98.772010399975102</v>
      </c>
      <c r="AJ919">
        <v>83.728721445787102</v>
      </c>
      <c r="AK919">
        <v>0.59175862584627403</v>
      </c>
      <c r="AL919">
        <v>82.815305361542698</v>
      </c>
      <c r="AM919">
        <v>82.183302719820006</v>
      </c>
      <c r="AN919">
        <v>0.99999994774734302</v>
      </c>
    </row>
    <row r="920" spans="1:40" x14ac:dyDescent="0.25">
      <c r="A920" t="str">
        <f>"20190312151241620"</f>
        <v>20190312151241620</v>
      </c>
      <c r="B920" t="str">
        <f>"1552374761610442"</f>
        <v>1552374761610442</v>
      </c>
      <c r="C920" t="s">
        <v>40</v>
      </c>
      <c r="D920">
        <v>4.4529680000000003</v>
      </c>
      <c r="E920">
        <v>0.47591470000000002</v>
      </c>
      <c r="F920" t="s">
        <v>41</v>
      </c>
      <c r="G920">
        <v>-244.43520000000001</v>
      </c>
      <c r="H920">
        <v>1.0229220000000001</v>
      </c>
      <c r="I920">
        <v>367.42</v>
      </c>
      <c r="J920">
        <v>-245.00700000000001</v>
      </c>
      <c r="K920">
        <v>1.110638</v>
      </c>
      <c r="L920">
        <v>367.47890000000001</v>
      </c>
      <c r="M920">
        <v>0.99986949999999997</v>
      </c>
      <c r="N920">
        <v>0</v>
      </c>
      <c r="O920">
        <v>6.7565289999999998E-3</v>
      </c>
      <c r="P920">
        <v>0.98553780000000002</v>
      </c>
      <c r="Q920">
        <v>0.11065319999999999</v>
      </c>
      <c r="R920">
        <v>-0.1283416</v>
      </c>
      <c r="S920">
        <v>3.0530089999999999</v>
      </c>
      <c r="T920">
        <v>-0.33226470000000002</v>
      </c>
      <c r="U920">
        <v>-0.21719359999999999</v>
      </c>
      <c r="V920">
        <v>0.13500970000000001</v>
      </c>
      <c r="W920">
        <v>0.1250819</v>
      </c>
      <c r="X920">
        <v>0.9829175</v>
      </c>
      <c r="Y920">
        <v>7.7206750000000005E-2</v>
      </c>
      <c r="Z920">
        <v>-4.9160310000000004E-3</v>
      </c>
      <c r="AA920">
        <v>0.99700299999999997</v>
      </c>
      <c r="AB920">
        <v>24</v>
      </c>
      <c r="AC920">
        <v>0.57179999999999598</v>
      </c>
      <c r="AD920">
        <v>-8.7716000000000099E-2</v>
      </c>
      <c r="AE920">
        <v>-5.8899999999994103E-2</v>
      </c>
      <c r="AF920">
        <v>6.1334256114591798E-2</v>
      </c>
      <c r="AG920">
        <v>-8.7716000000000099E-2</v>
      </c>
      <c r="AH920">
        <v>0.55838663429244195</v>
      </c>
      <c r="AI920">
        <v>98.875016971344294</v>
      </c>
      <c r="AJ920">
        <v>83.731651092851706</v>
      </c>
      <c r="AK920">
        <v>0.56855221482777796</v>
      </c>
      <c r="AL920">
        <v>82.814514258334896</v>
      </c>
      <c r="AM920">
        <v>82.179016347773796</v>
      </c>
      <c r="AN920">
        <v>0.99999995630397398</v>
      </c>
    </row>
    <row r="921" spans="1:40" x14ac:dyDescent="0.25">
      <c r="A921" t="str">
        <f>"20190312151241641"</f>
        <v>20190312151241641</v>
      </c>
      <c r="B921" t="str">
        <f>"1552374761630938"</f>
        <v>1552374761630938</v>
      </c>
      <c r="C921" t="s">
        <v>40</v>
      </c>
      <c r="D921">
        <v>4.3852270000000004</v>
      </c>
      <c r="E921">
        <v>0.50892780000000004</v>
      </c>
      <c r="F921" t="s">
        <v>41</v>
      </c>
      <c r="G921">
        <v>-244.22409999999999</v>
      </c>
      <c r="H921">
        <v>1.0255879999999999</v>
      </c>
      <c r="I921">
        <v>367.42290000000003</v>
      </c>
      <c r="J921">
        <v>-244.77690000000001</v>
      </c>
      <c r="K921">
        <v>1.110643</v>
      </c>
      <c r="L921">
        <v>367.48050000000001</v>
      </c>
      <c r="M921">
        <v>0.99986980000000003</v>
      </c>
      <c r="N921">
        <v>0</v>
      </c>
      <c r="O921">
        <v>6.7229859999999898E-3</v>
      </c>
      <c r="P921">
        <v>0.98552989999999996</v>
      </c>
      <c r="Q921">
        <v>0.1106521</v>
      </c>
      <c r="R921">
        <v>-0.1284035</v>
      </c>
      <c r="S921">
        <v>3.052902</v>
      </c>
      <c r="T921">
        <v>-0.3318374</v>
      </c>
      <c r="U921">
        <v>-0.2179565</v>
      </c>
      <c r="V921">
        <v>0.1350384</v>
      </c>
      <c r="W921">
        <v>0.12507950000000001</v>
      </c>
      <c r="X921">
        <v>0.98291390000000001</v>
      </c>
      <c r="Y921">
        <v>7.7423829999999999E-2</v>
      </c>
      <c r="Z921">
        <v>-4.9179920000000004E-3</v>
      </c>
      <c r="AA921">
        <v>0.99698620000000004</v>
      </c>
      <c r="AB921">
        <v>24</v>
      </c>
      <c r="AC921">
        <v>0.55280000000001905</v>
      </c>
      <c r="AD921">
        <v>-8.5055000000000103E-2</v>
      </c>
      <c r="AE921">
        <v>-5.7599999999979397E-2</v>
      </c>
      <c r="AF921">
        <v>5.9912456756240101E-2</v>
      </c>
      <c r="AG921">
        <v>-8.5055000000000103E-2</v>
      </c>
      <c r="AH921">
        <v>0.53975943041299801</v>
      </c>
      <c r="AI921">
        <v>98.901217902994802</v>
      </c>
      <c r="AJ921">
        <v>83.666184975234899</v>
      </c>
      <c r="AK921">
        <v>0.54969454992689604</v>
      </c>
      <c r="AL921">
        <v>82.814653120333205</v>
      </c>
      <c r="AM921">
        <v>82.177346069533499</v>
      </c>
      <c r="AN921">
        <v>0.99999999280400897</v>
      </c>
    </row>
    <row r="922" spans="1:40" x14ac:dyDescent="0.25">
      <c r="A922" t="str">
        <f>"20190312151241674"</f>
        <v>20190312151241674</v>
      </c>
      <c r="B922" t="str">
        <f>"1552374761670954"</f>
        <v>1552374761670954</v>
      </c>
      <c r="C922" t="s">
        <v>40</v>
      </c>
      <c r="D922">
        <v>4.3473119999999996</v>
      </c>
      <c r="E922">
        <v>0.51742489999999997</v>
      </c>
      <c r="F922" t="s">
        <v>41</v>
      </c>
      <c r="G922">
        <v>-243.99930000000001</v>
      </c>
      <c r="H922">
        <v>1.0431299999999999</v>
      </c>
      <c r="I922">
        <v>367.35719999999998</v>
      </c>
      <c r="J922">
        <v>-244.4298</v>
      </c>
      <c r="K922">
        <v>1.110641</v>
      </c>
      <c r="L922">
        <v>367.4828</v>
      </c>
      <c r="M922">
        <v>0.99987020000000004</v>
      </c>
      <c r="N922">
        <v>0</v>
      </c>
      <c r="O922">
        <v>6.6725889999999996E-3</v>
      </c>
      <c r="P922">
        <v>0.9855739</v>
      </c>
      <c r="Q922">
        <v>0.110455399999999</v>
      </c>
      <c r="R922">
        <v>-0.12823509999999999</v>
      </c>
      <c r="S922">
        <v>3.0112920000000001</v>
      </c>
      <c r="T922">
        <v>-0.26159120000000002</v>
      </c>
      <c r="U922">
        <v>-0.47668460000000001</v>
      </c>
      <c r="V922">
        <v>0.13482069999999999</v>
      </c>
      <c r="W922">
        <v>0.1248799</v>
      </c>
      <c r="X922">
        <v>0.98296919999999999</v>
      </c>
      <c r="Y922">
        <v>0.16231889999999999</v>
      </c>
      <c r="Z922">
        <v>-7.5689109999999898E-3</v>
      </c>
      <c r="AA922">
        <v>0.98670930000000001</v>
      </c>
      <c r="AB922">
        <v>23</v>
      </c>
      <c r="AC922">
        <v>0.430499999999995</v>
      </c>
      <c r="AD922">
        <v>-6.7511000000000099E-2</v>
      </c>
      <c r="AE922">
        <v>-0.125600000000019</v>
      </c>
      <c r="AF922">
        <v>0.12562301818383401</v>
      </c>
      <c r="AG922">
        <v>-6.7511000000000099E-2</v>
      </c>
      <c r="AH922">
        <v>0.42013066129816601</v>
      </c>
      <c r="AI922">
        <v>98.752281369445498</v>
      </c>
      <c r="AJ922">
        <v>73.352840623516997</v>
      </c>
      <c r="AK922">
        <v>0.44367629008259002</v>
      </c>
      <c r="AL922">
        <v>82.826179998394394</v>
      </c>
      <c r="AM922">
        <v>82.190235435024803</v>
      </c>
      <c r="AN922">
        <v>1.00000002936056</v>
      </c>
    </row>
    <row r="923" spans="1:40" x14ac:dyDescent="0.25">
      <c r="A923" t="str">
        <f>"20190312151241697"</f>
        <v>20190312151241697</v>
      </c>
      <c r="B923" t="str">
        <f>"1552374761690477"</f>
        <v>1552374761690477</v>
      </c>
      <c r="C923" t="s">
        <v>40</v>
      </c>
      <c r="D923">
        <v>4.3549550000000004</v>
      </c>
      <c r="E923">
        <v>0.51886109999999996</v>
      </c>
      <c r="F923" t="s">
        <v>42</v>
      </c>
      <c r="G923">
        <v>-231.80799999999999</v>
      </c>
      <c r="H923" s="1">
        <v>-4.2805620000000004E-6</v>
      </c>
      <c r="I923">
        <v>365.19709999999998</v>
      </c>
      <c r="J923">
        <v>-244.19560000000001</v>
      </c>
      <c r="K923">
        <v>1.1106469999999999</v>
      </c>
      <c r="L923">
        <v>367.48430000000002</v>
      </c>
      <c r="M923">
        <v>0.99987029999999999</v>
      </c>
      <c r="N923">
        <v>0</v>
      </c>
      <c r="O923">
        <v>6.6385189999999998E-3</v>
      </c>
      <c r="P923">
        <v>0.98553869999999999</v>
      </c>
      <c r="Q923">
        <v>0.110834</v>
      </c>
      <c r="R923">
        <v>-0.12817690000000001</v>
      </c>
      <c r="S923">
        <v>3.002777</v>
      </c>
      <c r="T923">
        <v>-0.26422489999999998</v>
      </c>
      <c r="U923">
        <v>-0.54376219999999997</v>
      </c>
      <c r="V923">
        <v>0.13472879999999901</v>
      </c>
      <c r="W923">
        <v>0.12525600000000001</v>
      </c>
      <c r="X923">
        <v>0.98293390000000003</v>
      </c>
      <c r="Y923">
        <v>0.184004</v>
      </c>
      <c r="Z923">
        <v>-8.5936509999999904E-3</v>
      </c>
      <c r="AA923">
        <v>0.98288790000000004</v>
      </c>
      <c r="AB923">
        <v>23</v>
      </c>
      <c r="AC923">
        <v>12.387600000000001</v>
      </c>
      <c r="AD923">
        <v>-1.1106512805619999</v>
      </c>
      <c r="AE923">
        <v>-2.2872000000000399</v>
      </c>
      <c r="AF923">
        <v>2.3511171045603199</v>
      </c>
      <c r="AG923">
        <v>-1.1106512805619999</v>
      </c>
      <c r="AH923">
        <v>12.276707434723299</v>
      </c>
      <c r="AI923">
        <v>95.077592683801001</v>
      </c>
      <c r="AJ923">
        <v>79.158531992481301</v>
      </c>
      <c r="AK923">
        <v>12.549057468358299</v>
      </c>
      <c r="AL923">
        <v>82.804460186484306</v>
      </c>
      <c r="AM923">
        <v>82.195216474904001</v>
      </c>
      <c r="AN923">
        <v>0.99999998342732399</v>
      </c>
    </row>
    <row r="924" spans="1:40" x14ac:dyDescent="0.25">
      <c r="A924" t="str">
        <f>"20190312151241719"</f>
        <v>20190312151241719</v>
      </c>
      <c r="B924" t="str">
        <f>"1552374761710969"</f>
        <v>1552374761710969</v>
      </c>
      <c r="C924" t="s">
        <v>40</v>
      </c>
      <c r="D924">
        <v>4.3593199999999896</v>
      </c>
      <c r="E924">
        <v>0.51982470000000003</v>
      </c>
      <c r="F924" t="s">
        <v>42</v>
      </c>
      <c r="G924">
        <v>-231.55510000000001</v>
      </c>
      <c r="H924" s="1">
        <v>-4.3978630000000003E-6</v>
      </c>
      <c r="I924">
        <v>365.14749999999998</v>
      </c>
      <c r="J924">
        <v>-243.9615</v>
      </c>
      <c r="K924">
        <v>1.110654</v>
      </c>
      <c r="L924">
        <v>367.48579999999998</v>
      </c>
      <c r="M924">
        <v>0.9998707</v>
      </c>
      <c r="N924">
        <v>0</v>
      </c>
      <c r="O924">
        <v>6.6042760000000001E-3</v>
      </c>
      <c r="P924">
        <v>0.98548630000000004</v>
      </c>
      <c r="Q924">
        <v>0.11128250000000001</v>
      </c>
      <c r="R924">
        <v>-0.128193</v>
      </c>
      <c r="S924">
        <v>3.001541</v>
      </c>
      <c r="T924">
        <v>-0.26372780000000001</v>
      </c>
      <c r="U924">
        <v>-0.55487059999999999</v>
      </c>
      <c r="V924">
        <v>0.13471060000000001</v>
      </c>
      <c r="W924">
        <v>0.12570019999999901</v>
      </c>
      <c r="X924">
        <v>0.98287970000000002</v>
      </c>
      <c r="Y924">
        <v>0.1875493</v>
      </c>
      <c r="Z924">
        <v>-8.7293660000000006E-3</v>
      </c>
      <c r="AA924">
        <v>0.98221639999999999</v>
      </c>
      <c r="AB924">
        <v>23</v>
      </c>
      <c r="AC924">
        <v>12.4063999999999</v>
      </c>
      <c r="AD924">
        <v>-1.110658397863</v>
      </c>
      <c r="AE924">
        <v>-2.3382999999999998</v>
      </c>
      <c r="AF924">
        <v>2.4016059985527898</v>
      </c>
      <c r="AG924">
        <v>-1.110658397863</v>
      </c>
      <c r="AH924">
        <v>12.2955244236366</v>
      </c>
      <c r="AI924">
        <v>95.066310475936703</v>
      </c>
      <c r="AJ924">
        <v>78.947930790654496</v>
      </c>
      <c r="AK924">
        <v>12.577010547076499</v>
      </c>
      <c r="AL924">
        <v>82.778806731548897</v>
      </c>
      <c r="AM924">
        <v>82.195832774350606</v>
      </c>
      <c r="AN924">
        <v>0.99999999535224404</v>
      </c>
    </row>
    <row r="925" spans="1:40" x14ac:dyDescent="0.25">
      <c r="A925" t="str">
        <f>"20190312151241742"</f>
        <v>20190312151241742</v>
      </c>
      <c r="B925" t="str">
        <f>"1552374761730489"</f>
        <v>1552374761730489</v>
      </c>
      <c r="C925" t="s">
        <v>40</v>
      </c>
      <c r="D925">
        <v>4.3308119999999999</v>
      </c>
      <c r="E925">
        <v>0.52067330000000001</v>
      </c>
      <c r="F925" t="s">
        <v>42</v>
      </c>
      <c r="G925">
        <v>-231.33099999999999</v>
      </c>
      <c r="H925" s="1">
        <v>-4.499603E-6</v>
      </c>
      <c r="I925">
        <v>365.11590000000001</v>
      </c>
      <c r="J925">
        <v>-243.73390000000001</v>
      </c>
      <c r="K925">
        <v>1.1106609999999999</v>
      </c>
      <c r="L925">
        <v>367.48719999999997</v>
      </c>
      <c r="M925">
        <v>0.99987099999999995</v>
      </c>
      <c r="N925">
        <v>0</v>
      </c>
      <c r="O925">
        <v>6.5710439999999998E-3</v>
      </c>
      <c r="P925">
        <v>0.98543440000000004</v>
      </c>
      <c r="Q925">
        <v>0.1116299</v>
      </c>
      <c r="R925">
        <v>-0.12828919999999999</v>
      </c>
      <c r="S925">
        <v>3.0007480000000002</v>
      </c>
      <c r="T925">
        <v>-0.26386859999999901</v>
      </c>
      <c r="U925">
        <v>-0.56301880000000004</v>
      </c>
      <c r="V925">
        <v>0.134774</v>
      </c>
      <c r="W925">
        <v>0.12604360000000001</v>
      </c>
      <c r="X925">
        <v>0.98282700000000001</v>
      </c>
      <c r="Y925">
        <v>0.19012989999999999</v>
      </c>
      <c r="Z925">
        <v>-8.8435049999999998E-3</v>
      </c>
      <c r="AA925">
        <v>0.98171909999999896</v>
      </c>
      <c r="AB925">
        <v>23</v>
      </c>
      <c r="AC925">
        <v>12.402900000000001</v>
      </c>
      <c r="AD925">
        <v>-1.1106654996030001</v>
      </c>
      <c r="AE925">
        <v>-2.3712999999999602</v>
      </c>
      <c r="AF925">
        <v>2.4339281623026001</v>
      </c>
      <c r="AG925">
        <v>-1.1106654996030001</v>
      </c>
      <c r="AH925">
        <v>12.291955388679099</v>
      </c>
      <c r="AI925">
        <v>95.065242544787495</v>
      </c>
      <c r="AJ925">
        <v>78.799751265122097</v>
      </c>
      <c r="AK925">
        <v>12.5797357455765</v>
      </c>
      <c r="AL925">
        <v>82.758973404772902</v>
      </c>
      <c r="AM925">
        <v>82.191791628201301</v>
      </c>
      <c r="AN925">
        <v>0.99999996605297903</v>
      </c>
    </row>
    <row r="926" spans="1:40" x14ac:dyDescent="0.25">
      <c r="A926" t="str">
        <f>"20190312151241765"</f>
        <v>20190312151241765</v>
      </c>
      <c r="B926" t="str">
        <f>"1552374761760747"</f>
        <v>1552374761760747</v>
      </c>
      <c r="C926" t="s">
        <v>40</v>
      </c>
      <c r="D926">
        <v>4.3194100000000004</v>
      </c>
      <c r="E926">
        <v>0.52182529999999905</v>
      </c>
      <c r="F926" t="s">
        <v>42</v>
      </c>
      <c r="G926">
        <v>-231.03149999999999</v>
      </c>
      <c r="H926" s="1">
        <v>-4.6354440000000001E-6</v>
      </c>
      <c r="I926">
        <v>365.0745</v>
      </c>
      <c r="J926">
        <v>-243.49080000000001</v>
      </c>
      <c r="K926">
        <v>1.110663</v>
      </c>
      <c r="L926">
        <v>367.48880000000003</v>
      </c>
      <c r="M926">
        <v>0.99987130000000002</v>
      </c>
      <c r="N926">
        <v>0</v>
      </c>
      <c r="O926">
        <v>6.5354330000000002E-3</v>
      </c>
      <c r="P926">
        <v>0.98541920000000005</v>
      </c>
      <c r="Q926">
        <v>0.1114826</v>
      </c>
      <c r="R926">
        <v>-0.12853419999999999</v>
      </c>
      <c r="S926">
        <v>2.9998629999999999</v>
      </c>
      <c r="T926">
        <v>-0.26229829999999998</v>
      </c>
      <c r="U926">
        <v>-0.56979369999999996</v>
      </c>
      <c r="V926">
        <v>0.13498370000000001</v>
      </c>
      <c r="W926">
        <v>0.1258918</v>
      </c>
      <c r="X926">
        <v>0.98281770000000002</v>
      </c>
      <c r="Y926">
        <v>0.1922886</v>
      </c>
      <c r="Z926">
        <v>-8.8820879999999998E-3</v>
      </c>
      <c r="AA926">
        <v>0.98129820000000001</v>
      </c>
      <c r="AB926">
        <v>23</v>
      </c>
      <c r="AC926">
        <v>12.459300000000001</v>
      </c>
      <c r="AD926">
        <v>-1.1106676354439999</v>
      </c>
      <c r="AE926">
        <v>-2.4143000000000199</v>
      </c>
      <c r="AF926">
        <v>2.4767149145195901</v>
      </c>
      <c r="AG926">
        <v>-1.1106676354439999</v>
      </c>
      <c r="AH926">
        <v>12.3486750855088</v>
      </c>
      <c r="AI926">
        <v>95.039650499241006</v>
      </c>
      <c r="AJ926">
        <v>78.658930959371304</v>
      </c>
      <c r="AK926">
        <v>12.643475619136201</v>
      </c>
      <c r="AL926">
        <v>82.7677409016068</v>
      </c>
      <c r="AM926">
        <v>82.179719664149701</v>
      </c>
      <c r="AN926">
        <v>0.99999998800310996</v>
      </c>
    </row>
    <row r="927" spans="1:40" x14ac:dyDescent="0.25">
      <c r="A927" t="str">
        <f>"20190312151241789"</f>
        <v>20190312151241789</v>
      </c>
      <c r="B927" t="str">
        <f>"1552374761780266"</f>
        <v>1552374761780266</v>
      </c>
      <c r="C927" t="s">
        <v>40</v>
      </c>
      <c r="D927">
        <v>4.2922739999999999</v>
      </c>
      <c r="E927">
        <v>0.52220800000000001</v>
      </c>
      <c r="F927" t="s">
        <v>42</v>
      </c>
      <c r="G927">
        <v>-230.83369999999999</v>
      </c>
      <c r="H927" s="1">
        <v>-4.7261049999999999E-6</v>
      </c>
      <c r="I927">
        <v>365.04169999999999</v>
      </c>
      <c r="J927">
        <v>-243.2559</v>
      </c>
      <c r="K927">
        <v>1.110663</v>
      </c>
      <c r="L927">
        <v>367.49029999999999</v>
      </c>
      <c r="M927">
        <v>0.99987159999999997</v>
      </c>
      <c r="N927">
        <v>0</v>
      </c>
      <c r="O927">
        <v>6.5008409999999898E-3</v>
      </c>
      <c r="P927">
        <v>0.98537609999999998</v>
      </c>
      <c r="Q927">
        <v>0.1113489</v>
      </c>
      <c r="R927">
        <v>-0.12897939999999999</v>
      </c>
      <c r="S927">
        <v>2.998535</v>
      </c>
      <c r="T927">
        <v>-0.26312219999999997</v>
      </c>
      <c r="U927">
        <v>-0.57971189999999995</v>
      </c>
      <c r="V927">
        <v>0.1353946</v>
      </c>
      <c r="W927">
        <v>0.12575410000000001</v>
      </c>
      <c r="X927">
        <v>0.98277879999999995</v>
      </c>
      <c r="Y927">
        <v>0.1954478</v>
      </c>
      <c r="Z927">
        <v>-9.0450840000000001E-3</v>
      </c>
      <c r="AA927">
        <v>0.9806724</v>
      </c>
      <c r="AB927">
        <v>23</v>
      </c>
      <c r="AC927">
        <v>12.4222</v>
      </c>
      <c r="AD927">
        <v>-1.110667726105</v>
      </c>
      <c r="AE927">
        <v>-2.4485999999999901</v>
      </c>
      <c r="AF927">
        <v>2.5099968759542501</v>
      </c>
      <c r="AG927">
        <v>-1.110667726105</v>
      </c>
      <c r="AH927">
        <v>12.3112807322886</v>
      </c>
      <c r="AI927">
        <v>95.051643976284396</v>
      </c>
      <c r="AJ927">
        <v>78.476591380083505</v>
      </c>
      <c r="AK927">
        <v>12.613536394855</v>
      </c>
      <c r="AL927">
        <v>82.775693679879396</v>
      </c>
      <c r="AM927">
        <v>82.155903450055305</v>
      </c>
      <c r="AN927">
        <v>0.999999980552704</v>
      </c>
    </row>
    <row r="928" spans="1:40" x14ac:dyDescent="0.25">
      <c r="A928" t="str">
        <f>"20190312151241810"</f>
        <v>20190312151241810</v>
      </c>
      <c r="B928" t="str">
        <f>"1552374761800295"</f>
        <v>1552374761800295</v>
      </c>
      <c r="C928" t="s">
        <v>40</v>
      </c>
      <c r="D928">
        <v>4.2762529999999996</v>
      </c>
      <c r="E928">
        <v>0.52255490000000004</v>
      </c>
      <c r="F928" t="s">
        <v>42</v>
      </c>
      <c r="G928">
        <v>-230.66550000000001</v>
      </c>
      <c r="H928" s="1">
        <v>-4.7990780000000002E-6</v>
      </c>
      <c r="I928">
        <v>365.03719999999998</v>
      </c>
      <c r="J928">
        <v>-243.0299</v>
      </c>
      <c r="K928">
        <v>1.110657</v>
      </c>
      <c r="L928">
        <v>367.49169999999998</v>
      </c>
      <c r="M928">
        <v>0.99987170000000003</v>
      </c>
      <c r="N928">
        <v>0</v>
      </c>
      <c r="O928">
        <v>6.4682680000000001E-3</v>
      </c>
      <c r="P928">
        <v>0.98535779999999995</v>
      </c>
      <c r="Q928">
        <v>0.1114182</v>
      </c>
      <c r="R928">
        <v>-0.1290588</v>
      </c>
      <c r="S928">
        <v>2.9979710000000002</v>
      </c>
      <c r="T928">
        <v>-0.26446550000000002</v>
      </c>
      <c r="U928">
        <v>-0.58410640000000003</v>
      </c>
      <c r="V928">
        <v>0.13544149999999999</v>
      </c>
      <c r="W928">
        <v>0.12581899999999999</v>
      </c>
      <c r="X928">
        <v>0.98276410000000003</v>
      </c>
      <c r="Y928">
        <v>0.19682279999999999</v>
      </c>
      <c r="Z928">
        <v>-9.1486380000000006E-3</v>
      </c>
      <c r="AA928">
        <v>0.98039639999999995</v>
      </c>
      <c r="AB928">
        <v>23</v>
      </c>
      <c r="AC928">
        <v>12.3643999999999</v>
      </c>
      <c r="AD928">
        <v>-1.1106617990779999</v>
      </c>
      <c r="AE928">
        <v>-2.4544999999999901</v>
      </c>
      <c r="AF928">
        <v>2.5149101416934898</v>
      </c>
      <c r="AG928">
        <v>-1.1106617990779999</v>
      </c>
      <c r="AH928">
        <v>12.2531416201487</v>
      </c>
      <c r="AI928">
        <v>95.074105020451995</v>
      </c>
      <c r="AJ928">
        <v>78.401339870388199</v>
      </c>
      <c r="AK928">
        <v>12.557779350512</v>
      </c>
      <c r="AL928">
        <v>82.771945905961502</v>
      </c>
      <c r="AM928">
        <v>82.153104228575998</v>
      </c>
      <c r="AN928">
        <v>1.0000000484660201</v>
      </c>
    </row>
    <row r="929" spans="1:40" x14ac:dyDescent="0.25">
      <c r="A929" t="str">
        <f>"20190312151241831"</f>
        <v>20190312151241831</v>
      </c>
      <c r="B929" t="str">
        <f>"1552374761820790"</f>
        <v>1552374761820790</v>
      </c>
      <c r="C929" t="s">
        <v>40</v>
      </c>
      <c r="D929">
        <v>4.3217819999999998</v>
      </c>
      <c r="E929">
        <v>0.52287280000000003</v>
      </c>
      <c r="F929" t="s">
        <v>42</v>
      </c>
      <c r="G929">
        <v>-230.43549999999999</v>
      </c>
      <c r="H929" s="1">
        <v>-4.8996889999999998E-6</v>
      </c>
      <c r="I929">
        <v>365.02609999999999</v>
      </c>
      <c r="J929">
        <v>-242.80889999999999</v>
      </c>
      <c r="K929">
        <v>1.110657</v>
      </c>
      <c r="L929">
        <v>367.49310000000003</v>
      </c>
      <c r="M929">
        <v>0.99987210000000004</v>
      </c>
      <c r="N929">
        <v>0</v>
      </c>
      <c r="O929">
        <v>6.4354059999999899E-3</v>
      </c>
      <c r="P929">
        <v>0.98529560000000005</v>
      </c>
      <c r="Q929">
        <v>0.1117278</v>
      </c>
      <c r="R929">
        <v>-0.12926660000000001</v>
      </c>
      <c r="S929">
        <v>2.9975740000000002</v>
      </c>
      <c r="T929">
        <v>-0.26434530000000001</v>
      </c>
      <c r="U929">
        <v>-0.58682250000000002</v>
      </c>
      <c r="V929">
        <v>0.13561670000000001</v>
      </c>
      <c r="W929">
        <v>0.1261236</v>
      </c>
      <c r="X929">
        <v>0.98270080000000004</v>
      </c>
      <c r="Y929">
        <v>0.19766810000000001</v>
      </c>
      <c r="Z929">
        <v>-9.1788830000000005E-3</v>
      </c>
      <c r="AA929">
        <v>0.98022600000000004</v>
      </c>
      <c r="AB929">
        <v>23</v>
      </c>
      <c r="AC929">
        <v>12.3734</v>
      </c>
      <c r="AD929">
        <v>-1.1106618996889901</v>
      </c>
      <c r="AE929">
        <v>-2.46700000000004</v>
      </c>
      <c r="AF929">
        <v>2.5270030871236702</v>
      </c>
      <c r="AG929">
        <v>-1.1106618996889901</v>
      </c>
      <c r="AH929">
        <v>12.2622435246563</v>
      </c>
      <c r="AI929">
        <v>95.069528937722197</v>
      </c>
      <c r="AJ929">
        <v>78.355502836820506</v>
      </c>
      <c r="AK929">
        <v>12.5690863118895</v>
      </c>
      <c r="AL929">
        <v>82.754352803094207</v>
      </c>
      <c r="AM929">
        <v>82.1425808094925</v>
      </c>
      <c r="AN929">
        <v>0.99999995705824396</v>
      </c>
    </row>
    <row r="930" spans="1:40" x14ac:dyDescent="0.25">
      <c r="A930" t="str">
        <f>"20190312151241853"</f>
        <v>20190312151241853</v>
      </c>
      <c r="B930" t="str">
        <f>"1552374761851046"</f>
        <v>1552374761851046</v>
      </c>
      <c r="C930" t="s">
        <v>40</v>
      </c>
      <c r="D930">
        <v>4.3053850000000002</v>
      </c>
      <c r="E930">
        <v>0.52326510000000004</v>
      </c>
      <c r="F930" t="s">
        <v>42</v>
      </c>
      <c r="G930">
        <v>-230.1833</v>
      </c>
      <c r="H930" s="1">
        <v>-5.0111080000000004E-6</v>
      </c>
      <c r="I930">
        <v>365.00790000000001</v>
      </c>
      <c r="J930">
        <v>-242.5857</v>
      </c>
      <c r="K930">
        <v>1.110657</v>
      </c>
      <c r="L930">
        <v>367.49450000000002</v>
      </c>
      <c r="M930">
        <v>0.99987239999999999</v>
      </c>
      <c r="N930">
        <v>0</v>
      </c>
      <c r="O930">
        <v>6.4024850000000003E-3</v>
      </c>
      <c r="P930">
        <v>0.98520189999999996</v>
      </c>
      <c r="Q930">
        <v>0.1123406</v>
      </c>
      <c r="R930">
        <v>-0.12945009999999901</v>
      </c>
      <c r="S930">
        <v>2.9972690000000002</v>
      </c>
      <c r="T930">
        <v>-0.26366509999999999</v>
      </c>
      <c r="U930">
        <v>-0.58996579999999998</v>
      </c>
      <c r="V930">
        <v>0.1357671</v>
      </c>
      <c r="W930">
        <v>0.1267305</v>
      </c>
      <c r="X930">
        <v>0.98260199999999998</v>
      </c>
      <c r="Y930">
        <v>0.19864480000000001</v>
      </c>
      <c r="Z930">
        <v>-9.1949649999999994E-3</v>
      </c>
      <c r="AA930">
        <v>0.98002840000000002</v>
      </c>
      <c r="AB930">
        <v>23</v>
      </c>
      <c r="AC930">
        <v>12.4024</v>
      </c>
      <c r="AD930">
        <v>-1.1106620111079999</v>
      </c>
      <c r="AE930">
        <v>-2.4866000000000099</v>
      </c>
      <c r="AF930">
        <v>2.5463322945880602</v>
      </c>
      <c r="AG930">
        <v>-1.1106620111079999</v>
      </c>
      <c r="AH930">
        <v>12.2914603596598</v>
      </c>
      <c r="AI930">
        <v>95.056462360168794</v>
      </c>
      <c r="AJ930">
        <v>78.296007585385695</v>
      </c>
      <c r="AK930">
        <v>12.601483088528401</v>
      </c>
      <c r="AL930">
        <v>82.719299086162493</v>
      </c>
      <c r="AM930">
        <v>82.133194870024198</v>
      </c>
      <c r="AN930">
        <v>1.00000000773833</v>
      </c>
    </row>
    <row r="931" spans="1:40" x14ac:dyDescent="0.25">
      <c r="A931" t="str">
        <f>"20190312151241876"</f>
        <v>20190312151241876</v>
      </c>
      <c r="B931" t="str">
        <f>"1552374761870569"</f>
        <v>1552374761870569</v>
      </c>
      <c r="C931" t="s">
        <v>40</v>
      </c>
      <c r="D931">
        <v>4.285107</v>
      </c>
      <c r="E931">
        <v>0.52350010000000002</v>
      </c>
      <c r="F931" t="s">
        <v>42</v>
      </c>
      <c r="G931">
        <v>-229.8236</v>
      </c>
      <c r="H931" s="1">
        <v>-1.282176E-6</v>
      </c>
      <c r="I931">
        <v>364.97089999999997</v>
      </c>
      <c r="J931">
        <v>-242.34970000000001</v>
      </c>
      <c r="K931">
        <v>1.11066</v>
      </c>
      <c r="L931">
        <v>367.49599999999998</v>
      </c>
      <c r="M931">
        <v>0.99987250000000005</v>
      </c>
      <c r="N931">
        <v>0</v>
      </c>
      <c r="O931">
        <v>6.3680730000000001E-3</v>
      </c>
      <c r="P931">
        <v>0.98514970000000002</v>
      </c>
      <c r="Q931">
        <v>0.1122238</v>
      </c>
      <c r="R931">
        <v>-0.1299458</v>
      </c>
      <c r="S931">
        <v>2.9969480000000002</v>
      </c>
      <c r="T931">
        <v>-0.26081500000000002</v>
      </c>
      <c r="U931">
        <v>-0.59262079999999995</v>
      </c>
      <c r="V931">
        <v>0.13622860000000001</v>
      </c>
      <c r="W931">
        <v>0.12660839999999901</v>
      </c>
      <c r="X931">
        <v>0.98255380000000003</v>
      </c>
      <c r="Y931">
        <v>0.19947999999999999</v>
      </c>
      <c r="Z931">
        <v>-9.1290880000000005E-3</v>
      </c>
      <c r="AA931">
        <v>0.97985940000000005</v>
      </c>
      <c r="AB931">
        <v>23</v>
      </c>
      <c r="AC931">
        <v>12.5261</v>
      </c>
      <c r="AD931">
        <v>-1.110661282176</v>
      </c>
      <c r="AE931">
        <v>-2.5251000000000001</v>
      </c>
      <c r="AF931">
        <v>2.5852926820639199</v>
      </c>
      <c r="AG931">
        <v>-1.110661282176</v>
      </c>
      <c r="AH931">
        <v>12.4159621326096</v>
      </c>
      <c r="AI931">
        <v>95.004962436557307</v>
      </c>
      <c r="AJ931">
        <v>78.237753070257796</v>
      </c>
      <c r="AK931">
        <v>12.7308060394483</v>
      </c>
      <c r="AL931">
        <v>82.726351244780702</v>
      </c>
      <c r="AM931">
        <v>82.106408164582902</v>
      </c>
      <c r="AN931">
        <v>0.99999994415147797</v>
      </c>
    </row>
    <row r="932" spans="1:40" x14ac:dyDescent="0.25">
      <c r="A932" t="str">
        <f>"20190312151241898"</f>
        <v>20190312151241898</v>
      </c>
      <c r="B932" t="str">
        <f>"1552374761890591"</f>
        <v>1552374761890591</v>
      </c>
      <c r="C932" t="s">
        <v>40</v>
      </c>
      <c r="D932">
        <v>4.3427540000000002</v>
      </c>
      <c r="E932">
        <v>0.52368859999999995</v>
      </c>
      <c r="F932" t="s">
        <v>42</v>
      </c>
      <c r="G932">
        <v>-229.63229999999999</v>
      </c>
      <c r="H932" s="1">
        <v>-1.3482240000000001E-6</v>
      </c>
      <c r="I932">
        <v>364.96730000000002</v>
      </c>
      <c r="J932">
        <v>-242.125</v>
      </c>
      <c r="K932">
        <v>1.1106640000000001</v>
      </c>
      <c r="L932">
        <v>367.49740000000003</v>
      </c>
      <c r="M932">
        <v>0.99987300000000001</v>
      </c>
      <c r="N932">
        <v>0</v>
      </c>
      <c r="O932">
        <v>6.3350289999999998E-3</v>
      </c>
      <c r="P932">
        <v>0.98521000000000003</v>
      </c>
      <c r="Q932">
        <v>0.1120906</v>
      </c>
      <c r="R932">
        <v>-0.12960479999999999</v>
      </c>
      <c r="S932">
        <v>2.996445</v>
      </c>
      <c r="T932">
        <v>-0.26168970000000003</v>
      </c>
      <c r="U932">
        <v>-0.59579469999999901</v>
      </c>
      <c r="V932">
        <v>0.13585539999999999</v>
      </c>
      <c r="W932">
        <v>0.12647169999999999</v>
      </c>
      <c r="X932">
        <v>0.98262320000000003</v>
      </c>
      <c r="Y932">
        <v>0.20046890000000001</v>
      </c>
      <c r="Z932">
        <v>-9.1999950000000007E-3</v>
      </c>
      <c r="AA932">
        <v>0.97965690000000005</v>
      </c>
      <c r="AB932">
        <v>23</v>
      </c>
      <c r="AC932">
        <v>12.492699999999999</v>
      </c>
      <c r="AD932">
        <v>-1.1106653482240001</v>
      </c>
      <c r="AE932">
        <v>-2.5301</v>
      </c>
      <c r="AF932">
        <v>2.5895377250145599</v>
      </c>
      <c r="AG932">
        <v>-1.1106653482240001</v>
      </c>
      <c r="AH932">
        <v>12.3824034579645</v>
      </c>
      <c r="AI932">
        <v>95.017570306912901</v>
      </c>
      <c r="AJ932">
        <v>78.187945908619497</v>
      </c>
      <c r="AK932">
        <v>12.698944780604</v>
      </c>
      <c r="AL932">
        <v>82.734247945347306</v>
      </c>
      <c r="AM932">
        <v>82.128310296367502</v>
      </c>
      <c r="AN932">
        <v>1.00000006689414</v>
      </c>
    </row>
    <row r="933" spans="1:40" x14ac:dyDescent="0.25">
      <c r="A933" t="str">
        <f>"20190312151241920"</f>
        <v>20190312151241920</v>
      </c>
      <c r="B933" t="str">
        <f>"1552374761911087"</f>
        <v>1552374761911087</v>
      </c>
      <c r="C933" t="s">
        <v>40</v>
      </c>
      <c r="D933">
        <v>4.2798629999999998</v>
      </c>
      <c r="E933">
        <v>0.52397819999999995</v>
      </c>
      <c r="F933" t="s">
        <v>42</v>
      </c>
      <c r="G933">
        <v>-229.5016</v>
      </c>
      <c r="H933" s="1">
        <v>-1.3881220000000001E-6</v>
      </c>
      <c r="I933">
        <v>364.98439999999999</v>
      </c>
      <c r="J933">
        <v>-241.89359999999999</v>
      </c>
      <c r="K933">
        <v>1.1106670000000001</v>
      </c>
      <c r="L933">
        <v>367.49880000000002</v>
      </c>
      <c r="M933">
        <v>0.99987309999999996</v>
      </c>
      <c r="N933">
        <v>0</v>
      </c>
      <c r="O933">
        <v>6.301096E-3</v>
      </c>
      <c r="P933">
        <v>0.98511490000000002</v>
      </c>
      <c r="Q933">
        <v>0.1124762</v>
      </c>
      <c r="R933">
        <v>-0.12999150000000001</v>
      </c>
      <c r="S933">
        <v>2.9965519999999999</v>
      </c>
      <c r="T933">
        <v>-0.26364919999999997</v>
      </c>
      <c r="U933">
        <v>-0.59652709999999998</v>
      </c>
      <c r="V933">
        <v>0.1362081</v>
      </c>
      <c r="W933">
        <v>0.12685109999999999</v>
      </c>
      <c r="X933">
        <v>0.98252539999999999</v>
      </c>
      <c r="Y933">
        <v>0.20064750000000001</v>
      </c>
      <c r="Z933">
        <v>-9.2729000000000006E-3</v>
      </c>
      <c r="AA933">
        <v>0.97961960000000003</v>
      </c>
      <c r="AB933">
        <v>23</v>
      </c>
      <c r="AC933">
        <v>12.3919999999999</v>
      </c>
      <c r="AD933">
        <v>-1.1106683881219901</v>
      </c>
      <c r="AE933">
        <v>-2.5144000000000202</v>
      </c>
      <c r="AF933">
        <v>2.57259277049996</v>
      </c>
      <c r="AG933">
        <v>-1.1106683881219901</v>
      </c>
      <c r="AH933">
        <v>12.281153508348</v>
      </c>
      <c r="AI933">
        <v>95.058389327454805</v>
      </c>
      <c r="AJ933">
        <v>78.169042008037493</v>
      </c>
      <c r="AK933">
        <v>12.596767415762301</v>
      </c>
      <c r="AL933">
        <v>82.712332974143095</v>
      </c>
      <c r="AM933">
        <v>82.107355784441495</v>
      </c>
      <c r="AN933">
        <v>1.0000000048609901</v>
      </c>
    </row>
    <row r="934" spans="1:40" x14ac:dyDescent="0.25">
      <c r="A934" t="str">
        <f>"20190312151241943"</f>
        <v>20190312151241943</v>
      </c>
      <c r="B934" t="str">
        <f>"1552374761940367"</f>
        <v>1552374761940367</v>
      </c>
      <c r="C934" t="s">
        <v>40</v>
      </c>
      <c r="D934">
        <v>4.2852690000000004</v>
      </c>
      <c r="E934">
        <v>0.52441199999999999</v>
      </c>
      <c r="F934" t="s">
        <v>42</v>
      </c>
      <c r="G934">
        <v>-229.21100000000001</v>
      </c>
      <c r="H934" s="1">
        <v>-1.493768E-6</v>
      </c>
      <c r="I934">
        <v>364.959</v>
      </c>
      <c r="J934">
        <v>-241.67019999999999</v>
      </c>
      <c r="K934">
        <v>1.1106689999999999</v>
      </c>
      <c r="L934">
        <v>367.50020000000001</v>
      </c>
      <c r="M934">
        <v>0.99987349999999997</v>
      </c>
      <c r="N934">
        <v>0</v>
      </c>
      <c r="O934">
        <v>6.2688839999999997E-3</v>
      </c>
      <c r="P934">
        <v>0.98512580000000005</v>
      </c>
      <c r="Q934">
        <v>0.1122929</v>
      </c>
      <c r="R934">
        <v>-0.13006719999999999</v>
      </c>
      <c r="S934">
        <v>2.99614</v>
      </c>
      <c r="T934">
        <v>-0.262382</v>
      </c>
      <c r="U934">
        <v>-0.59997559999999905</v>
      </c>
      <c r="V934">
        <v>0.13625219999999999</v>
      </c>
      <c r="W934">
        <v>0.12666279999999999</v>
      </c>
      <c r="X934">
        <v>0.98254359999999996</v>
      </c>
      <c r="Y934">
        <v>0.2017294</v>
      </c>
      <c r="Z934">
        <v>-9.2727480000000008E-3</v>
      </c>
      <c r="AA934">
        <v>0.97939739999999997</v>
      </c>
      <c r="AB934">
        <v>23</v>
      </c>
      <c r="AC934">
        <v>12.459199999999999</v>
      </c>
      <c r="AD934">
        <v>-1.1106704937680001</v>
      </c>
      <c r="AE934">
        <v>-2.5411999999999999</v>
      </c>
      <c r="AF934">
        <v>2.5994316399996298</v>
      </c>
      <c r="AG934">
        <v>-1.1106704937680001</v>
      </c>
      <c r="AH934">
        <v>12.34880922914</v>
      </c>
      <c r="AI934">
        <v>95.029795492937197</v>
      </c>
      <c r="AJ934">
        <v>78.112753339755997</v>
      </c>
      <c r="AK934">
        <v>12.668217047969</v>
      </c>
      <c r="AL934">
        <v>82.723209659186907</v>
      </c>
      <c r="AM934">
        <v>82.1049770094222</v>
      </c>
      <c r="AN934">
        <v>1.0000000264048099</v>
      </c>
    </row>
    <row r="935" spans="1:40" x14ac:dyDescent="0.25">
      <c r="A935" t="str">
        <f>"20190312151241966"</f>
        <v>20190312151241966</v>
      </c>
      <c r="B935" t="str">
        <f>"1552374761960863"</f>
        <v>1552374761960863</v>
      </c>
      <c r="C935" t="s">
        <v>40</v>
      </c>
      <c r="D935">
        <v>4.2801619999999998</v>
      </c>
      <c r="E935">
        <v>0.52464319999999998</v>
      </c>
      <c r="F935" t="s">
        <v>42</v>
      </c>
      <c r="G935">
        <v>-229.05099999999999</v>
      </c>
      <c r="H935" s="1">
        <v>-1.548467E-6</v>
      </c>
      <c r="I935">
        <v>364.9581</v>
      </c>
      <c r="J935">
        <v>-241.43379999999999</v>
      </c>
      <c r="K935">
        <v>1.11067</v>
      </c>
      <c r="L935">
        <v>367.5016</v>
      </c>
      <c r="M935">
        <v>0.99987369999999998</v>
      </c>
      <c r="N935">
        <v>0</v>
      </c>
      <c r="O935">
        <v>6.2339409999999998E-3</v>
      </c>
      <c r="P935">
        <v>0.98510419999999999</v>
      </c>
      <c r="Q935">
        <v>0.1119508</v>
      </c>
      <c r="R935">
        <v>-0.13052559999999999</v>
      </c>
      <c r="S935">
        <v>2.995682</v>
      </c>
      <c r="T935">
        <v>-0.26366220000000001</v>
      </c>
      <c r="U935">
        <v>-0.60345459999999995</v>
      </c>
      <c r="V935">
        <v>0.13667599999999999</v>
      </c>
      <c r="W935">
        <v>0.12631510000000001</v>
      </c>
      <c r="X935">
        <v>0.98252949999999994</v>
      </c>
      <c r="Y935">
        <v>0.20280580000000001</v>
      </c>
      <c r="Z935">
        <v>-9.3619289999999997E-3</v>
      </c>
      <c r="AA935">
        <v>0.97917419999999999</v>
      </c>
      <c r="AB935">
        <v>23</v>
      </c>
      <c r="AC935">
        <v>12.3828</v>
      </c>
      <c r="AD935">
        <v>-1.110671548467</v>
      </c>
      <c r="AE935">
        <v>-2.5434999999999901</v>
      </c>
      <c r="AF935">
        <v>2.6005774492797502</v>
      </c>
      <c r="AG935">
        <v>-1.110671548467</v>
      </c>
      <c r="AH935">
        <v>12.2719688368592</v>
      </c>
      <c r="AI935">
        <v>95.059694467002501</v>
      </c>
      <c r="AJ935">
        <v>78.035338927989798</v>
      </c>
      <c r="AK935">
        <v>12.593562382865301</v>
      </c>
      <c r="AL935">
        <v>82.743292704457005</v>
      </c>
      <c r="AM935">
        <v>82.080619146664702</v>
      </c>
      <c r="AN935">
        <v>1.00000002591712</v>
      </c>
    </row>
    <row r="936" spans="1:40" x14ac:dyDescent="0.25">
      <c r="A936" t="str">
        <f>"20190312151241989"</f>
        <v>20190312151241989</v>
      </c>
      <c r="B936" t="str">
        <f>"1552374761980383"</f>
        <v>1552374761980383</v>
      </c>
      <c r="C936" t="s">
        <v>40</v>
      </c>
      <c r="D936">
        <v>4.2982110000000002</v>
      </c>
      <c r="E936">
        <v>0.52482220000000002</v>
      </c>
      <c r="F936" t="s">
        <v>42</v>
      </c>
      <c r="G936">
        <v>-228.8648</v>
      </c>
      <c r="H936" s="1">
        <v>-1.6125090000000001E-6</v>
      </c>
      <c r="I936">
        <v>364.95549999999997</v>
      </c>
      <c r="J936">
        <v>-241.19800000000001</v>
      </c>
      <c r="K936">
        <v>1.1106720000000001</v>
      </c>
      <c r="L936">
        <v>367.50299999999999</v>
      </c>
      <c r="M936">
        <v>0.99987420000000005</v>
      </c>
      <c r="N936">
        <v>0</v>
      </c>
      <c r="O936">
        <v>6.1992339999999996E-3</v>
      </c>
      <c r="P936">
        <v>0.98510050000000005</v>
      </c>
      <c r="Q936">
        <v>0.1119646</v>
      </c>
      <c r="R936">
        <v>-0.13054279999999999</v>
      </c>
      <c r="S936">
        <v>2.9950869999999998</v>
      </c>
      <c r="T936">
        <v>-0.26466230000000002</v>
      </c>
      <c r="U936">
        <v>-0.60668949999999999</v>
      </c>
      <c r="V936">
        <v>0.1366588</v>
      </c>
      <c r="W936">
        <v>0.12632409999999999</v>
      </c>
      <c r="X936">
        <v>0.98253069999999998</v>
      </c>
      <c r="Y936">
        <v>0.20381579999999999</v>
      </c>
      <c r="Z936">
        <v>-9.4392009999999995E-3</v>
      </c>
      <c r="AA936">
        <v>0.97896369999999999</v>
      </c>
      <c r="AB936">
        <v>23</v>
      </c>
      <c r="AC936">
        <v>12.3331999999999</v>
      </c>
      <c r="AD936">
        <v>-1.110673612509</v>
      </c>
      <c r="AE936">
        <v>-2.54750000000007</v>
      </c>
      <c r="AF936">
        <v>2.6036638905592802</v>
      </c>
      <c r="AG936">
        <v>-1.110673612509</v>
      </c>
      <c r="AH936">
        <v>12.2221033672287</v>
      </c>
      <c r="AI936">
        <v>95.079091740786197</v>
      </c>
      <c r="AJ936">
        <v>77.974097451294</v>
      </c>
      <c r="AK936">
        <v>12.5456156583784</v>
      </c>
      <c r="AL936">
        <v>82.742772624770296</v>
      </c>
      <c r="AM936">
        <v>82.081612667502895</v>
      </c>
      <c r="AN936">
        <v>0.99999999115036997</v>
      </c>
    </row>
    <row r="937" spans="1:40" x14ac:dyDescent="0.25">
      <c r="A937" t="str">
        <f>"20190312151242011"</f>
        <v>20190312151242011</v>
      </c>
      <c r="B937" t="str">
        <f>"1552374762000409"</f>
        <v>1552374762000409</v>
      </c>
      <c r="C937" t="s">
        <v>40</v>
      </c>
      <c r="D937">
        <v>4.2859239999999996</v>
      </c>
      <c r="E937">
        <v>0.52501569999999997</v>
      </c>
      <c r="F937" t="s">
        <v>42</v>
      </c>
      <c r="G937">
        <v>-228.65129999999999</v>
      </c>
      <c r="H937" s="1">
        <v>-1.6850899999999999E-6</v>
      </c>
      <c r="I937">
        <v>364.95589999999999</v>
      </c>
      <c r="J937">
        <v>-240.98140000000001</v>
      </c>
      <c r="K937">
        <v>1.110671</v>
      </c>
      <c r="L937">
        <v>367.5043</v>
      </c>
      <c r="M937">
        <v>0.99987420000000005</v>
      </c>
      <c r="N937">
        <v>0</v>
      </c>
      <c r="O937">
        <v>6.1678000000000002E-3</v>
      </c>
      <c r="P937">
        <v>0.98509530000000001</v>
      </c>
      <c r="Q937">
        <v>0.1118716</v>
      </c>
      <c r="R937">
        <v>-0.13066</v>
      </c>
      <c r="S937">
        <v>2.9949490000000001</v>
      </c>
      <c r="T937">
        <v>-0.26512059999999998</v>
      </c>
      <c r="U937">
        <v>-0.60800169999999998</v>
      </c>
      <c r="V937">
        <v>0.13674510000000001</v>
      </c>
      <c r="W937">
        <v>0.1262267</v>
      </c>
      <c r="X937">
        <v>0.98253120000000005</v>
      </c>
      <c r="Y937">
        <v>0.20420179999999999</v>
      </c>
      <c r="Z937">
        <v>-9.4696339999999993E-3</v>
      </c>
      <c r="AA937">
        <v>0.97888299999999995</v>
      </c>
      <c r="AB937">
        <v>23</v>
      </c>
      <c r="AC937">
        <v>12.3301</v>
      </c>
      <c r="AD937">
        <v>-1.1106726850899999</v>
      </c>
      <c r="AE937">
        <v>-2.5484000000000102</v>
      </c>
      <c r="AF937">
        <v>2.6041446494677198</v>
      </c>
      <c r="AG937">
        <v>-1.1106726850899999</v>
      </c>
      <c r="AH937">
        <v>12.2190610894529</v>
      </c>
      <c r="AI937">
        <v>95.080250324881604</v>
      </c>
      <c r="AJ937">
        <v>77.969034087775796</v>
      </c>
      <c r="AK937">
        <v>12.5427515751743</v>
      </c>
      <c r="AL937">
        <v>82.748398188610693</v>
      </c>
      <c r="AM937">
        <v>82.076679676822906</v>
      </c>
      <c r="AN937">
        <v>0.99999998057016903</v>
      </c>
    </row>
    <row r="938" spans="1:40" x14ac:dyDescent="0.25">
      <c r="A938" t="str">
        <f>"20190312151242032"</f>
        <v>20190312151242032</v>
      </c>
      <c r="B938" t="str">
        <f>"1552374762020906"</f>
        <v>1552374762020906</v>
      </c>
      <c r="C938" t="s">
        <v>40</v>
      </c>
      <c r="D938">
        <v>4.296062</v>
      </c>
      <c r="E938">
        <v>0.52523469999999906</v>
      </c>
      <c r="F938" t="s">
        <v>42</v>
      </c>
      <c r="G938">
        <v>-228.46639999999999</v>
      </c>
      <c r="H938" s="1">
        <v>-1.7477659999999999E-6</v>
      </c>
      <c r="I938">
        <v>364.95679999999999</v>
      </c>
      <c r="J938">
        <v>-240.7629</v>
      </c>
      <c r="K938">
        <v>1.1106659999999999</v>
      </c>
      <c r="L938">
        <v>367.50560000000002</v>
      </c>
      <c r="M938">
        <v>0.99987470000000001</v>
      </c>
      <c r="N938">
        <v>0</v>
      </c>
      <c r="O938">
        <v>6.1359479999999996E-3</v>
      </c>
      <c r="P938">
        <v>0.98513510000000004</v>
      </c>
      <c r="Q938">
        <v>0.1118347</v>
      </c>
      <c r="R938">
        <v>-0.1303917</v>
      </c>
      <c r="S938">
        <v>2.9947360000000001</v>
      </c>
      <c r="T938">
        <v>-0.26577319999999999</v>
      </c>
      <c r="U938">
        <v>-0.60958859999999904</v>
      </c>
      <c r="V938">
        <v>0.1364457</v>
      </c>
      <c r="W938">
        <v>0.12618509999999999</v>
      </c>
      <c r="X938">
        <v>0.98257819999999996</v>
      </c>
      <c r="Y938">
        <v>0.20467669999999999</v>
      </c>
      <c r="Z938">
        <v>-9.5110520000000007E-3</v>
      </c>
      <c r="AA938">
        <v>0.97878339999999997</v>
      </c>
      <c r="AB938">
        <v>23</v>
      </c>
      <c r="AC938">
        <v>12.2965</v>
      </c>
      <c r="AD938">
        <v>-1.1106677477660001</v>
      </c>
      <c r="AE938">
        <v>-2.5488000000000199</v>
      </c>
      <c r="AF938">
        <v>2.6038426256889098</v>
      </c>
      <c r="AG938">
        <v>-1.1106677477660001</v>
      </c>
      <c r="AH938">
        <v>12.1853100507655</v>
      </c>
      <c r="AI938">
        <v>95.093640317488394</v>
      </c>
      <c r="AJ938">
        <v>77.938043479120594</v>
      </c>
      <c r="AK938">
        <v>12.5098105620576</v>
      </c>
      <c r="AL938">
        <v>82.750801147320104</v>
      </c>
      <c r="AM938">
        <v>82.0941813744667</v>
      </c>
      <c r="AN938">
        <v>1.00000001381287</v>
      </c>
    </row>
    <row r="939" spans="1:40" x14ac:dyDescent="0.25">
      <c r="A939" t="str">
        <f>"20190312151242055"</f>
        <v>20190312151242055</v>
      </c>
      <c r="B939" t="str">
        <f>"1552374762051162"</f>
        <v>1552374762051162</v>
      </c>
      <c r="C939" t="s">
        <v>40</v>
      </c>
      <c r="D939">
        <v>4.286734</v>
      </c>
      <c r="E939">
        <v>0.52548519999999999</v>
      </c>
      <c r="F939" t="s">
        <v>42</v>
      </c>
      <c r="G939">
        <v>-228.2732</v>
      </c>
      <c r="H939" s="1">
        <v>-1.813006E-6</v>
      </c>
      <c r="I939">
        <v>364.95870000000002</v>
      </c>
      <c r="J939">
        <v>-240.54069999999999</v>
      </c>
      <c r="K939">
        <v>1.110662</v>
      </c>
      <c r="L939">
        <v>367.50700000000001</v>
      </c>
      <c r="M939">
        <v>0.99987479999999995</v>
      </c>
      <c r="N939">
        <v>0</v>
      </c>
      <c r="O939">
        <v>6.1032109999999999E-3</v>
      </c>
      <c r="P939">
        <v>0.98520319999999995</v>
      </c>
      <c r="Q939">
        <v>0.1118219</v>
      </c>
      <c r="R939">
        <v>-0.12988640000000001</v>
      </c>
      <c r="S939">
        <v>2.994659</v>
      </c>
      <c r="T939">
        <v>-0.26630310000000001</v>
      </c>
      <c r="U939">
        <v>-0.61065669999999905</v>
      </c>
      <c r="V939">
        <v>0.13590859999999999</v>
      </c>
      <c r="W939">
        <v>0.12616849999999999</v>
      </c>
      <c r="X939">
        <v>0.98265480000000005</v>
      </c>
      <c r="Y939">
        <v>0.20498060000000001</v>
      </c>
      <c r="Z939">
        <v>-9.5403120000000004E-3</v>
      </c>
      <c r="AA939">
        <v>0.97871949999999996</v>
      </c>
      <c r="AB939">
        <v>23</v>
      </c>
      <c r="AC939">
        <v>12.267499999999901</v>
      </c>
      <c r="AD939">
        <v>-1.110663813006</v>
      </c>
      <c r="AE939">
        <v>-2.5482999999999199</v>
      </c>
      <c r="AF939">
        <v>2.6026800726446502</v>
      </c>
      <c r="AG939">
        <v>-1.110663813006</v>
      </c>
      <c r="AH939">
        <v>12.1561949445971</v>
      </c>
      <c r="AI939">
        <v>95.105325321863504</v>
      </c>
      <c r="AJ939">
        <v>77.9152422369215</v>
      </c>
      <c r="AK939">
        <v>12.4812096047262</v>
      </c>
      <c r="AL939">
        <v>82.751760161487695</v>
      </c>
      <c r="AM939">
        <v>82.125516520899495</v>
      </c>
      <c r="AN939">
        <v>1.00000004695462</v>
      </c>
    </row>
    <row r="940" spans="1:40" x14ac:dyDescent="0.25">
      <c r="A940" t="str">
        <f>"20190312151242077"</f>
        <v>20190312151242077</v>
      </c>
      <c r="B940" t="str">
        <f>"1552374762070683"</f>
        <v>1552374762070683</v>
      </c>
      <c r="C940" t="s">
        <v>40</v>
      </c>
      <c r="D940">
        <v>4.3291000000000004</v>
      </c>
      <c r="E940">
        <v>0.52568700000000002</v>
      </c>
      <c r="F940" t="s">
        <v>42</v>
      </c>
      <c r="G940">
        <v>-227.959</v>
      </c>
      <c r="H940" s="1">
        <v>-1.925399E-6</v>
      </c>
      <c r="I940">
        <v>364.93819999999999</v>
      </c>
      <c r="J940">
        <v>-240.31659999999999</v>
      </c>
      <c r="K940">
        <v>1.1106590000000001</v>
      </c>
      <c r="L940">
        <v>367.50830000000002</v>
      </c>
      <c r="M940">
        <v>0.99987510000000002</v>
      </c>
      <c r="N940">
        <v>0</v>
      </c>
      <c r="O940">
        <v>6.0704720000000004E-3</v>
      </c>
      <c r="P940">
        <v>0.98537750000000002</v>
      </c>
      <c r="Q940">
        <v>0.1110932</v>
      </c>
      <c r="R940">
        <v>-0.12918930000000001</v>
      </c>
      <c r="S940">
        <v>2.9944760000000001</v>
      </c>
      <c r="T940">
        <v>-0.26433719999999999</v>
      </c>
      <c r="U940">
        <v>-0.61135859999999997</v>
      </c>
      <c r="V940">
        <v>0.1351801</v>
      </c>
      <c r="W940">
        <v>0.1254372</v>
      </c>
      <c r="X940">
        <v>0.98284879999999997</v>
      </c>
      <c r="Y940">
        <v>0.2051915</v>
      </c>
      <c r="Z940">
        <v>-9.4768390000000008E-3</v>
      </c>
      <c r="AA940">
        <v>0.97867599999999999</v>
      </c>
      <c r="AB940">
        <v>23</v>
      </c>
      <c r="AC940">
        <v>12.3575999999999</v>
      </c>
      <c r="AD940">
        <v>-1.1106609253990001</v>
      </c>
      <c r="AE940">
        <v>-2.57010000000002</v>
      </c>
      <c r="AF940">
        <v>2.6247538442689402</v>
      </c>
      <c r="AG940">
        <v>-1.1106609253990001</v>
      </c>
      <c r="AH940">
        <v>12.246941858434299</v>
      </c>
      <c r="AI940">
        <v>95.067457732608503</v>
      </c>
      <c r="AJ940">
        <v>77.903412768622502</v>
      </c>
      <c r="AK940">
        <v>12.574199191920099</v>
      </c>
      <c r="AL940">
        <v>82.793995466866406</v>
      </c>
      <c r="AM940">
        <v>82.168727059180497</v>
      </c>
      <c r="AN940">
        <v>0.99999995712064405</v>
      </c>
    </row>
    <row r="941" spans="1:40" x14ac:dyDescent="0.25">
      <c r="A941" t="str">
        <f>"20190312151242099"</f>
        <v>20190312151242099</v>
      </c>
      <c r="B941" t="str">
        <f>"1552374762090709"</f>
        <v>1552374762090709</v>
      </c>
      <c r="C941" t="s">
        <v>40</v>
      </c>
      <c r="D941">
        <v>4.3390789999999999</v>
      </c>
      <c r="E941">
        <v>0.52577759999999996</v>
      </c>
      <c r="F941" t="s">
        <v>42</v>
      </c>
      <c r="G941">
        <v>-227.74010000000001</v>
      </c>
      <c r="H941" s="1">
        <v>-1.99902E-6</v>
      </c>
      <c r="I941">
        <v>364.94139999999999</v>
      </c>
      <c r="J941">
        <v>-240.08969999999999</v>
      </c>
      <c r="K941">
        <v>1.1106529999999999</v>
      </c>
      <c r="L941">
        <v>367.50959999999998</v>
      </c>
      <c r="M941">
        <v>0.99987550000000003</v>
      </c>
      <c r="N941">
        <v>0</v>
      </c>
      <c r="O941">
        <v>6.0374340000000004E-3</v>
      </c>
      <c r="P941">
        <v>0.98549129999999996</v>
      </c>
      <c r="Q941">
        <v>0.1106858</v>
      </c>
      <c r="R941">
        <v>-0.1286696</v>
      </c>
      <c r="S941">
        <v>2.9942169999999999</v>
      </c>
      <c r="T941">
        <v>-0.26442490000000002</v>
      </c>
      <c r="U941">
        <v>-0.6111145</v>
      </c>
      <c r="V941">
        <v>0.13462879999999899</v>
      </c>
      <c r="W941">
        <v>0.1250261</v>
      </c>
      <c r="X941">
        <v>0.98297690000000004</v>
      </c>
      <c r="Y941">
        <v>0.205099</v>
      </c>
      <c r="Z941">
        <v>-9.4739330000000004E-3</v>
      </c>
      <c r="AA941">
        <v>0.97869539999999999</v>
      </c>
      <c r="AB941">
        <v>22</v>
      </c>
      <c r="AC941">
        <v>12.349599999999899</v>
      </c>
      <c r="AD941">
        <v>-1.1106549990200001</v>
      </c>
      <c r="AE941">
        <v>-2.5681999999999898</v>
      </c>
      <c r="AF941">
        <v>2.6223898107896901</v>
      </c>
      <c r="AG941">
        <v>-1.1106549990200001</v>
      </c>
      <c r="AH941">
        <v>12.238979992508099</v>
      </c>
      <c r="AI941">
        <v>95.070765720805795</v>
      </c>
      <c r="AJ941">
        <v>77.906356346241097</v>
      </c>
      <c r="AK941">
        <v>12.5659505849576</v>
      </c>
      <c r="AL941">
        <v>82.817737066224694</v>
      </c>
      <c r="AM941">
        <v>82.201275084803797</v>
      </c>
      <c r="AN941">
        <v>1.00000001270213</v>
      </c>
    </row>
    <row r="942" spans="1:40" x14ac:dyDescent="0.25">
      <c r="A942" t="str">
        <f>"20190312151242121"</f>
        <v>20190312151242121</v>
      </c>
      <c r="B942" t="str">
        <f>"1552374762111204"</f>
        <v>1552374762111204</v>
      </c>
      <c r="C942" t="s">
        <v>40</v>
      </c>
      <c r="D942">
        <v>4.3361749999999999</v>
      </c>
      <c r="E942">
        <v>0.53134559999999997</v>
      </c>
      <c r="F942" t="s">
        <v>42</v>
      </c>
      <c r="G942">
        <v>-227.512</v>
      </c>
      <c r="H942" s="1">
        <v>-2.0759330000000002E-6</v>
      </c>
      <c r="I942">
        <v>364.94409999999999</v>
      </c>
      <c r="J942">
        <v>-239.86789999999999</v>
      </c>
      <c r="K942">
        <v>1.1106549999999999</v>
      </c>
      <c r="L942">
        <v>367.51089999999999</v>
      </c>
      <c r="M942">
        <v>0.99987570000000003</v>
      </c>
      <c r="N942">
        <v>0</v>
      </c>
      <c r="O942">
        <v>6.0046969999999998E-3</v>
      </c>
      <c r="P942">
        <v>0.98548069999999999</v>
      </c>
      <c r="Q942">
        <v>0.11052289999999999</v>
      </c>
      <c r="R942">
        <v>-0.12888920000000001</v>
      </c>
      <c r="S942">
        <v>2.99411</v>
      </c>
      <c r="T942">
        <v>-0.26438859999999997</v>
      </c>
      <c r="U942">
        <v>-0.61071779999999998</v>
      </c>
      <c r="V942">
        <v>0.13481589999999999</v>
      </c>
      <c r="W942">
        <v>0.1248577</v>
      </c>
      <c r="X942">
        <v>0.98297270000000003</v>
      </c>
      <c r="Y942">
        <v>0.2049501</v>
      </c>
      <c r="Z942">
        <v>-9.4637360000000004E-3</v>
      </c>
      <c r="AA942">
        <v>0.97872669999999995</v>
      </c>
      <c r="AB942">
        <v>22</v>
      </c>
      <c r="AC942">
        <v>12.355899999999901</v>
      </c>
      <c r="AD942">
        <v>-1.1106570759329999</v>
      </c>
      <c r="AE942">
        <v>-2.5668000000000002</v>
      </c>
      <c r="AF942">
        <v>2.6206561487482398</v>
      </c>
      <c r="AG942">
        <v>-1.1106570759329999</v>
      </c>
      <c r="AH942">
        <v>12.245413074315501</v>
      </c>
      <c r="AI942">
        <v>95.068387471725998</v>
      </c>
      <c r="AJ942">
        <v>77.920279064141795</v>
      </c>
      <c r="AK942">
        <v>12.5718550401645</v>
      </c>
      <c r="AL942">
        <v>82.827462151275697</v>
      </c>
      <c r="AM942">
        <v>82.190537517369606</v>
      </c>
      <c r="AN942">
        <v>1.0000000505436899</v>
      </c>
    </row>
    <row r="943" spans="1:40" x14ac:dyDescent="0.25">
      <c r="A943" t="str">
        <f>"20190312151242144"</f>
        <v>20190312151242144</v>
      </c>
      <c r="B943" t="str">
        <f>"1552374762140484"</f>
        <v>1552374762140484</v>
      </c>
      <c r="C943" t="s">
        <v>40</v>
      </c>
      <c r="D943">
        <v>4.3349729999999997</v>
      </c>
      <c r="E943">
        <v>0.54018040000000001</v>
      </c>
      <c r="F943" t="s">
        <v>42</v>
      </c>
      <c r="G943">
        <v>-224.47649999999999</v>
      </c>
      <c r="H943" s="1">
        <v>-3.3231029999999999E-6</v>
      </c>
      <c r="I943">
        <v>364.14109999999999</v>
      </c>
      <c r="J943">
        <v>-239.64959999999999</v>
      </c>
      <c r="K943">
        <v>1.110657</v>
      </c>
      <c r="L943">
        <v>367.51220000000001</v>
      </c>
      <c r="M943">
        <v>0.99987599999999999</v>
      </c>
      <c r="N943">
        <v>0</v>
      </c>
      <c r="O943">
        <v>5.9726140000000002E-3</v>
      </c>
      <c r="P943">
        <v>0.9854347</v>
      </c>
      <c r="Q943">
        <v>0.11023769999999999</v>
      </c>
      <c r="R943">
        <v>-0.12948409999999999</v>
      </c>
      <c r="S943">
        <v>2.98291</v>
      </c>
      <c r="T943">
        <v>-0.2152481</v>
      </c>
      <c r="U943">
        <v>-0.6530762</v>
      </c>
      <c r="V943">
        <v>0.1353789</v>
      </c>
      <c r="W943">
        <v>0.1245667</v>
      </c>
      <c r="X943">
        <v>0.98293220000000003</v>
      </c>
      <c r="Y943">
        <v>0.2191458</v>
      </c>
      <c r="Z943">
        <v>-8.2300040000000008E-3</v>
      </c>
      <c r="AA943">
        <v>0.97565740000000001</v>
      </c>
      <c r="AB943">
        <v>22</v>
      </c>
      <c r="AC943">
        <v>15.1731</v>
      </c>
      <c r="AD943">
        <v>-1.1106603231029999</v>
      </c>
      <c r="AE943">
        <v>-3.37110000000001</v>
      </c>
      <c r="AF943">
        <v>3.4440867344455</v>
      </c>
      <c r="AG943">
        <v>-1.1106603231029999</v>
      </c>
      <c r="AH943">
        <v>15.075714939931901</v>
      </c>
      <c r="AI943">
        <v>94.108030667609896</v>
      </c>
      <c r="AJ943">
        <v>77.131467281144793</v>
      </c>
      <c r="AK943">
        <v>15.503950488110601</v>
      </c>
      <c r="AL943">
        <v>82.844266119058503</v>
      </c>
      <c r="AM943">
        <v>82.158010517338099</v>
      </c>
      <c r="AN943">
        <v>1.00000000955547</v>
      </c>
    </row>
    <row r="944" spans="1:40" x14ac:dyDescent="0.25">
      <c r="A944" t="str">
        <f>"20190312151242166"</f>
        <v>20190312151242166</v>
      </c>
      <c r="B944" t="str">
        <f>"1552374762160979"</f>
        <v>1552374762160979</v>
      </c>
      <c r="C944" t="s">
        <v>40</v>
      </c>
      <c r="D944">
        <v>4.3563749999999999</v>
      </c>
      <c r="E944">
        <v>0.54020109999999999</v>
      </c>
      <c r="F944" t="s">
        <v>42</v>
      </c>
      <c r="G944">
        <v>-224.45660000000001</v>
      </c>
      <c r="H944" s="1">
        <v>-3.4184990000000001E-6</v>
      </c>
      <c r="I944">
        <v>363.80599999999998</v>
      </c>
      <c r="J944">
        <v>-239.42320000000001</v>
      </c>
      <c r="K944">
        <v>1.1106529999999999</v>
      </c>
      <c r="L944">
        <v>367.51350000000002</v>
      </c>
      <c r="M944">
        <v>0.99987630000000005</v>
      </c>
      <c r="N944">
        <v>0</v>
      </c>
      <c r="O944">
        <v>5.9393980000000002E-3</v>
      </c>
      <c r="P944">
        <v>0.98530870000000004</v>
      </c>
      <c r="Q944">
        <v>0.11014210000000001</v>
      </c>
      <c r="R944">
        <v>-0.13052079999999999</v>
      </c>
      <c r="S944">
        <v>2.9733580000000002</v>
      </c>
      <c r="T944">
        <v>-0.217362</v>
      </c>
      <c r="U944">
        <v>-0.72531129999999999</v>
      </c>
      <c r="V944">
        <v>0.13638210000000001</v>
      </c>
      <c r="W944">
        <v>0.12446359999999999</v>
      </c>
      <c r="X944">
        <v>0.98280659999999997</v>
      </c>
      <c r="Y944">
        <v>0.24212919999999999</v>
      </c>
      <c r="Z944">
        <v>-9.1386920000000003E-3</v>
      </c>
      <c r="AA944">
        <v>0.97020099999999998</v>
      </c>
      <c r="AB944">
        <v>22</v>
      </c>
      <c r="AC944">
        <v>14.9666</v>
      </c>
      <c r="AD944">
        <v>-1.110656418499</v>
      </c>
      <c r="AE944">
        <v>-3.7075000000000302</v>
      </c>
      <c r="AF944">
        <v>3.7767406868313</v>
      </c>
      <c r="AG944">
        <v>-1.110656418499</v>
      </c>
      <c r="AH944">
        <v>14.867173756274401</v>
      </c>
      <c r="AI944">
        <v>94.141305729895706</v>
      </c>
      <c r="AJ944">
        <v>75.746526131558596</v>
      </c>
      <c r="AK944">
        <v>15.379537814732</v>
      </c>
      <c r="AL944">
        <v>82.8502198573307</v>
      </c>
      <c r="AM944">
        <v>82.099633107674094</v>
      </c>
      <c r="AN944">
        <v>1.0000000389644601</v>
      </c>
    </row>
    <row r="945" spans="1:40" x14ac:dyDescent="0.25">
      <c r="A945" t="str">
        <f>"20190312151242190"</f>
        <v>20190312151242190</v>
      </c>
      <c r="B945" t="str">
        <f>"1552374762180500"</f>
        <v>1552374762180500</v>
      </c>
      <c r="C945" t="s">
        <v>40</v>
      </c>
      <c r="D945">
        <v>4.3704020000000003</v>
      </c>
      <c r="E945">
        <v>0.54039090000000001</v>
      </c>
      <c r="F945" t="s">
        <v>42</v>
      </c>
      <c r="G945">
        <v>-223.98660000000001</v>
      </c>
      <c r="H945" s="1">
        <v>-3.6064529999999999E-6</v>
      </c>
      <c r="I945">
        <v>363.7285</v>
      </c>
      <c r="J945">
        <v>-239.19460000000001</v>
      </c>
      <c r="K945">
        <v>1.110649</v>
      </c>
      <c r="L945">
        <v>367.51479999999998</v>
      </c>
      <c r="M945">
        <v>0.9998766</v>
      </c>
      <c r="N945">
        <v>0</v>
      </c>
      <c r="O945">
        <v>5.9061189999999996E-3</v>
      </c>
      <c r="P945">
        <v>0.98519129999999999</v>
      </c>
      <c r="Q945">
        <v>0.1098056</v>
      </c>
      <c r="R945">
        <v>-0.13168550000000001</v>
      </c>
      <c r="S945">
        <v>2.972092</v>
      </c>
      <c r="T945">
        <v>-0.21384069999999999</v>
      </c>
      <c r="U945">
        <v>-0.72875979999999996</v>
      </c>
      <c r="V945">
        <v>0.13751329999999901</v>
      </c>
      <c r="W945">
        <v>0.12411999999999999</v>
      </c>
      <c r="X945">
        <v>0.98269240000000002</v>
      </c>
      <c r="Y945">
        <v>0.24327119999999999</v>
      </c>
      <c r="Z945">
        <v>-9.0315819999999998E-3</v>
      </c>
      <c r="AA945">
        <v>0.96991629999999995</v>
      </c>
      <c r="AB945">
        <v>22</v>
      </c>
      <c r="AC945">
        <v>15.207999999999901</v>
      </c>
      <c r="AD945">
        <v>-1.110652606453</v>
      </c>
      <c r="AE945">
        <v>-3.7862999999999798</v>
      </c>
      <c r="AF945">
        <v>3.8566946352173601</v>
      </c>
      <c r="AG945">
        <v>-1.110652606453</v>
      </c>
      <c r="AH945">
        <v>15.1094871345706</v>
      </c>
      <c r="AI945">
        <v>94.073920080262994</v>
      </c>
      <c r="AJ945">
        <v>75.681006523957606</v>
      </c>
      <c r="AK945">
        <v>15.633433538135201</v>
      </c>
      <c r="AL945">
        <v>82.870060383387795</v>
      </c>
      <c r="AM945">
        <v>82.034028604731205</v>
      </c>
      <c r="AN945">
        <v>1.00000001754732</v>
      </c>
    </row>
    <row r="946" spans="1:40" x14ac:dyDescent="0.25">
      <c r="A946" t="str">
        <f>"20190312151242211"</f>
        <v>20190312151242211</v>
      </c>
      <c r="B946" t="str">
        <f>"1552374762200996"</f>
        <v>1552374762200996</v>
      </c>
      <c r="C946" t="s">
        <v>40</v>
      </c>
      <c r="D946">
        <v>4.3801269999999999</v>
      </c>
      <c r="E946">
        <v>0.54067679999999996</v>
      </c>
      <c r="F946" t="s">
        <v>42</v>
      </c>
      <c r="G946">
        <v>-224.1301</v>
      </c>
      <c r="H946" s="1">
        <v>-3.533535E-6</v>
      </c>
      <c r="I946">
        <v>363.79250000000002</v>
      </c>
      <c r="J946">
        <v>-238.97499999999999</v>
      </c>
      <c r="K946">
        <v>1.1106579999999999</v>
      </c>
      <c r="L946">
        <v>367.51609999999999</v>
      </c>
      <c r="M946">
        <v>0.99987669999999995</v>
      </c>
      <c r="N946">
        <v>0</v>
      </c>
      <c r="O946">
        <v>5.8737390000000002E-3</v>
      </c>
      <c r="P946">
        <v>0.98506179999999999</v>
      </c>
      <c r="Q946">
        <v>0.10962860000000001</v>
      </c>
      <c r="R946">
        <v>-0.1327951</v>
      </c>
      <c r="S946">
        <v>2.9713590000000001</v>
      </c>
      <c r="T946">
        <v>-0.2190666</v>
      </c>
      <c r="U946">
        <v>-0.73419190000000001</v>
      </c>
      <c r="V946">
        <v>0.138590299999999</v>
      </c>
      <c r="W946">
        <v>0.1239355</v>
      </c>
      <c r="X946">
        <v>0.98256429999999995</v>
      </c>
      <c r="Y946">
        <v>0.24493239999999999</v>
      </c>
      <c r="Z946">
        <v>-9.3098590000000002E-3</v>
      </c>
      <c r="AA946">
        <v>0.96949549999999995</v>
      </c>
      <c r="AB946">
        <v>22</v>
      </c>
      <c r="AC946">
        <v>14.8448999999999</v>
      </c>
      <c r="AD946">
        <v>-1.1106615335350001</v>
      </c>
      <c r="AE946">
        <v>-3.72359999999997</v>
      </c>
      <c r="AF946">
        <v>3.79077652910164</v>
      </c>
      <c r="AG946">
        <v>-1.1106615335350001</v>
      </c>
      <c r="AH946">
        <v>14.745117206747199</v>
      </c>
      <c r="AI946">
        <v>94.172437009351697</v>
      </c>
      <c r="AJ946">
        <v>75.582233968612599</v>
      </c>
      <c r="AK946">
        <v>15.2650593571193</v>
      </c>
      <c r="AL946">
        <v>82.880713167516504</v>
      </c>
      <c r="AM946">
        <v>81.971416600205998</v>
      </c>
      <c r="AN946">
        <v>0.99999994152441296</v>
      </c>
    </row>
    <row r="947" spans="1:40" x14ac:dyDescent="0.25">
      <c r="A947" t="str">
        <f>"20190312151242233"</f>
        <v>20190312151242233</v>
      </c>
      <c r="B947" t="str">
        <f>"1552374762230277"</f>
        <v>1552374762230277</v>
      </c>
      <c r="C947" t="s">
        <v>40</v>
      </c>
      <c r="D947">
        <v>4.3950760000000004</v>
      </c>
      <c r="E947">
        <v>0.54072989999999999</v>
      </c>
      <c r="F947" t="s">
        <v>42</v>
      </c>
      <c r="G947">
        <v>-223.94900000000001</v>
      </c>
      <c r="H947" s="1">
        <v>-3.6148129999999998E-6</v>
      </c>
      <c r="I947">
        <v>363.77229999999997</v>
      </c>
      <c r="J947">
        <v>-238.7662</v>
      </c>
      <c r="K947">
        <v>1.110662</v>
      </c>
      <c r="L947">
        <v>367.51729999999998</v>
      </c>
      <c r="M947">
        <v>0.99987720000000002</v>
      </c>
      <c r="N947">
        <v>0</v>
      </c>
      <c r="O947">
        <v>5.8430219999999998E-3</v>
      </c>
      <c r="P947">
        <v>0.98499919999999996</v>
      </c>
      <c r="Q947">
        <v>0.1097356</v>
      </c>
      <c r="R947">
        <v>-0.13317319999999999</v>
      </c>
      <c r="S947">
        <v>2.9701689999999998</v>
      </c>
      <c r="T947">
        <v>-0.2195423</v>
      </c>
      <c r="U947">
        <v>-0.74002080000000003</v>
      </c>
      <c r="V947">
        <v>0.13893749999999999</v>
      </c>
      <c r="W947">
        <v>0.1240368</v>
      </c>
      <c r="X947">
        <v>0.98250249999999995</v>
      </c>
      <c r="Y947">
        <v>0.2467773</v>
      </c>
      <c r="Z947">
        <v>-9.3963109999999992E-3</v>
      </c>
      <c r="AA947">
        <v>0.96902670000000002</v>
      </c>
      <c r="AB947">
        <v>22</v>
      </c>
      <c r="AC947">
        <v>14.8171999999999</v>
      </c>
      <c r="AD947">
        <v>-1.1106656148129901</v>
      </c>
      <c r="AE947">
        <v>-3.7450000000000001</v>
      </c>
      <c r="AF947">
        <v>3.8113933027204401</v>
      </c>
      <c r="AG947">
        <v>-1.1106656148129901</v>
      </c>
      <c r="AH947">
        <v>14.7173358221097</v>
      </c>
      <c r="AI947">
        <v>94.178400296568498</v>
      </c>
      <c r="AJ947">
        <v>75.480911911431804</v>
      </c>
      <c r="AK947">
        <v>15.2433680896547</v>
      </c>
      <c r="AL947">
        <v>82.874864101351207</v>
      </c>
      <c r="AM947">
        <v>81.951066792850597</v>
      </c>
      <c r="AN947">
        <v>0.99999995958336896</v>
      </c>
    </row>
    <row r="948" spans="1:40" x14ac:dyDescent="0.25">
      <c r="A948" t="str">
        <f>"20190312151242255"</f>
        <v>20190312151242255</v>
      </c>
      <c r="B948" t="str">
        <f>"1552374762250772"</f>
        <v>1552374762250772</v>
      </c>
      <c r="C948" t="s">
        <v>40</v>
      </c>
      <c r="D948">
        <v>4.4061789999999998</v>
      </c>
      <c r="E948">
        <v>0.54067769999999904</v>
      </c>
      <c r="F948" t="s">
        <v>42</v>
      </c>
      <c r="G948">
        <v>-223.71469999999999</v>
      </c>
      <c r="H948" s="1">
        <v>-3.7177789999999998E-6</v>
      </c>
      <c r="I948">
        <v>363.75850000000003</v>
      </c>
      <c r="J948">
        <v>-238.53890000000001</v>
      </c>
      <c r="K948">
        <v>1.110665</v>
      </c>
      <c r="L948">
        <v>367.51859999999999</v>
      </c>
      <c r="M948">
        <v>0.99987729999999997</v>
      </c>
      <c r="N948">
        <v>0</v>
      </c>
      <c r="O948">
        <v>5.8099819999999896E-3</v>
      </c>
      <c r="P948">
        <v>0.98503949999999996</v>
      </c>
      <c r="Q948">
        <v>0.1097494</v>
      </c>
      <c r="R948">
        <v>-0.13286319999999999</v>
      </c>
      <c r="S948">
        <v>2.9698639999999998</v>
      </c>
      <c r="T948">
        <v>-0.21914790000000001</v>
      </c>
      <c r="U948">
        <v>-0.74163819999999903</v>
      </c>
      <c r="V948">
        <v>0.1385951</v>
      </c>
      <c r="W948">
        <v>0.1240462</v>
      </c>
      <c r="X948">
        <v>0.98254969999999997</v>
      </c>
      <c r="Y948">
        <v>0.2472665</v>
      </c>
      <c r="Z948">
        <v>-9.3951610000000008E-3</v>
      </c>
      <c r="AA948">
        <v>0.96890189999999998</v>
      </c>
      <c r="AB948">
        <v>22</v>
      </c>
      <c r="AC948">
        <v>14.824199999999999</v>
      </c>
      <c r="AD948">
        <v>-1.110668717779</v>
      </c>
      <c r="AE948">
        <v>-3.76009999999996</v>
      </c>
      <c r="AF948">
        <v>3.8259953239215099</v>
      </c>
      <c r="AG948">
        <v>-1.110668717779</v>
      </c>
      <c r="AH948">
        <v>14.7244432558943</v>
      </c>
      <c r="AI948">
        <v>94.175525618493495</v>
      </c>
      <c r="AJ948">
        <v>75.4343856129328</v>
      </c>
      <c r="AK948">
        <v>15.2538865347613</v>
      </c>
      <c r="AL948">
        <v>82.874321527171006</v>
      </c>
      <c r="AM948">
        <v>81.971024412881107</v>
      </c>
      <c r="AN948">
        <v>0.99999998722426897</v>
      </c>
    </row>
    <row r="949" spans="1:40" x14ac:dyDescent="0.25">
      <c r="A949" t="str">
        <f>"20190312151242278"</f>
        <v>20190312151242278</v>
      </c>
      <c r="B949" t="str">
        <f>"1552374762270295"</f>
        <v>1552374762270295</v>
      </c>
      <c r="C949" t="s">
        <v>40</v>
      </c>
      <c r="D949">
        <v>4.4254670000000003</v>
      </c>
      <c r="E949">
        <v>0.54111779999999998</v>
      </c>
      <c r="F949" t="s">
        <v>42</v>
      </c>
      <c r="G949">
        <v>-223.40129999999999</v>
      </c>
      <c r="H949" s="1">
        <v>-3.8547560000000004E-6</v>
      </c>
      <c r="I949">
        <v>363.74439999999998</v>
      </c>
      <c r="J949">
        <v>-238.3175</v>
      </c>
      <c r="K949">
        <v>1.1106689999999999</v>
      </c>
      <c r="L949">
        <v>367.51979999999998</v>
      </c>
      <c r="M949">
        <v>0.99987760000000003</v>
      </c>
      <c r="N949">
        <v>0</v>
      </c>
      <c r="O949">
        <v>5.7773599999999996E-3</v>
      </c>
      <c r="P949">
        <v>0.98507889999999998</v>
      </c>
      <c r="Q949">
        <v>0.1100023</v>
      </c>
      <c r="R949">
        <v>-0.13235949999999999</v>
      </c>
      <c r="S949">
        <v>2.9699399999999998</v>
      </c>
      <c r="T949">
        <v>-0.21790680000000001</v>
      </c>
      <c r="U949">
        <v>-0.74047850000000004</v>
      </c>
      <c r="V949">
        <v>0.13805990000000001</v>
      </c>
      <c r="W949">
        <v>0.12429460000000001</v>
      </c>
      <c r="X949">
        <v>0.98259370000000001</v>
      </c>
      <c r="Y949">
        <v>0.2468813</v>
      </c>
      <c r="Z949">
        <v>-9.3260319999999997E-3</v>
      </c>
      <c r="AA949">
        <v>0.96900090000000005</v>
      </c>
      <c r="AB949">
        <v>22</v>
      </c>
      <c r="AC949">
        <v>14.9162</v>
      </c>
      <c r="AD949">
        <v>-1.1106728547560001</v>
      </c>
      <c r="AE949">
        <v>-3.7753999999999901</v>
      </c>
      <c r="AF949">
        <v>3.8415057640716701</v>
      </c>
      <c r="AG949">
        <v>-1.1106728547560001</v>
      </c>
      <c r="AH949">
        <v>14.8169316293782</v>
      </c>
      <c r="AI949">
        <v>94.1501467642873</v>
      </c>
      <c r="AJ949">
        <v>75.465258509565103</v>
      </c>
      <c r="AK949">
        <v>15.347059120084101</v>
      </c>
      <c r="AL949">
        <v>82.859978568664303</v>
      </c>
      <c r="AM949">
        <v>82.0019807004321</v>
      </c>
      <c r="AN949">
        <v>1.0000000314284201</v>
      </c>
    </row>
    <row r="950" spans="1:40" x14ac:dyDescent="0.25">
      <c r="A950" t="str">
        <f>"20190312151242301"</f>
        <v>20190312151242301</v>
      </c>
      <c r="B950" t="str">
        <f>"1552374762290788"</f>
        <v>1552374762290788</v>
      </c>
      <c r="C950" t="s">
        <v>40</v>
      </c>
      <c r="D950">
        <v>4.4338899999999999</v>
      </c>
      <c r="E950">
        <v>0.54187459999999998</v>
      </c>
      <c r="F950" t="s">
        <v>42</v>
      </c>
      <c r="G950">
        <v>-226.80369999999999</v>
      </c>
      <c r="H950" s="1">
        <v>-2.3984109999999999E-6</v>
      </c>
      <c r="I950">
        <v>364.63799999999998</v>
      </c>
      <c r="J950">
        <v>-238.09450000000001</v>
      </c>
      <c r="K950">
        <v>1.110665</v>
      </c>
      <c r="L950">
        <v>367.52109999999999</v>
      </c>
      <c r="M950">
        <v>0.99987780000000004</v>
      </c>
      <c r="N950">
        <v>0</v>
      </c>
      <c r="O950">
        <v>5.7445019999999899E-3</v>
      </c>
      <c r="P950">
        <v>0.98510810000000004</v>
      </c>
      <c r="Q950">
        <v>0.1101239</v>
      </c>
      <c r="R950">
        <v>-0.1320412</v>
      </c>
      <c r="S950">
        <v>2.977417</v>
      </c>
      <c r="T950">
        <v>-0.28721279999999999</v>
      </c>
      <c r="U950">
        <v>-0.74520869999999995</v>
      </c>
      <c r="V950">
        <v>0.1377092</v>
      </c>
      <c r="W950">
        <v>0.12441199999999999</v>
      </c>
      <c r="X950">
        <v>0.98262799999999995</v>
      </c>
      <c r="Y950">
        <v>0.24726110000000001</v>
      </c>
      <c r="Z950">
        <v>-1.2263410000000001E-2</v>
      </c>
      <c r="AA950">
        <v>0.96887129999999999</v>
      </c>
      <c r="AB950">
        <v>22</v>
      </c>
      <c r="AC950">
        <v>11.290800000000001</v>
      </c>
      <c r="AD950">
        <v>-1.110667398411</v>
      </c>
      <c r="AE950">
        <v>-2.88309999999995</v>
      </c>
      <c r="AF950">
        <v>2.92138092673098</v>
      </c>
      <c r="AG950">
        <v>-1.110667398411</v>
      </c>
      <c r="AH950">
        <v>11.172556343321199</v>
      </c>
      <c r="AI950">
        <v>95.493629213450703</v>
      </c>
      <c r="AJ950">
        <v>75.346475786801506</v>
      </c>
      <c r="AK950">
        <v>11.6014681757805</v>
      </c>
      <c r="AL950">
        <v>82.8531990404515</v>
      </c>
      <c r="AM950">
        <v>82.022310267627205</v>
      </c>
      <c r="AN950">
        <v>0.99999997794631901</v>
      </c>
    </row>
    <row r="951" spans="1:40" x14ac:dyDescent="0.25">
      <c r="A951" t="str">
        <f>"20190312151242322"</f>
        <v>20190312151242322</v>
      </c>
      <c r="B951" t="str">
        <f>"1552374762310308"</f>
        <v>1552374762310308</v>
      </c>
      <c r="C951" t="s">
        <v>40</v>
      </c>
      <c r="D951">
        <v>4.4272900000000002</v>
      </c>
      <c r="E951">
        <v>0.54207649999999996</v>
      </c>
      <c r="F951" t="s">
        <v>42</v>
      </c>
      <c r="G951">
        <v>-226.51859999999999</v>
      </c>
      <c r="H951" s="1">
        <v>-2.5044210000000001E-6</v>
      </c>
      <c r="I951">
        <v>364.60419999999999</v>
      </c>
      <c r="J951">
        <v>-237.88059999999999</v>
      </c>
      <c r="K951">
        <v>1.110663</v>
      </c>
      <c r="L951">
        <v>367.52229999999997</v>
      </c>
      <c r="M951">
        <v>0.99987809999999999</v>
      </c>
      <c r="N951">
        <v>0</v>
      </c>
      <c r="O951">
        <v>5.7130719999999996E-3</v>
      </c>
      <c r="P951">
        <v>0.9851683</v>
      </c>
      <c r="Q951">
        <v>0.1100637</v>
      </c>
      <c r="R951">
        <v>-0.13164239999999999</v>
      </c>
      <c r="S951">
        <v>2.9767760000000001</v>
      </c>
      <c r="T951">
        <v>-0.28561130000000001</v>
      </c>
      <c r="U951">
        <v>-0.75009159999999997</v>
      </c>
      <c r="V951">
        <v>0.13727990000000001</v>
      </c>
      <c r="W951">
        <v>0.1243472</v>
      </c>
      <c r="X951">
        <v>0.98269629999999997</v>
      </c>
      <c r="Y951">
        <v>0.24878030000000001</v>
      </c>
      <c r="Z951">
        <v>-1.226411E-2</v>
      </c>
      <c r="AA951">
        <v>0.96848230000000002</v>
      </c>
      <c r="AB951">
        <v>22</v>
      </c>
      <c r="AC951">
        <v>11.361999999999901</v>
      </c>
      <c r="AD951">
        <v>-1.1106655044210001</v>
      </c>
      <c r="AE951">
        <v>-2.9180999999999799</v>
      </c>
      <c r="AF951">
        <v>2.9564685307077201</v>
      </c>
      <c r="AG951">
        <v>-1.1106655044210001</v>
      </c>
      <c r="AH951">
        <v>11.244344000878201</v>
      </c>
      <c r="AI951">
        <v>95.456828033452695</v>
      </c>
      <c r="AJ951">
        <v>75.268682155442605</v>
      </c>
      <c r="AK951">
        <v>11.6794501602542</v>
      </c>
      <c r="AL951">
        <v>82.856941076051697</v>
      </c>
      <c r="AM951">
        <v>82.047407200870893</v>
      </c>
      <c r="AN951">
        <v>1.00000000756277</v>
      </c>
    </row>
    <row r="952" spans="1:40" x14ac:dyDescent="0.25">
      <c r="A952" t="str">
        <f>"20190312151242338"</f>
        <v>20190312151242338</v>
      </c>
      <c r="B952" t="str">
        <f>"1552374762330803"</f>
        <v>1552374762330803</v>
      </c>
      <c r="C952" t="s">
        <v>40</v>
      </c>
      <c r="D952">
        <v>4.4211660000000004</v>
      </c>
      <c r="E952">
        <v>0.54333310000000001</v>
      </c>
      <c r="F952" t="s">
        <v>42</v>
      </c>
      <c r="G952">
        <v>-226.30860000000001</v>
      </c>
      <c r="H952" s="1">
        <v>-2.5757109999999998E-6</v>
      </c>
      <c r="I952">
        <v>364.60489999999999</v>
      </c>
      <c r="J952">
        <v>-237.72559999999999</v>
      </c>
      <c r="K952">
        <v>1.1106659999999999</v>
      </c>
      <c r="L952">
        <v>367.5231</v>
      </c>
      <c r="M952">
        <v>0.9998783</v>
      </c>
      <c r="N952">
        <v>0</v>
      </c>
      <c r="O952">
        <v>5.690273E-3</v>
      </c>
      <c r="P952">
        <v>0.98515830000000004</v>
      </c>
      <c r="Q952">
        <v>0.1098577</v>
      </c>
      <c r="R952">
        <v>-0.1318887</v>
      </c>
      <c r="S952">
        <v>2.976807</v>
      </c>
      <c r="T952">
        <v>-0.2857075</v>
      </c>
      <c r="U952">
        <v>-0.75045779999999995</v>
      </c>
      <c r="V952">
        <v>0.13750370000000001</v>
      </c>
      <c r="W952">
        <v>0.1241376</v>
      </c>
      <c r="X952">
        <v>0.98269150000000005</v>
      </c>
      <c r="Y952">
        <v>0.248867</v>
      </c>
      <c r="Z952">
        <v>-1.226986E-2</v>
      </c>
      <c r="AA952">
        <v>0.96845999999999999</v>
      </c>
      <c r="AB952">
        <v>22</v>
      </c>
      <c r="AC952">
        <v>11.4169999999999</v>
      </c>
      <c r="AD952">
        <v>-1.110668575711</v>
      </c>
      <c r="AE952">
        <v>-2.9182000000000099</v>
      </c>
      <c r="AF952">
        <v>2.95685844444484</v>
      </c>
      <c r="AG952">
        <v>-1.110668575711</v>
      </c>
      <c r="AH952">
        <v>11.2998269557828</v>
      </c>
      <c r="AI952">
        <v>95.431874817498198</v>
      </c>
      <c r="AJ952">
        <v>75.336039730489404</v>
      </c>
      <c r="AK952">
        <v>11.7329742936816</v>
      </c>
      <c r="AL952">
        <v>82.869043975810698</v>
      </c>
      <c r="AM952">
        <v>82.034570380970493</v>
      </c>
      <c r="AN952">
        <v>0.99999999770984904</v>
      </c>
    </row>
    <row r="953" spans="1:40" x14ac:dyDescent="0.25">
      <c r="A953" t="str">
        <f>"20190312151242356"</f>
        <v>20190312151242356</v>
      </c>
      <c r="B953" t="str">
        <f>"1552374762350324"</f>
        <v>1552374762350324</v>
      </c>
      <c r="C953" t="s">
        <v>40</v>
      </c>
      <c r="D953">
        <v>4.4588900000000002</v>
      </c>
      <c r="E953">
        <v>0.54359069999999898</v>
      </c>
      <c r="F953" t="s">
        <v>42</v>
      </c>
      <c r="G953">
        <v>-223.41909999999999</v>
      </c>
      <c r="H953" s="1">
        <v>-3.8253719999999999E-6</v>
      </c>
      <c r="I953">
        <v>363.86700000000002</v>
      </c>
      <c r="J953">
        <v>-237.5538</v>
      </c>
      <c r="K953">
        <v>1.110668</v>
      </c>
      <c r="L953">
        <v>367.52409999999998</v>
      </c>
      <c r="M953">
        <v>0.9998785</v>
      </c>
      <c r="N953">
        <v>0</v>
      </c>
      <c r="O953">
        <v>5.6647379999999999E-3</v>
      </c>
      <c r="P953">
        <v>0.98511219999999999</v>
      </c>
      <c r="Q953">
        <v>0.110108</v>
      </c>
      <c r="R953">
        <v>-0.1320238</v>
      </c>
      <c r="S953">
        <v>2.9693149999999999</v>
      </c>
      <c r="T953">
        <v>-0.23051769999999999</v>
      </c>
      <c r="U953">
        <v>-0.75881960000000004</v>
      </c>
      <c r="V953">
        <v>0.13761329999999999</v>
      </c>
      <c r="W953">
        <v>0.1243831</v>
      </c>
      <c r="X953">
        <v>0.98264510000000005</v>
      </c>
      <c r="Y953">
        <v>0.25235249999999998</v>
      </c>
      <c r="Z953">
        <v>-1.005908E-2</v>
      </c>
      <c r="AA953">
        <v>0.96758310000000003</v>
      </c>
      <c r="AB953">
        <v>22</v>
      </c>
      <c r="AC953">
        <v>14.1347</v>
      </c>
      <c r="AD953">
        <v>-1.110671825372</v>
      </c>
      <c r="AE953">
        <v>-3.65710000000001</v>
      </c>
      <c r="AF953">
        <v>3.7156166596842302</v>
      </c>
      <c r="AG953">
        <v>-1.110671825372</v>
      </c>
      <c r="AH953">
        <v>14.0325473827191</v>
      </c>
      <c r="AI953">
        <v>94.3753422163648</v>
      </c>
      <c r="AJ953">
        <v>75.169251020346096</v>
      </c>
      <c r="AK953">
        <v>14.5585639784168</v>
      </c>
      <c r="AL953">
        <v>82.854867896193497</v>
      </c>
      <c r="AM953">
        <v>82.027931386864694</v>
      </c>
      <c r="AN953">
        <v>0.99999998422825398</v>
      </c>
    </row>
    <row r="954" spans="1:40" x14ac:dyDescent="0.25">
      <c r="A954" t="str">
        <f>"20190312151242379"</f>
        <v>20190312151242379</v>
      </c>
      <c r="B954" t="str">
        <f>"1552374762370820"</f>
        <v>1552374762370820</v>
      </c>
      <c r="C954" t="s">
        <v>40</v>
      </c>
      <c r="D954">
        <v>4.483123</v>
      </c>
      <c r="E954">
        <v>0.54376559999999996</v>
      </c>
      <c r="F954" t="s">
        <v>42</v>
      </c>
      <c r="G954">
        <v>-222.88</v>
      </c>
      <c r="H954" s="1">
        <v>-4.0753889999999999E-6</v>
      </c>
      <c r="I954">
        <v>363.76119999999997</v>
      </c>
      <c r="J954">
        <v>-237.334</v>
      </c>
      <c r="K954">
        <v>1.1106689999999999</v>
      </c>
      <c r="L954">
        <v>367.52530000000002</v>
      </c>
      <c r="M954">
        <v>0.99987879999999996</v>
      </c>
      <c r="N954">
        <v>0</v>
      </c>
      <c r="O954">
        <v>5.6321779999999998E-3</v>
      </c>
      <c r="P954">
        <v>0.98506899999999997</v>
      </c>
      <c r="Q954">
        <v>0.1101418</v>
      </c>
      <c r="R954">
        <v>-0.1323183</v>
      </c>
      <c r="S954">
        <v>2.9684140000000001</v>
      </c>
      <c r="T954">
        <v>-0.22468109999999999</v>
      </c>
      <c r="U954">
        <v>-0.76119999999999999</v>
      </c>
      <c r="V954">
        <v>0.13787530000000001</v>
      </c>
      <c r="W954">
        <v>0.12441149999999999</v>
      </c>
      <c r="X954">
        <v>0.98260479999999994</v>
      </c>
      <c r="Y954">
        <v>0.25315359999999998</v>
      </c>
      <c r="Z954">
        <v>-9.8343739999999999E-3</v>
      </c>
      <c r="AA954">
        <v>0.96737609999999996</v>
      </c>
      <c r="AB954">
        <v>22</v>
      </c>
      <c r="AC954">
        <v>14.454000000000001</v>
      </c>
      <c r="AD954">
        <v>-1.110673075389</v>
      </c>
      <c r="AE954">
        <v>-3.76410000000004</v>
      </c>
      <c r="AF954">
        <v>3.82430920167835</v>
      </c>
      <c r="AG954">
        <v>-1.110673075389</v>
      </c>
      <c r="AH954">
        <v>14.3531999513465</v>
      </c>
      <c r="AI954">
        <v>94.276215984842494</v>
      </c>
      <c r="AJ954">
        <v>75.080549533520198</v>
      </c>
      <c r="AK954">
        <v>14.895411521464201</v>
      </c>
      <c r="AL954">
        <v>82.853228116589094</v>
      </c>
      <c r="AM954">
        <v>82.0126258144753</v>
      </c>
      <c r="AN954">
        <v>1.0000000063326899</v>
      </c>
    </row>
    <row r="955" spans="1:40" x14ac:dyDescent="0.25">
      <c r="A955" t="str">
        <f>"20190312151242402"</f>
        <v>20190312151242402</v>
      </c>
      <c r="B955" t="str">
        <f>"1552374762390340"</f>
        <v>1552374762390340</v>
      </c>
      <c r="C955" t="s">
        <v>40</v>
      </c>
      <c r="D955">
        <v>4.4882229999999996</v>
      </c>
      <c r="E955">
        <v>0.54369639999999997</v>
      </c>
      <c r="F955" t="s">
        <v>42</v>
      </c>
      <c r="G955">
        <v>-222.86199999999999</v>
      </c>
      <c r="H955" s="1">
        <v>-4.0754939999999996E-6</v>
      </c>
      <c r="I955">
        <v>363.80419999999998</v>
      </c>
      <c r="J955">
        <v>-237.11080000000001</v>
      </c>
      <c r="K955">
        <v>1.1106720000000001</v>
      </c>
      <c r="L955">
        <v>367.5265</v>
      </c>
      <c r="M955">
        <v>0.99987899999999996</v>
      </c>
      <c r="N955">
        <v>0</v>
      </c>
      <c r="O955">
        <v>5.5992589999999997E-3</v>
      </c>
      <c r="P955">
        <v>0.9849907</v>
      </c>
      <c r="Q955">
        <v>0.1104507</v>
      </c>
      <c r="R955">
        <v>-0.13264239999999999</v>
      </c>
      <c r="S955">
        <v>2.968445</v>
      </c>
      <c r="T955">
        <v>-0.22781650000000001</v>
      </c>
      <c r="U955">
        <v>-0.76324459999999905</v>
      </c>
      <c r="V955">
        <v>0.1381666</v>
      </c>
      <c r="W955">
        <v>0.1247143</v>
      </c>
      <c r="X955">
        <v>0.98252550000000005</v>
      </c>
      <c r="Y955">
        <v>0.25372359999999999</v>
      </c>
      <c r="Z955">
        <v>-9.9893029999999997E-3</v>
      </c>
      <c r="AA955">
        <v>0.96722520000000001</v>
      </c>
      <c r="AB955">
        <v>22</v>
      </c>
      <c r="AC955">
        <v>14.248799999999999</v>
      </c>
      <c r="AD955">
        <v>-1.1106760754939999</v>
      </c>
      <c r="AE955">
        <v>-3.7223000000000099</v>
      </c>
      <c r="AF955">
        <v>3.7805296989881998</v>
      </c>
      <c r="AG955">
        <v>-1.1106760754939999</v>
      </c>
      <c r="AH955">
        <v>14.1472648354217</v>
      </c>
      <c r="AI955">
        <v>94.337394756777599</v>
      </c>
      <c r="AJ955">
        <v>75.038619152645296</v>
      </c>
      <c r="AK955">
        <v>14.685745077222499</v>
      </c>
      <c r="AL955">
        <v>82.835742815014001</v>
      </c>
      <c r="AM955">
        <v>81.995331096530506</v>
      </c>
      <c r="AN955">
        <v>1.00000001206515</v>
      </c>
    </row>
    <row r="956" spans="1:40" x14ac:dyDescent="0.25">
      <c r="A956" t="str">
        <f>"20190312151242424"</f>
        <v>20190312151242424</v>
      </c>
      <c r="B956" t="str">
        <f>"1552374762420596"</f>
        <v>1552374762420596</v>
      </c>
      <c r="C956" t="s">
        <v>40</v>
      </c>
      <c r="D956">
        <v>4.508362</v>
      </c>
      <c r="E956">
        <v>0.53189379999999997</v>
      </c>
      <c r="F956" t="s">
        <v>42</v>
      </c>
      <c r="G956">
        <v>-222.3998</v>
      </c>
      <c r="H956" s="1">
        <v>-4.2846569999999997E-6</v>
      </c>
      <c r="I956">
        <v>363.74270000000001</v>
      </c>
      <c r="J956">
        <v>-236.89429999999999</v>
      </c>
      <c r="K956">
        <v>1.1106720000000001</v>
      </c>
      <c r="L956">
        <v>367.52760000000001</v>
      </c>
      <c r="M956">
        <v>0.99987930000000003</v>
      </c>
      <c r="N956">
        <v>0</v>
      </c>
      <c r="O956">
        <v>5.5673519999999898E-3</v>
      </c>
      <c r="P956">
        <v>0.98490449999999996</v>
      </c>
      <c r="Q956">
        <v>0.110705</v>
      </c>
      <c r="R956">
        <v>-0.13307089999999999</v>
      </c>
      <c r="S956">
        <v>2.9680330000000001</v>
      </c>
      <c r="T956">
        <v>-0.22408500000000001</v>
      </c>
      <c r="U956">
        <v>-0.7633972</v>
      </c>
      <c r="V956">
        <v>0.13856309999999999</v>
      </c>
      <c r="W956">
        <v>0.1249622</v>
      </c>
      <c r="X956">
        <v>0.98243809999999998</v>
      </c>
      <c r="Y956">
        <v>0.25379469999999998</v>
      </c>
      <c r="Z956">
        <v>-9.8276560000000006E-3</v>
      </c>
      <c r="AA956">
        <v>0.96720810000000002</v>
      </c>
      <c r="AB956">
        <v>22</v>
      </c>
      <c r="AC956">
        <v>14.494499999999899</v>
      </c>
      <c r="AD956">
        <v>-1.110676284657</v>
      </c>
      <c r="AE956">
        <v>-3.7848999999999902</v>
      </c>
      <c r="AF956">
        <v>3.8444132853844701</v>
      </c>
      <c r="AG956">
        <v>-1.110676284657</v>
      </c>
      <c r="AH956">
        <v>14.394077815705799</v>
      </c>
      <c r="AI956">
        <v>94.263451953129106</v>
      </c>
      <c r="AJ956">
        <v>75.046315408377893</v>
      </c>
      <c r="AK956">
        <v>14.939966247710601</v>
      </c>
      <c r="AL956">
        <v>82.821426770038599</v>
      </c>
      <c r="AM956">
        <v>81.971954088714895</v>
      </c>
      <c r="AN956">
        <v>0.999999952221028</v>
      </c>
    </row>
    <row r="957" spans="1:40" x14ac:dyDescent="0.25">
      <c r="A957" t="str">
        <f>"20190312151242457"</f>
        <v>20190312151242457</v>
      </c>
      <c r="B957" t="str">
        <f>"1552374762450852"</f>
        <v>1552374762450852</v>
      </c>
      <c r="C957" t="s">
        <v>40</v>
      </c>
      <c r="D957">
        <v>4.5036060000000004</v>
      </c>
      <c r="E957">
        <v>0.53274309999999903</v>
      </c>
      <c r="F957" t="s">
        <v>42</v>
      </c>
      <c r="G957">
        <v>-222.17</v>
      </c>
      <c r="H957" s="1">
        <v>-4.3003479999999998E-6</v>
      </c>
      <c r="I957">
        <v>364.21010000000001</v>
      </c>
      <c r="J957">
        <v>-236.571</v>
      </c>
      <c r="K957">
        <v>1.1106670000000001</v>
      </c>
      <c r="L957">
        <v>367.52940000000001</v>
      </c>
      <c r="M957">
        <v>0.99987959999999998</v>
      </c>
      <c r="N957">
        <v>0</v>
      </c>
      <c r="O957">
        <v>5.5192000000000001E-3</v>
      </c>
      <c r="P957">
        <v>0.98484749999999999</v>
      </c>
      <c r="Q957">
        <v>0.1101211</v>
      </c>
      <c r="R957">
        <v>-0.13397249999999999</v>
      </c>
      <c r="S957">
        <v>2.980515</v>
      </c>
      <c r="T957">
        <v>-0.22482350000000001</v>
      </c>
      <c r="U957">
        <v>-0.67153929999999995</v>
      </c>
      <c r="V957">
        <v>0.13941679999999901</v>
      </c>
      <c r="W957">
        <v>0.12436989999999901</v>
      </c>
      <c r="X957">
        <v>0.9823925</v>
      </c>
      <c r="Y957">
        <v>0.22455910000000001</v>
      </c>
      <c r="Z957">
        <v>-8.7638019999999994E-3</v>
      </c>
      <c r="AA957">
        <v>0.97442110000000004</v>
      </c>
      <c r="AB957">
        <v>22</v>
      </c>
      <c r="AC957">
        <v>14.401</v>
      </c>
      <c r="AD957">
        <v>-1.110671300348</v>
      </c>
      <c r="AE957">
        <v>-3.3192999999999899</v>
      </c>
      <c r="AF957">
        <v>3.3796510509818098</v>
      </c>
      <c r="AG957">
        <v>-1.110671300348</v>
      </c>
      <c r="AH957">
        <v>14.301680913718</v>
      </c>
      <c r="AI957">
        <v>94.322117101191296</v>
      </c>
      <c r="AJ957">
        <v>76.704261184488004</v>
      </c>
      <c r="AK957">
        <v>14.737493305227501</v>
      </c>
      <c r="AL957">
        <v>82.855630017634894</v>
      </c>
      <c r="AM957">
        <v>81.922773308611994</v>
      </c>
      <c r="AN957">
        <v>0.99999997010224895</v>
      </c>
    </row>
    <row r="958" spans="1:40" x14ac:dyDescent="0.25">
      <c r="A958" t="str">
        <f>"20190312151242479"</f>
        <v>20190312151242479</v>
      </c>
      <c r="B958" t="str">
        <f>"1552374762470375"</f>
        <v>1552374762470375</v>
      </c>
      <c r="C958" t="s">
        <v>40</v>
      </c>
      <c r="D958">
        <v>4.5010139999999996</v>
      </c>
      <c r="E958">
        <v>0.53296880000000002</v>
      </c>
      <c r="F958" t="s">
        <v>42</v>
      </c>
      <c r="G958">
        <v>-222.6523</v>
      </c>
      <c r="H958" s="1">
        <v>-4.0693460000000002E-6</v>
      </c>
      <c r="I958">
        <v>364.34589999999997</v>
      </c>
      <c r="J958">
        <v>-236.36609999999999</v>
      </c>
      <c r="K958">
        <v>1.1106670000000001</v>
      </c>
      <c r="L958">
        <v>367.53050000000002</v>
      </c>
      <c r="M958">
        <v>0.99987979999999999</v>
      </c>
      <c r="N958">
        <v>0</v>
      </c>
      <c r="O958">
        <v>5.4889580000000004E-3</v>
      </c>
      <c r="P958">
        <v>0.98467249999999995</v>
      </c>
      <c r="Q958">
        <v>0.10992780000000001</v>
      </c>
      <c r="R958">
        <v>-0.135411</v>
      </c>
      <c r="S958">
        <v>2.9800110000000002</v>
      </c>
      <c r="T958">
        <v>-0.2377948</v>
      </c>
      <c r="U958">
        <v>-0.68157959999999995</v>
      </c>
      <c r="V958">
        <v>0.14082459999999999</v>
      </c>
      <c r="W958">
        <v>0.1241693</v>
      </c>
      <c r="X958">
        <v>0.98221709999999995</v>
      </c>
      <c r="Y958">
        <v>0.22760340000000001</v>
      </c>
      <c r="Z958">
        <v>-9.3834139999999996E-3</v>
      </c>
      <c r="AA958">
        <v>0.97370869999999998</v>
      </c>
      <c r="AB958">
        <v>22</v>
      </c>
      <c r="AC958">
        <v>13.7137999999999</v>
      </c>
      <c r="AD958">
        <v>-1.110671069346</v>
      </c>
      <c r="AE958">
        <v>-3.1846000000000401</v>
      </c>
      <c r="AF958">
        <v>3.2396718088101601</v>
      </c>
      <c r="AG958">
        <v>-1.110671069346</v>
      </c>
      <c r="AH958">
        <v>13.6113987666554</v>
      </c>
      <c r="AI958">
        <v>94.538685734159799</v>
      </c>
      <c r="AJ958">
        <v>76.612033330092302</v>
      </c>
      <c r="AK958">
        <v>14.0356417750664</v>
      </c>
      <c r="AL958">
        <v>82.867213606166899</v>
      </c>
      <c r="AM958">
        <v>81.840866543662301</v>
      </c>
      <c r="AN958">
        <v>1.0000000072800299</v>
      </c>
    </row>
    <row r="959" spans="1:40" x14ac:dyDescent="0.25">
      <c r="A959" t="str">
        <f>"20190312151242501"</f>
        <v>20190312151242501</v>
      </c>
      <c r="B959" t="str">
        <f>"1552374762490868"</f>
        <v>1552374762490868</v>
      </c>
      <c r="C959" t="s">
        <v>40</v>
      </c>
      <c r="D959">
        <v>4.5207980000000001</v>
      </c>
      <c r="E959">
        <v>0.53301379999999998</v>
      </c>
      <c r="F959" t="s">
        <v>42</v>
      </c>
      <c r="G959">
        <v>-222.4599</v>
      </c>
      <c r="H959" s="1">
        <v>-4.1561489999999998E-6</v>
      </c>
      <c r="I959">
        <v>364.322</v>
      </c>
      <c r="J959">
        <v>-236.14179999999999</v>
      </c>
      <c r="K959">
        <v>1.1106659999999999</v>
      </c>
      <c r="L959">
        <v>367.53160000000003</v>
      </c>
      <c r="M959">
        <v>0.99988030000000006</v>
      </c>
      <c r="N959">
        <v>0</v>
      </c>
      <c r="O959">
        <v>5.4555640000000004E-3</v>
      </c>
      <c r="P959">
        <v>0.98460579999999998</v>
      </c>
      <c r="Q959">
        <v>0.109806</v>
      </c>
      <c r="R959">
        <v>-0.13599459999999999</v>
      </c>
      <c r="S959">
        <v>2.978745</v>
      </c>
      <c r="T959">
        <v>-0.23790739999999999</v>
      </c>
      <c r="U959">
        <v>-0.68725590000000003</v>
      </c>
      <c r="V959">
        <v>0.14137479999999999</v>
      </c>
      <c r="W959">
        <v>0.124041</v>
      </c>
      <c r="X959">
        <v>0.98215430000000004</v>
      </c>
      <c r="Y959">
        <v>0.2294167</v>
      </c>
      <c r="Z959">
        <v>-9.4584869999999998E-3</v>
      </c>
      <c r="AA959">
        <v>0.97328230000000004</v>
      </c>
      <c r="AB959">
        <v>22</v>
      </c>
      <c r="AC959">
        <v>13.681899999999899</v>
      </c>
      <c r="AD959">
        <v>-1.110670156149</v>
      </c>
      <c r="AE959">
        <v>-3.2096000000000799</v>
      </c>
      <c r="AF959">
        <v>3.2638162610279902</v>
      </c>
      <c r="AG959">
        <v>-1.110670156149</v>
      </c>
      <c r="AH959">
        <v>13.5793656437693</v>
      </c>
      <c r="AI959">
        <v>94.546946528502701</v>
      </c>
      <c r="AJ959">
        <v>76.485244137143297</v>
      </c>
      <c r="AK959">
        <v>14.010184012663499</v>
      </c>
      <c r="AL959">
        <v>82.874622136268997</v>
      </c>
      <c r="AM959">
        <v>81.808903994440897</v>
      </c>
      <c r="AN959">
        <v>1.0000000363822601</v>
      </c>
    </row>
    <row r="960" spans="1:40" x14ac:dyDescent="0.25">
      <c r="A960" t="str">
        <f>"20190312151242524"</f>
        <v>20190312151242524</v>
      </c>
      <c r="B960" t="str">
        <f>"1552374762521125"</f>
        <v>1552374762521125</v>
      </c>
      <c r="C960" t="s">
        <v>40</v>
      </c>
      <c r="D960">
        <v>4.5144880000000001</v>
      </c>
      <c r="E960">
        <v>0.53320080000000003</v>
      </c>
      <c r="F960" t="s">
        <v>42</v>
      </c>
      <c r="G960">
        <v>-222.31280000000001</v>
      </c>
      <c r="H960" s="1">
        <v>-4.2177210000000002E-6</v>
      </c>
      <c r="I960">
        <v>364.3306</v>
      </c>
      <c r="J960">
        <v>-235.93170000000001</v>
      </c>
      <c r="K960">
        <v>1.1106640000000001</v>
      </c>
      <c r="L960">
        <v>367.53280000000001</v>
      </c>
      <c r="M960">
        <v>0.99988030000000006</v>
      </c>
      <c r="N960">
        <v>0</v>
      </c>
      <c r="O960">
        <v>5.4248459999999997E-3</v>
      </c>
      <c r="P960">
        <v>0.98453089999999999</v>
      </c>
      <c r="Q960">
        <v>0.110149</v>
      </c>
      <c r="R960">
        <v>-0.13625789999999999</v>
      </c>
      <c r="S960">
        <v>2.978348</v>
      </c>
      <c r="T960">
        <v>-0.23920240000000001</v>
      </c>
      <c r="U960">
        <v>-0.68939209999999995</v>
      </c>
      <c r="V960">
        <v>0.1416076</v>
      </c>
      <c r="W960">
        <v>0.1243779</v>
      </c>
      <c r="X960">
        <v>0.98207809999999995</v>
      </c>
      <c r="Y960">
        <v>0.2300681</v>
      </c>
      <c r="Z960">
        <v>-9.5336350000000004E-3</v>
      </c>
      <c r="AA960">
        <v>0.97312779999999999</v>
      </c>
      <c r="AB960">
        <v>22</v>
      </c>
      <c r="AC960">
        <v>13.618899999999901</v>
      </c>
      <c r="AD960">
        <v>-1.1106682177210001</v>
      </c>
      <c r="AE960">
        <v>-3.2021999999999999</v>
      </c>
      <c r="AF960">
        <v>3.25552304814435</v>
      </c>
      <c r="AG960">
        <v>-1.1106682177210001</v>
      </c>
      <c r="AH960">
        <v>13.516140483314301</v>
      </c>
      <c r="AI960">
        <v>94.567589914977304</v>
      </c>
      <c r="AJ960">
        <v>76.457583102828906</v>
      </c>
      <c r="AK960">
        <v>13.9469734269318</v>
      </c>
      <c r="AL960">
        <v>82.855168167509802</v>
      </c>
      <c r="AM960">
        <v>81.794971385036703</v>
      </c>
      <c r="AN960">
        <v>0.99999998444288896</v>
      </c>
    </row>
    <row r="961" spans="1:40" x14ac:dyDescent="0.25">
      <c r="A961" t="str">
        <f>"20190312151242547"</f>
        <v>20190312151242547</v>
      </c>
      <c r="B961" t="str">
        <f>"1552374762540644"</f>
        <v>1552374762540644</v>
      </c>
      <c r="C961" t="s">
        <v>40</v>
      </c>
      <c r="D961">
        <v>4.5303769999999997</v>
      </c>
      <c r="E961">
        <v>0.53319729999999999</v>
      </c>
      <c r="F961" t="s">
        <v>42</v>
      </c>
      <c r="G961">
        <v>-222.0026</v>
      </c>
      <c r="H961" s="1">
        <v>-4.3571000000000002E-6</v>
      </c>
      <c r="I961">
        <v>364.29509999999999</v>
      </c>
      <c r="J961">
        <v>-235.7064</v>
      </c>
      <c r="K961">
        <v>1.1106739999999999</v>
      </c>
      <c r="L961">
        <v>367.53399999999999</v>
      </c>
      <c r="M961">
        <v>0.99988069999999896</v>
      </c>
      <c r="N961">
        <v>0</v>
      </c>
      <c r="O961">
        <v>5.3913889999999999E-3</v>
      </c>
      <c r="P961">
        <v>0.98457070000000002</v>
      </c>
      <c r="Q961">
        <v>0.1099282</v>
      </c>
      <c r="R961">
        <v>-0.13614879999999999</v>
      </c>
      <c r="S961">
        <v>2.9779049999999998</v>
      </c>
      <c r="T961">
        <v>-0.2374481</v>
      </c>
      <c r="U961">
        <v>-0.69216919999999904</v>
      </c>
      <c r="V961">
        <v>0.1414658</v>
      </c>
      <c r="W961">
        <v>0.1241522</v>
      </c>
      <c r="X961">
        <v>0.98212710000000003</v>
      </c>
      <c r="Y961">
        <v>0.23093639999999999</v>
      </c>
      <c r="Z961">
        <v>-9.4957970000000003E-3</v>
      </c>
      <c r="AA961">
        <v>0.97292250000000002</v>
      </c>
      <c r="AB961">
        <v>22</v>
      </c>
      <c r="AC961">
        <v>13.703799999999999</v>
      </c>
      <c r="AD961">
        <v>-1.1106783570999901</v>
      </c>
      <c r="AE961">
        <v>-3.2389000000000001</v>
      </c>
      <c r="AF961">
        <v>3.2922607278982401</v>
      </c>
      <c r="AG961">
        <v>-1.1106783570999901</v>
      </c>
      <c r="AH961">
        <v>13.6015164175639</v>
      </c>
      <c r="AI961">
        <v>94.537854703250105</v>
      </c>
      <c r="AJ961">
        <v>76.3932047356505</v>
      </c>
      <c r="AK961">
        <v>14.038298898750201</v>
      </c>
      <c r="AL961">
        <v>82.868200887253806</v>
      </c>
      <c r="AM961">
        <v>81.803479258986698</v>
      </c>
      <c r="AN961">
        <v>0.99999999094444503</v>
      </c>
    </row>
    <row r="962" spans="1:40" x14ac:dyDescent="0.25">
      <c r="A962" t="str">
        <f>"20190312151242569"</f>
        <v>20190312151242569</v>
      </c>
      <c r="B962" t="str">
        <f>"1552374762561141"</f>
        <v>1552374762561141</v>
      </c>
      <c r="C962" t="s">
        <v>40</v>
      </c>
      <c r="D962">
        <v>4.5197640000000003</v>
      </c>
      <c r="E962">
        <v>0.53308509999999998</v>
      </c>
      <c r="F962" t="s">
        <v>42</v>
      </c>
      <c r="G962">
        <v>-221.8235</v>
      </c>
      <c r="H962" s="1">
        <v>-4.4313579999999997E-6</v>
      </c>
      <c r="I962">
        <v>364.30950000000001</v>
      </c>
      <c r="J962">
        <v>-235.4965</v>
      </c>
      <c r="K962">
        <v>1.1106659999999999</v>
      </c>
      <c r="L962">
        <v>367.53500000000003</v>
      </c>
      <c r="M962">
        <v>0.99988080000000001</v>
      </c>
      <c r="N962">
        <v>0</v>
      </c>
      <c r="O962">
        <v>5.361144E-3</v>
      </c>
      <c r="P962">
        <v>0.98462819999999995</v>
      </c>
      <c r="Q962">
        <v>0.1096485</v>
      </c>
      <c r="R962">
        <v>-0.13595779999999999</v>
      </c>
      <c r="S962">
        <v>2.9779819999999999</v>
      </c>
      <c r="T962">
        <v>-0.23824670000000001</v>
      </c>
      <c r="U962">
        <v>-0.6916504</v>
      </c>
      <c r="V962">
        <v>0.14124539999999999</v>
      </c>
      <c r="W962">
        <v>0.1238693</v>
      </c>
      <c r="X962">
        <v>0.98219449999999997</v>
      </c>
      <c r="Y962">
        <v>0.23073659999999999</v>
      </c>
      <c r="Z962">
        <v>-9.5173210000000005E-3</v>
      </c>
      <c r="AA962">
        <v>0.97296970000000005</v>
      </c>
      <c r="AB962">
        <v>21</v>
      </c>
      <c r="AC962">
        <v>13.673</v>
      </c>
      <c r="AD962">
        <v>-1.110670431358</v>
      </c>
      <c r="AE962">
        <v>-3.22550000000001</v>
      </c>
      <c r="AF962">
        <v>3.2782730198127501</v>
      </c>
      <c r="AG962">
        <v>-1.110670431358</v>
      </c>
      <c r="AH962">
        <v>13.5706841544391</v>
      </c>
      <c r="AI962">
        <v>94.548586561805806</v>
      </c>
      <c r="AJ962">
        <v>76.419230515705095</v>
      </c>
      <c r="AK962">
        <v>14.0051465975573</v>
      </c>
      <c r="AL962">
        <v>82.884535671430498</v>
      </c>
      <c r="AM962">
        <v>81.816630096992995</v>
      </c>
      <c r="AN962">
        <v>0.99999995116694795</v>
      </c>
    </row>
    <row r="963" spans="1:40" x14ac:dyDescent="0.25">
      <c r="A963" t="str">
        <f>"20190312151242592"</f>
        <v>20190312151242592</v>
      </c>
      <c r="B963" t="str">
        <f>"1552374762580660"</f>
        <v>1552374762580660</v>
      </c>
      <c r="C963" t="s">
        <v>40</v>
      </c>
      <c r="D963">
        <v>4.516394</v>
      </c>
      <c r="E963">
        <v>0.53609090000000004</v>
      </c>
      <c r="F963" t="s">
        <v>42</v>
      </c>
      <c r="G963">
        <v>-224.94399999999999</v>
      </c>
      <c r="H963" s="1">
        <v>-2.95469E-6</v>
      </c>
      <c r="I963">
        <v>365.08749999999998</v>
      </c>
      <c r="J963">
        <v>-235.27850000000001</v>
      </c>
      <c r="K963">
        <v>1.110665</v>
      </c>
      <c r="L963">
        <v>367.53620000000001</v>
      </c>
      <c r="M963">
        <v>0.99988120000000003</v>
      </c>
      <c r="N963">
        <v>0</v>
      </c>
      <c r="O963">
        <v>5.3287650000000001E-3</v>
      </c>
      <c r="P963">
        <v>0.98471520000000001</v>
      </c>
      <c r="Q963">
        <v>0.109914</v>
      </c>
      <c r="R963">
        <v>-0.13511189999999901</v>
      </c>
      <c r="S963">
        <v>2.9862060000000001</v>
      </c>
      <c r="T963">
        <v>-0.31430140000000001</v>
      </c>
      <c r="U963">
        <v>-0.6925964</v>
      </c>
      <c r="V963">
        <v>0.14036799999999999</v>
      </c>
      <c r="W963">
        <v>0.1241305</v>
      </c>
      <c r="X963">
        <v>0.98228729999999997</v>
      </c>
      <c r="Y963">
        <v>0.2298895</v>
      </c>
      <c r="Z963">
        <v>-1.246016E-2</v>
      </c>
      <c r="AA963">
        <v>0.97313700000000003</v>
      </c>
      <c r="AB963">
        <v>21</v>
      </c>
      <c r="AC963">
        <v>10.334499999999901</v>
      </c>
      <c r="AD963">
        <v>-1.11066795469</v>
      </c>
      <c r="AE963">
        <v>-2.4487000000000299</v>
      </c>
      <c r="AF963">
        <v>2.4766558704403101</v>
      </c>
      <c r="AG963">
        <v>-1.11066795469</v>
      </c>
      <c r="AH963">
        <v>10.2096484285288</v>
      </c>
      <c r="AI963">
        <v>96.034894371096399</v>
      </c>
      <c r="AJ963">
        <v>76.364579971199404</v>
      </c>
      <c r="AK963">
        <v>10.564294990216901</v>
      </c>
      <c r="AL963">
        <v>82.869453591185106</v>
      </c>
      <c r="AM963">
        <v>81.867540120502198</v>
      </c>
      <c r="AN963">
        <v>0.99999994809776804</v>
      </c>
    </row>
    <row r="964" spans="1:40" x14ac:dyDescent="0.25">
      <c r="A964" t="str">
        <f>"20190312151242614"</f>
        <v>20190312151242614</v>
      </c>
      <c r="B964" t="str">
        <f>"1552374762610916"</f>
        <v>1552374762610916</v>
      </c>
      <c r="C964" t="s">
        <v>40</v>
      </c>
      <c r="D964">
        <v>4.5207360000000003</v>
      </c>
      <c r="E964">
        <v>0.53566720000000001</v>
      </c>
      <c r="F964" t="s">
        <v>42</v>
      </c>
      <c r="G964">
        <v>-224.80250000000001</v>
      </c>
      <c r="H964" s="1">
        <v>-3.0257449999999999E-6</v>
      </c>
      <c r="I964">
        <v>365.029</v>
      </c>
      <c r="J964">
        <v>-235.06569999999999</v>
      </c>
      <c r="K964">
        <v>1.110673</v>
      </c>
      <c r="L964">
        <v>367.53730000000002</v>
      </c>
      <c r="M964">
        <v>0.99988140000000003</v>
      </c>
      <c r="N964">
        <v>0</v>
      </c>
      <c r="O964">
        <v>5.2973940000000004E-3</v>
      </c>
      <c r="P964">
        <v>0.98478319999999997</v>
      </c>
      <c r="Q964">
        <v>0.1102971</v>
      </c>
      <c r="R964">
        <v>-0.13430249999999999</v>
      </c>
      <c r="S964">
        <v>2.9838870000000002</v>
      </c>
      <c r="T964">
        <v>-0.31635150000000001</v>
      </c>
      <c r="U964">
        <v>-0.7141113</v>
      </c>
      <c r="V964">
        <v>0.13952800000000001</v>
      </c>
      <c r="W964">
        <v>0.1245095</v>
      </c>
      <c r="X964">
        <v>0.98235910000000004</v>
      </c>
      <c r="Y964">
        <v>0.2366161</v>
      </c>
      <c r="Z964">
        <v>-1.288769E-2</v>
      </c>
      <c r="AA964">
        <v>0.97151770000000004</v>
      </c>
      <c r="AB964">
        <v>21</v>
      </c>
      <c r="AC964">
        <v>10.2631999999999</v>
      </c>
      <c r="AD964">
        <v>-1.1106760257449999</v>
      </c>
      <c r="AE964">
        <v>-2.5083000000000202</v>
      </c>
      <c r="AF964">
        <v>2.5346277299011102</v>
      </c>
      <c r="AG964">
        <v>-1.1106760257449999</v>
      </c>
      <c r="AH964">
        <v>10.1377318591089</v>
      </c>
      <c r="AI964">
        <v>96.067018936076906</v>
      </c>
      <c r="AJ964">
        <v>75.962720526428399</v>
      </c>
      <c r="AK964">
        <v>10.5086415016661</v>
      </c>
      <c r="AL964">
        <v>82.847569370212099</v>
      </c>
      <c r="AM964">
        <v>81.916144756731995</v>
      </c>
      <c r="AN964">
        <v>1.00000003986352</v>
      </c>
    </row>
    <row r="965" spans="1:40" x14ac:dyDescent="0.25">
      <c r="A965" t="str">
        <f>"20190312151242636"</f>
        <v>20190312151242636</v>
      </c>
      <c r="B965" t="str">
        <f>"1552374762630436"</f>
        <v>1552374762630436</v>
      </c>
      <c r="C965" t="s">
        <v>40</v>
      </c>
      <c r="D965">
        <v>4.5461859999999996</v>
      </c>
      <c r="E965">
        <v>0.53565850000000004</v>
      </c>
      <c r="F965" t="s">
        <v>42</v>
      </c>
      <c r="G965">
        <v>-224.3503</v>
      </c>
      <c r="H965" s="1">
        <v>-3.2255240000000001E-6</v>
      </c>
      <c r="I965">
        <v>364.99639999999999</v>
      </c>
      <c r="J965">
        <v>-234.85900000000001</v>
      </c>
      <c r="K965">
        <v>1.1106739999999999</v>
      </c>
      <c r="L965">
        <v>367.53829999999999</v>
      </c>
      <c r="M965">
        <v>0.99988160000000004</v>
      </c>
      <c r="N965">
        <v>0</v>
      </c>
      <c r="O965">
        <v>5.2673310000000001E-3</v>
      </c>
      <c r="P965">
        <v>0.98481410000000003</v>
      </c>
      <c r="Q965">
        <v>0.1103341</v>
      </c>
      <c r="R965">
        <v>-0.13404360000000001</v>
      </c>
      <c r="S965">
        <v>2.9845120000000001</v>
      </c>
      <c r="T965">
        <v>-0.30934929999999999</v>
      </c>
      <c r="U965">
        <v>-0.70767209999999903</v>
      </c>
      <c r="V965">
        <v>0.13923969999999999</v>
      </c>
      <c r="W965">
        <v>0.1245426</v>
      </c>
      <c r="X965">
        <v>0.98239580000000004</v>
      </c>
      <c r="Y965">
        <v>0.2346229</v>
      </c>
      <c r="Z965">
        <v>-1.2499740000000001E-2</v>
      </c>
      <c r="AA965">
        <v>0.97200609999999998</v>
      </c>
      <c r="AB965">
        <v>21</v>
      </c>
      <c r="AC965">
        <v>10.508699999999999</v>
      </c>
      <c r="AD965">
        <v>-1.1106772255239901</v>
      </c>
      <c r="AE965">
        <v>-2.5418999999999898</v>
      </c>
      <c r="AF965">
        <v>2.5701005805980999</v>
      </c>
      <c r="AG965">
        <v>-1.1106772255239901</v>
      </c>
      <c r="AH965">
        <v>10.3855630303889</v>
      </c>
      <c r="AI965">
        <v>95.926804451226303</v>
      </c>
      <c r="AJ965">
        <v>76.100345332163897</v>
      </c>
      <c r="AK965">
        <v>10.7563441908424</v>
      </c>
      <c r="AL965">
        <v>82.845657935670303</v>
      </c>
      <c r="AM965">
        <v>81.932925335289596</v>
      </c>
      <c r="AN965">
        <v>1.00000003056424</v>
      </c>
    </row>
    <row r="966" spans="1:40" x14ac:dyDescent="0.25">
      <c r="A966" t="str">
        <f>"20190312151242657"</f>
        <v>20190312151242657</v>
      </c>
      <c r="B966" t="str">
        <f>"1552374762650932"</f>
        <v>1552374762650932</v>
      </c>
      <c r="C966" t="s">
        <v>40</v>
      </c>
      <c r="D966">
        <v>4.5119009999999999</v>
      </c>
      <c r="E966">
        <v>0.53569669999999903</v>
      </c>
      <c r="F966" t="s">
        <v>42</v>
      </c>
      <c r="G966">
        <v>-224.2723</v>
      </c>
      <c r="H966" s="1">
        <v>-3.2531659999999999E-6</v>
      </c>
      <c r="I966">
        <v>365.0292</v>
      </c>
      <c r="J966">
        <v>-234.6533</v>
      </c>
      <c r="K966">
        <v>1.1106750000000001</v>
      </c>
      <c r="L966">
        <v>367.5394</v>
      </c>
      <c r="M966">
        <v>0.99988180000000004</v>
      </c>
      <c r="N966">
        <v>0</v>
      </c>
      <c r="O966">
        <v>5.2370890000000003E-3</v>
      </c>
      <c r="P966">
        <v>0.98483430000000005</v>
      </c>
      <c r="Q966">
        <v>0.1103866</v>
      </c>
      <c r="R966">
        <v>-0.13385279999999899</v>
      </c>
      <c r="S966">
        <v>2.9850620000000001</v>
      </c>
      <c r="T966">
        <v>-0.31316709999999998</v>
      </c>
      <c r="U966">
        <v>-0.70745849999999999</v>
      </c>
      <c r="V966">
        <v>0.13901939999999999</v>
      </c>
      <c r="W966">
        <v>0.1245904</v>
      </c>
      <c r="X966">
        <v>0.98242090000000004</v>
      </c>
      <c r="Y966">
        <v>0.23445869999999999</v>
      </c>
      <c r="Z966">
        <v>-1.263946E-2</v>
      </c>
      <c r="AA966">
        <v>0.97204389999999996</v>
      </c>
      <c r="AB966">
        <v>21</v>
      </c>
      <c r="AC966">
        <v>10.380999999999901</v>
      </c>
      <c r="AD966">
        <v>-1.110678253166</v>
      </c>
      <c r="AE966">
        <v>-2.51019999999999</v>
      </c>
      <c r="AF966">
        <v>2.53709919833469</v>
      </c>
      <c r="AG966">
        <v>-1.110678253166</v>
      </c>
      <c r="AH966">
        <v>10.2567848077246</v>
      </c>
      <c r="AI966">
        <v>96.000837233884397</v>
      </c>
      <c r="AJ966">
        <v>76.106308386164699</v>
      </c>
      <c r="AK966">
        <v>10.6241288168121</v>
      </c>
      <c r="AL966">
        <v>82.842897428850705</v>
      </c>
      <c r="AM966">
        <v>81.945724232591402</v>
      </c>
      <c r="AN966">
        <v>0.99999999305266496</v>
      </c>
    </row>
    <row r="967" spans="1:40" x14ac:dyDescent="0.25">
      <c r="A967" t="str">
        <f>"20190312151242681"</f>
        <v>20190312151242681</v>
      </c>
      <c r="B967" t="str">
        <f>"1552374762670464"</f>
        <v>1552374762670464</v>
      </c>
      <c r="C967" t="s">
        <v>40</v>
      </c>
      <c r="D967">
        <v>4.9347909999999997</v>
      </c>
      <c r="E967">
        <v>0.53561269999999905</v>
      </c>
      <c r="F967" t="s">
        <v>42</v>
      </c>
      <c r="G967">
        <v>-224.13399999999999</v>
      </c>
      <c r="H967" s="1">
        <v>-3.3092130000000002E-6</v>
      </c>
      <c r="I967">
        <v>365.04790000000003</v>
      </c>
      <c r="J967">
        <v>-234.43469999999999</v>
      </c>
      <c r="K967">
        <v>1.110684</v>
      </c>
      <c r="L967">
        <v>367.54050000000001</v>
      </c>
      <c r="M967">
        <v>0.99988200000000005</v>
      </c>
      <c r="N967">
        <v>0</v>
      </c>
      <c r="O967">
        <v>5.2051809999999997E-3</v>
      </c>
      <c r="P967">
        <v>0.98481680000000005</v>
      </c>
      <c r="Q967">
        <v>0.1103428</v>
      </c>
      <c r="R967">
        <v>-0.13401629999999901</v>
      </c>
      <c r="S967">
        <v>2.9854129999999999</v>
      </c>
      <c r="T967">
        <v>-0.3152103</v>
      </c>
      <c r="U967">
        <v>-0.70709230000000001</v>
      </c>
      <c r="V967">
        <v>0.13915150000000001</v>
      </c>
      <c r="W967">
        <v>0.1245412</v>
      </c>
      <c r="X967">
        <v>0.98240850000000002</v>
      </c>
      <c r="Y967">
        <v>0.23427429999999999</v>
      </c>
      <c r="Z967">
        <v>-1.2707319999999999E-2</v>
      </c>
      <c r="AA967">
        <v>0.97208749999999999</v>
      </c>
      <c r="AB967">
        <v>21</v>
      </c>
      <c r="AC967">
        <v>10.3006999999999</v>
      </c>
      <c r="AD967">
        <v>-1.1106873092129901</v>
      </c>
      <c r="AE967">
        <v>-2.4925999999999799</v>
      </c>
      <c r="AF967">
        <v>2.5185268790555799</v>
      </c>
      <c r="AG967">
        <v>-1.1106873092129901</v>
      </c>
      <c r="AH967">
        <v>10.1758196716664</v>
      </c>
      <c r="AI967">
        <v>96.048079890085205</v>
      </c>
      <c r="AJ967">
        <v>76.098588161578903</v>
      </c>
      <c r="AK967">
        <v>10.5415326176816</v>
      </c>
      <c r="AL967">
        <v>82.845738959665894</v>
      </c>
      <c r="AM967">
        <v>81.938070991304301</v>
      </c>
      <c r="AN967">
        <v>1.0000000556609601</v>
      </c>
    </row>
    <row r="968" spans="1:40" x14ac:dyDescent="0.25">
      <c r="A968" t="str">
        <f>"20190312151242702"</f>
        <v>20190312151242702</v>
      </c>
      <c r="B968" t="str">
        <f>"1552374762690949"</f>
        <v>1552374762690949</v>
      </c>
      <c r="C968" t="s">
        <v>40</v>
      </c>
      <c r="D968">
        <v>4.5098089999999997</v>
      </c>
      <c r="E968">
        <v>0.53679790000000005</v>
      </c>
      <c r="F968" t="s">
        <v>42</v>
      </c>
      <c r="G968">
        <v>-223.92509999999999</v>
      </c>
      <c r="H968" s="1">
        <v>-3.398149E-6</v>
      </c>
      <c r="I968">
        <v>365.05160000000001</v>
      </c>
      <c r="J968">
        <v>-234.23150000000001</v>
      </c>
      <c r="K968">
        <v>1.1106910000000001</v>
      </c>
      <c r="L968">
        <v>367.54149999999998</v>
      </c>
      <c r="M968">
        <v>0.9998823</v>
      </c>
      <c r="N968">
        <v>0</v>
      </c>
      <c r="O968">
        <v>5.1749450000000002E-3</v>
      </c>
      <c r="P968">
        <v>0.98473259999999996</v>
      </c>
      <c r="Q968">
        <v>0.1106366</v>
      </c>
      <c r="R968">
        <v>-0.13439179999999901</v>
      </c>
      <c r="S968">
        <v>2.9853969999999999</v>
      </c>
      <c r="T968">
        <v>-0.31550509999999998</v>
      </c>
      <c r="U968">
        <v>-0.70700069999999904</v>
      </c>
      <c r="V968">
        <v>0.1394966</v>
      </c>
      <c r="W968">
        <v>0.1248288</v>
      </c>
      <c r="X968">
        <v>0.98232299999999995</v>
      </c>
      <c r="Y968">
        <v>0.2342159</v>
      </c>
      <c r="Z968">
        <v>-1.271307E-2</v>
      </c>
      <c r="AA968">
        <v>0.97210149999999995</v>
      </c>
      <c r="AB968">
        <v>21</v>
      </c>
      <c r="AC968">
        <v>10.3064</v>
      </c>
      <c r="AD968">
        <v>-1.1106943981490001</v>
      </c>
      <c r="AE968">
        <v>-2.4898999999999698</v>
      </c>
      <c r="AF968">
        <v>2.51560264224719</v>
      </c>
      <c r="AG968">
        <v>-1.1106943981490001</v>
      </c>
      <c r="AH968">
        <v>10.181648574260601</v>
      </c>
      <c r="AI968">
        <v>96.045281070633806</v>
      </c>
      <c r="AJ968">
        <v>76.121746126219406</v>
      </c>
      <c r="AK968">
        <v>10.546462268908099</v>
      </c>
      <c r="AL968">
        <v>82.829130716994996</v>
      </c>
      <c r="AM968">
        <v>81.917646856293103</v>
      </c>
      <c r="AN968">
        <v>1.0000000035249901</v>
      </c>
    </row>
    <row r="969" spans="1:40" x14ac:dyDescent="0.25">
      <c r="A969" t="str">
        <f>"20190312151242725"</f>
        <v>20190312151242725</v>
      </c>
      <c r="B969" t="str">
        <f>"1552374762720228"</f>
        <v>1552374762720228</v>
      </c>
      <c r="C969" t="s">
        <v>40</v>
      </c>
      <c r="D969">
        <v>4.4941180000000003</v>
      </c>
      <c r="E969">
        <v>0.53898480000000004</v>
      </c>
      <c r="F969" t="s">
        <v>42</v>
      </c>
      <c r="G969">
        <v>-220.51220000000001</v>
      </c>
      <c r="H969" s="1">
        <v>-5.0050789999999998E-6</v>
      </c>
      <c r="I969">
        <v>364.24639999999999</v>
      </c>
      <c r="J969">
        <v>-234.01929999999999</v>
      </c>
      <c r="K969">
        <v>1.1106929999999999</v>
      </c>
      <c r="L969">
        <v>367.54259999999999</v>
      </c>
      <c r="M969">
        <v>0.99988250000000001</v>
      </c>
      <c r="N969">
        <v>0</v>
      </c>
      <c r="O969">
        <v>5.1440469999999997E-3</v>
      </c>
      <c r="P969">
        <v>0.98471810000000004</v>
      </c>
      <c r="Q969">
        <v>0.1107506</v>
      </c>
      <c r="R969">
        <v>-0.13440479999999999</v>
      </c>
      <c r="S969">
        <v>2.976013</v>
      </c>
      <c r="T969">
        <v>-0.24093249999999999</v>
      </c>
      <c r="U969">
        <v>-0.71475219999999995</v>
      </c>
      <c r="V969">
        <v>0.13947899999999999</v>
      </c>
      <c r="W969">
        <v>0.1249376</v>
      </c>
      <c r="X969">
        <v>0.98231170000000001</v>
      </c>
      <c r="Y969">
        <v>0.23777770000000001</v>
      </c>
      <c r="Z969">
        <v>-9.8852980000000007E-3</v>
      </c>
      <c r="AA969">
        <v>0.9712693</v>
      </c>
      <c r="AB969">
        <v>21</v>
      </c>
      <c r="AC969">
        <v>13.5070999999999</v>
      </c>
      <c r="AD969">
        <v>-1.1106980050790001</v>
      </c>
      <c r="AE969">
        <v>-3.29619999999999</v>
      </c>
      <c r="AF969">
        <v>3.3443020214733701</v>
      </c>
      <c r="AG969">
        <v>-1.1106980050790001</v>
      </c>
      <c r="AH969">
        <v>13.404418979071</v>
      </c>
      <c r="AI969">
        <v>94.5964748773861</v>
      </c>
      <c r="AJ969">
        <v>75.9911268810976</v>
      </c>
      <c r="AK969">
        <v>13.8598865159782</v>
      </c>
      <c r="AL969">
        <v>82.822847981429206</v>
      </c>
      <c r="AM969">
        <v>81.918561383181896</v>
      </c>
      <c r="AN969">
        <v>1.0000000356458201</v>
      </c>
    </row>
    <row r="970" spans="1:40" x14ac:dyDescent="0.25">
      <c r="A970" t="str">
        <f>"20190312151242748"</f>
        <v>20190312151242748</v>
      </c>
      <c r="B970" t="str">
        <f>"1552374762740727"</f>
        <v>1552374762740727</v>
      </c>
      <c r="C970" t="s">
        <v>40</v>
      </c>
      <c r="D970">
        <v>4.5057390000000002</v>
      </c>
      <c r="E970">
        <v>0.538717</v>
      </c>
      <c r="F970" t="s">
        <v>42</v>
      </c>
      <c r="G970">
        <v>-221.61019999999999</v>
      </c>
      <c r="H970" s="1">
        <v>-4.4916170000000002E-6</v>
      </c>
      <c r="I970">
        <v>364.48570000000001</v>
      </c>
      <c r="J970">
        <v>-233.80369999999999</v>
      </c>
      <c r="K970">
        <v>1.110687</v>
      </c>
      <c r="L970">
        <v>367.5437</v>
      </c>
      <c r="M970">
        <v>0.99988279999999996</v>
      </c>
      <c r="N970">
        <v>0</v>
      </c>
      <c r="O970">
        <v>5.1119620000000003E-3</v>
      </c>
      <c r="P970">
        <v>0.98465029999999998</v>
      </c>
      <c r="Q970">
        <v>0.1109265</v>
      </c>
      <c r="R970">
        <v>-0.13475699999999999</v>
      </c>
      <c r="S970">
        <v>2.9764400000000002</v>
      </c>
      <c r="T970">
        <v>-0.26640940000000002</v>
      </c>
      <c r="U970">
        <v>-0.73321530000000001</v>
      </c>
      <c r="V970">
        <v>0.13979949999999999</v>
      </c>
      <c r="W970">
        <v>0.12510750000000001</v>
      </c>
      <c r="X970">
        <v>0.98224449999999996</v>
      </c>
      <c r="Y970">
        <v>0.24321380000000001</v>
      </c>
      <c r="Z970">
        <v>-1.115385E-2</v>
      </c>
      <c r="AA970">
        <v>0.96990860000000001</v>
      </c>
      <c r="AB970">
        <v>21</v>
      </c>
      <c r="AC970">
        <v>12.1935</v>
      </c>
      <c r="AD970">
        <v>-1.1106914916170001</v>
      </c>
      <c r="AE970">
        <v>-3.0579999999999901</v>
      </c>
      <c r="AF970">
        <v>3.0961302257742598</v>
      </c>
      <c r="AG970">
        <v>-1.1106914916170001</v>
      </c>
      <c r="AH970">
        <v>12.0833813530759</v>
      </c>
      <c r="AI970">
        <v>95.088334181022404</v>
      </c>
      <c r="AJ970">
        <v>75.6282725031799</v>
      </c>
      <c r="AK970">
        <v>12.5230891911048</v>
      </c>
      <c r="AL970">
        <v>82.813036349898994</v>
      </c>
      <c r="AM970">
        <v>81.899690911769298</v>
      </c>
      <c r="AN970">
        <v>1.00000002226837</v>
      </c>
    </row>
    <row r="971" spans="1:40" x14ac:dyDescent="0.25">
      <c r="A971" t="str">
        <f>"20190312151242770"</f>
        <v>20190312151242770</v>
      </c>
      <c r="B971" t="str">
        <f>"1552374762760245"</f>
        <v>1552374762760245</v>
      </c>
      <c r="C971" t="s">
        <v>40</v>
      </c>
      <c r="D971">
        <v>4.4862729999999997</v>
      </c>
      <c r="E971">
        <v>0.5385934</v>
      </c>
      <c r="F971" t="s">
        <v>42</v>
      </c>
      <c r="G971">
        <v>-221.94630000000001</v>
      </c>
      <c r="H971" s="1">
        <v>-4.3222940000000004E-6</v>
      </c>
      <c r="I971">
        <v>364.62729999999999</v>
      </c>
      <c r="J971">
        <v>-233.59209999999999</v>
      </c>
      <c r="K971">
        <v>1.1106879999999999</v>
      </c>
      <c r="L971">
        <v>367.54469999999998</v>
      </c>
      <c r="M971">
        <v>0.99988299999999997</v>
      </c>
      <c r="N971">
        <v>0</v>
      </c>
      <c r="O971">
        <v>5.0804170000000003E-3</v>
      </c>
      <c r="P971">
        <v>0.98464169999999995</v>
      </c>
      <c r="Q971">
        <v>0.1104869</v>
      </c>
      <c r="R971">
        <v>-0.135178399999999</v>
      </c>
      <c r="S971">
        <v>2.977951</v>
      </c>
      <c r="T971">
        <v>-0.27894560000000002</v>
      </c>
      <c r="U971">
        <v>-0.73242189999999996</v>
      </c>
      <c r="V971">
        <v>0.1401898</v>
      </c>
      <c r="W971">
        <v>0.1246627</v>
      </c>
      <c r="X971">
        <v>0.98224540000000005</v>
      </c>
      <c r="Y971">
        <v>0.24273819999999999</v>
      </c>
      <c r="Z971">
        <v>-1.164639E-2</v>
      </c>
      <c r="AA971">
        <v>0.97002189999999999</v>
      </c>
      <c r="AB971">
        <v>21</v>
      </c>
      <c r="AC971">
        <v>11.6457999999999</v>
      </c>
      <c r="AD971">
        <v>-1.1106923222939999</v>
      </c>
      <c r="AE971">
        <v>-2.9173999999999798</v>
      </c>
      <c r="AF971">
        <v>2.9512745046953599</v>
      </c>
      <c r="AG971">
        <v>-1.1106923222939999</v>
      </c>
      <c r="AH971">
        <v>11.532124792762099</v>
      </c>
      <c r="AI971">
        <v>95.330598876544002</v>
      </c>
      <c r="AJ971">
        <v>75.645090586174007</v>
      </c>
      <c r="AK971">
        <v>11.955482460892499</v>
      </c>
      <c r="AL971">
        <v>82.838722424859995</v>
      </c>
      <c r="AM971">
        <v>81.877384741363699</v>
      </c>
      <c r="AN971">
        <v>0.99999999730824496</v>
      </c>
    </row>
    <row r="972" spans="1:40" x14ac:dyDescent="0.25">
      <c r="A972" t="str">
        <f>"20190312151242793"</f>
        <v>20190312151242793</v>
      </c>
      <c r="B972" t="str">
        <f>"1552374762780740"</f>
        <v>1552374762780740</v>
      </c>
      <c r="C972" t="s">
        <v>40</v>
      </c>
      <c r="D972">
        <v>4.4670389999999998</v>
      </c>
      <c r="E972">
        <v>0.538574</v>
      </c>
      <c r="F972" t="s">
        <v>42</v>
      </c>
      <c r="G972">
        <v>-222.2055</v>
      </c>
      <c r="H972" s="1">
        <v>-4.1905500000000001E-6</v>
      </c>
      <c r="I972">
        <v>364.74329999999998</v>
      </c>
      <c r="J972">
        <v>-233.3827</v>
      </c>
      <c r="K972">
        <v>1.1106910000000001</v>
      </c>
      <c r="L972">
        <v>367.54570000000001</v>
      </c>
      <c r="M972">
        <v>0.99988310000000002</v>
      </c>
      <c r="N972">
        <v>0</v>
      </c>
      <c r="O972">
        <v>5.0495219999999999E-3</v>
      </c>
      <c r="P972">
        <v>0.98461109999999996</v>
      </c>
      <c r="Q972">
        <v>0.11009289999999899</v>
      </c>
      <c r="R972">
        <v>-0.1357225</v>
      </c>
      <c r="S972">
        <v>2.9787750000000002</v>
      </c>
      <c r="T972">
        <v>-0.29055760000000003</v>
      </c>
      <c r="U972">
        <v>-0.73281859999999999</v>
      </c>
      <c r="V972">
        <v>0.1407031</v>
      </c>
      <c r="W972">
        <v>0.1242634</v>
      </c>
      <c r="X972">
        <v>0.98222259999999995</v>
      </c>
      <c r="Y972">
        <v>0.24268210000000001</v>
      </c>
      <c r="Z972">
        <v>-1.2119980000000001E-2</v>
      </c>
      <c r="AA972">
        <v>0.97003010000000001</v>
      </c>
      <c r="AB972">
        <v>21</v>
      </c>
      <c r="AC972">
        <v>11.177199999999999</v>
      </c>
      <c r="AD972">
        <v>-1.11069519055</v>
      </c>
      <c r="AE972">
        <v>-2.8024000000000302</v>
      </c>
      <c r="AF972">
        <v>2.83249392692368</v>
      </c>
      <c r="AG972">
        <v>-1.11069519055</v>
      </c>
      <c r="AH972">
        <v>11.060149148597899</v>
      </c>
      <c r="AI972">
        <v>95.556453140186093</v>
      </c>
      <c r="AJ972">
        <v>75.635336333862199</v>
      </c>
      <c r="AK972">
        <v>11.470987962752</v>
      </c>
      <c r="AL972">
        <v>82.861779905902907</v>
      </c>
      <c r="AM972">
        <v>81.847856415587202</v>
      </c>
      <c r="AN972">
        <v>0.99999999543996398</v>
      </c>
    </row>
    <row r="973" spans="1:40" x14ac:dyDescent="0.25">
      <c r="A973" t="str">
        <f>"20190312151242815"</f>
        <v>20190312151242815</v>
      </c>
      <c r="B973" t="str">
        <f>"1552374762810998"</f>
        <v>1552374762810998</v>
      </c>
      <c r="C973" t="s">
        <v>40</v>
      </c>
      <c r="D973">
        <v>4.5036930000000002</v>
      </c>
      <c r="E973">
        <v>0.53878219999999899</v>
      </c>
      <c r="F973" t="s">
        <v>42</v>
      </c>
      <c r="G973">
        <v>-222.24529999999999</v>
      </c>
      <c r="H973" s="1">
        <v>-4.1637170000000003E-6</v>
      </c>
      <c r="I973">
        <v>364.79820000000001</v>
      </c>
      <c r="J973">
        <v>-233.1711</v>
      </c>
      <c r="K973">
        <v>1.1106849999999999</v>
      </c>
      <c r="L973">
        <v>367.54680000000002</v>
      </c>
      <c r="M973">
        <v>0.99988350000000004</v>
      </c>
      <c r="N973">
        <v>0</v>
      </c>
      <c r="O973">
        <v>5.0184460000000002E-3</v>
      </c>
      <c r="P973">
        <v>0.98461410000000005</v>
      </c>
      <c r="Q973">
        <v>0.10980959999999999</v>
      </c>
      <c r="R973">
        <v>-0.1359301</v>
      </c>
      <c r="S973">
        <v>2.9788060000000001</v>
      </c>
      <c r="T973">
        <v>-0.29706549999999998</v>
      </c>
      <c r="U973">
        <v>-0.73483279999999995</v>
      </c>
      <c r="V973">
        <v>0.14088020000000001</v>
      </c>
      <c r="W973">
        <v>0.1239748</v>
      </c>
      <c r="X973">
        <v>0.98223369999999999</v>
      </c>
      <c r="Y973">
        <v>0.24321580000000001</v>
      </c>
      <c r="Z973">
        <v>-1.241218E-2</v>
      </c>
      <c r="AA973">
        <v>0.9698928</v>
      </c>
      <c r="AB973">
        <v>21</v>
      </c>
      <c r="AC973">
        <v>10.925800000000001</v>
      </c>
      <c r="AD973">
        <v>-1.110689163717</v>
      </c>
      <c r="AE973">
        <v>-2.7486000000000099</v>
      </c>
      <c r="AF973">
        <v>2.7764172216934599</v>
      </c>
      <c r="AG973">
        <v>-1.110689163717</v>
      </c>
      <c r="AH973">
        <v>10.8068340941198</v>
      </c>
      <c r="AI973">
        <v>95.684716964203204</v>
      </c>
      <c r="AJ973">
        <v>75.591575346215294</v>
      </c>
      <c r="AK973">
        <v>11.2129294185393</v>
      </c>
      <c r="AL973">
        <v>82.878444444223206</v>
      </c>
      <c r="AM973">
        <v>81.837824661690505</v>
      </c>
      <c r="AN973">
        <v>1.0000000116013801</v>
      </c>
    </row>
    <row r="974" spans="1:40" x14ac:dyDescent="0.25">
      <c r="A974" t="str">
        <f>"20190312151242838"</f>
        <v>20190312151242838</v>
      </c>
      <c r="B974" t="str">
        <f>"1552374762830517"</f>
        <v>1552374762830517</v>
      </c>
      <c r="C974" t="s">
        <v>40</v>
      </c>
      <c r="D974">
        <v>4.4871740000000004</v>
      </c>
      <c r="E974">
        <v>0.53896909999999998</v>
      </c>
      <c r="F974" t="s">
        <v>42</v>
      </c>
      <c r="G974">
        <v>-222.30240000000001</v>
      </c>
      <c r="H974" s="1">
        <v>-4.1292329999999996E-6</v>
      </c>
      <c r="I974">
        <v>364.85449999999997</v>
      </c>
      <c r="J974">
        <v>-232.95859999999999</v>
      </c>
      <c r="K974">
        <v>1.1106799999999999</v>
      </c>
      <c r="L974">
        <v>367.5478</v>
      </c>
      <c r="M974">
        <v>0.99988379999999999</v>
      </c>
      <c r="N974">
        <v>0</v>
      </c>
      <c r="O974">
        <v>4.9863549999999996E-3</v>
      </c>
      <c r="P974">
        <v>0.98464770000000001</v>
      </c>
      <c r="Q974">
        <v>0.109218</v>
      </c>
      <c r="R974">
        <v>-0.13616449999999999</v>
      </c>
      <c r="S974">
        <v>2.9789729999999999</v>
      </c>
      <c r="T974">
        <v>-0.30442540000000001</v>
      </c>
      <c r="U974">
        <v>-0.73791499999999999</v>
      </c>
      <c r="V974">
        <v>0.14108309999999999</v>
      </c>
      <c r="W974">
        <v>0.1233786</v>
      </c>
      <c r="X974">
        <v>0.98227969999999998</v>
      </c>
      <c r="Y974">
        <v>0.244056</v>
      </c>
      <c r="Z974">
        <v>-1.275491E-2</v>
      </c>
      <c r="AA974">
        <v>0.96967729999999996</v>
      </c>
      <c r="AB974">
        <v>21</v>
      </c>
      <c r="AC974">
        <v>10.656199999999901</v>
      </c>
      <c r="AD974">
        <v>-1.1106841292330001</v>
      </c>
      <c r="AE974">
        <v>-2.6933000000000198</v>
      </c>
      <c r="AF974">
        <v>2.7186465302798002</v>
      </c>
      <c r="AG974">
        <v>-1.1106841292330001</v>
      </c>
      <c r="AH974">
        <v>10.535059025480701</v>
      </c>
      <c r="AI974">
        <v>95.828743540497996</v>
      </c>
      <c r="AJ974">
        <v>75.530105557990595</v>
      </c>
      <c r="AK974">
        <v>10.936732915358901</v>
      </c>
      <c r="AL974">
        <v>82.912868853450902</v>
      </c>
      <c r="AM974">
        <v>81.826605585106805</v>
      </c>
      <c r="AN974">
        <v>1.00000006453782</v>
      </c>
    </row>
    <row r="975" spans="1:40" x14ac:dyDescent="0.25">
      <c r="A975" t="str">
        <f>"20190312151242859"</f>
        <v>20190312151242859</v>
      </c>
      <c r="B975" t="str">
        <f>"1552374762851013"</f>
        <v>1552374762851013</v>
      </c>
      <c r="C975" t="s">
        <v>40</v>
      </c>
      <c r="D975">
        <v>4.489484</v>
      </c>
      <c r="E975">
        <v>0.53917459999999995</v>
      </c>
      <c r="F975" t="s">
        <v>42</v>
      </c>
      <c r="G975">
        <v>-222.27099999999999</v>
      </c>
      <c r="H975" s="1">
        <v>-4.1359359999999998E-6</v>
      </c>
      <c r="I975">
        <v>364.89260000000002</v>
      </c>
      <c r="J975">
        <v>-232.7627</v>
      </c>
      <c r="K975">
        <v>1.110676</v>
      </c>
      <c r="L975">
        <v>367.5487</v>
      </c>
      <c r="M975">
        <v>0.99988390000000005</v>
      </c>
      <c r="N975">
        <v>0</v>
      </c>
      <c r="O975">
        <v>4.9544239999999998E-3</v>
      </c>
      <c r="P975">
        <v>0.98467709999999997</v>
      </c>
      <c r="Q975">
        <v>0.1090954</v>
      </c>
      <c r="R975">
        <v>-0.1360479</v>
      </c>
      <c r="S975">
        <v>2.97879</v>
      </c>
      <c r="T975">
        <v>-0.30956329999999999</v>
      </c>
      <c r="U975">
        <v>-0.74002080000000003</v>
      </c>
      <c r="V975">
        <v>0.1409358</v>
      </c>
      <c r="W975">
        <v>0.12325179999999999</v>
      </c>
      <c r="X975">
        <v>0.98231670000000004</v>
      </c>
      <c r="Y975">
        <v>0.24464040000000001</v>
      </c>
      <c r="Z975">
        <v>-1.2995349999999999E-2</v>
      </c>
      <c r="AA975">
        <v>0.96952680000000002</v>
      </c>
      <c r="AB975">
        <v>21</v>
      </c>
      <c r="AC975">
        <v>10.4917</v>
      </c>
      <c r="AD975">
        <v>-1.1106801359359999</v>
      </c>
      <c r="AE975">
        <v>-2.6560999999999799</v>
      </c>
      <c r="AF975">
        <v>2.67982937626372</v>
      </c>
      <c r="AG975">
        <v>-1.1106801359359999</v>
      </c>
      <c r="AH975">
        <v>10.3692027909266</v>
      </c>
      <c r="AI975">
        <v>95.920749610697399</v>
      </c>
      <c r="AJ975">
        <v>75.509472083412703</v>
      </c>
      <c r="AK975">
        <v>10.767333113153301</v>
      </c>
      <c r="AL975">
        <v>82.9201893934395</v>
      </c>
      <c r="AM975">
        <v>81.835327417460206</v>
      </c>
      <c r="AN975">
        <v>1.00000000251188</v>
      </c>
    </row>
    <row r="976" spans="1:40" x14ac:dyDescent="0.25">
      <c r="A976" t="str">
        <f>"20190312151242881"</f>
        <v>20190312151242881</v>
      </c>
      <c r="B976" t="str">
        <f>"1552374762870532"</f>
        <v>1552374762870532</v>
      </c>
      <c r="C976" t="s">
        <v>40</v>
      </c>
      <c r="D976">
        <v>4.5152739999999998</v>
      </c>
      <c r="E976">
        <v>0.53934099999999996</v>
      </c>
      <c r="F976" t="s">
        <v>42</v>
      </c>
      <c r="G976">
        <v>-222.07939999999999</v>
      </c>
      <c r="H976" s="1">
        <v>-4.2186639999999998E-6</v>
      </c>
      <c r="I976">
        <v>364.8897</v>
      </c>
      <c r="J976">
        <v>-232.55539999999999</v>
      </c>
      <c r="K976">
        <v>1.1106750000000001</v>
      </c>
      <c r="L976">
        <v>367.54969999999997</v>
      </c>
      <c r="M976">
        <v>0.9998842</v>
      </c>
      <c r="N976">
        <v>0</v>
      </c>
      <c r="O976">
        <v>4.9143440000000002E-3</v>
      </c>
      <c r="P976">
        <v>0.98472579999999998</v>
      </c>
      <c r="Q976">
        <v>0.1088932</v>
      </c>
      <c r="R976">
        <v>-0.1358586</v>
      </c>
      <c r="S976">
        <v>2.978561</v>
      </c>
      <c r="T976">
        <v>-0.30965999999999999</v>
      </c>
      <c r="U976">
        <v>-0.74130249999999998</v>
      </c>
      <c r="V976">
        <v>0.14070829999999901</v>
      </c>
      <c r="W976">
        <v>0.123044</v>
      </c>
      <c r="X976">
        <v>0.98237540000000001</v>
      </c>
      <c r="Y976">
        <v>0.24500949999999999</v>
      </c>
      <c r="Z976">
        <v>-1.301445E-2</v>
      </c>
      <c r="AA976">
        <v>0.96943330000000005</v>
      </c>
      <c r="AB976">
        <v>21</v>
      </c>
      <c r="AC976">
        <v>10.476000000000001</v>
      </c>
      <c r="AD976">
        <v>-1.110679218664</v>
      </c>
      <c r="AE976">
        <v>-2.6599999999999602</v>
      </c>
      <c r="AF976">
        <v>2.6831228807308598</v>
      </c>
      <c r="AG976">
        <v>-1.110679218664</v>
      </c>
      <c r="AH976">
        <v>10.3534703137838</v>
      </c>
      <c r="AI976">
        <v>95.928662523876099</v>
      </c>
      <c r="AJ976">
        <v>75.471301742895903</v>
      </c>
      <c r="AK976">
        <v>10.7530044293804</v>
      </c>
      <c r="AL976">
        <v>82.932187036292902</v>
      </c>
      <c r="AM976">
        <v>81.8488101845968</v>
      </c>
      <c r="AN976">
        <v>1.0000000390750201</v>
      </c>
    </row>
    <row r="977" spans="1:40" x14ac:dyDescent="0.25">
      <c r="A977" t="str">
        <f>"20190312151242903"</f>
        <v>20190312151242903</v>
      </c>
      <c r="B977" t="str">
        <f>"1552374762900788"</f>
        <v>1552374762900788</v>
      </c>
      <c r="C977" t="s">
        <v>40</v>
      </c>
      <c r="D977">
        <v>4.5058439999999997</v>
      </c>
      <c r="E977">
        <v>0.53973199999999999</v>
      </c>
      <c r="F977" t="s">
        <v>42</v>
      </c>
      <c r="G977">
        <v>-221.9462</v>
      </c>
      <c r="H977" s="1">
        <v>-4.2728050000000003E-6</v>
      </c>
      <c r="I977">
        <v>364.90660000000003</v>
      </c>
      <c r="J977">
        <v>-232.35210000000001</v>
      </c>
      <c r="K977">
        <v>1.1106659999999999</v>
      </c>
      <c r="L977">
        <v>367.55059999999997</v>
      </c>
      <c r="M977">
        <v>0.99988460000000001</v>
      </c>
      <c r="N977">
        <v>0</v>
      </c>
      <c r="O977">
        <v>4.8638309999999999E-3</v>
      </c>
      <c r="P977">
        <v>0.98477519999999996</v>
      </c>
      <c r="Q977">
        <v>0.10858</v>
      </c>
      <c r="R977">
        <v>-0.13575299999999901</v>
      </c>
      <c r="S977">
        <v>2.9786380000000001</v>
      </c>
      <c r="T977">
        <v>-0.31183300000000003</v>
      </c>
      <c r="U977">
        <v>-0.74206539999999999</v>
      </c>
      <c r="V977">
        <v>0.14055490000000001</v>
      </c>
      <c r="W977">
        <v>0.1227246</v>
      </c>
      <c r="X977">
        <v>0.98243729999999996</v>
      </c>
      <c r="Y977">
        <v>0.2451702</v>
      </c>
      <c r="Z977">
        <v>-1.310765E-2</v>
      </c>
      <c r="AA977">
        <v>0.96939140000000001</v>
      </c>
      <c r="AB977">
        <v>21</v>
      </c>
      <c r="AC977">
        <v>10.405900000000001</v>
      </c>
      <c r="AD977">
        <v>-1.110670272805</v>
      </c>
      <c r="AE977">
        <v>-2.6439999999999402</v>
      </c>
      <c r="AF977">
        <v>2.6660559526463001</v>
      </c>
      <c r="AG977">
        <v>-1.110670272805</v>
      </c>
      <c r="AH977">
        <v>10.2828743710891</v>
      </c>
      <c r="AI977">
        <v>95.968852583632</v>
      </c>
      <c r="AJ977">
        <v>75.464889368371502</v>
      </c>
      <c r="AK977">
        <v>10.6807746970496</v>
      </c>
      <c r="AL977">
        <v>82.950626985319005</v>
      </c>
      <c r="AM977">
        <v>81.858083520964499</v>
      </c>
      <c r="AN977">
        <v>1.0000000278952199</v>
      </c>
    </row>
    <row r="978" spans="1:40" x14ac:dyDescent="0.25">
      <c r="A978" t="str">
        <f>"20190312151242927"</f>
        <v>20190312151242927</v>
      </c>
      <c r="B978" t="str">
        <f>"1552374762920312"</f>
        <v>1552374762920312</v>
      </c>
      <c r="C978" t="s">
        <v>40</v>
      </c>
      <c r="D978">
        <v>4.4754779999999998</v>
      </c>
      <c r="E978">
        <v>0.54020800000000002</v>
      </c>
      <c r="F978" t="s">
        <v>42</v>
      </c>
      <c r="G978">
        <v>-221.84450000000001</v>
      </c>
      <c r="H978" s="1">
        <v>-4.3137459999999999E-6</v>
      </c>
      <c r="I978">
        <v>364.92169999999999</v>
      </c>
      <c r="J978">
        <v>-232.13849999999999</v>
      </c>
      <c r="K978">
        <v>1.1106560000000001</v>
      </c>
      <c r="L978">
        <v>367.55149999999998</v>
      </c>
      <c r="M978">
        <v>0.99988500000000002</v>
      </c>
      <c r="N978">
        <v>0</v>
      </c>
      <c r="O978">
        <v>4.7901569999999997E-3</v>
      </c>
      <c r="P978">
        <v>0.98480990000000002</v>
      </c>
      <c r="Q978">
        <v>0.10808959999999999</v>
      </c>
      <c r="R978">
        <v>-0.13589200000000001</v>
      </c>
      <c r="S978">
        <v>2.9783940000000002</v>
      </c>
      <c r="T978">
        <v>-0.3148184</v>
      </c>
      <c r="U978">
        <v>-0.74514769999999997</v>
      </c>
      <c r="V978">
        <v>0.14062559999999999</v>
      </c>
      <c r="W978">
        <v>0.1222253</v>
      </c>
      <c r="X978">
        <v>0.98248939999999996</v>
      </c>
      <c r="Y978">
        <v>0.2460331</v>
      </c>
      <c r="Z978">
        <v>-1.3269039999999999E-2</v>
      </c>
      <c r="AA978">
        <v>0.96917059999999999</v>
      </c>
      <c r="AB978">
        <v>21</v>
      </c>
      <c r="AC978">
        <v>10.293999999999899</v>
      </c>
      <c r="AD978">
        <v>-1.1106603137459901</v>
      </c>
      <c r="AE978">
        <v>-2.6297999999999799</v>
      </c>
      <c r="AF978">
        <v>2.6501245078452</v>
      </c>
      <c r="AG978">
        <v>-1.1106603137459901</v>
      </c>
      <c r="AH978">
        <v>10.1701450843565</v>
      </c>
      <c r="AI978">
        <v>96.032567721398394</v>
      </c>
      <c r="AJ978">
        <v>75.394723626731803</v>
      </c>
      <c r="AK978">
        <v>10.568281661484701</v>
      </c>
      <c r="AL978">
        <v>82.979451590781807</v>
      </c>
      <c r="AM978">
        <v>81.854469209183193</v>
      </c>
      <c r="AN978">
        <v>1.0000000022239</v>
      </c>
    </row>
    <row r="979" spans="1:40" x14ac:dyDescent="0.25">
      <c r="A979" t="str">
        <f>"20190312151242948"</f>
        <v>20190312151242948</v>
      </c>
      <c r="B979" t="str">
        <f>"1552374762940809"</f>
        <v>1552374762940809</v>
      </c>
      <c r="C979" t="s">
        <v>40</v>
      </c>
      <c r="D979">
        <v>4.4867470000000003</v>
      </c>
      <c r="E979">
        <v>0.56105709999999998</v>
      </c>
      <c r="F979" t="s">
        <v>42</v>
      </c>
      <c r="G979">
        <v>-221.71889999999999</v>
      </c>
      <c r="H979" s="1">
        <v>-4.3662689999999901E-6</v>
      </c>
      <c r="I979">
        <v>364.92939999999999</v>
      </c>
      <c r="J979">
        <v>-231.9365</v>
      </c>
      <c r="K979">
        <v>1.11063</v>
      </c>
      <c r="L979">
        <v>367.55250000000001</v>
      </c>
      <c r="M979">
        <v>0.99988549999999998</v>
      </c>
      <c r="N979">
        <v>0</v>
      </c>
      <c r="O979">
        <v>4.6919960000000004E-3</v>
      </c>
      <c r="P979">
        <v>0.98481620000000003</v>
      </c>
      <c r="Q979">
        <v>0.1079579</v>
      </c>
      <c r="R979">
        <v>-0.1359503</v>
      </c>
      <c r="S979">
        <v>2.977722</v>
      </c>
      <c r="T979">
        <v>-0.31740439999999998</v>
      </c>
      <c r="U979">
        <v>-0.74935909999999994</v>
      </c>
      <c r="V979">
        <v>0.14059269999999999</v>
      </c>
      <c r="W979">
        <v>0.12208289999999999</v>
      </c>
      <c r="X979">
        <v>0.98251180000000005</v>
      </c>
      <c r="Y979">
        <v>0.2472511</v>
      </c>
      <c r="Z979">
        <v>-1.343158E-2</v>
      </c>
      <c r="AA979">
        <v>0.96885840000000001</v>
      </c>
      <c r="AB979">
        <v>21</v>
      </c>
      <c r="AC979">
        <v>10.217599999999999</v>
      </c>
      <c r="AD979">
        <v>-1.1106343662689999</v>
      </c>
      <c r="AE979">
        <v>-2.62310000000002</v>
      </c>
      <c r="AF979">
        <v>2.64173411353925</v>
      </c>
      <c r="AG979">
        <v>-1.1106343662689999</v>
      </c>
      <c r="AH979">
        <v>10.093297192721099</v>
      </c>
      <c r="AI979">
        <v>96.076314932559896</v>
      </c>
      <c r="AJ979">
        <v>75.332895607403501</v>
      </c>
      <c r="AK979">
        <v>10.492231223279701</v>
      </c>
      <c r="AL979">
        <v>82.987671981744001</v>
      </c>
      <c r="AM979">
        <v>81.856532502494005</v>
      </c>
      <c r="AN979">
        <v>0.99999998945247004</v>
      </c>
    </row>
    <row r="980" spans="1:40" x14ac:dyDescent="0.25">
      <c r="A980" t="str">
        <f>"20190312151242971"</f>
        <v>20190312151242971</v>
      </c>
      <c r="B980" t="str">
        <f>"1552374762960324"</f>
        <v>1552374762960324</v>
      </c>
      <c r="C980" t="s">
        <v>40</v>
      </c>
      <c r="D980">
        <v>4.466672</v>
      </c>
      <c r="E980">
        <v>0.56128699999999998</v>
      </c>
      <c r="F980" t="s">
        <v>42</v>
      </c>
      <c r="G980">
        <v>-220.92840000000001</v>
      </c>
      <c r="H980" s="1">
        <v>-4.8445470000000002E-6</v>
      </c>
      <c r="I980">
        <v>364.14490000000001</v>
      </c>
      <c r="J980">
        <v>-231.72980000000001</v>
      </c>
      <c r="K980">
        <v>1.110611</v>
      </c>
      <c r="L980">
        <v>367.55329999999998</v>
      </c>
      <c r="M980">
        <v>0.9998861</v>
      </c>
      <c r="N980">
        <v>0</v>
      </c>
      <c r="O980">
        <v>4.562483E-3</v>
      </c>
      <c r="P980">
        <v>0.98477170000000003</v>
      </c>
      <c r="Q980">
        <v>0.1083411</v>
      </c>
      <c r="R980">
        <v>-0.13596800000000001</v>
      </c>
      <c r="S980">
        <v>2.9527130000000001</v>
      </c>
      <c r="T980">
        <v>-0.29790480000000003</v>
      </c>
      <c r="U980">
        <v>-0.91400150000000002</v>
      </c>
      <c r="V980">
        <v>0.14048920000000001</v>
      </c>
      <c r="W980">
        <v>0.12245350000000001</v>
      </c>
      <c r="X980">
        <v>0.98248049999999998</v>
      </c>
      <c r="Y980">
        <v>0.29865360000000002</v>
      </c>
      <c r="Z980">
        <v>-1.5135330000000001E-2</v>
      </c>
      <c r="AA980">
        <v>0.95424160000000002</v>
      </c>
      <c r="AB980">
        <v>21</v>
      </c>
      <c r="AC980">
        <v>10.801399999999999</v>
      </c>
      <c r="AD980">
        <v>-1.110615844547</v>
      </c>
      <c r="AE980">
        <v>-3.4083999999999701</v>
      </c>
      <c r="AF980">
        <v>3.42472254475584</v>
      </c>
      <c r="AG980">
        <v>-1.110615844547</v>
      </c>
      <c r="AH980">
        <v>10.683019288278899</v>
      </c>
      <c r="AI980">
        <v>95.653760150589207</v>
      </c>
      <c r="AJ980">
        <v>72.225382181649906</v>
      </c>
      <c r="AK980">
        <v>11.273379847075899</v>
      </c>
      <c r="AL980">
        <v>82.966277748212804</v>
      </c>
      <c r="AM980">
        <v>81.862191373246304</v>
      </c>
      <c r="AN980">
        <v>1.00000000392956</v>
      </c>
    </row>
    <row r="981" spans="1:40" x14ac:dyDescent="0.25">
      <c r="A981" t="str">
        <f>"20190312151242992"</f>
        <v>20190312151242992</v>
      </c>
      <c r="B981" t="str">
        <f>"1552374762990581"</f>
        <v>1552374762990581</v>
      </c>
      <c r="C981" t="s">
        <v>40</v>
      </c>
      <c r="D981">
        <v>4.5359049999999996</v>
      </c>
      <c r="E981">
        <v>0.56170350000000002</v>
      </c>
      <c r="F981" t="s">
        <v>42</v>
      </c>
      <c r="G981">
        <v>-220.5188</v>
      </c>
      <c r="H981" s="1">
        <v>-5.0332259999999998E-6</v>
      </c>
      <c r="I981">
        <v>364.07190000000003</v>
      </c>
      <c r="J981">
        <v>-231.5273</v>
      </c>
      <c r="K981">
        <v>1.1105860000000001</v>
      </c>
      <c r="L981">
        <v>367.55399999999997</v>
      </c>
      <c r="M981">
        <v>0.99988699999999997</v>
      </c>
      <c r="N981">
        <v>0</v>
      </c>
      <c r="O981">
        <v>4.3970329999999998E-3</v>
      </c>
      <c r="P981">
        <v>0.98481019999999997</v>
      </c>
      <c r="Q981">
        <v>0.1078329</v>
      </c>
      <c r="R981">
        <v>-0.1360934</v>
      </c>
      <c r="S981">
        <v>2.951981</v>
      </c>
      <c r="T981">
        <v>-0.29243409999999997</v>
      </c>
      <c r="U981">
        <v>-0.91665649999999999</v>
      </c>
      <c r="V981">
        <v>0.14045940000000001</v>
      </c>
      <c r="W981">
        <v>0.1219329</v>
      </c>
      <c r="X981">
        <v>0.98254949999999996</v>
      </c>
      <c r="Y981">
        <v>0.29939389999999999</v>
      </c>
      <c r="Z981">
        <v>-1.4880010000000001E-2</v>
      </c>
      <c r="AA981">
        <v>0.95401360000000002</v>
      </c>
      <c r="AB981">
        <v>21</v>
      </c>
      <c r="AC981">
        <v>11.0084999999999</v>
      </c>
      <c r="AD981">
        <v>-1.1105910332260001</v>
      </c>
      <c r="AE981">
        <v>-3.4821</v>
      </c>
      <c r="AF981">
        <v>3.4981113106467001</v>
      </c>
      <c r="AG981">
        <v>-1.1105910332260001</v>
      </c>
      <c r="AH981">
        <v>10.892304732384799</v>
      </c>
      <c r="AI981">
        <v>95.5447623477787</v>
      </c>
      <c r="AJ981">
        <v>72.195351421200996</v>
      </c>
      <c r="AK981">
        <v>11.494020078627299</v>
      </c>
      <c r="AL981">
        <v>82.996331096473199</v>
      </c>
      <c r="AM981">
        <v>81.864458131191995</v>
      </c>
      <c r="AN981">
        <v>0.99999999755050994</v>
      </c>
    </row>
    <row r="982" spans="1:40" x14ac:dyDescent="0.25">
      <c r="A982" t="str">
        <f>"20190312151243016"</f>
        <v>20190312151243016</v>
      </c>
      <c r="B982" t="str">
        <f>"1552374763011076"</f>
        <v>1552374763011076</v>
      </c>
      <c r="C982" t="s">
        <v>40</v>
      </c>
      <c r="D982">
        <v>4.8911150000000001</v>
      </c>
      <c r="E982">
        <v>0.5615715</v>
      </c>
      <c r="F982" t="s">
        <v>42</v>
      </c>
      <c r="G982">
        <v>-220.4315</v>
      </c>
      <c r="H982" s="1">
        <v>-5.0669419999999996E-6</v>
      </c>
      <c r="I982">
        <v>364.09300000000002</v>
      </c>
      <c r="J982">
        <v>-231.31039999999999</v>
      </c>
      <c r="K982">
        <v>1.110549</v>
      </c>
      <c r="L982">
        <v>367.55470000000003</v>
      </c>
      <c r="M982">
        <v>0.99988790000000005</v>
      </c>
      <c r="N982">
        <v>0</v>
      </c>
      <c r="O982">
        <v>4.1621760000000001E-3</v>
      </c>
      <c r="P982">
        <v>0.98486479999999998</v>
      </c>
      <c r="Q982">
        <v>0.1074201</v>
      </c>
      <c r="R982">
        <v>-0.13602110000000001</v>
      </c>
      <c r="S982">
        <v>2.951416</v>
      </c>
      <c r="T982">
        <v>-0.29540880000000003</v>
      </c>
      <c r="U982">
        <v>-0.92059329999999995</v>
      </c>
      <c r="V982">
        <v>0.14016629999999899</v>
      </c>
      <c r="W982">
        <v>0.1215045</v>
      </c>
      <c r="X982">
        <v>0.98264439999999997</v>
      </c>
      <c r="Y982">
        <v>0.30035079999999997</v>
      </c>
      <c r="Z982">
        <v>-1.505426E-2</v>
      </c>
      <c r="AA982">
        <v>0.95370999999999995</v>
      </c>
      <c r="AB982">
        <v>21</v>
      </c>
      <c r="AC982">
        <v>10.8788999999999</v>
      </c>
      <c r="AD982">
        <v>-1.110554066942</v>
      </c>
      <c r="AE982">
        <v>-3.4617</v>
      </c>
      <c r="AF982">
        <v>3.4740798706267699</v>
      </c>
      <c r="AG982">
        <v>-1.110554066942</v>
      </c>
      <c r="AH982">
        <v>10.762551573583</v>
      </c>
      <c r="AI982">
        <v>95.608335186337101</v>
      </c>
      <c r="AJ982">
        <v>72.110266637435302</v>
      </c>
      <c r="AK982">
        <v>11.363761598041799</v>
      </c>
      <c r="AL982">
        <v>83.021060329579399</v>
      </c>
      <c r="AM982">
        <v>81.8819818235241</v>
      </c>
      <c r="AN982">
        <v>0.99999997601364898</v>
      </c>
    </row>
    <row r="983" spans="1:40" x14ac:dyDescent="0.25">
      <c r="A983" t="str">
        <f>"20190312151243039"</f>
        <v>20190312151243039</v>
      </c>
      <c r="B983" t="str">
        <f>"1552374763030596"</f>
        <v>1552374763030596</v>
      </c>
      <c r="C983" t="s">
        <v>40</v>
      </c>
      <c r="D983">
        <v>4.4997530000000001</v>
      </c>
      <c r="E983">
        <v>0.56134589999999995</v>
      </c>
      <c r="F983" t="s">
        <v>42</v>
      </c>
      <c r="G983">
        <v>-220.14420000000001</v>
      </c>
      <c r="H983" s="1">
        <v>-5.1933400000000002E-6</v>
      </c>
      <c r="I983">
        <v>364.0752</v>
      </c>
      <c r="J983">
        <v>-231.10769999999999</v>
      </c>
      <c r="K983">
        <v>1.1105069999999999</v>
      </c>
      <c r="L983">
        <v>367.55529999999999</v>
      </c>
      <c r="M983">
        <v>0.99988940000000004</v>
      </c>
      <c r="N983">
        <v>0</v>
      </c>
      <c r="O983">
        <v>3.8746269999999998E-3</v>
      </c>
      <c r="P983">
        <v>0.98490889999999998</v>
      </c>
      <c r="Q983">
        <v>0.1071138</v>
      </c>
      <c r="R983">
        <v>-0.1359465</v>
      </c>
      <c r="S983">
        <v>2.951111</v>
      </c>
      <c r="T983">
        <v>-0.2935063</v>
      </c>
      <c r="U983">
        <v>-0.91958620000000002</v>
      </c>
      <c r="V983">
        <v>0.13982020000000001</v>
      </c>
      <c r="W983">
        <v>0.1211817</v>
      </c>
      <c r="X983">
        <v>0.98273359999999998</v>
      </c>
      <c r="Y983">
        <v>0.29982890000000001</v>
      </c>
      <c r="Z983">
        <v>-1.490678E-2</v>
      </c>
      <c r="AA983">
        <v>0.95387659999999996</v>
      </c>
      <c r="AB983">
        <v>21</v>
      </c>
      <c r="AC983">
        <v>10.9634999999999</v>
      </c>
      <c r="AD983">
        <v>-1.11051219334</v>
      </c>
      <c r="AE983">
        <v>-3.48009999999999</v>
      </c>
      <c r="AF983">
        <v>3.4900276737558098</v>
      </c>
      <c r="AG983">
        <v>-1.11051219334</v>
      </c>
      <c r="AH983">
        <v>10.8488119761139</v>
      </c>
      <c r="AI983">
        <v>95.565585199048201</v>
      </c>
      <c r="AJ983">
        <v>72.167184950967595</v>
      </c>
      <c r="AK983">
        <v>11.4503385010318</v>
      </c>
      <c r="AL983">
        <v>83.039693334533496</v>
      </c>
      <c r="AM983">
        <v>81.902485997425003</v>
      </c>
      <c r="AN983">
        <v>1.0000000106559399</v>
      </c>
    </row>
    <row r="984" spans="1:40" x14ac:dyDescent="0.25">
      <c r="A984" t="str">
        <f>"20190312151243060"</f>
        <v>20190312151243060</v>
      </c>
      <c r="B984" t="str">
        <f>"1552374763050117"</f>
        <v>1552374763050117</v>
      </c>
      <c r="C984" t="s">
        <v>40</v>
      </c>
      <c r="D984">
        <v>4.636393</v>
      </c>
      <c r="E984">
        <v>0.56094580000000005</v>
      </c>
      <c r="F984" t="s">
        <v>42</v>
      </c>
      <c r="G984">
        <v>-219.18020000000001</v>
      </c>
      <c r="H984" s="1">
        <v>-1.7999149999999999E-6</v>
      </c>
      <c r="I984">
        <v>363.84789999999998</v>
      </c>
      <c r="J984">
        <v>-230.90620000000001</v>
      </c>
      <c r="K984">
        <v>1.110455</v>
      </c>
      <c r="L984">
        <v>367.5557</v>
      </c>
      <c r="M984">
        <v>0.99989070000000002</v>
      </c>
      <c r="N984">
        <v>0</v>
      </c>
      <c r="O984">
        <v>3.5098249999999998E-3</v>
      </c>
      <c r="P984">
        <v>0.98491390000000001</v>
      </c>
      <c r="Q984">
        <v>0.106759199999999</v>
      </c>
      <c r="R984">
        <v>-0.136188</v>
      </c>
      <c r="S984">
        <v>2.9492799999999999</v>
      </c>
      <c r="T984">
        <v>-0.27459119999999998</v>
      </c>
      <c r="U984">
        <v>-0.91671749999999996</v>
      </c>
      <c r="V984">
        <v>0.13971710000000001</v>
      </c>
      <c r="W984">
        <v>0.12080680000000001</v>
      </c>
      <c r="X984">
        <v>0.98279439999999996</v>
      </c>
      <c r="Y984">
        <v>0.29897639999999998</v>
      </c>
      <c r="Z984">
        <v>-1.388847E-2</v>
      </c>
      <c r="AA984">
        <v>0.95415939999999999</v>
      </c>
      <c r="AB984">
        <v>20</v>
      </c>
      <c r="AC984">
        <v>11.726000000000001</v>
      </c>
      <c r="AD984">
        <v>-1.1104567999149999</v>
      </c>
      <c r="AE984">
        <v>-3.7078000000000202</v>
      </c>
      <c r="AF984">
        <v>3.7186197362258002</v>
      </c>
      <c r="AG984">
        <v>-1.1104567999149999</v>
      </c>
      <c r="AH984">
        <v>11.618189688639299</v>
      </c>
      <c r="AI984">
        <v>95.201304265003401</v>
      </c>
      <c r="AJ984">
        <v>72.251753979764899</v>
      </c>
      <c r="AK984">
        <v>12.2492276772183</v>
      </c>
      <c r="AL984">
        <v>83.061332369251204</v>
      </c>
      <c r="AM984">
        <v>81.908871756877105</v>
      </c>
      <c r="AN984">
        <v>0.99999999181500399</v>
      </c>
    </row>
    <row r="985" spans="1:40" x14ac:dyDescent="0.25">
      <c r="A985" t="str">
        <f>"20190312151243082"</f>
        <v>20190312151243082</v>
      </c>
      <c r="B985" t="str">
        <f>"1552374763070613"</f>
        <v>1552374763070613</v>
      </c>
      <c r="C985" t="s">
        <v>40</v>
      </c>
      <c r="D985">
        <v>4.631729</v>
      </c>
      <c r="E985">
        <v>0.56689940000000005</v>
      </c>
      <c r="F985" t="s">
        <v>42</v>
      </c>
      <c r="G985">
        <v>-219.04519999999999</v>
      </c>
      <c r="H985" s="1">
        <v>-1.837423E-6</v>
      </c>
      <c r="I985">
        <v>363.87950000000001</v>
      </c>
      <c r="J985">
        <v>-230.7073</v>
      </c>
      <c r="K985">
        <v>1.1104019999999999</v>
      </c>
      <c r="L985">
        <v>367.55590000000001</v>
      </c>
      <c r="M985">
        <v>0.99989209999999995</v>
      </c>
      <c r="N985">
        <v>0</v>
      </c>
      <c r="O985">
        <v>3.060732E-3</v>
      </c>
      <c r="P985">
        <v>0.98487449999999999</v>
      </c>
      <c r="Q985">
        <v>0.1064765</v>
      </c>
      <c r="R985">
        <v>-0.13669410000000001</v>
      </c>
      <c r="S985">
        <v>2.9494929999999999</v>
      </c>
      <c r="T985">
        <v>-0.27613840000000001</v>
      </c>
      <c r="U985">
        <v>-0.91415409999999997</v>
      </c>
      <c r="V985">
        <v>0.13979849999999999</v>
      </c>
      <c r="W985">
        <v>0.1204996</v>
      </c>
      <c r="X985">
        <v>0.98282049999999999</v>
      </c>
      <c r="Y985">
        <v>0.29776469999999999</v>
      </c>
      <c r="Z985">
        <v>-1.387088E-2</v>
      </c>
      <c r="AA985">
        <v>0.95453849999999996</v>
      </c>
      <c r="AB985">
        <v>20</v>
      </c>
      <c r="AC985">
        <v>11.662100000000001</v>
      </c>
      <c r="AD985">
        <v>-1.1104038374230001</v>
      </c>
      <c r="AE985">
        <v>-3.6764000000000001</v>
      </c>
      <c r="AF985">
        <v>3.6817203093360802</v>
      </c>
      <c r="AG985">
        <v>-1.1104038374230001</v>
      </c>
      <c r="AH985">
        <v>11.5555011459168</v>
      </c>
      <c r="AI985">
        <v>95.231313121445595</v>
      </c>
      <c r="AJ985">
        <v>72.3275014741658</v>
      </c>
      <c r="AK985">
        <v>12.1785741304812</v>
      </c>
      <c r="AL985">
        <v>83.079062903305598</v>
      </c>
      <c r="AM985">
        <v>81.904432436541597</v>
      </c>
      <c r="AN985">
        <v>0.99999995471132896</v>
      </c>
    </row>
    <row r="986" spans="1:40" x14ac:dyDescent="0.25">
      <c r="A986" t="str">
        <f>"20190312151243104"</f>
        <v>20190312151243104</v>
      </c>
      <c r="B986" t="str">
        <f>"1552374763100869"</f>
        <v>1552374763100869</v>
      </c>
      <c r="C986" t="s">
        <v>40</v>
      </c>
      <c r="D986">
        <v>4.6418499999999998</v>
      </c>
      <c r="E986">
        <v>0.56703619999999899</v>
      </c>
      <c r="F986" t="s">
        <v>42</v>
      </c>
      <c r="G986">
        <v>-222.68190000000001</v>
      </c>
      <c r="H986" s="1">
        <v>-3.9535560000000002E-6</v>
      </c>
      <c r="I986">
        <v>364.9271</v>
      </c>
      <c r="J986">
        <v>-230.50620000000001</v>
      </c>
      <c r="K986">
        <v>1.110336</v>
      </c>
      <c r="L986">
        <v>367.55590000000001</v>
      </c>
      <c r="M986">
        <v>0.99989380000000005</v>
      </c>
      <c r="N986">
        <v>0</v>
      </c>
      <c r="O986">
        <v>2.5056779999999999E-3</v>
      </c>
      <c r="P986">
        <v>0.984846</v>
      </c>
      <c r="Q986">
        <v>0.1062375</v>
      </c>
      <c r="R986">
        <v>-0.1370844</v>
      </c>
      <c r="S986">
        <v>2.955902</v>
      </c>
      <c r="T986">
        <v>-0.40897699999999998</v>
      </c>
      <c r="U986">
        <v>-0.96820070000000003</v>
      </c>
      <c r="V986">
        <v>0.13966210000000001</v>
      </c>
      <c r="W986">
        <v>0.1202336</v>
      </c>
      <c r="X986">
        <v>0.98287250000000004</v>
      </c>
      <c r="Y986">
        <v>0.3109575</v>
      </c>
      <c r="Z986">
        <v>-2.1208299999999999E-2</v>
      </c>
      <c r="AA986">
        <v>0.95018720000000001</v>
      </c>
      <c r="AB986">
        <v>20</v>
      </c>
      <c r="AC986">
        <v>7.8242999999999903</v>
      </c>
      <c r="AD986">
        <v>-1.1103399535559999</v>
      </c>
      <c r="AE986">
        <v>-2.6288000000000098</v>
      </c>
      <c r="AF986">
        <v>2.6013264983398501</v>
      </c>
      <c r="AG986">
        <v>-1.1103399535559999</v>
      </c>
      <c r="AH986">
        <v>7.6787368289055902</v>
      </c>
      <c r="AI986">
        <v>97.798367053343497</v>
      </c>
      <c r="AJ986">
        <v>71.285156150288103</v>
      </c>
      <c r="AK986">
        <v>8.1830772727024197</v>
      </c>
      <c r="AL986">
        <v>83.094415417236803</v>
      </c>
      <c r="AM986">
        <v>81.912648874921402</v>
      </c>
      <c r="AN986">
        <v>0.99999998600080897</v>
      </c>
    </row>
    <row r="987" spans="1:40" x14ac:dyDescent="0.25">
      <c r="A987" t="str">
        <f>"20190312151243127"</f>
        <v>20190312151243127</v>
      </c>
      <c r="B987" t="str">
        <f>"1552374763120392"</f>
        <v>1552374763120392</v>
      </c>
      <c r="C987" t="s">
        <v>40</v>
      </c>
      <c r="D987">
        <v>4.562926</v>
      </c>
      <c r="E987">
        <v>0.5689128</v>
      </c>
      <c r="F987" t="s">
        <v>42</v>
      </c>
      <c r="G987">
        <v>-222.52770000000001</v>
      </c>
      <c r="H987" s="1">
        <v>-4.0179089999999997E-6</v>
      </c>
      <c r="I987">
        <v>364.93729999999999</v>
      </c>
      <c r="J987">
        <v>-230.30189999999999</v>
      </c>
      <c r="K987">
        <v>1.1102620000000001</v>
      </c>
      <c r="L987">
        <v>367.5557</v>
      </c>
      <c r="M987">
        <v>0.99989530000000004</v>
      </c>
      <c r="N987">
        <v>0</v>
      </c>
      <c r="O987">
        <v>1.8243409999999999E-3</v>
      </c>
      <c r="P987">
        <v>0.98468679999999997</v>
      </c>
      <c r="Q987">
        <v>0.1063157</v>
      </c>
      <c r="R987">
        <v>-0.1381627</v>
      </c>
      <c r="S987">
        <v>2.9554900000000002</v>
      </c>
      <c r="T987">
        <v>-0.41130230000000001</v>
      </c>
      <c r="U987">
        <v>-0.97000120000000001</v>
      </c>
      <c r="V987">
        <v>0.14009079999999999</v>
      </c>
      <c r="W987">
        <v>0.1202819</v>
      </c>
      <c r="X987">
        <v>0.98280559999999995</v>
      </c>
      <c r="Y987">
        <v>0.31084859999999997</v>
      </c>
      <c r="Z987">
        <v>-2.1229319999999999E-2</v>
      </c>
      <c r="AA987">
        <v>0.95022229999999996</v>
      </c>
      <c r="AB987">
        <v>20</v>
      </c>
      <c r="AC987">
        <v>7.7741999999999702</v>
      </c>
      <c r="AD987">
        <v>-1.110266017909</v>
      </c>
      <c r="AE987">
        <v>-2.6183999999999998</v>
      </c>
      <c r="AF987">
        <v>2.5852239397455401</v>
      </c>
      <c r="AG987">
        <v>-1.110266017909</v>
      </c>
      <c r="AH987">
        <v>7.6296503010371302</v>
      </c>
      <c r="AI987">
        <v>97.847237234337001</v>
      </c>
      <c r="AJ987">
        <v>71.281609524370396</v>
      </c>
      <c r="AK987">
        <v>8.1318901348501296</v>
      </c>
      <c r="AL987">
        <v>83.091627950090896</v>
      </c>
      <c r="AM987">
        <v>81.8876094150407</v>
      </c>
      <c r="AN987">
        <v>1.0000000075518001</v>
      </c>
    </row>
    <row r="988" spans="1:40" x14ac:dyDescent="0.25">
      <c r="A988" t="str">
        <f>"20190312151243149"</f>
        <v>20190312151243149</v>
      </c>
      <c r="B988" t="str">
        <f>"1552374763140884"</f>
        <v>1552374763140884</v>
      </c>
      <c r="C988" t="s">
        <v>40</v>
      </c>
      <c r="D988">
        <v>4.5572059999999999</v>
      </c>
      <c r="E988">
        <v>0.57038789999999995</v>
      </c>
      <c r="F988" t="s">
        <v>42</v>
      </c>
      <c r="G988">
        <v>-221.80760000000001</v>
      </c>
      <c r="H988" s="1">
        <v>-4.3666650000000001E-6</v>
      </c>
      <c r="I988">
        <v>364.71269999999998</v>
      </c>
      <c r="J988">
        <v>-230.09809999999999</v>
      </c>
      <c r="K988">
        <v>1.1101920000000001</v>
      </c>
      <c r="L988">
        <v>367.55509999999998</v>
      </c>
      <c r="M988">
        <v>0.99989649999999997</v>
      </c>
      <c r="N988">
        <v>0</v>
      </c>
      <c r="O988">
        <v>1.0261039999999999E-3</v>
      </c>
      <c r="P988">
        <v>0.98443749999999997</v>
      </c>
      <c r="Q988">
        <v>0.1065637</v>
      </c>
      <c r="R988">
        <v>-0.13973820000000001</v>
      </c>
      <c r="S988">
        <v>2.9497680000000002</v>
      </c>
      <c r="T988">
        <v>-0.38555149999999999</v>
      </c>
      <c r="U988">
        <v>-0.98724369999999995</v>
      </c>
      <c r="V988">
        <v>0.1409012</v>
      </c>
      <c r="W988">
        <v>0.1204987</v>
      </c>
      <c r="X988">
        <v>0.98266319999999996</v>
      </c>
      <c r="Y988">
        <v>0.315928599999999</v>
      </c>
      <c r="Z988">
        <v>-2.0150359999999999E-2</v>
      </c>
      <c r="AA988">
        <v>0.94856890000000005</v>
      </c>
      <c r="AB988">
        <v>20</v>
      </c>
      <c r="AC988">
        <v>8.2904999999999802</v>
      </c>
      <c r="AD988">
        <v>-1.1101963666650001</v>
      </c>
      <c r="AE988">
        <v>-2.8423999999999898</v>
      </c>
      <c r="AF988">
        <v>2.8058824980456301</v>
      </c>
      <c r="AG988">
        <v>-1.1101963666650001</v>
      </c>
      <c r="AH988">
        <v>8.1566946521935506</v>
      </c>
      <c r="AI988">
        <v>97.334007993790706</v>
      </c>
      <c r="AJ988">
        <v>71.016911466804402</v>
      </c>
      <c r="AK988">
        <v>8.6969638503628293</v>
      </c>
      <c r="AL988">
        <v>83.079115335099999</v>
      </c>
      <c r="AM988">
        <v>81.840144350101596</v>
      </c>
      <c r="AN988">
        <v>1.00000002474868</v>
      </c>
    </row>
    <row r="989" spans="1:40" x14ac:dyDescent="0.25">
      <c r="A989" t="str">
        <f>"20190312151243171"</f>
        <v>20190312151243171</v>
      </c>
      <c r="B989" t="str">
        <f>"1552374763160404"</f>
        <v>1552374763160404</v>
      </c>
      <c r="C989" t="s">
        <v>40</v>
      </c>
      <c r="D989">
        <v>4.5672490000000003</v>
      </c>
      <c r="E989">
        <v>0.57161459999999997</v>
      </c>
      <c r="F989" t="s">
        <v>42</v>
      </c>
      <c r="G989">
        <v>-221.17850000000001</v>
      </c>
      <c r="H989" s="1">
        <v>-4.6710389999999998E-6</v>
      </c>
      <c r="I989">
        <v>364.51830000000001</v>
      </c>
      <c r="J989">
        <v>-229.89930000000001</v>
      </c>
      <c r="K989">
        <v>1.110139</v>
      </c>
      <c r="L989">
        <v>367.55430000000001</v>
      </c>
      <c r="M989">
        <v>0.99989720000000004</v>
      </c>
      <c r="N989">
        <v>0</v>
      </c>
      <c r="O989">
        <v>1.566611E-4</v>
      </c>
      <c r="P989">
        <v>0.98419920000000005</v>
      </c>
      <c r="Q989">
        <v>0.1070372</v>
      </c>
      <c r="R989">
        <v>-0.141049799999999</v>
      </c>
      <c r="S989">
        <v>2.9447939999999999</v>
      </c>
      <c r="T989">
        <v>-0.36652800000000002</v>
      </c>
      <c r="U989">
        <v>-1.002594</v>
      </c>
      <c r="V989">
        <v>0.1413741</v>
      </c>
      <c r="W989">
        <v>0.1209465</v>
      </c>
      <c r="X989">
        <v>0.98254019999999997</v>
      </c>
      <c r="Y989">
        <v>0.32022780000000001</v>
      </c>
      <c r="Z989">
        <v>-1.9332789999999999E-2</v>
      </c>
      <c r="AA989">
        <v>0.94714330000000002</v>
      </c>
      <c r="AB989">
        <v>20</v>
      </c>
      <c r="AC989">
        <v>8.7207999999999899</v>
      </c>
      <c r="AD989">
        <v>-1.110143671039</v>
      </c>
      <c r="AE989">
        <v>-3.036</v>
      </c>
      <c r="AF989">
        <v>2.9940921122584299</v>
      </c>
      <c r="AG989">
        <v>-1.110143671039</v>
      </c>
      <c r="AH989">
        <v>8.5960833410179607</v>
      </c>
      <c r="AI989">
        <v>96.953398479992202</v>
      </c>
      <c r="AJ989">
        <v>70.796319401073802</v>
      </c>
      <c r="AK989">
        <v>9.1700411859905309</v>
      </c>
      <c r="AL989">
        <v>83.053268860533194</v>
      </c>
      <c r="AM989">
        <v>81.812117470180596</v>
      </c>
      <c r="AN989">
        <v>0.99999996831454896</v>
      </c>
    </row>
    <row r="990" spans="1:40" x14ac:dyDescent="0.25">
      <c r="A990" t="str">
        <f>"20190312151243194"</f>
        <v>20190312151243194</v>
      </c>
      <c r="B990" t="str">
        <f>"1552374763190662"</f>
        <v>1552374763190662</v>
      </c>
      <c r="C990" t="s">
        <v>40</v>
      </c>
      <c r="D990">
        <v>4.6523389999999996</v>
      </c>
      <c r="E990">
        <v>0.57194750000000005</v>
      </c>
      <c r="F990" t="s">
        <v>42</v>
      </c>
      <c r="G990">
        <v>-220.84540000000001</v>
      </c>
      <c r="H990" s="1">
        <v>-4.8297079999999999E-6</v>
      </c>
      <c r="I990">
        <v>364.42930000000001</v>
      </c>
      <c r="J990">
        <v>-229.69569999999999</v>
      </c>
      <c r="K990">
        <v>1.1101000000000001</v>
      </c>
      <c r="L990">
        <v>367.55329999999998</v>
      </c>
      <c r="M990">
        <v>0.99989689999999998</v>
      </c>
      <c r="N990">
        <v>0</v>
      </c>
      <c r="O990">
        <v>-8.1820839999999998E-4</v>
      </c>
      <c r="P990">
        <v>0.98391289999999998</v>
      </c>
      <c r="Q990">
        <v>0.10710119999999999</v>
      </c>
      <c r="R990">
        <v>-0.14298559999999999</v>
      </c>
      <c r="S990">
        <v>2.9418639999999998</v>
      </c>
      <c r="T990">
        <v>-0.36071429999999999</v>
      </c>
      <c r="U990">
        <v>-1.0153810000000001</v>
      </c>
      <c r="V990">
        <v>0.1423634</v>
      </c>
      <c r="W990">
        <v>0.1209881</v>
      </c>
      <c r="X990">
        <v>0.9823923</v>
      </c>
      <c r="Y990">
        <v>0.32332959999999999</v>
      </c>
      <c r="Z990">
        <v>-1.9101549999999998E-2</v>
      </c>
      <c r="AA990">
        <v>0.94609359999999998</v>
      </c>
      <c r="AB990">
        <v>20</v>
      </c>
      <c r="AC990">
        <v>8.8502999999999705</v>
      </c>
      <c r="AD990">
        <v>-1.1101048297080001</v>
      </c>
      <c r="AE990">
        <v>-3.1239999999999601</v>
      </c>
      <c r="AF990">
        <v>3.0737552286666001</v>
      </c>
      <c r="AG990">
        <v>-1.1101048297080001</v>
      </c>
      <c r="AH990">
        <v>8.7307114236817096</v>
      </c>
      <c r="AI990">
        <v>96.839029060159902</v>
      </c>
      <c r="AJ990">
        <v>70.604750381350897</v>
      </c>
      <c r="AK990">
        <v>9.3223186977437393</v>
      </c>
      <c r="AL990">
        <v>83.050868255644104</v>
      </c>
      <c r="AM990">
        <v>81.754381550081604</v>
      </c>
      <c r="AN990">
        <v>1.00000004455022</v>
      </c>
    </row>
    <row r="991" spans="1:40" x14ac:dyDescent="0.25">
      <c r="A991" t="str">
        <f>"20190312151243217"</f>
        <v>20190312151243217</v>
      </c>
      <c r="B991" t="str">
        <f>"1552374763210181"</f>
        <v>1552374763210181</v>
      </c>
      <c r="C991" t="s">
        <v>40</v>
      </c>
      <c r="D991">
        <v>4.6289179999999996</v>
      </c>
      <c r="E991">
        <v>0.57143929999999998</v>
      </c>
      <c r="F991" t="s">
        <v>42</v>
      </c>
      <c r="G991">
        <v>-220.78899999999999</v>
      </c>
      <c r="H991" s="1">
        <v>-4.8498749999999999E-6</v>
      </c>
      <c r="I991">
        <v>364.45209999999997</v>
      </c>
      <c r="J991">
        <v>-229.48929999999999</v>
      </c>
      <c r="K991">
        <v>1.110066</v>
      </c>
      <c r="L991">
        <v>367.55180000000001</v>
      </c>
      <c r="M991">
        <v>0.99989550000000005</v>
      </c>
      <c r="N991">
        <v>0</v>
      </c>
      <c r="O991">
        <v>-1.883275E-3</v>
      </c>
      <c r="P991">
        <v>0.98360479999999995</v>
      </c>
      <c r="Q991">
        <v>0.1076376</v>
      </c>
      <c r="R991">
        <v>-0.14469360000000001</v>
      </c>
      <c r="S991">
        <v>2.9401860000000002</v>
      </c>
      <c r="T991">
        <v>-0.36645080000000002</v>
      </c>
      <c r="U991">
        <v>-1.023712</v>
      </c>
      <c r="V991">
        <v>0.14303360000000001</v>
      </c>
      <c r="W991">
        <v>0.1215064</v>
      </c>
      <c r="X991">
        <v>0.98223090000000002</v>
      </c>
      <c r="Y991">
        <v>0.32481009999999999</v>
      </c>
      <c r="Z991">
        <v>-1.9365739999999999E-2</v>
      </c>
      <c r="AA991">
        <v>0.945581</v>
      </c>
      <c r="AB991">
        <v>20</v>
      </c>
      <c r="AC991">
        <v>8.7002999999999702</v>
      </c>
      <c r="AD991">
        <v>-1.110070849875</v>
      </c>
      <c r="AE991">
        <v>-3.0997000000000399</v>
      </c>
      <c r="AF991">
        <v>3.0394018114010102</v>
      </c>
      <c r="AG991">
        <v>-1.110070849875</v>
      </c>
      <c r="AH991">
        <v>8.5821485633692092</v>
      </c>
      <c r="AI991">
        <v>96.951534632148395</v>
      </c>
      <c r="AJ991">
        <v>70.498198911369002</v>
      </c>
      <c r="AK991">
        <v>9.1718860997414406</v>
      </c>
      <c r="AL991">
        <v>83.020950672025194</v>
      </c>
      <c r="AM991">
        <v>81.714759045529703</v>
      </c>
      <c r="AN991">
        <v>0.99999997844236399</v>
      </c>
    </row>
    <row r="992" spans="1:40" x14ac:dyDescent="0.25">
      <c r="A992" t="str">
        <f>"20190312151243239"</f>
        <v>20190312151243239</v>
      </c>
      <c r="B992" t="str">
        <f>"1552374763230677"</f>
        <v>1552374763230677</v>
      </c>
      <c r="C992" t="s">
        <v>40</v>
      </c>
      <c r="D992">
        <v>4.5457910000000004</v>
      </c>
      <c r="E992">
        <v>0.57218449999999998</v>
      </c>
      <c r="F992" t="s">
        <v>42</v>
      </c>
      <c r="G992">
        <v>-220.67789999999999</v>
      </c>
      <c r="H992" s="1">
        <v>-4.8925829999999997E-6</v>
      </c>
      <c r="I992">
        <v>364.48</v>
      </c>
      <c r="J992">
        <v>-229.28649999999999</v>
      </c>
      <c r="K992">
        <v>1.1100410000000001</v>
      </c>
      <c r="L992">
        <v>367.55009999999999</v>
      </c>
      <c r="M992">
        <v>0.99989289999999997</v>
      </c>
      <c r="N992">
        <v>0</v>
      </c>
      <c r="O992">
        <v>-2.987375E-3</v>
      </c>
      <c r="P992">
        <v>0.98332459999999999</v>
      </c>
      <c r="Q992">
        <v>0.1081024</v>
      </c>
      <c r="R992">
        <v>-0.14624200000000001</v>
      </c>
      <c r="S992">
        <v>2.9397890000000002</v>
      </c>
      <c r="T992">
        <v>-0.37035469999999998</v>
      </c>
      <c r="U992">
        <v>-1.0248409999999999</v>
      </c>
      <c r="V992">
        <v>0.14350379999999999</v>
      </c>
      <c r="W992">
        <v>0.1219565</v>
      </c>
      <c r="X992">
        <v>0.98210660000000005</v>
      </c>
      <c r="Y992">
        <v>0.32409529999999998</v>
      </c>
      <c r="Z992">
        <v>-1.9393690000000002E-2</v>
      </c>
      <c r="AA992">
        <v>0.94582560000000004</v>
      </c>
      <c r="AB992">
        <v>20</v>
      </c>
      <c r="AC992">
        <v>8.6085999999999903</v>
      </c>
      <c r="AD992">
        <v>-1.1100458925829999</v>
      </c>
      <c r="AE992">
        <v>-3.0700999999999601</v>
      </c>
      <c r="AF992">
        <v>3.0001119225915001</v>
      </c>
      <c r="AG992">
        <v>-1.1100458925829999</v>
      </c>
      <c r="AH992">
        <v>8.4924618461549493</v>
      </c>
      <c r="AI992">
        <v>97.025999938196094</v>
      </c>
      <c r="AJ992">
        <v>70.543334019917197</v>
      </c>
      <c r="AK992">
        <v>9.0749535337716001</v>
      </c>
      <c r="AL992">
        <v>82.994969125973896</v>
      </c>
      <c r="AM992">
        <v>81.686865264976802</v>
      </c>
      <c r="AN992">
        <v>1.0000000511351199</v>
      </c>
    </row>
    <row r="993" spans="1:40" x14ac:dyDescent="0.25">
      <c r="A993" t="str">
        <f>"20190312151243260"</f>
        <v>20190312151243260</v>
      </c>
      <c r="B993" t="str">
        <f>"1552374763250197"</f>
        <v>1552374763250197</v>
      </c>
      <c r="C993" t="s">
        <v>40</v>
      </c>
      <c r="D993">
        <v>4.5583410000000004</v>
      </c>
      <c r="E993">
        <v>0.571685</v>
      </c>
      <c r="F993" t="s">
        <v>42</v>
      </c>
      <c r="G993">
        <v>-220.24299999999999</v>
      </c>
      <c r="H993" s="1">
        <v>-5.1001310000000003E-6</v>
      </c>
      <c r="I993">
        <v>364.36180000000002</v>
      </c>
      <c r="J993">
        <v>-229.0942</v>
      </c>
      <c r="K993">
        <v>1.110026</v>
      </c>
      <c r="L993">
        <v>367.54829999999998</v>
      </c>
      <c r="M993">
        <v>0.99988909999999998</v>
      </c>
      <c r="N993">
        <v>0</v>
      </c>
      <c r="O993">
        <v>-4.0678149999999998E-3</v>
      </c>
      <c r="P993">
        <v>0.98312290000000002</v>
      </c>
      <c r="Q993">
        <v>0.10754370000000001</v>
      </c>
      <c r="R993">
        <v>-0.14799999999999999</v>
      </c>
      <c r="S993">
        <v>2.9365540000000001</v>
      </c>
      <c r="T993">
        <v>-0.36044229999999999</v>
      </c>
      <c r="U993">
        <v>-1.0352779999999999</v>
      </c>
      <c r="V993">
        <v>0.14420239999999901</v>
      </c>
      <c r="W993">
        <v>0.1213876</v>
      </c>
      <c r="X993">
        <v>0.98207469999999997</v>
      </c>
      <c r="Y993">
        <v>0.32649899999999998</v>
      </c>
      <c r="Z993">
        <v>-1.8901479999999998E-2</v>
      </c>
      <c r="AA993">
        <v>0.94500850000000003</v>
      </c>
      <c r="AB993">
        <v>20</v>
      </c>
      <c r="AC993">
        <v>8.8512000000000004</v>
      </c>
      <c r="AD993">
        <v>-1.1100311001309999</v>
      </c>
      <c r="AE993">
        <v>-3.1864999999999601</v>
      </c>
      <c r="AF993">
        <v>3.1072026756578599</v>
      </c>
      <c r="AG993">
        <v>-1.1100311001309999</v>
      </c>
      <c r="AH993">
        <v>8.7423684011361598</v>
      </c>
      <c r="AI993">
        <v>96.822411563372299</v>
      </c>
      <c r="AJ993">
        <v>70.433827165053202</v>
      </c>
      <c r="AK993">
        <v>9.3442968045785797</v>
      </c>
      <c r="AL993">
        <v>83.027808314525203</v>
      </c>
      <c r="AM993">
        <v>81.646697714021698</v>
      </c>
      <c r="AN993">
        <v>0.99999999898980496</v>
      </c>
    </row>
    <row r="994" spans="1:40" x14ac:dyDescent="0.25">
      <c r="A994" t="str">
        <f>"20190312151243283"</f>
        <v>20190312151243283</v>
      </c>
      <c r="B994" t="str">
        <f>"1552374763280452"</f>
        <v>1552374763280452</v>
      </c>
      <c r="C994" t="s">
        <v>40</v>
      </c>
      <c r="D994">
        <v>4.486694</v>
      </c>
      <c r="E994">
        <v>0.56996759999999902</v>
      </c>
      <c r="F994" t="s">
        <v>42</v>
      </c>
      <c r="G994">
        <v>-220.04570000000001</v>
      </c>
      <c r="H994" s="1">
        <v>-5.1862179999999996E-6</v>
      </c>
      <c r="I994">
        <v>364.35359999999997</v>
      </c>
      <c r="J994">
        <v>-228.8965</v>
      </c>
      <c r="K994">
        <v>1.1100179999999999</v>
      </c>
      <c r="L994">
        <v>367.5462</v>
      </c>
      <c r="M994">
        <v>0.999884</v>
      </c>
      <c r="N994">
        <v>0</v>
      </c>
      <c r="O994">
        <v>-5.1955259999999998E-3</v>
      </c>
      <c r="P994">
        <v>0.98295279999999996</v>
      </c>
      <c r="Q994">
        <v>0.10689559999999999</v>
      </c>
      <c r="R994">
        <v>-0.1495919</v>
      </c>
      <c r="S994">
        <v>2.9349059999999998</v>
      </c>
      <c r="T994">
        <v>-0.36003600000000002</v>
      </c>
      <c r="U994">
        <v>-1.0361940000000001</v>
      </c>
      <c r="V994">
        <v>0.1446856</v>
      </c>
      <c r="W994">
        <v>0.12073299999999999</v>
      </c>
      <c r="X994">
        <v>0.98208430000000002</v>
      </c>
      <c r="Y994">
        <v>0.32587719999999998</v>
      </c>
      <c r="Z994">
        <v>-1.8718640000000002E-2</v>
      </c>
      <c r="AA994">
        <v>0.94522680000000003</v>
      </c>
      <c r="AB994">
        <v>20</v>
      </c>
      <c r="AC994">
        <v>8.8507999999999907</v>
      </c>
      <c r="AD994">
        <v>-1.1100231862179999</v>
      </c>
      <c r="AE994">
        <v>-3.1926000000000201</v>
      </c>
      <c r="AF994">
        <v>3.1033748577057301</v>
      </c>
      <c r="AG994">
        <v>-1.1100231862179999</v>
      </c>
      <c r="AH994">
        <v>8.7455489139636597</v>
      </c>
      <c r="AI994">
        <v>96.821113617270399</v>
      </c>
      <c r="AJ994">
        <v>70.462672613944306</v>
      </c>
      <c r="AK994">
        <v>9.3459998281570993</v>
      </c>
      <c r="AL994">
        <v>83.065591867222395</v>
      </c>
      <c r="AM994">
        <v>81.619184754467696</v>
      </c>
      <c r="AN994">
        <v>0.999999976221424</v>
      </c>
    </row>
    <row r="995" spans="1:40" x14ac:dyDescent="0.25">
      <c r="A995" t="str">
        <f>"20190312151243305"</f>
        <v>20190312151243305</v>
      </c>
      <c r="B995" t="str">
        <f>"1552374763300948"</f>
        <v>1552374763300948</v>
      </c>
      <c r="C995" t="s">
        <v>40</v>
      </c>
      <c r="D995">
        <v>4.4684949999999999</v>
      </c>
      <c r="E995">
        <v>0.56899330000000004</v>
      </c>
      <c r="F995" t="s">
        <v>42</v>
      </c>
      <c r="G995">
        <v>-219.74459999999999</v>
      </c>
      <c r="H995" s="1">
        <v>-1.4754389999999999E-6</v>
      </c>
      <c r="I995">
        <v>364.34550000000002</v>
      </c>
      <c r="J995">
        <v>-228.69659999999999</v>
      </c>
      <c r="K995">
        <v>1.1100239999999999</v>
      </c>
      <c r="L995">
        <v>367.54390000000001</v>
      </c>
      <c r="M995">
        <v>0.99987740000000003</v>
      </c>
      <c r="N995">
        <v>0</v>
      </c>
      <c r="O995">
        <v>-6.3387879999999997E-3</v>
      </c>
      <c r="P995">
        <v>0.98289059999999995</v>
      </c>
      <c r="Q995">
        <v>0.106059</v>
      </c>
      <c r="R995">
        <v>-0.15059129999999901</v>
      </c>
      <c r="S995">
        <v>2.9345400000000001</v>
      </c>
      <c r="T995">
        <v>-0.35592629999999997</v>
      </c>
      <c r="U995">
        <v>-1.0263059999999999</v>
      </c>
      <c r="V995">
        <v>0.14455779999999999</v>
      </c>
      <c r="W995">
        <v>0.1198956</v>
      </c>
      <c r="X995">
        <v>0.98220569999999896</v>
      </c>
      <c r="Y995">
        <v>0.32207409999999997</v>
      </c>
      <c r="Z995">
        <v>-1.8161110000000001E-2</v>
      </c>
      <c r="AA995">
        <v>0.94654020000000005</v>
      </c>
      <c r="AB995">
        <v>20</v>
      </c>
      <c r="AC995">
        <v>8.9519999999999893</v>
      </c>
      <c r="AD995">
        <v>-1.110025475439</v>
      </c>
      <c r="AE995">
        <v>-3.1983999999999901</v>
      </c>
      <c r="AF995">
        <v>3.0993261825388099</v>
      </c>
      <c r="AG995">
        <v>-1.110025475439</v>
      </c>
      <c r="AH995">
        <v>8.8514083975392595</v>
      </c>
      <c r="AI995">
        <v>96.750155671126393</v>
      </c>
      <c r="AJ995">
        <v>70.702265788381794</v>
      </c>
      <c r="AK995">
        <v>9.4438027278169407</v>
      </c>
      <c r="AL995">
        <v>83.113922426099606</v>
      </c>
      <c r="AM995">
        <v>81.627502769509206</v>
      </c>
      <c r="AN995">
        <v>0.99999997477634395</v>
      </c>
    </row>
    <row r="996" spans="1:40" x14ac:dyDescent="0.25">
      <c r="A996" t="str">
        <f>"20190312151243328"</f>
        <v>20190312151243328</v>
      </c>
      <c r="B996" t="str">
        <f>"1552374763320469"</f>
        <v>1552374763320469</v>
      </c>
      <c r="C996" t="s">
        <v>40</v>
      </c>
      <c r="D996">
        <v>4.4369430000000003</v>
      </c>
      <c r="E996">
        <v>0.56832959999999999</v>
      </c>
      <c r="F996" t="s">
        <v>42</v>
      </c>
      <c r="G996">
        <v>-219.52199999999999</v>
      </c>
      <c r="H996" s="1">
        <v>-1.5501040000000001E-6</v>
      </c>
      <c r="I996">
        <v>364.34969999999998</v>
      </c>
      <c r="J996">
        <v>-228.49870000000001</v>
      </c>
      <c r="K996">
        <v>1.1100369999999999</v>
      </c>
      <c r="L996">
        <v>367.5412</v>
      </c>
      <c r="M996">
        <v>0.99986980000000003</v>
      </c>
      <c r="N996">
        <v>0</v>
      </c>
      <c r="O996">
        <v>-7.468064E-3</v>
      </c>
      <c r="P996">
        <v>0.98278840000000001</v>
      </c>
      <c r="Q996">
        <v>0.10581840000000001</v>
      </c>
      <c r="R996">
        <v>-0.15142639999999999</v>
      </c>
      <c r="S996">
        <v>2.9340359999999999</v>
      </c>
      <c r="T996">
        <v>-0.35498069999999998</v>
      </c>
      <c r="U996">
        <v>-1.0214840000000001</v>
      </c>
      <c r="V996">
        <v>0.14427809999999999</v>
      </c>
      <c r="W996">
        <v>0.1196565</v>
      </c>
      <c r="X996">
        <v>0.98227600000000004</v>
      </c>
      <c r="Y996">
        <v>0.3197004</v>
      </c>
      <c r="Z996">
        <v>-1.784958E-2</v>
      </c>
      <c r="AA996">
        <v>0.94735060000000004</v>
      </c>
      <c r="AB996">
        <v>20</v>
      </c>
      <c r="AC996">
        <v>8.9766999999999904</v>
      </c>
      <c r="AD996">
        <v>-1.110038550104</v>
      </c>
      <c r="AE996">
        <v>-3.1915000000000102</v>
      </c>
      <c r="AF996">
        <v>3.0825194658169202</v>
      </c>
      <c r="AG996">
        <v>-1.110038550104</v>
      </c>
      <c r="AH996">
        <v>8.8797413471782001</v>
      </c>
      <c r="AI996">
        <v>96.735135125810203</v>
      </c>
      <c r="AJ996">
        <v>70.856031907549706</v>
      </c>
      <c r="AK996">
        <v>9.4648781414576799</v>
      </c>
      <c r="AL996">
        <v>83.127721319333602</v>
      </c>
      <c r="AM996">
        <v>81.644063077744605</v>
      </c>
      <c r="AN996">
        <v>0.99999999415392904</v>
      </c>
    </row>
    <row r="997" spans="1:40" x14ac:dyDescent="0.25">
      <c r="A997" t="str">
        <f>"20190312151243349"</f>
        <v>20190312151243349</v>
      </c>
      <c r="B997" t="str">
        <f>"1552374763340964"</f>
        <v>1552374763340964</v>
      </c>
      <c r="C997" t="s">
        <v>40</v>
      </c>
      <c r="D997">
        <v>4.3846809999999996</v>
      </c>
      <c r="E997">
        <v>0.56775620000000004</v>
      </c>
      <c r="F997" t="s">
        <v>42</v>
      </c>
      <c r="G997">
        <v>-219.2277</v>
      </c>
      <c r="H997" s="1">
        <v>-1.6586080000000001E-6</v>
      </c>
      <c r="I997">
        <v>364.31819999999999</v>
      </c>
      <c r="J997">
        <v>-228.2987</v>
      </c>
      <c r="K997">
        <v>1.11006</v>
      </c>
      <c r="L997">
        <v>367.53840000000002</v>
      </c>
      <c r="M997">
        <v>0.99986059999999999</v>
      </c>
      <c r="N997">
        <v>0</v>
      </c>
      <c r="O997">
        <v>-8.601193E-3</v>
      </c>
      <c r="P997">
        <v>0.98267260000000001</v>
      </c>
      <c r="Q997">
        <v>0.10556450000000001</v>
      </c>
      <c r="R997">
        <v>-0.1523515</v>
      </c>
      <c r="S997">
        <v>2.933243</v>
      </c>
      <c r="T997">
        <v>-0.35120259999999998</v>
      </c>
      <c r="U997">
        <v>-1.019714</v>
      </c>
      <c r="V997">
        <v>0.14408360000000001</v>
      </c>
      <c r="W997">
        <v>0.1194056</v>
      </c>
      <c r="X997">
        <v>0.98233510000000002</v>
      </c>
      <c r="Y997">
        <v>0.3182547</v>
      </c>
      <c r="Z997">
        <v>-1.7451910000000001E-2</v>
      </c>
      <c r="AA997">
        <v>0.94784460000000004</v>
      </c>
      <c r="AB997">
        <v>20</v>
      </c>
      <c r="AC997">
        <v>9.0709999999999908</v>
      </c>
      <c r="AD997">
        <v>-1.1100616586079901</v>
      </c>
      <c r="AE997">
        <v>-3.2202000000000299</v>
      </c>
      <c r="AF997">
        <v>3.1008121299862599</v>
      </c>
      <c r="AG997">
        <v>-1.1100616586079901</v>
      </c>
      <c r="AH997">
        <v>8.9789490659848301</v>
      </c>
      <c r="AI997">
        <v>96.665200382175996</v>
      </c>
      <c r="AJ997">
        <v>70.948034328452295</v>
      </c>
      <c r="AK997">
        <v>9.5639321976335303</v>
      </c>
      <c r="AL997">
        <v>83.142200783498495</v>
      </c>
      <c r="AM997">
        <v>81.655663890555005</v>
      </c>
      <c r="AN997">
        <v>1.0000000148961601</v>
      </c>
    </row>
    <row r="998" spans="1:40" x14ac:dyDescent="0.25">
      <c r="A998" t="str">
        <f>"20190312151243372"</f>
        <v>20190312151243372</v>
      </c>
      <c r="B998" t="str">
        <f>"1552374763360485"</f>
        <v>1552374763360485</v>
      </c>
      <c r="C998" t="s">
        <v>40</v>
      </c>
      <c r="D998">
        <v>4.3598160000000004</v>
      </c>
      <c r="E998">
        <v>0.56731359999999997</v>
      </c>
      <c r="F998" t="s">
        <v>42</v>
      </c>
      <c r="G998">
        <v>-218.95429999999999</v>
      </c>
      <c r="H998" s="1">
        <v>-1.7582510000000001E-6</v>
      </c>
      <c r="I998">
        <v>364.29340000000002</v>
      </c>
      <c r="J998">
        <v>-228.10470000000001</v>
      </c>
      <c r="K998">
        <v>1.11007099999999</v>
      </c>
      <c r="L998">
        <v>367.53539999999998</v>
      </c>
      <c r="M998">
        <v>0.99985089999999999</v>
      </c>
      <c r="N998">
        <v>0</v>
      </c>
      <c r="O998">
        <v>-9.6903400000000004E-3</v>
      </c>
      <c r="P998">
        <v>0.98249169999999997</v>
      </c>
      <c r="Q998">
        <v>0.1056222</v>
      </c>
      <c r="R998">
        <v>-0.15347450000000001</v>
      </c>
      <c r="S998">
        <v>2.9324189999999999</v>
      </c>
      <c r="T998">
        <v>-0.34835290000000002</v>
      </c>
      <c r="U998">
        <v>-1.018311</v>
      </c>
      <c r="V998">
        <v>0.1441315</v>
      </c>
      <c r="W998">
        <v>0.1194643</v>
      </c>
      <c r="X998">
        <v>0.98232090000000005</v>
      </c>
      <c r="Y998">
        <v>0.3169458</v>
      </c>
      <c r="Z998">
        <v>-1.7116590000000001E-2</v>
      </c>
      <c r="AA998">
        <v>0.94828920000000005</v>
      </c>
      <c r="AB998">
        <v>20</v>
      </c>
      <c r="AC998">
        <v>9.1504000000000101</v>
      </c>
      <c r="AD998">
        <v>-1.1100727582509899</v>
      </c>
      <c r="AE998">
        <v>-3.24199999999996</v>
      </c>
      <c r="AF998">
        <v>3.1124703910594902</v>
      </c>
      <c r="AG998">
        <v>-1.1100727582509899</v>
      </c>
      <c r="AH998">
        <v>9.0628857508460801</v>
      </c>
      <c r="AI998">
        <v>96.607937667579606</v>
      </c>
      <c r="AJ998">
        <v>71.045970900090197</v>
      </c>
      <c r="AK998">
        <v>9.6465346936981398</v>
      </c>
      <c r="AL998">
        <v>83.138813029024107</v>
      </c>
      <c r="AM998">
        <v>81.652809966630002</v>
      </c>
      <c r="AN998">
        <v>0.99999997942177399</v>
      </c>
    </row>
    <row r="999" spans="1:40" x14ac:dyDescent="0.25">
      <c r="A999" t="str">
        <f>"20190312151243394"</f>
        <v>20190312151243394</v>
      </c>
      <c r="B999" t="str">
        <f>"1552374763390741"</f>
        <v>1552374763390741</v>
      </c>
      <c r="C999" t="s">
        <v>40</v>
      </c>
      <c r="D999">
        <v>4.3098769999999904</v>
      </c>
      <c r="E999">
        <v>0.56686340000000002</v>
      </c>
      <c r="F999" t="s">
        <v>42</v>
      </c>
      <c r="G999">
        <v>-218.65710000000001</v>
      </c>
      <c r="H999" s="1">
        <v>-1.8698080000000001E-6</v>
      </c>
      <c r="I999">
        <v>364.2543</v>
      </c>
      <c r="J999">
        <v>-227.9024</v>
      </c>
      <c r="K999">
        <v>1.110087</v>
      </c>
      <c r="L999">
        <v>367.53210000000001</v>
      </c>
      <c r="M999">
        <v>0.99983940000000004</v>
      </c>
      <c r="N999">
        <v>0</v>
      </c>
      <c r="O999">
        <v>-1.08142E-2</v>
      </c>
      <c r="P999">
        <v>0.98240459999999996</v>
      </c>
      <c r="Q999">
        <v>0.1055746</v>
      </c>
      <c r="R999">
        <v>-0.15406500000000001</v>
      </c>
      <c r="S999">
        <v>2.9314420000000001</v>
      </c>
      <c r="T999">
        <v>-0.34443509999999899</v>
      </c>
      <c r="U999">
        <v>-1.0180659999999999</v>
      </c>
      <c r="V999">
        <v>0.14361199999999999</v>
      </c>
      <c r="W999">
        <v>0.11941939999999999</v>
      </c>
      <c r="X999">
        <v>0.98240240000000001</v>
      </c>
      <c r="Y999">
        <v>0.31596249999999998</v>
      </c>
      <c r="Z999">
        <v>-1.6747089999999999E-2</v>
      </c>
      <c r="AA999">
        <v>0.94862380000000002</v>
      </c>
      <c r="AB999">
        <v>20</v>
      </c>
      <c r="AC999">
        <v>9.2452999999999808</v>
      </c>
      <c r="AD999">
        <v>-1.110088869808</v>
      </c>
      <c r="AE999">
        <v>-3.2778000000000098</v>
      </c>
      <c r="AF999">
        <v>3.1374359712193698</v>
      </c>
      <c r="AG999">
        <v>-1.110088869808</v>
      </c>
      <c r="AH999">
        <v>9.16285963675044</v>
      </c>
      <c r="AI999">
        <v>96.538594568927905</v>
      </c>
      <c r="AJ999">
        <v>71.098388521585406</v>
      </c>
      <c r="AK999">
        <v>9.7485280168424993</v>
      </c>
      <c r="AL999">
        <v>83.141403870630896</v>
      </c>
      <c r="AM999">
        <v>81.683154855113699</v>
      </c>
      <c r="AN999">
        <v>0.99999993758305805</v>
      </c>
    </row>
    <row r="1000" spans="1:40" x14ac:dyDescent="0.25">
      <c r="A1000" t="str">
        <f>"20190312151243419"</f>
        <v>20190312151243419</v>
      </c>
      <c r="B1000" t="str">
        <f>"1552374763410261"</f>
        <v>1552374763410261</v>
      </c>
      <c r="C1000" t="s">
        <v>40</v>
      </c>
      <c r="D1000">
        <v>4.2525909999999998</v>
      </c>
      <c r="E1000">
        <v>0.5668164</v>
      </c>
      <c r="F1000" t="s">
        <v>42</v>
      </c>
      <c r="G1000">
        <v>-218.32769999999999</v>
      </c>
      <c r="H1000" s="1">
        <v>-1.9931099999999999E-6</v>
      </c>
      <c r="I1000">
        <v>364.21210000000002</v>
      </c>
      <c r="J1000">
        <v>-227.6977</v>
      </c>
      <c r="K1000">
        <v>1.1101019999999999</v>
      </c>
      <c r="L1000">
        <v>367.52850000000001</v>
      </c>
      <c r="M1000">
        <v>0.99982660000000001</v>
      </c>
      <c r="N1000">
        <v>0</v>
      </c>
      <c r="O1000">
        <v>-1.193932E-2</v>
      </c>
      <c r="P1000">
        <v>0.98226789999999997</v>
      </c>
      <c r="Q1000">
        <v>0.1056067</v>
      </c>
      <c r="R1000">
        <v>-0.154910299999999</v>
      </c>
      <c r="S1000">
        <v>2.9308619999999999</v>
      </c>
      <c r="T1000">
        <v>-0.33980250000000001</v>
      </c>
      <c r="U1000">
        <v>-1.0162659999999999</v>
      </c>
      <c r="V1000">
        <v>0.1433479</v>
      </c>
      <c r="W1000">
        <v>0.1194516</v>
      </c>
      <c r="X1000">
        <v>0.98243709999999995</v>
      </c>
      <c r="Y1000">
        <v>0.31449759999999999</v>
      </c>
      <c r="Z1000">
        <v>-1.6319399999999901E-2</v>
      </c>
      <c r="AA1000">
        <v>0.94911800000000002</v>
      </c>
      <c r="AB1000">
        <v>20</v>
      </c>
      <c r="AC1000">
        <v>9.3699999999999992</v>
      </c>
      <c r="AD1000">
        <v>-1.1101039931100001</v>
      </c>
      <c r="AE1000">
        <v>-3.3163999999999798</v>
      </c>
      <c r="AF1000">
        <v>3.1648043278312201</v>
      </c>
      <c r="AG1000">
        <v>-1.1101039931100001</v>
      </c>
      <c r="AH1000">
        <v>9.2930145959066</v>
      </c>
      <c r="AI1000">
        <v>96.451500315378993</v>
      </c>
      <c r="AJ1000">
        <v>71.193347395984901</v>
      </c>
      <c r="AK1000">
        <v>9.8796982539301901</v>
      </c>
      <c r="AL1000">
        <v>83.139545939746299</v>
      </c>
      <c r="AM1000">
        <v>81.698525167466101</v>
      </c>
      <c r="AN1000">
        <v>0.99999998031668902</v>
      </c>
    </row>
    <row r="1001" spans="1:40" x14ac:dyDescent="0.25">
      <c r="A1001" t="str">
        <f>"20190312151243440"</f>
        <v>20190312151243440</v>
      </c>
      <c r="B1001" t="str">
        <f>"1552374763430756"</f>
        <v>1552374763430756</v>
      </c>
      <c r="C1001" t="s">
        <v>40</v>
      </c>
      <c r="D1001">
        <v>4.2196089999999904</v>
      </c>
      <c r="E1001">
        <v>0.56699040000000001</v>
      </c>
      <c r="F1001" t="s">
        <v>42</v>
      </c>
      <c r="G1001">
        <v>-218.03919999999999</v>
      </c>
      <c r="H1001" s="1">
        <v>-2.101834E-6</v>
      </c>
      <c r="I1001">
        <v>364.17250000000001</v>
      </c>
      <c r="J1001">
        <v>-227.5034</v>
      </c>
      <c r="K1001">
        <v>1.1101129999999999</v>
      </c>
      <c r="L1001">
        <v>367.5249</v>
      </c>
      <c r="M1001">
        <v>0.99981339999999996</v>
      </c>
      <c r="N1001">
        <v>0</v>
      </c>
      <c r="O1001">
        <v>-1.299966E-2</v>
      </c>
      <c r="P1001">
        <v>0.98210280000000005</v>
      </c>
      <c r="Q1001">
        <v>0.1056633</v>
      </c>
      <c r="R1001">
        <v>-0.1559151</v>
      </c>
      <c r="S1001">
        <v>2.9297789999999999</v>
      </c>
      <c r="T1001">
        <v>-0.3367348</v>
      </c>
      <c r="U1001">
        <v>-1.0180049999999901</v>
      </c>
      <c r="V1001">
        <v>0.14330860000000001</v>
      </c>
      <c r="W1001">
        <v>0.1195065</v>
      </c>
      <c r="X1001">
        <v>0.98243619999999998</v>
      </c>
      <c r="Y1001">
        <v>0.31414309999999901</v>
      </c>
      <c r="Z1001">
        <v>-1.603941E-2</v>
      </c>
      <c r="AA1001">
        <v>0.94924010000000003</v>
      </c>
      <c r="AB1001">
        <v>20</v>
      </c>
      <c r="AC1001">
        <v>9.4641999999999999</v>
      </c>
      <c r="AD1001">
        <v>-1.1101151018340001</v>
      </c>
      <c r="AE1001">
        <v>-3.3523999999999798</v>
      </c>
      <c r="AF1001">
        <v>3.1900754008901502</v>
      </c>
      <c r="AG1001">
        <v>-1.1101151018340001</v>
      </c>
      <c r="AH1001">
        <v>9.3921693326422293</v>
      </c>
      <c r="AI1001">
        <v>96.3857656445213</v>
      </c>
      <c r="AJ1001">
        <v>71.239807032526301</v>
      </c>
      <c r="AK1001">
        <v>9.9810711537244092</v>
      </c>
      <c r="AL1001">
        <v>83.136377998915506</v>
      </c>
      <c r="AM1001">
        <v>81.700761882536</v>
      </c>
      <c r="AN1001">
        <v>1.0000000227233199</v>
      </c>
    </row>
    <row r="1002" spans="1:40" x14ac:dyDescent="0.25">
      <c r="A1002" t="str">
        <f>"20190312151243461"</f>
        <v>20190312151243461</v>
      </c>
      <c r="B1002" t="str">
        <f>"1552374763450277"</f>
        <v>1552374763450277</v>
      </c>
      <c r="C1002" t="s">
        <v>40</v>
      </c>
      <c r="D1002">
        <v>4.2846209999999996</v>
      </c>
      <c r="E1002">
        <v>0.56678409999999901</v>
      </c>
      <c r="F1002" t="s">
        <v>42</v>
      </c>
      <c r="G1002">
        <v>-217.7304</v>
      </c>
      <c r="H1002" s="1">
        <v>-2.2227930000000001E-6</v>
      </c>
      <c r="I1002">
        <v>364.11290000000002</v>
      </c>
      <c r="J1002">
        <v>-227.31450000000001</v>
      </c>
      <c r="K1002">
        <v>1.110123</v>
      </c>
      <c r="L1002">
        <v>367.52120000000002</v>
      </c>
      <c r="M1002">
        <v>0.99979949999999995</v>
      </c>
      <c r="N1002">
        <v>0</v>
      </c>
      <c r="O1002">
        <v>-1.4026429999999999E-2</v>
      </c>
      <c r="P1002">
        <v>0.98194669999999895</v>
      </c>
      <c r="Q1002">
        <v>0.10571410000000001</v>
      </c>
      <c r="R1002">
        <v>-0.1568601</v>
      </c>
      <c r="S1002">
        <v>2.9281619999999999</v>
      </c>
      <c r="T1002">
        <v>-0.33260659999999997</v>
      </c>
      <c r="U1002">
        <v>-1.022278</v>
      </c>
      <c r="V1002">
        <v>0.14324329999999999</v>
      </c>
      <c r="W1002">
        <v>0.1195552</v>
      </c>
      <c r="X1002">
        <v>0.98243979999999997</v>
      </c>
      <c r="Y1002">
        <v>0.3146119</v>
      </c>
      <c r="Z1002">
        <v>-1.576145E-2</v>
      </c>
      <c r="AA1002">
        <v>0.94908950000000003</v>
      </c>
      <c r="AB1002">
        <v>20</v>
      </c>
      <c r="AC1002">
        <v>9.5840999999999994</v>
      </c>
      <c r="AD1002">
        <v>-1.1101252227930001</v>
      </c>
      <c r="AE1002">
        <v>-3.4082999999999899</v>
      </c>
      <c r="AF1002">
        <v>3.2349904453595899</v>
      </c>
      <c r="AG1002">
        <v>-1.1101252227930001</v>
      </c>
      <c r="AH1002">
        <v>9.5176103889746297</v>
      </c>
      <c r="AI1002">
        <v>96.301878739494896</v>
      </c>
      <c r="AJ1002">
        <v>71.227347406904002</v>
      </c>
      <c r="AK1002">
        <v>10.113478566159401</v>
      </c>
      <c r="AL1002">
        <v>83.1335675587965</v>
      </c>
      <c r="AM1002">
        <v>81.704520849538696</v>
      </c>
      <c r="AN1002">
        <v>1.0000000247329801</v>
      </c>
    </row>
    <row r="1003" spans="1:40" x14ac:dyDescent="0.25">
      <c r="A1003" t="str">
        <f>"20190312151243484"</f>
        <v>20190312151243484</v>
      </c>
      <c r="B1003" t="str">
        <f>"1552374763480533"</f>
        <v>1552374763480533</v>
      </c>
      <c r="C1003" t="s">
        <v>40</v>
      </c>
      <c r="D1003">
        <v>4.2050159999999996</v>
      </c>
      <c r="E1003">
        <v>0.56649649999999996</v>
      </c>
      <c r="F1003" t="s">
        <v>42</v>
      </c>
      <c r="G1003">
        <v>-217.518</v>
      </c>
      <c r="H1003" s="1">
        <v>-2.2989999999999999E-6</v>
      </c>
      <c r="I1003">
        <v>364.09809999999999</v>
      </c>
      <c r="J1003">
        <v>-227.11699999999999</v>
      </c>
      <c r="K1003">
        <v>1.1101270000000001</v>
      </c>
      <c r="L1003">
        <v>367.5172</v>
      </c>
      <c r="M1003">
        <v>0.99978409999999995</v>
      </c>
      <c r="N1003">
        <v>0</v>
      </c>
      <c r="O1003">
        <v>-1.510031E-2</v>
      </c>
      <c r="P1003">
        <v>0.98175780000000001</v>
      </c>
      <c r="Q1003">
        <v>0.1058225</v>
      </c>
      <c r="R1003">
        <v>-0.15796569999999999</v>
      </c>
      <c r="S1003">
        <v>2.92746</v>
      </c>
      <c r="T1003">
        <v>-0.33173219999999998</v>
      </c>
      <c r="U1003">
        <v>-1.0229189999999999</v>
      </c>
      <c r="V1003">
        <v>0.14329310000000001</v>
      </c>
      <c r="W1003">
        <v>0.1196603</v>
      </c>
      <c r="X1003">
        <v>0.98241970000000001</v>
      </c>
      <c r="Y1003">
        <v>0.31386770000000003</v>
      </c>
      <c r="Z1003">
        <v>-1.5564720000000001E-2</v>
      </c>
      <c r="AA1003">
        <v>0.94933920000000005</v>
      </c>
      <c r="AB1003">
        <v>20</v>
      </c>
      <c r="AC1003">
        <v>9.5990000000000109</v>
      </c>
      <c r="AD1003">
        <v>-1.110129299</v>
      </c>
      <c r="AE1003">
        <v>-3.41910000000001</v>
      </c>
      <c r="AF1003">
        <v>3.2353466052941</v>
      </c>
      <c r="AG1003">
        <v>-1.110129299</v>
      </c>
      <c r="AH1003">
        <v>9.5363516043042296</v>
      </c>
      <c r="AI1003">
        <v>96.290814384093096</v>
      </c>
      <c r="AJ1003">
        <v>71.259743936136601</v>
      </c>
      <c r="AK1003">
        <v>10.131231743366699</v>
      </c>
      <c r="AL1003">
        <v>83.127501945645307</v>
      </c>
      <c r="AM1003">
        <v>81.701509580058598</v>
      </c>
      <c r="AN1003">
        <v>0.99999998342589402</v>
      </c>
    </row>
    <row r="1004" spans="1:40" x14ac:dyDescent="0.25">
      <c r="A1004" t="str">
        <f>"20190312151243506"</f>
        <v>20190312151243506</v>
      </c>
      <c r="B1004" t="str">
        <f>"1552374763501029"</f>
        <v>1552374763501029</v>
      </c>
      <c r="C1004" t="s">
        <v>40</v>
      </c>
      <c r="D1004">
        <v>4.2145429999999999</v>
      </c>
      <c r="E1004">
        <v>0.56646700000000005</v>
      </c>
      <c r="F1004" t="s">
        <v>42</v>
      </c>
      <c r="G1004">
        <v>-217.2466</v>
      </c>
      <c r="H1004" s="1">
        <v>-2.4004739999999998E-6</v>
      </c>
      <c r="I1004">
        <v>364.06380000000001</v>
      </c>
      <c r="J1004">
        <v>-226.92140000000001</v>
      </c>
      <c r="K1004">
        <v>1.1101289999999999</v>
      </c>
      <c r="L1004">
        <v>367.5129</v>
      </c>
      <c r="M1004">
        <v>0.99976750000000003</v>
      </c>
      <c r="N1004">
        <v>0</v>
      </c>
      <c r="O1004">
        <v>-1.616598E-2</v>
      </c>
      <c r="P1004">
        <v>0.98157550000000005</v>
      </c>
      <c r="Q1004">
        <v>0.1060017</v>
      </c>
      <c r="R1004">
        <v>-0.15897620000000001</v>
      </c>
      <c r="S1004">
        <v>2.9264679999999998</v>
      </c>
      <c r="T1004">
        <v>-0.32913900000000001</v>
      </c>
      <c r="U1004">
        <v>-1.023865</v>
      </c>
      <c r="V1004">
        <v>0.1432561</v>
      </c>
      <c r="W1004">
        <v>0.1198364</v>
      </c>
      <c r="X1004">
        <v>0.98240360000000004</v>
      </c>
      <c r="Y1004">
        <v>0.31326500000000002</v>
      </c>
      <c r="Z1004">
        <v>-1.5299149999999999E-2</v>
      </c>
      <c r="AA1004">
        <v>0.94954249999999996</v>
      </c>
      <c r="AB1004">
        <v>20</v>
      </c>
      <c r="AC1004">
        <v>9.6747999999999994</v>
      </c>
      <c r="AD1004">
        <v>-1.1101314004739999</v>
      </c>
      <c r="AE1004">
        <v>-3.4490999999999801</v>
      </c>
      <c r="AF1004">
        <v>3.2542160114208101</v>
      </c>
      <c r="AG1004">
        <v>-1.1101314004739999</v>
      </c>
      <c r="AH1004">
        <v>9.6169572456458994</v>
      </c>
      <c r="AI1004">
        <v>96.240174807242298</v>
      </c>
      <c r="AJ1004">
        <v>71.305048461358396</v>
      </c>
      <c r="AK1004">
        <v>10.2131376295381</v>
      </c>
      <c r="AL1004">
        <v>83.1173388195824</v>
      </c>
      <c r="AM1004">
        <v>81.703488448664302</v>
      </c>
      <c r="AN1004">
        <v>0.99999995312256396</v>
      </c>
    </row>
    <row r="1005" spans="1:40" x14ac:dyDescent="0.25">
      <c r="A1005" t="str">
        <f>"20190312151243529"</f>
        <v>20190312151243529</v>
      </c>
      <c r="B1005" t="str">
        <f>"1552374763520552"</f>
        <v>1552374763520552</v>
      </c>
      <c r="C1005" t="s">
        <v>40</v>
      </c>
      <c r="D1005">
        <v>4.174817</v>
      </c>
      <c r="E1005">
        <v>0.56613800000000003</v>
      </c>
      <c r="F1005" t="s">
        <v>42</v>
      </c>
      <c r="G1005">
        <v>-216.97900000000001</v>
      </c>
      <c r="H1005" s="1">
        <v>-2.5024730000000001E-6</v>
      </c>
      <c r="I1005">
        <v>364.02269999999999</v>
      </c>
      <c r="J1005">
        <v>-226.72540000000001</v>
      </c>
      <c r="K1005">
        <v>1.110136</v>
      </c>
      <c r="L1005">
        <v>367.50850000000003</v>
      </c>
      <c r="M1005">
        <v>0.99974949999999996</v>
      </c>
      <c r="N1005">
        <v>0</v>
      </c>
      <c r="O1005">
        <v>-1.7236560000000001E-2</v>
      </c>
      <c r="P1005">
        <v>0.98145970000000005</v>
      </c>
      <c r="Q1005">
        <v>0.1059964</v>
      </c>
      <c r="R1005">
        <v>-0.15969320000000001</v>
      </c>
      <c r="S1005">
        <v>2.925262</v>
      </c>
      <c r="T1005">
        <v>-0.32662190000000002</v>
      </c>
      <c r="U1005">
        <v>-1.026886</v>
      </c>
      <c r="V1005">
        <v>0.1429202</v>
      </c>
      <c r="W1005">
        <v>0.1198289</v>
      </c>
      <c r="X1005">
        <v>0.98245349999999998</v>
      </c>
      <c r="Y1005">
        <v>0.31327470000000002</v>
      </c>
      <c r="Z1005">
        <v>-1.507114E-2</v>
      </c>
      <c r="AA1005">
        <v>0.94954289999999997</v>
      </c>
      <c r="AB1005">
        <v>20</v>
      </c>
      <c r="AC1005">
        <v>9.7463999999999906</v>
      </c>
      <c r="AD1005">
        <v>-1.1101385024729999</v>
      </c>
      <c r="AE1005">
        <v>-3.48580000000003</v>
      </c>
      <c r="AF1005">
        <v>3.2795477010170302</v>
      </c>
      <c r="AG1005">
        <v>-1.1101385024729999</v>
      </c>
      <c r="AH1005">
        <v>9.6935416956430007</v>
      </c>
      <c r="AI1005">
        <v>96.191409799085307</v>
      </c>
      <c r="AJ1005">
        <v>71.308141469482607</v>
      </c>
      <c r="AK1005">
        <v>10.2933275097554</v>
      </c>
      <c r="AL1005">
        <v>83.117772079676399</v>
      </c>
      <c r="AM1005">
        <v>81.723086450157496</v>
      </c>
      <c r="AN1005">
        <v>1.0000000142527501</v>
      </c>
    </row>
    <row r="1006" spans="1:40" x14ac:dyDescent="0.25">
      <c r="A1006" t="str">
        <f>"20190312151243551"</f>
        <v>20190312151243551</v>
      </c>
      <c r="B1006" t="str">
        <f>"1552374763541045"</f>
        <v>1552374763541045</v>
      </c>
      <c r="C1006" t="s">
        <v>40</v>
      </c>
      <c r="D1006">
        <v>4.2482129999999998</v>
      </c>
      <c r="E1006">
        <v>0.56575909999999996</v>
      </c>
      <c r="F1006" t="s">
        <v>42</v>
      </c>
      <c r="G1006">
        <v>-216.68440000000001</v>
      </c>
      <c r="H1006" s="1">
        <v>-2.6130039999999999E-6</v>
      </c>
      <c r="I1006">
        <v>363.98410000000001</v>
      </c>
      <c r="J1006">
        <v>-226.5291</v>
      </c>
      <c r="K1006">
        <v>1.1101350000000001</v>
      </c>
      <c r="L1006">
        <v>367.50380000000001</v>
      </c>
      <c r="M1006">
        <v>0.99973060000000002</v>
      </c>
      <c r="N1006">
        <v>0</v>
      </c>
      <c r="O1006">
        <v>-1.8310259999999998E-2</v>
      </c>
      <c r="P1006">
        <v>0.98132070000000005</v>
      </c>
      <c r="Q1006">
        <v>0.1060154</v>
      </c>
      <c r="R1006">
        <v>-0.16053220000000001</v>
      </c>
      <c r="S1006">
        <v>2.9245760000000001</v>
      </c>
      <c r="T1006">
        <v>-0.32334259999999998</v>
      </c>
      <c r="U1006">
        <v>-1.0265200000000001</v>
      </c>
      <c r="V1006">
        <v>0.142704</v>
      </c>
      <c r="W1006">
        <v>0.1198449</v>
      </c>
      <c r="X1006">
        <v>0.982483</v>
      </c>
      <c r="Y1006">
        <v>0.31226229999999999</v>
      </c>
      <c r="Z1006">
        <v>-1.4755300000000001E-2</v>
      </c>
      <c r="AA1006">
        <v>0.94988130000000004</v>
      </c>
      <c r="AB1006">
        <v>19</v>
      </c>
      <c r="AC1006">
        <v>9.84469999999998</v>
      </c>
      <c r="AD1006">
        <v>-1.1101376130039999</v>
      </c>
      <c r="AE1006">
        <v>-3.5196999999999998</v>
      </c>
      <c r="AF1006">
        <v>3.3016075619118301</v>
      </c>
      <c r="AG1006">
        <v>-1.1101376130039999</v>
      </c>
      <c r="AH1006">
        <v>9.7970429213360397</v>
      </c>
      <c r="AI1006">
        <v>96.128933308833993</v>
      </c>
      <c r="AJ1006">
        <v>71.376162024964998</v>
      </c>
      <c r="AK1006">
        <v>10.397839584028</v>
      </c>
      <c r="AL1006">
        <v>83.1168488604864</v>
      </c>
      <c r="AM1006">
        <v>81.735678847842195</v>
      </c>
      <c r="AN1006">
        <v>1.0000000384804999</v>
      </c>
    </row>
    <row r="1007" spans="1:40" x14ac:dyDescent="0.25">
      <c r="A1007" t="str">
        <f>"20190312151243573"</f>
        <v>20190312151243573</v>
      </c>
      <c r="B1007" t="str">
        <f>"1552374763570325"</f>
        <v>1552374763570325</v>
      </c>
      <c r="C1007" t="s">
        <v>40</v>
      </c>
      <c r="D1007">
        <v>4.2014750000000003</v>
      </c>
      <c r="E1007">
        <v>0.56550040000000001</v>
      </c>
      <c r="F1007" t="s">
        <v>42</v>
      </c>
      <c r="G1007">
        <v>-216.46559999999999</v>
      </c>
      <c r="H1007" s="1">
        <v>-2.6900090000000001E-6</v>
      </c>
      <c r="I1007">
        <v>363.97449999999998</v>
      </c>
      <c r="J1007">
        <v>-226.34219999999999</v>
      </c>
      <c r="K1007">
        <v>1.1101319999999999</v>
      </c>
      <c r="L1007">
        <v>367.4991</v>
      </c>
      <c r="M1007">
        <v>0.99971149999999998</v>
      </c>
      <c r="N1007">
        <v>0</v>
      </c>
      <c r="O1007">
        <v>-1.9335089999999999E-2</v>
      </c>
      <c r="P1007">
        <v>0.98121959999999997</v>
      </c>
      <c r="Q1007">
        <v>0.1055803</v>
      </c>
      <c r="R1007">
        <v>-0.161435</v>
      </c>
      <c r="S1007">
        <v>2.92421</v>
      </c>
      <c r="T1007">
        <v>-0.32257760000000002</v>
      </c>
      <c r="U1007">
        <v>-1.0255129999999999</v>
      </c>
      <c r="V1007">
        <v>0.14259849999999999</v>
      </c>
      <c r="W1007">
        <v>0.1194071</v>
      </c>
      <c r="X1007">
        <v>0.98255159999999997</v>
      </c>
      <c r="Y1007">
        <v>0.31105369999999999</v>
      </c>
      <c r="Z1007">
        <v>-1.454928E-2</v>
      </c>
      <c r="AA1007">
        <v>0.95028100000000004</v>
      </c>
      <c r="AB1007">
        <v>19</v>
      </c>
      <c r="AC1007">
        <v>9.8765999999999892</v>
      </c>
      <c r="AD1007">
        <v>-1.1101346900089999</v>
      </c>
      <c r="AE1007">
        <v>-3.5246000000000199</v>
      </c>
      <c r="AF1007">
        <v>3.2960191993609298</v>
      </c>
      <c r="AG1007">
        <v>-1.1101346900089999</v>
      </c>
      <c r="AH1007">
        <v>9.8327165552269804</v>
      </c>
      <c r="AI1007">
        <v>96.110128454649598</v>
      </c>
      <c r="AJ1007">
        <v>71.468363098393695</v>
      </c>
      <c r="AK1007">
        <v>10.4296911003131</v>
      </c>
      <c r="AL1007">
        <v>83.142114236371796</v>
      </c>
      <c r="AM1007">
        <v>81.742272927964393</v>
      </c>
      <c r="AN1007">
        <v>1.0000000171976</v>
      </c>
    </row>
    <row r="1008" spans="1:40" x14ac:dyDescent="0.25">
      <c r="A1008" t="str">
        <f>"20190312151243595"</f>
        <v>20190312151243595</v>
      </c>
      <c r="B1008" t="str">
        <f>"1552374763590826"</f>
        <v>1552374763590826</v>
      </c>
      <c r="C1008" t="s">
        <v>40</v>
      </c>
      <c r="D1008">
        <v>4.1981469999999996</v>
      </c>
      <c r="E1008">
        <v>0.56536219999999904</v>
      </c>
      <c r="F1008" t="s">
        <v>42</v>
      </c>
      <c r="G1008">
        <v>-216.20249999999999</v>
      </c>
      <c r="H1008" s="1">
        <v>-2.7886150000000001E-6</v>
      </c>
      <c r="I1008">
        <v>363.94040000000001</v>
      </c>
      <c r="J1008">
        <v>-226.14359999999999</v>
      </c>
      <c r="K1008">
        <v>1.1101399999999999</v>
      </c>
      <c r="L1008">
        <v>367.49400000000003</v>
      </c>
      <c r="M1008">
        <v>0.99968979999999996</v>
      </c>
      <c r="N1008">
        <v>0</v>
      </c>
      <c r="O1008">
        <v>-2.0424649999999999E-2</v>
      </c>
      <c r="P1008">
        <v>0.98112699999999997</v>
      </c>
      <c r="Q1008">
        <v>0.1051111</v>
      </c>
      <c r="R1008">
        <v>-0.16230169999999999</v>
      </c>
      <c r="S1008">
        <v>2.9230800000000001</v>
      </c>
      <c r="T1008">
        <v>-0.32003100000000001</v>
      </c>
      <c r="U1008">
        <v>-1.025909</v>
      </c>
      <c r="V1008">
        <v>0.14239280000000001</v>
      </c>
      <c r="W1008">
        <v>0.1189355</v>
      </c>
      <c r="X1008">
        <v>0.98263860000000003</v>
      </c>
      <c r="Y1008">
        <v>0.31028149999999999</v>
      </c>
      <c r="Z1008">
        <v>-1.428373E-2</v>
      </c>
      <c r="AA1008">
        <v>0.95053739999999998</v>
      </c>
      <c r="AB1008">
        <v>19</v>
      </c>
      <c r="AC1008">
        <v>9.9411000000000005</v>
      </c>
      <c r="AD1008">
        <v>-1.1101427886149999</v>
      </c>
      <c r="AE1008">
        <v>-3.5536000000000101</v>
      </c>
      <c r="AF1008">
        <v>3.3131586067597598</v>
      </c>
      <c r="AG1008">
        <v>-1.1101427886149999</v>
      </c>
      <c r="AH1008">
        <v>9.9021198061037108</v>
      </c>
      <c r="AI1008">
        <v>96.068789410170893</v>
      </c>
      <c r="AJ1008">
        <v>71.500230696145493</v>
      </c>
      <c r="AK1008">
        <v>10.5005434916051</v>
      </c>
      <c r="AL1008">
        <v>83.169328681453493</v>
      </c>
      <c r="AM1008">
        <v>81.754740911401498</v>
      </c>
      <c r="AN1008">
        <v>0.99999999043102406</v>
      </c>
    </row>
    <row r="1009" spans="1:40" x14ac:dyDescent="0.25">
      <c r="A1009" t="str">
        <f>"20190312151243611"</f>
        <v>20190312151243611</v>
      </c>
      <c r="B1009" t="str">
        <f>"1552374763601211"</f>
        <v>1552374763601211</v>
      </c>
      <c r="C1009" t="s">
        <v>40</v>
      </c>
      <c r="D1009">
        <v>4.2010560000000003</v>
      </c>
      <c r="E1009">
        <v>0.56530749999999996</v>
      </c>
      <c r="F1009" t="s">
        <v>42</v>
      </c>
      <c r="G1009">
        <v>-215.98990000000001</v>
      </c>
      <c r="H1009" s="1">
        <v>-2.8654300000000001E-6</v>
      </c>
      <c r="I1009">
        <v>363.9237</v>
      </c>
      <c r="J1009">
        <v>-226.0085</v>
      </c>
      <c r="K1009">
        <v>1.1101399999999999</v>
      </c>
      <c r="L1009">
        <v>367.49040000000002</v>
      </c>
      <c r="M1009">
        <v>0.99967439999999996</v>
      </c>
      <c r="N1009">
        <v>0</v>
      </c>
      <c r="O1009">
        <v>-2.1166999999999998E-2</v>
      </c>
      <c r="P1009">
        <v>0.98099420000000004</v>
      </c>
      <c r="Q1009">
        <v>0.1052015</v>
      </c>
      <c r="R1009">
        <v>-0.1630443</v>
      </c>
      <c r="S1009">
        <v>2.9220120000000001</v>
      </c>
      <c r="T1009">
        <v>-0.31947059999999999</v>
      </c>
      <c r="U1009">
        <v>-1.0274350000000001</v>
      </c>
      <c r="V1009">
        <v>0.1424069</v>
      </c>
      <c r="W1009">
        <v>0.11902260000000001</v>
      </c>
      <c r="X1009">
        <v>0.982626</v>
      </c>
      <c r="Y1009">
        <v>0.31013580000000002</v>
      </c>
      <c r="Z1009">
        <v>-1.417641E-2</v>
      </c>
      <c r="AA1009">
        <v>0.95058659999999995</v>
      </c>
      <c r="AB1009">
        <v>19</v>
      </c>
      <c r="AC1009">
        <v>10.0185999999999</v>
      </c>
      <c r="AD1009">
        <v>-1.1101428654299901</v>
      </c>
      <c r="AE1009">
        <v>-3.56670000000002</v>
      </c>
      <c r="AF1009">
        <v>3.3176618991990501</v>
      </c>
      <c r="AG1009">
        <v>-1.1101428654299901</v>
      </c>
      <c r="AH1009">
        <v>9.9830702980568606</v>
      </c>
      <c r="AI1009">
        <v>96.023999949378506</v>
      </c>
      <c r="AJ1009">
        <v>71.616866091436705</v>
      </c>
      <c r="AK1009">
        <v>10.5783264382891</v>
      </c>
      <c r="AL1009">
        <v>83.164302446553094</v>
      </c>
      <c r="AM1009">
        <v>81.753831394326198</v>
      </c>
      <c r="AN1009">
        <v>0.99999998017718394</v>
      </c>
    </row>
    <row r="1010" spans="1:40" x14ac:dyDescent="0.25">
      <c r="A1010" t="str">
        <f>"20190312151243630"</f>
        <v>20190312151243630</v>
      </c>
      <c r="B1010" t="str">
        <f>"1552374763620731"</f>
        <v>1552374763620731</v>
      </c>
      <c r="C1010" t="s">
        <v>40</v>
      </c>
      <c r="D1010">
        <v>4.2198659999999997</v>
      </c>
      <c r="E1010">
        <v>0.5652334</v>
      </c>
      <c r="F1010" t="s">
        <v>42</v>
      </c>
      <c r="G1010">
        <v>-215.81559999999999</v>
      </c>
      <c r="H1010" s="1">
        <v>-2.9317019999999999E-6</v>
      </c>
      <c r="I1010">
        <v>363.89760000000001</v>
      </c>
      <c r="J1010">
        <v>-225.84989999999999</v>
      </c>
      <c r="K1010">
        <v>1.110144</v>
      </c>
      <c r="L1010">
        <v>367.48599999999999</v>
      </c>
      <c r="M1010">
        <v>0.99965570000000004</v>
      </c>
      <c r="N1010">
        <v>0</v>
      </c>
      <c r="O1010">
        <v>-2.203915E-2</v>
      </c>
      <c r="P1010">
        <v>0.98088109999999995</v>
      </c>
      <c r="Q1010">
        <v>0.10438740000000001</v>
      </c>
      <c r="R1010">
        <v>-0.1642431</v>
      </c>
      <c r="S1010">
        <v>2.9210970000000001</v>
      </c>
      <c r="T1010">
        <v>-0.31814429999999999</v>
      </c>
      <c r="U1010">
        <v>-1.029633</v>
      </c>
      <c r="V1010">
        <v>0.1427476</v>
      </c>
      <c r="W1010">
        <v>0.1182054</v>
      </c>
      <c r="X1010">
        <v>0.98267530000000003</v>
      </c>
      <c r="Y1010">
        <v>0.31005359999999998</v>
      </c>
      <c r="Z1010">
        <v>-1.402421E-2</v>
      </c>
      <c r="AA1010">
        <v>0.95061560000000001</v>
      </c>
      <c r="AB1010">
        <v>19</v>
      </c>
      <c r="AC1010">
        <v>10.0343</v>
      </c>
      <c r="AD1010">
        <v>-1.1101469317020001</v>
      </c>
      <c r="AE1010">
        <v>-3.5883999999999698</v>
      </c>
      <c r="AF1010">
        <v>3.3302179036461199</v>
      </c>
      <c r="AG1010">
        <v>-1.1101469317020001</v>
      </c>
      <c r="AH1010">
        <v>10.002406632677101</v>
      </c>
      <c r="AI1010">
        <v>96.011366402553193</v>
      </c>
      <c r="AJ1010">
        <v>71.585250473397295</v>
      </c>
      <c r="AK1010">
        <v>10.600514890379401</v>
      </c>
      <c r="AL1010">
        <v>83.211458063104203</v>
      </c>
      <c r="AM1010">
        <v>81.734784144825099</v>
      </c>
      <c r="AN1010">
        <v>1.0000000695625</v>
      </c>
    </row>
    <row r="1011" spans="1:40" x14ac:dyDescent="0.25">
      <c r="A1011" t="str">
        <f>"20190312151243652"</f>
        <v>20190312151243652</v>
      </c>
      <c r="B1011" t="str">
        <f>"1552374763641227"</f>
        <v>1552374763641227</v>
      </c>
      <c r="C1011" t="s">
        <v>40</v>
      </c>
      <c r="D1011">
        <v>4.2246160000000001</v>
      </c>
      <c r="E1011">
        <v>0.56514869999999995</v>
      </c>
      <c r="F1011" t="s">
        <v>42</v>
      </c>
      <c r="G1011">
        <v>-215.67750000000001</v>
      </c>
      <c r="H1011" s="1">
        <v>-2.981195E-6</v>
      </c>
      <c r="I1011">
        <v>363.88819999999998</v>
      </c>
      <c r="J1011">
        <v>-225.65770000000001</v>
      </c>
      <c r="K1011">
        <v>1.1101460000000001</v>
      </c>
      <c r="L1011">
        <v>367.48050000000001</v>
      </c>
      <c r="M1011">
        <v>0.99963179999999996</v>
      </c>
      <c r="N1011">
        <v>0</v>
      </c>
      <c r="O1011">
        <v>-2.309688E-2</v>
      </c>
      <c r="P1011">
        <v>0.9807285</v>
      </c>
      <c r="Q1011">
        <v>0.1040068</v>
      </c>
      <c r="R1011">
        <v>-0.16539139999999999</v>
      </c>
      <c r="S1011">
        <v>2.9195099999999998</v>
      </c>
      <c r="T1011">
        <v>-0.3186138</v>
      </c>
      <c r="U1011">
        <v>-1.032562</v>
      </c>
      <c r="V1011">
        <v>0.14285639999999999</v>
      </c>
      <c r="W1011">
        <v>0.11782140000000001</v>
      </c>
      <c r="X1011">
        <v>0.98270550000000001</v>
      </c>
      <c r="Y1011">
        <v>0.31005850000000001</v>
      </c>
      <c r="Z1011">
        <v>-1.393846E-2</v>
      </c>
      <c r="AA1011">
        <v>0.95061530000000005</v>
      </c>
      <c r="AB1011">
        <v>19</v>
      </c>
      <c r="AC1011">
        <v>9.9801999999999893</v>
      </c>
      <c r="AD1011">
        <v>-1.1101489811949901</v>
      </c>
      <c r="AE1011">
        <v>-3.5923000000000198</v>
      </c>
      <c r="AF1011">
        <v>3.32439104617966</v>
      </c>
      <c r="AG1011">
        <v>-1.1101489811949901</v>
      </c>
      <c r="AH1011">
        <v>9.9515069623696899</v>
      </c>
      <c r="AI1011">
        <v>96.039886526256694</v>
      </c>
      <c r="AJ1011">
        <v>71.527636439707095</v>
      </c>
      <c r="AK1011">
        <v>10.5506633635265</v>
      </c>
      <c r="AL1011">
        <v>83.233613769486496</v>
      </c>
      <c r="AM1011">
        <v>81.728822332056893</v>
      </c>
      <c r="AN1011">
        <v>0.99999996652458401</v>
      </c>
    </row>
    <row r="1012" spans="1:40" x14ac:dyDescent="0.25">
      <c r="A1012" t="str">
        <f>"20190312151243674"</f>
        <v>20190312151243674</v>
      </c>
      <c r="B1012" t="str">
        <f>"1552374763670507"</f>
        <v>1552374763670507</v>
      </c>
      <c r="C1012" t="s">
        <v>40</v>
      </c>
      <c r="D1012">
        <v>4.266572</v>
      </c>
      <c r="E1012">
        <v>0.56513210000000003</v>
      </c>
      <c r="F1012" t="s">
        <v>42</v>
      </c>
      <c r="G1012">
        <v>-215.476</v>
      </c>
      <c r="H1012" s="1">
        <v>-3.054926E-6</v>
      </c>
      <c r="I1012">
        <v>363.86869999999999</v>
      </c>
      <c r="J1012">
        <v>-225.47020000000001</v>
      </c>
      <c r="K1012">
        <v>1.1101490000000001</v>
      </c>
      <c r="L1012">
        <v>367.47489999999999</v>
      </c>
      <c r="M1012">
        <v>0.99960740000000003</v>
      </c>
      <c r="N1012">
        <v>0</v>
      </c>
      <c r="O1012">
        <v>-2.4127920000000001E-2</v>
      </c>
      <c r="P1012">
        <v>0.98053179999999995</v>
      </c>
      <c r="Q1012">
        <v>0.1038515</v>
      </c>
      <c r="R1012">
        <v>-0.16665070000000001</v>
      </c>
      <c r="S1012">
        <v>2.9181059999999999</v>
      </c>
      <c r="T1012">
        <v>-0.31817050000000002</v>
      </c>
      <c r="U1012">
        <v>-1.035126</v>
      </c>
      <c r="V1012">
        <v>0.14310410000000001</v>
      </c>
      <c r="W1012">
        <v>0.1176613</v>
      </c>
      <c r="X1012">
        <v>0.98268869999999997</v>
      </c>
      <c r="Y1012">
        <v>0.30997360000000002</v>
      </c>
      <c r="Z1012">
        <v>-1.381045E-2</v>
      </c>
      <c r="AA1012">
        <v>0.95064490000000001</v>
      </c>
      <c r="AB1012">
        <v>19</v>
      </c>
      <c r="AC1012">
        <v>9.9941999999999993</v>
      </c>
      <c r="AD1012">
        <v>-1.110152054926</v>
      </c>
      <c r="AE1012">
        <v>-3.6061999999999999</v>
      </c>
      <c r="AF1012">
        <v>3.3276572603055201</v>
      </c>
      <c r="AG1012">
        <v>-1.110152054926</v>
      </c>
      <c r="AH1012">
        <v>9.9694693447433806</v>
      </c>
      <c r="AI1012">
        <v>96.029594156014198</v>
      </c>
      <c r="AJ1012">
        <v>71.541774277226807</v>
      </c>
      <c r="AK1012">
        <v>10.5686356471825</v>
      </c>
      <c r="AL1012">
        <v>83.242851459678505</v>
      </c>
      <c r="AM1012">
        <v>81.714540109501499</v>
      </c>
      <c r="AN1012">
        <v>1.0000000230310899</v>
      </c>
    </row>
    <row r="1013" spans="1:40" x14ac:dyDescent="0.25">
      <c r="A1013" t="str">
        <f>"20190312151243696"</f>
        <v>20190312151243696</v>
      </c>
      <c r="B1013" t="str">
        <f>"1552374763691003"</f>
        <v>1552374763691003</v>
      </c>
      <c r="C1013" t="s">
        <v>40</v>
      </c>
      <c r="D1013">
        <v>4.2654009999999998</v>
      </c>
      <c r="E1013">
        <v>0.56512980000000002</v>
      </c>
      <c r="F1013" t="s">
        <v>42</v>
      </c>
      <c r="G1013">
        <v>-215.2363</v>
      </c>
      <c r="H1013" s="1">
        <v>-3.1464059999999998E-6</v>
      </c>
      <c r="I1013">
        <v>363.83150000000001</v>
      </c>
      <c r="J1013">
        <v>-225.2775</v>
      </c>
      <c r="K1013">
        <v>1.1101490000000001</v>
      </c>
      <c r="L1013">
        <v>367.46899999999999</v>
      </c>
      <c r="M1013">
        <v>0.99958150000000001</v>
      </c>
      <c r="N1013">
        <v>0</v>
      </c>
      <c r="O1013">
        <v>-2.5188269999999999E-2</v>
      </c>
      <c r="P1013">
        <v>0.98032030000000003</v>
      </c>
      <c r="Q1013">
        <v>0.1047646</v>
      </c>
      <c r="R1013">
        <v>-0.1673222</v>
      </c>
      <c r="S1013">
        <v>2.916595</v>
      </c>
      <c r="T1013">
        <v>-0.31638240000000001</v>
      </c>
      <c r="U1013">
        <v>-1.03833</v>
      </c>
      <c r="V1013">
        <v>0.14273729999999901</v>
      </c>
      <c r="W1013">
        <v>0.1185705</v>
      </c>
      <c r="X1013">
        <v>0.98263279999999997</v>
      </c>
      <c r="Y1013">
        <v>0.31006909999999999</v>
      </c>
      <c r="Z1013">
        <v>-1.363147E-2</v>
      </c>
      <c r="AA1013">
        <v>0.95061629999999997</v>
      </c>
      <c r="AB1013">
        <v>19</v>
      </c>
      <c r="AC1013">
        <v>10.0412</v>
      </c>
      <c r="AD1013">
        <v>-1.110152146406</v>
      </c>
      <c r="AE1013">
        <v>-3.6374999999999802</v>
      </c>
      <c r="AF1013">
        <v>3.34723130160627</v>
      </c>
      <c r="AG1013">
        <v>-1.110152146406</v>
      </c>
      <c r="AH1013">
        <v>10.021359884413799</v>
      </c>
      <c r="AI1013">
        <v>95.998199378913597</v>
      </c>
      <c r="AJ1013">
        <v>71.530181147360395</v>
      </c>
      <c r="AK1013">
        <v>10.6237492961553</v>
      </c>
      <c r="AL1013">
        <v>83.190391155355798</v>
      </c>
      <c r="AM1013">
        <v>81.735019769173704</v>
      </c>
      <c r="AN1013">
        <v>1.00000005995868</v>
      </c>
    </row>
    <row r="1014" spans="1:40" x14ac:dyDescent="0.25">
      <c r="A1014" t="str">
        <f>"20190312151243719"</f>
        <v>20190312151243719</v>
      </c>
      <c r="B1014" t="str">
        <f>"1552374763710524"</f>
        <v>1552374763710524</v>
      </c>
      <c r="C1014" t="s">
        <v>40</v>
      </c>
      <c r="D1014">
        <v>4.3222180000000003</v>
      </c>
      <c r="E1014">
        <v>0.5651273</v>
      </c>
      <c r="F1014" t="s">
        <v>42</v>
      </c>
      <c r="G1014">
        <v>-214.9118</v>
      </c>
      <c r="H1014" s="1">
        <v>-3.2731180000000001E-6</v>
      </c>
      <c r="I1014">
        <v>363.77030000000002</v>
      </c>
      <c r="J1014">
        <v>-225.08539999999999</v>
      </c>
      <c r="K1014">
        <v>1.110152</v>
      </c>
      <c r="L1014">
        <v>367.46289999999999</v>
      </c>
      <c r="M1014">
        <v>0.99955430000000001</v>
      </c>
      <c r="N1014">
        <v>0</v>
      </c>
      <c r="O1014">
        <v>-2.6244460000000001E-2</v>
      </c>
      <c r="P1014">
        <v>0.98020399999999996</v>
      </c>
      <c r="Q1014">
        <v>0.1054311</v>
      </c>
      <c r="R1014">
        <v>-0.16758509999999999</v>
      </c>
      <c r="S1014">
        <v>2.915985</v>
      </c>
      <c r="T1014">
        <v>-0.31229689999999999</v>
      </c>
      <c r="U1014">
        <v>-1.040497</v>
      </c>
      <c r="V1014">
        <v>0.14196329999999999</v>
      </c>
      <c r="W1014">
        <v>0.119234199999999</v>
      </c>
      <c r="X1014">
        <v>0.98266450000000005</v>
      </c>
      <c r="Y1014">
        <v>0.3097992</v>
      </c>
      <c r="Z1014">
        <v>-1.3334220000000001E-2</v>
      </c>
      <c r="AA1014">
        <v>0.95070849999999996</v>
      </c>
      <c r="AB1014">
        <v>19</v>
      </c>
      <c r="AC1014">
        <v>10.173599999999899</v>
      </c>
      <c r="AD1014">
        <v>-1.110155273118</v>
      </c>
      <c r="AE1014">
        <v>-3.6925999999999601</v>
      </c>
      <c r="AF1014">
        <v>3.3886470126727901</v>
      </c>
      <c r="AG1014">
        <v>-1.110155273118</v>
      </c>
      <c r="AH1014">
        <v>10.160116929528201</v>
      </c>
      <c r="AI1014">
        <v>95.917739703553394</v>
      </c>
      <c r="AJ1014">
        <v>71.555198602325603</v>
      </c>
      <c r="AK1014">
        <v>10.7676993517006</v>
      </c>
      <c r="AL1014">
        <v>83.152091471653193</v>
      </c>
      <c r="AM1014">
        <v>81.779484410803406</v>
      </c>
      <c r="AN1014">
        <v>0.99999994627838795</v>
      </c>
    </row>
    <row r="1015" spans="1:40" x14ac:dyDescent="0.25">
      <c r="A1015" t="str">
        <f>"20190312151243740"</f>
        <v>20190312151243740</v>
      </c>
      <c r="B1015" t="str">
        <f>"1552374763731019"</f>
        <v>1552374763731019</v>
      </c>
      <c r="C1015" t="s">
        <v>40</v>
      </c>
      <c r="D1015">
        <v>4.2973210000000002</v>
      </c>
      <c r="E1015">
        <v>0.56515559999999998</v>
      </c>
      <c r="F1015" t="s">
        <v>42</v>
      </c>
      <c r="G1015">
        <v>-214.61019999999999</v>
      </c>
      <c r="H1015" s="1">
        <v>-3.3884699999999998E-6</v>
      </c>
      <c r="I1015">
        <v>363.72239999999999</v>
      </c>
      <c r="J1015">
        <v>-224.89699999999999</v>
      </c>
      <c r="K1015">
        <v>1.1101570000000001</v>
      </c>
      <c r="L1015">
        <v>367.45679999999999</v>
      </c>
      <c r="M1015">
        <v>0.99952669999999999</v>
      </c>
      <c r="N1015">
        <v>0</v>
      </c>
      <c r="O1015">
        <v>-2.7280499999999999E-2</v>
      </c>
      <c r="P1015">
        <v>0.98016590000000003</v>
      </c>
      <c r="Q1015">
        <v>0.10566589999999999</v>
      </c>
      <c r="R1015">
        <v>-0.16766059999999999</v>
      </c>
      <c r="S1015">
        <v>2.9158170000000001</v>
      </c>
      <c r="T1015">
        <v>-0.30901580000000001</v>
      </c>
      <c r="U1015">
        <v>-1.0411680000000001</v>
      </c>
      <c r="V1015">
        <v>0.14101910000000001</v>
      </c>
      <c r="W1015">
        <v>0.11946859999999999</v>
      </c>
      <c r="X1015">
        <v>0.98277210000000004</v>
      </c>
      <c r="Y1015">
        <v>0.30906440000000002</v>
      </c>
      <c r="Z1015">
        <v>-1.3051419999999999E-2</v>
      </c>
      <c r="AA1015">
        <v>0.95095160000000001</v>
      </c>
      <c r="AB1015">
        <v>19</v>
      </c>
      <c r="AC1015">
        <v>10.286799999999999</v>
      </c>
      <c r="AD1015">
        <v>-1.11016038847</v>
      </c>
      <c r="AE1015">
        <v>-3.7343999999999902</v>
      </c>
      <c r="AF1015">
        <v>3.4171871573999901</v>
      </c>
      <c r="AG1015">
        <v>-1.11016038847</v>
      </c>
      <c r="AH1015">
        <v>10.279078288285399</v>
      </c>
      <c r="AI1015">
        <v>95.8516440606044</v>
      </c>
      <c r="AJ1015">
        <v>71.611077266415506</v>
      </c>
      <c r="AK1015">
        <v>10.8889427684017</v>
      </c>
      <c r="AL1015">
        <v>83.138565482023196</v>
      </c>
      <c r="AM1015">
        <v>81.834301327602901</v>
      </c>
      <c r="AN1015">
        <v>1.0000000667445801</v>
      </c>
    </row>
    <row r="1016" spans="1:40" x14ac:dyDescent="0.25">
      <c r="A1016" t="str">
        <f>"20190312151243764"</f>
        <v>20190312151243764</v>
      </c>
      <c r="B1016" t="str">
        <f>"1552374763760300"</f>
        <v>1552374763760300</v>
      </c>
      <c r="C1016" t="s">
        <v>40</v>
      </c>
      <c r="D1016">
        <v>4.3560309999999998</v>
      </c>
      <c r="E1016">
        <v>0.56523650000000003</v>
      </c>
      <c r="F1016" t="s">
        <v>42</v>
      </c>
      <c r="G1016">
        <v>-214.36189999999999</v>
      </c>
      <c r="H1016" s="1">
        <v>-3.4807829999999999E-6</v>
      </c>
      <c r="I1016">
        <v>363.69319999999999</v>
      </c>
      <c r="J1016">
        <v>-224.70509999999999</v>
      </c>
      <c r="K1016">
        <v>1.110158</v>
      </c>
      <c r="L1016">
        <v>367.45030000000003</v>
      </c>
      <c r="M1016">
        <v>0.99949739999999998</v>
      </c>
      <c r="N1016">
        <v>0</v>
      </c>
      <c r="O1016">
        <v>-2.8335599999999999E-2</v>
      </c>
      <c r="P1016">
        <v>0.9802322</v>
      </c>
      <c r="Q1016">
        <v>0.1046748</v>
      </c>
      <c r="R1016">
        <v>-0.16789319999999999</v>
      </c>
      <c r="S1016">
        <v>2.91568</v>
      </c>
      <c r="T1016">
        <v>-0.30724469999999998</v>
      </c>
      <c r="U1016">
        <v>-1.041595</v>
      </c>
      <c r="V1016">
        <v>0.14020869999999999</v>
      </c>
      <c r="W1016">
        <v>0.11847770000000001</v>
      </c>
      <c r="X1016">
        <v>0.98300790000000005</v>
      </c>
      <c r="Y1016">
        <v>0.30822379999999999</v>
      </c>
      <c r="Z1016">
        <v>-1.2827119999999999E-2</v>
      </c>
      <c r="AA1016">
        <v>0.95122739999999995</v>
      </c>
      <c r="AB1016">
        <v>19</v>
      </c>
      <c r="AC1016">
        <v>10.3431999999999</v>
      </c>
      <c r="AD1016">
        <v>-1.110161480783</v>
      </c>
      <c r="AE1016">
        <v>-3.7571000000000301</v>
      </c>
      <c r="AF1016">
        <v>3.4275966824708499</v>
      </c>
      <c r="AG1016">
        <v>-1.110161480783</v>
      </c>
      <c r="AH1016">
        <v>10.3402793028754</v>
      </c>
      <c r="AI1016">
        <v>95.818914056735096</v>
      </c>
      <c r="AJ1016">
        <v>71.660669125660505</v>
      </c>
      <c r="AK1016">
        <v>10.949988748513499</v>
      </c>
      <c r="AL1016">
        <v>83.195745457847195</v>
      </c>
      <c r="AM1016">
        <v>81.882521664748893</v>
      </c>
      <c r="AN1016">
        <v>0.99999998820769498</v>
      </c>
    </row>
    <row r="1017" spans="1:40" x14ac:dyDescent="0.25">
      <c r="A1017" t="str">
        <f>"20190312151243787"</f>
        <v>20190312151243787</v>
      </c>
      <c r="B1017" t="str">
        <f>"1552374763780795"</f>
        <v>1552374763780795</v>
      </c>
      <c r="C1017" t="s">
        <v>40</v>
      </c>
      <c r="D1017">
        <v>4.36653</v>
      </c>
      <c r="E1017">
        <v>0.56530579999999997</v>
      </c>
      <c r="F1017" t="s">
        <v>42</v>
      </c>
      <c r="G1017">
        <v>-214.22970000000001</v>
      </c>
      <c r="H1017" s="1">
        <v>-3.5237569999999999E-6</v>
      </c>
      <c r="I1017">
        <v>363.70069999999998</v>
      </c>
      <c r="J1017">
        <v>-224.51050000000001</v>
      </c>
      <c r="K1017">
        <v>1.1101559999999999</v>
      </c>
      <c r="L1017">
        <v>367.44349999999997</v>
      </c>
      <c r="M1017">
        <v>0.99946639999999998</v>
      </c>
      <c r="N1017">
        <v>0</v>
      </c>
      <c r="O1017">
        <v>-2.9406189999999999E-2</v>
      </c>
      <c r="P1017">
        <v>0.9801782</v>
      </c>
      <c r="Q1017">
        <v>0.10340439999999999</v>
      </c>
      <c r="R1017">
        <v>-0.16899259999999999</v>
      </c>
      <c r="S1017">
        <v>2.9147799999999999</v>
      </c>
      <c r="T1017">
        <v>-0.30889939999999999</v>
      </c>
      <c r="U1017">
        <v>-1.043304</v>
      </c>
      <c r="V1017">
        <v>0.14025170000000001</v>
      </c>
      <c r="W1017">
        <v>0.1172053</v>
      </c>
      <c r="X1017">
        <v>0.98315430000000004</v>
      </c>
      <c r="Y1017">
        <v>0.30778529999999998</v>
      </c>
      <c r="Z1017">
        <v>-1.2766420000000001E-2</v>
      </c>
      <c r="AA1017">
        <v>0.95137020000000005</v>
      </c>
      <c r="AB1017">
        <v>19</v>
      </c>
      <c r="AC1017">
        <v>10.280799999999999</v>
      </c>
      <c r="AD1017">
        <v>-1.1101595237570001</v>
      </c>
      <c r="AE1017">
        <v>-3.7427999999999799</v>
      </c>
      <c r="AF1017">
        <v>3.4037863107595299</v>
      </c>
      <c r="AG1017">
        <v>-1.1101595237570001</v>
      </c>
      <c r="AH1017">
        <v>10.2805779323101</v>
      </c>
      <c r="AI1017">
        <v>95.853140075058903</v>
      </c>
      <c r="AJ1017">
        <v>71.680860519453802</v>
      </c>
      <c r="AK1017">
        <v>10.8861608494365</v>
      </c>
      <c r="AL1017">
        <v>83.269160214054295</v>
      </c>
      <c r="AM1017">
        <v>81.881258351179596</v>
      </c>
      <c r="AN1017">
        <v>0.99999999965473496</v>
      </c>
    </row>
    <row r="1018" spans="1:40" x14ac:dyDescent="0.25">
      <c r="A1018" t="str">
        <f>"20190312151243809"</f>
        <v>20190312151243809</v>
      </c>
      <c r="B1018" t="str">
        <f>"1552374763800315"</f>
        <v>1552374763800315</v>
      </c>
      <c r="C1018" t="s">
        <v>40</v>
      </c>
      <c r="D1018">
        <v>4.3782740000000002</v>
      </c>
      <c r="E1018">
        <v>0.56536509999999995</v>
      </c>
      <c r="F1018" t="s">
        <v>42</v>
      </c>
      <c r="G1018">
        <v>-214.1395</v>
      </c>
      <c r="H1018" s="1">
        <v>-3.55117E-6</v>
      </c>
      <c r="I1018">
        <v>363.71300000000002</v>
      </c>
      <c r="J1018">
        <v>-224.3201</v>
      </c>
      <c r="K1018">
        <v>1.110152</v>
      </c>
      <c r="L1018">
        <v>367.4366</v>
      </c>
      <c r="M1018">
        <v>0.99943510000000002</v>
      </c>
      <c r="N1018">
        <v>0</v>
      </c>
      <c r="O1018">
        <v>-3.045438E-2</v>
      </c>
      <c r="P1018">
        <v>0.98001000000000005</v>
      </c>
      <c r="Q1018">
        <v>0.1027053</v>
      </c>
      <c r="R1018">
        <v>-0.17038819999999999</v>
      </c>
      <c r="S1018">
        <v>2.9129179999999999</v>
      </c>
      <c r="T1018">
        <v>-0.31180999999999998</v>
      </c>
      <c r="U1018">
        <v>-1.04776</v>
      </c>
      <c r="V1018">
        <v>0.140617299999999</v>
      </c>
      <c r="W1018">
        <v>0.1165026</v>
      </c>
      <c r="X1018">
        <v>0.98318559999999999</v>
      </c>
      <c r="Y1018">
        <v>0.30824610000000002</v>
      </c>
      <c r="Z1018">
        <v>-1.280627E-2</v>
      </c>
      <c r="AA1018">
        <v>0.95122050000000002</v>
      </c>
      <c r="AB1018">
        <v>19</v>
      </c>
      <c r="AC1018">
        <v>10.180599999999901</v>
      </c>
      <c r="AD1018">
        <v>-1.1101555511700001</v>
      </c>
      <c r="AE1018">
        <v>-3.72359999999997</v>
      </c>
      <c r="AF1018">
        <v>3.3763857031481002</v>
      </c>
      <c r="AG1018">
        <v>-1.1101555511700001</v>
      </c>
      <c r="AH1018">
        <v>10.182494031256001</v>
      </c>
      <c r="AI1018">
        <v>95.908230151702</v>
      </c>
      <c r="AJ1018">
        <v>71.655134595991797</v>
      </c>
      <c r="AK1018">
        <v>10.784971509502499</v>
      </c>
      <c r="AL1018">
        <v>83.309699709540496</v>
      </c>
      <c r="AM1018">
        <v>81.860633779888801</v>
      </c>
      <c r="AN1018">
        <v>1.0000000024567</v>
      </c>
    </row>
    <row r="1019" spans="1:40" x14ac:dyDescent="0.25">
      <c r="A1019" t="str">
        <f>"20190312151243831"</f>
        <v>20190312151243831</v>
      </c>
      <c r="B1019" t="str">
        <f>"1552374763820811"</f>
        <v>1552374763820811</v>
      </c>
      <c r="C1019" t="s">
        <v>40</v>
      </c>
      <c r="D1019">
        <v>4.3866339999999999</v>
      </c>
      <c r="E1019">
        <v>0.56544479999999997</v>
      </c>
      <c r="F1019" t="s">
        <v>42</v>
      </c>
      <c r="G1019">
        <v>-213.99100000000001</v>
      </c>
      <c r="H1019" s="1">
        <v>-3.609617E-6</v>
      </c>
      <c r="I1019">
        <v>363.7002</v>
      </c>
      <c r="J1019">
        <v>-224.1311</v>
      </c>
      <c r="K1019">
        <v>1.1101540000000001</v>
      </c>
      <c r="L1019">
        <v>367.42959999999999</v>
      </c>
      <c r="M1019">
        <v>0.99940309999999999</v>
      </c>
      <c r="N1019">
        <v>0</v>
      </c>
      <c r="O1019">
        <v>-3.149387E-2</v>
      </c>
      <c r="P1019">
        <v>0.97984970000000005</v>
      </c>
      <c r="Q1019">
        <v>0.1022141</v>
      </c>
      <c r="R1019">
        <v>-0.1716019</v>
      </c>
      <c r="S1019">
        <v>2.9109039999999999</v>
      </c>
      <c r="T1019">
        <v>-0.31285760000000001</v>
      </c>
      <c r="U1019">
        <v>-1.0529790000000001</v>
      </c>
      <c r="V1019">
        <v>0.14080979999999901</v>
      </c>
      <c r="W1019">
        <v>0.1160076</v>
      </c>
      <c r="X1019">
        <v>0.9832166</v>
      </c>
      <c r="Y1019">
        <v>0.30896709999999999</v>
      </c>
      <c r="Z1019">
        <v>-1.278343E-2</v>
      </c>
      <c r="AA1019">
        <v>0.95098680000000002</v>
      </c>
      <c r="AB1019">
        <v>19</v>
      </c>
      <c r="AC1019">
        <v>10.1401</v>
      </c>
      <c r="AD1019">
        <v>-1.1101576096170001</v>
      </c>
      <c r="AE1019">
        <v>-3.7293999999999898</v>
      </c>
      <c r="AF1019">
        <v>3.3725585774511502</v>
      </c>
      <c r="AG1019">
        <v>-1.1101576096170001</v>
      </c>
      <c r="AH1019">
        <v>10.1454174806238</v>
      </c>
      <c r="AI1019">
        <v>95.928210057035201</v>
      </c>
      <c r="AJ1019">
        <v>71.6120650970459</v>
      </c>
      <c r="AK1019">
        <v>10.7487718895079</v>
      </c>
      <c r="AL1019">
        <v>83.338254877205401</v>
      </c>
      <c r="AM1019">
        <v>81.849894410103801</v>
      </c>
      <c r="AN1019">
        <v>1.0000000227746699</v>
      </c>
    </row>
    <row r="1020" spans="1:40" x14ac:dyDescent="0.25">
      <c r="A1020" t="str">
        <f>"20190312151243853"</f>
        <v>20190312151243853</v>
      </c>
      <c r="B1020" t="str">
        <f>"1552374763851068"</f>
        <v>1552374763851068</v>
      </c>
      <c r="C1020" t="s">
        <v>40</v>
      </c>
      <c r="D1020">
        <v>4.416118</v>
      </c>
      <c r="E1020">
        <v>0.56560880000000002</v>
      </c>
      <c r="F1020" t="s">
        <v>42</v>
      </c>
      <c r="G1020">
        <v>-213.83869999999999</v>
      </c>
      <c r="H1020" s="1">
        <v>-3.67724E-6</v>
      </c>
      <c r="I1020">
        <v>363.68729999999999</v>
      </c>
      <c r="J1020">
        <v>-223.94239999999999</v>
      </c>
      <c r="K1020">
        <v>1.110158</v>
      </c>
      <c r="L1020">
        <v>367.42239999999998</v>
      </c>
      <c r="M1020">
        <v>0.99936979999999997</v>
      </c>
      <c r="N1020">
        <v>0</v>
      </c>
      <c r="O1020">
        <v>-3.2531329999999997E-2</v>
      </c>
      <c r="P1020">
        <v>0.97978949999999998</v>
      </c>
      <c r="Q1020">
        <v>0.10194250000000001</v>
      </c>
      <c r="R1020">
        <v>-0.1721056</v>
      </c>
      <c r="S1020">
        <v>2.9091800000000001</v>
      </c>
      <c r="T1020">
        <v>-0.31378709999999999</v>
      </c>
      <c r="U1020">
        <v>-1.0577700000000001</v>
      </c>
      <c r="V1020">
        <v>0.1402919</v>
      </c>
      <c r="W1020">
        <v>0.1157348</v>
      </c>
      <c r="X1020">
        <v>0.98332269999999999</v>
      </c>
      <c r="Y1020">
        <v>0.30953819999999999</v>
      </c>
      <c r="Z1020">
        <v>-1.2746830000000001E-2</v>
      </c>
      <c r="AA1020">
        <v>0.95080160000000002</v>
      </c>
      <c r="AB1020">
        <v>19</v>
      </c>
      <c r="AC1020">
        <v>10.1037</v>
      </c>
      <c r="AD1020">
        <v>-1.11016167723999</v>
      </c>
      <c r="AE1020">
        <v>-3.7350999999999801</v>
      </c>
      <c r="AF1020">
        <v>3.36862330743703</v>
      </c>
      <c r="AG1020">
        <v>-1.11016167723999</v>
      </c>
      <c r="AH1020">
        <v>10.112462962975799</v>
      </c>
      <c r="AI1020">
        <v>95.946184463090503</v>
      </c>
      <c r="AJ1020">
        <v>71.576258477343202</v>
      </c>
      <c r="AK1020">
        <v>10.7164354668228</v>
      </c>
      <c r="AL1020">
        <v>83.353990653631698</v>
      </c>
      <c r="AM1020">
        <v>81.880334563236005</v>
      </c>
      <c r="AN1020">
        <v>0.99999994673596804</v>
      </c>
    </row>
    <row r="1021" spans="1:40" x14ac:dyDescent="0.25">
      <c r="A1021" t="str">
        <f>"20190312151243875"</f>
        <v>20190312151243875</v>
      </c>
      <c r="B1021" t="str">
        <f>"1552374763870591"</f>
        <v>1552374763870591</v>
      </c>
      <c r="C1021" t="s">
        <v>40</v>
      </c>
      <c r="D1021">
        <v>4.4207700000000001</v>
      </c>
      <c r="E1021">
        <v>0.56567959999999995</v>
      </c>
      <c r="F1021" t="s">
        <v>42</v>
      </c>
      <c r="G1021">
        <v>-213.65600000000001</v>
      </c>
      <c r="H1021" s="1">
        <v>-3.758728E-6</v>
      </c>
      <c r="I1021">
        <v>363.66980000000001</v>
      </c>
      <c r="J1021">
        <v>-223.7569</v>
      </c>
      <c r="K1021">
        <v>1.11016</v>
      </c>
      <c r="L1021">
        <v>367.41520000000003</v>
      </c>
      <c r="M1021">
        <v>0.99933620000000001</v>
      </c>
      <c r="N1021">
        <v>0</v>
      </c>
      <c r="O1021">
        <v>-3.3548880000000003E-2</v>
      </c>
      <c r="P1021">
        <v>0.97972700000000001</v>
      </c>
      <c r="Q1021">
        <v>0.10243149999999999</v>
      </c>
      <c r="R1021">
        <v>-0.17217160000000001</v>
      </c>
      <c r="S1021">
        <v>2.908188</v>
      </c>
      <c r="T1021">
        <v>-0.3138649</v>
      </c>
      <c r="U1021">
        <v>-1.0609440000000001</v>
      </c>
      <c r="V1021">
        <v>0.13935649999999999</v>
      </c>
      <c r="W1021">
        <v>0.1162231</v>
      </c>
      <c r="X1021">
        <v>0.9833982</v>
      </c>
      <c r="Y1021">
        <v>0.3095947</v>
      </c>
      <c r="Z1021">
        <v>-1.2648950000000001E-2</v>
      </c>
      <c r="AA1021">
        <v>0.95078450000000003</v>
      </c>
      <c r="AB1021">
        <v>19</v>
      </c>
      <c r="AC1021">
        <v>10.100899999999999</v>
      </c>
      <c r="AD1021">
        <v>-1.110163758728</v>
      </c>
      <c r="AE1021">
        <v>-3.7454000000000098</v>
      </c>
      <c r="AF1021">
        <v>3.3686100631335099</v>
      </c>
      <c r="AG1021">
        <v>-1.110163758728</v>
      </c>
      <c r="AH1021">
        <v>10.1134789754216</v>
      </c>
      <c r="AI1021">
        <v>95.9456639977072</v>
      </c>
      <c r="AJ1021">
        <v>71.578051934709094</v>
      </c>
      <c r="AK1021">
        <v>10.7173902753857</v>
      </c>
      <c r="AL1021">
        <v>83.325823606103896</v>
      </c>
      <c r="AM1021">
        <v>81.934368938487793</v>
      </c>
      <c r="AN1021">
        <v>1.0000000314145401</v>
      </c>
    </row>
    <row r="1022" spans="1:40" x14ac:dyDescent="0.25">
      <c r="A1022" t="str">
        <f>"20190312151243897"</f>
        <v>20190312151243897</v>
      </c>
      <c r="B1022" t="str">
        <f>"1552374763891083"</f>
        <v>1552374763891083</v>
      </c>
      <c r="C1022" t="s">
        <v>40</v>
      </c>
      <c r="D1022">
        <v>4.4667320000000004</v>
      </c>
      <c r="E1022">
        <v>0.56575880000000001</v>
      </c>
      <c r="F1022" t="s">
        <v>42</v>
      </c>
      <c r="G1022">
        <v>-213.41040000000001</v>
      </c>
      <c r="H1022" s="1">
        <v>-3.8698429999999999E-6</v>
      </c>
      <c r="I1022">
        <v>363.63720000000001</v>
      </c>
      <c r="J1022">
        <v>-223.57390000000001</v>
      </c>
      <c r="K1022">
        <v>1.1101669999999999</v>
      </c>
      <c r="L1022">
        <v>367.40780000000001</v>
      </c>
      <c r="M1022">
        <v>0.99930209999999997</v>
      </c>
      <c r="N1022">
        <v>0</v>
      </c>
      <c r="O1022">
        <v>-3.4552819999999998E-2</v>
      </c>
      <c r="P1022">
        <v>0.97969910000000004</v>
      </c>
      <c r="Q1022">
        <v>0.1034259</v>
      </c>
      <c r="R1022">
        <v>-0.17173450000000001</v>
      </c>
      <c r="S1022">
        <v>2.9080810000000001</v>
      </c>
      <c r="T1022">
        <v>-0.31203029999999998</v>
      </c>
      <c r="U1022">
        <v>-1.0618590000000001</v>
      </c>
      <c r="V1022">
        <v>0.13793159999999999</v>
      </c>
      <c r="W1022">
        <v>0.11721669999999999</v>
      </c>
      <c r="X1022">
        <v>0.9834811</v>
      </c>
      <c r="Y1022">
        <v>0.3089402</v>
      </c>
      <c r="Z1022">
        <v>-1.2437520000000001E-2</v>
      </c>
      <c r="AA1022">
        <v>0.95100019999999996</v>
      </c>
      <c r="AB1022">
        <v>19</v>
      </c>
      <c r="AC1022">
        <v>10.163500000000001</v>
      </c>
      <c r="AD1022">
        <v>-1.110170869843</v>
      </c>
      <c r="AE1022">
        <v>-3.7706</v>
      </c>
      <c r="AF1022">
        <v>3.3816683858635801</v>
      </c>
      <c r="AG1022">
        <v>-1.110170869843</v>
      </c>
      <c r="AH1022">
        <v>10.1809508400931</v>
      </c>
      <c r="AI1022">
        <v>95.908202117212696</v>
      </c>
      <c r="AJ1022">
        <v>71.625760512783899</v>
      </c>
      <c r="AK1022">
        <v>10.7851713218006</v>
      </c>
      <c r="AL1022">
        <v>83.268502359122195</v>
      </c>
      <c r="AM1022">
        <v>82.016434297569901</v>
      </c>
      <c r="AN1022">
        <v>0.99999997754732906</v>
      </c>
    </row>
    <row r="1023" spans="1:40" x14ac:dyDescent="0.25">
      <c r="A1023" t="str">
        <f>"20190312151243913"</f>
        <v>20190312151243913</v>
      </c>
      <c r="B1023" t="str">
        <f>"1552374763911111"</f>
        <v>1552374763911111</v>
      </c>
      <c r="C1023" t="s">
        <v>40</v>
      </c>
      <c r="D1023">
        <v>4.4812390000000004</v>
      </c>
      <c r="E1023">
        <v>0.56588499999999997</v>
      </c>
      <c r="F1023" t="s">
        <v>42</v>
      </c>
      <c r="G1023">
        <v>-213.1046</v>
      </c>
      <c r="H1023" s="1">
        <v>-4.0099140000000003E-6</v>
      </c>
      <c r="I1023">
        <v>363.5872</v>
      </c>
      <c r="J1023">
        <v>-223.44139999999999</v>
      </c>
      <c r="K1023">
        <v>1.110171</v>
      </c>
      <c r="L1023">
        <v>367.4024</v>
      </c>
      <c r="M1023">
        <v>0.99927679999999997</v>
      </c>
      <c r="N1023">
        <v>0</v>
      </c>
      <c r="O1023">
        <v>-3.5278700000000003E-2</v>
      </c>
      <c r="P1023">
        <v>0.97960829999999999</v>
      </c>
      <c r="Q1023">
        <v>0.10409069999999999</v>
      </c>
      <c r="R1023">
        <v>-0.1718509</v>
      </c>
      <c r="S1023">
        <v>2.9086609999999999</v>
      </c>
      <c r="T1023">
        <v>-0.30843419999999999</v>
      </c>
      <c r="U1023">
        <v>-1.0614619999999999</v>
      </c>
      <c r="V1023">
        <v>0.1373357</v>
      </c>
      <c r="W1023">
        <v>0.1178801</v>
      </c>
      <c r="X1023">
        <v>0.98348519999999995</v>
      </c>
      <c r="Y1023">
        <v>0.30811379999999999</v>
      </c>
      <c r="Z1023">
        <v>-1.217644E-2</v>
      </c>
      <c r="AA1023">
        <v>0.95127159999999999</v>
      </c>
      <c r="AB1023">
        <v>19</v>
      </c>
      <c r="AC1023">
        <v>10.336799999999901</v>
      </c>
      <c r="AD1023">
        <v>-1.110175009914</v>
      </c>
      <c r="AE1023">
        <v>-3.8151999999999999</v>
      </c>
      <c r="AF1023">
        <v>3.4134660031107802</v>
      </c>
      <c r="AG1023">
        <v>-1.110175009914</v>
      </c>
      <c r="AH1023">
        <v>10.359801757984499</v>
      </c>
      <c r="AI1023">
        <v>95.811512765418399</v>
      </c>
      <c r="AJ1023">
        <v>71.763390812933906</v>
      </c>
      <c r="AK1023">
        <v>10.9640198454659</v>
      </c>
      <c r="AL1023">
        <v>83.230226966487805</v>
      </c>
      <c r="AM1023">
        <v>82.050516195378506</v>
      </c>
      <c r="AN1023">
        <v>0.99999997554476905</v>
      </c>
    </row>
    <row r="1024" spans="1:40" x14ac:dyDescent="0.25">
      <c r="A1024" t="str">
        <f>"20190312151243930"</f>
        <v>20190312151243930</v>
      </c>
      <c r="B1024" t="str">
        <f>"1552374763920871"</f>
        <v>1552374763920871</v>
      </c>
      <c r="C1024" t="s">
        <v>40</v>
      </c>
      <c r="D1024">
        <v>4.4623439999999999</v>
      </c>
      <c r="E1024">
        <v>0.565949699999999</v>
      </c>
      <c r="F1024" t="s">
        <v>42</v>
      </c>
      <c r="G1024">
        <v>-212.89830000000001</v>
      </c>
      <c r="H1024" s="1">
        <v>-4.1052220000000003E-6</v>
      </c>
      <c r="I1024">
        <v>363.5489</v>
      </c>
      <c r="J1024">
        <v>-223.29230000000001</v>
      </c>
      <c r="K1024">
        <v>1.1101700000000001</v>
      </c>
      <c r="L1024">
        <v>367.39620000000002</v>
      </c>
      <c r="M1024">
        <v>0.99924780000000002</v>
      </c>
      <c r="N1024">
        <v>0</v>
      </c>
      <c r="O1024">
        <v>-3.6095049999999997E-2</v>
      </c>
      <c r="P1024">
        <v>0.97961600000000004</v>
      </c>
      <c r="Q1024">
        <v>0.1046267</v>
      </c>
      <c r="R1024">
        <v>-0.17148250000000001</v>
      </c>
      <c r="S1024">
        <v>2.9085239999999999</v>
      </c>
      <c r="T1024">
        <v>-0.30626199999999998</v>
      </c>
      <c r="U1024">
        <v>-1.06308</v>
      </c>
      <c r="V1024">
        <v>0.13616220000000001</v>
      </c>
      <c r="W1024">
        <v>0.1184166</v>
      </c>
      <c r="X1024">
        <v>0.98358389999999996</v>
      </c>
      <c r="Y1024">
        <v>0.30784260000000002</v>
      </c>
      <c r="Z1024">
        <v>-1.199398E-2</v>
      </c>
      <c r="AA1024">
        <v>0.95136169999999998</v>
      </c>
      <c r="AB1024">
        <v>19</v>
      </c>
      <c r="AC1024">
        <v>10.394</v>
      </c>
      <c r="AD1024">
        <v>-1.110174105222</v>
      </c>
      <c r="AE1024">
        <v>-3.8473000000000099</v>
      </c>
      <c r="AF1024">
        <v>3.4351164933299199</v>
      </c>
      <c r="AG1024">
        <v>-1.110174105222</v>
      </c>
      <c r="AH1024">
        <v>10.421543227649501</v>
      </c>
      <c r="AI1024">
        <v>95.777097944692898</v>
      </c>
      <c r="AJ1024">
        <v>71.756908098174307</v>
      </c>
      <c r="AK1024">
        <v>11.0291012830792</v>
      </c>
      <c r="AL1024">
        <v>83.199270870539095</v>
      </c>
      <c r="AM1024">
        <v>82.118366185002301</v>
      </c>
      <c r="AN1024">
        <v>0.99999996210180397</v>
      </c>
    </row>
    <row r="1025" spans="1:40" x14ac:dyDescent="0.25">
      <c r="A1025" t="str">
        <f>"20190312151243953"</f>
        <v>20190312151243953</v>
      </c>
      <c r="B1025" t="str">
        <f>"1552374763951127"</f>
        <v>1552374763951127</v>
      </c>
      <c r="C1025" t="s">
        <v>40</v>
      </c>
      <c r="D1025">
        <v>4.5472020000000004</v>
      </c>
      <c r="E1025">
        <v>0.56624830000000004</v>
      </c>
      <c r="F1025" t="s">
        <v>42</v>
      </c>
      <c r="G1025">
        <v>-212.69990000000001</v>
      </c>
      <c r="H1025" s="1">
        <v>-4.194184E-6</v>
      </c>
      <c r="I1025">
        <v>363.52699999999999</v>
      </c>
      <c r="J1025">
        <v>-223.10810000000001</v>
      </c>
      <c r="K1025">
        <v>1.1101730000000001</v>
      </c>
      <c r="L1025">
        <v>367.38830000000002</v>
      </c>
      <c r="M1025">
        <v>0.99921090000000001</v>
      </c>
      <c r="N1025">
        <v>0</v>
      </c>
      <c r="O1025">
        <v>-3.7103299999999999E-2</v>
      </c>
      <c r="P1025">
        <v>0.97956410000000005</v>
      </c>
      <c r="Q1025">
        <v>0.104433</v>
      </c>
      <c r="R1025">
        <v>-0.1718961</v>
      </c>
      <c r="S1025">
        <v>2.9089659999999999</v>
      </c>
      <c r="T1025">
        <v>-0.30488229999999999</v>
      </c>
      <c r="U1025">
        <v>-1.0625610000000001</v>
      </c>
      <c r="V1025">
        <v>0.13558239999999999</v>
      </c>
      <c r="W1025">
        <v>0.11822149999999999</v>
      </c>
      <c r="X1025">
        <v>0.98368750000000005</v>
      </c>
      <c r="Y1025">
        <v>0.30670900000000001</v>
      </c>
      <c r="Z1025">
        <v>-1.177972E-2</v>
      </c>
      <c r="AA1025">
        <v>0.95173039999999998</v>
      </c>
      <c r="AB1025">
        <v>19</v>
      </c>
      <c r="AC1025">
        <v>10.4081999999999</v>
      </c>
      <c r="AD1025">
        <v>-1.110177194184</v>
      </c>
      <c r="AE1025">
        <v>-3.8613000000000199</v>
      </c>
      <c r="AF1025">
        <v>3.4380404067238199</v>
      </c>
      <c r="AG1025">
        <v>-1.110177194184</v>
      </c>
      <c r="AH1025">
        <v>10.439906457069901</v>
      </c>
      <c r="AI1025">
        <v>95.767531089098995</v>
      </c>
      <c r="AJ1025">
        <v>71.772398594851495</v>
      </c>
      <c r="AK1025">
        <v>11.047364485393</v>
      </c>
      <c r="AL1025">
        <v>83.210528639790894</v>
      </c>
      <c r="AM1025">
        <v>82.152324571402801</v>
      </c>
      <c r="AN1025">
        <v>1.0000000039541299</v>
      </c>
    </row>
    <row r="1026" spans="1:40" x14ac:dyDescent="0.25">
      <c r="A1026" t="str">
        <f>"20190312151243976"</f>
        <v>20190312151243976</v>
      </c>
      <c r="B1026" t="str">
        <f>"1552374763970647"</f>
        <v>1552374763970647</v>
      </c>
      <c r="C1026" t="s">
        <v>40</v>
      </c>
      <c r="D1026">
        <v>4.5784900000000004</v>
      </c>
      <c r="E1026">
        <v>0.56645699999999999</v>
      </c>
      <c r="F1026" t="s">
        <v>42</v>
      </c>
      <c r="G1026">
        <v>-212.5574</v>
      </c>
      <c r="H1026" s="1">
        <v>-4.2559199999999999E-6</v>
      </c>
      <c r="I1026">
        <v>363.52359999999999</v>
      </c>
      <c r="J1026">
        <v>-222.91540000000001</v>
      </c>
      <c r="K1026">
        <v>1.1101749999999999</v>
      </c>
      <c r="L1026">
        <v>367.37990000000002</v>
      </c>
      <c r="M1026">
        <v>0.99917129999999998</v>
      </c>
      <c r="N1026">
        <v>0</v>
      </c>
      <c r="O1026">
        <v>-3.8157219999999999E-2</v>
      </c>
      <c r="P1026">
        <v>0.97942700000000005</v>
      </c>
      <c r="Q1026">
        <v>0.1042878</v>
      </c>
      <c r="R1026">
        <v>-0.1727638</v>
      </c>
      <c r="S1026">
        <v>2.908264</v>
      </c>
      <c r="T1026">
        <v>-0.3060155</v>
      </c>
      <c r="U1026">
        <v>-1.065277</v>
      </c>
      <c r="V1026">
        <v>0.13541449999999999</v>
      </c>
      <c r="W1026">
        <v>0.11807330000000001</v>
      </c>
      <c r="X1026">
        <v>0.98372839999999995</v>
      </c>
      <c r="Y1026">
        <v>0.30655969999999999</v>
      </c>
      <c r="Z1026">
        <v>-1.1709819999999999E-2</v>
      </c>
      <c r="AA1026">
        <v>0.95177940000000005</v>
      </c>
      <c r="AB1026">
        <v>19</v>
      </c>
      <c r="AC1026">
        <v>10.358000000000001</v>
      </c>
      <c r="AD1026">
        <v>-1.1101792559200001</v>
      </c>
      <c r="AE1026">
        <v>-3.8563000000000298</v>
      </c>
      <c r="AF1026">
        <v>3.4236765019995898</v>
      </c>
      <c r="AG1026">
        <v>-1.1101792559200001</v>
      </c>
      <c r="AH1026">
        <v>10.3927602871867</v>
      </c>
      <c r="AI1026">
        <v>95.793337087916001</v>
      </c>
      <c r="AJ1026">
        <v>71.766618711300495</v>
      </c>
      <c r="AK1026">
        <v>10.998341927651801</v>
      </c>
      <c r="AL1026">
        <v>83.2190795887999</v>
      </c>
      <c r="AM1026">
        <v>82.162243791376795</v>
      </c>
      <c r="AN1026">
        <v>0.99999997797484896</v>
      </c>
    </row>
    <row r="1027" spans="1:40" x14ac:dyDescent="0.25">
      <c r="A1027" t="str">
        <f>"20190312151243998"</f>
        <v>20190312151243998</v>
      </c>
      <c r="B1027" t="str">
        <f>"1552374763991144"</f>
        <v>1552374763991144</v>
      </c>
      <c r="C1027" t="s">
        <v>40</v>
      </c>
      <c r="D1027">
        <v>4.5828550000000003</v>
      </c>
      <c r="E1027">
        <v>0.56664190000000003</v>
      </c>
      <c r="F1027" t="s">
        <v>42</v>
      </c>
      <c r="G1027">
        <v>-212.37870000000001</v>
      </c>
      <c r="H1027" s="1">
        <v>-4.3367739999999901E-6</v>
      </c>
      <c r="I1027">
        <v>363.5</v>
      </c>
      <c r="J1027">
        <v>-222.73390000000001</v>
      </c>
      <c r="K1027">
        <v>1.1101719999999999</v>
      </c>
      <c r="L1027">
        <v>367.37169999999998</v>
      </c>
      <c r="M1027">
        <v>0.99913280000000004</v>
      </c>
      <c r="N1027">
        <v>0</v>
      </c>
      <c r="O1027">
        <v>-3.914952E-2</v>
      </c>
      <c r="P1027">
        <v>0.97920720000000006</v>
      </c>
      <c r="Q1027">
        <v>0.10342079999999999</v>
      </c>
      <c r="R1027">
        <v>-0.17452110000000001</v>
      </c>
      <c r="S1027">
        <v>2.9068149999999999</v>
      </c>
      <c r="T1027">
        <v>-0.30626959999999998</v>
      </c>
      <c r="U1027">
        <v>-1.070343</v>
      </c>
      <c r="V1027">
        <v>0.13619899999999999</v>
      </c>
      <c r="W1027">
        <v>0.1172011</v>
      </c>
      <c r="X1027">
        <v>0.98372440000000005</v>
      </c>
      <c r="Y1027">
        <v>0.30722880000000002</v>
      </c>
      <c r="Z1027">
        <v>-1.165507E-2</v>
      </c>
      <c r="AA1027">
        <v>0.95156430000000003</v>
      </c>
      <c r="AB1027">
        <v>19</v>
      </c>
      <c r="AC1027">
        <v>10.3551999999999</v>
      </c>
      <c r="AD1027">
        <v>-1.1101763367740001</v>
      </c>
      <c r="AE1027">
        <v>-3.8716999999999699</v>
      </c>
      <c r="AF1027">
        <v>3.4287135811968801</v>
      </c>
      <c r="AG1027">
        <v>-1.1101763367740001</v>
      </c>
      <c r="AH1027">
        <v>10.3940347816635</v>
      </c>
      <c r="AI1027">
        <v>95.791856566672394</v>
      </c>
      <c r="AJ1027">
        <v>71.743661604737298</v>
      </c>
      <c r="AK1027">
        <v>11.0011148236462</v>
      </c>
      <c r="AL1027">
        <v>83.269402395476007</v>
      </c>
      <c r="AM1027">
        <v>82.117374665223394</v>
      </c>
      <c r="AN1027">
        <v>0.99999998029878401</v>
      </c>
    </row>
    <row r="1028" spans="1:40" x14ac:dyDescent="0.25">
      <c r="A1028" t="str">
        <f>"20190312151244014"</f>
        <v>20190312151244014</v>
      </c>
      <c r="B1028" t="str">
        <f>"1552374764011171"</f>
        <v>1552374764011171</v>
      </c>
      <c r="C1028" t="s">
        <v>40</v>
      </c>
      <c r="D1028">
        <v>4.5399890000000003</v>
      </c>
      <c r="E1028">
        <v>0.56676000000000004</v>
      </c>
      <c r="F1028" t="s">
        <v>42</v>
      </c>
      <c r="G1028">
        <v>-212.28890000000001</v>
      </c>
      <c r="H1028" s="1">
        <v>-4.3757749999999996E-6</v>
      </c>
      <c r="I1028">
        <v>363.49740000000003</v>
      </c>
      <c r="J1028">
        <v>-222.60210000000001</v>
      </c>
      <c r="K1028">
        <v>1.110171</v>
      </c>
      <c r="L1028">
        <v>367.3657</v>
      </c>
      <c r="M1028">
        <v>0.99910429999999995</v>
      </c>
      <c r="N1028">
        <v>0</v>
      </c>
      <c r="O1028">
        <v>-3.9870290000000003E-2</v>
      </c>
      <c r="P1028">
        <v>0.97896340000000004</v>
      </c>
      <c r="Q1028">
        <v>0.10299750000000001</v>
      </c>
      <c r="R1028">
        <v>-0.17613099999999901</v>
      </c>
      <c r="S1028">
        <v>2.9042819999999998</v>
      </c>
      <c r="T1028">
        <v>-0.30868640000000003</v>
      </c>
      <c r="U1028">
        <v>-1.0772710000000001</v>
      </c>
      <c r="V1028">
        <v>0.13710549999999999</v>
      </c>
      <c r="W1028">
        <v>0.116773</v>
      </c>
      <c r="X1028">
        <v>0.98364940000000001</v>
      </c>
      <c r="Y1028">
        <v>0.30878260000000002</v>
      </c>
      <c r="Z1028">
        <v>-1.175757E-2</v>
      </c>
      <c r="AA1028">
        <v>0.95106000000000002</v>
      </c>
      <c r="AB1028">
        <v>19</v>
      </c>
      <c r="AC1028">
        <v>10.313199999999901</v>
      </c>
      <c r="AD1028">
        <v>-1.1101753757749999</v>
      </c>
      <c r="AE1028">
        <v>-3.8682999999999699</v>
      </c>
      <c r="AF1028">
        <v>3.4192574096975799</v>
      </c>
      <c r="AG1028">
        <v>-1.1101753757749999</v>
      </c>
      <c r="AH1028">
        <v>10.354061886778201</v>
      </c>
      <c r="AI1028">
        <v>95.813439673422195</v>
      </c>
      <c r="AJ1028">
        <v>71.725049604183496</v>
      </c>
      <c r="AK1028">
        <v>10.9604018244762</v>
      </c>
      <c r="AL1028">
        <v>83.294100420841403</v>
      </c>
      <c r="AM1028">
        <v>82.064979004982504</v>
      </c>
      <c r="AN1028">
        <v>0.99999999688980401</v>
      </c>
    </row>
    <row r="1029" spans="1:40" x14ac:dyDescent="0.25">
      <c r="A1029" t="str">
        <f>"20190312151244032"</f>
        <v>20190312151244032</v>
      </c>
      <c r="B1029" t="str">
        <f>"1552374764020931"</f>
        <v>1552374764020931</v>
      </c>
      <c r="C1029" t="s">
        <v>40</v>
      </c>
      <c r="D1029">
        <v>4.6357759999999999</v>
      </c>
      <c r="E1029">
        <v>0.56676000000000004</v>
      </c>
      <c r="F1029" t="s">
        <v>42</v>
      </c>
      <c r="G1029">
        <v>-212.23169999999999</v>
      </c>
      <c r="H1029" s="1">
        <v>-4.4005620000000001E-6</v>
      </c>
      <c r="I1029">
        <v>363.49610000000001</v>
      </c>
      <c r="J1029">
        <v>-222.4485</v>
      </c>
      <c r="K1029">
        <v>1.110169</v>
      </c>
      <c r="L1029">
        <v>367.35860000000002</v>
      </c>
      <c r="M1029">
        <v>0.99907060000000003</v>
      </c>
      <c r="N1029">
        <v>0</v>
      </c>
      <c r="O1029">
        <v>-4.0710969999999999E-2</v>
      </c>
      <c r="P1029">
        <v>0.97849799999999998</v>
      </c>
      <c r="Q1029">
        <v>0.1019255</v>
      </c>
      <c r="R1029">
        <v>-0.17931349999999999</v>
      </c>
      <c r="S1029">
        <v>2.9022830000000002</v>
      </c>
      <c r="T1029">
        <v>-0.31069200000000002</v>
      </c>
      <c r="U1029">
        <v>-1.0829470000000001</v>
      </c>
      <c r="V1029">
        <v>0.13947329999999999</v>
      </c>
      <c r="W1029">
        <v>0.11569169999999999</v>
      </c>
      <c r="X1029">
        <v>0.98344430000000005</v>
      </c>
      <c r="Y1029">
        <v>0.30981110000000001</v>
      </c>
      <c r="Z1029">
        <v>-1.180397E-2</v>
      </c>
      <c r="AA1029">
        <v>0.95072480000000004</v>
      </c>
      <c r="AB1029">
        <v>19</v>
      </c>
      <c r="AC1029">
        <v>10.216799999999999</v>
      </c>
      <c r="AD1029">
        <v>-1.1101734005620001</v>
      </c>
      <c r="AE1029">
        <v>-3.86250000000001</v>
      </c>
      <c r="AF1029">
        <v>3.4081111179470498</v>
      </c>
      <c r="AG1029">
        <v>-1.1101734005620001</v>
      </c>
      <c r="AH1029">
        <v>10.259600157542501</v>
      </c>
      <c r="AI1029">
        <v>95.863186165861705</v>
      </c>
      <c r="AJ1029">
        <v>71.624156787916306</v>
      </c>
      <c r="AK1029">
        <v>10.867709131378</v>
      </c>
      <c r="AL1029">
        <v>83.356477364712703</v>
      </c>
      <c r="AM1029">
        <v>81.928071301539802</v>
      </c>
      <c r="AN1029">
        <v>1.00000003103213</v>
      </c>
    </row>
    <row r="1030" spans="1:40" x14ac:dyDescent="0.25">
      <c r="A1030" t="str">
        <f>"20190312151244055"</f>
        <v>20190312151244055</v>
      </c>
      <c r="B1030" t="str">
        <f>"1552374764051189"</f>
        <v>1552374764051189</v>
      </c>
      <c r="C1030" t="s">
        <v>40</v>
      </c>
      <c r="D1030">
        <v>4.6322219999999996</v>
      </c>
      <c r="E1030">
        <v>0.53940109999999997</v>
      </c>
      <c r="F1030" t="s">
        <v>42</v>
      </c>
      <c r="G1030">
        <v>-212.215</v>
      </c>
      <c r="H1030" s="1">
        <v>-4.4060130000000004E-6</v>
      </c>
      <c r="I1030">
        <v>363.50560000000002</v>
      </c>
      <c r="J1030">
        <v>-222.26240000000001</v>
      </c>
      <c r="K1030">
        <v>1.1101669999999999</v>
      </c>
      <c r="L1030">
        <v>367.34969999999998</v>
      </c>
      <c r="M1030">
        <v>0.99902849999999999</v>
      </c>
      <c r="N1030">
        <v>0</v>
      </c>
      <c r="O1030">
        <v>-4.173056E-2</v>
      </c>
      <c r="P1030">
        <v>0.97789890000000002</v>
      </c>
      <c r="Q1030">
        <v>0.1004502</v>
      </c>
      <c r="R1030">
        <v>-0.18336669999999999</v>
      </c>
      <c r="S1030">
        <v>2.8986969999999999</v>
      </c>
      <c r="T1030">
        <v>-0.31445909999999999</v>
      </c>
      <c r="U1030">
        <v>-1.0913389999999901</v>
      </c>
      <c r="V1030">
        <v>0.14254029999999901</v>
      </c>
      <c r="W1030">
        <v>0.114204399999999</v>
      </c>
      <c r="X1030">
        <v>0.98317829999999995</v>
      </c>
      <c r="Y1030">
        <v>0.31160100000000002</v>
      </c>
      <c r="Z1030">
        <v>-1.1941759999999999E-2</v>
      </c>
      <c r="AA1030">
        <v>0.95013800000000004</v>
      </c>
      <c r="AB1030">
        <v>19</v>
      </c>
      <c r="AC1030">
        <v>10.0474</v>
      </c>
      <c r="AD1030">
        <v>-1.1101714060129999</v>
      </c>
      <c r="AE1030">
        <v>-3.8440999999999601</v>
      </c>
      <c r="AF1030">
        <v>3.3853712989744098</v>
      </c>
      <c r="AG1030">
        <v>-1.1101714060129999</v>
      </c>
      <c r="AH1030">
        <v>10.0916042870809</v>
      </c>
      <c r="AI1030">
        <v>95.954263079005102</v>
      </c>
      <c r="AJ1030">
        <v>71.4552441766416</v>
      </c>
      <c r="AK1030">
        <v>10.7020416963156</v>
      </c>
      <c r="AL1030">
        <v>83.442261642822004</v>
      </c>
      <c r="AM1030">
        <v>81.750785887338495</v>
      </c>
      <c r="AN1030">
        <v>0.99999997584716904</v>
      </c>
    </row>
    <row r="1031" spans="1:40" x14ac:dyDescent="0.25">
      <c r="A1031" t="str">
        <f>"20190312151244088"</f>
        <v>20190312151244088</v>
      </c>
      <c r="B1031" t="str">
        <f>"1552374764080471"</f>
        <v>1552374764080471</v>
      </c>
      <c r="C1031" t="s">
        <v>40</v>
      </c>
      <c r="D1031">
        <v>4.6474250000000001</v>
      </c>
      <c r="E1031">
        <v>0.53735540000000004</v>
      </c>
      <c r="F1031" t="s">
        <v>42</v>
      </c>
      <c r="G1031">
        <v>-213.17099999999999</v>
      </c>
      <c r="H1031" s="1">
        <v>-3.8028470000000001E-6</v>
      </c>
      <c r="I1031">
        <v>364.59399999999999</v>
      </c>
      <c r="J1031">
        <v>-221.99369999999999</v>
      </c>
      <c r="K1031">
        <v>1.1101529999999999</v>
      </c>
      <c r="L1031">
        <v>367.33670000000001</v>
      </c>
      <c r="M1031">
        <v>0.99896609999999997</v>
      </c>
      <c r="N1031">
        <v>0</v>
      </c>
      <c r="O1031">
        <v>-4.320309E-2</v>
      </c>
      <c r="P1031">
        <v>0.97762789999999999</v>
      </c>
      <c r="Q1031">
        <v>0.1012936</v>
      </c>
      <c r="R1031">
        <v>-0.18434719999999999</v>
      </c>
      <c r="S1031">
        <v>2.9376829999999998</v>
      </c>
      <c r="T1031">
        <v>-0.35872359999999998</v>
      </c>
      <c r="U1031">
        <v>-0.89044190000000001</v>
      </c>
      <c r="V1031">
        <v>0.14207999999999901</v>
      </c>
      <c r="W1031">
        <v>0.1150428</v>
      </c>
      <c r="X1031">
        <v>0.9831472</v>
      </c>
      <c r="Y1031">
        <v>0.24707399999999999</v>
      </c>
      <c r="Z1031">
        <v>-9.5697579999999994E-3</v>
      </c>
      <c r="AA1031">
        <v>0.96894939999999996</v>
      </c>
      <c r="AB1031">
        <v>18</v>
      </c>
      <c r="AC1031">
        <v>8.8226999999999904</v>
      </c>
      <c r="AD1031">
        <v>-1.1101568028469999</v>
      </c>
      <c r="AE1031">
        <v>-2.7427000000000099</v>
      </c>
      <c r="AF1031">
        <v>2.3253594520303298</v>
      </c>
      <c r="AG1031">
        <v>-1.1101568028469999</v>
      </c>
      <c r="AH1031">
        <v>8.8058286364290304</v>
      </c>
      <c r="AI1031">
        <v>96.949632361616295</v>
      </c>
      <c r="AJ1031">
        <v>75.207547006169406</v>
      </c>
      <c r="AK1031">
        <v>9.1750946960894009</v>
      </c>
      <c r="AL1031">
        <v>83.393906271384196</v>
      </c>
      <c r="AM1031">
        <v>81.776803337845294</v>
      </c>
      <c r="AN1031">
        <v>0.99999999454983901</v>
      </c>
    </row>
    <row r="1032" spans="1:40" x14ac:dyDescent="0.25">
      <c r="A1032" t="str">
        <f>"20190312151244110"</f>
        <v>20190312151244110</v>
      </c>
      <c r="B1032" t="str">
        <f>"1552374764100494"</f>
        <v>1552374764100494</v>
      </c>
      <c r="C1032" t="s">
        <v>40</v>
      </c>
      <c r="D1032">
        <v>4.6019880000000004</v>
      </c>
      <c r="E1032">
        <v>0.53711869999999995</v>
      </c>
      <c r="F1032" t="s">
        <v>42</v>
      </c>
      <c r="G1032">
        <v>-212.91739999999999</v>
      </c>
      <c r="H1032" s="1">
        <v>-3.9064000000000004E-6</v>
      </c>
      <c r="I1032">
        <v>364.62360000000001</v>
      </c>
      <c r="J1032">
        <v>-221.8064</v>
      </c>
      <c r="K1032">
        <v>1.1101510000000001</v>
      </c>
      <c r="L1032">
        <v>367.32740000000001</v>
      </c>
      <c r="M1032">
        <v>0.99892119999999995</v>
      </c>
      <c r="N1032">
        <v>0</v>
      </c>
      <c r="O1032">
        <v>-4.4229839999999999E-2</v>
      </c>
      <c r="P1032">
        <v>0.9777671</v>
      </c>
      <c r="Q1032">
        <v>0.10143779999999999</v>
      </c>
      <c r="R1032">
        <v>-0.18352669999999999</v>
      </c>
      <c r="S1032">
        <v>2.9401700000000002</v>
      </c>
      <c r="T1032">
        <v>-0.35962050000000001</v>
      </c>
      <c r="U1032">
        <v>-0.87887569999999904</v>
      </c>
      <c r="V1032">
        <v>0.1402417</v>
      </c>
      <c r="W1032">
        <v>0.11518920000000001</v>
      </c>
      <c r="X1032">
        <v>0.98339399999999999</v>
      </c>
      <c r="Y1032">
        <v>0.24238509999999999</v>
      </c>
      <c r="Z1032">
        <v>-9.1893089999999997E-3</v>
      </c>
      <c r="AA1032">
        <v>0.97013660000000002</v>
      </c>
      <c r="AB1032">
        <v>18</v>
      </c>
      <c r="AC1032">
        <v>8.88900000000001</v>
      </c>
      <c r="AD1032">
        <v>-1.1101549064</v>
      </c>
      <c r="AE1032">
        <v>-2.7038000000000002</v>
      </c>
      <c r="AF1032">
        <v>2.2754686387328298</v>
      </c>
      <c r="AG1032">
        <v>-1.1101549064</v>
      </c>
      <c r="AH1032">
        <v>8.8732186384846994</v>
      </c>
      <c r="AI1032">
        <v>96.910062555012004</v>
      </c>
      <c r="AJ1032">
        <v>75.616882462271704</v>
      </c>
      <c r="AK1032">
        <v>9.2273620525268694</v>
      </c>
      <c r="AL1032">
        <v>83.385462219581697</v>
      </c>
      <c r="AM1032">
        <v>81.883781920981406</v>
      </c>
      <c r="AN1032">
        <v>1.0000000227257599</v>
      </c>
    </row>
    <row r="1033" spans="1:40" x14ac:dyDescent="0.25">
      <c r="A1033" t="str">
        <f>"20190312151244131"</f>
        <v>20190312151244131</v>
      </c>
      <c r="B1033" t="str">
        <f>"1552374764120990"</f>
        <v>1552374764120990</v>
      </c>
      <c r="C1033" t="s">
        <v>40</v>
      </c>
      <c r="D1033">
        <v>4.6279719999999998</v>
      </c>
      <c r="E1033">
        <v>0.53718920000000003</v>
      </c>
      <c r="F1033" t="s">
        <v>42</v>
      </c>
      <c r="G1033">
        <v>-212.70310000000001</v>
      </c>
      <c r="H1033" s="1">
        <v>-3.9987229999999999E-6</v>
      </c>
      <c r="I1033">
        <v>364.62139999999999</v>
      </c>
      <c r="J1033">
        <v>-221.62970000000001</v>
      </c>
      <c r="K1033">
        <v>1.1101430000000001</v>
      </c>
      <c r="L1033">
        <v>367.31830000000002</v>
      </c>
      <c r="M1033">
        <v>0.99887789999999999</v>
      </c>
      <c r="N1033">
        <v>0</v>
      </c>
      <c r="O1033">
        <v>-4.5198769999999999E-2</v>
      </c>
      <c r="P1033">
        <v>0.97794740000000002</v>
      </c>
      <c r="Q1033">
        <v>9.9001039999999998E-2</v>
      </c>
      <c r="R1033">
        <v>-0.18389630000000001</v>
      </c>
      <c r="S1033">
        <v>2.9413149999999999</v>
      </c>
      <c r="T1033">
        <v>-0.3586915</v>
      </c>
      <c r="U1033">
        <v>-0.87429809999999997</v>
      </c>
      <c r="V1033">
        <v>0.13964360000000001</v>
      </c>
      <c r="W1033">
        <v>0.1127537</v>
      </c>
      <c r="X1033">
        <v>0.98376129999999995</v>
      </c>
      <c r="Y1033">
        <v>0.23998349999999999</v>
      </c>
      <c r="Z1033">
        <v>-8.9066140000000002E-3</v>
      </c>
      <c r="AA1033">
        <v>0.97073609999999999</v>
      </c>
      <c r="AB1033">
        <v>18</v>
      </c>
      <c r="AC1033">
        <v>8.9266000000000005</v>
      </c>
      <c r="AD1033">
        <v>-1.1101469987229999</v>
      </c>
      <c r="AE1033">
        <v>-2.6969000000000198</v>
      </c>
      <c r="AF1033">
        <v>2.25862068881196</v>
      </c>
      <c r="AG1033">
        <v>-1.1101469987229999</v>
      </c>
      <c r="AH1033">
        <v>8.9130614653791707</v>
      </c>
      <c r="AI1033">
        <v>96.884375825737493</v>
      </c>
      <c r="AJ1033">
        <v>75.780249683044005</v>
      </c>
      <c r="AK1033">
        <v>9.2615581011150692</v>
      </c>
      <c r="AL1033">
        <v>83.525921292711999</v>
      </c>
      <c r="AM1033">
        <v>81.920915212632906</v>
      </c>
      <c r="AN1033">
        <v>1.00000001363117</v>
      </c>
    </row>
    <row r="1034" spans="1:40" x14ac:dyDescent="0.25">
      <c r="A1034" t="str">
        <f>"20190312151244154"</f>
        <v>20190312151244154</v>
      </c>
      <c r="B1034" t="str">
        <f>"1552374764151246"</f>
        <v>1552374764151246</v>
      </c>
      <c r="C1034" t="s">
        <v>40</v>
      </c>
      <c r="D1034">
        <v>4.5799880000000002</v>
      </c>
      <c r="E1034">
        <v>0.53714459999999997</v>
      </c>
      <c r="F1034" t="s">
        <v>42</v>
      </c>
      <c r="G1034">
        <v>-212.74250000000001</v>
      </c>
      <c r="H1034" s="1">
        <v>-3.9725770000000003E-6</v>
      </c>
      <c r="I1034">
        <v>364.67329999999998</v>
      </c>
      <c r="J1034">
        <v>-221.4451</v>
      </c>
      <c r="K1034">
        <v>1.1101379999999901</v>
      </c>
      <c r="L1034">
        <v>367.30869999999999</v>
      </c>
      <c r="M1034">
        <v>0.99883160000000004</v>
      </c>
      <c r="N1034">
        <v>0</v>
      </c>
      <c r="O1034">
        <v>-4.6211090000000003E-2</v>
      </c>
      <c r="P1034">
        <v>0.97791220000000001</v>
      </c>
      <c r="Q1034">
        <v>9.5139269999999998E-2</v>
      </c>
      <c r="R1034">
        <v>-0.1861081</v>
      </c>
      <c r="S1034">
        <v>2.940277</v>
      </c>
      <c r="T1034">
        <v>-0.36728379999999999</v>
      </c>
      <c r="U1034">
        <v>-0.87506099999999998</v>
      </c>
      <c r="V1034">
        <v>0.1408509</v>
      </c>
      <c r="W1034">
        <v>0.10889</v>
      </c>
      <c r="X1034">
        <v>0.98402440000000002</v>
      </c>
      <c r="Y1034">
        <v>0.2392725</v>
      </c>
      <c r="Z1034">
        <v>-8.9550510000000003E-3</v>
      </c>
      <c r="AA1034">
        <v>0.97091110000000003</v>
      </c>
      <c r="AB1034">
        <v>18</v>
      </c>
      <c r="AC1034">
        <v>8.7025999999999897</v>
      </c>
      <c r="AD1034">
        <v>-1.1101419725770001</v>
      </c>
      <c r="AE1034">
        <v>-2.6354000000000002</v>
      </c>
      <c r="AF1034">
        <v>2.1976298842952402</v>
      </c>
      <c r="AG1034">
        <v>-1.1101419725770001</v>
      </c>
      <c r="AH1034">
        <v>8.6856322374782398</v>
      </c>
      <c r="AI1034">
        <v>97.063454020026001</v>
      </c>
      <c r="AJ1034">
        <v>75.801072243829395</v>
      </c>
      <c r="AK1034">
        <v>9.0278568703954196</v>
      </c>
      <c r="AL1034">
        <v>83.748667190273693</v>
      </c>
      <c r="AM1034">
        <v>81.854150118182503</v>
      </c>
      <c r="AN1034">
        <v>1.00000001396308</v>
      </c>
    </row>
    <row r="1035" spans="1:40" x14ac:dyDescent="0.25">
      <c r="A1035" t="str">
        <f>"20190312151244176"</f>
        <v>20190312151244176</v>
      </c>
      <c r="B1035" t="str">
        <f>"1552374764170766"</f>
        <v>1552374764170766</v>
      </c>
      <c r="C1035" t="s">
        <v>40</v>
      </c>
      <c r="D1035">
        <v>4.6236199999999998</v>
      </c>
      <c r="E1035">
        <v>0.53719059999999996</v>
      </c>
      <c r="F1035" t="s">
        <v>42</v>
      </c>
      <c r="G1035">
        <v>-212.90479999999999</v>
      </c>
      <c r="H1035" s="1">
        <v>-3.8893449999999999E-6</v>
      </c>
      <c r="I1035">
        <v>364.75009999999997</v>
      </c>
      <c r="J1035">
        <v>-221.26050000000001</v>
      </c>
      <c r="K1035">
        <v>1.1101449999999999</v>
      </c>
      <c r="L1035">
        <v>367.29899999999998</v>
      </c>
      <c r="M1035">
        <v>0.99878429999999996</v>
      </c>
      <c r="N1035">
        <v>0</v>
      </c>
      <c r="O1035">
        <v>-4.7223889999999998E-2</v>
      </c>
      <c r="P1035">
        <v>0.97730629999999996</v>
      </c>
      <c r="Q1035">
        <v>9.2854080000000006E-2</v>
      </c>
      <c r="R1035">
        <v>-0.1903957</v>
      </c>
      <c r="S1035">
        <v>2.937424</v>
      </c>
      <c r="T1035">
        <v>-0.38182939999999999</v>
      </c>
      <c r="U1035">
        <v>-0.88003539999999902</v>
      </c>
      <c r="V1035">
        <v>0.14415929999999999</v>
      </c>
      <c r="W1035">
        <v>0.1065937</v>
      </c>
      <c r="X1035">
        <v>0.98379669999999997</v>
      </c>
      <c r="Y1035">
        <v>0.23994589999999999</v>
      </c>
      <c r="Z1035">
        <v>-9.2283250000000008E-3</v>
      </c>
      <c r="AA1035">
        <v>0.97074240000000001</v>
      </c>
      <c r="AB1035">
        <v>18</v>
      </c>
      <c r="AC1035">
        <v>8.3557000000000095</v>
      </c>
      <c r="AD1035">
        <v>-1.110148889345</v>
      </c>
      <c r="AE1035">
        <v>-2.5489000000000601</v>
      </c>
      <c r="AF1035">
        <v>2.1172356551925202</v>
      </c>
      <c r="AG1035">
        <v>-1.110148889345</v>
      </c>
      <c r="AH1035">
        <v>8.3321974512173202</v>
      </c>
      <c r="AI1035">
        <v>97.3580178374295</v>
      </c>
      <c r="AJ1035">
        <v>75.742719557859004</v>
      </c>
      <c r="AK1035">
        <v>8.6683696126898599</v>
      </c>
      <c r="AL1035">
        <v>83.881005995132</v>
      </c>
      <c r="AM1035">
        <v>81.663570576783897</v>
      </c>
      <c r="AN1035">
        <v>1.00000003379353</v>
      </c>
    </row>
    <row r="1036" spans="1:40" x14ac:dyDescent="0.25">
      <c r="A1036" t="str">
        <f>"20190312151244199"</f>
        <v>20190312151244199</v>
      </c>
      <c r="B1036" t="str">
        <f>"1552374764191262"</f>
        <v>1552374764191262</v>
      </c>
      <c r="C1036" t="s">
        <v>40</v>
      </c>
      <c r="D1036">
        <v>4.6119969999999997</v>
      </c>
      <c r="E1036">
        <v>0.53708420000000001</v>
      </c>
      <c r="F1036" t="s">
        <v>42</v>
      </c>
      <c r="G1036">
        <v>-212.91399999999999</v>
      </c>
      <c r="H1036" s="1">
        <v>-3.884253E-6</v>
      </c>
      <c r="I1036">
        <v>364.75650000000002</v>
      </c>
      <c r="J1036">
        <v>-221.07830000000001</v>
      </c>
      <c r="K1036">
        <v>1.110152</v>
      </c>
      <c r="L1036">
        <v>367.28919999999999</v>
      </c>
      <c r="M1036">
        <v>0.99873670000000003</v>
      </c>
      <c r="N1036">
        <v>0</v>
      </c>
      <c r="O1036">
        <v>-4.822357E-2</v>
      </c>
      <c r="P1036">
        <v>0.97635870000000002</v>
      </c>
      <c r="Q1036">
        <v>9.4013360000000004E-2</v>
      </c>
      <c r="R1036">
        <v>-0.19464200000000001</v>
      </c>
      <c r="S1036">
        <v>2.9326629999999998</v>
      </c>
      <c r="T1036">
        <v>-0.39006560000000001</v>
      </c>
      <c r="U1036">
        <v>-0.89331050000000001</v>
      </c>
      <c r="V1036">
        <v>0.14746119999999999</v>
      </c>
      <c r="W1036">
        <v>0.10773720000000001</v>
      </c>
      <c r="X1036">
        <v>0.98318249999999996</v>
      </c>
      <c r="Y1036">
        <v>0.2433467</v>
      </c>
      <c r="Z1036">
        <v>-9.525815E-3</v>
      </c>
      <c r="AA1036">
        <v>0.96989259999999999</v>
      </c>
      <c r="AB1036">
        <v>18</v>
      </c>
      <c r="AC1036">
        <v>8.1642999999999901</v>
      </c>
      <c r="AD1036">
        <v>-1.1101558842529999</v>
      </c>
      <c r="AE1036">
        <v>-2.53269999999997</v>
      </c>
      <c r="AF1036">
        <v>2.1005723733047801</v>
      </c>
      <c r="AG1036">
        <v>-1.1101558842529999</v>
      </c>
      <c r="AH1036">
        <v>8.1396594068179606</v>
      </c>
      <c r="AI1036">
        <v>97.523052011384607</v>
      </c>
      <c r="AJ1036">
        <v>75.529606200017497</v>
      </c>
      <c r="AK1036">
        <v>8.4793222395326495</v>
      </c>
      <c r="AL1036">
        <v>83.815108378898898</v>
      </c>
      <c r="AM1036">
        <v>81.4701562618163</v>
      </c>
      <c r="AN1036">
        <v>0.999999969037764</v>
      </c>
    </row>
    <row r="1037" spans="1:40" x14ac:dyDescent="0.25">
      <c r="A1037" t="str">
        <f>"20190312151244221"</f>
        <v>20190312151244221</v>
      </c>
      <c r="B1037" t="str">
        <f>"1552374764210782"</f>
        <v>1552374764210782</v>
      </c>
      <c r="C1037" t="s">
        <v>40</v>
      </c>
      <c r="D1037">
        <v>4.6036989999999998</v>
      </c>
      <c r="E1037">
        <v>0.53721169999999996</v>
      </c>
      <c r="F1037" t="s">
        <v>42</v>
      </c>
      <c r="G1037">
        <v>-212.65270000000001</v>
      </c>
      <c r="H1037" s="1">
        <v>-4.0095439999999998E-6</v>
      </c>
      <c r="I1037">
        <v>364.68220000000002</v>
      </c>
      <c r="J1037">
        <v>-220.89959999999999</v>
      </c>
      <c r="K1037">
        <v>1.110166</v>
      </c>
      <c r="L1037">
        <v>367.27929999999998</v>
      </c>
      <c r="M1037">
        <v>0.99868900000000005</v>
      </c>
      <c r="N1037">
        <v>0</v>
      </c>
      <c r="O1037">
        <v>-4.9203589999999998E-2</v>
      </c>
      <c r="P1037">
        <v>0.97547220000000001</v>
      </c>
      <c r="Q1037">
        <v>9.7829009999999994E-2</v>
      </c>
      <c r="R1037">
        <v>-0.19718930000000001</v>
      </c>
      <c r="S1037">
        <v>2.9291230000000001</v>
      </c>
      <c r="T1037">
        <v>-0.38593949999999999</v>
      </c>
      <c r="U1037">
        <v>-0.90631099999999998</v>
      </c>
      <c r="V1037">
        <v>0.1490872</v>
      </c>
      <c r="W1037">
        <v>0.1115379</v>
      </c>
      <c r="X1037">
        <v>0.98251319999999998</v>
      </c>
      <c r="Y1037">
        <v>0.24666759999999999</v>
      </c>
      <c r="Z1037">
        <v>-9.518716E-3</v>
      </c>
      <c r="AA1037">
        <v>0.96905339999999995</v>
      </c>
      <c r="AB1037">
        <v>18</v>
      </c>
      <c r="AC1037">
        <v>8.2468999999999806</v>
      </c>
      <c r="AD1037">
        <v>-1.1101700095439999</v>
      </c>
      <c r="AE1037">
        <v>-2.59709999999995</v>
      </c>
      <c r="AF1037">
        <v>2.1526463296254001</v>
      </c>
      <c r="AG1037">
        <v>-1.1101700095439999</v>
      </c>
      <c r="AH1037">
        <v>8.2290395610907794</v>
      </c>
      <c r="AI1037">
        <v>97.436043286530506</v>
      </c>
      <c r="AJ1037">
        <v>75.340407680076297</v>
      </c>
      <c r="AK1037">
        <v>8.5780799581571703</v>
      </c>
      <c r="AL1037">
        <v>83.596023268789295</v>
      </c>
      <c r="AM1037">
        <v>81.371721596307594</v>
      </c>
      <c r="AN1037">
        <v>0.99999994225724298</v>
      </c>
    </row>
    <row r="1038" spans="1:40" x14ac:dyDescent="0.25">
      <c r="A1038" t="str">
        <f>"20190312151244244"</f>
        <v>20190312151244244</v>
      </c>
      <c r="B1038" t="str">
        <f>"1552374764241039"</f>
        <v>1552374764241039</v>
      </c>
      <c r="C1038" t="s">
        <v>40</v>
      </c>
      <c r="D1038">
        <v>4.6352140000000004</v>
      </c>
      <c r="E1038">
        <v>0.5611199</v>
      </c>
      <c r="F1038" t="s">
        <v>42</v>
      </c>
      <c r="G1038">
        <v>-212.15430000000001</v>
      </c>
      <c r="H1038" s="1">
        <v>-4.2480319999999999E-6</v>
      </c>
      <c r="I1038">
        <v>364.54309999999998</v>
      </c>
      <c r="J1038">
        <v>-220.71170000000001</v>
      </c>
      <c r="K1038">
        <v>1.1101840000000001</v>
      </c>
      <c r="L1038">
        <v>367.26889999999997</v>
      </c>
      <c r="M1038">
        <v>0.99863749999999996</v>
      </c>
      <c r="N1038">
        <v>0</v>
      </c>
      <c r="O1038">
        <v>-5.0234620000000001E-2</v>
      </c>
      <c r="P1038">
        <v>0.97516320000000001</v>
      </c>
      <c r="Q1038">
        <v>0.10051400000000001</v>
      </c>
      <c r="R1038">
        <v>-0.1973675</v>
      </c>
      <c r="S1038">
        <v>2.9275669999999998</v>
      </c>
      <c r="T1038">
        <v>-0.37163360000000001</v>
      </c>
      <c r="U1038">
        <v>-0.91595459999999995</v>
      </c>
      <c r="V1038">
        <v>0.14826689999999901</v>
      </c>
      <c r="W1038">
        <v>0.1142176</v>
      </c>
      <c r="X1038">
        <v>0.98232949999999997</v>
      </c>
      <c r="Y1038">
        <v>0.2488274</v>
      </c>
      <c r="Z1038">
        <v>-9.1755780000000002E-3</v>
      </c>
      <c r="AA1038">
        <v>0.96850440000000004</v>
      </c>
      <c r="AB1038">
        <v>18</v>
      </c>
      <c r="AC1038">
        <v>8.5573999999999995</v>
      </c>
      <c r="AD1038">
        <v>-1.110188248032</v>
      </c>
      <c r="AE1038">
        <v>-2.7257999999999898</v>
      </c>
      <c r="AF1038">
        <v>2.2579346250937999</v>
      </c>
      <c r="AG1038">
        <v>-1.110188248032</v>
      </c>
      <c r="AH1038">
        <v>8.5528443784071104</v>
      </c>
      <c r="AI1038">
        <v>97.153423046079695</v>
      </c>
      <c r="AJ1038">
        <v>75.211424407981596</v>
      </c>
      <c r="AK1038">
        <v>8.9152640834983696</v>
      </c>
      <c r="AL1038">
        <v>83.4415004514522</v>
      </c>
      <c r="AM1038">
        <v>81.416906075424095</v>
      </c>
      <c r="AN1038">
        <v>0.99999999017780905</v>
      </c>
    </row>
    <row r="1039" spans="1:40" x14ac:dyDescent="0.25">
      <c r="A1039" t="str">
        <f>"20190312151244267"</f>
        <v>20190312151244267</v>
      </c>
      <c r="B1039" t="str">
        <f>"1552374764260558"</f>
        <v>1552374764260558</v>
      </c>
      <c r="C1039" t="s">
        <v>40</v>
      </c>
      <c r="D1039">
        <v>4.6039450000000004</v>
      </c>
      <c r="E1039">
        <v>0.56601199999999996</v>
      </c>
      <c r="F1039" t="s">
        <v>42</v>
      </c>
      <c r="G1039">
        <v>-211.20949999999999</v>
      </c>
      <c r="H1039" s="1">
        <v>-4.8129899999999996E-6</v>
      </c>
      <c r="I1039">
        <v>363.6431</v>
      </c>
      <c r="J1039">
        <v>-220.52809999999999</v>
      </c>
      <c r="K1039">
        <v>1.110179</v>
      </c>
      <c r="L1039">
        <v>367.25839999999999</v>
      </c>
      <c r="M1039">
        <v>0.99858659999999999</v>
      </c>
      <c r="N1039">
        <v>0</v>
      </c>
      <c r="O1039">
        <v>-5.1243240000000002E-2</v>
      </c>
      <c r="P1039">
        <v>0.9753501</v>
      </c>
      <c r="Q1039">
        <v>0.1017482</v>
      </c>
      <c r="R1039">
        <v>-0.1958058</v>
      </c>
      <c r="S1039">
        <v>2.8881839999999999</v>
      </c>
      <c r="T1039">
        <v>-0.33743579999999901</v>
      </c>
      <c r="U1039">
        <v>-1.10202</v>
      </c>
      <c r="V1039">
        <v>0.1457049</v>
      </c>
      <c r="W1039">
        <v>0.1154549</v>
      </c>
      <c r="X1039">
        <v>0.9825682</v>
      </c>
      <c r="Y1039">
        <v>0.30663289999999999</v>
      </c>
      <c r="Z1039">
        <v>-1.150005E-2</v>
      </c>
      <c r="AA1039">
        <v>0.9517584</v>
      </c>
      <c r="AB1039">
        <v>18</v>
      </c>
      <c r="AC1039">
        <v>9.3186</v>
      </c>
      <c r="AD1039">
        <v>-1.1101838129899999</v>
      </c>
      <c r="AE1039">
        <v>-3.6152999999999902</v>
      </c>
      <c r="AF1039">
        <v>3.0948071507752899</v>
      </c>
      <c r="AG1039">
        <v>-1.1101838129899999</v>
      </c>
      <c r="AH1039">
        <v>9.3759654697438606</v>
      </c>
      <c r="AI1039">
        <v>96.415416557788205</v>
      </c>
      <c r="AJ1039">
        <v>71.733040178991899</v>
      </c>
      <c r="AK1039">
        <v>9.9357469718659797</v>
      </c>
      <c r="AL1039">
        <v>83.370136393805495</v>
      </c>
      <c r="AM1039">
        <v>81.565086075798405</v>
      </c>
      <c r="AN1039">
        <v>1.00000000973463</v>
      </c>
    </row>
    <row r="1040" spans="1:40" x14ac:dyDescent="0.25">
      <c r="A1040" t="str">
        <f>"20190312151244288"</f>
        <v>20190312151244288</v>
      </c>
      <c r="B1040" t="str">
        <f>"1552374764281054"</f>
        <v>1552374764281054</v>
      </c>
      <c r="C1040" t="s">
        <v>40</v>
      </c>
      <c r="D1040">
        <v>4.4467540000000003</v>
      </c>
      <c r="E1040">
        <v>0.56774590000000003</v>
      </c>
      <c r="F1040" t="s">
        <v>42</v>
      </c>
      <c r="G1040">
        <v>-210.78550000000001</v>
      </c>
      <c r="H1040" s="1">
        <v>-5.0343659999999999E-6</v>
      </c>
      <c r="I1040">
        <v>363.42039999999997</v>
      </c>
      <c r="J1040">
        <v>-220.35470000000001</v>
      </c>
      <c r="K1040">
        <v>1.110185</v>
      </c>
      <c r="L1040">
        <v>367.2484</v>
      </c>
      <c r="M1040">
        <v>0.99853720000000001</v>
      </c>
      <c r="N1040">
        <v>0</v>
      </c>
      <c r="O1040">
        <v>-5.2194770000000001E-2</v>
      </c>
      <c r="P1040">
        <v>0.97580579999999995</v>
      </c>
      <c r="Q1040">
        <v>0.1014258</v>
      </c>
      <c r="R1040">
        <v>-0.19369069999999999</v>
      </c>
      <c r="S1040">
        <v>2.8821409999999998</v>
      </c>
      <c r="T1040">
        <v>-0.32842199999999999</v>
      </c>
      <c r="U1040">
        <v>-1.1353759999999999</v>
      </c>
      <c r="V1040">
        <v>0.14263010000000001</v>
      </c>
      <c r="W1040">
        <v>0.1151394</v>
      </c>
      <c r="X1040">
        <v>0.98305620000000005</v>
      </c>
      <c r="Y1040">
        <v>0.31598280000000001</v>
      </c>
      <c r="Z1040">
        <v>-1.16028E-2</v>
      </c>
      <c r="AA1040">
        <v>0.94869400000000004</v>
      </c>
      <c r="AB1040">
        <v>18</v>
      </c>
      <c r="AC1040">
        <v>9.5691999999999897</v>
      </c>
      <c r="AD1040">
        <v>-1.1101900343660001</v>
      </c>
      <c r="AE1040">
        <v>-3.82800000000003</v>
      </c>
      <c r="AF1040">
        <v>3.2851511115037701</v>
      </c>
      <c r="AG1040">
        <v>-1.1101900343660001</v>
      </c>
      <c r="AH1040">
        <v>9.64407383272742</v>
      </c>
      <c r="AI1040">
        <v>96.218853671488304</v>
      </c>
      <c r="AJ1040">
        <v>71.189136613993398</v>
      </c>
      <c r="AK1040">
        <v>10.248555987499699</v>
      </c>
      <c r="AL1040">
        <v>83.388334242076596</v>
      </c>
      <c r="AM1040">
        <v>81.744649396714394</v>
      </c>
      <c r="AN1040">
        <v>0.99999995960840404</v>
      </c>
    </row>
    <row r="1041" spans="1:40" x14ac:dyDescent="0.25">
      <c r="A1041" t="str">
        <f>"20190312151244311"</f>
        <v>20190312151244311</v>
      </c>
      <c r="B1041" t="str">
        <f>"1552374764300575"</f>
        <v>1552374764300575</v>
      </c>
      <c r="C1041" t="s">
        <v>40</v>
      </c>
      <c r="D1041">
        <v>4.6230449999999896</v>
      </c>
      <c r="E1041">
        <v>0.56919679999999995</v>
      </c>
      <c r="F1041" t="s">
        <v>42</v>
      </c>
      <c r="G1041">
        <v>-210.88210000000001</v>
      </c>
      <c r="H1041" s="1">
        <v>-4.9796459999999997E-6</v>
      </c>
      <c r="I1041">
        <v>363.49529999999999</v>
      </c>
      <c r="J1041">
        <v>-220.1728</v>
      </c>
      <c r="K1041">
        <v>1.1101890000000001</v>
      </c>
      <c r="L1041">
        <v>367.23759999999999</v>
      </c>
      <c r="M1041">
        <v>0.99848460000000006</v>
      </c>
      <c r="N1041">
        <v>0</v>
      </c>
      <c r="O1041">
        <v>-5.3194209999999999E-2</v>
      </c>
      <c r="P1041">
        <v>0.97609029999999997</v>
      </c>
      <c r="Q1041">
        <v>0.1011271</v>
      </c>
      <c r="R1041">
        <v>-0.1924091</v>
      </c>
      <c r="S1041">
        <v>2.8827970000000001</v>
      </c>
      <c r="T1041">
        <v>-0.33786119999999997</v>
      </c>
      <c r="U1041">
        <v>-1.1421509999999999</v>
      </c>
      <c r="V1041">
        <v>0.14034859999999999</v>
      </c>
      <c r="W1041">
        <v>0.1148448</v>
      </c>
      <c r="X1041">
        <v>0.98341900000000004</v>
      </c>
      <c r="Y1041">
        <v>0.31680649999999999</v>
      </c>
      <c r="Z1041">
        <v>-1.1861429999999999E-2</v>
      </c>
      <c r="AA1041">
        <v>0.94841609999999998</v>
      </c>
      <c r="AB1041">
        <v>18</v>
      </c>
      <c r="AC1041">
        <v>9.2906999999999798</v>
      </c>
      <c r="AD1041">
        <v>-1.1101939796460001</v>
      </c>
      <c r="AE1041">
        <v>-3.7423000000000002</v>
      </c>
      <c r="AF1041">
        <v>3.2033839485956999</v>
      </c>
      <c r="AG1041">
        <v>-1.1101939796460001</v>
      </c>
      <c r="AH1041">
        <v>9.3616174104636993</v>
      </c>
      <c r="AI1041">
        <v>96.401976405287101</v>
      </c>
      <c r="AJ1041">
        <v>71.1099384428326</v>
      </c>
      <c r="AK1041">
        <v>9.9566098615171192</v>
      </c>
      <c r="AL1041">
        <v>83.405326522931901</v>
      </c>
      <c r="AM1041">
        <v>81.877881538264305</v>
      </c>
      <c r="AN1041">
        <v>0.99999999358499903</v>
      </c>
    </row>
    <row r="1042" spans="1:40" x14ac:dyDescent="0.25">
      <c r="A1042" t="str">
        <f>"20190312151244332"</f>
        <v>20190312151244332</v>
      </c>
      <c r="B1042" t="str">
        <f>"1552374764321070"</f>
        <v>1552374764321070</v>
      </c>
      <c r="C1042" t="s">
        <v>40</v>
      </c>
      <c r="D1042">
        <v>4.594328</v>
      </c>
      <c r="E1042">
        <v>0.56996269999999905</v>
      </c>
      <c r="F1042" t="s">
        <v>42</v>
      </c>
      <c r="G1042">
        <v>-210.69749999999999</v>
      </c>
      <c r="H1042" s="1">
        <v>-5.0649859999999998E-6</v>
      </c>
      <c r="I1042">
        <v>363.46069999999997</v>
      </c>
      <c r="J1042">
        <v>-219.9991</v>
      </c>
      <c r="K1042">
        <v>1.110193</v>
      </c>
      <c r="L1042">
        <v>367.22730000000001</v>
      </c>
      <c r="M1042">
        <v>0.99843340000000003</v>
      </c>
      <c r="N1042">
        <v>0</v>
      </c>
      <c r="O1042">
        <v>-5.4147880000000002E-2</v>
      </c>
      <c r="P1042">
        <v>0.97615039999999997</v>
      </c>
      <c r="Q1042">
        <v>0.1008154</v>
      </c>
      <c r="R1042">
        <v>-0.1922681</v>
      </c>
      <c r="S1042">
        <v>2.882034</v>
      </c>
      <c r="T1042">
        <v>-0.33767900000000001</v>
      </c>
      <c r="U1042">
        <v>-1.1488039999999999</v>
      </c>
      <c r="V1042">
        <v>0.13926259999999999</v>
      </c>
      <c r="W1042">
        <v>0.1145336</v>
      </c>
      <c r="X1042">
        <v>0.98360970000000003</v>
      </c>
      <c r="Y1042">
        <v>0.31787939999999998</v>
      </c>
      <c r="Z1042">
        <v>-1.180695E-2</v>
      </c>
      <c r="AA1042">
        <v>0.9480577</v>
      </c>
      <c r="AB1042">
        <v>18</v>
      </c>
      <c r="AC1042">
        <v>9.3016000000000005</v>
      </c>
      <c r="AD1042">
        <v>-1.1101980649859999</v>
      </c>
      <c r="AE1042">
        <v>-3.7666000000000399</v>
      </c>
      <c r="AF1042">
        <v>3.2179766660489002</v>
      </c>
      <c r="AG1042">
        <v>-1.1101980649859999</v>
      </c>
      <c r="AH1042">
        <v>9.3771590642043403</v>
      </c>
      <c r="AI1042">
        <v>96.389554714152297</v>
      </c>
      <c r="AJ1042">
        <v>71.0592243613318</v>
      </c>
      <c r="AK1042">
        <v>9.9759222973178492</v>
      </c>
      <c r="AL1042">
        <v>83.423275644777206</v>
      </c>
      <c r="AM1042">
        <v>81.941442593764705</v>
      </c>
      <c r="AN1042">
        <v>1.0000000296109</v>
      </c>
    </row>
    <row r="1043" spans="1:40" x14ac:dyDescent="0.25">
      <c r="A1043" t="str">
        <f>"20190312151244356"</f>
        <v>20190312151244356</v>
      </c>
      <c r="B1043" t="str">
        <f>"1552374764351326"</f>
        <v>1552374764351326</v>
      </c>
      <c r="C1043" t="s">
        <v>40</v>
      </c>
      <c r="D1043">
        <v>4.9108049999999999</v>
      </c>
      <c r="E1043">
        <v>0.57068269999999899</v>
      </c>
      <c r="F1043" t="s">
        <v>42</v>
      </c>
      <c r="G1043">
        <v>-210.5163</v>
      </c>
      <c r="H1043" s="1">
        <v>-5.1488700000000004E-6</v>
      </c>
      <c r="I1043">
        <v>363.42610000000002</v>
      </c>
      <c r="J1043">
        <v>-219.81610000000001</v>
      </c>
      <c r="K1043">
        <v>1.110198</v>
      </c>
      <c r="L1043">
        <v>367.21609999999998</v>
      </c>
      <c r="M1043">
        <v>0.99837830000000005</v>
      </c>
      <c r="N1043">
        <v>0</v>
      </c>
      <c r="O1043">
        <v>-5.5153279999999999E-2</v>
      </c>
      <c r="P1043">
        <v>0.97604219999999997</v>
      </c>
      <c r="Q1043">
        <v>0.10049130000000001</v>
      </c>
      <c r="R1043">
        <v>-0.1929845</v>
      </c>
      <c r="S1043">
        <v>2.8806919999999998</v>
      </c>
      <c r="T1043">
        <v>-0.33725260000000001</v>
      </c>
      <c r="U1043">
        <v>-1.1547240000000001</v>
      </c>
      <c r="V1043">
        <v>0.1389909</v>
      </c>
      <c r="W1043">
        <v>0.1142068</v>
      </c>
      <c r="X1043">
        <v>0.98368610000000001</v>
      </c>
      <c r="Y1043">
        <v>0.31876179999999998</v>
      </c>
      <c r="Z1043">
        <v>-1.1730290000000001E-2</v>
      </c>
      <c r="AA1043">
        <v>0.94776229999999995</v>
      </c>
      <c r="AB1043">
        <v>18</v>
      </c>
      <c r="AC1043">
        <v>9.2997999999999994</v>
      </c>
      <c r="AD1043">
        <v>-1.1102031488699999</v>
      </c>
      <c r="AE1043">
        <v>-3.7899999999999601</v>
      </c>
      <c r="AF1043">
        <v>3.2317672998529701</v>
      </c>
      <c r="AG1043">
        <v>-1.1102031488699999</v>
      </c>
      <c r="AH1043">
        <v>9.3800545807748392</v>
      </c>
      <c r="AI1043">
        <v>96.384970661863406</v>
      </c>
      <c r="AJ1043">
        <v>70.989322098610003</v>
      </c>
      <c r="AK1043">
        <v>9.9831004628058793</v>
      </c>
      <c r="AL1043">
        <v>83.442123408736805</v>
      </c>
      <c r="AM1043">
        <v>81.957575337875099</v>
      </c>
      <c r="AN1043">
        <v>1.00000000339113</v>
      </c>
    </row>
    <row r="1044" spans="1:40" x14ac:dyDescent="0.25">
      <c r="A1044" t="str">
        <f>"20190312151244377"</f>
        <v>20190312151244377</v>
      </c>
      <c r="B1044" t="str">
        <f>"1552374764370851"</f>
        <v>1552374764370851</v>
      </c>
      <c r="C1044" t="s">
        <v>40</v>
      </c>
      <c r="D1044">
        <v>4.625489</v>
      </c>
      <c r="E1044">
        <v>0.57150380000000001</v>
      </c>
      <c r="F1044" t="s">
        <v>42</v>
      </c>
      <c r="G1044">
        <v>-210.15600000000001</v>
      </c>
      <c r="H1044" s="1">
        <v>-5.3234970000000001E-6</v>
      </c>
      <c r="I1044">
        <v>363.31290000000001</v>
      </c>
      <c r="J1044">
        <v>-219.63849999999999</v>
      </c>
      <c r="K1044">
        <v>1.1101970000000001</v>
      </c>
      <c r="L1044">
        <v>367.20510000000002</v>
      </c>
      <c r="M1044">
        <v>0.99832410000000005</v>
      </c>
      <c r="N1044">
        <v>0</v>
      </c>
      <c r="O1044">
        <v>-5.6128770000000001E-2</v>
      </c>
      <c r="P1044">
        <v>0.97575149999999999</v>
      </c>
      <c r="Q1044">
        <v>0.1001152</v>
      </c>
      <c r="R1044">
        <v>-0.19464390000000001</v>
      </c>
      <c r="S1044">
        <v>2.8777469999999998</v>
      </c>
      <c r="T1044">
        <v>-0.33072780000000002</v>
      </c>
      <c r="U1044">
        <v>-1.16275</v>
      </c>
      <c r="V1044">
        <v>0.1397004</v>
      </c>
      <c r="W1044">
        <v>0.11382490000000001</v>
      </c>
      <c r="X1044">
        <v>0.98362989999999995</v>
      </c>
      <c r="Y1044">
        <v>0.32049909999999998</v>
      </c>
      <c r="Z1044">
        <v>-1.149886E-2</v>
      </c>
      <c r="AA1044">
        <v>0.94717899999999999</v>
      </c>
      <c r="AB1044">
        <v>18</v>
      </c>
      <c r="AC1044">
        <v>9.4825000000000106</v>
      </c>
      <c r="AD1044">
        <v>-1.110202323497</v>
      </c>
      <c r="AE1044">
        <v>-3.8921999999999999</v>
      </c>
      <c r="AF1044">
        <v>3.31488183846372</v>
      </c>
      <c r="AG1044">
        <v>-1.110202323497</v>
      </c>
      <c r="AH1044">
        <v>9.5737242386413399</v>
      </c>
      <c r="AI1044">
        <v>96.253559492537804</v>
      </c>
      <c r="AJ1044">
        <v>70.9016962664803</v>
      </c>
      <c r="AK1044">
        <v>10.1920158261073</v>
      </c>
      <c r="AL1044">
        <v>83.464148565250298</v>
      </c>
      <c r="AM1044">
        <v>81.916607035471799</v>
      </c>
      <c r="AN1044">
        <v>1.0000000448970801</v>
      </c>
    </row>
    <row r="1045" spans="1:40" x14ac:dyDescent="0.25">
      <c r="A1045" t="str">
        <f>"20190312151244400"</f>
        <v>20190312151244400</v>
      </c>
      <c r="B1045" t="str">
        <f>"1552374764390366"</f>
        <v>1552374764390366</v>
      </c>
      <c r="C1045" t="s">
        <v>40</v>
      </c>
      <c r="D1045">
        <v>4.6161770000000004</v>
      </c>
      <c r="E1045">
        <v>0.57227159999999999</v>
      </c>
      <c r="F1045" t="s">
        <v>42</v>
      </c>
      <c r="G1045">
        <v>-209.99690000000001</v>
      </c>
      <c r="H1045" s="1">
        <v>-5.3999099999999996E-6</v>
      </c>
      <c r="I1045">
        <v>363.26690000000002</v>
      </c>
      <c r="J1045">
        <v>-219.45910000000001</v>
      </c>
      <c r="K1045">
        <v>1.1102000000000001</v>
      </c>
      <c r="L1045">
        <v>367.19380000000001</v>
      </c>
      <c r="M1045">
        <v>0.99826820000000005</v>
      </c>
      <c r="N1045">
        <v>0</v>
      </c>
      <c r="O1045">
        <v>-5.7114390000000001E-2</v>
      </c>
      <c r="P1045">
        <v>0.97543409999999997</v>
      </c>
      <c r="Q1045">
        <v>9.9425819999999998E-2</v>
      </c>
      <c r="R1045">
        <v>-0.1965788</v>
      </c>
      <c r="S1045">
        <v>2.8742830000000001</v>
      </c>
      <c r="T1045">
        <v>-0.33096209999999998</v>
      </c>
      <c r="U1045">
        <v>-1.1740109999999999</v>
      </c>
      <c r="V1045">
        <v>0.140676</v>
      </c>
      <c r="W1045">
        <v>0.11312990000000001</v>
      </c>
      <c r="X1045">
        <v>0.98357099999999997</v>
      </c>
      <c r="Y1045">
        <v>0.32313229999999998</v>
      </c>
      <c r="Z1045">
        <v>-1.154906E-2</v>
      </c>
      <c r="AA1045">
        <v>0.94628330000000005</v>
      </c>
      <c r="AB1045">
        <v>18</v>
      </c>
      <c r="AC1045">
        <v>9.4621999999999904</v>
      </c>
      <c r="AD1045">
        <v>-1.1102053999099999</v>
      </c>
      <c r="AE1045">
        <v>-3.9268999999999799</v>
      </c>
      <c r="AF1045">
        <v>3.3407737991649</v>
      </c>
      <c r="AG1045">
        <v>-1.1102053999099999</v>
      </c>
      <c r="AH1045">
        <v>9.5587993684607397</v>
      </c>
      <c r="AI1045">
        <v>96.257001181418005</v>
      </c>
      <c r="AJ1045">
        <v>70.735621243388294</v>
      </c>
      <c r="AK1045">
        <v>10.1864601787697</v>
      </c>
      <c r="AL1045">
        <v>83.504227804247705</v>
      </c>
      <c r="AM1045">
        <v>81.860429456901898</v>
      </c>
      <c r="AN1045">
        <v>1.0000000116454999</v>
      </c>
    </row>
    <row r="1046" spans="1:40" x14ac:dyDescent="0.25">
      <c r="A1046" t="str">
        <f>"20190312151244422"</f>
        <v>20190312151244422</v>
      </c>
      <c r="B1046" t="str">
        <f>"1552374764410863"</f>
        <v>1552374764410863</v>
      </c>
      <c r="C1046" t="s">
        <v>40</v>
      </c>
      <c r="D1046">
        <v>4.6085789999999998</v>
      </c>
      <c r="E1046">
        <v>0.57289939999999995</v>
      </c>
      <c r="F1046" t="s">
        <v>51</v>
      </c>
      <c r="G1046">
        <v>-209.93639999999999</v>
      </c>
      <c r="H1046" s="1">
        <v>-6.256439E-6</v>
      </c>
      <c r="I1046">
        <v>363.26089999999999</v>
      </c>
      <c r="J1046">
        <v>-219.2852</v>
      </c>
      <c r="K1046">
        <v>1.1102030000000001</v>
      </c>
      <c r="L1046">
        <v>367.18270000000001</v>
      </c>
      <c r="M1046">
        <v>0.99821320000000002</v>
      </c>
      <c r="N1046">
        <v>0</v>
      </c>
      <c r="O1046">
        <v>-5.8069740000000002E-2</v>
      </c>
      <c r="P1046">
        <v>0.975078</v>
      </c>
      <c r="Q1046">
        <v>9.9343570000000006E-2</v>
      </c>
      <c r="R1046">
        <v>-0.19837779999999999</v>
      </c>
      <c r="S1046">
        <v>2.870743</v>
      </c>
      <c r="T1046">
        <v>-0.33468560000000003</v>
      </c>
      <c r="U1046">
        <v>-1.185638</v>
      </c>
      <c r="V1046">
        <v>0.14154929999999999</v>
      </c>
      <c r="W1046">
        <v>0.1130408</v>
      </c>
      <c r="X1046">
        <v>0.98345590000000005</v>
      </c>
      <c r="Y1046">
        <v>0.32586850000000001</v>
      </c>
      <c r="Z1046">
        <v>-1.17299E-2</v>
      </c>
      <c r="AA1046">
        <v>0.94534240000000003</v>
      </c>
      <c r="AB1046">
        <v>18</v>
      </c>
      <c r="AC1046">
        <v>9.3488000000000095</v>
      </c>
      <c r="AD1046">
        <v>-1.110209256439</v>
      </c>
      <c r="AE1046">
        <v>-3.9218000000000099</v>
      </c>
      <c r="AF1046">
        <v>3.3322831530650601</v>
      </c>
      <c r="AG1046">
        <v>-1.110209256439</v>
      </c>
      <c r="AH1046">
        <v>9.4474854530674008</v>
      </c>
      <c r="AI1046">
        <v>96.323835581216002</v>
      </c>
      <c r="AJ1046">
        <v>70.571417641824297</v>
      </c>
      <c r="AK1046">
        <v>10.0792686734308</v>
      </c>
      <c r="AL1046">
        <v>83.509365526177007</v>
      </c>
      <c r="AM1046">
        <v>81.809637832397996</v>
      </c>
      <c r="AN1046">
        <v>0.99999996701996896</v>
      </c>
    </row>
    <row r="1047" spans="1:40" x14ac:dyDescent="0.25">
      <c r="A1047" t="str">
        <f>"20190312151244445"</f>
        <v>20190312151244445</v>
      </c>
      <c r="B1047" t="str">
        <f>"1552374764441119"</f>
        <v>1552374764441119</v>
      </c>
      <c r="C1047" t="s">
        <v>40</v>
      </c>
      <c r="D1047">
        <v>4.5886909999999999</v>
      </c>
      <c r="E1047">
        <v>0.5736464</v>
      </c>
      <c r="F1047" t="s">
        <v>51</v>
      </c>
      <c r="G1047">
        <v>-209.81379999999999</v>
      </c>
      <c r="H1047" s="1">
        <v>-6.2194449999999999E-6</v>
      </c>
      <c r="I1047">
        <v>363.23500000000001</v>
      </c>
      <c r="J1047">
        <v>-219.10480000000001</v>
      </c>
      <c r="K1047">
        <v>1.1102019999999999</v>
      </c>
      <c r="L1047">
        <v>367.17099999999999</v>
      </c>
      <c r="M1047">
        <v>0.99815509999999996</v>
      </c>
      <c r="N1047">
        <v>0</v>
      </c>
      <c r="O1047">
        <v>-5.9060710000000002E-2</v>
      </c>
      <c r="P1047">
        <v>0.97461900000000001</v>
      </c>
      <c r="Q1047">
        <v>9.9616510000000005E-2</v>
      </c>
      <c r="R1047">
        <v>-0.20048560000000001</v>
      </c>
      <c r="S1047">
        <v>2.8677670000000002</v>
      </c>
      <c r="T1047">
        <v>-0.33615279999999997</v>
      </c>
      <c r="U1047">
        <v>-1.195282</v>
      </c>
      <c r="V1047">
        <v>0.1427022</v>
      </c>
      <c r="W1047">
        <v>0.1133062</v>
      </c>
      <c r="X1047">
        <v>0.98325879999999999</v>
      </c>
      <c r="Y1047">
        <v>0.32796720000000001</v>
      </c>
      <c r="Z1047">
        <v>-1.1792489999999999E-2</v>
      </c>
      <c r="AA1047">
        <v>0.94461550000000005</v>
      </c>
      <c r="AB1047">
        <v>18</v>
      </c>
      <c r="AC1047">
        <v>9.2910000000000199</v>
      </c>
      <c r="AD1047">
        <v>-1.110208219445</v>
      </c>
      <c r="AE1047">
        <v>-3.9359999999999702</v>
      </c>
      <c r="AF1047">
        <v>3.33990779314425</v>
      </c>
      <c r="AG1047">
        <v>-1.110208219445</v>
      </c>
      <c r="AH1047">
        <v>9.39354674831824</v>
      </c>
      <c r="AI1047">
        <v>96.354216457638898</v>
      </c>
      <c r="AJ1047">
        <v>70.426982141134005</v>
      </c>
      <c r="AK1047">
        <v>10.031264470148701</v>
      </c>
      <c r="AL1047">
        <v>83.494061376064295</v>
      </c>
      <c r="AM1047">
        <v>81.742212234921993</v>
      </c>
      <c r="AN1047">
        <v>1.0000000403103499</v>
      </c>
    </row>
    <row r="1048" spans="1:40" x14ac:dyDescent="0.25">
      <c r="A1048" t="str">
        <f>"20190312151244468"</f>
        <v>20190312151244468</v>
      </c>
      <c r="B1048" t="str">
        <f>"1552374764460638"</f>
        <v>1552374764460638</v>
      </c>
      <c r="C1048" t="s">
        <v>40</v>
      </c>
      <c r="D1048">
        <v>4.5597099999999999</v>
      </c>
      <c r="E1048">
        <v>0.5740864</v>
      </c>
      <c r="F1048" t="s">
        <v>51</v>
      </c>
      <c r="G1048">
        <v>-209.6129</v>
      </c>
      <c r="H1048" s="1">
        <v>-6.1620999999999998E-6</v>
      </c>
      <c r="I1048">
        <v>363.17169999999999</v>
      </c>
      <c r="J1048">
        <v>-218.92490000000001</v>
      </c>
      <c r="K1048">
        <v>1.1102099999999999</v>
      </c>
      <c r="L1048">
        <v>367.15910000000002</v>
      </c>
      <c r="M1048">
        <v>0.99809619999999999</v>
      </c>
      <c r="N1048">
        <v>0</v>
      </c>
      <c r="O1048">
        <v>-6.0049659999999998E-2</v>
      </c>
      <c r="P1048">
        <v>0.97429429999999995</v>
      </c>
      <c r="Q1048">
        <v>9.9880220000000006E-2</v>
      </c>
      <c r="R1048">
        <v>-0.20192750000000001</v>
      </c>
      <c r="S1048">
        <v>2.8641510000000001</v>
      </c>
      <c r="T1048">
        <v>-0.33500190000000002</v>
      </c>
      <c r="U1048">
        <v>-1.2067870000000001</v>
      </c>
      <c r="V1048">
        <v>0.1431849</v>
      </c>
      <c r="W1048">
        <v>0.11356339999999999</v>
      </c>
      <c r="X1048">
        <v>0.98315889999999995</v>
      </c>
      <c r="Y1048">
        <v>0.330681</v>
      </c>
      <c r="Z1048">
        <v>-1.179943E-2</v>
      </c>
      <c r="AA1048">
        <v>0.94366879999999997</v>
      </c>
      <c r="AB1048">
        <v>18</v>
      </c>
      <c r="AC1048">
        <v>9.31200000000001</v>
      </c>
      <c r="AD1048">
        <v>-1.1102161621</v>
      </c>
      <c r="AE1048">
        <v>-3.9874000000000298</v>
      </c>
      <c r="AF1048">
        <v>3.3803603091035201</v>
      </c>
      <c r="AG1048">
        <v>-1.1102161621</v>
      </c>
      <c r="AH1048">
        <v>9.4214873213279802</v>
      </c>
      <c r="AI1048">
        <v>96.3291260858241</v>
      </c>
      <c r="AJ1048">
        <v>70.262387129861096</v>
      </c>
      <c r="AK1048">
        <v>10.0709403280872</v>
      </c>
      <c r="AL1048">
        <v>83.479228850581606</v>
      </c>
      <c r="AM1048">
        <v>81.713836639917702</v>
      </c>
      <c r="AN1048">
        <v>0.99999999202838896</v>
      </c>
    </row>
    <row r="1049" spans="1:40" x14ac:dyDescent="0.25">
      <c r="A1049" t="str">
        <f>"20190312151244489"</f>
        <v>20190312151244489</v>
      </c>
      <c r="B1049" t="str">
        <f>"1552374764481135"</f>
        <v>1552374764481135</v>
      </c>
      <c r="C1049" t="s">
        <v>40</v>
      </c>
      <c r="D1049">
        <v>4.5795629999999896</v>
      </c>
      <c r="E1049">
        <v>0.57450389999999996</v>
      </c>
      <c r="F1049" t="s">
        <v>51</v>
      </c>
      <c r="G1049">
        <v>-209.42779999999999</v>
      </c>
      <c r="H1049" s="1">
        <v>-6.1069349999999998E-6</v>
      </c>
      <c r="I1049">
        <v>363.12810000000002</v>
      </c>
      <c r="J1049">
        <v>-218.75129999999999</v>
      </c>
      <c r="K1049">
        <v>1.110212</v>
      </c>
      <c r="L1049">
        <v>367.14760000000001</v>
      </c>
      <c r="M1049">
        <v>0.99803839999999999</v>
      </c>
      <c r="N1049">
        <v>0</v>
      </c>
      <c r="O1049">
        <v>-6.1003929999999998E-2</v>
      </c>
      <c r="P1049">
        <v>0.9738926</v>
      </c>
      <c r="Q1049">
        <v>0.100449</v>
      </c>
      <c r="R1049">
        <v>-0.20357710000000001</v>
      </c>
      <c r="S1049">
        <v>2.86171</v>
      </c>
      <c r="T1049">
        <v>-0.33453539999999998</v>
      </c>
      <c r="U1049">
        <v>-1.214661</v>
      </c>
      <c r="V1049">
        <v>0.1439145</v>
      </c>
      <c r="W1049">
        <v>0.1141258</v>
      </c>
      <c r="X1049">
        <v>0.98298730000000001</v>
      </c>
      <c r="Y1049">
        <v>0.33226939999999999</v>
      </c>
      <c r="Z1049">
        <v>-1.176934E-2</v>
      </c>
      <c r="AA1049">
        <v>0.94311109999999998</v>
      </c>
      <c r="AB1049">
        <v>18</v>
      </c>
      <c r="AC1049">
        <v>9.3234999999999904</v>
      </c>
      <c r="AD1049">
        <v>-1.1102181069349999</v>
      </c>
      <c r="AE1049">
        <v>-4.0194999999999901</v>
      </c>
      <c r="AF1049">
        <v>3.4025018858901199</v>
      </c>
      <c r="AG1049">
        <v>-1.1102181069349999</v>
      </c>
      <c r="AH1049">
        <v>9.4385043702466707</v>
      </c>
      <c r="AI1049">
        <v>96.314428669544299</v>
      </c>
      <c r="AJ1049">
        <v>70.176190679910206</v>
      </c>
      <c r="AK1049">
        <v>10.0943037439745</v>
      </c>
      <c r="AL1049">
        <v>83.446795261959195</v>
      </c>
      <c r="AM1049">
        <v>81.670771707643894</v>
      </c>
      <c r="AN1049">
        <v>1.0000000567485801</v>
      </c>
    </row>
    <row r="1050" spans="1:40" x14ac:dyDescent="0.25">
      <c r="A1050" t="str">
        <f>"20190312151244512"</f>
        <v>20190312151244512</v>
      </c>
      <c r="B1050" t="str">
        <f>"1552374764500654"</f>
        <v>1552374764500654</v>
      </c>
      <c r="C1050" t="s">
        <v>40</v>
      </c>
      <c r="D1050">
        <v>5.3117460000000003</v>
      </c>
      <c r="E1050">
        <v>0.57490920000000001</v>
      </c>
      <c r="F1050" t="s">
        <v>51</v>
      </c>
      <c r="G1050">
        <v>-209.2225</v>
      </c>
      <c r="H1050" s="1">
        <v>-6.0469690000000001E-6</v>
      </c>
      <c r="I1050">
        <v>363.072</v>
      </c>
      <c r="J1050">
        <v>-218.57409999999999</v>
      </c>
      <c r="K1050">
        <v>1.110217</v>
      </c>
      <c r="L1050">
        <v>367.13560000000001</v>
      </c>
      <c r="M1050">
        <v>0.99797840000000004</v>
      </c>
      <c r="N1050">
        <v>0</v>
      </c>
      <c r="O1050">
        <v>-6.1977869999999997E-2</v>
      </c>
      <c r="P1050">
        <v>0.9736049</v>
      </c>
      <c r="Q1050">
        <v>0.1009616</v>
      </c>
      <c r="R1050">
        <v>-0.20469519999999999</v>
      </c>
      <c r="S1050">
        <v>2.859146</v>
      </c>
      <c r="T1050">
        <v>-0.3331249</v>
      </c>
      <c r="U1050">
        <v>-1.2229000000000001</v>
      </c>
      <c r="V1050">
        <v>0.1440874</v>
      </c>
      <c r="W1050">
        <v>0.1146331</v>
      </c>
      <c r="X1050">
        <v>0.98290290000000002</v>
      </c>
      <c r="Y1050">
        <v>0.33396179999999998</v>
      </c>
      <c r="Z1050">
        <v>-1.1710079999999999E-2</v>
      </c>
      <c r="AA1050">
        <v>0.94251390000000002</v>
      </c>
      <c r="AB1050">
        <v>18</v>
      </c>
      <c r="AC1050">
        <v>9.3515999999999906</v>
      </c>
      <c r="AD1050">
        <v>-1.110223046969</v>
      </c>
      <c r="AE1050">
        <v>-4.0636000000000596</v>
      </c>
      <c r="AF1050">
        <v>3.4354070583219598</v>
      </c>
      <c r="AG1050">
        <v>-1.110223046969</v>
      </c>
      <c r="AH1050">
        <v>9.4731838832198996</v>
      </c>
      <c r="AI1050">
        <v>96.287229354982699</v>
      </c>
      <c r="AJ1050">
        <v>70.0670537820682</v>
      </c>
      <c r="AK1050">
        <v>10.137841474184</v>
      </c>
      <c r="AL1050">
        <v>83.417536845022795</v>
      </c>
      <c r="AM1050">
        <v>81.6601995543014</v>
      </c>
      <c r="AN1050">
        <v>1.00000001864139</v>
      </c>
    </row>
    <row r="1051" spans="1:40" x14ac:dyDescent="0.25">
      <c r="A1051" t="str">
        <f>"20190312151244534"</f>
        <v>20190312151244534</v>
      </c>
      <c r="B1051" t="str">
        <f>"1552374764530911"</f>
        <v>1552374764530911</v>
      </c>
      <c r="C1051" t="s">
        <v>40</v>
      </c>
      <c r="D1051">
        <v>4.5866920000000002</v>
      </c>
      <c r="E1051">
        <v>0.57524929999999996</v>
      </c>
      <c r="F1051" t="s">
        <v>51</v>
      </c>
      <c r="G1051">
        <v>-209.017</v>
      </c>
      <c r="H1051" s="1">
        <v>-5.9862429999999997E-6</v>
      </c>
      <c r="I1051">
        <v>363.02030000000002</v>
      </c>
      <c r="J1051">
        <v>-218.39709999999999</v>
      </c>
      <c r="K1051">
        <v>1.1102179999999999</v>
      </c>
      <c r="L1051">
        <v>367.1234</v>
      </c>
      <c r="M1051">
        <v>0.99791750000000001</v>
      </c>
      <c r="N1051">
        <v>0</v>
      </c>
      <c r="O1051">
        <v>-6.2950859999999997E-2</v>
      </c>
      <c r="P1051">
        <v>0.97342039999999996</v>
      </c>
      <c r="Q1051">
        <v>0.1007328</v>
      </c>
      <c r="R1051">
        <v>-0.2056837</v>
      </c>
      <c r="S1051">
        <v>2.8570859999999998</v>
      </c>
      <c r="T1051">
        <v>-0.33189879999999999</v>
      </c>
      <c r="U1051">
        <v>-1.2302550000000001</v>
      </c>
      <c r="V1051">
        <v>0.1441249</v>
      </c>
      <c r="W1051">
        <v>0.1144</v>
      </c>
      <c r="X1051">
        <v>0.98292449999999998</v>
      </c>
      <c r="Y1051">
        <v>0.33534639999999999</v>
      </c>
      <c r="Z1051">
        <v>-1.1639139999999999E-2</v>
      </c>
      <c r="AA1051">
        <v>0.94202300000000005</v>
      </c>
      <c r="AB1051">
        <v>18</v>
      </c>
      <c r="AC1051">
        <v>9.3801000000000005</v>
      </c>
      <c r="AD1051">
        <v>-1.1102239862429999</v>
      </c>
      <c r="AE1051">
        <v>-4.10309999999998</v>
      </c>
      <c r="AF1051">
        <v>3.4636871683173101</v>
      </c>
      <c r="AG1051">
        <v>-1.1102239862429999</v>
      </c>
      <c r="AH1051">
        <v>9.5080067655171696</v>
      </c>
      <c r="AI1051">
        <v>96.261107551796997</v>
      </c>
      <c r="AJ1051">
        <v>69.983741770334206</v>
      </c>
      <c r="AK1051">
        <v>10.1799763630725</v>
      </c>
      <c r="AL1051">
        <v>83.430980546535807</v>
      </c>
      <c r="AM1051">
        <v>81.658240324729803</v>
      </c>
      <c r="AN1051">
        <v>0.99999995975012901</v>
      </c>
    </row>
    <row r="1052" spans="1:40" x14ac:dyDescent="0.25">
      <c r="A1052" t="str">
        <f>"20190312151244557"</f>
        <v>20190312151244557</v>
      </c>
      <c r="B1052" t="str">
        <f>"1552374764550430"</f>
        <v>1552374764550430</v>
      </c>
      <c r="C1052" t="s">
        <v>40</v>
      </c>
      <c r="D1052">
        <v>4.5826909999999996</v>
      </c>
      <c r="E1052">
        <v>0.57553829999999995</v>
      </c>
      <c r="F1052" t="s">
        <v>51</v>
      </c>
      <c r="G1052">
        <v>-208.77430000000001</v>
      </c>
      <c r="H1052" s="1">
        <v>-5.9148469999999999E-6</v>
      </c>
      <c r="I1052">
        <v>362.95729999999998</v>
      </c>
      <c r="J1052">
        <v>-218.22149999999999</v>
      </c>
      <c r="K1052">
        <v>1.11022</v>
      </c>
      <c r="L1052">
        <v>367.1112</v>
      </c>
      <c r="M1052">
        <v>0.99785630000000003</v>
      </c>
      <c r="N1052">
        <v>0</v>
      </c>
      <c r="O1052">
        <v>-6.3916210000000001E-2</v>
      </c>
      <c r="P1052">
        <v>0.97323289999999996</v>
      </c>
      <c r="Q1052">
        <v>0.1003971</v>
      </c>
      <c r="R1052">
        <v>-0.20673279999999999</v>
      </c>
      <c r="S1052">
        <v>2.8548580000000001</v>
      </c>
      <c r="T1052">
        <v>-0.32937729999999998</v>
      </c>
      <c r="U1052">
        <v>-1.235962</v>
      </c>
      <c r="V1052">
        <v>0.14423039999999901</v>
      </c>
      <c r="W1052">
        <v>0.1140608</v>
      </c>
      <c r="X1052">
        <v>0.9829485</v>
      </c>
      <c r="Y1052">
        <v>0.336312</v>
      </c>
      <c r="Z1052">
        <v>-1.150293E-2</v>
      </c>
      <c r="AA1052">
        <v>0.94168039999999997</v>
      </c>
      <c r="AB1052">
        <v>18</v>
      </c>
      <c r="AC1052">
        <v>9.4471999999999792</v>
      </c>
      <c r="AD1052">
        <v>-1.110225914847</v>
      </c>
      <c r="AE1052">
        <v>-4.1539000000000197</v>
      </c>
      <c r="AF1052">
        <v>3.5009979659052801</v>
      </c>
      <c r="AG1052">
        <v>-1.110225914847</v>
      </c>
      <c r="AH1052">
        <v>9.5825063395068408</v>
      </c>
      <c r="AI1052">
        <v>96.210716891315698</v>
      </c>
      <c r="AJ1052">
        <v>69.930069446040406</v>
      </c>
      <c r="AK1052">
        <v>10.2622617432006</v>
      </c>
      <c r="AL1052">
        <v>83.450543685209098</v>
      </c>
      <c r="AM1052">
        <v>81.652421089190995</v>
      </c>
      <c r="AN1052">
        <v>1.0000000140165199</v>
      </c>
    </row>
    <row r="1053" spans="1:40" x14ac:dyDescent="0.25">
      <c r="A1053" t="str">
        <f>"20190312151244578"</f>
        <v>20190312151244578</v>
      </c>
      <c r="B1053" t="str">
        <f>"1552374764570927"</f>
        <v>1552374764570927</v>
      </c>
      <c r="C1053" t="s">
        <v>40</v>
      </c>
      <c r="D1053">
        <v>4.7695069999999999</v>
      </c>
      <c r="E1053">
        <v>0.57565980000000005</v>
      </c>
      <c r="F1053" t="s">
        <v>51</v>
      </c>
      <c r="G1053">
        <v>-208.6035</v>
      </c>
      <c r="H1053" s="1">
        <v>-5.8627410000000003E-6</v>
      </c>
      <c r="I1053">
        <v>362.92489999999998</v>
      </c>
      <c r="J1053">
        <v>-218.0505</v>
      </c>
      <c r="K1053">
        <v>1.1102179999999999</v>
      </c>
      <c r="L1053">
        <v>367.09910000000002</v>
      </c>
      <c r="M1053">
        <v>0.99779580000000001</v>
      </c>
      <c r="N1053">
        <v>0</v>
      </c>
      <c r="O1053">
        <v>-6.4856419999999998E-2</v>
      </c>
      <c r="P1053">
        <v>0.97307370000000004</v>
      </c>
      <c r="Q1053">
        <v>0.1000552</v>
      </c>
      <c r="R1053">
        <v>-0.20764579999999999</v>
      </c>
      <c r="S1053">
        <v>2.8527369999999999</v>
      </c>
      <c r="T1053">
        <v>-0.32929599999999998</v>
      </c>
      <c r="U1053">
        <v>-1.2416689999999999</v>
      </c>
      <c r="V1053">
        <v>0.1442232</v>
      </c>
      <c r="W1053">
        <v>0.113716</v>
      </c>
      <c r="X1053">
        <v>0.98298949999999996</v>
      </c>
      <c r="Y1053">
        <v>0.33726529999999999</v>
      </c>
      <c r="Z1053">
        <v>-1.145348E-2</v>
      </c>
      <c r="AA1053">
        <v>0.94133999999999995</v>
      </c>
      <c r="AB1053">
        <v>18</v>
      </c>
      <c r="AC1053">
        <v>9.4469999999999992</v>
      </c>
      <c r="AD1053">
        <v>-1.1102238627409999</v>
      </c>
      <c r="AE1053">
        <v>-4.1742000000000399</v>
      </c>
      <c r="AF1053">
        <v>3.51206804441895</v>
      </c>
      <c r="AG1053">
        <v>-1.1102238627409999</v>
      </c>
      <c r="AH1053">
        <v>9.5870756042012406</v>
      </c>
      <c r="AI1053">
        <v>96.205820143370502</v>
      </c>
      <c r="AJ1053">
        <v>69.880519451038495</v>
      </c>
      <c r="AK1053">
        <v>10.2703085452531</v>
      </c>
      <c r="AL1053">
        <v>83.470428614782406</v>
      </c>
      <c r="AM1053">
        <v>81.653175181081707</v>
      </c>
      <c r="AN1053">
        <v>1.00000000859224</v>
      </c>
    </row>
    <row r="1054" spans="1:40" x14ac:dyDescent="0.25">
      <c r="A1054" t="str">
        <f>"20190312151244601"</f>
        <v>20190312151244601</v>
      </c>
      <c r="B1054" t="str">
        <f>"1552374764590451"</f>
        <v>1552374764590451</v>
      </c>
      <c r="C1054" t="s">
        <v>40</v>
      </c>
      <c r="D1054">
        <v>4.5531980000000001</v>
      </c>
      <c r="E1054">
        <v>0.58700980000000003</v>
      </c>
      <c r="F1054" t="s">
        <v>51</v>
      </c>
      <c r="G1054">
        <v>-208.45269999999999</v>
      </c>
      <c r="H1054" s="1">
        <v>-5.8149760000000004E-6</v>
      </c>
      <c r="I1054">
        <v>362.9076</v>
      </c>
      <c r="J1054">
        <v>-217.87549999999999</v>
      </c>
      <c r="K1054">
        <v>1.110217</v>
      </c>
      <c r="L1054">
        <v>367.0865</v>
      </c>
      <c r="M1054">
        <v>0.99773259999999997</v>
      </c>
      <c r="N1054">
        <v>0</v>
      </c>
      <c r="O1054">
        <v>-6.58194E-2</v>
      </c>
      <c r="P1054">
        <v>0.9728369</v>
      </c>
      <c r="Q1054">
        <v>9.973696E-2</v>
      </c>
      <c r="R1054">
        <v>-0.20890539999999999</v>
      </c>
      <c r="S1054">
        <v>2.8512420000000001</v>
      </c>
      <c r="T1054">
        <v>-0.3298162</v>
      </c>
      <c r="U1054">
        <v>-1.2451779999999999</v>
      </c>
      <c r="V1054">
        <v>0.14454429999999999</v>
      </c>
      <c r="W1054">
        <v>0.1133938</v>
      </c>
      <c r="X1054">
        <v>0.98297950000000001</v>
      </c>
      <c r="Y1054">
        <v>0.33751029999999999</v>
      </c>
      <c r="Z1054">
        <v>-1.138251E-2</v>
      </c>
      <c r="AA1054">
        <v>0.94125309999999995</v>
      </c>
      <c r="AB1054">
        <v>18</v>
      </c>
      <c r="AC1054">
        <v>9.4227999999999899</v>
      </c>
      <c r="AD1054">
        <v>-1.1102228149760001</v>
      </c>
      <c r="AE1054">
        <v>-4.1788999999999898</v>
      </c>
      <c r="AF1054">
        <v>3.5088671162348501</v>
      </c>
      <c r="AG1054">
        <v>-1.1102228149760001</v>
      </c>
      <c r="AH1054">
        <v>9.5664659009620401</v>
      </c>
      <c r="AI1054">
        <v>96.218172899802198</v>
      </c>
      <c r="AJ1054">
        <v>69.857557074612203</v>
      </c>
      <c r="AK1054">
        <v>10.249976242536199</v>
      </c>
      <c r="AL1054">
        <v>83.489009137530601</v>
      </c>
      <c r="AM1054">
        <v>81.634770501507305</v>
      </c>
      <c r="AN1054">
        <v>0.99999995298058897</v>
      </c>
    </row>
    <row r="1055" spans="1:40" x14ac:dyDescent="0.25">
      <c r="A1055" t="str">
        <f>"20190312151244623"</f>
        <v>20190312151244623</v>
      </c>
      <c r="B1055" t="str">
        <f>"1552374764620702"</f>
        <v>1552374764620702</v>
      </c>
      <c r="C1055" t="s">
        <v>40</v>
      </c>
      <c r="D1055">
        <v>4.5130410000000003</v>
      </c>
      <c r="E1055">
        <v>0.5862347</v>
      </c>
      <c r="F1055" t="s">
        <v>42</v>
      </c>
      <c r="G1055">
        <v>-211.04230000000001</v>
      </c>
      <c r="H1055" s="1">
        <v>-4.8471919999999997E-6</v>
      </c>
      <c r="I1055">
        <v>363.8546</v>
      </c>
      <c r="J1055">
        <v>-217.70339999999999</v>
      </c>
      <c r="K1055">
        <v>1.110215</v>
      </c>
      <c r="L1055">
        <v>367.07400000000001</v>
      </c>
      <c r="M1055">
        <v>0.99766960000000005</v>
      </c>
      <c r="N1055">
        <v>0</v>
      </c>
      <c r="O1055">
        <v>-6.6767489999999999E-2</v>
      </c>
      <c r="P1055">
        <v>0.97262910000000002</v>
      </c>
      <c r="Q1055">
        <v>9.9432740000000006E-2</v>
      </c>
      <c r="R1055">
        <v>-0.21001449999999999</v>
      </c>
      <c r="S1055">
        <v>2.842438</v>
      </c>
      <c r="T1055">
        <v>-0.46182040000000002</v>
      </c>
      <c r="U1055">
        <v>-1.3443909999999999</v>
      </c>
      <c r="V1055">
        <v>0.14472860000000001</v>
      </c>
      <c r="W1055">
        <v>0.1130854</v>
      </c>
      <c r="X1055">
        <v>0.98298790000000003</v>
      </c>
      <c r="Y1055">
        <v>0.36308760000000001</v>
      </c>
      <c r="Z1055">
        <v>-1.7651139999999999E-2</v>
      </c>
      <c r="AA1055">
        <v>0.93158779999999997</v>
      </c>
      <c r="AB1055">
        <v>18</v>
      </c>
      <c r="AC1055">
        <v>6.66109999999997</v>
      </c>
      <c r="AD1055">
        <v>-1.110219847192</v>
      </c>
      <c r="AE1055">
        <v>-3.2193999999999998</v>
      </c>
      <c r="AF1055">
        <v>2.7064779034370199</v>
      </c>
      <c r="AG1055">
        <v>-1.110219847192</v>
      </c>
      <c r="AH1055">
        <v>6.7100991021554597</v>
      </c>
      <c r="AI1055">
        <v>98.723629300853503</v>
      </c>
      <c r="AJ1055">
        <v>68.033613573888701</v>
      </c>
      <c r="AK1055">
        <v>7.3200437643254199</v>
      </c>
      <c r="AL1055">
        <v>83.506793489208803</v>
      </c>
      <c r="AM1055">
        <v>81.624326256044696</v>
      </c>
      <c r="AN1055">
        <v>0.99999994344876297</v>
      </c>
    </row>
    <row r="1056" spans="1:40" x14ac:dyDescent="0.25">
      <c r="A1056" t="str">
        <f>"20190312151244639"</f>
        <v>20190312151244639</v>
      </c>
      <c r="B1056" t="str">
        <f>"1552374764630463"</f>
        <v>1552374764630463</v>
      </c>
      <c r="C1056" t="s">
        <v>40</v>
      </c>
      <c r="D1056">
        <v>4.5265769999999996</v>
      </c>
      <c r="E1056">
        <v>0.58607159999999903</v>
      </c>
      <c r="F1056" t="s">
        <v>42</v>
      </c>
      <c r="G1056">
        <v>-210.7561</v>
      </c>
      <c r="H1056" s="1">
        <v>-4.9806259999999997E-6</v>
      </c>
      <c r="I1056">
        <v>363.7946</v>
      </c>
      <c r="J1056">
        <v>-217.58009999999999</v>
      </c>
      <c r="K1056">
        <v>1.1102110000000001</v>
      </c>
      <c r="L1056">
        <v>367.06490000000002</v>
      </c>
      <c r="M1056">
        <v>0.99762390000000001</v>
      </c>
      <c r="N1056">
        <v>0</v>
      </c>
      <c r="O1056">
        <v>-6.7448229999999998E-2</v>
      </c>
      <c r="P1056">
        <v>0.9724334</v>
      </c>
      <c r="Q1056">
        <v>9.9360699999999996E-2</v>
      </c>
      <c r="R1056">
        <v>-0.2109519</v>
      </c>
      <c r="S1056">
        <v>2.8412480000000002</v>
      </c>
      <c r="T1056">
        <v>-0.45404220000000001</v>
      </c>
      <c r="U1056">
        <v>-1.341156</v>
      </c>
      <c r="V1056">
        <v>0.14500539999999901</v>
      </c>
      <c r="W1056">
        <v>0.1130101</v>
      </c>
      <c r="X1056">
        <v>0.98295580000000005</v>
      </c>
      <c r="Y1056">
        <v>0.36185689999999998</v>
      </c>
      <c r="Z1056">
        <v>-1.717277E-2</v>
      </c>
      <c r="AA1056">
        <v>0.9320754</v>
      </c>
      <c r="AB1056">
        <v>17</v>
      </c>
      <c r="AC1056">
        <v>6.8239999999999803</v>
      </c>
      <c r="AD1056">
        <v>-1.1102159806259999</v>
      </c>
      <c r="AE1056">
        <v>-3.2703000000000202</v>
      </c>
      <c r="AF1056">
        <v>2.7434847947633201</v>
      </c>
      <c r="AG1056">
        <v>-1.1102159806259999</v>
      </c>
      <c r="AH1056">
        <v>6.8809403967996303</v>
      </c>
      <c r="AI1056">
        <v>98.523660019453899</v>
      </c>
      <c r="AJ1056">
        <v>68.262443117190003</v>
      </c>
      <c r="AK1056">
        <v>7.4904358409270104</v>
      </c>
      <c r="AL1056">
        <v>83.511135914100393</v>
      </c>
      <c r="AM1056">
        <v>81.608265143933394</v>
      </c>
      <c r="AN1056">
        <v>0.99999997674240404</v>
      </c>
    </row>
    <row r="1057" spans="1:40" x14ac:dyDescent="0.25">
      <c r="A1057" t="str">
        <f>"20190312151244657"</f>
        <v>20190312151244657</v>
      </c>
      <c r="B1057" t="str">
        <f>"1552374764650958"</f>
        <v>1552374764650958</v>
      </c>
      <c r="C1057" t="s">
        <v>40</v>
      </c>
      <c r="D1057">
        <v>4.4991669999999999</v>
      </c>
      <c r="E1057">
        <v>0.58649929999999995</v>
      </c>
      <c r="F1057" t="s">
        <v>42</v>
      </c>
      <c r="G1057">
        <v>-210.5993</v>
      </c>
      <c r="H1057" s="1">
        <v>-5.0531989999999999E-6</v>
      </c>
      <c r="I1057">
        <v>363.76459999999997</v>
      </c>
      <c r="J1057">
        <v>-217.43430000000001</v>
      </c>
      <c r="K1057">
        <v>1.110212</v>
      </c>
      <c r="L1057">
        <v>367.05410000000001</v>
      </c>
      <c r="M1057">
        <v>0.99756909999999999</v>
      </c>
      <c r="N1057">
        <v>0</v>
      </c>
      <c r="O1057">
        <v>-6.8255449999999995E-2</v>
      </c>
      <c r="P1057">
        <v>0.97212310000000002</v>
      </c>
      <c r="Q1057">
        <v>9.9322850000000004E-2</v>
      </c>
      <c r="R1057">
        <v>-0.21239540000000001</v>
      </c>
      <c r="S1057">
        <v>2.8399049999999999</v>
      </c>
      <c r="T1057">
        <v>-0.45165260000000002</v>
      </c>
      <c r="U1057">
        <v>-1.342651</v>
      </c>
      <c r="V1057">
        <v>0.14566989999999999</v>
      </c>
      <c r="W1057">
        <v>0.112966899999999</v>
      </c>
      <c r="X1057">
        <v>0.98286249999999997</v>
      </c>
      <c r="Y1057">
        <v>0.3617148</v>
      </c>
      <c r="Z1057">
        <v>-1.6958020000000001E-2</v>
      </c>
      <c r="AA1057">
        <v>0.93213460000000004</v>
      </c>
      <c r="AB1057">
        <v>17</v>
      </c>
      <c r="AC1057">
        <v>6.835</v>
      </c>
      <c r="AD1057">
        <v>-1.1102170531990001</v>
      </c>
      <c r="AE1057">
        <v>-3.2895000000000301</v>
      </c>
      <c r="AF1057">
        <v>2.7562113282640199</v>
      </c>
      <c r="AG1057">
        <v>-1.1102170531990001</v>
      </c>
      <c r="AH1057">
        <v>6.8958814025979196</v>
      </c>
      <c r="AI1057">
        <v>98.502638230373407</v>
      </c>
      <c r="AJ1057">
        <v>68.213929096435393</v>
      </c>
      <c r="AK1057">
        <v>7.50882568115418</v>
      </c>
      <c r="AL1057">
        <v>83.513626981377598</v>
      </c>
      <c r="AM1057">
        <v>81.569571889526401</v>
      </c>
      <c r="AN1057">
        <v>0.99999996708393402</v>
      </c>
    </row>
    <row r="1058" spans="1:40" x14ac:dyDescent="0.25">
      <c r="A1058" t="str">
        <f>"20190312151244681"</f>
        <v>20190312151244681</v>
      </c>
      <c r="B1058" t="str">
        <f>"1552374764670479"</f>
        <v>1552374764670479</v>
      </c>
      <c r="C1058" t="s">
        <v>40</v>
      </c>
      <c r="D1058">
        <v>5.3243859999999996</v>
      </c>
      <c r="E1058">
        <v>0.58670690000000003</v>
      </c>
      <c r="F1058" t="s">
        <v>42</v>
      </c>
      <c r="G1058">
        <v>-210.452</v>
      </c>
      <c r="H1058" s="1">
        <v>-5.1222249999999999E-6</v>
      </c>
      <c r="I1058">
        <v>363.73180000000002</v>
      </c>
      <c r="J1058">
        <v>-217.25839999999999</v>
      </c>
      <c r="K1058">
        <v>1.110215</v>
      </c>
      <c r="L1058">
        <v>367.04090000000002</v>
      </c>
      <c r="M1058">
        <v>0.99750139999999998</v>
      </c>
      <c r="N1058">
        <v>0</v>
      </c>
      <c r="O1058">
        <v>-6.9237809999999997E-2</v>
      </c>
      <c r="P1058">
        <v>0.97166370000000002</v>
      </c>
      <c r="Q1058">
        <v>9.9381919999999999E-2</v>
      </c>
      <c r="R1058">
        <v>-0.2144588</v>
      </c>
      <c r="S1058">
        <v>2.8371729999999999</v>
      </c>
      <c r="T1058">
        <v>-0.45111699999999999</v>
      </c>
      <c r="U1058">
        <v>-1.3499760000000001</v>
      </c>
      <c r="V1058">
        <v>0.14679159999999999</v>
      </c>
      <c r="W1058">
        <v>0.1130172</v>
      </c>
      <c r="X1058">
        <v>0.98268990000000001</v>
      </c>
      <c r="Y1058">
        <v>0.36311019999999999</v>
      </c>
      <c r="Z1058">
        <v>-1.6902830000000001E-2</v>
      </c>
      <c r="AA1058">
        <v>0.9315928</v>
      </c>
      <c r="AB1058">
        <v>17</v>
      </c>
      <c r="AC1058">
        <v>6.8063999999999902</v>
      </c>
      <c r="AD1058">
        <v>-1.1102201222250001</v>
      </c>
      <c r="AE1058">
        <v>-3.3090999999999999</v>
      </c>
      <c r="AF1058">
        <v>2.7702358764529502</v>
      </c>
      <c r="AG1058">
        <v>-1.1102201222250001</v>
      </c>
      <c r="AH1058">
        <v>6.8713310920495303</v>
      </c>
      <c r="AI1058">
        <v>98.522517067547298</v>
      </c>
      <c r="AJ1058">
        <v>68.042750668493397</v>
      </c>
      <c r="AK1058">
        <v>7.4914609060948099</v>
      </c>
      <c r="AL1058">
        <v>83.510726971387896</v>
      </c>
      <c r="AM1058">
        <v>81.5041285099162</v>
      </c>
      <c r="AN1058">
        <v>1.0000000504441999</v>
      </c>
    </row>
    <row r="1059" spans="1:40" x14ac:dyDescent="0.25">
      <c r="A1059" t="str">
        <f>"20190312151244702"</f>
        <v>20190312151244702</v>
      </c>
      <c r="B1059" t="str">
        <f>"1552374764690975"</f>
        <v>1552374764690975</v>
      </c>
      <c r="C1059" t="s">
        <v>40</v>
      </c>
      <c r="D1059">
        <v>4.5213409999999996</v>
      </c>
      <c r="E1059">
        <v>0.58558750000000004</v>
      </c>
      <c r="F1059" t="s">
        <v>42</v>
      </c>
      <c r="G1059">
        <v>-210.26300000000001</v>
      </c>
      <c r="H1059" s="1">
        <v>-5.2106620000000002E-6</v>
      </c>
      <c r="I1059">
        <v>363.69029999999998</v>
      </c>
      <c r="J1059">
        <v>-217.0915</v>
      </c>
      <c r="K1059">
        <v>1.1102110000000001</v>
      </c>
      <c r="L1059">
        <v>367.02820000000003</v>
      </c>
      <c r="M1059">
        <v>0.99743519999999997</v>
      </c>
      <c r="N1059">
        <v>0</v>
      </c>
      <c r="O1059">
        <v>-7.0186059999999995E-2</v>
      </c>
      <c r="P1059">
        <v>0.97128460000000005</v>
      </c>
      <c r="Q1059">
        <v>9.9396010000000007E-2</v>
      </c>
      <c r="R1059">
        <v>-0.2161633</v>
      </c>
      <c r="S1059">
        <v>2.8338930000000002</v>
      </c>
      <c r="T1059">
        <v>-0.44975670000000001</v>
      </c>
      <c r="U1059">
        <v>-1.357361</v>
      </c>
      <c r="V1059">
        <v>0.14758479999999999</v>
      </c>
      <c r="W1059">
        <v>0.11302189999999999</v>
      </c>
      <c r="X1059">
        <v>0.98257050000000001</v>
      </c>
      <c r="Y1059">
        <v>0.36463060000000003</v>
      </c>
      <c r="Z1059">
        <v>-1.6834419999999999E-2</v>
      </c>
      <c r="AA1059">
        <v>0.9310001</v>
      </c>
      <c r="AB1059">
        <v>17</v>
      </c>
      <c r="AC1059">
        <v>6.8284999999999902</v>
      </c>
      <c r="AD1059">
        <v>-1.1102162106619999</v>
      </c>
      <c r="AE1059">
        <v>-3.3379000000000398</v>
      </c>
      <c r="AF1059">
        <v>2.7908094410242099</v>
      </c>
      <c r="AG1059">
        <v>-1.1102162106619999</v>
      </c>
      <c r="AH1059">
        <v>6.89876222010363</v>
      </c>
      <c r="AI1059">
        <v>98.485089742982098</v>
      </c>
      <c r="AJ1059">
        <v>67.974811299544498</v>
      </c>
      <c r="AK1059">
        <v>7.52423534587109</v>
      </c>
      <c r="AL1059">
        <v>83.510455650288904</v>
      </c>
      <c r="AM1059">
        <v>81.457873129840493</v>
      </c>
      <c r="AN1059">
        <v>1.0000000052704401</v>
      </c>
    </row>
    <row r="1060" spans="1:40" x14ac:dyDescent="0.25">
      <c r="A1060" t="str">
        <f>"20190312151244724"</f>
        <v>20190312151244724</v>
      </c>
      <c r="B1060" t="str">
        <f>"1552374764721231"</f>
        <v>1552374764721231</v>
      </c>
      <c r="C1060" t="s">
        <v>40</v>
      </c>
      <c r="D1060">
        <v>4.469417</v>
      </c>
      <c r="E1060">
        <v>0.58844649999999998</v>
      </c>
      <c r="F1060" t="s">
        <v>51</v>
      </c>
      <c r="G1060">
        <v>-205.82689999999999</v>
      </c>
      <c r="H1060" s="1">
        <v>-5.1058619999999999E-6</v>
      </c>
      <c r="I1060">
        <v>361.65260000000001</v>
      </c>
      <c r="J1060">
        <v>-216.92330000000001</v>
      </c>
      <c r="K1060">
        <v>1.1101970000000001</v>
      </c>
      <c r="L1060">
        <v>367.01519999999999</v>
      </c>
      <c r="M1060">
        <v>0.99736539999999996</v>
      </c>
      <c r="N1060">
        <v>0</v>
      </c>
      <c r="O1060">
        <v>-7.1173730000000004E-2</v>
      </c>
      <c r="P1060">
        <v>0.97093739999999995</v>
      </c>
      <c r="Q1060">
        <v>9.9390249999999999E-2</v>
      </c>
      <c r="R1060">
        <v>-0.21772069999999999</v>
      </c>
      <c r="S1060">
        <v>2.817841</v>
      </c>
      <c r="T1060">
        <v>-0.2777193</v>
      </c>
      <c r="U1060">
        <v>-1.3446959999999999</v>
      </c>
      <c r="V1060">
        <v>0.14819299999999999</v>
      </c>
      <c r="W1060">
        <v>0.1130039</v>
      </c>
      <c r="X1060">
        <v>0.98248100000000005</v>
      </c>
      <c r="Y1060">
        <v>0.3642011</v>
      </c>
      <c r="Z1060">
        <v>-1.038099E-2</v>
      </c>
      <c r="AA1060">
        <v>0.93126249999999999</v>
      </c>
      <c r="AB1060">
        <v>17</v>
      </c>
      <c r="AC1060">
        <v>11.096399999999999</v>
      </c>
      <c r="AD1060">
        <v>-1.110202105862</v>
      </c>
      <c r="AE1060">
        <v>-5.36259999999998</v>
      </c>
      <c r="AF1060">
        <v>4.5224485033240596</v>
      </c>
      <c r="AG1060">
        <v>-1.110202105862</v>
      </c>
      <c r="AH1060">
        <v>11.357799890952499</v>
      </c>
      <c r="AI1060">
        <v>95.189003172959602</v>
      </c>
      <c r="AJ1060">
        <v>68.288543114597999</v>
      </c>
      <c r="AK1060">
        <v>12.275369955484001</v>
      </c>
      <c r="AL1060">
        <v>83.511493465998697</v>
      </c>
      <c r="AM1060">
        <v>81.422423636212898</v>
      </c>
      <c r="AN1060">
        <v>0.99999998101260401</v>
      </c>
    </row>
    <row r="1061" spans="1:40" x14ac:dyDescent="0.25">
      <c r="A1061" t="str">
        <f>"20190312151244747"</f>
        <v>20190312151244747</v>
      </c>
      <c r="B1061" t="str">
        <f>"1552374764740751"</f>
        <v>1552374764740751</v>
      </c>
      <c r="C1061" t="s">
        <v>40</v>
      </c>
      <c r="D1061">
        <v>4.7664330000000001</v>
      </c>
      <c r="E1061">
        <v>0.588211699999999</v>
      </c>
      <c r="F1061" t="s">
        <v>42</v>
      </c>
      <c r="G1061">
        <v>-210.06450000000001</v>
      </c>
      <c r="H1061" s="1">
        <v>-5.300502E-6</v>
      </c>
      <c r="I1061">
        <v>363.66379999999998</v>
      </c>
      <c r="J1061">
        <v>-216.74690000000001</v>
      </c>
      <c r="K1061">
        <v>1.1101719999999999</v>
      </c>
      <c r="L1061">
        <v>367.00130000000001</v>
      </c>
      <c r="M1061">
        <v>0.99728640000000002</v>
      </c>
      <c r="N1061">
        <v>0</v>
      </c>
      <c r="O1061">
        <v>-7.2271379999999996E-2</v>
      </c>
      <c r="P1061">
        <v>0.97052039999999995</v>
      </c>
      <c r="Q1061">
        <v>0.1000525</v>
      </c>
      <c r="R1061">
        <v>-0.21927170000000001</v>
      </c>
      <c r="S1061">
        <v>2.8269039999999999</v>
      </c>
      <c r="T1061">
        <v>-0.45757389999999998</v>
      </c>
      <c r="U1061">
        <v>-1.381256</v>
      </c>
      <c r="V1061">
        <v>0.14869739999999901</v>
      </c>
      <c r="W1061">
        <v>0.11364730000000001</v>
      </c>
      <c r="X1061">
        <v>0.98233060000000005</v>
      </c>
      <c r="Y1061">
        <v>0.36981540000000002</v>
      </c>
      <c r="Z1061">
        <v>-1.7213320000000001E-2</v>
      </c>
      <c r="AA1061">
        <v>0.92894580000000004</v>
      </c>
      <c r="AB1061">
        <v>17</v>
      </c>
      <c r="AC1061">
        <v>6.6824000000000003</v>
      </c>
      <c r="AD1061">
        <v>-1.1101773005019999</v>
      </c>
      <c r="AE1061">
        <v>-3.3375000000000301</v>
      </c>
      <c r="AF1061">
        <v>2.7842715094296699</v>
      </c>
      <c r="AG1061">
        <v>-1.1101773005019999</v>
      </c>
      <c r="AH1061">
        <v>6.75688969947422</v>
      </c>
      <c r="AI1061">
        <v>98.637839423848902</v>
      </c>
      <c r="AJ1061">
        <v>67.605200484507506</v>
      </c>
      <c r="AK1061">
        <v>7.39190231859381</v>
      </c>
      <c r="AL1061">
        <v>83.474390571602996</v>
      </c>
      <c r="AM1061">
        <v>81.392366908715303</v>
      </c>
      <c r="AN1061">
        <v>1.0000000166302001</v>
      </c>
    </row>
    <row r="1062" spans="1:40" x14ac:dyDescent="0.25">
      <c r="A1062" t="str">
        <f>"20190312151244770"</f>
        <v>20190312151244770</v>
      </c>
      <c r="B1062" t="str">
        <f>"1552374764761247"</f>
        <v>1552374764761247</v>
      </c>
      <c r="C1062" t="s">
        <v>40</v>
      </c>
      <c r="D1062">
        <v>4.5560939999999999</v>
      </c>
      <c r="E1062">
        <v>0.58831669999999903</v>
      </c>
      <c r="F1062" t="s">
        <v>42</v>
      </c>
      <c r="G1062">
        <v>-210.03620000000001</v>
      </c>
      <c r="H1062" s="1">
        <v>-5.3034690000000003E-6</v>
      </c>
      <c r="I1062">
        <v>363.71570000000003</v>
      </c>
      <c r="J1062">
        <v>-216.5745</v>
      </c>
      <c r="K1062">
        <v>1.1101270000000001</v>
      </c>
      <c r="L1062">
        <v>366.98739999999998</v>
      </c>
      <c r="M1062">
        <v>0.99720169999999997</v>
      </c>
      <c r="N1062">
        <v>0</v>
      </c>
      <c r="O1062">
        <v>-7.3430910000000002E-2</v>
      </c>
      <c r="P1062">
        <v>0.97013680000000002</v>
      </c>
      <c r="Q1062">
        <v>0.10095659999999999</v>
      </c>
      <c r="R1062">
        <v>-0.22055069999999999</v>
      </c>
      <c r="S1062">
        <v>2.8266749999999998</v>
      </c>
      <c r="T1062">
        <v>-0.46761799999999998</v>
      </c>
      <c r="U1062">
        <v>-1.383942</v>
      </c>
      <c r="V1062">
        <v>0.14887349999999999</v>
      </c>
      <c r="W1062">
        <v>0.1145265</v>
      </c>
      <c r="X1062">
        <v>0.98220180000000001</v>
      </c>
      <c r="Y1062">
        <v>0.36936059999999998</v>
      </c>
      <c r="Z1062">
        <v>-1.7370770000000001E-2</v>
      </c>
      <c r="AA1062">
        <v>0.92912380000000006</v>
      </c>
      <c r="AB1062">
        <v>17</v>
      </c>
      <c r="AC1062">
        <v>6.5382999999999898</v>
      </c>
      <c r="AD1062">
        <v>-1.110132303469</v>
      </c>
      <c r="AE1062">
        <v>-3.2716999999999499</v>
      </c>
      <c r="AF1062">
        <v>2.71999434874032</v>
      </c>
      <c r="AG1062">
        <v>-1.110132303469</v>
      </c>
      <c r="AH1062">
        <v>6.6085493493429901</v>
      </c>
      <c r="AI1062">
        <v>98.829815755798606</v>
      </c>
      <c r="AJ1062">
        <v>67.628561238624101</v>
      </c>
      <c r="AK1062">
        <v>7.2321288353489903</v>
      </c>
      <c r="AL1062">
        <v>83.423684990431298</v>
      </c>
      <c r="AM1062">
        <v>81.381212879896395</v>
      </c>
      <c r="AN1062">
        <v>1.0000000070638699</v>
      </c>
    </row>
    <row r="1063" spans="1:40" x14ac:dyDescent="0.25">
      <c r="A1063" t="str">
        <f>"20190312151244791"</f>
        <v>20190312151244791</v>
      </c>
      <c r="B1063" t="str">
        <f>"1552374764780767"</f>
        <v>1552374764780767</v>
      </c>
      <c r="C1063" t="s">
        <v>40</v>
      </c>
      <c r="D1063">
        <v>4.529973</v>
      </c>
      <c r="E1063">
        <v>0.5885745</v>
      </c>
      <c r="F1063" t="s">
        <v>51</v>
      </c>
      <c r="G1063">
        <v>-209.9205</v>
      </c>
      <c r="H1063" s="1">
        <v>-6.1798459999999997E-6</v>
      </c>
      <c r="I1063">
        <v>363.71730000000002</v>
      </c>
      <c r="J1063">
        <v>-216.4051</v>
      </c>
      <c r="K1063">
        <v>1.1100760000000001</v>
      </c>
      <c r="L1063">
        <v>366.9735</v>
      </c>
      <c r="M1063">
        <v>0.99711139999999998</v>
      </c>
      <c r="N1063">
        <v>0</v>
      </c>
      <c r="O1063">
        <v>-7.4650270000000005E-2</v>
      </c>
      <c r="P1063">
        <v>0.96969919999999998</v>
      </c>
      <c r="Q1063">
        <v>0.1016123</v>
      </c>
      <c r="R1063">
        <v>-0.22216810000000001</v>
      </c>
      <c r="S1063">
        <v>2.8257289999999999</v>
      </c>
      <c r="T1063">
        <v>-0.47143960000000001</v>
      </c>
      <c r="U1063">
        <v>-1.3887020000000001</v>
      </c>
      <c r="V1063">
        <v>0.14933339999999901</v>
      </c>
      <c r="W1063">
        <v>0.11515649999999999</v>
      </c>
      <c r="X1063">
        <v>0.98205830000000005</v>
      </c>
      <c r="Y1063">
        <v>0.36957030000000002</v>
      </c>
      <c r="Z1063">
        <v>-1.733753E-2</v>
      </c>
      <c r="AA1063">
        <v>0.92904100000000001</v>
      </c>
      <c r="AB1063">
        <v>17</v>
      </c>
      <c r="AC1063">
        <v>6.4846000000000004</v>
      </c>
      <c r="AD1063">
        <v>-1.1100821798459899</v>
      </c>
      <c r="AE1063">
        <v>-3.25619999999997</v>
      </c>
      <c r="AF1063">
        <v>2.6998021627058701</v>
      </c>
      <c r="AG1063">
        <v>-1.1100821798459899</v>
      </c>
      <c r="AH1063">
        <v>6.5561632495603401</v>
      </c>
      <c r="AI1063">
        <v>98.898205123879293</v>
      </c>
      <c r="AJ1063">
        <v>67.618329180186294</v>
      </c>
      <c r="AK1063">
        <v>7.1766629235772603</v>
      </c>
      <c r="AL1063">
        <v>83.387348153482193</v>
      </c>
      <c r="AM1063">
        <v>81.353745247087602</v>
      </c>
      <c r="AN1063">
        <v>0.99999999422334995</v>
      </c>
    </row>
    <row r="1064" spans="1:40" x14ac:dyDescent="0.25">
      <c r="A1064" t="str">
        <f>"20190312151244814"</f>
        <v>20190312151244814</v>
      </c>
      <c r="B1064" t="str">
        <f>"1552374764811025"</f>
        <v>1552374764811025</v>
      </c>
      <c r="C1064" t="s">
        <v>40</v>
      </c>
      <c r="D1064">
        <v>4.53613</v>
      </c>
      <c r="E1064">
        <v>0.58949459999999998</v>
      </c>
      <c r="F1064" t="s">
        <v>51</v>
      </c>
      <c r="G1064">
        <v>-209.7174</v>
      </c>
      <c r="H1064" s="1">
        <v>-6.1195969999999999E-6</v>
      </c>
      <c r="I1064">
        <v>363.6678</v>
      </c>
      <c r="J1064">
        <v>-216.2278</v>
      </c>
      <c r="K1064">
        <v>1.1100110000000001</v>
      </c>
      <c r="L1064">
        <v>366.95850000000002</v>
      </c>
      <c r="M1064">
        <v>0.99700710000000003</v>
      </c>
      <c r="N1064">
        <v>0</v>
      </c>
      <c r="O1064">
        <v>-7.6029120000000006E-2</v>
      </c>
      <c r="P1064">
        <v>0.96903249999999996</v>
      </c>
      <c r="Q1064">
        <v>0.1026213</v>
      </c>
      <c r="R1064">
        <v>-0.22459979999999999</v>
      </c>
      <c r="S1064">
        <v>2.8231350000000002</v>
      </c>
      <c r="T1064">
        <v>-0.46861180000000002</v>
      </c>
      <c r="U1064">
        <v>-1.3954770000000001</v>
      </c>
      <c r="V1064">
        <v>0.15046809999999999</v>
      </c>
      <c r="W1064">
        <v>0.1161336</v>
      </c>
      <c r="X1064">
        <v>0.98177000000000003</v>
      </c>
      <c r="Y1064">
        <v>0.3704617</v>
      </c>
      <c r="Z1064">
        <v>-1.7097250000000001E-2</v>
      </c>
      <c r="AA1064">
        <v>0.92869040000000003</v>
      </c>
      <c r="AB1064">
        <v>17</v>
      </c>
      <c r="AC1064">
        <v>6.5103999999999997</v>
      </c>
      <c r="AD1064">
        <v>-1.1100171195969999</v>
      </c>
      <c r="AE1064">
        <v>-3.29070000000001</v>
      </c>
      <c r="AF1064">
        <v>2.7230933522388301</v>
      </c>
      <c r="AG1064">
        <v>-1.1100171195969999</v>
      </c>
      <c r="AH1064">
        <v>6.5891973355116198</v>
      </c>
      <c r="AI1064">
        <v>98.849277708114599</v>
      </c>
      <c r="AJ1064">
        <v>67.546340273101094</v>
      </c>
      <c r="AK1064">
        <v>7.2156009408169997</v>
      </c>
      <c r="AL1064">
        <v>83.3309863127146</v>
      </c>
      <c r="AM1064">
        <v>81.286532513941594</v>
      </c>
      <c r="AN1064">
        <v>0.99999999753328495</v>
      </c>
    </row>
    <row r="1065" spans="1:40" x14ac:dyDescent="0.25">
      <c r="A1065" t="str">
        <f>"20190312151244836"</f>
        <v>20190312151244836</v>
      </c>
      <c r="B1065" t="str">
        <f>"1552374764830546"</f>
        <v>1552374764830546</v>
      </c>
      <c r="C1065" t="s">
        <v>40</v>
      </c>
      <c r="D1065">
        <v>4.5830900000000003</v>
      </c>
      <c r="E1065">
        <v>0.58995450000000005</v>
      </c>
      <c r="F1065" t="s">
        <v>51</v>
      </c>
      <c r="G1065">
        <v>-209.46559999999999</v>
      </c>
      <c r="H1065" s="1">
        <v>-6.049237E-6</v>
      </c>
      <c r="I1065">
        <v>363.57859999999999</v>
      </c>
      <c r="J1065">
        <v>-216.0599</v>
      </c>
      <c r="K1065">
        <v>1.1099460000000001</v>
      </c>
      <c r="L1065">
        <v>366.94400000000002</v>
      </c>
      <c r="M1065">
        <v>0.99689729999999999</v>
      </c>
      <c r="N1065">
        <v>0</v>
      </c>
      <c r="O1065">
        <v>-7.745639E-2</v>
      </c>
      <c r="P1065">
        <v>0.96829679999999996</v>
      </c>
      <c r="Q1065">
        <v>0.1027322</v>
      </c>
      <c r="R1065">
        <v>-0.22770099999999999</v>
      </c>
      <c r="S1065">
        <v>2.8183750000000001</v>
      </c>
      <c r="T1065">
        <v>-0.46263599999999999</v>
      </c>
      <c r="U1065">
        <v>-1.408722</v>
      </c>
      <c r="V1065">
        <v>0.15222769999999999</v>
      </c>
      <c r="W1065">
        <v>0.1162118</v>
      </c>
      <c r="X1065">
        <v>0.98148950000000001</v>
      </c>
      <c r="Y1065">
        <v>0.37331829999999999</v>
      </c>
      <c r="Z1065">
        <v>-1.689363E-2</v>
      </c>
      <c r="AA1065">
        <v>0.92754950000000003</v>
      </c>
      <c r="AB1065">
        <v>17</v>
      </c>
      <c r="AC1065">
        <v>6.5942999999999996</v>
      </c>
      <c r="AD1065">
        <v>-1.1099520492370001</v>
      </c>
      <c r="AE1065">
        <v>-3.3654000000000202</v>
      </c>
      <c r="AF1065">
        <v>2.7819364154393398</v>
      </c>
      <c r="AG1065">
        <v>-1.1099520492370001</v>
      </c>
      <c r="AH1065">
        <v>6.6849237952738898</v>
      </c>
      <c r="AI1065">
        <v>98.715255051470805</v>
      </c>
      <c r="AJ1065">
        <v>67.405324091876906</v>
      </c>
      <c r="AK1065">
        <v>7.3252556214627802</v>
      </c>
      <c r="AL1065">
        <v>83.326475569059198</v>
      </c>
      <c r="AM1065">
        <v>81.183747273681206</v>
      </c>
      <c r="AN1065">
        <v>1.0000000468583801</v>
      </c>
    </row>
    <row r="1066" spans="1:40" x14ac:dyDescent="0.25">
      <c r="A1066" t="str">
        <f>"20190312151244859"</f>
        <v>20190312151244859</v>
      </c>
      <c r="B1066" t="str">
        <f>"1552374764851039"</f>
        <v>1552374764851039</v>
      </c>
      <c r="C1066" t="s">
        <v>40</v>
      </c>
      <c r="D1066">
        <v>4.5454629999999998</v>
      </c>
      <c r="E1066">
        <v>0.59030280000000002</v>
      </c>
      <c r="F1066" t="s">
        <v>51</v>
      </c>
      <c r="G1066">
        <v>-209.29679999999999</v>
      </c>
      <c r="H1066" s="1">
        <v>-6.0001910000000001E-6</v>
      </c>
      <c r="I1066">
        <v>363.53059999999999</v>
      </c>
      <c r="J1066">
        <v>-215.88990000000001</v>
      </c>
      <c r="K1066">
        <v>1.1098699999999999</v>
      </c>
      <c r="L1066">
        <v>366.92899999999997</v>
      </c>
      <c r="M1066">
        <v>0.99677329999999997</v>
      </c>
      <c r="N1066">
        <v>0</v>
      </c>
      <c r="O1066">
        <v>-7.9038399999999995E-2</v>
      </c>
      <c r="P1066">
        <v>0.96762429999999999</v>
      </c>
      <c r="Q1066">
        <v>0.1023167</v>
      </c>
      <c r="R1066">
        <v>-0.2307273</v>
      </c>
      <c r="S1066">
        <v>2.8133089999999998</v>
      </c>
      <c r="T1066">
        <v>-0.46171519999999999</v>
      </c>
      <c r="U1066">
        <v>-1.419891</v>
      </c>
      <c r="V1066">
        <v>0.15375649999999999</v>
      </c>
      <c r="W1066">
        <v>0.1157628</v>
      </c>
      <c r="X1066">
        <v>0.98130419999999996</v>
      </c>
      <c r="Y1066">
        <v>0.37545840000000003</v>
      </c>
      <c r="Z1066">
        <v>-1.6797679999999999E-2</v>
      </c>
      <c r="AA1066">
        <v>0.92668709999999999</v>
      </c>
      <c r="AB1066">
        <v>17</v>
      </c>
      <c r="AC1066">
        <v>6.5931000000000202</v>
      </c>
      <c r="AD1066">
        <v>-1.109876000191</v>
      </c>
      <c r="AE1066">
        <v>-3.3984000000000298</v>
      </c>
      <c r="AF1066">
        <v>2.80383090424731</v>
      </c>
      <c r="AG1066">
        <v>-1.109876000191</v>
      </c>
      <c r="AH1066">
        <v>6.6912861181611403</v>
      </c>
      <c r="AI1066">
        <v>98.697743644971098</v>
      </c>
      <c r="AJ1066">
        <v>67.264990167457597</v>
      </c>
      <c r="AK1066">
        <v>7.3393870582296099</v>
      </c>
      <c r="AL1066">
        <v>83.352375938364005</v>
      </c>
      <c r="AM1066">
        <v>81.094964266121806</v>
      </c>
      <c r="AN1066">
        <v>1.00000001004686</v>
      </c>
    </row>
    <row r="1067" spans="1:40" x14ac:dyDescent="0.25">
      <c r="A1067" t="str">
        <f>"20190312151244881"</f>
        <v>20190312151244881</v>
      </c>
      <c r="B1067" t="str">
        <f>"1552374764870559"</f>
        <v>1552374764870559</v>
      </c>
      <c r="C1067" t="s">
        <v>40</v>
      </c>
      <c r="D1067">
        <v>4.5426699999999904</v>
      </c>
      <c r="E1067">
        <v>0.59055459999999904</v>
      </c>
      <c r="F1067" t="s">
        <v>51</v>
      </c>
      <c r="G1067">
        <v>-209.16300000000001</v>
      </c>
      <c r="H1067" s="1">
        <v>-5.9599350000000002E-6</v>
      </c>
      <c r="I1067">
        <v>363.5018</v>
      </c>
      <c r="J1067">
        <v>-215.71889999999999</v>
      </c>
      <c r="K1067">
        <v>1.109782</v>
      </c>
      <c r="L1067">
        <v>366.91340000000002</v>
      </c>
      <c r="M1067">
        <v>0.99663420000000003</v>
      </c>
      <c r="N1067">
        <v>0</v>
      </c>
      <c r="O1067">
        <v>-8.0772189999999994E-2</v>
      </c>
      <c r="P1067">
        <v>0.96695489999999995</v>
      </c>
      <c r="Q1067">
        <v>0.1013574</v>
      </c>
      <c r="R1067">
        <v>-0.2339338</v>
      </c>
      <c r="S1067">
        <v>2.8081969999999998</v>
      </c>
      <c r="T1067">
        <v>-0.46332980000000001</v>
      </c>
      <c r="U1067">
        <v>-1.4306950000000001</v>
      </c>
      <c r="V1067">
        <v>0.15531619999999999</v>
      </c>
      <c r="W1067">
        <v>0.114769</v>
      </c>
      <c r="X1067">
        <v>0.98117529999999997</v>
      </c>
      <c r="Y1067">
        <v>0.37733440000000001</v>
      </c>
      <c r="Z1067">
        <v>-1.674981E-2</v>
      </c>
      <c r="AA1067">
        <v>0.92592560000000002</v>
      </c>
      <c r="AB1067">
        <v>17</v>
      </c>
      <c r="AC1067">
        <v>6.5559000000000003</v>
      </c>
      <c r="AD1067">
        <v>-1.109787959935</v>
      </c>
      <c r="AE1067">
        <v>-3.4116000000000199</v>
      </c>
      <c r="AF1067">
        <v>2.8075553128975801</v>
      </c>
      <c r="AG1067">
        <v>-1.109787959935</v>
      </c>
      <c r="AH1067">
        <v>6.6598870565189801</v>
      </c>
      <c r="AI1067">
        <v>98.729650982358905</v>
      </c>
      <c r="AJ1067">
        <v>67.141560503938294</v>
      </c>
      <c r="AK1067">
        <v>7.3121878912255198</v>
      </c>
      <c r="AL1067">
        <v>83.409698542021104</v>
      </c>
      <c r="AM1067">
        <v>81.004939064142405</v>
      </c>
      <c r="AN1067">
        <v>1.0000000073367601</v>
      </c>
    </row>
    <row r="1068" spans="1:40" x14ac:dyDescent="0.25">
      <c r="A1068" t="str">
        <f>"20190312151244902"</f>
        <v>20190312151244902</v>
      </c>
      <c r="B1068" t="str">
        <f>"1552374764891055"</f>
        <v>1552374764891055</v>
      </c>
      <c r="C1068" t="s">
        <v>40</v>
      </c>
      <c r="D1068">
        <v>4.5566420000000001</v>
      </c>
      <c r="E1068">
        <v>0.59085969999999999</v>
      </c>
      <c r="F1068" t="s">
        <v>51</v>
      </c>
      <c r="G1068">
        <v>-209.04990000000001</v>
      </c>
      <c r="H1068" s="1">
        <v>-5.9250199999999997E-6</v>
      </c>
      <c r="I1068">
        <v>363.483</v>
      </c>
      <c r="J1068">
        <v>-215.55770000000001</v>
      </c>
      <c r="K1068">
        <v>1.1097049999999999</v>
      </c>
      <c r="L1068">
        <v>366.89830000000001</v>
      </c>
      <c r="M1068">
        <v>0.99648950000000003</v>
      </c>
      <c r="N1068">
        <v>0</v>
      </c>
      <c r="O1068">
        <v>-8.253779E-2</v>
      </c>
      <c r="P1068">
        <v>0.96629980000000004</v>
      </c>
      <c r="Q1068">
        <v>0.10048600000000001</v>
      </c>
      <c r="R1068">
        <v>-0.23699690000000001</v>
      </c>
      <c r="S1068">
        <v>2.802673</v>
      </c>
      <c r="T1068">
        <v>-0.46639320000000001</v>
      </c>
      <c r="U1068">
        <v>-1.4416500000000001</v>
      </c>
      <c r="V1068">
        <v>0.15670039999999999</v>
      </c>
      <c r="W1068">
        <v>0.1138642</v>
      </c>
      <c r="X1068">
        <v>0.98106059999999995</v>
      </c>
      <c r="Y1068">
        <v>0.37925300000000001</v>
      </c>
      <c r="Z1068">
        <v>-1.6752889999999999E-2</v>
      </c>
      <c r="AA1068">
        <v>0.92514130000000006</v>
      </c>
      <c r="AB1068">
        <v>17</v>
      </c>
      <c r="AC1068">
        <v>6.5077999999999996</v>
      </c>
      <c r="AD1068">
        <v>-1.1097109250199999</v>
      </c>
      <c r="AE1068">
        <v>-3.4152999999999998</v>
      </c>
      <c r="AF1068">
        <v>2.8025592174770599</v>
      </c>
      <c r="AG1068">
        <v>-1.1097109250199999</v>
      </c>
      <c r="AH1068">
        <v>6.6166619801116102</v>
      </c>
      <c r="AI1068">
        <v>98.778996563839002</v>
      </c>
      <c r="AJ1068">
        <v>67.044384367556106</v>
      </c>
      <c r="AK1068">
        <v>7.2709017503765496</v>
      </c>
      <c r="AL1068">
        <v>83.461881720146593</v>
      </c>
      <c r="AM1068">
        <v>80.925058555723993</v>
      </c>
      <c r="AN1068">
        <v>0.99999998613707897</v>
      </c>
    </row>
    <row r="1069" spans="1:40" x14ac:dyDescent="0.25">
      <c r="A1069" t="str">
        <f>"20190312151244925"</f>
        <v>20190312151244925</v>
      </c>
      <c r="B1069" t="str">
        <f>"1552374764920338"</f>
        <v>1552374764920338</v>
      </c>
      <c r="C1069" t="s">
        <v>40</v>
      </c>
      <c r="D1069">
        <v>4.5778879999999997</v>
      </c>
      <c r="E1069">
        <v>0.59141619999999995</v>
      </c>
      <c r="F1069" t="s">
        <v>51</v>
      </c>
      <c r="G1069">
        <v>-208.9211</v>
      </c>
      <c r="H1069" s="1">
        <v>-5.8868400000000004E-6</v>
      </c>
      <c r="I1069">
        <v>363.45119999999997</v>
      </c>
      <c r="J1069">
        <v>-215.3871</v>
      </c>
      <c r="K1069">
        <v>1.1096239999999999</v>
      </c>
      <c r="L1069">
        <v>366.8818</v>
      </c>
      <c r="M1069">
        <v>0.99632200000000004</v>
      </c>
      <c r="N1069">
        <v>0</v>
      </c>
      <c r="O1069">
        <v>-8.4536109999999998E-2</v>
      </c>
      <c r="P1069">
        <v>0.9656207</v>
      </c>
      <c r="Q1069">
        <v>0.1000137</v>
      </c>
      <c r="R1069">
        <v>-0.23994570000000001</v>
      </c>
      <c r="S1069">
        <v>2.796967</v>
      </c>
      <c r="T1069">
        <v>-0.46767769999999997</v>
      </c>
      <c r="U1069">
        <v>-1.452728</v>
      </c>
      <c r="V1069">
        <v>0.15774540000000001</v>
      </c>
      <c r="W1069">
        <v>0.11335870000000001</v>
      </c>
      <c r="X1069">
        <v>0.98095169999999998</v>
      </c>
      <c r="Y1069">
        <v>0.3810383</v>
      </c>
      <c r="Z1069">
        <v>-1.6646080000000001E-2</v>
      </c>
      <c r="AA1069">
        <v>0.92440940000000005</v>
      </c>
      <c r="AB1069">
        <v>17</v>
      </c>
      <c r="AC1069">
        <v>6.4660000000000002</v>
      </c>
      <c r="AD1069">
        <v>-1.1096298868400001</v>
      </c>
      <c r="AE1069">
        <v>-3.4306000000000201</v>
      </c>
      <c r="AF1069">
        <v>2.80714250806952</v>
      </c>
      <c r="AG1069">
        <v>-1.1096298868400001</v>
      </c>
      <c r="AH1069">
        <v>6.5816355029520102</v>
      </c>
      <c r="AI1069">
        <v>98.815128368982599</v>
      </c>
      <c r="AJ1069">
        <v>66.901200088444696</v>
      </c>
      <c r="AK1069">
        <v>7.2408047508614501</v>
      </c>
      <c r="AL1069">
        <v>83.4910337214436</v>
      </c>
      <c r="AM1069">
        <v>80.8645598057755</v>
      </c>
      <c r="AN1069">
        <v>1.0000000219098599</v>
      </c>
    </row>
    <row r="1070" spans="1:40" x14ac:dyDescent="0.25">
      <c r="A1070" t="str">
        <f>"20190312151244947"</f>
        <v>20190312151244947</v>
      </c>
      <c r="B1070" t="str">
        <f>"1552374764940831"</f>
        <v>1552374764940831</v>
      </c>
      <c r="C1070" t="s">
        <v>40</v>
      </c>
      <c r="D1070">
        <v>4.8350609999999996</v>
      </c>
      <c r="E1070">
        <v>0.5915395</v>
      </c>
      <c r="F1070" t="s">
        <v>51</v>
      </c>
      <c r="G1070">
        <v>-208.7679</v>
      </c>
      <c r="H1070" s="1">
        <v>-5.8426599999999997E-6</v>
      </c>
      <c r="I1070">
        <v>363.40589999999997</v>
      </c>
      <c r="J1070">
        <v>-215.22059999999999</v>
      </c>
      <c r="K1070">
        <v>1.109556</v>
      </c>
      <c r="L1070">
        <v>366.86520000000002</v>
      </c>
      <c r="M1070">
        <v>0.99614270000000005</v>
      </c>
      <c r="N1070">
        <v>0</v>
      </c>
      <c r="O1070">
        <v>-8.6622080000000004E-2</v>
      </c>
      <c r="P1070">
        <v>0.96491210000000005</v>
      </c>
      <c r="Q1070">
        <v>9.9626939999999997E-2</v>
      </c>
      <c r="R1070">
        <v>-0.2429394</v>
      </c>
      <c r="S1070">
        <v>2.791061</v>
      </c>
      <c r="T1070">
        <v>-0.46789239999999999</v>
      </c>
      <c r="U1070">
        <v>-1.465668</v>
      </c>
      <c r="V1070">
        <v>0.15874829999999901</v>
      </c>
      <c r="W1070">
        <v>0.1129428</v>
      </c>
      <c r="X1070">
        <v>0.98083790000000004</v>
      </c>
      <c r="Y1070">
        <v>0.3832622</v>
      </c>
      <c r="Z1070">
        <v>-1.6520440000000001E-2</v>
      </c>
      <c r="AA1070">
        <v>0.92349179999999997</v>
      </c>
      <c r="AB1070">
        <v>17</v>
      </c>
      <c r="AC1070">
        <v>6.4526999999999903</v>
      </c>
      <c r="AD1070">
        <v>-1.10956184266</v>
      </c>
      <c r="AE1070">
        <v>-3.4593000000000398</v>
      </c>
      <c r="AF1070">
        <v>2.82246981761452</v>
      </c>
      <c r="AG1070">
        <v>-1.10956184266</v>
      </c>
      <c r="AH1070">
        <v>6.5770665179084098</v>
      </c>
      <c r="AI1070">
        <v>98.812380143996805</v>
      </c>
      <c r="AJ1070">
        <v>66.773985437707694</v>
      </c>
      <c r="AK1070">
        <v>7.2426008681290597</v>
      </c>
      <c r="AL1070">
        <v>83.515017194613193</v>
      </c>
      <c r="AM1070">
        <v>80.806419495301199</v>
      </c>
      <c r="AN1070">
        <v>1.00000004245056</v>
      </c>
    </row>
    <row r="1071" spans="1:40" x14ac:dyDescent="0.25">
      <c r="A1071" t="str">
        <f>"20190312151244970"</f>
        <v>20190312151244970</v>
      </c>
      <c r="B1071" t="str">
        <f>"1552374764960351"</f>
        <v>1552374764960351</v>
      </c>
      <c r="C1071" t="s">
        <v>40</v>
      </c>
      <c r="D1071">
        <v>4.5713210000000002</v>
      </c>
      <c r="E1071">
        <v>0.59555539999999996</v>
      </c>
      <c r="F1071" t="s">
        <v>51</v>
      </c>
      <c r="G1071">
        <v>-208.6172</v>
      </c>
      <c r="H1071" s="1">
        <v>-5.7983390000000001E-6</v>
      </c>
      <c r="I1071">
        <v>363.36660000000001</v>
      </c>
      <c r="J1071">
        <v>-215.04589999999999</v>
      </c>
      <c r="K1071">
        <v>1.10949599999999</v>
      </c>
      <c r="L1071">
        <v>366.84730000000002</v>
      </c>
      <c r="M1071">
        <v>0.99593830000000005</v>
      </c>
      <c r="N1071">
        <v>0</v>
      </c>
      <c r="O1071">
        <v>-8.8941980000000004E-2</v>
      </c>
      <c r="P1071">
        <v>0.96417730000000001</v>
      </c>
      <c r="Q1071">
        <v>9.9228869999999997E-2</v>
      </c>
      <c r="R1071">
        <v>-0.24599979999999999</v>
      </c>
      <c r="S1071">
        <v>2.7858429999999998</v>
      </c>
      <c r="T1071">
        <v>-0.46810390000000002</v>
      </c>
      <c r="U1071">
        <v>-1.475983</v>
      </c>
      <c r="V1071">
        <v>0.15958789999999901</v>
      </c>
      <c r="W1071">
        <v>0.1125201</v>
      </c>
      <c r="X1071">
        <v>0.98075020000000002</v>
      </c>
      <c r="Y1071">
        <v>0.3845055</v>
      </c>
      <c r="Z1071">
        <v>-1.6281E-2</v>
      </c>
      <c r="AA1071">
        <v>0.92297910000000005</v>
      </c>
      <c r="AB1071">
        <v>17</v>
      </c>
      <c r="AC1071">
        <v>6.4286999999999903</v>
      </c>
      <c r="AD1071">
        <v>-1.1095017983390001</v>
      </c>
      <c r="AE1071">
        <v>-3.4807000000000099</v>
      </c>
      <c r="AF1071">
        <v>2.8298828532962199</v>
      </c>
      <c r="AG1071">
        <v>-1.1095017983390001</v>
      </c>
      <c r="AH1071">
        <v>6.5616883614116697</v>
      </c>
      <c r="AI1071">
        <v>98.825500843758306</v>
      </c>
      <c r="AJ1071">
        <v>66.670739598964104</v>
      </c>
      <c r="AK1071">
        <v>7.2315271800763403</v>
      </c>
      <c r="AL1071">
        <v>83.5393913013028</v>
      </c>
      <c r="AM1071">
        <v>80.757820456799607</v>
      </c>
      <c r="AN1071">
        <v>1.00000001276523</v>
      </c>
    </row>
    <row r="1072" spans="1:40" x14ac:dyDescent="0.25">
      <c r="A1072" t="str">
        <f>"20190312151244992"</f>
        <v>20190312151244992</v>
      </c>
      <c r="B1072" t="str">
        <f>"1552374764980848"</f>
        <v>1552374764980848</v>
      </c>
      <c r="C1072" t="s">
        <v>40</v>
      </c>
      <c r="D1072">
        <v>4.5801920000000003</v>
      </c>
      <c r="E1072">
        <v>0.59516449999999999</v>
      </c>
      <c r="F1072" t="s">
        <v>51</v>
      </c>
      <c r="G1072">
        <v>-204.96899999999999</v>
      </c>
      <c r="H1072" s="1">
        <v>-4.7748469999999998E-6</v>
      </c>
      <c r="I1072">
        <v>361.33800000000002</v>
      </c>
      <c r="J1072">
        <v>-214.8845</v>
      </c>
      <c r="K1072">
        <v>1.1094619999999999</v>
      </c>
      <c r="L1072">
        <v>366.83019999999999</v>
      </c>
      <c r="M1072">
        <v>0.99573619999999996</v>
      </c>
      <c r="N1072">
        <v>0</v>
      </c>
      <c r="O1072">
        <v>-9.1176350000000003E-2</v>
      </c>
      <c r="P1072">
        <v>0.96344940000000001</v>
      </c>
      <c r="Q1072">
        <v>9.8708489999999996E-2</v>
      </c>
      <c r="R1072">
        <v>-0.24904270000000001</v>
      </c>
      <c r="S1072">
        <v>2.7579959999999999</v>
      </c>
      <c r="T1072">
        <v>-0.30366470000000001</v>
      </c>
      <c r="U1072">
        <v>-1.507843</v>
      </c>
      <c r="V1072">
        <v>0.16048809999999999</v>
      </c>
      <c r="W1072">
        <v>0.1119819</v>
      </c>
      <c r="X1072">
        <v>0.98066489999999995</v>
      </c>
      <c r="Y1072">
        <v>0.39629439999999999</v>
      </c>
      <c r="Z1072">
        <v>-1.104433E-2</v>
      </c>
      <c r="AA1072">
        <v>0.91805709999999996</v>
      </c>
      <c r="AB1072">
        <v>17</v>
      </c>
      <c r="AC1072">
        <v>9.9154999999999802</v>
      </c>
      <c r="AD1072">
        <v>-1.109466774847</v>
      </c>
      <c r="AE1072">
        <v>-5.4921999999999596</v>
      </c>
      <c r="AF1072">
        <v>4.5218497396060497</v>
      </c>
      <c r="AG1072">
        <v>-1.109466774847</v>
      </c>
      <c r="AH1072">
        <v>10.2765448863261</v>
      </c>
      <c r="AI1072">
        <v>95.643520158570794</v>
      </c>
      <c r="AJ1072">
        <v>66.249711477957902</v>
      </c>
      <c r="AK1072">
        <v>11.282083867475</v>
      </c>
      <c r="AL1072">
        <v>83.570424009640703</v>
      </c>
      <c r="AM1072">
        <v>80.705800217381594</v>
      </c>
      <c r="AN1072">
        <v>1.00000001113061</v>
      </c>
    </row>
    <row r="1073" spans="1:40" x14ac:dyDescent="0.25">
      <c r="A1073" t="str">
        <f>"20190312151245014"</f>
        <v>20190312151245014</v>
      </c>
      <c r="B1073" t="str">
        <f>"1552374765011103"</f>
        <v>1552374765011103</v>
      </c>
      <c r="C1073" t="s">
        <v>40</v>
      </c>
      <c r="D1073">
        <v>4.6108390000000004</v>
      </c>
      <c r="E1073">
        <v>0.59806230000000005</v>
      </c>
      <c r="F1073" t="s">
        <v>51</v>
      </c>
      <c r="G1073">
        <v>-205.02500000000001</v>
      </c>
      <c r="H1073" s="1">
        <v>-4.7859070000000002E-6</v>
      </c>
      <c r="I1073">
        <v>361.411</v>
      </c>
      <c r="J1073">
        <v>-214.7183</v>
      </c>
      <c r="K1073">
        <v>1.1094379999999999</v>
      </c>
      <c r="L1073">
        <v>366.81220000000002</v>
      </c>
      <c r="M1073">
        <v>0.99551529999999999</v>
      </c>
      <c r="N1073">
        <v>0</v>
      </c>
      <c r="O1073">
        <v>-9.3557219999999996E-2</v>
      </c>
      <c r="P1073">
        <v>0.96283180000000002</v>
      </c>
      <c r="Q1073">
        <v>9.8394090000000003E-2</v>
      </c>
      <c r="R1073">
        <v>-0.25154179999999998</v>
      </c>
      <c r="S1073">
        <v>2.7542420000000001</v>
      </c>
      <c r="T1073">
        <v>-0.30993029999999999</v>
      </c>
      <c r="U1073">
        <v>-1.513855</v>
      </c>
      <c r="V1073">
        <v>0.16069050000000001</v>
      </c>
      <c r="W1073">
        <v>0.1116573</v>
      </c>
      <c r="X1073">
        <v>0.98066880000000001</v>
      </c>
      <c r="Y1073">
        <v>0.39611990000000002</v>
      </c>
      <c r="Z1073">
        <v>-1.102414E-2</v>
      </c>
      <c r="AA1073">
        <v>0.91813259999999997</v>
      </c>
      <c r="AB1073">
        <v>17</v>
      </c>
      <c r="AC1073">
        <v>9.69329999999999</v>
      </c>
      <c r="AD1073">
        <v>-1.109442785907</v>
      </c>
      <c r="AE1073">
        <v>-5.40120000000001</v>
      </c>
      <c r="AF1073">
        <v>4.42629178703001</v>
      </c>
      <c r="AG1073">
        <v>-1.109442785907</v>
      </c>
      <c r="AH1073">
        <v>10.0556286105477</v>
      </c>
      <c r="AI1073">
        <v>95.766208164257804</v>
      </c>
      <c r="AJ1073">
        <v>66.241840881708498</v>
      </c>
      <c r="AK1073">
        <v>11.0425807233814</v>
      </c>
      <c r="AL1073">
        <v>83.589139794976006</v>
      </c>
      <c r="AM1073">
        <v>80.694320093016401</v>
      </c>
      <c r="AN1073">
        <v>1.0000000423634801</v>
      </c>
    </row>
    <row r="1074" spans="1:40" x14ac:dyDescent="0.25">
      <c r="A1074" t="str">
        <f>"20190312151245037"</f>
        <v>20190312151245037</v>
      </c>
      <c r="B1074" t="str">
        <f>"1552374765030626"</f>
        <v>1552374765030626</v>
      </c>
      <c r="C1074" t="s">
        <v>40</v>
      </c>
      <c r="D1074">
        <v>4.6357689999999998</v>
      </c>
      <c r="E1074">
        <v>0.5976399</v>
      </c>
      <c r="F1074" t="s">
        <v>51</v>
      </c>
      <c r="G1074">
        <v>-208.60480000000001</v>
      </c>
      <c r="H1074" s="1">
        <v>-5.7934019999999999E-6</v>
      </c>
      <c r="I1074">
        <v>363.37169999999998</v>
      </c>
      <c r="J1074">
        <v>-214.54560000000001</v>
      </c>
      <c r="K1074">
        <v>1.109418</v>
      </c>
      <c r="L1074">
        <v>366.7928</v>
      </c>
      <c r="M1074">
        <v>0.99527149999999998</v>
      </c>
      <c r="N1074">
        <v>0</v>
      </c>
      <c r="O1074">
        <v>-9.6115969999999995E-2</v>
      </c>
      <c r="P1074">
        <v>0.96204160000000005</v>
      </c>
      <c r="Q1074">
        <v>9.8161730000000003E-2</v>
      </c>
      <c r="R1074">
        <v>-0.25463780000000003</v>
      </c>
      <c r="S1074">
        <v>2.761063</v>
      </c>
      <c r="T1074">
        <v>-0.50106320000000004</v>
      </c>
      <c r="U1074">
        <v>-1.553833</v>
      </c>
      <c r="V1074">
        <v>0.16132750000000001</v>
      </c>
      <c r="W1074">
        <v>0.11141330000000001</v>
      </c>
      <c r="X1074">
        <v>0.98059200000000002</v>
      </c>
      <c r="Y1074">
        <v>0.4006576</v>
      </c>
      <c r="Z1074">
        <v>-1.7614009999999999E-2</v>
      </c>
      <c r="AA1074">
        <v>0.9160585</v>
      </c>
      <c r="AB1074">
        <v>17</v>
      </c>
      <c r="AC1074">
        <v>5.9407999999999896</v>
      </c>
      <c r="AD1074">
        <v>-1.1094237934019999</v>
      </c>
      <c r="AE1074">
        <v>-3.42110000000002</v>
      </c>
      <c r="AF1074">
        <v>2.7618644466934201</v>
      </c>
      <c r="AG1074">
        <v>-1.1094237934019999</v>
      </c>
      <c r="AH1074">
        <v>6.0828386369549801</v>
      </c>
      <c r="AI1074">
        <v>99.429026251571301</v>
      </c>
      <c r="AJ1074">
        <v>65.579954453683996</v>
      </c>
      <c r="AK1074">
        <v>6.77197476800586</v>
      </c>
      <c r="AL1074">
        <v>83.603207971306503</v>
      </c>
      <c r="AM1074">
        <v>80.657361361455898</v>
      </c>
      <c r="AN1074">
        <v>1.0000000780685601</v>
      </c>
    </row>
    <row r="1075" spans="1:40" x14ac:dyDescent="0.25">
      <c r="A1075" t="str">
        <f>"20190312151245082"</f>
        <v>20190312151245082</v>
      </c>
      <c r="B1075" t="str">
        <f>"1552374765070640"</f>
        <v>1552374765070640</v>
      </c>
      <c r="C1075" t="s">
        <v>40</v>
      </c>
      <c r="D1075">
        <v>4.6427930000000002</v>
      </c>
      <c r="E1075">
        <v>0.59851969999999899</v>
      </c>
      <c r="F1075" t="s">
        <v>51</v>
      </c>
      <c r="G1075">
        <v>-205.1979</v>
      </c>
      <c r="H1075" s="1">
        <v>-4.8455719999999999E-6</v>
      </c>
      <c r="I1075">
        <v>361.5052</v>
      </c>
      <c r="J1075">
        <v>-214.2115</v>
      </c>
      <c r="K1075">
        <v>1.1093740000000001</v>
      </c>
      <c r="L1075">
        <v>366.75400000000002</v>
      </c>
      <c r="M1075">
        <v>0.99475919999999896</v>
      </c>
      <c r="N1075">
        <v>0</v>
      </c>
      <c r="O1075">
        <v>-0.10128089999999999</v>
      </c>
      <c r="P1075">
        <v>0.96075069999999996</v>
      </c>
      <c r="Q1075">
        <v>9.7785170000000005E-2</v>
      </c>
      <c r="R1075">
        <v>-0.25960820000000001</v>
      </c>
      <c r="S1075">
        <v>2.7411500000000002</v>
      </c>
      <c r="T1075">
        <v>-0.32533299999999998</v>
      </c>
      <c r="U1075">
        <v>-1.5505679999999999</v>
      </c>
      <c r="V1075">
        <v>0.1613137</v>
      </c>
      <c r="W1075">
        <v>0.11101900000000001</v>
      </c>
      <c r="X1075">
        <v>0.98063889999999998</v>
      </c>
      <c r="Y1075">
        <v>0.40008660000000001</v>
      </c>
      <c r="Z1075">
        <v>-1.0964949999999999E-2</v>
      </c>
      <c r="AA1075">
        <v>0.9164118</v>
      </c>
      <c r="AB1075">
        <v>17</v>
      </c>
      <c r="AC1075">
        <v>9.0135999999999896</v>
      </c>
      <c r="AD1075">
        <v>-1.1093788455719999</v>
      </c>
      <c r="AE1075">
        <v>-5.2488000000000099</v>
      </c>
      <c r="AF1075">
        <v>4.2606121645018398</v>
      </c>
      <c r="AG1075">
        <v>-1.1093788455719999</v>
      </c>
      <c r="AH1075">
        <v>9.3926446359732996</v>
      </c>
      <c r="AI1075">
        <v>96.139274015715202</v>
      </c>
      <c r="AJ1075">
        <v>65.600406775722007</v>
      </c>
      <c r="AK1075">
        <v>10.373297966268099</v>
      </c>
      <c r="AL1075">
        <v>83.625940161540001</v>
      </c>
      <c r="AM1075">
        <v>80.658585351954997</v>
      </c>
      <c r="AN1075">
        <v>0.99999999018094998</v>
      </c>
    </row>
    <row r="1076" spans="1:40" x14ac:dyDescent="0.25">
      <c r="A1076" t="str">
        <f>"20190312151245115"</f>
        <v>20190312151245115</v>
      </c>
      <c r="B1076" t="str">
        <f>"1552374765110655"</f>
        <v>1552374765110655</v>
      </c>
      <c r="C1076" t="s">
        <v>40</v>
      </c>
      <c r="D1076">
        <v>4.6523859999999999</v>
      </c>
      <c r="E1076">
        <v>0.60423859999999996</v>
      </c>
      <c r="F1076" t="s">
        <v>51</v>
      </c>
      <c r="G1076">
        <v>-205.2354</v>
      </c>
      <c r="H1076" s="1">
        <v>-4.8440870000000002E-6</v>
      </c>
      <c r="I1076">
        <v>361.59070000000003</v>
      </c>
      <c r="J1076">
        <v>-213.96789999999999</v>
      </c>
      <c r="K1076">
        <v>1.1093420000000001</v>
      </c>
      <c r="L1076">
        <v>366.72430000000003</v>
      </c>
      <c r="M1076">
        <v>0.99435099999999998</v>
      </c>
      <c r="N1076">
        <v>0</v>
      </c>
      <c r="O1076">
        <v>-0.1052133</v>
      </c>
      <c r="P1076">
        <v>0.95954459999999997</v>
      </c>
      <c r="Q1076">
        <v>9.7471829999999995E-2</v>
      </c>
      <c r="R1076">
        <v>-0.26414700000000002</v>
      </c>
      <c r="S1076">
        <v>2.7322389999999999</v>
      </c>
      <c r="T1076">
        <v>-0.33768530000000002</v>
      </c>
      <c r="U1076">
        <v>-1.5716859999999999</v>
      </c>
      <c r="V1076">
        <v>0.16207839999999901</v>
      </c>
      <c r="W1076">
        <v>0.1106873</v>
      </c>
      <c r="X1076">
        <v>0.98055029999999999</v>
      </c>
      <c r="Y1076">
        <v>0.40296749999999998</v>
      </c>
      <c r="Z1076">
        <v>-1.1114519999999999E-2</v>
      </c>
      <c r="AA1076">
        <v>0.91514680000000004</v>
      </c>
      <c r="AB1076">
        <v>17</v>
      </c>
      <c r="AC1076">
        <v>8.7324999999999804</v>
      </c>
      <c r="AD1076">
        <v>-1.109346844087</v>
      </c>
      <c r="AE1076">
        <v>-5.1336000000000004</v>
      </c>
      <c r="AF1076">
        <v>4.1366236520909903</v>
      </c>
      <c r="AG1076">
        <v>-1.109346844087</v>
      </c>
      <c r="AH1076">
        <v>9.1148796297525596</v>
      </c>
      <c r="AI1076">
        <v>96.324165779514402</v>
      </c>
      <c r="AJ1076">
        <v>65.589934696651397</v>
      </c>
      <c r="AK1076">
        <v>10.070915366757999</v>
      </c>
      <c r="AL1076">
        <v>83.645063019144004</v>
      </c>
      <c r="AM1076">
        <v>80.614255919058706</v>
      </c>
      <c r="AN1076">
        <v>0.99999998847896898</v>
      </c>
    </row>
    <row r="1077" spans="1:40" x14ac:dyDescent="0.25">
      <c r="A1077" t="str">
        <f>"20190312151245137"</f>
        <v>20190312151245137</v>
      </c>
      <c r="B1077" t="str">
        <f>"1552374765131154"</f>
        <v>1552374765131154</v>
      </c>
      <c r="C1077" t="s">
        <v>40</v>
      </c>
      <c r="D1077">
        <v>4.6573609999999999</v>
      </c>
      <c r="E1077">
        <v>0.60420309999999999</v>
      </c>
      <c r="F1077" t="s">
        <v>51</v>
      </c>
      <c r="G1077">
        <v>-207.82759999999999</v>
      </c>
      <c r="H1077" s="1">
        <v>-5.5847589999999998E-6</v>
      </c>
      <c r="I1077">
        <v>363.04169999999999</v>
      </c>
      <c r="J1077">
        <v>-213.8022</v>
      </c>
      <c r="K1077">
        <v>1.1093189999999999</v>
      </c>
      <c r="L1077">
        <v>366.70350000000002</v>
      </c>
      <c r="M1077">
        <v>0.99405730000000003</v>
      </c>
      <c r="N1077">
        <v>0</v>
      </c>
      <c r="O1077">
        <v>-0.10795390000000001</v>
      </c>
      <c r="P1077">
        <v>0.95877939999999995</v>
      </c>
      <c r="Q1077">
        <v>9.6723260000000005E-2</v>
      </c>
      <c r="R1077">
        <v>-0.26718309999999901</v>
      </c>
      <c r="S1077">
        <v>2.72641</v>
      </c>
      <c r="T1077">
        <v>-0.49256850000000002</v>
      </c>
      <c r="U1077">
        <v>-1.635132</v>
      </c>
      <c r="V1077">
        <v>0.16247339999999999</v>
      </c>
      <c r="W1077">
        <v>0.1099299</v>
      </c>
      <c r="X1077">
        <v>0.9805701</v>
      </c>
      <c r="Y1077">
        <v>0.41512369999999998</v>
      </c>
      <c r="Z1077">
        <v>-1.6665659999999999E-2</v>
      </c>
      <c r="AA1077">
        <v>0.90961239999999999</v>
      </c>
      <c r="AB1077">
        <v>17</v>
      </c>
      <c r="AC1077">
        <v>5.9745999999999997</v>
      </c>
      <c r="AD1077">
        <v>-1.1093245847590001</v>
      </c>
      <c r="AE1077">
        <v>-3.6618000000000199</v>
      </c>
      <c r="AF1077">
        <v>2.9221205968967898</v>
      </c>
      <c r="AG1077">
        <v>-1.1093245847590001</v>
      </c>
      <c r="AH1077">
        <v>6.18014203780369</v>
      </c>
      <c r="AI1077">
        <v>99.217230951627101</v>
      </c>
      <c r="AJ1077">
        <v>64.694083284752196</v>
      </c>
      <c r="AK1077">
        <v>6.9255718482005202</v>
      </c>
      <c r="AL1077">
        <v>83.688725084894102</v>
      </c>
      <c r="AM1077">
        <v>80.591977045251696</v>
      </c>
      <c r="AN1077">
        <v>0.99999995481778803</v>
      </c>
    </row>
    <row r="1078" spans="1:40" x14ac:dyDescent="0.25">
      <c r="A1078" t="str">
        <f>"20190312151245160"</f>
        <v>20190312151245160</v>
      </c>
      <c r="B1078" t="str">
        <f>"1552374765150671"</f>
        <v>1552374765150671</v>
      </c>
      <c r="C1078" t="s">
        <v>40</v>
      </c>
      <c r="D1078">
        <v>4.6352120000000001</v>
      </c>
      <c r="E1078">
        <v>0.60504040000000003</v>
      </c>
      <c r="F1078" t="s">
        <v>51</v>
      </c>
      <c r="G1078">
        <v>-207.66290000000001</v>
      </c>
      <c r="H1078" s="1">
        <v>-5.5366229999999899E-6</v>
      </c>
      <c r="I1078">
        <v>362.99689999999998</v>
      </c>
      <c r="J1078">
        <v>-213.6353</v>
      </c>
      <c r="K1078">
        <v>1.1093109999999999</v>
      </c>
      <c r="L1078">
        <v>366.68189999999998</v>
      </c>
      <c r="M1078">
        <v>0.99374850000000003</v>
      </c>
      <c r="N1078">
        <v>0</v>
      </c>
      <c r="O1078">
        <v>-0.11075980000000001</v>
      </c>
      <c r="P1078">
        <v>0.9579377</v>
      </c>
      <c r="Q1078">
        <v>9.5821809999999993E-2</v>
      </c>
      <c r="R1078">
        <v>-0.27050600000000002</v>
      </c>
      <c r="S1078">
        <v>2.7208100000000002</v>
      </c>
      <c r="T1078">
        <v>-0.49162939999999999</v>
      </c>
      <c r="U1078">
        <v>-1.6426700000000001</v>
      </c>
      <c r="V1078">
        <v>0.16309479999999901</v>
      </c>
      <c r="W1078">
        <v>0.1090223</v>
      </c>
      <c r="X1078">
        <v>0.98056829999999995</v>
      </c>
      <c r="Y1078">
        <v>0.41527409999999998</v>
      </c>
      <c r="Z1078">
        <v>-1.6209919999999999E-2</v>
      </c>
      <c r="AA1078">
        <v>0.90955189999999997</v>
      </c>
      <c r="AB1078">
        <v>17</v>
      </c>
      <c r="AC1078">
        <v>5.9723999999999897</v>
      </c>
      <c r="AD1078">
        <v>-1.109316536623</v>
      </c>
      <c r="AE1078">
        <v>-3.6850000000000001</v>
      </c>
      <c r="AF1078">
        <v>2.9276035083257099</v>
      </c>
      <c r="AG1078">
        <v>-1.109316536623</v>
      </c>
      <c r="AH1078">
        <v>6.1891860565938899</v>
      </c>
      <c r="AI1078">
        <v>99.203245585202794</v>
      </c>
      <c r="AJ1078">
        <v>64.684954299838594</v>
      </c>
      <c r="AK1078">
        <v>6.9359548386305496</v>
      </c>
      <c r="AL1078">
        <v>83.741041367458394</v>
      </c>
      <c r="AM1078">
        <v>80.556624756301503</v>
      </c>
      <c r="AN1078">
        <v>0.99999998332460904</v>
      </c>
    </row>
    <row r="1079" spans="1:40" x14ac:dyDescent="0.25">
      <c r="A1079" t="str">
        <f>"20190312151245181"</f>
        <v>20190312151245181</v>
      </c>
      <c r="B1079" t="str">
        <f>"1552374765171166"</f>
        <v>1552374765171166</v>
      </c>
      <c r="C1079" t="s">
        <v>40</v>
      </c>
      <c r="D1079">
        <v>5.5597640000000004</v>
      </c>
      <c r="E1079">
        <v>0.60547039999999996</v>
      </c>
      <c r="F1079" t="s">
        <v>51</v>
      </c>
      <c r="G1079">
        <v>-207.53440000000001</v>
      </c>
      <c r="H1079" s="1">
        <v>-5.5006600000000003E-6</v>
      </c>
      <c r="I1079">
        <v>362.95179999999999</v>
      </c>
      <c r="J1079">
        <v>-213.47720000000001</v>
      </c>
      <c r="K1079">
        <v>1.1093059999999999</v>
      </c>
      <c r="L1079">
        <v>366.661</v>
      </c>
      <c r="M1079">
        <v>0.99344370000000004</v>
      </c>
      <c r="N1079">
        <v>0</v>
      </c>
      <c r="O1079">
        <v>-0.1134621</v>
      </c>
      <c r="P1079">
        <v>0.95707209999999998</v>
      </c>
      <c r="Q1079">
        <v>9.4754829999999998E-2</v>
      </c>
      <c r="R1079">
        <v>-0.27392480000000002</v>
      </c>
      <c r="S1079">
        <v>2.7127080000000001</v>
      </c>
      <c r="T1079">
        <v>-0.49324659999999898</v>
      </c>
      <c r="U1079">
        <v>-1.658569</v>
      </c>
      <c r="V1079">
        <v>0.16391459999999999</v>
      </c>
      <c r="W1079">
        <v>0.1079505</v>
      </c>
      <c r="X1079">
        <v>0.98055020000000004</v>
      </c>
      <c r="Y1079">
        <v>0.41786859999999998</v>
      </c>
      <c r="Z1079">
        <v>-1.6057930000000002E-2</v>
      </c>
      <c r="AA1079">
        <v>0.90836550000000005</v>
      </c>
      <c r="AB1079">
        <v>17</v>
      </c>
      <c r="AC1079">
        <v>5.9428000000000001</v>
      </c>
      <c r="AD1079">
        <v>-1.1093115006599901</v>
      </c>
      <c r="AE1079">
        <v>-3.7092000000000001</v>
      </c>
      <c r="AF1079">
        <v>2.9372415779950498</v>
      </c>
      <c r="AG1079">
        <v>-1.1093115006599901</v>
      </c>
      <c r="AH1079">
        <v>6.1705813748671403</v>
      </c>
      <c r="AI1079">
        <v>99.219982875837502</v>
      </c>
      <c r="AJ1079">
        <v>64.545212328599703</v>
      </c>
      <c r="AK1079">
        <v>6.9234409506297299</v>
      </c>
      <c r="AL1079">
        <v>83.802815691276294</v>
      </c>
      <c r="AM1079">
        <v>80.509846701589694</v>
      </c>
      <c r="AN1079">
        <v>1.00000000063172</v>
      </c>
    </row>
    <row r="1080" spans="1:40" x14ac:dyDescent="0.25">
      <c r="A1080" t="str">
        <f>"20190312151245205"</f>
        <v>20190312151245205</v>
      </c>
      <c r="B1080" t="str">
        <f>"1552374765200447"</f>
        <v>1552374765200447</v>
      </c>
      <c r="C1080" t="s">
        <v>40</v>
      </c>
      <c r="D1080">
        <v>4.9541539999999999</v>
      </c>
      <c r="E1080">
        <v>0.60403309999999999</v>
      </c>
      <c r="F1080" t="s">
        <v>51</v>
      </c>
      <c r="G1080">
        <v>-207.4196</v>
      </c>
      <c r="H1080" s="1">
        <v>-5.4674249999999996E-6</v>
      </c>
      <c r="I1080">
        <v>362.91849999999999</v>
      </c>
      <c r="J1080">
        <v>-213.30619999999999</v>
      </c>
      <c r="K1080">
        <v>1.1093090000000001</v>
      </c>
      <c r="L1080">
        <v>366.6379</v>
      </c>
      <c r="M1080">
        <v>0.99310030000000005</v>
      </c>
      <c r="N1080">
        <v>0</v>
      </c>
      <c r="O1080">
        <v>-0.11642909999999999</v>
      </c>
      <c r="P1080">
        <v>0.95628769999999996</v>
      </c>
      <c r="Q1080">
        <v>9.3434180000000006E-2</v>
      </c>
      <c r="R1080">
        <v>-0.27709879999999998</v>
      </c>
      <c r="S1080">
        <v>2.7052610000000001</v>
      </c>
      <c r="T1080">
        <v>-0.49540020000000001</v>
      </c>
      <c r="U1080">
        <v>-1.6713560000000001</v>
      </c>
      <c r="V1080">
        <v>0.16421910000000001</v>
      </c>
      <c r="W1080">
        <v>0.1066288</v>
      </c>
      <c r="X1080">
        <v>0.98064390000000001</v>
      </c>
      <c r="Y1080">
        <v>0.41936699999999999</v>
      </c>
      <c r="Z1080">
        <v>-1.5787120000000002E-2</v>
      </c>
      <c r="AA1080">
        <v>0.90767949999999997</v>
      </c>
      <c r="AB1080">
        <v>16</v>
      </c>
      <c r="AC1080">
        <v>5.8865999999999801</v>
      </c>
      <c r="AD1080">
        <v>-1.109314467425</v>
      </c>
      <c r="AE1080">
        <v>-3.7193999999999998</v>
      </c>
      <c r="AF1080">
        <v>2.9341906656023302</v>
      </c>
      <c r="AG1080">
        <v>-1.109314467425</v>
      </c>
      <c r="AH1080">
        <v>6.1242132029504601</v>
      </c>
      <c r="AI1080">
        <v>99.277585570147096</v>
      </c>
      <c r="AJ1080">
        <v>64.400309365042901</v>
      </c>
      <c r="AK1080">
        <v>6.8808459367245698</v>
      </c>
      <c r="AL1080">
        <v>83.878983400836702</v>
      </c>
      <c r="AM1080">
        <v>80.493430488110405</v>
      </c>
      <c r="AN1080">
        <v>1.00000003620072</v>
      </c>
    </row>
    <row r="1081" spans="1:40" x14ac:dyDescent="0.25">
      <c r="A1081" t="str">
        <f>"20190312151245227"</f>
        <v>20190312151245227</v>
      </c>
      <c r="B1081" t="str">
        <f>"1552374765220943"</f>
        <v>1552374765220943</v>
      </c>
      <c r="C1081" t="s">
        <v>40</v>
      </c>
      <c r="D1081">
        <v>4.6213389999999999</v>
      </c>
      <c r="E1081">
        <v>0.60809489999999999</v>
      </c>
      <c r="F1081" t="s">
        <v>51</v>
      </c>
      <c r="G1081">
        <v>-205.45400000000001</v>
      </c>
      <c r="H1081" s="1">
        <v>-4.9020660000000004E-6</v>
      </c>
      <c r="I1081">
        <v>361.78840000000002</v>
      </c>
      <c r="J1081">
        <v>-213.1474</v>
      </c>
      <c r="K1081">
        <v>1.109308</v>
      </c>
      <c r="L1081">
        <v>366.61590000000001</v>
      </c>
      <c r="M1081">
        <v>0.99276889999999995</v>
      </c>
      <c r="N1081">
        <v>0</v>
      </c>
      <c r="O1081">
        <v>-0.1192226</v>
      </c>
      <c r="P1081">
        <v>0.95550659999999998</v>
      </c>
      <c r="Q1081">
        <v>9.2559699999999995E-2</v>
      </c>
      <c r="R1081">
        <v>-0.28007140000000003</v>
      </c>
      <c r="S1081">
        <v>2.6924290000000002</v>
      </c>
      <c r="T1081">
        <v>-0.38037009999999899</v>
      </c>
      <c r="U1081">
        <v>-1.6628419999999999</v>
      </c>
      <c r="V1081">
        <v>0.16449720000000001</v>
      </c>
      <c r="W1081">
        <v>0.1057516</v>
      </c>
      <c r="X1081">
        <v>0.98069229999999996</v>
      </c>
      <c r="Y1081">
        <v>0.41815190000000002</v>
      </c>
      <c r="Z1081">
        <v>-1.1779639999999999E-2</v>
      </c>
      <c r="AA1081">
        <v>0.90830080000000002</v>
      </c>
      <c r="AB1081">
        <v>16</v>
      </c>
      <c r="AC1081">
        <v>7.6933999999999898</v>
      </c>
      <c r="AD1081">
        <v>-1.109312902066</v>
      </c>
      <c r="AE1081">
        <v>-4.8274999999999801</v>
      </c>
      <c r="AF1081">
        <v>3.8187784688970901</v>
      </c>
      <c r="AG1081">
        <v>-1.109312902066</v>
      </c>
      <c r="AH1081">
        <v>8.0933884055036192</v>
      </c>
      <c r="AI1081">
        <v>97.066244273713295</v>
      </c>
      <c r="AJ1081">
        <v>64.740221312241005</v>
      </c>
      <c r="AK1081">
        <v>9.0175706258139492</v>
      </c>
      <c r="AL1081">
        <v>83.929529187719496</v>
      </c>
      <c r="AM1081">
        <v>80.4780873329819</v>
      </c>
      <c r="AN1081">
        <v>1.0000000584948401</v>
      </c>
    </row>
    <row r="1082" spans="1:40" x14ac:dyDescent="0.25">
      <c r="A1082" t="str">
        <f>"20190312151245248"</f>
        <v>20190312151245248</v>
      </c>
      <c r="B1082" t="str">
        <f>"1552374765240467"</f>
        <v>1552374765240467</v>
      </c>
      <c r="C1082" t="s">
        <v>40</v>
      </c>
      <c r="D1082">
        <v>4.6180139999999996</v>
      </c>
      <c r="E1082">
        <v>0.60843959999999997</v>
      </c>
      <c r="F1082" t="s">
        <v>51</v>
      </c>
      <c r="G1082">
        <v>-207.16919999999999</v>
      </c>
      <c r="H1082" s="1">
        <v>-5.3992699999999997E-6</v>
      </c>
      <c r="I1082">
        <v>362.81830000000002</v>
      </c>
      <c r="J1082">
        <v>-212.98990000000001</v>
      </c>
      <c r="K1082">
        <v>1.1093059999999999</v>
      </c>
      <c r="L1082">
        <v>366.59359999999998</v>
      </c>
      <c r="M1082">
        <v>0.99242830000000004</v>
      </c>
      <c r="N1082">
        <v>0</v>
      </c>
      <c r="O1082">
        <v>-0.1220251</v>
      </c>
      <c r="P1082">
        <v>0.95468540000000002</v>
      </c>
      <c r="Q1082">
        <v>9.2196929999999996E-2</v>
      </c>
      <c r="R1082">
        <v>-0.28297529999999999</v>
      </c>
      <c r="S1082">
        <v>2.687592</v>
      </c>
      <c r="T1082">
        <v>-0.49870799999999998</v>
      </c>
      <c r="U1082">
        <v>-1.7072449999999999</v>
      </c>
      <c r="V1082">
        <v>0.16470609999999999</v>
      </c>
      <c r="W1082">
        <v>0.10538409999999999</v>
      </c>
      <c r="X1082">
        <v>0.98069669999999998</v>
      </c>
      <c r="Y1082">
        <v>0.42554029999999998</v>
      </c>
      <c r="Z1082">
        <v>-1.552897E-2</v>
      </c>
      <c r="AA1082">
        <v>0.90480629999999995</v>
      </c>
      <c r="AB1082">
        <v>16</v>
      </c>
      <c r="AC1082">
        <v>5.8207000000000102</v>
      </c>
      <c r="AD1082">
        <v>-1.1093113992700001</v>
      </c>
      <c r="AE1082">
        <v>-3.7752999999999499</v>
      </c>
      <c r="AF1082">
        <v>2.9610391397085301</v>
      </c>
      <c r="AG1082">
        <v>-1.1093113992700001</v>
      </c>
      <c r="AH1082">
        <v>6.0824178186508204</v>
      </c>
      <c r="AI1082">
        <v>99.312539807845297</v>
      </c>
      <c r="AJ1082">
        <v>64.042281287833703</v>
      </c>
      <c r="AK1082">
        <v>6.8552265526441403</v>
      </c>
      <c r="AL1082">
        <v>83.950703124660805</v>
      </c>
      <c r="AM1082">
        <v>80.466258988118</v>
      </c>
      <c r="AN1082">
        <v>0.99999996265045399</v>
      </c>
    </row>
    <row r="1083" spans="1:40" x14ac:dyDescent="0.25">
      <c r="A1083" t="str">
        <f>"20190312151245272"</f>
        <v>20190312151245272</v>
      </c>
      <c r="B1083" t="str">
        <f>"1552374765260959"</f>
        <v>1552374765260959</v>
      </c>
      <c r="C1083" t="s">
        <v>40</v>
      </c>
      <c r="D1083">
        <v>4.6125429999999996</v>
      </c>
      <c r="E1083">
        <v>0.6086935</v>
      </c>
      <c r="F1083" t="s">
        <v>51</v>
      </c>
      <c r="G1083">
        <v>-207.14230000000001</v>
      </c>
      <c r="H1083" s="1">
        <v>-5.3858460000000002E-6</v>
      </c>
      <c r="I1083">
        <v>362.8467</v>
      </c>
      <c r="J1083">
        <v>-212.8193</v>
      </c>
      <c r="K1083">
        <v>1.109297</v>
      </c>
      <c r="L1083">
        <v>366.56880000000001</v>
      </c>
      <c r="M1083">
        <v>0.99204689999999995</v>
      </c>
      <c r="N1083">
        <v>0</v>
      </c>
      <c r="O1083">
        <v>-0.1250889</v>
      </c>
      <c r="P1083">
        <v>0.95384069999999999</v>
      </c>
      <c r="Q1083">
        <v>9.1625470000000001E-2</v>
      </c>
      <c r="R1083">
        <v>-0.28599370000000002</v>
      </c>
      <c r="S1083">
        <v>2.6821139999999999</v>
      </c>
      <c r="T1083">
        <v>-0.50881120000000002</v>
      </c>
      <c r="U1083">
        <v>-1.7185969999999999</v>
      </c>
      <c r="V1083">
        <v>0.16477269999999999</v>
      </c>
      <c r="W1083">
        <v>0.104808</v>
      </c>
      <c r="X1083">
        <v>0.98074729999999999</v>
      </c>
      <c r="Y1083">
        <v>0.42618859999999997</v>
      </c>
      <c r="Z1083">
        <v>-1.5391729999999999E-2</v>
      </c>
      <c r="AA1083">
        <v>0.90450330000000001</v>
      </c>
      <c r="AB1083">
        <v>16</v>
      </c>
      <c r="AC1083">
        <v>5.6769999999999898</v>
      </c>
      <c r="AD1083">
        <v>-1.109302385846</v>
      </c>
      <c r="AE1083">
        <v>-3.72210000000001</v>
      </c>
      <c r="AF1083">
        <v>2.9050845780951602</v>
      </c>
      <c r="AG1083">
        <v>-1.109302385846</v>
      </c>
      <c r="AH1083">
        <v>5.9394377285254096</v>
      </c>
      <c r="AI1083">
        <v>99.524104512286499</v>
      </c>
      <c r="AJ1083">
        <v>63.935921150663702</v>
      </c>
      <c r="AK1083">
        <v>6.7042515406390502</v>
      </c>
      <c r="AL1083">
        <v>83.983895343253707</v>
      </c>
      <c r="AM1083">
        <v>80.462957796424305</v>
      </c>
      <c r="AN1083">
        <v>1.00000001299329</v>
      </c>
    </row>
    <row r="1084" spans="1:40" x14ac:dyDescent="0.25">
      <c r="A1084" t="str">
        <f>"20190312151245295"</f>
        <v>20190312151245295</v>
      </c>
      <c r="B1084" t="str">
        <f>"1552374765291216"</f>
        <v>1552374765291216</v>
      </c>
      <c r="C1084" t="s">
        <v>40</v>
      </c>
      <c r="D1084">
        <v>5.4273059999999997</v>
      </c>
      <c r="E1084">
        <v>0.60909040000000003</v>
      </c>
      <c r="F1084" t="s">
        <v>51</v>
      </c>
      <c r="G1084">
        <v>-207.04490000000001</v>
      </c>
      <c r="H1084" s="1">
        <v>-5.3546380000000001E-6</v>
      </c>
      <c r="I1084">
        <v>362.83760000000001</v>
      </c>
      <c r="J1084">
        <v>-212.6551</v>
      </c>
      <c r="K1084">
        <v>1.1092900000000001</v>
      </c>
      <c r="L1084">
        <v>366.54450000000003</v>
      </c>
      <c r="M1084">
        <v>0.99166679999999996</v>
      </c>
      <c r="N1084">
        <v>0</v>
      </c>
      <c r="O1084">
        <v>-0.1280685</v>
      </c>
      <c r="P1084">
        <v>0.95278589999999996</v>
      </c>
      <c r="Q1084">
        <v>9.133645E-2</v>
      </c>
      <c r="R1084">
        <v>-0.28958060000000002</v>
      </c>
      <c r="S1084">
        <v>2.6760860000000002</v>
      </c>
      <c r="T1084">
        <v>-0.51409479999999996</v>
      </c>
      <c r="U1084">
        <v>-1.7292179999999999</v>
      </c>
      <c r="V1084">
        <v>0.16551440000000001</v>
      </c>
      <c r="W1084">
        <v>0.1045107</v>
      </c>
      <c r="X1084">
        <v>0.98065409999999997</v>
      </c>
      <c r="Y1084">
        <v>0.42688609999999999</v>
      </c>
      <c r="Z1084">
        <v>-1.511909E-2</v>
      </c>
      <c r="AA1084">
        <v>0.90417899999999995</v>
      </c>
      <c r="AB1084">
        <v>16</v>
      </c>
      <c r="AC1084">
        <v>5.6101999999999901</v>
      </c>
      <c r="AD1084">
        <v>-1.109295354638</v>
      </c>
      <c r="AE1084">
        <v>-3.7069000000000099</v>
      </c>
      <c r="AF1084">
        <v>2.8794448368523602</v>
      </c>
      <c r="AG1084">
        <v>-1.109295354638</v>
      </c>
      <c r="AH1084">
        <v>5.8787854306808498</v>
      </c>
      <c r="AI1084">
        <v>99.617926023053201</v>
      </c>
      <c r="AJ1084">
        <v>63.904263563225399</v>
      </c>
      <c r="AK1084">
        <v>6.6394169090578004</v>
      </c>
      <c r="AL1084">
        <v>84.0010232656726</v>
      </c>
      <c r="AM1084">
        <v>80.4199284739273</v>
      </c>
      <c r="AN1084">
        <v>0.99999998343432905</v>
      </c>
    </row>
    <row r="1085" spans="1:40" x14ac:dyDescent="0.25">
      <c r="A1085" t="str">
        <f>"20190312151245320"</f>
        <v>20190312151245320</v>
      </c>
      <c r="B1085" t="str">
        <f>"1552374765310739"</f>
        <v>1552374765310739</v>
      </c>
      <c r="C1085" t="s">
        <v>40</v>
      </c>
      <c r="D1085">
        <v>4.6273629999999999</v>
      </c>
      <c r="E1085">
        <v>0.60819480000000004</v>
      </c>
      <c r="F1085" t="s">
        <v>51</v>
      </c>
      <c r="G1085">
        <v>-206.90260000000001</v>
      </c>
      <c r="H1085" s="1">
        <v>-5.3144780000000003E-6</v>
      </c>
      <c r="I1085">
        <v>362.78969999999998</v>
      </c>
      <c r="J1085">
        <v>-212.4667</v>
      </c>
      <c r="K1085">
        <v>1.1092770000000001</v>
      </c>
      <c r="L1085">
        <v>366.51589999999999</v>
      </c>
      <c r="M1085">
        <v>0.99121269999999995</v>
      </c>
      <c r="N1085">
        <v>0</v>
      </c>
      <c r="O1085">
        <v>-0.13153580000000001</v>
      </c>
      <c r="P1085">
        <v>0.95154269999999996</v>
      </c>
      <c r="Q1085">
        <v>9.1016429999999995E-2</v>
      </c>
      <c r="R1085">
        <v>-0.29373880000000002</v>
      </c>
      <c r="S1085">
        <v>2.6685940000000001</v>
      </c>
      <c r="T1085">
        <v>-0.51460459999999997</v>
      </c>
      <c r="U1085">
        <v>-1.741852</v>
      </c>
      <c r="V1085">
        <v>0.16636589999999901</v>
      </c>
      <c r="W1085">
        <v>0.1041796</v>
      </c>
      <c r="X1085">
        <v>0.98054529999999995</v>
      </c>
      <c r="Y1085">
        <v>0.42791360000000001</v>
      </c>
      <c r="Z1085">
        <v>-1.465289E-2</v>
      </c>
      <c r="AA1085">
        <v>0.90370090000000003</v>
      </c>
      <c r="AB1085">
        <v>16</v>
      </c>
      <c r="AC1085">
        <v>5.5640999999999901</v>
      </c>
      <c r="AD1085">
        <v>-1.109282314478</v>
      </c>
      <c r="AE1085">
        <v>-3.7262</v>
      </c>
      <c r="AF1085">
        <v>2.8827655702324102</v>
      </c>
      <c r="AG1085">
        <v>-1.109282314478</v>
      </c>
      <c r="AH1085">
        <v>5.8455226725560898</v>
      </c>
      <c r="AI1085">
        <v>99.658917388762205</v>
      </c>
      <c r="AJ1085">
        <v>63.749426016894901</v>
      </c>
      <c r="AK1085">
        <v>6.6114279774870397</v>
      </c>
      <c r="AL1085">
        <v>84.020098385787506</v>
      </c>
      <c r="AM1085">
        <v>80.370515158641098</v>
      </c>
      <c r="AN1085">
        <v>1.0000000435455201</v>
      </c>
    </row>
    <row r="1086" spans="1:40" x14ac:dyDescent="0.25">
      <c r="A1086" t="str">
        <f>"20190312151245338"</f>
        <v>20190312151245338</v>
      </c>
      <c r="B1086" t="str">
        <f>"1552374765331231"</f>
        <v>1552374765331231</v>
      </c>
      <c r="C1086" t="s">
        <v>40</v>
      </c>
      <c r="D1086">
        <v>4.541283</v>
      </c>
      <c r="E1086">
        <v>0.60741080000000003</v>
      </c>
      <c r="F1086" t="s">
        <v>51</v>
      </c>
      <c r="G1086">
        <v>-205.16059999999999</v>
      </c>
      <c r="H1086" s="1">
        <v>-4.7796680000000001E-6</v>
      </c>
      <c r="I1086">
        <v>361.72410000000002</v>
      </c>
      <c r="J1086">
        <v>-212.34030000000001</v>
      </c>
      <c r="K1086">
        <v>1.1092660000000001</v>
      </c>
      <c r="L1086">
        <v>366.49630000000002</v>
      </c>
      <c r="M1086">
        <v>0.99089590000000005</v>
      </c>
      <c r="N1086">
        <v>0</v>
      </c>
      <c r="O1086">
        <v>-0.1339022</v>
      </c>
      <c r="P1086">
        <v>0.95044169999999994</v>
      </c>
      <c r="Q1086">
        <v>9.10797E-2</v>
      </c>
      <c r="R1086">
        <v>-0.29726279999999999</v>
      </c>
      <c r="S1086">
        <v>2.6539609999999998</v>
      </c>
      <c r="T1086">
        <v>-0.40295360000000002</v>
      </c>
      <c r="U1086">
        <v>-1.7406619999999999</v>
      </c>
      <c r="V1086">
        <v>0.16766339999999999</v>
      </c>
      <c r="W1086">
        <v>0.1042294</v>
      </c>
      <c r="X1086">
        <v>0.98031900000000005</v>
      </c>
      <c r="Y1086">
        <v>0.42919200000000002</v>
      </c>
      <c r="Z1086">
        <v>-1.133031E-2</v>
      </c>
      <c r="AA1086">
        <v>0.90314220000000001</v>
      </c>
      <c r="AB1086">
        <v>16</v>
      </c>
      <c r="AC1086">
        <v>7.17970000000002</v>
      </c>
      <c r="AD1086">
        <v>-1.1092707796679999</v>
      </c>
      <c r="AE1086">
        <v>-4.77219999999999</v>
      </c>
      <c r="AF1086">
        <v>3.7063809480672099</v>
      </c>
      <c r="AG1086">
        <v>-1.1092707796679999</v>
      </c>
      <c r="AH1086">
        <v>7.6278146302037504</v>
      </c>
      <c r="AI1086">
        <v>97.452025234951606</v>
      </c>
      <c r="AJ1086">
        <v>64.084726228172599</v>
      </c>
      <c r="AK1086">
        <v>8.5528531746763505</v>
      </c>
      <c r="AL1086">
        <v>84.017229551896705</v>
      </c>
      <c r="AM1086">
        <v>80.294639146326105</v>
      </c>
      <c r="AN1086">
        <v>1.0000000626424499</v>
      </c>
    </row>
    <row r="1087" spans="1:40" x14ac:dyDescent="0.25">
      <c r="A1087" t="str">
        <f>"20190312151245360"</f>
        <v>20190312151245360</v>
      </c>
      <c r="B1087" t="str">
        <f>"1552374765350751"</f>
        <v>1552374765350751</v>
      </c>
      <c r="C1087" t="s">
        <v>40</v>
      </c>
      <c r="D1087">
        <v>4.6961019999999998</v>
      </c>
      <c r="E1087">
        <v>0.61242980000000002</v>
      </c>
      <c r="F1087" t="s">
        <v>51</v>
      </c>
      <c r="G1087">
        <v>-204.8937</v>
      </c>
      <c r="H1087" s="1">
        <v>-4.6812070000000002E-6</v>
      </c>
      <c r="I1087">
        <v>361.58940000000001</v>
      </c>
      <c r="J1087">
        <v>-212.1772</v>
      </c>
      <c r="K1087">
        <v>1.1092409999999999</v>
      </c>
      <c r="L1087">
        <v>366.47050000000002</v>
      </c>
      <c r="M1087">
        <v>0.99047240000000003</v>
      </c>
      <c r="N1087">
        <v>0</v>
      </c>
      <c r="O1087">
        <v>-0.1370007</v>
      </c>
      <c r="P1087">
        <v>0.94930820000000005</v>
      </c>
      <c r="Q1087">
        <v>9.0826729999999994E-2</v>
      </c>
      <c r="R1087">
        <v>-0.3009405</v>
      </c>
      <c r="S1087">
        <v>2.6484220000000001</v>
      </c>
      <c r="T1087">
        <v>-0.39451989999999998</v>
      </c>
      <c r="U1087">
        <v>-1.7451479999999999</v>
      </c>
      <c r="V1087">
        <v>0.16839409999999999</v>
      </c>
      <c r="W1087">
        <v>0.1039629</v>
      </c>
      <c r="X1087">
        <v>0.98022200000000004</v>
      </c>
      <c r="Y1087">
        <v>0.42842409999999997</v>
      </c>
      <c r="Z1087">
        <v>-1.065142E-2</v>
      </c>
      <c r="AA1087">
        <v>0.90351490000000001</v>
      </c>
      <c r="AB1087">
        <v>16</v>
      </c>
      <c r="AC1087">
        <v>7.2835000000000001</v>
      </c>
      <c r="AD1087">
        <v>-1.109245681207</v>
      </c>
      <c r="AE1087">
        <v>-4.8811</v>
      </c>
      <c r="AF1087">
        <v>3.7766766782727501</v>
      </c>
      <c r="AG1087">
        <v>-1.109245681207</v>
      </c>
      <c r="AH1087">
        <v>7.7593953339507902</v>
      </c>
      <c r="AI1087">
        <v>97.324541663197905</v>
      </c>
      <c r="AJ1087">
        <v>64.046744682792493</v>
      </c>
      <c r="AK1087">
        <v>8.7006855282801201</v>
      </c>
      <c r="AL1087">
        <v>84.032581988959706</v>
      </c>
      <c r="AM1087">
        <v>80.252205450928599</v>
      </c>
      <c r="AN1087">
        <v>1.0000000133876099</v>
      </c>
    </row>
    <row r="1088" spans="1:40" x14ac:dyDescent="0.25">
      <c r="A1088" t="str">
        <f>"20190312151245382"</f>
        <v>20190312151245382</v>
      </c>
      <c r="B1088" t="str">
        <f>"1552374765381007"</f>
        <v>1552374765381007</v>
      </c>
      <c r="C1088" t="s">
        <v>40</v>
      </c>
      <c r="D1088">
        <v>5.4231420000000004</v>
      </c>
      <c r="E1088">
        <v>0.61175789999999997</v>
      </c>
      <c r="F1088" t="s">
        <v>51</v>
      </c>
      <c r="G1088">
        <v>-206.68430000000001</v>
      </c>
      <c r="H1088" s="1">
        <v>-5.2516169999999997E-6</v>
      </c>
      <c r="I1088">
        <v>362.7244</v>
      </c>
      <c r="J1088">
        <v>-212.01939999999999</v>
      </c>
      <c r="K1088">
        <v>1.1092120000000001</v>
      </c>
      <c r="L1088">
        <v>366.44490000000002</v>
      </c>
      <c r="M1088">
        <v>0.99004579999999998</v>
      </c>
      <c r="N1088">
        <v>0</v>
      </c>
      <c r="O1088">
        <v>-0.14005020000000001</v>
      </c>
      <c r="P1088">
        <v>0.94815729999999998</v>
      </c>
      <c r="Q1088">
        <v>8.9844629999999995E-2</v>
      </c>
      <c r="R1088">
        <v>-0.30483729999999998</v>
      </c>
      <c r="S1088">
        <v>2.6403500000000002</v>
      </c>
      <c r="T1088">
        <v>-0.53319969999999905</v>
      </c>
      <c r="U1088">
        <v>-1.8006899999999999</v>
      </c>
      <c r="V1088">
        <v>0.1693925</v>
      </c>
      <c r="W1088">
        <v>0.102965</v>
      </c>
      <c r="X1088">
        <v>0.98015529999999995</v>
      </c>
      <c r="Y1088">
        <v>0.43812820000000002</v>
      </c>
      <c r="Z1088">
        <v>-1.465642E-2</v>
      </c>
      <c r="AA1088">
        <v>0.89879299999999995</v>
      </c>
      <c r="AB1088">
        <v>16</v>
      </c>
      <c r="AC1088">
        <v>5.3350999999999802</v>
      </c>
      <c r="AD1088">
        <v>-1.109217251617</v>
      </c>
      <c r="AE1088">
        <v>-3.7205000000000101</v>
      </c>
      <c r="AF1088">
        <v>2.8535799787308598</v>
      </c>
      <c r="AG1088">
        <v>-1.109217251617</v>
      </c>
      <c r="AH1088">
        <v>5.6396009428099001</v>
      </c>
      <c r="AI1088">
        <v>99.953857355137302</v>
      </c>
      <c r="AJ1088">
        <v>63.161059580130399</v>
      </c>
      <c r="AK1088">
        <v>6.4170382888401702</v>
      </c>
      <c r="AL1088">
        <v>84.090065940757597</v>
      </c>
      <c r="AM1088">
        <v>80.194875459693506</v>
      </c>
      <c r="AN1088">
        <v>1.0000000111996601</v>
      </c>
    </row>
    <row r="1089" spans="1:40" x14ac:dyDescent="0.25">
      <c r="A1089" t="str">
        <f>"20190312151245407"</f>
        <v>20190312151245407</v>
      </c>
      <c r="B1089" t="str">
        <f>"1552374765400527"</f>
        <v>1552374765400527</v>
      </c>
      <c r="C1089" t="s">
        <v>40</v>
      </c>
      <c r="D1089">
        <v>4.5897620000000003</v>
      </c>
      <c r="E1089">
        <v>0.61073230000000001</v>
      </c>
      <c r="F1089" t="s">
        <v>51</v>
      </c>
      <c r="G1089">
        <v>-206.36420000000001</v>
      </c>
      <c r="H1089" s="1">
        <v>-5.1538209999999996E-6</v>
      </c>
      <c r="I1089">
        <v>362.5652</v>
      </c>
      <c r="J1089">
        <v>-211.8484</v>
      </c>
      <c r="K1089">
        <v>1.109183</v>
      </c>
      <c r="L1089">
        <v>366.41660000000002</v>
      </c>
      <c r="M1089">
        <v>0.98956390000000005</v>
      </c>
      <c r="N1089">
        <v>0</v>
      </c>
      <c r="O1089">
        <v>-0.14341590000000001</v>
      </c>
      <c r="P1089">
        <v>0.94711199999999995</v>
      </c>
      <c r="Q1089">
        <v>8.9025560000000004E-2</v>
      </c>
      <c r="R1089">
        <v>-0.30830790000000002</v>
      </c>
      <c r="S1089">
        <v>2.6323240000000001</v>
      </c>
      <c r="T1089">
        <v>-0.5163065</v>
      </c>
      <c r="U1089">
        <v>-1.8059080000000001</v>
      </c>
      <c r="V1089">
        <v>0.16964189999999901</v>
      </c>
      <c r="W1089">
        <v>0.102134</v>
      </c>
      <c r="X1089">
        <v>0.98019909999999999</v>
      </c>
      <c r="Y1089">
        <v>0.43784970000000001</v>
      </c>
      <c r="Z1089">
        <v>-1.362825E-2</v>
      </c>
      <c r="AA1089">
        <v>0.89894490000000005</v>
      </c>
      <c r="AB1089">
        <v>16</v>
      </c>
      <c r="AC1089">
        <v>5.48419999999998</v>
      </c>
      <c r="AD1089">
        <v>-1.109188153821</v>
      </c>
      <c r="AE1089">
        <v>-3.8514000000000101</v>
      </c>
      <c r="AF1089">
        <v>2.9443207080813201</v>
      </c>
      <c r="AG1089">
        <v>-1.109188153821</v>
      </c>
      <c r="AH1089">
        <v>5.8204511326963404</v>
      </c>
      <c r="AI1089">
        <v>99.650737368851793</v>
      </c>
      <c r="AJ1089">
        <v>63.167075854038899</v>
      </c>
      <c r="AK1089">
        <v>6.6164170198619896</v>
      </c>
      <c r="AL1089">
        <v>84.137931029513496</v>
      </c>
      <c r="AM1089">
        <v>80.181150221820204</v>
      </c>
      <c r="AN1089">
        <v>1.0000000019162101</v>
      </c>
    </row>
    <row r="1090" spans="1:40" x14ac:dyDescent="0.25">
      <c r="A1090" t="str">
        <f>"20190312151245427"</f>
        <v>20190312151245427</v>
      </c>
      <c r="B1090" t="str">
        <f>"1552374765421023"</f>
        <v>1552374765421023</v>
      </c>
      <c r="C1090" t="s">
        <v>40</v>
      </c>
      <c r="D1090">
        <v>4.5994630000000001</v>
      </c>
      <c r="E1090">
        <v>0.60992279999999999</v>
      </c>
      <c r="F1090" t="s">
        <v>51</v>
      </c>
      <c r="G1090">
        <v>-205.89089999999999</v>
      </c>
      <c r="H1090" s="1">
        <v>-4.9882019999999996E-6</v>
      </c>
      <c r="I1090">
        <v>362.31779999999998</v>
      </c>
      <c r="J1090">
        <v>-211.69880000000001</v>
      </c>
      <c r="K1090">
        <v>1.109162</v>
      </c>
      <c r="L1090">
        <v>366.3913</v>
      </c>
      <c r="M1090">
        <v>0.98912460000000002</v>
      </c>
      <c r="N1090">
        <v>0</v>
      </c>
      <c r="O1090">
        <v>-0.14641460000000001</v>
      </c>
      <c r="P1090">
        <v>0.94625159999999997</v>
      </c>
      <c r="Q1090">
        <v>8.7930040000000001E-2</v>
      </c>
      <c r="R1090">
        <v>-0.31124960000000002</v>
      </c>
      <c r="S1090">
        <v>2.6254729999999999</v>
      </c>
      <c r="T1090">
        <v>-0.488819</v>
      </c>
      <c r="U1090">
        <v>-1.806335</v>
      </c>
      <c r="V1090">
        <v>0.16970299999999999</v>
      </c>
      <c r="W1090">
        <v>0.1010301</v>
      </c>
      <c r="X1090">
        <v>0.98030289999999998</v>
      </c>
      <c r="Y1090">
        <v>0.43674279999999999</v>
      </c>
      <c r="Z1090">
        <v>-1.2360929999999999E-2</v>
      </c>
      <c r="AA1090">
        <v>0.89950149999999995</v>
      </c>
      <c r="AB1090">
        <v>16</v>
      </c>
      <c r="AC1090">
        <v>5.8079000000000098</v>
      </c>
      <c r="AD1090">
        <v>-1.1091669882020001</v>
      </c>
      <c r="AE1090">
        <v>-4.0735000000000197</v>
      </c>
      <c r="AF1090">
        <v>3.1032850011808799</v>
      </c>
      <c r="AG1090">
        <v>-1.1091669882020001</v>
      </c>
      <c r="AH1090">
        <v>6.1904438424209198</v>
      </c>
      <c r="AI1090">
        <v>99.100031775905293</v>
      </c>
      <c r="AJ1090">
        <v>63.375277532176</v>
      </c>
      <c r="AK1090">
        <v>7.0130039335821301</v>
      </c>
      <c r="AL1090">
        <v>84.201508607897196</v>
      </c>
      <c r="AM1090">
        <v>80.178702420276295</v>
      </c>
      <c r="AN1090">
        <v>0.99999998253170896</v>
      </c>
    </row>
    <row r="1091" spans="1:40" x14ac:dyDescent="0.25">
      <c r="A1091" t="str">
        <f>"20190312151245450"</f>
        <v>20190312151245450</v>
      </c>
      <c r="B1091" t="str">
        <f>"1552374765440543"</f>
        <v>1552374765440543</v>
      </c>
      <c r="C1091" t="s">
        <v>40</v>
      </c>
      <c r="D1091">
        <v>4.5619940000000003</v>
      </c>
      <c r="E1091">
        <v>0.60978619999999994</v>
      </c>
      <c r="F1091" t="s">
        <v>51</v>
      </c>
      <c r="G1091">
        <v>-205.58869999999999</v>
      </c>
      <c r="H1091" s="1">
        <v>-4.8786409999999998E-6</v>
      </c>
      <c r="I1091">
        <v>362.1771</v>
      </c>
      <c r="J1091">
        <v>-211.53919999999999</v>
      </c>
      <c r="K1091">
        <v>1.109154</v>
      </c>
      <c r="L1091">
        <v>366.36360000000002</v>
      </c>
      <c r="M1091">
        <v>0.98863880000000004</v>
      </c>
      <c r="N1091">
        <v>0</v>
      </c>
      <c r="O1091">
        <v>-0.1496596</v>
      </c>
      <c r="P1091">
        <v>0.94509549999999998</v>
      </c>
      <c r="Q1091">
        <v>8.7754499999999999E-2</v>
      </c>
      <c r="R1091">
        <v>-0.31479159999999901</v>
      </c>
      <c r="S1091">
        <v>2.6201780000000001</v>
      </c>
      <c r="T1091">
        <v>-0.4756417</v>
      </c>
      <c r="U1091">
        <v>-1.807159</v>
      </c>
      <c r="V1091">
        <v>0.1701587</v>
      </c>
      <c r="W1091">
        <v>0.10084509999999999</v>
      </c>
      <c r="X1091">
        <v>0.98024299999999998</v>
      </c>
      <c r="Y1091">
        <v>0.435056</v>
      </c>
      <c r="Z1091">
        <v>-1.140118E-2</v>
      </c>
      <c r="AA1091">
        <v>0.9003312</v>
      </c>
      <c r="AB1091">
        <v>16</v>
      </c>
      <c r="AC1091">
        <v>5.9504999999999999</v>
      </c>
      <c r="AD1091">
        <v>-1.109158878641</v>
      </c>
      <c r="AE1091">
        <v>-4.1865000000000201</v>
      </c>
      <c r="AF1091">
        <v>3.1749179720070599</v>
      </c>
      <c r="AG1091">
        <v>-1.109158878641</v>
      </c>
      <c r="AH1091">
        <v>6.3622206781463797</v>
      </c>
      <c r="AI1091">
        <v>98.866161856962293</v>
      </c>
      <c r="AJ1091">
        <v>63.479579102545301</v>
      </c>
      <c r="AK1091">
        <v>7.1964011494965296</v>
      </c>
      <c r="AL1091">
        <v>84.212163005845099</v>
      </c>
      <c r="AM1091">
        <v>80.152255138713002</v>
      </c>
      <c r="AN1091">
        <v>1.00000002821434</v>
      </c>
    </row>
    <row r="1092" spans="1:40" x14ac:dyDescent="0.25">
      <c r="A1092" t="str">
        <f>"20190312151245475"</f>
        <v>20190312151245475</v>
      </c>
      <c r="B1092" t="str">
        <f>"1552374765470799"</f>
        <v>1552374765470799</v>
      </c>
      <c r="C1092" t="s">
        <v>40</v>
      </c>
      <c r="D1092">
        <v>4.5832139999999999</v>
      </c>
      <c r="E1092">
        <v>0.60936919999999895</v>
      </c>
      <c r="F1092" t="s">
        <v>51</v>
      </c>
      <c r="G1092">
        <v>-205.31780000000001</v>
      </c>
      <c r="H1092" s="1">
        <v>-4.7821950000000002E-6</v>
      </c>
      <c r="I1092">
        <v>362.0428</v>
      </c>
      <c r="J1092">
        <v>-211.36490000000001</v>
      </c>
      <c r="K1092">
        <v>1.109146</v>
      </c>
      <c r="L1092">
        <v>366.3329</v>
      </c>
      <c r="M1092">
        <v>0.98808879999999999</v>
      </c>
      <c r="N1092">
        <v>0</v>
      </c>
      <c r="O1092">
        <v>-0.15324889999999999</v>
      </c>
      <c r="P1092">
        <v>0.94393819999999995</v>
      </c>
      <c r="Q1092">
        <v>8.7548719999999997E-2</v>
      </c>
      <c r="R1092">
        <v>-0.31830180000000002</v>
      </c>
      <c r="S1092">
        <v>2.6130520000000002</v>
      </c>
      <c r="T1092">
        <v>-0.4658561</v>
      </c>
      <c r="U1092">
        <v>-1.814789</v>
      </c>
      <c r="V1092">
        <v>0.17023969999999999</v>
      </c>
      <c r="W1092">
        <v>0.100635</v>
      </c>
      <c r="X1092">
        <v>0.98025050000000002</v>
      </c>
      <c r="Y1092">
        <v>0.4348727</v>
      </c>
      <c r="Z1092">
        <v>-1.0617079999999999E-2</v>
      </c>
      <c r="AA1092">
        <v>0.90042939999999905</v>
      </c>
      <c r="AB1092">
        <v>16</v>
      </c>
      <c r="AC1092">
        <v>6.0471000000000004</v>
      </c>
      <c r="AD1092">
        <v>-1.109150782195</v>
      </c>
      <c r="AE1092">
        <v>-4.29009999999999</v>
      </c>
      <c r="AF1092">
        <v>3.2401022476819499</v>
      </c>
      <c r="AG1092">
        <v>-1.109150782195</v>
      </c>
      <c r="AH1092">
        <v>6.4879794896121297</v>
      </c>
      <c r="AI1092">
        <v>98.695616048958797</v>
      </c>
      <c r="AJ1092">
        <v>63.462420002007498</v>
      </c>
      <c r="AK1092">
        <v>7.3363721205174102</v>
      </c>
      <c r="AL1092">
        <v>84.224262241705404</v>
      </c>
      <c r="AM1092">
        <v>80.147733100204206</v>
      </c>
      <c r="AN1092">
        <v>1.00000000071567</v>
      </c>
    </row>
    <row r="1093" spans="1:40" x14ac:dyDescent="0.25">
      <c r="A1093" t="str">
        <f>"20190312151245495"</f>
        <v>20190312151245495</v>
      </c>
      <c r="B1093" t="str">
        <f>"1552374765490319"</f>
        <v>1552374765490319</v>
      </c>
      <c r="C1093" t="s">
        <v>40</v>
      </c>
      <c r="D1093">
        <v>4.5588870000000004</v>
      </c>
      <c r="E1093">
        <v>0.60922549999999998</v>
      </c>
      <c r="F1093" t="s">
        <v>51</v>
      </c>
      <c r="G1093">
        <v>-205.03739999999999</v>
      </c>
      <c r="H1093" s="1">
        <v>-4.6803970000000002E-6</v>
      </c>
      <c r="I1093">
        <v>361.91289999999998</v>
      </c>
      <c r="J1093">
        <v>-211.22300000000001</v>
      </c>
      <c r="K1093">
        <v>1.109148</v>
      </c>
      <c r="L1093">
        <v>366.3073</v>
      </c>
      <c r="M1093">
        <v>0.98762700000000003</v>
      </c>
      <c r="N1093">
        <v>0</v>
      </c>
      <c r="O1093">
        <v>-0.156198799999999</v>
      </c>
      <c r="P1093">
        <v>0.9429592</v>
      </c>
      <c r="Q1093">
        <v>8.7035100000000004E-2</v>
      </c>
      <c r="R1093">
        <v>-0.3213298</v>
      </c>
      <c r="S1093">
        <v>2.6065670000000001</v>
      </c>
      <c r="T1093">
        <v>-0.4569066</v>
      </c>
      <c r="U1093">
        <v>-1.82077</v>
      </c>
      <c r="V1093">
        <v>0.17044979999999901</v>
      </c>
      <c r="W1093">
        <v>0.10011879999999999</v>
      </c>
      <c r="X1093">
        <v>0.98026690000000005</v>
      </c>
      <c r="Y1093">
        <v>0.4347627</v>
      </c>
      <c r="Z1093">
        <v>-9.9748800000000002E-3</v>
      </c>
      <c r="AA1093">
        <v>0.90048980000000001</v>
      </c>
      <c r="AB1093">
        <v>16</v>
      </c>
      <c r="AC1093">
        <v>6.1855999999999902</v>
      </c>
      <c r="AD1093">
        <v>-1.109152680397</v>
      </c>
      <c r="AE1093">
        <v>-4.3944000000000099</v>
      </c>
      <c r="AF1093">
        <v>3.3035818625825399</v>
      </c>
      <c r="AG1093">
        <v>-1.109152680397</v>
      </c>
      <c r="AH1093">
        <v>6.6539447479759097</v>
      </c>
      <c r="AI1093">
        <v>98.491666255610298</v>
      </c>
      <c r="AJ1093">
        <v>63.5963040710309</v>
      </c>
      <c r="AK1093">
        <v>7.5112484648247699</v>
      </c>
      <c r="AL1093">
        <v>84.253988750816902</v>
      </c>
      <c r="AM1093">
        <v>80.135974489780196</v>
      </c>
      <c r="AN1093">
        <v>1.00000005183454</v>
      </c>
    </row>
    <row r="1094" spans="1:40" x14ac:dyDescent="0.25">
      <c r="A1094" t="str">
        <f>"20190312151245517"</f>
        <v>20190312151245517</v>
      </c>
      <c r="B1094" t="str">
        <f>"1552374765510819"</f>
        <v>1552374765510819</v>
      </c>
      <c r="C1094" t="s">
        <v>40</v>
      </c>
      <c r="D1094">
        <v>5.1815810000000004</v>
      </c>
      <c r="E1094">
        <v>0.60947569999999995</v>
      </c>
      <c r="F1094" t="s">
        <v>51</v>
      </c>
      <c r="G1094">
        <v>-204.86019999999999</v>
      </c>
      <c r="H1094" s="1">
        <v>-4.6099030000000004E-6</v>
      </c>
      <c r="I1094">
        <v>361.83510000000001</v>
      </c>
      <c r="J1094">
        <v>-211.06739999999999</v>
      </c>
      <c r="K1094">
        <v>1.1091519999999999</v>
      </c>
      <c r="L1094">
        <v>366.27870000000001</v>
      </c>
      <c r="M1094">
        <v>0.98710679999999995</v>
      </c>
      <c r="N1094">
        <v>0</v>
      </c>
      <c r="O1094">
        <v>-0.15945239999999999</v>
      </c>
      <c r="P1094">
        <v>0.94195430000000002</v>
      </c>
      <c r="Q1094">
        <v>8.6416469999999995E-2</v>
      </c>
      <c r="R1094">
        <v>-0.32442910000000003</v>
      </c>
      <c r="S1094">
        <v>2.6004939999999999</v>
      </c>
      <c r="T1094">
        <v>-0.45331549999999998</v>
      </c>
      <c r="U1094">
        <v>-1.82782</v>
      </c>
      <c r="V1094">
        <v>0.17043050000000001</v>
      </c>
      <c r="W1094">
        <v>9.9500569999999997E-2</v>
      </c>
      <c r="X1094">
        <v>0.98033309999999996</v>
      </c>
      <c r="Y1094">
        <v>0.4344962</v>
      </c>
      <c r="Z1094">
        <v>-9.3992759999999998E-3</v>
      </c>
      <c r="AA1094">
        <v>0.900624599999999</v>
      </c>
      <c r="AB1094">
        <v>16</v>
      </c>
      <c r="AC1094">
        <v>6.2072000000000003</v>
      </c>
      <c r="AD1094">
        <v>-1.1091566099029999</v>
      </c>
      <c r="AE1094">
        <v>-4.4436</v>
      </c>
      <c r="AF1094">
        <v>3.32665790162583</v>
      </c>
      <c r="AG1094">
        <v>-1.1091566099029999</v>
      </c>
      <c r="AH1094">
        <v>6.6950414345840796</v>
      </c>
      <c r="AI1094">
        <v>98.439001093921405</v>
      </c>
      <c r="AJ1094">
        <v>63.577961006983699</v>
      </c>
      <c r="AK1094">
        <v>7.55780794877316</v>
      </c>
      <c r="AL1094">
        <v>84.289587917873803</v>
      </c>
      <c r="AM1094">
        <v>80.137722402905695</v>
      </c>
      <c r="AN1094">
        <v>0.99999995285809096</v>
      </c>
    </row>
    <row r="1095" spans="1:40" x14ac:dyDescent="0.25">
      <c r="A1095" t="str">
        <f>"20190312151245543"</f>
        <v>20190312151245543</v>
      </c>
      <c r="B1095" t="str">
        <f>"1552374765541071"</f>
        <v>1552374765541071</v>
      </c>
      <c r="C1095" t="s">
        <v>40</v>
      </c>
      <c r="D1095">
        <v>4.6205550000000004</v>
      </c>
      <c r="E1095">
        <v>0.60970190000000002</v>
      </c>
      <c r="F1095" t="s">
        <v>51</v>
      </c>
      <c r="G1095">
        <v>-204.71850000000001</v>
      </c>
      <c r="H1095" s="1">
        <v>-4.5507959999999996E-6</v>
      </c>
      <c r="I1095">
        <v>361.78</v>
      </c>
      <c r="J1095">
        <v>-210.88650000000001</v>
      </c>
      <c r="K1095">
        <v>1.1091610000000001</v>
      </c>
      <c r="L1095">
        <v>366.2448</v>
      </c>
      <c r="M1095">
        <v>0.98648690000000006</v>
      </c>
      <c r="N1095">
        <v>0</v>
      </c>
      <c r="O1095">
        <v>-0.16324459999999999</v>
      </c>
      <c r="P1095">
        <v>0.94095459999999997</v>
      </c>
      <c r="Q1095">
        <v>8.5348809999999997E-2</v>
      </c>
      <c r="R1095">
        <v>-0.32759779999999999</v>
      </c>
      <c r="S1095">
        <v>2.5934750000000002</v>
      </c>
      <c r="T1095">
        <v>-0.45308209999999999</v>
      </c>
      <c r="U1095">
        <v>-1.837677</v>
      </c>
      <c r="V1095">
        <v>0.16993949999999999</v>
      </c>
      <c r="W1095">
        <v>9.8439100000000002E-2</v>
      </c>
      <c r="X1095">
        <v>0.9805256</v>
      </c>
      <c r="Y1095">
        <v>0.43450529999999998</v>
      </c>
      <c r="Z1095">
        <v>-8.8370129999999995E-3</v>
      </c>
      <c r="AA1095">
        <v>0.90062589999999998</v>
      </c>
      <c r="AB1095">
        <v>16</v>
      </c>
      <c r="AC1095">
        <v>6.1680000000000001</v>
      </c>
      <c r="AD1095">
        <v>-1.1091655507960001</v>
      </c>
      <c r="AE1095">
        <v>-4.4648000000000199</v>
      </c>
      <c r="AF1095">
        <v>3.32730300160843</v>
      </c>
      <c r="AG1095">
        <v>-1.1091655507960001</v>
      </c>
      <c r="AH1095">
        <v>6.6725839699666896</v>
      </c>
      <c r="AI1095">
        <v>98.461173288796104</v>
      </c>
      <c r="AJ1095">
        <v>63.496730980070303</v>
      </c>
      <c r="AK1095">
        <v>7.5382073677925296</v>
      </c>
      <c r="AL1095">
        <v>84.350706407294993</v>
      </c>
      <c r="AM1095">
        <v>80.167472521905296</v>
      </c>
      <c r="AN1095">
        <v>1.0000000711621999</v>
      </c>
    </row>
    <row r="1096" spans="1:40" x14ac:dyDescent="0.25">
      <c r="A1096" t="str">
        <f>"20190312151245561"</f>
        <v>20190312151245561</v>
      </c>
      <c r="B1096" t="str">
        <f>"1552374765550832"</f>
        <v>1552374765550832</v>
      </c>
      <c r="C1096" t="s">
        <v>40</v>
      </c>
      <c r="D1096">
        <v>4.6181429999999999</v>
      </c>
      <c r="E1096">
        <v>0.60987130000000001</v>
      </c>
      <c r="F1096" t="s">
        <v>51</v>
      </c>
      <c r="G1096">
        <v>-204.6832</v>
      </c>
      <c r="H1096" s="1">
        <v>-4.5257940000000002E-6</v>
      </c>
      <c r="I1096">
        <v>361.81259999999997</v>
      </c>
      <c r="J1096">
        <v>-210.75620000000001</v>
      </c>
      <c r="K1096">
        <v>1.1091679999999999</v>
      </c>
      <c r="L1096">
        <v>366.2199</v>
      </c>
      <c r="M1096">
        <v>0.98603090000000004</v>
      </c>
      <c r="N1096">
        <v>0</v>
      </c>
      <c r="O1096">
        <v>-0.1659765</v>
      </c>
      <c r="P1096">
        <v>0.94021469999999896</v>
      </c>
      <c r="Q1096">
        <v>8.5040859999999996E-2</v>
      </c>
      <c r="R1096">
        <v>-0.3297949</v>
      </c>
      <c r="S1096">
        <v>2.5867460000000002</v>
      </c>
      <c r="T1096">
        <v>-0.46251320000000001</v>
      </c>
      <c r="U1096">
        <v>-1.848206</v>
      </c>
      <c r="V1096">
        <v>0.1695044</v>
      </c>
      <c r="W1096">
        <v>9.8135890000000003E-2</v>
      </c>
      <c r="X1096">
        <v>0.98063120000000004</v>
      </c>
      <c r="Y1096">
        <v>0.43545309999999998</v>
      </c>
      <c r="Z1096">
        <v>-8.6858309999999998E-3</v>
      </c>
      <c r="AA1096">
        <v>0.90016949999999996</v>
      </c>
      <c r="AB1096">
        <v>16</v>
      </c>
      <c r="AC1096">
        <v>6.0730000000000004</v>
      </c>
      <c r="AD1096">
        <v>-1.1091725257939999</v>
      </c>
      <c r="AE1096">
        <v>-4.4073000000000198</v>
      </c>
      <c r="AF1096">
        <v>3.2667072243262401</v>
      </c>
      <c r="AG1096">
        <v>-1.1091725257939999</v>
      </c>
      <c r="AH1096">
        <v>6.5766309635960596</v>
      </c>
      <c r="AI1096">
        <v>98.589389380622606</v>
      </c>
      <c r="AJ1096">
        <v>63.585748021824699</v>
      </c>
      <c r="AK1096">
        <v>7.4265546933131796</v>
      </c>
      <c r="AL1096">
        <v>84.368163028380806</v>
      </c>
      <c r="AM1096">
        <v>80.193193110696498</v>
      </c>
      <c r="AN1096">
        <v>0.99999997246944505</v>
      </c>
    </row>
    <row r="1097" spans="1:40" x14ac:dyDescent="0.25">
      <c r="A1097" t="str">
        <f>"20190312151245584"</f>
        <v>20190312151245584</v>
      </c>
      <c r="B1097" t="str">
        <f>"1552374765581088"</f>
        <v>1552374765581088</v>
      </c>
      <c r="C1097" t="s">
        <v>40</v>
      </c>
      <c r="D1097">
        <v>5.0174719999999997</v>
      </c>
      <c r="E1097">
        <v>0.61075140000000006</v>
      </c>
      <c r="F1097" t="s">
        <v>51</v>
      </c>
      <c r="G1097">
        <v>-204.60589999999999</v>
      </c>
      <c r="H1097" s="1">
        <v>-4.4900290000000004E-6</v>
      </c>
      <c r="I1097">
        <v>361.79829999999998</v>
      </c>
      <c r="J1097">
        <v>-210.59989999999999</v>
      </c>
      <c r="K1097">
        <v>1.109189</v>
      </c>
      <c r="L1097">
        <v>366.18959999999998</v>
      </c>
      <c r="M1097">
        <v>0.98547450000000003</v>
      </c>
      <c r="N1097">
        <v>0</v>
      </c>
      <c r="O1097">
        <v>-0.1692495</v>
      </c>
      <c r="P1097">
        <v>0.93918069999999998</v>
      </c>
      <c r="Q1097">
        <v>8.497478E-2</v>
      </c>
      <c r="R1097">
        <v>-0.33274500000000001</v>
      </c>
      <c r="S1097">
        <v>2.5818180000000002</v>
      </c>
      <c r="T1097">
        <v>-0.46561049999999998</v>
      </c>
      <c r="U1097">
        <v>-1.856079</v>
      </c>
      <c r="V1097">
        <v>0.16932159999999999</v>
      </c>
      <c r="W1097">
        <v>9.8073720000000003E-2</v>
      </c>
      <c r="X1097">
        <v>0.98066900000000001</v>
      </c>
      <c r="Y1097">
        <v>0.43509239999999999</v>
      </c>
      <c r="Z1097">
        <v>-8.2158909999999995E-3</v>
      </c>
      <c r="AA1097">
        <v>0.90034840000000005</v>
      </c>
      <c r="AB1097">
        <v>16</v>
      </c>
      <c r="AC1097">
        <v>5.9939999999999998</v>
      </c>
      <c r="AD1097">
        <v>-1.1091934900289999</v>
      </c>
      <c r="AE1097">
        <v>-4.3913000000000002</v>
      </c>
      <c r="AF1097">
        <v>3.2411311450921301</v>
      </c>
      <c r="AG1097">
        <v>-1.1091934900289999</v>
      </c>
      <c r="AH1097">
        <v>6.5058335285163604</v>
      </c>
      <c r="AI1097">
        <v>98.676581352165698</v>
      </c>
      <c r="AJ1097">
        <v>63.518044146610698</v>
      </c>
      <c r="AK1097">
        <v>7.3526261430033699</v>
      </c>
      <c r="AL1097">
        <v>84.371742377498606</v>
      </c>
      <c r="AM1097">
        <v>80.203934406948804</v>
      </c>
      <c r="AN1097">
        <v>0.99999997317109801</v>
      </c>
    </row>
    <row r="1098" spans="1:40" x14ac:dyDescent="0.25">
      <c r="A1098" t="str">
        <f>"20190312151245607"</f>
        <v>20190312151245607</v>
      </c>
      <c r="B1098" t="str">
        <f>"1552374765600607"</f>
        <v>1552374765600607</v>
      </c>
      <c r="C1098" t="s">
        <v>40</v>
      </c>
      <c r="D1098">
        <v>4.6352799999999998</v>
      </c>
      <c r="E1098">
        <v>0.61098450000000004</v>
      </c>
      <c r="F1098" t="s">
        <v>51</v>
      </c>
      <c r="G1098">
        <v>-204.56630000000001</v>
      </c>
      <c r="H1098" s="1">
        <v>-4.4689659999999901E-6</v>
      </c>
      <c r="I1098">
        <v>361.80349999999999</v>
      </c>
      <c r="J1098">
        <v>-210.44130000000001</v>
      </c>
      <c r="K1098">
        <v>1.1092029999999999</v>
      </c>
      <c r="L1098">
        <v>366.1583</v>
      </c>
      <c r="M1098">
        <v>0.98489930000000003</v>
      </c>
      <c r="N1098">
        <v>0</v>
      </c>
      <c r="O1098">
        <v>-0.17256489999999999</v>
      </c>
      <c r="P1098">
        <v>0.93805620000000001</v>
      </c>
      <c r="Q1098">
        <v>8.5242999999999999E-2</v>
      </c>
      <c r="R1098">
        <v>-0.33583380000000002</v>
      </c>
      <c r="S1098">
        <v>2.5740970000000001</v>
      </c>
      <c r="T1098">
        <v>-0.47320410000000002</v>
      </c>
      <c r="U1098">
        <v>-1.871216</v>
      </c>
      <c r="V1098">
        <v>0.1692495</v>
      </c>
      <c r="W1098">
        <v>9.8344680000000004E-2</v>
      </c>
      <c r="X1098">
        <v>0.98065440000000004</v>
      </c>
      <c r="Y1098">
        <v>0.43674499999999999</v>
      </c>
      <c r="Z1098">
        <v>-7.972514E-3</v>
      </c>
      <c r="AA1098">
        <v>0.89954999999999996</v>
      </c>
      <c r="AB1098">
        <v>16</v>
      </c>
      <c r="AC1098">
        <v>5.875</v>
      </c>
      <c r="AD1098">
        <v>-1.1092074689659901</v>
      </c>
      <c r="AE1098">
        <v>-4.3548000000000098</v>
      </c>
      <c r="AF1098">
        <v>3.2018782529477998</v>
      </c>
      <c r="AG1098">
        <v>-1.1092074689659901</v>
      </c>
      <c r="AH1098">
        <v>6.3913679252679598</v>
      </c>
      <c r="AI1098">
        <v>98.8199994448251</v>
      </c>
      <c r="AJ1098">
        <v>63.3905427936363</v>
      </c>
      <c r="AK1098">
        <v>7.2340824927598204</v>
      </c>
      <c r="AL1098">
        <v>84.356142593706807</v>
      </c>
      <c r="AM1098">
        <v>80.207882009922102</v>
      </c>
      <c r="AN1098">
        <v>1.0000000607869499</v>
      </c>
    </row>
    <row r="1099" spans="1:40" x14ac:dyDescent="0.25">
      <c r="A1099" t="str">
        <f>"20190312151245628"</f>
        <v>20190312151245628</v>
      </c>
      <c r="B1099" t="str">
        <f>"1552374765621103"</f>
        <v>1552374765621103</v>
      </c>
      <c r="C1099" t="s">
        <v>40</v>
      </c>
      <c r="D1099">
        <v>4.6487509999999999</v>
      </c>
      <c r="E1099">
        <v>0.61118669999999997</v>
      </c>
      <c r="F1099" t="s">
        <v>51</v>
      </c>
      <c r="G1099">
        <v>-204.44749999999999</v>
      </c>
      <c r="H1099" s="1">
        <v>-4.4168359999999999E-6</v>
      </c>
      <c r="I1099">
        <v>361.76909999999998</v>
      </c>
      <c r="J1099">
        <v>-210.28710000000001</v>
      </c>
      <c r="K1099">
        <v>1.109213</v>
      </c>
      <c r="L1099">
        <v>366.12720000000002</v>
      </c>
      <c r="M1099">
        <v>0.9843305</v>
      </c>
      <c r="N1099">
        <v>0</v>
      </c>
      <c r="O1099">
        <v>-0.1757802</v>
      </c>
      <c r="P1099">
        <v>0.93702580000000002</v>
      </c>
      <c r="Q1099">
        <v>8.5786100000000004E-2</v>
      </c>
      <c r="R1099">
        <v>-0.33856029999999998</v>
      </c>
      <c r="S1099">
        <v>2.5680390000000002</v>
      </c>
      <c r="T1099">
        <v>-0.47523979999999999</v>
      </c>
      <c r="U1099">
        <v>-1.8805240000000001</v>
      </c>
      <c r="V1099">
        <v>0.16890520000000001</v>
      </c>
      <c r="W1099">
        <v>9.8891309999999996E-2</v>
      </c>
      <c r="X1099">
        <v>0.98065869999999999</v>
      </c>
      <c r="Y1099">
        <v>0.43695200000000001</v>
      </c>
      <c r="Z1099">
        <v>-7.5255039999999997E-3</v>
      </c>
      <c r="AA1099">
        <v>0.89945330000000001</v>
      </c>
      <c r="AB1099">
        <v>16</v>
      </c>
      <c r="AC1099">
        <v>5.8396000000000097</v>
      </c>
      <c r="AD1099">
        <v>-1.1092174168359901</v>
      </c>
      <c r="AE1099">
        <v>-4.3581000000000296</v>
      </c>
      <c r="AF1099">
        <v>3.1897260368373601</v>
      </c>
      <c r="AG1099">
        <v>-1.1092174168359901</v>
      </c>
      <c r="AH1099">
        <v>6.3672483435737703</v>
      </c>
      <c r="AI1099">
        <v>98.852997937968397</v>
      </c>
      <c r="AJ1099">
        <v>63.391039484027701</v>
      </c>
      <c r="AK1099">
        <v>7.2073966823419298</v>
      </c>
      <c r="AL1099">
        <v>84.324669077317296</v>
      </c>
      <c r="AM1099">
        <v>80.227459417170095</v>
      </c>
      <c r="AN1099">
        <v>0.99999997183312195</v>
      </c>
    </row>
    <row r="1100" spans="1:40" x14ac:dyDescent="0.25">
      <c r="A1100" t="str">
        <f>"20190312151245642"</f>
        <v>20190312151245642</v>
      </c>
      <c r="B1100" t="str">
        <f>"1552374765640623"</f>
        <v>1552374765640623</v>
      </c>
      <c r="C1100" t="s">
        <v>40</v>
      </c>
      <c r="D1100">
        <v>4.6465829999999997</v>
      </c>
      <c r="E1100">
        <v>0.61134149999999998</v>
      </c>
      <c r="F1100" t="s">
        <v>51</v>
      </c>
      <c r="G1100">
        <v>-204.3331</v>
      </c>
      <c r="H1100" s="1">
        <v>-4.3666349999999997E-6</v>
      </c>
      <c r="I1100">
        <v>361.73590000000002</v>
      </c>
      <c r="J1100">
        <v>-210.18899999999999</v>
      </c>
      <c r="K1100">
        <v>1.109219</v>
      </c>
      <c r="L1100">
        <v>366.10719999999998</v>
      </c>
      <c r="M1100">
        <v>0.98396360000000005</v>
      </c>
      <c r="N1100">
        <v>0</v>
      </c>
      <c r="O1100">
        <v>-0.1778237</v>
      </c>
      <c r="P1100">
        <v>0.93644819999999995</v>
      </c>
      <c r="Q1100">
        <v>8.5632819999999998E-2</v>
      </c>
      <c r="R1100">
        <v>-0.34019369999999999</v>
      </c>
      <c r="S1100">
        <v>2.5624539999999998</v>
      </c>
      <c r="T1100">
        <v>-0.47737780000000002</v>
      </c>
      <c r="U1100">
        <v>-1.889923</v>
      </c>
      <c r="V1100">
        <v>0.16857329999999901</v>
      </c>
      <c r="W1100">
        <v>9.8741380000000004E-2</v>
      </c>
      <c r="X1100">
        <v>0.98073100000000002</v>
      </c>
      <c r="Y1100">
        <v>0.43814330000000001</v>
      </c>
      <c r="Z1100">
        <v>-7.3414409999999998E-3</v>
      </c>
      <c r="AA1100">
        <v>0.89887519999999999</v>
      </c>
      <c r="AB1100">
        <v>16</v>
      </c>
      <c r="AC1100">
        <v>5.8559000000000099</v>
      </c>
      <c r="AD1100">
        <v>-1.109223366635</v>
      </c>
      <c r="AE1100">
        <v>-4.3712999999999598</v>
      </c>
      <c r="AF1100">
        <v>3.1867732240511102</v>
      </c>
      <c r="AG1100">
        <v>-1.109223366635</v>
      </c>
      <c r="AH1100">
        <v>6.3926566583750697</v>
      </c>
      <c r="AI1100">
        <v>98.826929343309004</v>
      </c>
      <c r="AJ1100">
        <v>63.5035017868043</v>
      </c>
      <c r="AK1100">
        <v>7.2285516675531403</v>
      </c>
      <c r="AL1100">
        <v>84.333302162857294</v>
      </c>
      <c r="AM1100">
        <v>80.246998563649697</v>
      </c>
      <c r="AN1100">
        <v>1.00000005597909</v>
      </c>
    </row>
    <row r="1101" spans="1:40" x14ac:dyDescent="0.25">
      <c r="A1101" t="str">
        <f>"20190312151245662"</f>
        <v>20190312151245662</v>
      </c>
      <c r="B1101" t="str">
        <f>"1552374765650383"</f>
        <v>1552374765650383</v>
      </c>
      <c r="C1101" t="s">
        <v>40</v>
      </c>
      <c r="D1101">
        <v>4.7039070000000001</v>
      </c>
      <c r="E1101">
        <v>0.61151460000000002</v>
      </c>
      <c r="F1101" t="s">
        <v>51</v>
      </c>
      <c r="G1101">
        <v>-204.31290000000001</v>
      </c>
      <c r="H1101" s="1">
        <v>-4.3522079999999998E-6</v>
      </c>
      <c r="I1101">
        <v>361.755</v>
      </c>
      <c r="J1101">
        <v>-210.0573</v>
      </c>
      <c r="K1101">
        <v>1.1092310000000001</v>
      </c>
      <c r="L1101">
        <v>366.08010000000002</v>
      </c>
      <c r="M1101">
        <v>0.98346469999999997</v>
      </c>
      <c r="N1101">
        <v>0</v>
      </c>
      <c r="O1101">
        <v>-0.18056249999999999</v>
      </c>
      <c r="P1101">
        <v>0.93573629999999997</v>
      </c>
      <c r="Q1101">
        <v>8.5425710000000002E-2</v>
      </c>
      <c r="R1101">
        <v>-0.34219919999999998</v>
      </c>
      <c r="S1101">
        <v>2.559158</v>
      </c>
      <c r="T1101">
        <v>-0.4830836</v>
      </c>
      <c r="U1101">
        <v>-1.8954770000000001</v>
      </c>
      <c r="V1101">
        <v>0.167936</v>
      </c>
      <c r="W1101">
        <v>9.853874E-2</v>
      </c>
      <c r="X1101">
        <v>0.98086070000000003</v>
      </c>
      <c r="Y1101">
        <v>0.43742809999999999</v>
      </c>
      <c r="Z1101">
        <v>-6.9338159999999998E-3</v>
      </c>
      <c r="AA1101">
        <v>0.89922669999999905</v>
      </c>
      <c r="AB1101">
        <v>16</v>
      </c>
      <c r="AC1101">
        <v>5.7443999999999802</v>
      </c>
      <c r="AD1101">
        <v>-1.1092353522079901</v>
      </c>
      <c r="AE1101">
        <v>-4.3251000000000204</v>
      </c>
      <c r="AF1101">
        <v>3.1419053678805602</v>
      </c>
      <c r="AG1101">
        <v>-1.1092353522079901</v>
      </c>
      <c r="AH1101">
        <v>6.2815108307226799</v>
      </c>
      <c r="AI1101">
        <v>98.974763398553605</v>
      </c>
      <c r="AJ1101">
        <v>63.426558153497297</v>
      </c>
      <c r="AK1101">
        <v>7.1105098779054599</v>
      </c>
      <c r="AL1101">
        <v>84.344969433653304</v>
      </c>
      <c r="AM1101">
        <v>80.284426443780802</v>
      </c>
      <c r="AN1101">
        <v>1.0000000480906299</v>
      </c>
    </row>
    <row r="1102" spans="1:40" x14ac:dyDescent="0.25">
      <c r="A1102" t="str">
        <f>"20190312151245678"</f>
        <v>20190312151245678</v>
      </c>
      <c r="B1102" t="str">
        <f>"1552374765670880"</f>
        <v>1552374765670880</v>
      </c>
      <c r="C1102" t="s">
        <v>40</v>
      </c>
      <c r="D1102">
        <v>4.9194100000000001</v>
      </c>
      <c r="E1102">
        <v>0.61184769999999999</v>
      </c>
      <c r="F1102" t="s">
        <v>51</v>
      </c>
      <c r="G1102">
        <v>-204.2269</v>
      </c>
      <c r="H1102" s="1">
        <v>-4.3120390000000004E-6</v>
      </c>
      <c r="I1102">
        <v>361.74099999999999</v>
      </c>
      <c r="J1102">
        <v>-209.94669999999999</v>
      </c>
      <c r="K1102">
        <v>1.1092409999999999</v>
      </c>
      <c r="L1102">
        <v>366.05689999999998</v>
      </c>
      <c r="M1102">
        <v>0.98304069999999999</v>
      </c>
      <c r="N1102">
        <v>0</v>
      </c>
      <c r="O1102">
        <v>-0.18285789999999999</v>
      </c>
      <c r="P1102">
        <v>0.93496579999999996</v>
      </c>
      <c r="Q1102">
        <v>8.5110080000000005E-2</v>
      </c>
      <c r="R1102">
        <v>-0.34437709999999999</v>
      </c>
      <c r="S1102">
        <v>2.5550229999999998</v>
      </c>
      <c r="T1102">
        <v>-0.48609760000000002</v>
      </c>
      <c r="U1102">
        <v>-1.901489</v>
      </c>
      <c r="V1102">
        <v>0.16792170000000001</v>
      </c>
      <c r="W1102">
        <v>9.8223199999999997E-2</v>
      </c>
      <c r="X1102">
        <v>0.98089470000000001</v>
      </c>
      <c r="Y1102">
        <v>0.43737989999999999</v>
      </c>
      <c r="Z1102">
        <v>-6.6084280000000004E-3</v>
      </c>
      <c r="AA1102">
        <v>0.89925259999999996</v>
      </c>
      <c r="AB1102">
        <v>16</v>
      </c>
      <c r="AC1102">
        <v>5.7197999999999896</v>
      </c>
      <c r="AD1102">
        <v>-1.109245312039</v>
      </c>
      <c r="AE1102">
        <v>-4.3158999999999903</v>
      </c>
      <c r="AF1102">
        <v>3.12228013515367</v>
      </c>
      <c r="AG1102">
        <v>-1.109245312039</v>
      </c>
      <c r="AH1102">
        <v>6.2625344339396296</v>
      </c>
      <c r="AI1102">
        <v>99.007321448254501</v>
      </c>
      <c r="AJ1102">
        <v>63.500764653018301</v>
      </c>
      <c r="AK1102">
        <v>7.0850826347287796</v>
      </c>
      <c r="AL1102">
        <v>84.363136140201306</v>
      </c>
      <c r="AM1102">
        <v>80.285568292620198</v>
      </c>
      <c r="AN1102">
        <v>0.99999995341860803</v>
      </c>
    </row>
    <row r="1103" spans="1:40" x14ac:dyDescent="0.25">
      <c r="A1103" t="str">
        <f>"20190312151245697"</f>
        <v>20190312151245697</v>
      </c>
      <c r="B1103" t="str">
        <f>"1552374765690399"</f>
        <v>1552374765690399</v>
      </c>
      <c r="C1103" t="s">
        <v>40</v>
      </c>
      <c r="D1103">
        <v>4.9469250000000002</v>
      </c>
      <c r="E1103">
        <v>0.6123151</v>
      </c>
      <c r="F1103" t="s">
        <v>51</v>
      </c>
      <c r="G1103">
        <v>-204.1293</v>
      </c>
      <c r="H1103" s="1">
        <v>-4.2722829999999999E-6</v>
      </c>
      <c r="I1103">
        <v>361.69900000000001</v>
      </c>
      <c r="J1103">
        <v>-209.82</v>
      </c>
      <c r="K1103">
        <v>1.1092550000000001</v>
      </c>
      <c r="L1103">
        <v>366.03019999999998</v>
      </c>
      <c r="M1103">
        <v>0.98254819999999998</v>
      </c>
      <c r="N1103">
        <v>0</v>
      </c>
      <c r="O1103">
        <v>-0.18548600000000001</v>
      </c>
      <c r="P1103">
        <v>0.93425899999999995</v>
      </c>
      <c r="Q1103">
        <v>8.4458679999999994E-2</v>
      </c>
      <c r="R1103">
        <v>-0.34644930000000002</v>
      </c>
      <c r="S1103">
        <v>2.5494379999999999</v>
      </c>
      <c r="T1103">
        <v>-0.48612529999999998</v>
      </c>
      <c r="U1103">
        <v>-1.9098820000000001</v>
      </c>
      <c r="V1103">
        <v>0.16745779999999999</v>
      </c>
      <c r="W1103">
        <v>9.7575439999999999E-2</v>
      </c>
      <c r="X1103">
        <v>0.98103870000000004</v>
      </c>
      <c r="Y1103">
        <v>0.43784210000000001</v>
      </c>
      <c r="Z1103">
        <v>-6.2317960000000004E-3</v>
      </c>
      <c r="AA1103">
        <v>0.89903029999999995</v>
      </c>
      <c r="AB1103">
        <v>16</v>
      </c>
      <c r="AC1103">
        <v>5.6906999999999899</v>
      </c>
      <c r="AD1103">
        <v>-1.1092592722829999</v>
      </c>
      <c r="AE1103">
        <v>-4.33119999999996</v>
      </c>
      <c r="AF1103">
        <v>3.1251891940820999</v>
      </c>
      <c r="AG1103">
        <v>-1.1092592722829999</v>
      </c>
      <c r="AH1103">
        <v>6.2451329056655496</v>
      </c>
      <c r="AI1103">
        <v>99.025533123182697</v>
      </c>
      <c r="AJ1103">
        <v>63.415702249749799</v>
      </c>
      <c r="AK1103">
        <v>7.0709934691937102</v>
      </c>
      <c r="AL1103">
        <v>84.400429496391197</v>
      </c>
      <c r="AM1103">
        <v>80.3132911574302</v>
      </c>
      <c r="AN1103">
        <v>1.0000000060848599</v>
      </c>
    </row>
    <row r="1104" spans="1:40" x14ac:dyDescent="0.25">
      <c r="A1104" t="str">
        <f>"20190312151245718"</f>
        <v>20190312151245718</v>
      </c>
      <c r="B1104" t="str">
        <f>"1552374765710427"</f>
        <v>1552374765710427</v>
      </c>
      <c r="C1104" t="s">
        <v>40</v>
      </c>
      <c r="D1104">
        <v>4.9324490000000001</v>
      </c>
      <c r="E1104">
        <v>0.61275119999999905</v>
      </c>
      <c r="F1104" t="s">
        <v>51</v>
      </c>
      <c r="G1104">
        <v>-204.02119999999999</v>
      </c>
      <c r="H1104" s="1">
        <v>-4.2272449999999997E-6</v>
      </c>
      <c r="I1104">
        <v>361.65660000000003</v>
      </c>
      <c r="J1104">
        <v>-209.67060000000001</v>
      </c>
      <c r="K1104">
        <v>1.1092660000000001</v>
      </c>
      <c r="L1104">
        <v>365.99810000000002</v>
      </c>
      <c r="M1104">
        <v>0.9819582</v>
      </c>
      <c r="N1104">
        <v>0</v>
      </c>
      <c r="O1104">
        <v>-0.18858510000000001</v>
      </c>
      <c r="P1104">
        <v>0.93320119999999895</v>
      </c>
      <c r="Q1104">
        <v>8.4098690000000004E-2</v>
      </c>
      <c r="R1104">
        <v>-0.349375299999999</v>
      </c>
      <c r="S1104">
        <v>2.5436709999999998</v>
      </c>
      <c r="T1104">
        <v>-0.48658059999999997</v>
      </c>
      <c r="U1104">
        <v>-1.9184570000000001</v>
      </c>
      <c r="V1104">
        <v>0.167427399999999</v>
      </c>
      <c r="W1104">
        <v>9.7215250000000003E-2</v>
      </c>
      <c r="X1104">
        <v>0.98107960000000005</v>
      </c>
      <c r="Y1104">
        <v>0.43794820000000001</v>
      </c>
      <c r="Z1104">
        <v>-5.754197E-3</v>
      </c>
      <c r="AA1104">
        <v>0.89898180000000005</v>
      </c>
      <c r="AB1104">
        <v>16</v>
      </c>
      <c r="AC1104">
        <v>5.6494000000000097</v>
      </c>
      <c r="AD1104">
        <v>-1.1092702272449999</v>
      </c>
      <c r="AE1104">
        <v>-4.3414999999999901</v>
      </c>
      <c r="AF1104">
        <v>3.1224045162318599</v>
      </c>
      <c r="AG1104">
        <v>-1.1092702272449999</v>
      </c>
      <c r="AH1104">
        <v>6.2161597651988201</v>
      </c>
      <c r="AI1104">
        <v>99.060261876545894</v>
      </c>
      <c r="AJ1104">
        <v>63.329419451951701</v>
      </c>
      <c r="AK1104">
        <v>7.0441843123610797</v>
      </c>
      <c r="AL1104">
        <v>84.421165190511502</v>
      </c>
      <c r="AM1104">
        <v>80.315412465218799</v>
      </c>
      <c r="AN1104">
        <v>0.99999996031974003</v>
      </c>
    </row>
    <row r="1105" spans="1:40" x14ac:dyDescent="0.25">
      <c r="A1105" t="str">
        <f>"20190312151245733"</f>
        <v>20190312151245733</v>
      </c>
      <c r="B1105" t="str">
        <f>"1552374765730923"</f>
        <v>1552374765730923</v>
      </c>
      <c r="C1105" t="s">
        <v>40</v>
      </c>
      <c r="D1105">
        <v>4.7592140000000001</v>
      </c>
      <c r="E1105">
        <v>0.61305559999999903</v>
      </c>
      <c r="F1105" t="s">
        <v>51</v>
      </c>
      <c r="G1105">
        <v>-203.88059999999999</v>
      </c>
      <c r="H1105" s="1">
        <v>-4.1709619999999998E-6</v>
      </c>
      <c r="I1105">
        <v>361.59140000000002</v>
      </c>
      <c r="J1105">
        <v>-209.5669</v>
      </c>
      <c r="K1105">
        <v>1.109267</v>
      </c>
      <c r="L1105">
        <v>365.97559999999999</v>
      </c>
      <c r="M1105">
        <v>0.98154269999999999</v>
      </c>
      <c r="N1105">
        <v>0</v>
      </c>
      <c r="O1105">
        <v>-0.19073580000000001</v>
      </c>
      <c r="P1105">
        <v>0.93242559999999997</v>
      </c>
      <c r="Q1105">
        <v>8.4122189999999999E-2</v>
      </c>
      <c r="R1105">
        <v>-0.35143489999999999</v>
      </c>
      <c r="S1105">
        <v>2.5359189999999998</v>
      </c>
      <c r="T1105">
        <v>-0.48584749999999999</v>
      </c>
      <c r="U1105">
        <v>-1.9300539999999999</v>
      </c>
      <c r="V1105">
        <v>0.16744339999999999</v>
      </c>
      <c r="W1105">
        <v>9.7237550000000006E-2</v>
      </c>
      <c r="X1105">
        <v>0.98107469999999997</v>
      </c>
      <c r="Y1105">
        <v>0.43991639999999999</v>
      </c>
      <c r="Z1105">
        <v>-5.5751990000000003E-3</v>
      </c>
      <c r="AA1105">
        <v>0.89802150000000003</v>
      </c>
      <c r="AB1105">
        <v>16</v>
      </c>
      <c r="AC1105">
        <v>5.6863000000000099</v>
      </c>
      <c r="AD1105">
        <v>-1.109271170962</v>
      </c>
      <c r="AE1105">
        <v>-4.3841999999999599</v>
      </c>
      <c r="AF1105">
        <v>3.1439723828412598</v>
      </c>
      <c r="AG1105">
        <v>-1.109271170962</v>
      </c>
      <c r="AH1105">
        <v>6.2685781699766903</v>
      </c>
      <c r="AI1105">
        <v>98.988440513782294</v>
      </c>
      <c r="AJ1105">
        <v>63.364187103346097</v>
      </c>
      <c r="AK1105">
        <v>7.1000082498476198</v>
      </c>
      <c r="AL1105">
        <v>84.419881635410704</v>
      </c>
      <c r="AM1105">
        <v>80.314457040925205</v>
      </c>
      <c r="AN1105">
        <v>1.0000000001568199</v>
      </c>
    </row>
    <row r="1106" spans="1:40" x14ac:dyDescent="0.25">
      <c r="A1106" t="str">
        <f>"20190312151245752"</f>
        <v>20190312151245752</v>
      </c>
      <c r="B1106" t="str">
        <f>"1552374765740682"</f>
        <v>1552374765740682</v>
      </c>
      <c r="C1106" t="s">
        <v>40</v>
      </c>
      <c r="D1106">
        <v>5.1725830000000004</v>
      </c>
      <c r="E1106">
        <v>0.6127108</v>
      </c>
      <c r="F1106" t="s">
        <v>51</v>
      </c>
      <c r="G1106">
        <v>-203.76669999999999</v>
      </c>
      <c r="H1106" s="1">
        <v>-4.1263639999999999E-6</v>
      </c>
      <c r="I1106">
        <v>361.53390000000002</v>
      </c>
      <c r="J1106">
        <v>-209.44159999999999</v>
      </c>
      <c r="K1106">
        <v>1.10927</v>
      </c>
      <c r="L1106">
        <v>365.94799999999998</v>
      </c>
      <c r="M1106">
        <v>0.98103390000000001</v>
      </c>
      <c r="N1106">
        <v>0</v>
      </c>
      <c r="O1106">
        <v>-0.1933359</v>
      </c>
      <c r="P1106">
        <v>0.93121980000000004</v>
      </c>
      <c r="Q1106">
        <v>8.3995539999999994E-2</v>
      </c>
      <c r="R1106">
        <v>-0.3546472</v>
      </c>
      <c r="S1106">
        <v>2.5306700000000002</v>
      </c>
      <c r="T1106">
        <v>-0.48398239999999998</v>
      </c>
      <c r="U1106">
        <v>-1.937927</v>
      </c>
      <c r="V1106">
        <v>0.16822279999999901</v>
      </c>
      <c r="W1106">
        <v>9.7105609999999995E-2</v>
      </c>
      <c r="X1106">
        <v>0.9809544</v>
      </c>
      <c r="Y1106">
        <v>0.44024560000000001</v>
      </c>
      <c r="Z1106">
        <v>-5.1709659999999999E-3</v>
      </c>
      <c r="AA1106">
        <v>0.89786250000000001</v>
      </c>
      <c r="AB1106">
        <v>16</v>
      </c>
      <c r="AC1106">
        <v>5.6749000000000001</v>
      </c>
      <c r="AD1106">
        <v>-1.109274126364</v>
      </c>
      <c r="AE1106">
        <v>-4.4141000000000101</v>
      </c>
      <c r="AF1106">
        <v>3.1583462969248202</v>
      </c>
      <c r="AG1106">
        <v>-1.109274126364</v>
      </c>
      <c r="AH1106">
        <v>6.27198603005544</v>
      </c>
      <c r="AI1106">
        <v>98.976503093543499</v>
      </c>
      <c r="AJ1106">
        <v>63.271820650225997</v>
      </c>
      <c r="AK1106">
        <v>7.1093916181295</v>
      </c>
      <c r="AL1106">
        <v>84.427477030277899</v>
      </c>
      <c r="AM1106">
        <v>80.269063080401196</v>
      </c>
      <c r="AN1106">
        <v>0.99999997240633498</v>
      </c>
    </row>
    <row r="1107" spans="1:40" x14ac:dyDescent="0.25">
      <c r="A1107" t="str">
        <f>"20190312151245774"</f>
        <v>20190312151245774</v>
      </c>
      <c r="B1107" t="str">
        <f>"1552374765770939"</f>
        <v>1552374765770939</v>
      </c>
      <c r="C1107" t="s">
        <v>40</v>
      </c>
      <c r="D1107">
        <v>5.0330170000000001</v>
      </c>
      <c r="E1107">
        <v>0.61252839999999997</v>
      </c>
      <c r="F1107" t="s">
        <v>51</v>
      </c>
      <c r="G1107">
        <v>-203.66730000000001</v>
      </c>
      <c r="H1107" s="1">
        <v>-4.0834760000000001E-6</v>
      </c>
      <c r="I1107">
        <v>361.50189999999998</v>
      </c>
      <c r="J1107">
        <v>-209.2851</v>
      </c>
      <c r="K1107">
        <v>1.1092799999999901</v>
      </c>
      <c r="L1107">
        <v>365.91309999999999</v>
      </c>
      <c r="M1107">
        <v>0.98038769999999997</v>
      </c>
      <c r="N1107">
        <v>0</v>
      </c>
      <c r="O1107">
        <v>-0.1965858</v>
      </c>
      <c r="P1107">
        <v>0.93000839999999996</v>
      </c>
      <c r="Q1107">
        <v>8.3141069999999997E-2</v>
      </c>
      <c r="R1107">
        <v>-0.35801080000000002</v>
      </c>
      <c r="S1107">
        <v>2.524902</v>
      </c>
      <c r="T1107">
        <v>-0.48505500000000001</v>
      </c>
      <c r="U1107">
        <v>-1.944153</v>
      </c>
      <c r="V1107">
        <v>0.16849900000000001</v>
      </c>
      <c r="W1107">
        <v>9.6248959999999995E-2</v>
      </c>
      <c r="X1107">
        <v>0.98099139999999996</v>
      </c>
      <c r="Y1107">
        <v>0.43968160000000001</v>
      </c>
      <c r="Z1107">
        <v>-4.6195519999999999E-3</v>
      </c>
      <c r="AA1107">
        <v>0.89814189999999905</v>
      </c>
      <c r="AB1107">
        <v>15</v>
      </c>
      <c r="AC1107">
        <v>5.6177999999999804</v>
      </c>
      <c r="AD1107">
        <v>-1.1092840834759901</v>
      </c>
      <c r="AE1107">
        <v>-4.4112</v>
      </c>
      <c r="AF1107">
        <v>3.1447702295726701</v>
      </c>
      <c r="AG1107">
        <v>-1.1092840834759901</v>
      </c>
      <c r="AH1107">
        <v>6.2252724269116797</v>
      </c>
      <c r="AI1107">
        <v>99.037120375716398</v>
      </c>
      <c r="AJ1107">
        <v>63.198835211859603</v>
      </c>
      <c r="AK1107">
        <v>7.0621602760010003</v>
      </c>
      <c r="AL1107">
        <v>84.4767903395378</v>
      </c>
      <c r="AM1107">
        <v>80.253752906691702</v>
      </c>
      <c r="AN1107">
        <v>0.99999995108801898</v>
      </c>
    </row>
    <row r="1108" spans="1:40" x14ac:dyDescent="0.25">
      <c r="A1108" t="str">
        <f>"20190312151245798"</f>
        <v>20190312151245798</v>
      </c>
      <c r="B1108" t="str">
        <f>"1552374765790458"</f>
        <v>1552374765790458</v>
      </c>
      <c r="C1108" t="s">
        <v>40</v>
      </c>
      <c r="D1108">
        <v>5.0777409999999996</v>
      </c>
      <c r="E1108">
        <v>0.61266709999999902</v>
      </c>
      <c r="F1108" t="s">
        <v>51</v>
      </c>
      <c r="G1108">
        <v>-203.4923</v>
      </c>
      <c r="H1108" s="1">
        <v>-4.0131599999999997E-6</v>
      </c>
      <c r="I1108">
        <v>361.42169999999999</v>
      </c>
      <c r="J1108">
        <v>-209.12889999999999</v>
      </c>
      <c r="K1108">
        <v>1.1092850000000001</v>
      </c>
      <c r="L1108">
        <v>365.87779999999998</v>
      </c>
      <c r="M1108">
        <v>0.97973010000000005</v>
      </c>
      <c r="N1108">
        <v>0</v>
      </c>
      <c r="O1108">
        <v>-0.1998383</v>
      </c>
      <c r="P1108">
        <v>0.9288014</v>
      </c>
      <c r="Q1108">
        <v>8.2636269999999998E-2</v>
      </c>
      <c r="R1108">
        <v>-0.36124719999999999</v>
      </c>
      <c r="S1108">
        <v>2.517471</v>
      </c>
      <c r="T1108">
        <v>-0.48207630000000001</v>
      </c>
      <c r="U1108">
        <v>-1.9519040000000001</v>
      </c>
      <c r="V1108">
        <v>0.16864799999999999</v>
      </c>
      <c r="W1108">
        <v>9.5740610000000004E-2</v>
      </c>
      <c r="X1108">
        <v>0.98101559999999999</v>
      </c>
      <c r="Y1108">
        <v>0.4397778</v>
      </c>
      <c r="Z1108">
        <v>-4.0887670000000001E-3</v>
      </c>
      <c r="AA1108">
        <v>0.89809729999999999</v>
      </c>
      <c r="AB1108">
        <v>15</v>
      </c>
      <c r="AC1108">
        <v>5.6365999999999801</v>
      </c>
      <c r="AD1108">
        <v>-1.1092890131599999</v>
      </c>
      <c r="AE1108">
        <v>-4.4560999999999904</v>
      </c>
      <c r="AF1108">
        <v>3.1642621826456199</v>
      </c>
      <c r="AG1108">
        <v>-1.1092890131599999</v>
      </c>
      <c r="AH1108">
        <v>6.2641646166495404</v>
      </c>
      <c r="AI1108">
        <v>98.982056508823106</v>
      </c>
      <c r="AJ1108">
        <v>63.199963969579002</v>
      </c>
      <c r="AK1108">
        <v>7.1051274175571901</v>
      </c>
      <c r="AL1108">
        <v>84.506052108911206</v>
      </c>
      <c r="AM1108">
        <v>80.245536027507697</v>
      </c>
      <c r="AN1108">
        <v>1.0000000098752599</v>
      </c>
    </row>
    <row r="1109" spans="1:40" x14ac:dyDescent="0.25">
      <c r="A1109" t="str">
        <f>"20190312151245818"</f>
        <v>20190312151245818</v>
      </c>
      <c r="B1109" t="str">
        <f>"1552374765810955"</f>
        <v>1552374765810955</v>
      </c>
      <c r="C1109" t="s">
        <v>40</v>
      </c>
      <c r="D1109">
        <v>5.0719379999999896</v>
      </c>
      <c r="E1109">
        <v>0.61254580000000003</v>
      </c>
      <c r="F1109" t="s">
        <v>51</v>
      </c>
      <c r="G1109">
        <v>-203.38589999999999</v>
      </c>
      <c r="H1109" s="1">
        <v>-3.9673239999999999E-6</v>
      </c>
      <c r="I1109">
        <v>361.38709999999998</v>
      </c>
      <c r="J1109">
        <v>-208.98609999999999</v>
      </c>
      <c r="K1109">
        <v>1.1092919999999999</v>
      </c>
      <c r="L1109">
        <v>365.84500000000003</v>
      </c>
      <c r="M1109">
        <v>0.97911630000000005</v>
      </c>
      <c r="N1109">
        <v>0</v>
      </c>
      <c r="O1109">
        <v>-0.20282420000000001</v>
      </c>
      <c r="P1109">
        <v>0.92746790000000001</v>
      </c>
      <c r="Q1109">
        <v>8.2764099999999993E-2</v>
      </c>
      <c r="R1109">
        <v>-0.36462749999999999</v>
      </c>
      <c r="S1109">
        <v>2.5097960000000001</v>
      </c>
      <c r="T1109">
        <v>-0.48478500000000002</v>
      </c>
      <c r="U1109">
        <v>-1.9625239999999999</v>
      </c>
      <c r="V1109">
        <v>0.169234</v>
      </c>
      <c r="W1109">
        <v>9.5860699999999993E-2</v>
      </c>
      <c r="X1109">
        <v>0.98090290000000002</v>
      </c>
      <c r="Y1109">
        <v>0.44072440000000002</v>
      </c>
      <c r="Z1109">
        <v>-3.7196970000000001E-3</v>
      </c>
      <c r="AA1109">
        <v>0.89763470000000001</v>
      </c>
      <c r="AB1109">
        <v>15</v>
      </c>
      <c r="AC1109">
        <v>5.6002000000000001</v>
      </c>
      <c r="AD1109">
        <v>-1.1092959673239999</v>
      </c>
      <c r="AE1109">
        <v>-4.4579000000000502</v>
      </c>
      <c r="AF1109">
        <v>3.15351955358729</v>
      </c>
      <c r="AG1109">
        <v>-1.1092959673239999</v>
      </c>
      <c r="AH1109">
        <v>6.2382095614127797</v>
      </c>
      <c r="AI1109">
        <v>99.017514887515304</v>
      </c>
      <c r="AJ1109">
        <v>63.182637085336403</v>
      </c>
      <c r="AK1109">
        <v>7.0774629387995098</v>
      </c>
      <c r="AL1109">
        <v>84.499139389518703</v>
      </c>
      <c r="AM1109">
        <v>80.211193921490704</v>
      </c>
      <c r="AN1109">
        <v>0.99999995989444901</v>
      </c>
    </row>
    <row r="1110" spans="1:40" x14ac:dyDescent="0.25">
      <c r="A1110" t="str">
        <f>"20190312151245841"</f>
        <v>20190312151245841</v>
      </c>
      <c r="B1110" t="str">
        <f>"1552374765830475"</f>
        <v>1552374765830475</v>
      </c>
      <c r="C1110" t="s">
        <v>40</v>
      </c>
      <c r="D1110">
        <v>5.0639760000000003</v>
      </c>
      <c r="E1110">
        <v>0.6123864</v>
      </c>
      <c r="F1110" t="s">
        <v>51</v>
      </c>
      <c r="G1110">
        <v>-203.31120000000001</v>
      </c>
      <c r="H1110" s="1">
        <v>-3.9321790000000003E-6</v>
      </c>
      <c r="I1110">
        <v>361.3759</v>
      </c>
      <c r="J1110">
        <v>-208.83690000000001</v>
      </c>
      <c r="K1110">
        <v>1.1092900000000001</v>
      </c>
      <c r="L1110">
        <v>365.81020000000001</v>
      </c>
      <c r="M1110">
        <v>0.97845970000000004</v>
      </c>
      <c r="N1110">
        <v>0</v>
      </c>
      <c r="O1110">
        <v>-0.2059686</v>
      </c>
      <c r="P1110">
        <v>0.92581709999999995</v>
      </c>
      <c r="Q1110">
        <v>8.3122719999999997E-2</v>
      </c>
      <c r="R1110">
        <v>-0.3687184</v>
      </c>
      <c r="S1110">
        <v>2.5032649999999999</v>
      </c>
      <c r="T1110">
        <v>-0.48932239999999999</v>
      </c>
      <c r="U1110">
        <v>-1.971344</v>
      </c>
      <c r="V1110">
        <v>0.1704242</v>
      </c>
      <c r="W1110">
        <v>9.6205289999999999E-2</v>
      </c>
      <c r="X1110">
        <v>0.98066310000000001</v>
      </c>
      <c r="Y1110">
        <v>0.44091599999999997</v>
      </c>
      <c r="Z1110">
        <v>-3.2669420000000001E-3</v>
      </c>
      <c r="AA1110">
        <v>0.89754239999999996</v>
      </c>
      <c r="AB1110">
        <v>15</v>
      </c>
      <c r="AC1110">
        <v>5.5256999999999996</v>
      </c>
      <c r="AD1110">
        <v>-1.1092939321790001</v>
      </c>
      <c r="AE1110">
        <v>-4.4343000000000004</v>
      </c>
      <c r="AF1110">
        <v>3.12438069233386</v>
      </c>
      <c r="AG1110">
        <v>-1.1092939321790001</v>
      </c>
      <c r="AH1110">
        <v>6.1693746477233598</v>
      </c>
      <c r="AI1110">
        <v>99.113119922394006</v>
      </c>
      <c r="AJ1110">
        <v>63.140798478317798</v>
      </c>
      <c r="AK1110">
        <v>7.0038183359200197</v>
      </c>
      <c r="AL1110">
        <v>84.479304331319895</v>
      </c>
      <c r="AM1110">
        <v>80.141333285345794</v>
      </c>
      <c r="AN1110">
        <v>0.99999999073561696</v>
      </c>
    </row>
    <row r="1111" spans="1:40" x14ac:dyDescent="0.25">
      <c r="A1111" t="str">
        <f>"20190312151245854"</f>
        <v>20190312151245854</v>
      </c>
      <c r="B1111" t="str">
        <f>"1552374765850971"</f>
        <v>1552374765850971</v>
      </c>
      <c r="C1111" t="s">
        <v>40</v>
      </c>
      <c r="D1111">
        <v>5.1811930000000004</v>
      </c>
      <c r="E1111">
        <v>0.6122417</v>
      </c>
      <c r="F1111" t="s">
        <v>51</v>
      </c>
      <c r="G1111">
        <v>-203.21700000000001</v>
      </c>
      <c r="H1111" s="1">
        <v>-3.8913390000000004E-6</v>
      </c>
      <c r="I1111">
        <v>361.34629999999999</v>
      </c>
      <c r="J1111">
        <v>-208.74529999999999</v>
      </c>
      <c r="K1111">
        <v>1.1092799999999901</v>
      </c>
      <c r="L1111">
        <v>365.7885</v>
      </c>
      <c r="M1111">
        <v>0.97804769999999996</v>
      </c>
      <c r="N1111">
        <v>0</v>
      </c>
      <c r="O1111">
        <v>-0.20791699999999999</v>
      </c>
      <c r="P1111">
        <v>0.9250043</v>
      </c>
      <c r="Q1111">
        <v>8.3346680000000006E-2</v>
      </c>
      <c r="R1111">
        <v>-0.3707027</v>
      </c>
      <c r="S1111">
        <v>2.4952549999999998</v>
      </c>
      <c r="T1111">
        <v>-0.49252940000000001</v>
      </c>
      <c r="U1111">
        <v>-1.9819640000000001</v>
      </c>
      <c r="V1111">
        <v>0.1705816</v>
      </c>
      <c r="W1111">
        <v>9.6421709999999994E-2</v>
      </c>
      <c r="X1111">
        <v>0.98061449999999994</v>
      </c>
      <c r="Y1111">
        <v>0.44283729999999899</v>
      </c>
      <c r="Z1111">
        <v>-3.143322E-3</v>
      </c>
      <c r="AA1111">
        <v>0.89659650000000002</v>
      </c>
      <c r="AB1111">
        <v>15</v>
      </c>
      <c r="AC1111">
        <v>5.5282999999999696</v>
      </c>
      <c r="AD1111">
        <v>-1.10928389133899</v>
      </c>
      <c r="AE1111">
        <v>-4.4422000000000104</v>
      </c>
      <c r="AF1111">
        <v>3.1192498920776002</v>
      </c>
      <c r="AG1111">
        <v>-1.10928389133899</v>
      </c>
      <c r="AH1111">
        <v>6.1799642204967498</v>
      </c>
      <c r="AI1111">
        <v>99.1038029551042</v>
      </c>
      <c r="AJ1111">
        <v>63.218281976007198</v>
      </c>
      <c r="AK1111">
        <v>7.0108621729021596</v>
      </c>
      <c r="AL1111">
        <v>84.466846586203403</v>
      </c>
      <c r="AM1111">
        <v>80.131927506895707</v>
      </c>
      <c r="AN1111">
        <v>1.0000000130140601</v>
      </c>
    </row>
    <row r="1112" spans="1:40" x14ac:dyDescent="0.25">
      <c r="A1112" t="str">
        <f>"20190312151245875"</f>
        <v>20190312151245875</v>
      </c>
      <c r="B1112" t="str">
        <f>"1552374765870491"</f>
        <v>1552374765870491</v>
      </c>
      <c r="C1112" t="s">
        <v>40</v>
      </c>
      <c r="D1112">
        <v>5.076632</v>
      </c>
      <c r="E1112">
        <v>0.61210640000000005</v>
      </c>
      <c r="F1112" t="s">
        <v>51</v>
      </c>
      <c r="G1112">
        <v>-203.1806</v>
      </c>
      <c r="H1112" s="1">
        <v>-3.8718559999999998E-6</v>
      </c>
      <c r="I1112">
        <v>361.35169999999999</v>
      </c>
      <c r="J1112">
        <v>-208.6123</v>
      </c>
      <c r="K1112">
        <v>1.1092599999999999</v>
      </c>
      <c r="L1112">
        <v>365.75670000000002</v>
      </c>
      <c r="M1112">
        <v>0.9774349</v>
      </c>
      <c r="N1112">
        <v>0</v>
      </c>
      <c r="O1112">
        <v>-0.2107784</v>
      </c>
      <c r="P1112">
        <v>0.9236105</v>
      </c>
      <c r="Q1112">
        <v>8.2954349999999996E-2</v>
      </c>
      <c r="R1112">
        <v>-0.37424849999999998</v>
      </c>
      <c r="S1112">
        <v>2.4917910000000001</v>
      </c>
      <c r="T1112">
        <v>-0.49672250000000001</v>
      </c>
      <c r="U1112">
        <v>-1.9867250000000001</v>
      </c>
      <c r="V1112">
        <v>0.1714707</v>
      </c>
      <c r="W1112">
        <v>9.6014000000000002E-2</v>
      </c>
      <c r="X1112">
        <v>0.98049940000000002</v>
      </c>
      <c r="Y1112">
        <v>0.44186880000000001</v>
      </c>
      <c r="Z1112">
        <v>-2.6175040000000001E-3</v>
      </c>
      <c r="AA1112">
        <v>0.89707579999999998</v>
      </c>
      <c r="AB1112">
        <v>15</v>
      </c>
      <c r="AC1112">
        <v>5.4317000000000002</v>
      </c>
      <c r="AD1112">
        <v>-1.109263871856</v>
      </c>
      <c r="AE1112">
        <v>-4.4050000000000296</v>
      </c>
      <c r="AF1112">
        <v>3.08344479232434</v>
      </c>
      <c r="AG1112">
        <v>-1.109263871856</v>
      </c>
      <c r="AH1112">
        <v>6.0851193410203699</v>
      </c>
      <c r="AI1112">
        <v>99.235852024156102</v>
      </c>
      <c r="AJ1112">
        <v>63.127806946019703</v>
      </c>
      <c r="AK1112">
        <v>6.91135120791711</v>
      </c>
      <c r="AL1112">
        <v>84.490315361850705</v>
      </c>
      <c r="AM1112">
        <v>80.080371105074704</v>
      </c>
      <c r="AN1112">
        <v>0.99999998127742395</v>
      </c>
    </row>
    <row r="1113" spans="1:40" x14ac:dyDescent="0.25">
      <c r="A1113" t="str">
        <f>"20190312151245897"</f>
        <v>20190312151245897</v>
      </c>
      <c r="B1113" t="str">
        <f>"1552374765890987"</f>
        <v>1552374765890987</v>
      </c>
      <c r="C1113" t="s">
        <v>40</v>
      </c>
      <c r="D1113">
        <v>5.1199349999999999</v>
      </c>
      <c r="E1113">
        <v>0.61201649999999996</v>
      </c>
      <c r="F1113" t="s">
        <v>51</v>
      </c>
      <c r="G1113">
        <v>-203.11539999999999</v>
      </c>
      <c r="H1113" s="1">
        <v>-3.8411320000000004E-6</v>
      </c>
      <c r="I1113">
        <v>361.34230000000002</v>
      </c>
      <c r="J1113">
        <v>-208.45679999999999</v>
      </c>
      <c r="K1113">
        <v>1.1092299999999999</v>
      </c>
      <c r="L1113">
        <v>365.71890000000002</v>
      </c>
      <c r="M1113">
        <v>0.97669570000000006</v>
      </c>
      <c r="N1113">
        <v>0</v>
      </c>
      <c r="O1113">
        <v>-0.21417839999999999</v>
      </c>
      <c r="P1113">
        <v>0.92204589999999997</v>
      </c>
      <c r="Q1113">
        <v>8.2985139999999999E-2</v>
      </c>
      <c r="R1113">
        <v>-0.37808059999999899</v>
      </c>
      <c r="S1113">
        <v>2.4846499999999998</v>
      </c>
      <c r="T1113">
        <v>-0.50139829999999996</v>
      </c>
      <c r="U1113">
        <v>-1.9953609999999999</v>
      </c>
      <c r="V1113">
        <v>0.1721394</v>
      </c>
      <c r="W1113">
        <v>9.6025410000000005E-2</v>
      </c>
      <c r="X1113">
        <v>0.98038110000000001</v>
      </c>
      <c r="Y1113">
        <v>0.44189089999999998</v>
      </c>
      <c r="Z1113">
        <v>-2.085052E-3</v>
      </c>
      <c r="AA1113">
        <v>0.89706640000000004</v>
      </c>
      <c r="AB1113">
        <v>15</v>
      </c>
      <c r="AC1113">
        <v>5.3413999999999904</v>
      </c>
      <c r="AD1113">
        <v>-1.109233841132</v>
      </c>
      <c r="AE1113">
        <v>-4.3765999999999901</v>
      </c>
      <c r="AF1113">
        <v>3.05214312935541</v>
      </c>
      <c r="AG1113">
        <v>-1.109233841132</v>
      </c>
      <c r="AH1113">
        <v>6.0000727192779904</v>
      </c>
      <c r="AI1113">
        <v>99.356916214620597</v>
      </c>
      <c r="AJ1113">
        <v>63.0382715635835</v>
      </c>
      <c r="AK1113">
        <v>6.82252519475069</v>
      </c>
      <c r="AL1113">
        <v>84.489658557649307</v>
      </c>
      <c r="AM1113">
        <v>80.041281914728401</v>
      </c>
      <c r="AN1113">
        <v>0.99999997681761799</v>
      </c>
    </row>
    <row r="1114" spans="1:40" x14ac:dyDescent="0.25">
      <c r="A1114" t="str">
        <f>"20190312151245920"</f>
        <v>20190312151245920</v>
      </c>
      <c r="B1114" t="str">
        <f>"1552374765910511"</f>
        <v>1552374765910511</v>
      </c>
      <c r="C1114" t="s">
        <v>40</v>
      </c>
      <c r="D1114">
        <v>5.0465429999999998</v>
      </c>
      <c r="E1114">
        <v>0.61192599999999997</v>
      </c>
      <c r="F1114" t="s">
        <v>51</v>
      </c>
      <c r="G1114">
        <v>-203.03149999999999</v>
      </c>
      <c r="H1114" s="1">
        <v>-3.8022639999999999E-6</v>
      </c>
      <c r="I1114">
        <v>361.327</v>
      </c>
      <c r="J1114">
        <v>-208.3099</v>
      </c>
      <c r="K1114">
        <v>1.1091979999999999</v>
      </c>
      <c r="L1114">
        <v>365.68259999999998</v>
      </c>
      <c r="M1114">
        <v>0.97597129999999999</v>
      </c>
      <c r="N1114">
        <v>0</v>
      </c>
      <c r="O1114">
        <v>-0.21745519999999999</v>
      </c>
      <c r="P1114">
        <v>0.9205354</v>
      </c>
      <c r="Q1114">
        <v>8.2668220000000001E-2</v>
      </c>
      <c r="R1114">
        <v>-0.3818124</v>
      </c>
      <c r="S1114">
        <v>2.47702</v>
      </c>
      <c r="T1114">
        <v>-0.50643349999999998</v>
      </c>
      <c r="U1114">
        <v>-2.0051570000000001</v>
      </c>
      <c r="V1114">
        <v>0.1728219</v>
      </c>
      <c r="W1114">
        <v>9.5689369999999996E-2</v>
      </c>
      <c r="X1114">
        <v>0.98029390000000005</v>
      </c>
      <c r="Y1114">
        <v>0.44235449999999998</v>
      </c>
      <c r="Z1114">
        <v>-1.603216E-3</v>
      </c>
      <c r="AA1114">
        <v>0.89683880000000005</v>
      </c>
      <c r="AB1114">
        <v>15</v>
      </c>
      <c r="AC1114">
        <v>5.2784000000000004</v>
      </c>
      <c r="AD1114">
        <v>-1.109201802264</v>
      </c>
      <c r="AE1114">
        <v>-4.3555999999999804</v>
      </c>
      <c r="AF1114">
        <v>3.0239828596590601</v>
      </c>
      <c r="AG1114">
        <v>-1.109201802264</v>
      </c>
      <c r="AH1114">
        <v>5.9431729504777202</v>
      </c>
      <c r="AI1114">
        <v>99.444130258251803</v>
      </c>
      <c r="AJ1114">
        <v>63.032269269888097</v>
      </c>
      <c r="AK1114">
        <v>6.7598894734268802</v>
      </c>
      <c r="AL1114">
        <v>84.509001417776204</v>
      </c>
      <c r="AM1114">
        <v>80.001721173794095</v>
      </c>
      <c r="AN1114">
        <v>0.999999997513908</v>
      </c>
    </row>
    <row r="1115" spans="1:40" x14ac:dyDescent="0.25">
      <c r="A1115" t="str">
        <f>"20190312151245941"</f>
        <v>20190312151245941</v>
      </c>
      <c r="B1115" t="str">
        <f>"1552374765931003"</f>
        <v>1552374765931003</v>
      </c>
      <c r="C1115" t="s">
        <v>40</v>
      </c>
      <c r="D1115">
        <v>5.0077669999999896</v>
      </c>
      <c r="E1115">
        <v>0.61190659999999997</v>
      </c>
      <c r="F1115" t="s">
        <v>51</v>
      </c>
      <c r="G1115">
        <v>-202.9537</v>
      </c>
      <c r="H1115" s="1">
        <v>-3.7661860000000001E-6</v>
      </c>
      <c r="I1115">
        <v>361.31330000000003</v>
      </c>
      <c r="J1115">
        <v>-208.16550000000001</v>
      </c>
      <c r="K1115">
        <v>1.109159</v>
      </c>
      <c r="L1115">
        <v>365.6463</v>
      </c>
      <c r="M1115">
        <v>0.97523249999999995</v>
      </c>
      <c r="N1115">
        <v>0</v>
      </c>
      <c r="O1115">
        <v>-0.22074479999999999</v>
      </c>
      <c r="P1115">
        <v>0.91891840000000002</v>
      </c>
      <c r="Q1115">
        <v>8.2785269999999994E-2</v>
      </c>
      <c r="R1115">
        <v>-0.38566250000000002</v>
      </c>
      <c r="S1115">
        <v>2.469376</v>
      </c>
      <c r="T1115">
        <v>-0.51138149999999905</v>
      </c>
      <c r="U1115">
        <v>-2.0144039999999999</v>
      </c>
      <c r="V1115">
        <v>0.17363229999999999</v>
      </c>
      <c r="W1115">
        <v>9.5785250000000002E-2</v>
      </c>
      <c r="X1115">
        <v>0.98014129999999999</v>
      </c>
      <c r="Y1115">
        <v>0.44268970000000002</v>
      </c>
      <c r="Z1115">
        <v>-1.0971279999999999E-3</v>
      </c>
      <c r="AA1115">
        <v>0.89667419999999998</v>
      </c>
      <c r="AB1115">
        <v>15</v>
      </c>
      <c r="AC1115">
        <v>5.21180000000001</v>
      </c>
      <c r="AD1115">
        <v>-1.109162766186</v>
      </c>
      <c r="AE1115">
        <v>-4.33299999999997</v>
      </c>
      <c r="AF1115">
        <v>2.9952862752399101</v>
      </c>
      <c r="AG1115">
        <v>-1.109162766186</v>
      </c>
      <c r="AH1115">
        <v>5.88225716948729</v>
      </c>
      <c r="AI1115">
        <v>99.538334870179</v>
      </c>
      <c r="AJ1115">
        <v>63.014489024956902</v>
      </c>
      <c r="AK1115">
        <v>6.69349918357495</v>
      </c>
      <c r="AL1115">
        <v>84.503482445294594</v>
      </c>
      <c r="AM1115">
        <v>79.954257597315106</v>
      </c>
      <c r="AN1115">
        <v>0.99999997884327096</v>
      </c>
    </row>
    <row r="1116" spans="1:40" x14ac:dyDescent="0.25">
      <c r="A1116" t="str">
        <f>"20190312151245956"</f>
        <v>20190312151245956</v>
      </c>
      <c r="B1116" t="str">
        <f>"1552374765950522"</f>
        <v>1552374765950522</v>
      </c>
      <c r="C1116" t="s">
        <v>40</v>
      </c>
      <c r="D1116">
        <v>5.0334539999999999</v>
      </c>
      <c r="E1116">
        <v>0.61186750000000001</v>
      </c>
      <c r="F1116" t="s">
        <v>51</v>
      </c>
      <c r="G1116">
        <v>-202.86060000000001</v>
      </c>
      <c r="H1116" s="1">
        <v>-3.7262349999999999E-6</v>
      </c>
      <c r="I1116">
        <v>361.28219999999999</v>
      </c>
      <c r="J1116">
        <v>-208.07210000000001</v>
      </c>
      <c r="K1116">
        <v>1.109138</v>
      </c>
      <c r="L1116">
        <v>365.6225</v>
      </c>
      <c r="M1116">
        <v>0.97473880000000002</v>
      </c>
      <c r="N1116">
        <v>0</v>
      </c>
      <c r="O1116">
        <v>-0.22291549999999999</v>
      </c>
      <c r="P1116">
        <v>0.91801489999999997</v>
      </c>
      <c r="Q1116">
        <v>8.2299109999999995E-2</v>
      </c>
      <c r="R1116">
        <v>-0.38791170000000003</v>
      </c>
      <c r="S1116">
        <v>2.4612579999999999</v>
      </c>
      <c r="T1116">
        <v>-0.5146136</v>
      </c>
      <c r="U1116">
        <v>-2.0248110000000001</v>
      </c>
      <c r="V1116">
        <v>0.1738451</v>
      </c>
      <c r="W1116">
        <v>9.5288750000000005E-2</v>
      </c>
      <c r="X1116">
        <v>0.98015200000000002</v>
      </c>
      <c r="Y1116">
        <v>0.44437500000000002</v>
      </c>
      <c r="Z1116">
        <v>-8.9210639999999996E-4</v>
      </c>
      <c r="AA1116">
        <v>0.89584039999999998</v>
      </c>
      <c r="AB1116">
        <v>15</v>
      </c>
      <c r="AC1116">
        <v>5.2115</v>
      </c>
      <c r="AD1116">
        <v>-1.1091417262349901</v>
      </c>
      <c r="AE1116">
        <v>-4.3403000000000098</v>
      </c>
      <c r="AF1116">
        <v>2.9892836775284399</v>
      </c>
      <c r="AG1116">
        <v>-1.1091417262349901</v>
      </c>
      <c r="AH1116">
        <v>5.8904181658124504</v>
      </c>
      <c r="AI1116">
        <v>99.531700890231406</v>
      </c>
      <c r="AJ1116">
        <v>63.0930073528679</v>
      </c>
      <c r="AK1116">
        <v>6.6979876412058896</v>
      </c>
      <c r="AL1116">
        <v>84.532060657647605</v>
      </c>
      <c r="AM1116">
        <v>79.942304530838697</v>
      </c>
      <c r="AN1116">
        <v>1.0000000038872801</v>
      </c>
    </row>
    <row r="1117" spans="1:40" x14ac:dyDescent="0.25">
      <c r="A1117" t="str">
        <f>"20190312151245969"</f>
        <v>20190312151245969</v>
      </c>
      <c r="B1117" t="str">
        <f>"1552374765961258"</f>
        <v>1552374765961258</v>
      </c>
      <c r="C1117" t="s">
        <v>40</v>
      </c>
      <c r="D1117">
        <v>5.0105899999999997</v>
      </c>
      <c r="E1117">
        <v>0.61185199999999995</v>
      </c>
      <c r="F1117" t="s">
        <v>51</v>
      </c>
      <c r="G1117">
        <v>-202.8373</v>
      </c>
      <c r="H1117" s="1">
        <v>-3.7114569999999998E-6</v>
      </c>
      <c r="I1117">
        <v>361.29590000000002</v>
      </c>
      <c r="J1117">
        <v>-207.98759999999999</v>
      </c>
      <c r="K1117">
        <v>1.109105</v>
      </c>
      <c r="L1117">
        <v>365.60079999999999</v>
      </c>
      <c r="M1117">
        <v>0.97428150000000002</v>
      </c>
      <c r="N1117">
        <v>0</v>
      </c>
      <c r="O1117">
        <v>-0.22490540000000001</v>
      </c>
      <c r="P1117">
        <v>0.91700380000000004</v>
      </c>
      <c r="Q1117">
        <v>8.2083569999999995E-2</v>
      </c>
      <c r="R1117">
        <v>-0.39034180000000002</v>
      </c>
      <c r="S1117">
        <v>2.4566499999999998</v>
      </c>
      <c r="T1117">
        <v>-0.52050779999999996</v>
      </c>
      <c r="U1117">
        <v>-2.0304259999999998</v>
      </c>
      <c r="V1117">
        <v>0.1744404</v>
      </c>
      <c r="W1117">
        <v>9.5059950000000004E-2</v>
      </c>
      <c r="X1117">
        <v>0.98006839999999995</v>
      </c>
      <c r="Y1117">
        <v>0.44454700000000003</v>
      </c>
      <c r="Z1117">
        <v>-5.7781489999999896E-4</v>
      </c>
      <c r="AA1117">
        <v>0.89575539999999998</v>
      </c>
      <c r="AB1117">
        <v>15</v>
      </c>
      <c r="AC1117">
        <v>5.1502999999999801</v>
      </c>
      <c r="AD1117">
        <v>-1.109108711457</v>
      </c>
      <c r="AE1117">
        <v>-4.3048999999999698</v>
      </c>
      <c r="AF1117">
        <v>2.95546028520975</v>
      </c>
      <c r="AG1117">
        <v>-1.109108711457</v>
      </c>
      <c r="AH1117">
        <v>5.8275182351599799</v>
      </c>
      <c r="AI1117">
        <v>99.633628533959396</v>
      </c>
      <c r="AJ1117">
        <v>63.107886027710101</v>
      </c>
      <c r="AK1117">
        <v>6.6275814904385699</v>
      </c>
      <c r="AL1117">
        <v>84.545229460066807</v>
      </c>
      <c r="AM1117">
        <v>79.907727418264599</v>
      </c>
      <c r="AN1117">
        <v>0.99999995796235996</v>
      </c>
    </row>
    <row r="1118" spans="1:40" x14ac:dyDescent="0.25">
      <c r="A1118" t="str">
        <f>"20190312151245981"</f>
        <v>20190312151245981</v>
      </c>
      <c r="B1118" t="str">
        <f>"1552374765971019"</f>
        <v>1552374765971019</v>
      </c>
      <c r="C1118" t="s">
        <v>40</v>
      </c>
      <c r="D1118">
        <v>5.1294420000000001</v>
      </c>
      <c r="E1118">
        <v>0.61181640000000004</v>
      </c>
      <c r="F1118" t="s">
        <v>51</v>
      </c>
      <c r="G1118">
        <v>-202.78890000000001</v>
      </c>
      <c r="H1118" s="1">
        <v>-3.6902630000000001E-6</v>
      </c>
      <c r="I1118">
        <v>361.2817</v>
      </c>
      <c r="J1118">
        <v>-207.8989</v>
      </c>
      <c r="K1118">
        <v>1.109081</v>
      </c>
      <c r="L1118">
        <v>365.57780000000002</v>
      </c>
      <c r="M1118">
        <v>0.9737884</v>
      </c>
      <c r="N1118">
        <v>0</v>
      </c>
      <c r="O1118">
        <v>-0.2270305</v>
      </c>
      <c r="P1118">
        <v>0.91610100000000005</v>
      </c>
      <c r="Q1118">
        <v>8.1725049999999994E-2</v>
      </c>
      <c r="R1118">
        <v>-0.3925304</v>
      </c>
      <c r="S1118">
        <v>2.4514010000000002</v>
      </c>
      <c r="T1118">
        <v>-0.52299229999999997</v>
      </c>
      <c r="U1118">
        <v>-2.0366520000000001</v>
      </c>
      <c r="V1118">
        <v>0.174639299999999</v>
      </c>
      <c r="W1118">
        <v>9.4691590000000006E-2</v>
      </c>
      <c r="X1118">
        <v>0.98006870000000001</v>
      </c>
      <c r="Y1118">
        <v>0.44487729999999998</v>
      </c>
      <c r="Z1118">
        <v>-2.460033E-4</v>
      </c>
      <c r="AA1118">
        <v>0.89559149999999998</v>
      </c>
      <c r="AB1118">
        <v>15</v>
      </c>
      <c r="AC1118">
        <v>5.1099999999999799</v>
      </c>
      <c r="AD1118">
        <v>-1.1090846902630001</v>
      </c>
      <c r="AE1118">
        <v>-4.2961000000000196</v>
      </c>
      <c r="AF1118">
        <v>2.9424487350697701</v>
      </c>
      <c r="AG1118">
        <v>-1.1090846902630001</v>
      </c>
      <c r="AH1118">
        <v>5.7921203291699497</v>
      </c>
      <c r="AI1118">
        <v>99.687911612120601</v>
      </c>
      <c r="AJ1118">
        <v>63.069024681834399</v>
      </c>
      <c r="AK1118">
        <v>6.5906548473026003</v>
      </c>
      <c r="AL1118">
        <v>84.566430905574407</v>
      </c>
      <c r="AM1118">
        <v>79.896460005912104</v>
      </c>
      <c r="AN1118">
        <v>1.0000000195204499</v>
      </c>
    </row>
    <row r="1119" spans="1:40" x14ac:dyDescent="0.25">
      <c r="A1119" t="str">
        <f>"20190312151245998"</f>
        <v>20190312151245998</v>
      </c>
      <c r="B1119" t="str">
        <f>"1552374765990539"</f>
        <v>1552374765990539</v>
      </c>
      <c r="C1119" t="s">
        <v>40</v>
      </c>
      <c r="D1119">
        <v>5.0000169999999997</v>
      </c>
      <c r="E1119">
        <v>0.61178500000000002</v>
      </c>
      <c r="F1119" t="s">
        <v>51</v>
      </c>
      <c r="G1119">
        <v>-202.74340000000001</v>
      </c>
      <c r="H1119" s="1">
        <v>-3.669087E-6</v>
      </c>
      <c r="I1119">
        <v>361.27390000000003</v>
      </c>
      <c r="J1119">
        <v>-207.79480000000001</v>
      </c>
      <c r="K1119">
        <v>1.1090530000000001</v>
      </c>
      <c r="L1119">
        <v>365.55029999999999</v>
      </c>
      <c r="M1119">
        <v>0.97319409999999895</v>
      </c>
      <c r="N1119">
        <v>0</v>
      </c>
      <c r="O1119">
        <v>-0.22956509999999999</v>
      </c>
      <c r="P1119">
        <v>0.91484639999999995</v>
      </c>
      <c r="Q1119">
        <v>8.1468219999999994E-2</v>
      </c>
      <c r="R1119">
        <v>-0.39549899999999999</v>
      </c>
      <c r="S1119">
        <v>2.446564</v>
      </c>
      <c r="T1119">
        <v>-0.52632679999999998</v>
      </c>
      <c r="U1119">
        <v>-2.0424190000000002</v>
      </c>
      <c r="V1119">
        <v>0.1752667</v>
      </c>
      <c r="W1119">
        <v>9.442006E-2</v>
      </c>
      <c r="X1119">
        <v>0.97998289999999999</v>
      </c>
      <c r="Y1119">
        <v>0.44466129999999998</v>
      </c>
      <c r="Z1119">
        <v>2.1163E-4</v>
      </c>
      <c r="AA1119">
        <v>0.89569880000000002</v>
      </c>
      <c r="AB1119">
        <v>15</v>
      </c>
      <c r="AC1119">
        <v>5.0514000000000001</v>
      </c>
      <c r="AD1119">
        <v>-1.1090566690870001</v>
      </c>
      <c r="AE1119">
        <v>-4.2763999999999598</v>
      </c>
      <c r="AF1119">
        <v>2.92042749957348</v>
      </c>
      <c r="AG1119">
        <v>-1.1090566690870001</v>
      </c>
      <c r="AH1119">
        <v>5.7371766213335302</v>
      </c>
      <c r="AI1119">
        <v>99.774687752437998</v>
      </c>
      <c r="AJ1119">
        <v>63.022283228020598</v>
      </c>
      <c r="AK1119">
        <v>6.5325415467402399</v>
      </c>
      <c r="AL1119">
        <v>84.582058471330598</v>
      </c>
      <c r="AM1119">
        <v>79.860045007879293</v>
      </c>
      <c r="AN1119">
        <v>1.00000002407585</v>
      </c>
    </row>
    <row r="1120" spans="1:40" x14ac:dyDescent="0.25">
      <c r="A1120" t="str">
        <f>"20190312151246012"</f>
        <v>20190312151246012</v>
      </c>
      <c r="B1120" t="str">
        <f>"1552374766001275"</f>
        <v>1552374766001275</v>
      </c>
      <c r="C1120" t="s">
        <v>40</v>
      </c>
      <c r="D1120">
        <v>5.0764699999999996</v>
      </c>
      <c r="E1120">
        <v>0.6117823</v>
      </c>
      <c r="F1120" t="s">
        <v>51</v>
      </c>
      <c r="G1120">
        <v>-202.68379999999999</v>
      </c>
      <c r="H1120" s="1">
        <v>-3.6429860000000001E-6</v>
      </c>
      <c r="I1120">
        <v>361.25639999999999</v>
      </c>
      <c r="J1120">
        <v>-207.7039</v>
      </c>
      <c r="K1120">
        <v>1.1090310000000001</v>
      </c>
      <c r="L1120">
        <v>365.52620000000002</v>
      </c>
      <c r="M1120">
        <v>0.97266220000000003</v>
      </c>
      <c r="N1120">
        <v>0</v>
      </c>
      <c r="O1120">
        <v>-0.2318086</v>
      </c>
      <c r="P1120">
        <v>0.91377719999999996</v>
      </c>
      <c r="Q1120">
        <v>8.1298300000000004E-2</v>
      </c>
      <c r="R1120">
        <v>-0.39799760000000001</v>
      </c>
      <c r="S1120">
        <v>2.4401549999999999</v>
      </c>
      <c r="T1120">
        <v>-0.5295029</v>
      </c>
      <c r="U1120">
        <v>-2.0500790000000002</v>
      </c>
      <c r="V1120">
        <v>0.17568699999999901</v>
      </c>
      <c r="W1120">
        <v>9.4238740000000001E-2</v>
      </c>
      <c r="X1120">
        <v>0.97992509999999999</v>
      </c>
      <c r="Y1120">
        <v>0.4453879</v>
      </c>
      <c r="Z1120">
        <v>5.3511930000000002E-4</v>
      </c>
      <c r="AA1120">
        <v>0.89533759999999996</v>
      </c>
      <c r="AB1120">
        <v>15</v>
      </c>
      <c r="AC1120">
        <v>5.02010000000001</v>
      </c>
      <c r="AD1120">
        <v>-1.1090346429860001</v>
      </c>
      <c r="AE1120">
        <v>-4.2698000000000302</v>
      </c>
      <c r="AF1120">
        <v>2.90732730831891</v>
      </c>
      <c r="AG1120">
        <v>-1.1090346429860001</v>
      </c>
      <c r="AH1120">
        <v>5.71146308588715</v>
      </c>
      <c r="AI1120">
        <v>99.817656153431699</v>
      </c>
      <c r="AJ1120">
        <v>63.022371542917398</v>
      </c>
      <c r="AK1120">
        <v>6.50410028355126</v>
      </c>
      <c r="AL1120">
        <v>84.592493915014501</v>
      </c>
      <c r="AM1120">
        <v>79.835648117856707</v>
      </c>
      <c r="AN1120">
        <v>1.0000000318478901</v>
      </c>
    </row>
    <row r="1121" spans="1:40" x14ac:dyDescent="0.25">
      <c r="A1121" t="str">
        <f>"20190312151246031"</f>
        <v>20190312151246031</v>
      </c>
      <c r="B1121" t="str">
        <f>"1552374766020795"</f>
        <v>1552374766020795</v>
      </c>
      <c r="C1121" t="s">
        <v>40</v>
      </c>
      <c r="D1121">
        <v>5.1110600000000002</v>
      </c>
      <c r="E1121">
        <v>0.6118633</v>
      </c>
      <c r="F1121" t="s">
        <v>51</v>
      </c>
      <c r="G1121">
        <v>-202.6232</v>
      </c>
      <c r="H1121" s="1">
        <v>-3.617344E-6</v>
      </c>
      <c r="I1121">
        <v>361.23439999999999</v>
      </c>
      <c r="J1121">
        <v>-207.5753</v>
      </c>
      <c r="K1121">
        <v>1.109008</v>
      </c>
      <c r="L1121">
        <v>365.49149999999997</v>
      </c>
      <c r="M1121">
        <v>0.97188569999999996</v>
      </c>
      <c r="N1121">
        <v>0</v>
      </c>
      <c r="O1121">
        <v>-0.235042</v>
      </c>
      <c r="P1121">
        <v>0.91190510000000002</v>
      </c>
      <c r="Q1121">
        <v>8.1298819999999994E-2</v>
      </c>
      <c r="R1121">
        <v>-0.40226830000000002</v>
      </c>
      <c r="S1121">
        <v>2.4346619999999999</v>
      </c>
      <c r="T1121">
        <v>-0.53143890000000005</v>
      </c>
      <c r="U1121">
        <v>-2.0565799999999999</v>
      </c>
      <c r="V1121">
        <v>0.17702119999999999</v>
      </c>
      <c r="W1121">
        <v>9.4217839999999997E-2</v>
      </c>
      <c r="X1121">
        <v>0.97968690000000003</v>
      </c>
      <c r="Y1121">
        <v>0.44483159999999999</v>
      </c>
      <c r="Z1121">
        <v>1.155749E-3</v>
      </c>
      <c r="AA1121">
        <v>0.89561349999999995</v>
      </c>
      <c r="AB1121">
        <v>15</v>
      </c>
      <c r="AC1121">
        <v>4.9520999999999997</v>
      </c>
      <c r="AD1121">
        <v>-1.1090116173439999</v>
      </c>
      <c r="AE1121">
        <v>-4.2570999999999799</v>
      </c>
      <c r="AF1121">
        <v>2.8903924907003602</v>
      </c>
      <c r="AG1121">
        <v>-1.1090116173439999</v>
      </c>
      <c r="AH1121">
        <v>5.6510595468770601</v>
      </c>
      <c r="AI1121">
        <v>99.910702774457107</v>
      </c>
      <c r="AJ1121">
        <v>62.911256249862397</v>
      </c>
      <c r="AK1121">
        <v>6.4435044440158</v>
      </c>
      <c r="AL1121">
        <v>84.593696382514295</v>
      </c>
      <c r="AM1121">
        <v>79.757648362702199</v>
      </c>
      <c r="AN1121">
        <v>0.99999996432765703</v>
      </c>
    </row>
    <row r="1122" spans="1:40" x14ac:dyDescent="0.25">
      <c r="A1122" t="str">
        <f>"20190312151246045"</f>
        <v>20190312151246045</v>
      </c>
      <c r="B1122" t="str">
        <f>"1552374766041291"</f>
        <v>1552374766041291</v>
      </c>
      <c r="C1122" t="s">
        <v>40</v>
      </c>
      <c r="D1122">
        <v>5.0217309999999999</v>
      </c>
      <c r="E1122">
        <v>0.61191049999999902</v>
      </c>
      <c r="F1122" t="s">
        <v>51</v>
      </c>
      <c r="G1122">
        <v>-202.54040000000001</v>
      </c>
      <c r="H1122" s="1">
        <v>-3.5843000000000001E-6</v>
      </c>
      <c r="I1122">
        <v>361.19549999999998</v>
      </c>
      <c r="J1122">
        <v>-207.48519999999999</v>
      </c>
      <c r="K1122">
        <v>1.108989</v>
      </c>
      <c r="L1122">
        <v>365.46690000000001</v>
      </c>
      <c r="M1122">
        <v>0.97132750000000001</v>
      </c>
      <c r="N1122">
        <v>0</v>
      </c>
      <c r="O1122">
        <v>-0.23733899999999999</v>
      </c>
      <c r="P1122">
        <v>0.91060660000000004</v>
      </c>
      <c r="Q1122">
        <v>8.0965129999999996E-2</v>
      </c>
      <c r="R1122">
        <v>-0.40526600000000002</v>
      </c>
      <c r="S1122">
        <v>2.4248050000000001</v>
      </c>
      <c r="T1122">
        <v>-0.53409499999999999</v>
      </c>
      <c r="U1122">
        <v>-2.0689090000000001</v>
      </c>
      <c r="V1122">
        <v>0.17792539999999901</v>
      </c>
      <c r="W1122">
        <v>9.3871280000000001E-2</v>
      </c>
      <c r="X1122">
        <v>0.97955639999999999</v>
      </c>
      <c r="Y1122">
        <v>0.44711679999999998</v>
      </c>
      <c r="Z1122">
        <v>1.347631E-3</v>
      </c>
      <c r="AA1122">
        <v>0.89447459999999901</v>
      </c>
      <c r="AB1122">
        <v>15</v>
      </c>
      <c r="AC1122">
        <v>4.9447999999999803</v>
      </c>
      <c r="AD1122">
        <v>-1.1089925842999999</v>
      </c>
      <c r="AE1122">
        <v>-4.2714000000000203</v>
      </c>
      <c r="AF1122">
        <v>2.8923081405927702</v>
      </c>
      <c r="AG1122">
        <v>-1.1089925842999999</v>
      </c>
      <c r="AH1122">
        <v>5.6544733818744604</v>
      </c>
      <c r="AI1122">
        <v>99.904553171643798</v>
      </c>
      <c r="AJ1122">
        <v>62.909894510250702</v>
      </c>
      <c r="AK1122">
        <v>6.4473545085173098</v>
      </c>
      <c r="AL1122">
        <v>84.613641413146794</v>
      </c>
      <c r="AM1122">
        <v>79.705105552221696</v>
      </c>
      <c r="AN1122">
        <v>1.00000000297747</v>
      </c>
    </row>
    <row r="1123" spans="1:40" x14ac:dyDescent="0.25">
      <c r="A1123" t="str">
        <f>"20190312151246057"</f>
        <v>20190312151246057</v>
      </c>
      <c r="B1123" t="str">
        <f>"1552374766051051"</f>
        <v>1552374766051051</v>
      </c>
      <c r="C1123" t="s">
        <v>40</v>
      </c>
      <c r="D1123">
        <v>4.8704179999999999</v>
      </c>
      <c r="E1123">
        <v>0.61203249999999998</v>
      </c>
      <c r="F1123" t="s">
        <v>51</v>
      </c>
      <c r="G1123">
        <v>-202.49799999999999</v>
      </c>
      <c r="H1123" s="1">
        <v>-3.5658989999999998E-6</v>
      </c>
      <c r="I1123">
        <v>361.1823</v>
      </c>
      <c r="J1123">
        <v>-207.4025</v>
      </c>
      <c r="K1123">
        <v>1.1089739999999999</v>
      </c>
      <c r="L1123">
        <v>365.44400000000002</v>
      </c>
      <c r="M1123">
        <v>0.97080069999999996</v>
      </c>
      <c r="N1123">
        <v>0</v>
      </c>
      <c r="O1123">
        <v>-0.23948420000000001</v>
      </c>
      <c r="P1123">
        <v>0.90935299999999997</v>
      </c>
      <c r="Q1123">
        <v>8.0795660000000005E-2</v>
      </c>
      <c r="R1123">
        <v>-0.40810469999999999</v>
      </c>
      <c r="S1123">
        <v>2.4178470000000001</v>
      </c>
      <c r="T1123">
        <v>-0.5376474</v>
      </c>
      <c r="U1123">
        <v>-2.0771790000000001</v>
      </c>
      <c r="V1123">
        <v>0.17881759999999999</v>
      </c>
      <c r="W1123">
        <v>9.3689939999999999E-2</v>
      </c>
      <c r="X1123">
        <v>0.97941129999999998</v>
      </c>
      <c r="Y1123">
        <v>0.44814959999999998</v>
      </c>
      <c r="Z1123">
        <v>1.6375329999999901E-3</v>
      </c>
      <c r="AA1123">
        <v>0.89395709999999995</v>
      </c>
      <c r="AB1123">
        <v>15</v>
      </c>
      <c r="AC1123">
        <v>4.9045000000000103</v>
      </c>
      <c r="AD1123">
        <v>-1.108977565899</v>
      </c>
      <c r="AE1123">
        <v>-4.26170000000001</v>
      </c>
      <c r="AF1123">
        <v>2.87912364081087</v>
      </c>
      <c r="AG1123">
        <v>-1.108977565899</v>
      </c>
      <c r="AH1123">
        <v>5.61877612317</v>
      </c>
      <c r="AI1123">
        <v>99.962511320331203</v>
      </c>
      <c r="AJ1123">
        <v>62.868891430063201</v>
      </c>
      <c r="AK1123">
        <v>6.4101348896141497</v>
      </c>
      <c r="AL1123">
        <v>84.624077496700295</v>
      </c>
      <c r="AM1123">
        <v>79.653094684596198</v>
      </c>
      <c r="AN1123">
        <v>1.00000001674732</v>
      </c>
    </row>
    <row r="1124" spans="1:40" x14ac:dyDescent="0.25">
      <c r="A1124" t="str">
        <f>"20190312151246076"</f>
        <v>20190312151246076</v>
      </c>
      <c r="B1124" t="str">
        <f>"1552374766070571"</f>
        <v>1552374766070571</v>
      </c>
      <c r="C1124" t="s">
        <v>40</v>
      </c>
      <c r="D1124">
        <v>4.884004</v>
      </c>
      <c r="E1124">
        <v>0.61223070000000002</v>
      </c>
      <c r="F1124" t="s">
        <v>51</v>
      </c>
      <c r="G1124">
        <v>-202.43190000000001</v>
      </c>
      <c r="H1124" s="1">
        <v>-3.5412940000000001E-6</v>
      </c>
      <c r="I1124">
        <v>361.14319999999998</v>
      </c>
      <c r="J1124">
        <v>-207.28020000000001</v>
      </c>
      <c r="K1124">
        <v>1.1089530000000001</v>
      </c>
      <c r="L1124">
        <v>365.40989999999999</v>
      </c>
      <c r="M1124">
        <v>0.97000339999999996</v>
      </c>
      <c r="N1124">
        <v>0</v>
      </c>
      <c r="O1124">
        <v>-0.24269370000000001</v>
      </c>
      <c r="P1124">
        <v>0.90737440000000003</v>
      </c>
      <c r="Q1124">
        <v>8.0550919999999998E-2</v>
      </c>
      <c r="R1124">
        <v>-0.41253269999999997</v>
      </c>
      <c r="S1124">
        <v>2.4107210000000001</v>
      </c>
      <c r="T1124">
        <v>-0.53784080000000001</v>
      </c>
      <c r="U1124">
        <v>-2.0858759999999998</v>
      </c>
      <c r="V1124">
        <v>0.1803534</v>
      </c>
      <c r="W1124">
        <v>9.3426460000000003E-2</v>
      </c>
      <c r="X1124">
        <v>0.97915479999999999</v>
      </c>
      <c r="Y1124">
        <v>0.4483839</v>
      </c>
      <c r="Z1124">
        <v>2.1849759999999999E-3</v>
      </c>
      <c r="AA1124">
        <v>0.89383840000000003</v>
      </c>
      <c r="AB1124">
        <v>15</v>
      </c>
      <c r="AC1124">
        <v>4.8482999999999903</v>
      </c>
      <c r="AD1124">
        <v>-1.1089565412939999</v>
      </c>
      <c r="AE1124">
        <v>-4.2667000000000099</v>
      </c>
      <c r="AF1124">
        <v>2.87750834795481</v>
      </c>
      <c r="AG1124">
        <v>-1.1089565412939999</v>
      </c>
      <c r="AH1124">
        <v>5.5745645504836503</v>
      </c>
      <c r="AI1124">
        <v>100.024648868189</v>
      </c>
      <c r="AJ1124">
        <v>62.697881508668203</v>
      </c>
      <c r="AK1124">
        <v>6.3706835450002801</v>
      </c>
      <c r="AL1124">
        <v>84.6392401372579</v>
      </c>
      <c r="AM1124">
        <v>79.563499278747798</v>
      </c>
      <c r="AN1124">
        <v>0.99999998734136497</v>
      </c>
    </row>
    <row r="1125" spans="1:40" x14ac:dyDescent="0.25">
      <c r="A1125" t="str">
        <f>"20190312151246098"</f>
        <v>20190312151246098</v>
      </c>
      <c r="B1125" t="str">
        <f>"1552374766091067"</f>
        <v>1552374766091067</v>
      </c>
      <c r="C1125" t="s">
        <v>40</v>
      </c>
      <c r="D1125">
        <v>5.0221960000000001</v>
      </c>
      <c r="E1125">
        <v>0.61240329999999998</v>
      </c>
      <c r="F1125" t="s">
        <v>51</v>
      </c>
      <c r="G1125">
        <v>-202.33349999999999</v>
      </c>
      <c r="H1125" s="1">
        <v>-3.5052930000000002E-6</v>
      </c>
      <c r="I1125">
        <v>361.08229999999998</v>
      </c>
      <c r="J1125">
        <v>-207.13679999999999</v>
      </c>
      <c r="K1125">
        <v>1.108922</v>
      </c>
      <c r="L1125">
        <v>365.36919999999998</v>
      </c>
      <c r="M1125">
        <v>0.96903709999999998</v>
      </c>
      <c r="N1125">
        <v>0</v>
      </c>
      <c r="O1125">
        <v>-0.2465231</v>
      </c>
      <c r="P1125">
        <v>0.90497150000000004</v>
      </c>
      <c r="Q1125">
        <v>8.0654779999999995E-2</v>
      </c>
      <c r="R1125">
        <v>-0.4177575</v>
      </c>
      <c r="S1125">
        <v>2.3995820000000001</v>
      </c>
      <c r="T1125">
        <v>-0.53794310000000001</v>
      </c>
      <c r="U1125">
        <v>-2.099243</v>
      </c>
      <c r="V1125">
        <v>0.18214159999999999</v>
      </c>
      <c r="W1125">
        <v>9.3508590000000003E-2</v>
      </c>
      <c r="X1125">
        <v>0.97881589999999996</v>
      </c>
      <c r="Y1125">
        <v>0.44976139999999998</v>
      </c>
      <c r="Z1125">
        <v>2.7330520000000001E-3</v>
      </c>
      <c r="AA1125">
        <v>0.89314459999999996</v>
      </c>
      <c r="AB1125">
        <v>15</v>
      </c>
      <c r="AC1125">
        <v>4.8033000000000001</v>
      </c>
      <c r="AD1125">
        <v>-1.108925505293</v>
      </c>
      <c r="AE1125">
        <v>-4.2869000000000002</v>
      </c>
      <c r="AF1125">
        <v>2.8847434447392102</v>
      </c>
      <c r="AG1125">
        <v>-1.108925505293</v>
      </c>
      <c r="AH1125">
        <v>5.5473688716381302</v>
      </c>
      <c r="AI1125">
        <v>100.057071254538</v>
      </c>
      <c r="AJ1125">
        <v>62.524660807683901</v>
      </c>
      <c r="AK1125">
        <v>6.3501781011460503</v>
      </c>
      <c r="AL1125">
        <v>84.634513771848404</v>
      </c>
      <c r="AM1125">
        <v>79.458761601725499</v>
      </c>
      <c r="AN1125">
        <v>0.99999999247357796</v>
      </c>
    </row>
    <row r="1126" spans="1:40" x14ac:dyDescent="0.25">
      <c r="A1126" t="str">
        <f>"20190312151246121"</f>
        <v>20190312151246121</v>
      </c>
      <c r="B1126" t="str">
        <f>"1552374766110587"</f>
        <v>1552374766110587</v>
      </c>
      <c r="C1126" t="s">
        <v>40</v>
      </c>
      <c r="D1126">
        <v>4.849062</v>
      </c>
      <c r="E1126">
        <v>0.6125661</v>
      </c>
      <c r="F1126" t="s">
        <v>51</v>
      </c>
      <c r="G1126">
        <v>-202.21379999999999</v>
      </c>
      <c r="H1126" s="1">
        <v>-3.4616399999999999E-6</v>
      </c>
      <c r="I1126">
        <v>361.00749999999999</v>
      </c>
      <c r="J1126">
        <v>-206.9907</v>
      </c>
      <c r="K1126">
        <v>1.1089</v>
      </c>
      <c r="L1126">
        <v>365.32690000000002</v>
      </c>
      <c r="M1126">
        <v>0.96801729999999997</v>
      </c>
      <c r="N1126">
        <v>0</v>
      </c>
      <c r="O1126">
        <v>-0.25049769999999999</v>
      </c>
      <c r="P1126">
        <v>0.90245949999999997</v>
      </c>
      <c r="Q1126">
        <v>8.0902070000000006E-2</v>
      </c>
      <c r="R1126">
        <v>-0.42310999999999999</v>
      </c>
      <c r="S1126">
        <v>2.386765</v>
      </c>
      <c r="T1126">
        <v>-0.53762699999999997</v>
      </c>
      <c r="U1126">
        <v>-2.1145939999999999</v>
      </c>
      <c r="V1126">
        <v>0.1839353</v>
      </c>
      <c r="W1126">
        <v>9.3734559999999995E-2</v>
      </c>
      <c r="X1126">
        <v>0.97845879999999996</v>
      </c>
      <c r="Y1126">
        <v>0.45172370000000001</v>
      </c>
      <c r="Z1126">
        <v>3.2489490000000001E-3</v>
      </c>
      <c r="AA1126">
        <v>0.89215199999999995</v>
      </c>
      <c r="AB1126">
        <v>15</v>
      </c>
      <c r="AC1126">
        <v>4.7769000000000101</v>
      </c>
      <c r="AD1126">
        <v>-1.10890346164</v>
      </c>
      <c r="AE1126">
        <v>-4.3194000000000301</v>
      </c>
      <c r="AF1126">
        <v>2.89899175343138</v>
      </c>
      <c r="AG1126">
        <v>-1.10890346164</v>
      </c>
      <c r="AH1126">
        <v>5.5423555101959296</v>
      </c>
      <c r="AI1126">
        <v>100.05349897779099</v>
      </c>
      <c r="AJ1126">
        <v>62.387674405236602</v>
      </c>
      <c r="AK1126">
        <v>6.3522849963693799</v>
      </c>
      <c r="AL1126">
        <v>84.621509529718296</v>
      </c>
      <c r="AM1126">
        <v>79.353518085600996</v>
      </c>
      <c r="AN1126">
        <v>0.99999999281096097</v>
      </c>
    </row>
    <row r="1127" spans="1:40" x14ac:dyDescent="0.25">
      <c r="A1127" t="str">
        <f>"20190312151246142"</f>
        <v>20190312151246142</v>
      </c>
      <c r="B1127" t="str">
        <f>"1552374766131083"</f>
        <v>1552374766131083</v>
      </c>
      <c r="C1127" t="s">
        <v>40</v>
      </c>
      <c r="D1127">
        <v>4.9519199999999897</v>
      </c>
      <c r="E1127">
        <v>0.61281419999999998</v>
      </c>
      <c r="F1127" t="s">
        <v>51</v>
      </c>
      <c r="G1127">
        <v>-202.08080000000001</v>
      </c>
      <c r="H1127" s="1">
        <v>-3.4142790000000001E-6</v>
      </c>
      <c r="I1127">
        <v>360.91919999999999</v>
      </c>
      <c r="J1127">
        <v>-206.8519</v>
      </c>
      <c r="K1127">
        <v>1.108884</v>
      </c>
      <c r="L1127">
        <v>365.28620000000001</v>
      </c>
      <c r="M1127">
        <v>0.96701510000000002</v>
      </c>
      <c r="N1127">
        <v>0</v>
      </c>
      <c r="O1127">
        <v>-0.25433860000000003</v>
      </c>
      <c r="P1127">
        <v>0.90004519999999899</v>
      </c>
      <c r="Q1127">
        <v>8.0218960000000006E-2</v>
      </c>
      <c r="R1127">
        <v>-0.42835040000000002</v>
      </c>
      <c r="S1127">
        <v>2.3733520000000001</v>
      </c>
      <c r="T1127">
        <v>-0.53601840000000001</v>
      </c>
      <c r="U1127">
        <v>-2.130585</v>
      </c>
      <c r="V1127">
        <v>0.18572830000000001</v>
      </c>
      <c r="W1127">
        <v>9.3032409999999996E-2</v>
      </c>
      <c r="X1127">
        <v>0.97818709999999998</v>
      </c>
      <c r="Y1127">
        <v>0.4540515</v>
      </c>
      <c r="Z1127">
        <v>3.6970530000000001E-3</v>
      </c>
      <c r="AA1127">
        <v>0.89096779999999998</v>
      </c>
      <c r="AB1127">
        <v>15</v>
      </c>
      <c r="AC1127">
        <v>4.7710999999999899</v>
      </c>
      <c r="AD1127">
        <v>-1.1088874142789999</v>
      </c>
      <c r="AE1127">
        <v>-4.3670000000000098</v>
      </c>
      <c r="AF1127">
        <v>2.9238312024409598</v>
      </c>
      <c r="AG1127">
        <v>-1.1088874142789999</v>
      </c>
      <c r="AH1127">
        <v>5.5615071690222404</v>
      </c>
      <c r="AI1127">
        <v>100.008684705173</v>
      </c>
      <c r="AJ1127">
        <v>62.267909590708399</v>
      </c>
      <c r="AK1127">
        <v>6.3803434224969102</v>
      </c>
      <c r="AL1127">
        <v>84.661916459218205</v>
      </c>
      <c r="AM1127">
        <v>79.249226801126198</v>
      </c>
      <c r="AN1127">
        <v>1.0000000166688501</v>
      </c>
    </row>
    <row r="1128" spans="1:40" x14ac:dyDescent="0.25">
      <c r="A1128" t="str">
        <f>"20190312151246165"</f>
        <v>20190312151246165</v>
      </c>
      <c r="B1128" t="str">
        <f>"1552374766161339"</f>
        <v>1552374766161339</v>
      </c>
      <c r="C1128" t="s">
        <v>40</v>
      </c>
      <c r="D1128">
        <v>4.9792079999999999</v>
      </c>
      <c r="E1128">
        <v>0.61328490000000002</v>
      </c>
      <c r="F1128" t="s">
        <v>51</v>
      </c>
      <c r="G1128">
        <v>-201.99449999999999</v>
      </c>
      <c r="H1128" s="1">
        <v>-3.382071E-6</v>
      </c>
      <c r="I1128">
        <v>360.86869999999999</v>
      </c>
      <c r="J1128">
        <v>-206.7088</v>
      </c>
      <c r="K1128">
        <v>1.1088629999999999</v>
      </c>
      <c r="L1128">
        <v>365.24349999999998</v>
      </c>
      <c r="M1128">
        <v>0.96594769999999996</v>
      </c>
      <c r="N1128">
        <v>0</v>
      </c>
      <c r="O1128">
        <v>-0.25836290000000001</v>
      </c>
      <c r="P1128">
        <v>0.89754859999999903</v>
      </c>
      <c r="Q1128">
        <v>8.007533E-2</v>
      </c>
      <c r="R1128">
        <v>-0.433583</v>
      </c>
      <c r="S1128">
        <v>2.3598020000000002</v>
      </c>
      <c r="T1128">
        <v>-0.53871859999999905</v>
      </c>
      <c r="U1128">
        <v>-2.1460880000000002</v>
      </c>
      <c r="V1128">
        <v>0.1873524</v>
      </c>
      <c r="W1128">
        <v>9.2870040000000001E-2</v>
      </c>
      <c r="X1128">
        <v>0.97789280000000001</v>
      </c>
      <c r="Y1128">
        <v>0.45608860000000001</v>
      </c>
      <c r="Z1128">
        <v>4.2370039999999999E-3</v>
      </c>
      <c r="AA1128">
        <v>0.8899243</v>
      </c>
      <c r="AB1128">
        <v>15</v>
      </c>
      <c r="AC1128">
        <v>4.7142999999999997</v>
      </c>
      <c r="AD1128">
        <v>-1.1088663820710001</v>
      </c>
      <c r="AE1128">
        <v>-4.3747999999999898</v>
      </c>
      <c r="AF1128">
        <v>2.92128014730118</v>
      </c>
      <c r="AG1128">
        <v>-1.1088663820710001</v>
      </c>
      <c r="AH1128">
        <v>5.5204995627443703</v>
      </c>
      <c r="AI1128">
        <v>100.06730437930899</v>
      </c>
      <c r="AJ1128">
        <v>62.113570794492098</v>
      </c>
      <c r="AK1128">
        <v>6.3434515663449398</v>
      </c>
      <c r="AL1128">
        <v>84.671260189422</v>
      </c>
      <c r="AM1128">
        <v>79.1542500970086</v>
      </c>
      <c r="AN1128">
        <v>1.0000000472035899</v>
      </c>
    </row>
    <row r="1129" spans="1:40" x14ac:dyDescent="0.25">
      <c r="A1129" t="str">
        <f>"20190312151246188"</f>
        <v>20190312151246188</v>
      </c>
      <c r="B1129" t="str">
        <f>"1552374766180859"</f>
        <v>1552374766180859</v>
      </c>
      <c r="C1129" t="s">
        <v>40</v>
      </c>
      <c r="D1129">
        <v>4.8882830000000004</v>
      </c>
      <c r="E1129">
        <v>0.61352259999999903</v>
      </c>
      <c r="F1129" t="s">
        <v>51</v>
      </c>
      <c r="G1129">
        <v>-201.8921</v>
      </c>
      <c r="H1129" s="1">
        <v>-3.3455840000000002E-6</v>
      </c>
      <c r="I1129">
        <v>360.80090000000001</v>
      </c>
      <c r="J1129">
        <v>-206.5626</v>
      </c>
      <c r="K1129">
        <v>1.1088439999999999</v>
      </c>
      <c r="L1129">
        <v>365.19900000000001</v>
      </c>
      <c r="M1129">
        <v>0.96481870000000003</v>
      </c>
      <c r="N1129">
        <v>0</v>
      </c>
      <c r="O1129">
        <v>-0.26254809999999901</v>
      </c>
      <c r="P1129">
        <v>0.89479850000000005</v>
      </c>
      <c r="Q1129">
        <v>7.9717930000000006E-2</v>
      </c>
      <c r="R1129">
        <v>-0.43929580000000001</v>
      </c>
      <c r="S1129">
        <v>2.34552</v>
      </c>
      <c r="T1129">
        <v>-0.53997669999999998</v>
      </c>
      <c r="U1129">
        <v>-2.1633610000000001</v>
      </c>
      <c r="V1129">
        <v>0.18934329999999999</v>
      </c>
      <c r="W1129">
        <v>9.2490680000000006E-2</v>
      </c>
      <c r="X1129">
        <v>0.9775452</v>
      </c>
      <c r="Y1129">
        <v>0.45848339999999999</v>
      </c>
      <c r="Z1129">
        <v>4.763354E-3</v>
      </c>
      <c r="AA1129">
        <v>0.88869019999999999</v>
      </c>
      <c r="AB1129">
        <v>15</v>
      </c>
      <c r="AC1129">
        <v>4.6704999999999997</v>
      </c>
      <c r="AD1129">
        <v>-1.108847345584</v>
      </c>
      <c r="AE1129">
        <v>-4.3981000000000003</v>
      </c>
      <c r="AF1129">
        <v>2.9299005237860798</v>
      </c>
      <c r="AG1129">
        <v>-1.108847345584</v>
      </c>
      <c r="AH1129">
        <v>5.4972190070027596</v>
      </c>
      <c r="AI1129">
        <v>100.09328127000001</v>
      </c>
      <c r="AJ1129">
        <v>61.943335621978399</v>
      </c>
      <c r="AK1129">
        <v>6.3271854979953801</v>
      </c>
      <c r="AL1129">
        <v>84.693089698734198</v>
      </c>
      <c r="AM1129">
        <v>79.037971520377596</v>
      </c>
      <c r="AN1129">
        <v>1.00000001459239</v>
      </c>
    </row>
    <row r="1130" spans="1:40" x14ac:dyDescent="0.25">
      <c r="A1130" t="str">
        <f>"20190312151246210"</f>
        <v>20190312151246210</v>
      </c>
      <c r="B1130" t="str">
        <f>"1552374766201355"</f>
        <v>1552374766201355</v>
      </c>
      <c r="C1130" t="s">
        <v>40</v>
      </c>
      <c r="D1130">
        <v>4.8079190000000001</v>
      </c>
      <c r="E1130">
        <v>0.6135235</v>
      </c>
      <c r="F1130" t="s">
        <v>51</v>
      </c>
      <c r="G1130">
        <v>-201.78270000000001</v>
      </c>
      <c r="H1130" s="1">
        <v>-3.3067040000000001E-6</v>
      </c>
      <c r="I1130">
        <v>360.72789999999998</v>
      </c>
      <c r="J1130">
        <v>-206.4213</v>
      </c>
      <c r="K1130">
        <v>1.108819</v>
      </c>
      <c r="L1130">
        <v>365.15519999999998</v>
      </c>
      <c r="M1130">
        <v>0.96369119999999997</v>
      </c>
      <c r="N1130">
        <v>0</v>
      </c>
      <c r="O1130">
        <v>-0.26665680000000003</v>
      </c>
      <c r="P1130">
        <v>0.89183089999999998</v>
      </c>
      <c r="Q1130">
        <v>7.9300019999999999E-2</v>
      </c>
      <c r="R1130">
        <v>-0.44536429999999999</v>
      </c>
      <c r="S1130">
        <v>2.3305820000000002</v>
      </c>
      <c r="T1130">
        <v>-0.54065680000000005</v>
      </c>
      <c r="U1130">
        <v>-2.1800229999999998</v>
      </c>
      <c r="V1130">
        <v>0.1918134</v>
      </c>
      <c r="W1130">
        <v>9.2048649999999996E-2</v>
      </c>
      <c r="X1130">
        <v>0.97710529999999995</v>
      </c>
      <c r="Y1130">
        <v>0.4609393</v>
      </c>
      <c r="Z1130">
        <v>5.2685809999999996E-3</v>
      </c>
      <c r="AA1130">
        <v>0.88741610000000004</v>
      </c>
      <c r="AB1130">
        <v>15</v>
      </c>
      <c r="AC1130">
        <v>4.6385999999999896</v>
      </c>
      <c r="AD1130">
        <v>-1.1088223067039999</v>
      </c>
      <c r="AE1130">
        <v>-4.4272999999999998</v>
      </c>
      <c r="AF1130">
        <v>2.9419592121060898</v>
      </c>
      <c r="AG1130">
        <v>-1.1088223067039999</v>
      </c>
      <c r="AH1130">
        <v>5.4872169823876096</v>
      </c>
      <c r="AI1130">
        <v>100.09803709773099</v>
      </c>
      <c r="AJ1130">
        <v>61.802114475892203</v>
      </c>
      <c r="AK1130">
        <v>6.3240936999180599</v>
      </c>
      <c r="AL1130">
        <v>84.7185248480844</v>
      </c>
      <c r="AM1130">
        <v>78.893621775196294</v>
      </c>
      <c r="AN1130">
        <v>1.00000005083723</v>
      </c>
    </row>
    <row r="1131" spans="1:40" x14ac:dyDescent="0.25">
      <c r="A1131" t="str">
        <f>"20190312151246232"</f>
        <v>20190312151246232</v>
      </c>
      <c r="B1131" t="str">
        <f>"1552374766220875"</f>
        <v>1552374766220875</v>
      </c>
      <c r="C1131" t="s">
        <v>40</v>
      </c>
      <c r="D1131">
        <v>4.7535790000000002</v>
      </c>
      <c r="E1131">
        <v>0.64462319999999995</v>
      </c>
      <c r="F1131" t="s">
        <v>51</v>
      </c>
      <c r="G1131">
        <v>-201.68369999999999</v>
      </c>
      <c r="H1131" s="1">
        <v>-3.271748E-6</v>
      </c>
      <c r="I1131">
        <v>360.66079999999999</v>
      </c>
      <c r="J1131">
        <v>-206.28129999999999</v>
      </c>
      <c r="K1131">
        <v>1.1088070000000001</v>
      </c>
      <c r="L1131">
        <v>365.1112</v>
      </c>
      <c r="M1131">
        <v>0.96254090000000003</v>
      </c>
      <c r="N1131">
        <v>0</v>
      </c>
      <c r="O1131">
        <v>-0.27077990000000002</v>
      </c>
      <c r="P1131">
        <v>0.88864779999999999</v>
      </c>
      <c r="Q1131">
        <v>7.9075430000000002E-2</v>
      </c>
      <c r="R1131">
        <v>-0.45172200000000001</v>
      </c>
      <c r="S1131">
        <v>2.3152159999999999</v>
      </c>
      <c r="T1131">
        <v>-0.54186800000000002</v>
      </c>
      <c r="U1131">
        <v>-2.1963810000000001</v>
      </c>
      <c r="V1131">
        <v>0.194607</v>
      </c>
      <c r="W1131">
        <v>9.1799370000000005E-2</v>
      </c>
      <c r="X1131">
        <v>0.97657609999999995</v>
      </c>
      <c r="Y1131">
        <v>0.46338669999999998</v>
      </c>
      <c r="Z1131">
        <v>5.7853459999999898E-3</v>
      </c>
      <c r="AA1131">
        <v>0.88613719999999996</v>
      </c>
      <c r="AB1131">
        <v>15</v>
      </c>
      <c r="AC1131">
        <v>4.5975999999999999</v>
      </c>
      <c r="AD1131">
        <v>-1.108810271748</v>
      </c>
      <c r="AE1131">
        <v>-4.4504000000000001</v>
      </c>
      <c r="AF1131">
        <v>2.9504522694455799</v>
      </c>
      <c r="AG1131">
        <v>-1.108810271748</v>
      </c>
      <c r="AH1131">
        <v>5.4668434608832301</v>
      </c>
      <c r="AI1131">
        <v>100.120087777564</v>
      </c>
      <c r="AJ1131">
        <v>61.644289007187503</v>
      </c>
      <c r="AK1131">
        <v>6.3103887549668602</v>
      </c>
      <c r="AL1131">
        <v>84.732867704341203</v>
      </c>
      <c r="AM1131">
        <v>78.730026275644704</v>
      </c>
      <c r="AN1131">
        <v>0.99999994393630098</v>
      </c>
    </row>
    <row r="1132" spans="1:40" x14ac:dyDescent="0.25">
      <c r="A1132" t="str">
        <f>"20190312151246255"</f>
        <v>20190312151246255</v>
      </c>
      <c r="B1132" t="str">
        <f>"1552374766251132"</f>
        <v>1552374766251132</v>
      </c>
      <c r="C1132" t="s">
        <v>40</v>
      </c>
      <c r="D1132">
        <v>4.8335869999999996</v>
      </c>
      <c r="E1132">
        <v>0.65042659999999997</v>
      </c>
      <c r="F1132" t="s">
        <v>51</v>
      </c>
      <c r="G1132">
        <v>-201.61279999999999</v>
      </c>
      <c r="H1132" s="1">
        <v>-3.4019209999999999E-6</v>
      </c>
      <c r="I1132">
        <v>359.91289999999998</v>
      </c>
      <c r="J1132">
        <v>-206.13829999999999</v>
      </c>
      <c r="K1132">
        <v>1.1087990000000001</v>
      </c>
      <c r="L1132">
        <v>365.06540000000001</v>
      </c>
      <c r="M1132">
        <v>0.96133210000000002</v>
      </c>
      <c r="N1132">
        <v>0</v>
      </c>
      <c r="O1132">
        <v>-0.27504010000000001</v>
      </c>
      <c r="P1132">
        <v>0.88522559999999995</v>
      </c>
      <c r="Q1132">
        <v>7.8696970000000005E-2</v>
      </c>
      <c r="R1132">
        <v>-0.4584568</v>
      </c>
      <c r="S1132">
        <v>2.1852420000000001</v>
      </c>
      <c r="T1132">
        <v>-0.519015</v>
      </c>
      <c r="U1132">
        <v>-2.4332280000000002</v>
      </c>
      <c r="V1132">
        <v>0.19769110000000001</v>
      </c>
      <c r="W1132">
        <v>9.1395770000000001E-2</v>
      </c>
      <c r="X1132">
        <v>0.97599429999999998</v>
      </c>
      <c r="Y1132">
        <v>0.528478</v>
      </c>
      <c r="Z1132" s="1">
        <v>4.1987750000000001E-5</v>
      </c>
      <c r="AA1132">
        <v>0.84894699999999901</v>
      </c>
      <c r="AB1132">
        <v>15</v>
      </c>
      <c r="AC1132">
        <v>4.5254999999999903</v>
      </c>
      <c r="AD1132">
        <v>-1.1088024019210001</v>
      </c>
      <c r="AE1132">
        <v>-5.1525000000000301</v>
      </c>
      <c r="AF1132">
        <v>3.6144379496066601</v>
      </c>
      <c r="AG1132">
        <v>-1.1088024019210001</v>
      </c>
      <c r="AH1132">
        <v>5.6212567210943503</v>
      </c>
      <c r="AI1132">
        <v>99.420330129267796</v>
      </c>
      <c r="AJ1132">
        <v>57.2591996905687</v>
      </c>
      <c r="AK1132">
        <v>6.7743731505218197</v>
      </c>
      <c r="AL1132">
        <v>84.756089757675596</v>
      </c>
      <c r="AM1132">
        <v>78.549457014694497</v>
      </c>
      <c r="AN1132">
        <v>0.99999991571279201</v>
      </c>
    </row>
    <row r="1133" spans="1:40" x14ac:dyDescent="0.25">
      <c r="A1133" t="str">
        <f>"20190312151246278"</f>
        <v>20190312151246278</v>
      </c>
      <c r="B1133" t="str">
        <f>"1552374766270651"</f>
        <v>1552374766270651</v>
      </c>
      <c r="C1133" t="s">
        <v>40</v>
      </c>
      <c r="D1133">
        <v>4.7771739999999996</v>
      </c>
      <c r="E1133">
        <v>0.65201529999999996</v>
      </c>
      <c r="F1133" t="s">
        <v>51</v>
      </c>
      <c r="G1133">
        <v>-201.41040000000001</v>
      </c>
      <c r="H1133" s="1">
        <v>-6.275803E-6</v>
      </c>
      <c r="I1133">
        <v>359.57639999999998</v>
      </c>
      <c r="J1133">
        <v>-205.99209999999999</v>
      </c>
      <c r="K1133">
        <v>1.108787</v>
      </c>
      <c r="L1133">
        <v>365.0179</v>
      </c>
      <c r="M1133">
        <v>0.96005830000000003</v>
      </c>
      <c r="N1133">
        <v>0</v>
      </c>
      <c r="O1133">
        <v>-0.27945379999999997</v>
      </c>
      <c r="P1133">
        <v>0.8821679</v>
      </c>
      <c r="Q1133">
        <v>7.7765029999999999E-2</v>
      </c>
      <c r="R1133">
        <v>-0.4644702</v>
      </c>
      <c r="S1133">
        <v>2.144333</v>
      </c>
      <c r="T1133">
        <v>-0.50289459999999997</v>
      </c>
      <c r="U1133">
        <v>-2.4895320000000001</v>
      </c>
      <c r="V1133">
        <v>0.1998248</v>
      </c>
      <c r="W1133">
        <v>9.0446040000000005E-2</v>
      </c>
      <c r="X1133">
        <v>0.97564830000000002</v>
      </c>
      <c r="Y1133">
        <v>0.54217919999999997</v>
      </c>
      <c r="Z1133">
        <v>-5.1755460000000003E-4</v>
      </c>
      <c r="AA1133">
        <v>0.84026279999999998</v>
      </c>
      <c r="AB1133">
        <v>15</v>
      </c>
      <c r="AC1133">
        <v>4.5816999999999801</v>
      </c>
      <c r="AD1133">
        <v>-1.1087932758029999</v>
      </c>
      <c r="AE1133">
        <v>-5.4415000000000102</v>
      </c>
      <c r="AF1133">
        <v>3.8506112821864198</v>
      </c>
      <c r="AG1133">
        <v>-1.1087932758029999</v>
      </c>
      <c r="AH1133">
        <v>5.7795015076241398</v>
      </c>
      <c r="AI1133">
        <v>99.071210243979195</v>
      </c>
      <c r="AJ1133">
        <v>56.326336929861199</v>
      </c>
      <c r="AK1133">
        <v>7.0327283078188803</v>
      </c>
      <c r="AL1133">
        <v>84.810732153460606</v>
      </c>
      <c r="AM1133">
        <v>78.425193286518393</v>
      </c>
      <c r="AN1133">
        <v>1.0000000210697999</v>
      </c>
    </row>
    <row r="1134" spans="1:40" x14ac:dyDescent="0.25">
      <c r="A1134" t="str">
        <f>"20190312151246300"</f>
        <v>20190312151246300</v>
      </c>
      <c r="B1134" t="str">
        <f>"1552374766291147"</f>
        <v>1552374766291147</v>
      </c>
      <c r="C1134" t="s">
        <v>40</v>
      </c>
      <c r="D1134">
        <v>4.7546150000000003</v>
      </c>
      <c r="E1134">
        <v>0.65363079999999996</v>
      </c>
      <c r="F1134" t="s">
        <v>51</v>
      </c>
      <c r="G1134">
        <v>-201.36410000000001</v>
      </c>
      <c r="H1134" s="1">
        <v>-6.2806749999999998E-6</v>
      </c>
      <c r="I1134">
        <v>359.52870000000001</v>
      </c>
      <c r="J1134">
        <v>-205.85319999999999</v>
      </c>
      <c r="K1134">
        <v>1.1087849999999999</v>
      </c>
      <c r="L1134">
        <v>364.97199999999998</v>
      </c>
      <c r="M1134">
        <v>0.95881340000000004</v>
      </c>
      <c r="N1134">
        <v>0</v>
      </c>
      <c r="O1134">
        <v>-0.2836957</v>
      </c>
      <c r="P1134">
        <v>0.87913770000000002</v>
      </c>
      <c r="Q1134">
        <v>7.7304109999999995E-2</v>
      </c>
      <c r="R1134">
        <v>-0.47025679999999997</v>
      </c>
      <c r="S1134">
        <v>2.120987</v>
      </c>
      <c r="T1134">
        <v>-0.50815379999999999</v>
      </c>
      <c r="U1134">
        <v>-2.5156559999999999</v>
      </c>
      <c r="V1134">
        <v>0.20191139999999999</v>
      </c>
      <c r="W1134">
        <v>8.9967340000000007E-2</v>
      </c>
      <c r="X1134">
        <v>0.97526290000000004</v>
      </c>
      <c r="Y1134">
        <v>0.54725469999999998</v>
      </c>
      <c r="Z1134">
        <v>-2.9902910000000001E-4</v>
      </c>
      <c r="AA1134">
        <v>0.83696599999999999</v>
      </c>
      <c r="AB1134">
        <v>15</v>
      </c>
      <c r="AC1134">
        <v>4.4890999999999703</v>
      </c>
      <c r="AD1134">
        <v>-1.108791280675</v>
      </c>
      <c r="AE1134">
        <v>-5.4432999999999598</v>
      </c>
      <c r="AF1134">
        <v>3.8508509789485901</v>
      </c>
      <c r="AG1134">
        <v>-1.108791280675</v>
      </c>
      <c r="AH1134">
        <v>5.7080487869103402</v>
      </c>
      <c r="AI1134">
        <v>99.147892643438198</v>
      </c>
      <c r="AJ1134">
        <v>55.995009190841301</v>
      </c>
      <c r="AK1134">
        <v>6.9742592667550696</v>
      </c>
      <c r="AL1134">
        <v>84.838271966407106</v>
      </c>
      <c r="AM1134">
        <v>78.303145525721206</v>
      </c>
      <c r="AN1134">
        <v>1.0000000299165199</v>
      </c>
    </row>
    <row r="1135" spans="1:40" x14ac:dyDescent="0.25">
      <c r="A1135" t="str">
        <f>"20190312151246321"</f>
        <v>20190312151246321</v>
      </c>
      <c r="B1135" t="str">
        <f>"1552374766310666"</f>
        <v>1552374766310666</v>
      </c>
      <c r="C1135" t="s">
        <v>40</v>
      </c>
      <c r="D1135">
        <v>4.7233429999999998</v>
      </c>
      <c r="E1135">
        <v>0.65405210000000003</v>
      </c>
      <c r="F1135" t="s">
        <v>51</v>
      </c>
      <c r="G1135">
        <v>-201.19759999999999</v>
      </c>
      <c r="H1135" s="1">
        <v>-6.2907639999999998E-6</v>
      </c>
      <c r="I1135">
        <v>359.33150000000001</v>
      </c>
      <c r="J1135">
        <v>-205.71709999999999</v>
      </c>
      <c r="K1135">
        <v>1.1087739999999999</v>
      </c>
      <c r="L1135">
        <v>364.92630000000003</v>
      </c>
      <c r="M1135">
        <v>0.9575574</v>
      </c>
      <c r="N1135">
        <v>0</v>
      </c>
      <c r="O1135">
        <v>-0.2879063</v>
      </c>
      <c r="P1135">
        <v>0.87618300000000005</v>
      </c>
      <c r="Q1135">
        <v>7.7278379999999994E-2</v>
      </c>
      <c r="R1135">
        <v>-0.47574309999999997</v>
      </c>
      <c r="S1135">
        <v>2.097229</v>
      </c>
      <c r="T1135">
        <v>-0.49947259999999999</v>
      </c>
      <c r="U1135">
        <v>-2.5408629999999999</v>
      </c>
      <c r="V1135">
        <v>0.20372570000000001</v>
      </c>
      <c r="W1135">
        <v>8.9923169999999997E-2</v>
      </c>
      <c r="X1135">
        <v>0.97488960000000002</v>
      </c>
      <c r="Y1135">
        <v>0.55239780000000005</v>
      </c>
      <c r="Z1135" s="1">
        <v>-8.6639080000000001E-5</v>
      </c>
      <c r="AA1135">
        <v>0.8335806</v>
      </c>
      <c r="AB1135">
        <v>15</v>
      </c>
      <c r="AC1135">
        <v>4.5194999999999901</v>
      </c>
      <c r="AD1135">
        <v>-1.1087802907640001</v>
      </c>
      <c r="AE1135">
        <v>-5.5948000000000198</v>
      </c>
      <c r="AF1135">
        <v>3.9623703939966299</v>
      </c>
      <c r="AG1135">
        <v>-1.1087802907640001</v>
      </c>
      <c r="AH1135">
        <v>5.8011601375762796</v>
      </c>
      <c r="AI1135">
        <v>98.968915723410106</v>
      </c>
      <c r="AJ1135">
        <v>55.665724999924997</v>
      </c>
      <c r="AK1135">
        <v>7.11218896080607</v>
      </c>
      <c r="AL1135">
        <v>84.840813045624799</v>
      </c>
      <c r="AM1135">
        <v>78.196584523987894</v>
      </c>
      <c r="AN1135">
        <v>1.0000000347657401</v>
      </c>
    </row>
    <row r="1136" spans="1:40" x14ac:dyDescent="0.25">
      <c r="A1136" t="str">
        <f>"20190312151246343"</f>
        <v>20190312151246343</v>
      </c>
      <c r="B1136" t="str">
        <f>"1552374766340923"</f>
        <v>1552374766340923</v>
      </c>
      <c r="C1136" t="s">
        <v>40</v>
      </c>
      <c r="D1136">
        <v>4.7582620000000002</v>
      </c>
      <c r="E1136">
        <v>0.65319269999999996</v>
      </c>
      <c r="F1136" t="s">
        <v>51</v>
      </c>
      <c r="G1136">
        <v>-201.0865</v>
      </c>
      <c r="H1136" s="1">
        <v>-6.3072819999999997E-6</v>
      </c>
      <c r="I1136">
        <v>359.23390000000001</v>
      </c>
      <c r="J1136">
        <v>-205.57859999999999</v>
      </c>
      <c r="K1136">
        <v>1.1087610000000001</v>
      </c>
      <c r="L1136">
        <v>364.87900000000002</v>
      </c>
      <c r="M1136">
        <v>0.95624379999999998</v>
      </c>
      <c r="N1136">
        <v>0</v>
      </c>
      <c r="O1136">
        <v>-0.2922401</v>
      </c>
      <c r="P1136">
        <v>0.87325309999999901</v>
      </c>
      <c r="Q1136">
        <v>7.712927E-2</v>
      </c>
      <c r="R1136">
        <v>-0.48112389999999999</v>
      </c>
      <c r="S1136">
        <v>2.0797270000000001</v>
      </c>
      <c r="T1136">
        <v>-0.49797619999999998</v>
      </c>
      <c r="U1136">
        <v>-2.5565799999999999</v>
      </c>
      <c r="V1136">
        <v>0.2053073</v>
      </c>
      <c r="W1136">
        <v>8.9756489999999994E-2</v>
      </c>
      <c r="X1136">
        <v>0.97457309999999997</v>
      </c>
      <c r="Y1136">
        <v>0.55460359999999997</v>
      </c>
      <c r="Z1136">
        <v>4.1694939999999998E-4</v>
      </c>
      <c r="AA1136">
        <v>0.83211460000000004</v>
      </c>
      <c r="AB1136">
        <v>15</v>
      </c>
      <c r="AC1136">
        <v>4.49209999999999</v>
      </c>
      <c r="AD1136">
        <v>-1.1087673072819999</v>
      </c>
      <c r="AE1136">
        <v>-5.64510000000001</v>
      </c>
      <c r="AF1136">
        <v>3.99143504153913</v>
      </c>
      <c r="AG1136">
        <v>-1.1087673072819999</v>
      </c>
      <c r="AH1136">
        <v>5.8086386800348704</v>
      </c>
      <c r="AI1136">
        <v>98.940522391676893</v>
      </c>
      <c r="AJ1136">
        <v>55.5049023617945</v>
      </c>
      <c r="AK1136">
        <v>7.1345078279949403</v>
      </c>
      <c r="AL1136">
        <v>84.850401810279195</v>
      </c>
      <c r="AM1136">
        <v>78.103797677015294</v>
      </c>
      <c r="AN1136">
        <v>1.0000000210869999</v>
      </c>
    </row>
    <row r="1137" spans="1:40" x14ac:dyDescent="0.25">
      <c r="A1137" t="str">
        <f>"20190312151246367"</f>
        <v>20190312151246367</v>
      </c>
      <c r="B1137" t="str">
        <f>"1552374766361424"</f>
        <v>1552374766361424</v>
      </c>
      <c r="C1137" t="s">
        <v>40</v>
      </c>
      <c r="D1137">
        <v>4.7766080000000004</v>
      </c>
      <c r="E1137">
        <v>0.65208829999999995</v>
      </c>
      <c r="F1137" t="s">
        <v>51</v>
      </c>
      <c r="G1137">
        <v>-201.04599999999999</v>
      </c>
      <c r="H1137" s="1">
        <v>-6.3311439999999998E-6</v>
      </c>
      <c r="I1137">
        <v>359.2604</v>
      </c>
      <c r="J1137">
        <v>-205.43870000000001</v>
      </c>
      <c r="K1137">
        <v>1.108735</v>
      </c>
      <c r="L1137">
        <v>364.83049999999997</v>
      </c>
      <c r="M1137">
        <v>0.95487860000000002</v>
      </c>
      <c r="N1137">
        <v>0</v>
      </c>
      <c r="O1137">
        <v>-0.29667059999999901</v>
      </c>
      <c r="P1137">
        <v>0.8704054</v>
      </c>
      <c r="Q1137">
        <v>7.6344560000000006E-2</v>
      </c>
      <c r="R1137">
        <v>-0.4863809</v>
      </c>
      <c r="S1137">
        <v>2.067841</v>
      </c>
      <c r="T1137">
        <v>-0.50583739999999999</v>
      </c>
      <c r="U1137">
        <v>-2.5633240000000002</v>
      </c>
      <c r="V1137">
        <v>0.20664540000000001</v>
      </c>
      <c r="W1137">
        <v>8.8955270000000003E-2</v>
      </c>
      <c r="X1137">
        <v>0.97436369999999894</v>
      </c>
      <c r="Y1137">
        <v>0.5541123</v>
      </c>
      <c r="Z1137">
        <v>1.2107939999999901E-3</v>
      </c>
      <c r="AA1137">
        <v>0.83244110000000004</v>
      </c>
      <c r="AB1137">
        <v>15</v>
      </c>
      <c r="AC1137">
        <v>4.3927000000000103</v>
      </c>
      <c r="AD1137">
        <v>-1.108741331144</v>
      </c>
      <c r="AE1137">
        <v>-5.5700999999999601</v>
      </c>
      <c r="AF1137">
        <v>3.9202063727087899</v>
      </c>
      <c r="AG1137">
        <v>-1.108741331144</v>
      </c>
      <c r="AH1137">
        <v>5.70810293515492</v>
      </c>
      <c r="AI1137">
        <v>99.096739282773996</v>
      </c>
      <c r="AJ1137">
        <v>55.519530159313199</v>
      </c>
      <c r="AK1137">
        <v>7.0128285635924303</v>
      </c>
      <c r="AL1137">
        <v>84.896492553781002</v>
      </c>
      <c r="AM1137">
        <v>78.0259951402589</v>
      </c>
      <c r="AN1137">
        <v>0.99999999063981104</v>
      </c>
    </row>
    <row r="1138" spans="1:40" x14ac:dyDescent="0.25">
      <c r="A1138" t="str">
        <f>"20190312151246388"</f>
        <v>20190312151246388</v>
      </c>
      <c r="B1138" t="str">
        <f>"1552374766380939"</f>
        <v>1552374766380939</v>
      </c>
      <c r="C1138" t="s">
        <v>40</v>
      </c>
      <c r="D1138">
        <v>4.7589439999999996</v>
      </c>
      <c r="E1138">
        <v>0.65121969999999996</v>
      </c>
      <c r="F1138" t="s">
        <v>51</v>
      </c>
      <c r="G1138">
        <v>-201.02879999999999</v>
      </c>
      <c r="H1138" s="1">
        <v>-6.3567789999999999E-6</v>
      </c>
      <c r="I1138">
        <v>359.32530000000003</v>
      </c>
      <c r="J1138">
        <v>-205.30289999999999</v>
      </c>
      <c r="K1138">
        <v>1.108717</v>
      </c>
      <c r="L1138">
        <v>364.78250000000003</v>
      </c>
      <c r="M1138">
        <v>0.95351430000000004</v>
      </c>
      <c r="N1138">
        <v>0</v>
      </c>
      <c r="O1138">
        <v>-0.30102649999999997</v>
      </c>
      <c r="P1138">
        <v>0.86787440000000005</v>
      </c>
      <c r="Q1138">
        <v>7.5773809999999997E-2</v>
      </c>
      <c r="R1138">
        <v>-0.49097089999999999</v>
      </c>
      <c r="S1138">
        <v>2.057083</v>
      </c>
      <c r="T1138">
        <v>-0.51718629999999999</v>
      </c>
      <c r="U1138">
        <v>-2.5679630000000002</v>
      </c>
      <c r="V1138">
        <v>0.2073295</v>
      </c>
      <c r="W1138">
        <v>8.8373450000000006E-2</v>
      </c>
      <c r="X1138">
        <v>0.97427129999999995</v>
      </c>
      <c r="Y1138">
        <v>0.55309549999999996</v>
      </c>
      <c r="Z1138">
        <v>2.0834510000000001E-3</v>
      </c>
      <c r="AA1138">
        <v>0.8331153</v>
      </c>
      <c r="AB1138">
        <v>14</v>
      </c>
      <c r="AC1138">
        <v>4.2740999999999998</v>
      </c>
      <c r="AD1138">
        <v>-1.108723356779</v>
      </c>
      <c r="AE1138">
        <v>-5.4572000000000003</v>
      </c>
      <c r="AF1138">
        <v>3.8195616409522599</v>
      </c>
      <c r="AG1138">
        <v>-1.108723356779</v>
      </c>
      <c r="AH1138">
        <v>5.5760743803455197</v>
      </c>
      <c r="AI1138">
        <v>99.315883670632999</v>
      </c>
      <c r="AJ1138">
        <v>55.589201472943401</v>
      </c>
      <c r="AK1138">
        <v>6.84915499211741</v>
      </c>
      <c r="AL1138">
        <v>84.929960126587403</v>
      </c>
      <c r="AM1138">
        <v>77.986398640898202</v>
      </c>
      <c r="AN1138">
        <v>0.99999997711942001</v>
      </c>
    </row>
    <row r="1139" spans="1:40" x14ac:dyDescent="0.25">
      <c r="A1139" t="str">
        <f>"20190312151246411"</f>
        <v>20190312151246411</v>
      </c>
      <c r="B1139" t="str">
        <f>"1552374766401435"</f>
        <v>1552374766401435</v>
      </c>
      <c r="C1139" t="s">
        <v>40</v>
      </c>
      <c r="D1139">
        <v>4.7201389999999996</v>
      </c>
      <c r="E1139">
        <v>0.65050620000000003</v>
      </c>
      <c r="F1139" t="s">
        <v>51</v>
      </c>
      <c r="G1139">
        <v>-200.9907</v>
      </c>
      <c r="H1139" s="1">
        <v>-6.38241099999999E-6</v>
      </c>
      <c r="I1139">
        <v>359.3612</v>
      </c>
      <c r="J1139">
        <v>-205.16290000000001</v>
      </c>
      <c r="K1139">
        <v>1.1087089999999999</v>
      </c>
      <c r="L1139">
        <v>364.73230000000001</v>
      </c>
      <c r="M1139">
        <v>0.95207090000000005</v>
      </c>
      <c r="N1139">
        <v>0</v>
      </c>
      <c r="O1139">
        <v>-0.30556100000000003</v>
      </c>
      <c r="P1139">
        <v>0.86517140000000003</v>
      </c>
      <c r="Q1139">
        <v>7.5009580000000006E-2</v>
      </c>
      <c r="R1139">
        <v>-0.49583470000000002</v>
      </c>
      <c r="S1139">
        <v>2.046875</v>
      </c>
      <c r="T1139">
        <v>-0.52628039999999998</v>
      </c>
      <c r="U1139">
        <v>-2.573334</v>
      </c>
      <c r="V1139">
        <v>0.20814009999999999</v>
      </c>
      <c r="W1139">
        <v>8.7599700000000003E-2</v>
      </c>
      <c r="X1139">
        <v>0.97416840000000005</v>
      </c>
      <c r="Y1139">
        <v>0.55196089999999998</v>
      </c>
      <c r="Z1139">
        <v>3.0243290000000001E-3</v>
      </c>
      <c r="AA1139">
        <v>0.83386450000000001</v>
      </c>
      <c r="AB1139">
        <v>14</v>
      </c>
      <c r="AC1139">
        <v>4.1722000000000001</v>
      </c>
      <c r="AD1139">
        <v>-1.1087153824110001</v>
      </c>
      <c r="AE1139">
        <v>-5.37110000000001</v>
      </c>
      <c r="AF1139">
        <v>3.73979302700665</v>
      </c>
      <c r="AG1139">
        <v>-1.1087153824110001</v>
      </c>
      <c r="AH1139">
        <v>5.4686431193887497</v>
      </c>
      <c r="AI1139">
        <v>99.500436191632701</v>
      </c>
      <c r="AJ1139">
        <v>55.633289009935602</v>
      </c>
      <c r="AK1139">
        <v>6.7172434265314704</v>
      </c>
      <c r="AL1139">
        <v>84.974465661883201</v>
      </c>
      <c r="AM1139">
        <v>77.939564681756295</v>
      </c>
      <c r="AN1139">
        <v>1.00000004011332</v>
      </c>
    </row>
    <row r="1140" spans="1:40" x14ac:dyDescent="0.25">
      <c r="A1140" t="str">
        <f>"20190312151246433"</f>
        <v>20190312151246433</v>
      </c>
      <c r="B1140" t="str">
        <f>"1552374766430715"</f>
        <v>1552374766430715</v>
      </c>
      <c r="C1140" t="s">
        <v>40</v>
      </c>
      <c r="D1140">
        <v>4.7905419999999896</v>
      </c>
      <c r="E1140">
        <v>0.64958549999999904</v>
      </c>
      <c r="F1140" t="s">
        <v>51</v>
      </c>
      <c r="G1140">
        <v>-200.9298</v>
      </c>
      <c r="H1140" s="1">
        <v>-6.4077630000000003E-6</v>
      </c>
      <c r="I1140">
        <v>359.36430000000001</v>
      </c>
      <c r="J1140">
        <v>-205.02709999999999</v>
      </c>
      <c r="K1140">
        <v>1.1087100000000001</v>
      </c>
      <c r="L1140">
        <v>364.68290000000002</v>
      </c>
      <c r="M1140">
        <v>0.95063470000000005</v>
      </c>
      <c r="N1140">
        <v>0</v>
      </c>
      <c r="O1140">
        <v>-0.31000040000000001</v>
      </c>
      <c r="P1140">
        <v>0.86238150000000002</v>
      </c>
      <c r="Q1140">
        <v>7.4516579999999999E-2</v>
      </c>
      <c r="R1140">
        <v>-0.5007452</v>
      </c>
      <c r="S1140">
        <v>2.0348820000000001</v>
      </c>
      <c r="T1140">
        <v>-0.53297229999999995</v>
      </c>
      <c r="U1140">
        <v>-2.580444</v>
      </c>
      <c r="V1140">
        <v>0.20911830000000001</v>
      </c>
      <c r="W1140">
        <v>8.7098560000000005E-2</v>
      </c>
      <c r="X1140">
        <v>0.97400379999999998</v>
      </c>
      <c r="Y1140">
        <v>0.55155489999999996</v>
      </c>
      <c r="Z1140">
        <v>3.8900110000000001E-3</v>
      </c>
      <c r="AA1140">
        <v>0.83412960000000003</v>
      </c>
      <c r="AB1140">
        <v>14</v>
      </c>
      <c r="AC1140">
        <v>4.09729999999999</v>
      </c>
      <c r="AD1140">
        <v>-1.1087164077630001</v>
      </c>
      <c r="AE1140">
        <v>-5.3186</v>
      </c>
      <c r="AF1140">
        <v>3.6857334941727098</v>
      </c>
      <c r="AG1140">
        <v>-1.1087164077630001</v>
      </c>
      <c r="AH1140">
        <v>5.3971539278263299</v>
      </c>
      <c r="AI1140">
        <v>99.6281620755056</v>
      </c>
      <c r="AJ1140">
        <v>55.670707478695803</v>
      </c>
      <c r="AK1140">
        <v>6.6289632661194204</v>
      </c>
      <c r="AL1140">
        <v>85.003288899420198</v>
      </c>
      <c r="AM1140">
        <v>77.882567893496798</v>
      </c>
      <c r="AN1140">
        <v>1.0000000124816999</v>
      </c>
    </row>
    <row r="1141" spans="1:40" x14ac:dyDescent="0.25">
      <c r="A1141" t="str">
        <f>"20190312151246456"</f>
        <v>20190312151246456</v>
      </c>
      <c r="B1141" t="str">
        <f>"1552374766451211"</f>
        <v>1552374766451211</v>
      </c>
      <c r="C1141" t="s">
        <v>40</v>
      </c>
      <c r="D1141">
        <v>4.4806059999999999</v>
      </c>
      <c r="E1141">
        <v>0.64935559999999903</v>
      </c>
      <c r="F1141" t="s">
        <v>51</v>
      </c>
      <c r="G1141">
        <v>-200.87530000000001</v>
      </c>
      <c r="H1141" s="1">
        <v>-6.4334939999999997E-6</v>
      </c>
      <c r="I1141">
        <v>359.3777</v>
      </c>
      <c r="J1141">
        <v>-204.89279999999999</v>
      </c>
      <c r="K1141">
        <v>1.1087119999999999</v>
      </c>
      <c r="L1141">
        <v>364.63319999999999</v>
      </c>
      <c r="M1141">
        <v>0.94917859999999998</v>
      </c>
      <c r="N1141">
        <v>0</v>
      </c>
      <c r="O1141">
        <v>-0.31443059999999901</v>
      </c>
      <c r="P1141">
        <v>0.85941849999999997</v>
      </c>
      <c r="Q1141">
        <v>7.4493530000000002E-2</v>
      </c>
      <c r="R1141">
        <v>-0.50581690000000001</v>
      </c>
      <c r="S1141">
        <v>2.023819</v>
      </c>
      <c r="T1141">
        <v>-0.54044700000000001</v>
      </c>
      <c r="U1141">
        <v>-2.5860599999999998</v>
      </c>
      <c r="V1141">
        <v>0.2103141</v>
      </c>
      <c r="W1141">
        <v>8.7065770000000001E-2</v>
      </c>
      <c r="X1141">
        <v>0.97374919999999998</v>
      </c>
      <c r="Y1141">
        <v>0.550732</v>
      </c>
      <c r="Z1141">
        <v>4.8262920000000003E-3</v>
      </c>
      <c r="AA1141">
        <v>0.83466819999999897</v>
      </c>
      <c r="AB1141">
        <v>14</v>
      </c>
      <c r="AC1141">
        <v>4.0174999999999796</v>
      </c>
      <c r="AD1141">
        <v>-1.1087184334939999</v>
      </c>
      <c r="AE1141">
        <v>-5.2554999999999801</v>
      </c>
      <c r="AF1141">
        <v>3.6237504952334398</v>
      </c>
      <c r="AG1141">
        <v>-1.1087184334939999</v>
      </c>
      <c r="AH1141">
        <v>5.3169868233162303</v>
      </c>
      <c r="AI1141">
        <v>99.776644131198495</v>
      </c>
      <c r="AJ1141">
        <v>55.723921857740898</v>
      </c>
      <c r="AK1141">
        <v>6.5292551715944098</v>
      </c>
      <c r="AL1141">
        <v>85.005174663324496</v>
      </c>
      <c r="AM1141">
        <v>77.812250944926902</v>
      </c>
      <c r="AN1141">
        <v>0.99999998673257096</v>
      </c>
    </row>
    <row r="1142" spans="1:40" x14ac:dyDescent="0.25">
      <c r="A1142" t="str">
        <f>"20190312151246479"</f>
        <v>20190312151246479</v>
      </c>
      <c r="B1142" t="str">
        <f>"1552374766470734"</f>
        <v>1552374766470734</v>
      </c>
      <c r="C1142" t="s">
        <v>40</v>
      </c>
      <c r="D1142">
        <v>4.7770159999999997</v>
      </c>
      <c r="E1142">
        <v>0.6455417</v>
      </c>
      <c r="F1142" t="s">
        <v>51</v>
      </c>
      <c r="G1142">
        <v>-200.7809</v>
      </c>
      <c r="H1142" s="1">
        <v>-6.4548819999999997E-6</v>
      </c>
      <c r="I1142">
        <v>359.32029999999997</v>
      </c>
      <c r="J1142">
        <v>-204.7525</v>
      </c>
      <c r="K1142">
        <v>1.1087199999999999</v>
      </c>
      <c r="L1142">
        <v>364.58049999999997</v>
      </c>
      <c r="M1142">
        <v>0.94761770000000001</v>
      </c>
      <c r="N1142">
        <v>0</v>
      </c>
      <c r="O1142">
        <v>-0.31910349999999998</v>
      </c>
      <c r="P1142">
        <v>0.85651980000000005</v>
      </c>
      <c r="Q1142">
        <v>7.4905020000000003E-2</v>
      </c>
      <c r="R1142">
        <v>-0.51064969999999998</v>
      </c>
      <c r="S1142">
        <v>2.0095209999999999</v>
      </c>
      <c r="T1142">
        <v>-0.54184370000000004</v>
      </c>
      <c r="U1142">
        <v>-2.5964659999999999</v>
      </c>
      <c r="V1142">
        <v>0.21101549999999999</v>
      </c>
      <c r="W1142">
        <v>8.7469539999999998E-2</v>
      </c>
      <c r="X1142">
        <v>0.97356129999999996</v>
      </c>
      <c r="Y1142">
        <v>0.55114779999999997</v>
      </c>
      <c r="Z1142">
        <v>5.6402500000000003E-3</v>
      </c>
      <c r="AA1142">
        <v>0.83438860000000004</v>
      </c>
      <c r="AB1142">
        <v>14</v>
      </c>
      <c r="AC1142">
        <v>3.9715999999999898</v>
      </c>
      <c r="AD1142">
        <v>-1.1087264548819999</v>
      </c>
      <c r="AE1142">
        <v>-5.2601999999999904</v>
      </c>
      <c r="AF1142">
        <v>3.6153665331617901</v>
      </c>
      <c r="AG1142">
        <v>-1.1087264548819999</v>
      </c>
      <c r="AH1142">
        <v>5.2928664532571803</v>
      </c>
      <c r="AI1142">
        <v>99.813581533014201</v>
      </c>
      <c r="AJ1142">
        <v>55.664423500287</v>
      </c>
      <c r="AK1142">
        <v>6.5049661653906199</v>
      </c>
      <c r="AL1142">
        <v>84.9819519823224</v>
      </c>
      <c r="AM1142">
        <v>77.770536732040995</v>
      </c>
      <c r="AN1142">
        <v>1.00000003326287</v>
      </c>
    </row>
    <row r="1143" spans="1:40" x14ac:dyDescent="0.25">
      <c r="A1143" t="str">
        <f>"20190312151246501"</f>
        <v>20190312151246501</v>
      </c>
      <c r="B1143" t="str">
        <f>"1552374766491227"</f>
        <v>1552374766491227</v>
      </c>
      <c r="C1143" t="s">
        <v>40</v>
      </c>
      <c r="D1143">
        <v>4.7657780000000001</v>
      </c>
      <c r="E1143">
        <v>0.64399050000000002</v>
      </c>
      <c r="F1143" t="s">
        <v>51</v>
      </c>
      <c r="G1143">
        <v>-198.4734</v>
      </c>
      <c r="H1143" s="1">
        <v>-5.5795429999999998E-6</v>
      </c>
      <c r="I1143">
        <v>356.51990000000001</v>
      </c>
      <c r="J1143">
        <v>-204.61420000000001</v>
      </c>
      <c r="K1143">
        <v>1.108708</v>
      </c>
      <c r="L1143">
        <v>364.52789999999999</v>
      </c>
      <c r="M1143">
        <v>0.94604029999999995</v>
      </c>
      <c r="N1143">
        <v>0</v>
      </c>
      <c r="O1143">
        <v>-0.32375009999999999</v>
      </c>
      <c r="P1143">
        <v>0.85352280000000003</v>
      </c>
      <c r="Q1143">
        <v>7.5054560000000006E-2</v>
      </c>
      <c r="R1143">
        <v>-0.51562149999999995</v>
      </c>
      <c r="S1143">
        <v>2.0015869999999998</v>
      </c>
      <c r="T1143">
        <v>-0.353429299999999</v>
      </c>
      <c r="U1143">
        <v>-2.5694889999999999</v>
      </c>
      <c r="V1143">
        <v>0.21190580000000001</v>
      </c>
      <c r="W1143">
        <v>8.7607749999999998E-2</v>
      </c>
      <c r="X1143">
        <v>0.97335550000000004</v>
      </c>
      <c r="Y1143">
        <v>0.54617260000000001</v>
      </c>
      <c r="Z1143">
        <v>4.6077740000000002E-3</v>
      </c>
      <c r="AA1143">
        <v>0.83766010000000002</v>
      </c>
      <c r="AB1143">
        <v>14</v>
      </c>
      <c r="AC1143">
        <v>6.1408000000000103</v>
      </c>
      <c r="AD1143">
        <v>-1.1087135795430001</v>
      </c>
      <c r="AE1143">
        <v>-8.0079999999999796</v>
      </c>
      <c r="AF1143">
        <v>5.5216966242093699</v>
      </c>
      <c r="AG1143">
        <v>-1.1087135795430001</v>
      </c>
      <c r="AH1143">
        <v>8.3026303724568198</v>
      </c>
      <c r="AI1143">
        <v>96.344810635932504</v>
      </c>
      <c r="AJ1143">
        <v>56.373953009699299</v>
      </c>
      <c r="AK1143">
        <v>10.0325495519788</v>
      </c>
      <c r="AL1143">
        <v>84.974002739187</v>
      </c>
      <c r="AM1143">
        <v>77.717984051085807</v>
      </c>
      <c r="AN1143">
        <v>1.0000000576569701</v>
      </c>
    </row>
    <row r="1144" spans="1:40" x14ac:dyDescent="0.25">
      <c r="A1144" t="str">
        <f>"20190312151246522"</f>
        <v>20190312151246522</v>
      </c>
      <c r="B1144" t="str">
        <f>"1552374766510748"</f>
        <v>1552374766510748</v>
      </c>
      <c r="C1144" t="s">
        <v>40</v>
      </c>
      <c r="D1144">
        <v>4.7325390000000001</v>
      </c>
      <c r="E1144">
        <v>0.6435419</v>
      </c>
      <c r="F1144" t="s">
        <v>51</v>
      </c>
      <c r="G1144">
        <v>-200.7569</v>
      </c>
      <c r="H1144" s="1">
        <v>-6.5292260000000004E-6</v>
      </c>
      <c r="I1144">
        <v>359.54509999999999</v>
      </c>
      <c r="J1144">
        <v>-204.48650000000001</v>
      </c>
      <c r="K1144">
        <v>1.1087020000000001</v>
      </c>
      <c r="L1144">
        <v>364.47840000000002</v>
      </c>
      <c r="M1144">
        <v>0.94454610000000006</v>
      </c>
      <c r="N1144">
        <v>0</v>
      </c>
      <c r="O1144">
        <v>-0.32808409999999999</v>
      </c>
      <c r="P1144">
        <v>0.85030380000000005</v>
      </c>
      <c r="Q1144">
        <v>7.4812180000000006E-2</v>
      </c>
      <c r="R1144">
        <v>-0.52094759999999996</v>
      </c>
      <c r="S1144">
        <v>2.0026549999999999</v>
      </c>
      <c r="T1144">
        <v>-0.57562760000000002</v>
      </c>
      <c r="U1144">
        <v>-2.5869749999999998</v>
      </c>
      <c r="V1144">
        <v>0.21352389999999999</v>
      </c>
      <c r="W1144">
        <v>8.7348419999999996E-2</v>
      </c>
      <c r="X1144">
        <v>0.97302509999999998</v>
      </c>
      <c r="Y1144">
        <v>0.54295470000000001</v>
      </c>
      <c r="Z1144">
        <v>8.6162610000000001E-3</v>
      </c>
      <c r="AA1144">
        <v>0.83971779999999996</v>
      </c>
      <c r="AB1144">
        <v>14</v>
      </c>
      <c r="AC1144">
        <v>3.7296</v>
      </c>
      <c r="AD1144">
        <v>-1.1087085292259999</v>
      </c>
      <c r="AE1144">
        <v>-4.9333000000000302</v>
      </c>
      <c r="AF1144">
        <v>3.3294343749925899</v>
      </c>
      <c r="AG1144">
        <v>-1.1087085292259999</v>
      </c>
      <c r="AH1144">
        <v>4.9817064940609797</v>
      </c>
      <c r="AI1144">
        <v>100.483179780656</v>
      </c>
      <c r="AJ1144">
        <v>56.243921552932903</v>
      </c>
      <c r="AK1144">
        <v>6.0935841221017197</v>
      </c>
      <c r="AL1144">
        <v>84.988918262861702</v>
      </c>
      <c r="AM1144">
        <v>77.623005630327498</v>
      </c>
      <c r="AN1144">
        <v>1.00000002378885</v>
      </c>
    </row>
    <row r="1145" spans="1:40" x14ac:dyDescent="0.25">
      <c r="A1145" t="str">
        <f>"20190312151246546"</f>
        <v>20190312151246546</v>
      </c>
      <c r="B1145" t="str">
        <f>"1552374766541077"</f>
        <v>1552374766541077</v>
      </c>
      <c r="C1145" t="s">
        <v>40</v>
      </c>
      <c r="D1145">
        <v>4.713851</v>
      </c>
      <c r="E1145">
        <v>0.64358629999999994</v>
      </c>
      <c r="F1145" t="s">
        <v>51</v>
      </c>
      <c r="G1145">
        <v>-200.6609</v>
      </c>
      <c r="H1145" s="1">
        <v>-6.549565E-6</v>
      </c>
      <c r="I1145">
        <v>359.48180000000002</v>
      </c>
      <c r="J1145">
        <v>-204.3477</v>
      </c>
      <c r="K1145">
        <v>1.1086910000000001</v>
      </c>
      <c r="L1145">
        <v>364.42380000000003</v>
      </c>
      <c r="M1145">
        <v>0.942882</v>
      </c>
      <c r="N1145">
        <v>0</v>
      </c>
      <c r="O1145">
        <v>-0.33283669999999999</v>
      </c>
      <c r="P1145">
        <v>0.84751369999999904</v>
      </c>
      <c r="Q1145">
        <v>7.3879260000000002E-2</v>
      </c>
      <c r="R1145">
        <v>-0.52560699999999905</v>
      </c>
      <c r="S1145">
        <v>1.9880370000000001</v>
      </c>
      <c r="T1145">
        <v>-0.57615959999999999</v>
      </c>
      <c r="U1145">
        <v>-2.5965579999999999</v>
      </c>
      <c r="V1145">
        <v>0.21393570000000001</v>
      </c>
      <c r="W1145">
        <v>8.6406430000000006E-2</v>
      </c>
      <c r="X1145">
        <v>0.97301870000000001</v>
      </c>
      <c r="Y1145">
        <v>0.54325299999999999</v>
      </c>
      <c r="Z1145">
        <v>9.5124649999999995E-3</v>
      </c>
      <c r="AA1145">
        <v>0.83951509999999996</v>
      </c>
      <c r="AB1145">
        <v>14</v>
      </c>
      <c r="AC1145">
        <v>3.6867999999999999</v>
      </c>
      <c r="AD1145">
        <v>-1.108697549565</v>
      </c>
      <c r="AE1145">
        <v>-4.9420000000000002</v>
      </c>
      <c r="AF1145">
        <v>3.3254273992901902</v>
      </c>
      <c r="AG1145">
        <v>-1.108697549565</v>
      </c>
      <c r="AH1145">
        <v>4.9611758872268101</v>
      </c>
      <c r="AI1145">
        <v>100.516182679599</v>
      </c>
      <c r="AJ1145">
        <v>56.166441979468502</v>
      </c>
      <c r="AK1145">
        <v>6.07461470616549</v>
      </c>
      <c r="AL1145">
        <v>85.0430949035391</v>
      </c>
      <c r="AM1145">
        <v>77.599794188606595</v>
      </c>
      <c r="AN1145">
        <v>0.99999997271476204</v>
      </c>
    </row>
    <row r="1146" spans="1:40" x14ac:dyDescent="0.25">
      <c r="A1146" t="str">
        <f>"20190312151246568"</f>
        <v>20190312151246568</v>
      </c>
      <c r="B1146" t="str">
        <f>"1552374766560600"</f>
        <v>1552374766560600</v>
      </c>
      <c r="C1146" t="s">
        <v>40</v>
      </c>
      <c r="D1146">
        <v>4.7496150000000004</v>
      </c>
      <c r="E1146">
        <v>0.64372589999999996</v>
      </c>
      <c r="F1146" t="s">
        <v>51</v>
      </c>
      <c r="G1146">
        <v>-200.5737</v>
      </c>
      <c r="H1146" s="1">
        <v>-6.5719349999999996E-6</v>
      </c>
      <c r="I1146">
        <v>359.43779999999998</v>
      </c>
      <c r="J1146">
        <v>-204.2167</v>
      </c>
      <c r="K1146">
        <v>1.108673</v>
      </c>
      <c r="L1146">
        <v>364.37150000000003</v>
      </c>
      <c r="M1146">
        <v>0.94127099999999997</v>
      </c>
      <c r="N1146">
        <v>0</v>
      </c>
      <c r="O1146">
        <v>-0.33736539999999998</v>
      </c>
      <c r="P1146">
        <v>0.84456629999999999</v>
      </c>
      <c r="Q1146">
        <v>7.3162089999999999E-2</v>
      </c>
      <c r="R1146">
        <v>-0.53042919999999905</v>
      </c>
      <c r="S1146">
        <v>1.973419</v>
      </c>
      <c r="T1146">
        <v>-0.57974269999999894</v>
      </c>
      <c r="U1146">
        <v>-2.6071780000000002</v>
      </c>
      <c r="V1146">
        <v>0.214783</v>
      </c>
      <c r="W1146">
        <v>8.5677680000000006E-2</v>
      </c>
      <c r="X1146">
        <v>0.97289650000000005</v>
      </c>
      <c r="Y1146">
        <v>0.54386869999999998</v>
      </c>
      <c r="Z1146">
        <v>1.03862E-2</v>
      </c>
      <c r="AA1146">
        <v>0.83910599999999902</v>
      </c>
      <c r="AB1146">
        <v>14</v>
      </c>
      <c r="AC1146">
        <v>3.6429999999999998</v>
      </c>
      <c r="AD1146">
        <v>-1.108679571935</v>
      </c>
      <c r="AE1146">
        <v>-4.9337000000000399</v>
      </c>
      <c r="AF1146">
        <v>3.3071798963716099</v>
      </c>
      <c r="AG1146">
        <v>-1.108679571935</v>
      </c>
      <c r="AH1146">
        <v>4.9328011116452499</v>
      </c>
      <c r="AI1146">
        <v>100.57439812015301</v>
      </c>
      <c r="AJ1146">
        <v>56.160256628885499</v>
      </c>
      <c r="AK1146">
        <v>6.0414514867901703</v>
      </c>
      <c r="AL1146">
        <v>85.085004765424799</v>
      </c>
      <c r="AM1146">
        <v>77.550695948104106</v>
      </c>
      <c r="AN1146">
        <v>1.0000000008257099</v>
      </c>
    </row>
    <row r="1147" spans="1:40" x14ac:dyDescent="0.25">
      <c r="A1147" t="str">
        <f>"20190312151246579"</f>
        <v>20190312151246579</v>
      </c>
      <c r="B1147" t="str">
        <f>"1552374766571333"</f>
        <v>1552374766571333</v>
      </c>
      <c r="C1147" t="s">
        <v>40</v>
      </c>
      <c r="D1147">
        <v>4.745978</v>
      </c>
      <c r="E1147">
        <v>0.64369480000000001</v>
      </c>
      <c r="F1147" t="s">
        <v>51</v>
      </c>
      <c r="G1147">
        <v>-200.4967</v>
      </c>
      <c r="H1147" s="1">
        <v>-6.5902190000000003E-6</v>
      </c>
      <c r="I1147">
        <v>359.39400000000001</v>
      </c>
      <c r="J1147">
        <v>-204.14779999999999</v>
      </c>
      <c r="K1147">
        <v>1.1086689999999999</v>
      </c>
      <c r="L1147">
        <v>364.34359999999998</v>
      </c>
      <c r="M1147">
        <v>0.94040690000000005</v>
      </c>
      <c r="N1147">
        <v>0</v>
      </c>
      <c r="O1147">
        <v>-0.33976689999999998</v>
      </c>
      <c r="P1147">
        <v>0.84303760000000005</v>
      </c>
      <c r="Q1147">
        <v>7.2917529999999994E-2</v>
      </c>
      <c r="R1147">
        <v>-0.53288939999999996</v>
      </c>
      <c r="S1147">
        <v>1.957581</v>
      </c>
      <c r="T1147">
        <v>-0.58342649999999996</v>
      </c>
      <c r="U1147">
        <v>-2.6193240000000002</v>
      </c>
      <c r="V1147">
        <v>0.21512899999999999</v>
      </c>
      <c r="W1147">
        <v>8.5428249999999997E-2</v>
      </c>
      <c r="X1147">
        <v>0.97284199999999998</v>
      </c>
      <c r="Y1147">
        <v>0.54679299999999997</v>
      </c>
      <c r="Z1147">
        <v>1.060505E-2</v>
      </c>
      <c r="AA1147">
        <v>0.83720059999999996</v>
      </c>
      <c r="AB1147">
        <v>14</v>
      </c>
      <c r="AC1147">
        <v>3.65109999999998</v>
      </c>
      <c r="AD1147">
        <v>-1.108675590219</v>
      </c>
      <c r="AE1147">
        <v>-4.94959999999997</v>
      </c>
      <c r="AF1147">
        <v>3.3069926151908899</v>
      </c>
      <c r="AG1147">
        <v>-1.108675590219</v>
      </c>
      <c r="AH1147">
        <v>4.95473266879993</v>
      </c>
      <c r="AI1147">
        <v>100.542909564345</v>
      </c>
      <c r="AJ1147">
        <v>56.279221400927497</v>
      </c>
      <c r="AK1147">
        <v>6.0592687298507997</v>
      </c>
      <c r="AL1147">
        <v>85.099348710192501</v>
      </c>
      <c r="AM1147">
        <v>77.530591077505505</v>
      </c>
      <c r="AN1147">
        <v>1.00000001475153</v>
      </c>
    </row>
    <row r="1148" spans="1:40" x14ac:dyDescent="0.25">
      <c r="A1148" t="str">
        <f>"20190312151246591"</f>
        <v>20190312151246591</v>
      </c>
      <c r="B1148" t="str">
        <f>"1552374766581092"</f>
        <v>1552374766581092</v>
      </c>
      <c r="C1148" t="s">
        <v>40</v>
      </c>
      <c r="D1148">
        <v>4.7804159999999998</v>
      </c>
      <c r="E1148">
        <v>0.64369200000000004</v>
      </c>
      <c r="F1148" t="s">
        <v>51</v>
      </c>
      <c r="G1148">
        <v>-200.46129999999999</v>
      </c>
      <c r="H1148" s="1">
        <v>-6.60060799999999E-6</v>
      </c>
      <c r="I1148">
        <v>359.38069999999999</v>
      </c>
      <c r="J1148">
        <v>-204.0728</v>
      </c>
      <c r="K1148">
        <v>1.1086670000000001</v>
      </c>
      <c r="L1148">
        <v>364.31310000000002</v>
      </c>
      <c r="M1148">
        <v>0.93945679999999998</v>
      </c>
      <c r="N1148">
        <v>0</v>
      </c>
      <c r="O1148">
        <v>-0.34238560000000001</v>
      </c>
      <c r="P1148">
        <v>0.84121889999999999</v>
      </c>
      <c r="Q1148">
        <v>7.2355959999999997E-2</v>
      </c>
      <c r="R1148">
        <v>-0.53583190000000003</v>
      </c>
      <c r="S1148">
        <v>1.9499359999999999</v>
      </c>
      <c r="T1148">
        <v>-0.58643290000000003</v>
      </c>
      <c r="U1148">
        <v>-2.6251220000000002</v>
      </c>
      <c r="V1148">
        <v>0.21579999999999999</v>
      </c>
      <c r="W1148">
        <v>8.4860019999999994E-2</v>
      </c>
      <c r="X1148">
        <v>0.97274309999999997</v>
      </c>
      <c r="Y1148">
        <v>0.54691979999999996</v>
      </c>
      <c r="Z1148">
        <v>1.116091E-2</v>
      </c>
      <c r="AA1148">
        <v>0.83711059999999904</v>
      </c>
      <c r="AB1148">
        <v>14</v>
      </c>
      <c r="AC1148">
        <v>3.6114999999999999</v>
      </c>
      <c r="AD1148">
        <v>-1.108673600608</v>
      </c>
      <c r="AE1148">
        <v>-4.9324000000000296</v>
      </c>
      <c r="AF1148">
        <v>3.28939025582434</v>
      </c>
      <c r="AG1148">
        <v>-1.108673600608</v>
      </c>
      <c r="AH1148">
        <v>4.9202919554067801</v>
      </c>
      <c r="AI1148">
        <v>100.609774308029</v>
      </c>
      <c r="AJ1148">
        <v>56.2358633536873</v>
      </c>
      <c r="AK1148">
        <v>6.02150465699712</v>
      </c>
      <c r="AL1148">
        <v>85.132024480429706</v>
      </c>
      <c r="AM1148">
        <v>77.491688642002899</v>
      </c>
      <c r="AN1148">
        <v>1.0000000007959999</v>
      </c>
    </row>
    <row r="1149" spans="1:40" x14ac:dyDescent="0.25">
      <c r="A1149" t="str">
        <f>"20190312151246604"</f>
        <v>20190312151246604</v>
      </c>
      <c r="B1149" t="str">
        <f>"1552374766600613"</f>
        <v>1552374766600613</v>
      </c>
      <c r="C1149" t="s">
        <v>40</v>
      </c>
      <c r="D1149">
        <v>4.8659480000000004</v>
      </c>
      <c r="E1149">
        <v>0.64412910000000001</v>
      </c>
      <c r="F1149" t="s">
        <v>51</v>
      </c>
      <c r="G1149">
        <v>-200.41589999999999</v>
      </c>
      <c r="H1149" s="1">
        <v>-6.6112119999999998E-6</v>
      </c>
      <c r="I1149">
        <v>359.35410000000002</v>
      </c>
      <c r="J1149">
        <v>-203.9983</v>
      </c>
      <c r="K1149">
        <v>1.108668</v>
      </c>
      <c r="L1149">
        <v>364.28250000000003</v>
      </c>
      <c r="M1149">
        <v>0.9385</v>
      </c>
      <c r="N1149">
        <v>0</v>
      </c>
      <c r="O1149">
        <v>-0.344999</v>
      </c>
      <c r="P1149">
        <v>0.83928069999999899</v>
      </c>
      <c r="Q1149">
        <v>7.2465600000000005E-2</v>
      </c>
      <c r="R1149">
        <v>-0.53884759999999998</v>
      </c>
      <c r="S1149">
        <v>1.940628</v>
      </c>
      <c r="T1149">
        <v>-0.58833769999999996</v>
      </c>
      <c r="U1149">
        <v>-2.631561</v>
      </c>
      <c r="V1149">
        <v>0.2165888</v>
      </c>
      <c r="W1149">
        <v>8.4962170000000004E-2</v>
      </c>
      <c r="X1149">
        <v>0.9725589</v>
      </c>
      <c r="Y1149">
        <v>0.54749250000000005</v>
      </c>
      <c r="Z1149">
        <v>1.1652650000000001E-2</v>
      </c>
      <c r="AA1149">
        <v>0.83672950000000001</v>
      </c>
      <c r="AB1149">
        <v>14</v>
      </c>
      <c r="AC1149">
        <v>3.5823999999999998</v>
      </c>
      <c r="AD1149">
        <v>-1.1086746112120001</v>
      </c>
      <c r="AE1149">
        <v>-4.9284000000000097</v>
      </c>
      <c r="AF1149">
        <v>3.28106835677147</v>
      </c>
      <c r="AG1149">
        <v>-1.1086746112120001</v>
      </c>
      <c r="AH1149">
        <v>4.9006027523665496</v>
      </c>
      <c r="AI1149">
        <v>100.646686725748</v>
      </c>
      <c r="AJ1149">
        <v>56.196764634129003</v>
      </c>
      <c r="AK1149">
        <v>6.0008729608162596</v>
      </c>
      <c r="AL1149">
        <v>85.126150725151604</v>
      </c>
      <c r="AM1149">
        <v>77.445112262643804</v>
      </c>
      <c r="AN1149">
        <v>1.00000004629287</v>
      </c>
    </row>
    <row r="1150" spans="1:40" x14ac:dyDescent="0.25">
      <c r="A1150" t="str">
        <f>"20190312151246628"</f>
        <v>20190312151246628</v>
      </c>
      <c r="B1150" t="str">
        <f>"1552374766621108"</f>
        <v>1552374766621108</v>
      </c>
      <c r="C1150" t="s">
        <v>40</v>
      </c>
      <c r="D1150">
        <v>4.3531849999999999</v>
      </c>
      <c r="E1150">
        <v>0.64750209999999997</v>
      </c>
      <c r="F1150" t="s">
        <v>51</v>
      </c>
      <c r="G1150">
        <v>-200.3425</v>
      </c>
      <c r="H1150" s="1">
        <v>-6.6183720000000001E-6</v>
      </c>
      <c r="I1150">
        <v>359.27659999999997</v>
      </c>
      <c r="J1150">
        <v>-203.85429999999999</v>
      </c>
      <c r="K1150">
        <v>1.108668</v>
      </c>
      <c r="L1150">
        <v>364.2226</v>
      </c>
      <c r="M1150">
        <v>0.93661050000000001</v>
      </c>
      <c r="N1150">
        <v>0</v>
      </c>
      <c r="O1150">
        <v>-0.35009630000000003</v>
      </c>
      <c r="P1150">
        <v>0.83546500000000001</v>
      </c>
      <c r="Q1150">
        <v>7.2411870000000003E-2</v>
      </c>
      <c r="R1150">
        <v>-0.54475169999999995</v>
      </c>
      <c r="S1150">
        <v>1.9290769999999999</v>
      </c>
      <c r="T1150">
        <v>-0.58502010000000004</v>
      </c>
      <c r="U1150">
        <v>-2.6414789999999999</v>
      </c>
      <c r="V1150">
        <v>0.21815860000000001</v>
      </c>
      <c r="W1150">
        <v>8.4893759999999999E-2</v>
      </c>
      <c r="X1150">
        <v>0.97221389999999996</v>
      </c>
      <c r="Y1150">
        <v>0.5469446</v>
      </c>
      <c r="Z1150">
        <v>1.2647169999999999E-2</v>
      </c>
      <c r="AA1150">
        <v>0.83707330000000002</v>
      </c>
      <c r="AB1150">
        <v>14</v>
      </c>
      <c r="AC1150">
        <v>3.5117999999999898</v>
      </c>
      <c r="AD1150">
        <v>-1.108674618372</v>
      </c>
      <c r="AE1150">
        <v>-4.9460000000000202</v>
      </c>
      <c r="AF1150">
        <v>3.2933228837300201</v>
      </c>
      <c r="AG1150">
        <v>-1.108674618372</v>
      </c>
      <c r="AH1150">
        <v>4.8589376280397802</v>
      </c>
      <c r="AI1150">
        <v>100.695788614096</v>
      </c>
      <c r="AJ1150">
        <v>55.871106005122201</v>
      </c>
      <c r="AK1150">
        <v>5.9736429336798302</v>
      </c>
      <c r="AL1150">
        <v>85.130084297692903</v>
      </c>
      <c r="AM1150">
        <v>77.3526895010624</v>
      </c>
      <c r="AN1150">
        <v>0.99999999629705305</v>
      </c>
    </row>
    <row r="1151" spans="1:40" x14ac:dyDescent="0.25">
      <c r="A1151" t="str">
        <f>"20190312151246646"</f>
        <v>20190312151246646</v>
      </c>
      <c r="B1151" t="str">
        <f>"1552374766640632"</f>
        <v>1552374766640632</v>
      </c>
      <c r="C1151" t="s">
        <v>40</v>
      </c>
      <c r="D1151">
        <v>4.5977800000000002</v>
      </c>
      <c r="E1151">
        <v>0.65254769999999995</v>
      </c>
      <c r="F1151" t="s">
        <v>51</v>
      </c>
      <c r="G1151">
        <v>-200.1987</v>
      </c>
      <c r="H1151" s="1">
        <v>-6.5974050000000001E-6</v>
      </c>
      <c r="I1151">
        <v>359.05889999999999</v>
      </c>
      <c r="J1151">
        <v>-203.7525</v>
      </c>
      <c r="K1151">
        <v>1.1086640000000001</v>
      </c>
      <c r="L1151">
        <v>364.17970000000003</v>
      </c>
      <c r="M1151">
        <v>0.93524499999999999</v>
      </c>
      <c r="N1151">
        <v>0</v>
      </c>
      <c r="O1151">
        <v>-0.3537284</v>
      </c>
      <c r="P1151">
        <v>0.83262449999999999</v>
      </c>
      <c r="Q1151">
        <v>7.2490990000000005E-2</v>
      </c>
      <c r="R1151">
        <v>-0.54907359999999905</v>
      </c>
      <c r="S1151">
        <v>1.8951720000000001</v>
      </c>
      <c r="T1151">
        <v>-0.57476470000000002</v>
      </c>
      <c r="U1151">
        <v>-2.6770019999999999</v>
      </c>
      <c r="V1151">
        <v>0.21942800000000001</v>
      </c>
      <c r="W1151">
        <v>8.4960270000000004E-2</v>
      </c>
      <c r="X1151">
        <v>0.97192239999999996</v>
      </c>
      <c r="Y1151">
        <v>0.55602600000000002</v>
      </c>
      <c r="Z1151">
        <v>1.2132270000000001E-2</v>
      </c>
      <c r="AA1151">
        <v>0.83107640000000005</v>
      </c>
      <c r="AB1151">
        <v>14</v>
      </c>
      <c r="AC1151">
        <v>3.5537999999999901</v>
      </c>
      <c r="AD1151">
        <v>-1.108670597405</v>
      </c>
      <c r="AE1151">
        <v>-5.1208000000000302</v>
      </c>
      <c r="AF1151">
        <v>3.4241352991495</v>
      </c>
      <c r="AG1151">
        <v>-1.108670597405</v>
      </c>
      <c r="AH1151">
        <v>4.9780527087912096</v>
      </c>
      <c r="AI1151">
        <v>100.397769694386</v>
      </c>
      <c r="AJ1151">
        <v>55.478004630603202</v>
      </c>
      <c r="AK1151">
        <v>6.1428708119197504</v>
      </c>
      <c r="AL1151">
        <v>85.126259869069003</v>
      </c>
      <c r="AM1151">
        <v>77.277795331558295</v>
      </c>
      <c r="AN1151">
        <v>1.00000002314211</v>
      </c>
    </row>
    <row r="1152" spans="1:40" x14ac:dyDescent="0.25">
      <c r="A1152" t="str">
        <f>"20190312151246658"</f>
        <v>20190312151246658</v>
      </c>
      <c r="B1152" t="str">
        <f>"1552374766651366"</f>
        <v>1552374766651366</v>
      </c>
      <c r="C1152" t="s">
        <v>40</v>
      </c>
      <c r="D1152">
        <v>4.49857</v>
      </c>
      <c r="E1152">
        <v>0.65445600000000004</v>
      </c>
      <c r="F1152" t="s">
        <v>51</v>
      </c>
      <c r="G1152">
        <v>-200.1139</v>
      </c>
      <c r="H1152" s="1">
        <v>-6.5584119999999899E-6</v>
      </c>
      <c r="I1152">
        <v>358.8526</v>
      </c>
      <c r="J1152">
        <v>-203.6806</v>
      </c>
      <c r="K1152">
        <v>1.1086590000000001</v>
      </c>
      <c r="L1152">
        <v>364.149</v>
      </c>
      <c r="M1152">
        <v>0.93426169999999997</v>
      </c>
      <c r="N1152">
        <v>0</v>
      </c>
      <c r="O1152">
        <v>-0.35631679999999999</v>
      </c>
      <c r="P1152">
        <v>0.83080189999999998</v>
      </c>
      <c r="Q1152">
        <v>7.2358610000000004E-2</v>
      </c>
      <c r="R1152">
        <v>-0.55184480000000002</v>
      </c>
      <c r="S1152">
        <v>1.8582609999999999</v>
      </c>
      <c r="T1152">
        <v>-0.56620780000000004</v>
      </c>
      <c r="U1152">
        <v>-2.720612</v>
      </c>
      <c r="V1152">
        <v>0.21997130000000001</v>
      </c>
      <c r="W1152">
        <v>8.4821540000000001E-2</v>
      </c>
      <c r="X1152">
        <v>0.97181169999999995</v>
      </c>
      <c r="Y1152">
        <v>0.56759789999999999</v>
      </c>
      <c r="Z1152">
        <v>1.117433E-2</v>
      </c>
      <c r="AA1152">
        <v>0.82323009999999996</v>
      </c>
      <c r="AB1152">
        <v>14</v>
      </c>
      <c r="AC1152">
        <v>3.5666999999999902</v>
      </c>
      <c r="AD1152">
        <v>-1.108665558412</v>
      </c>
      <c r="AE1152">
        <v>-5.2964000000000002</v>
      </c>
      <c r="AF1152">
        <v>3.5700813833348199</v>
      </c>
      <c r="AG1152">
        <v>-1.108665558412</v>
      </c>
      <c r="AH1152">
        <v>5.06717836991458</v>
      </c>
      <c r="AI1152">
        <v>100.14066187834</v>
      </c>
      <c r="AJ1152">
        <v>54.833383401784097</v>
      </c>
      <c r="AK1152">
        <v>6.2968974135341496</v>
      </c>
      <c r="AL1152">
        <v>85.134237310013404</v>
      </c>
      <c r="AM1152">
        <v>77.245919087671595</v>
      </c>
      <c r="AN1152">
        <v>1.0000000233642701</v>
      </c>
    </row>
    <row r="1153" spans="1:40" x14ac:dyDescent="0.25">
      <c r="A1153" t="str">
        <f>"20190312151246670"</f>
        <v>20190312151246670</v>
      </c>
      <c r="B1153" t="str">
        <f>"1552374766661125"</f>
        <v>1552374766661125</v>
      </c>
      <c r="C1153" t="s">
        <v>40</v>
      </c>
      <c r="D1153">
        <v>4.5352540000000001</v>
      </c>
      <c r="E1153">
        <v>0.65615699999999999</v>
      </c>
      <c r="F1153" t="s">
        <v>51</v>
      </c>
      <c r="G1153">
        <v>-200.03049999999999</v>
      </c>
      <c r="H1153" s="1">
        <v>-6.5423960000000001E-6</v>
      </c>
      <c r="I1153">
        <v>358.71629999999999</v>
      </c>
      <c r="J1153">
        <v>-203.61429999999999</v>
      </c>
      <c r="K1153">
        <v>1.1086499999999999</v>
      </c>
      <c r="L1153">
        <v>364.12049999999999</v>
      </c>
      <c r="M1153">
        <v>0.93334660000000003</v>
      </c>
      <c r="N1153">
        <v>0</v>
      </c>
      <c r="O1153">
        <v>-0.358707</v>
      </c>
      <c r="P1153">
        <v>0.82906270000000004</v>
      </c>
      <c r="Q1153">
        <v>7.2059200000000004E-2</v>
      </c>
      <c r="R1153">
        <v>-0.55449280000000001</v>
      </c>
      <c r="S1153">
        <v>1.8403020000000001</v>
      </c>
      <c r="T1153">
        <v>-0.55896519999999905</v>
      </c>
      <c r="U1153">
        <v>-2.7390439999999998</v>
      </c>
      <c r="V1153">
        <v>0.2205754</v>
      </c>
      <c r="W1153">
        <v>8.4515560000000003E-2</v>
      </c>
      <c r="X1153">
        <v>0.97170140000000005</v>
      </c>
      <c r="Y1153">
        <v>0.57182829999999996</v>
      </c>
      <c r="Z1153">
        <v>1.102272E-2</v>
      </c>
      <c r="AA1153">
        <v>0.82029929999999995</v>
      </c>
      <c r="AB1153">
        <v>14</v>
      </c>
      <c r="AC1153">
        <v>3.5837999999999899</v>
      </c>
      <c r="AD1153">
        <v>-1.108656542396</v>
      </c>
      <c r="AE1153">
        <v>-5.4042000000000003</v>
      </c>
      <c r="AF1153">
        <v>3.6520687485722498</v>
      </c>
      <c r="AG1153">
        <v>-1.108656542396</v>
      </c>
      <c r="AH1153">
        <v>5.1338958520296201</v>
      </c>
      <c r="AI1153">
        <v>99.980010319621101</v>
      </c>
      <c r="AJ1153">
        <v>54.573322220066203</v>
      </c>
      <c r="AK1153">
        <v>6.3971565630975897</v>
      </c>
      <c r="AL1153">
        <v>85.151831732207697</v>
      </c>
      <c r="AM1153">
        <v>77.210639298695298</v>
      </c>
      <c r="AN1153">
        <v>0.99999999886461599</v>
      </c>
    </row>
    <row r="1154" spans="1:40" x14ac:dyDescent="0.25">
      <c r="A1154" t="str">
        <f>"20190312151246684"</f>
        <v>20190312151246684</v>
      </c>
      <c r="B1154" t="str">
        <f>"1552374766680645"</f>
        <v>1552374766680645</v>
      </c>
      <c r="C1154" t="s">
        <v>40</v>
      </c>
      <c r="D1154">
        <v>4.7273509999999996</v>
      </c>
      <c r="E1154">
        <v>0.65916680000000005</v>
      </c>
      <c r="F1154" t="s">
        <v>51</v>
      </c>
      <c r="G1154">
        <v>-199.95830000000001</v>
      </c>
      <c r="H1154" s="1">
        <v>-6.5071239999999997E-6</v>
      </c>
      <c r="I1154">
        <v>358.59809999999999</v>
      </c>
      <c r="J1154">
        <v>-203.53389999999999</v>
      </c>
      <c r="K1154">
        <v>1.1086450000000001</v>
      </c>
      <c r="L1154">
        <v>364.08580000000001</v>
      </c>
      <c r="M1154">
        <v>0.93222179999999999</v>
      </c>
      <c r="N1154">
        <v>0</v>
      </c>
      <c r="O1154">
        <v>-0.3616202</v>
      </c>
      <c r="P1154">
        <v>0.82713510000000001</v>
      </c>
      <c r="Q1154">
        <v>7.1778629999999996E-2</v>
      </c>
      <c r="R1154">
        <v>-0.55740080000000003</v>
      </c>
      <c r="S1154">
        <v>1.8239749999999999</v>
      </c>
      <c r="T1154">
        <v>-0.55310009999999998</v>
      </c>
      <c r="U1154">
        <v>-2.755096</v>
      </c>
      <c r="V1154">
        <v>0.2209438</v>
      </c>
      <c r="W1154">
        <v>8.4229520000000002E-2</v>
      </c>
      <c r="X1154">
        <v>0.97164260000000002</v>
      </c>
      <c r="Y1154">
        <v>0.57490839999999999</v>
      </c>
      <c r="Z1154">
        <v>1.1117409999999999E-2</v>
      </c>
      <c r="AA1154">
        <v>0.81814219999999904</v>
      </c>
      <c r="AB1154">
        <v>14</v>
      </c>
      <c r="AC1154">
        <v>3.5755999999999699</v>
      </c>
      <c r="AD1154">
        <v>-1.108651507124</v>
      </c>
      <c r="AE1154">
        <v>-5.48770000000001</v>
      </c>
      <c r="AF1154">
        <v>3.7166299611462499</v>
      </c>
      <c r="AG1154">
        <v>-1.108651507124</v>
      </c>
      <c r="AH1154">
        <v>5.1701025594693997</v>
      </c>
      <c r="AI1154">
        <v>99.8770230338652</v>
      </c>
      <c r="AJ1154">
        <v>54.2887875409942</v>
      </c>
      <c r="AK1154">
        <v>6.4631576576601004</v>
      </c>
      <c r="AL1154">
        <v>85.168279553012397</v>
      </c>
      <c r="AM1154">
        <v>77.189233354250504</v>
      </c>
      <c r="AN1154">
        <v>1.00000005846631</v>
      </c>
    </row>
    <row r="1155" spans="1:40" x14ac:dyDescent="0.25">
      <c r="A1155" t="str">
        <f>"20190312151246703"</f>
        <v>20190312151246703</v>
      </c>
      <c r="B1155" t="str">
        <f>"1552374766691380"</f>
        <v>1552374766691380</v>
      </c>
      <c r="C1155" t="s">
        <v>40</v>
      </c>
      <c r="D1155">
        <v>4.5283150000000001</v>
      </c>
      <c r="E1155">
        <v>0.66030369999999905</v>
      </c>
      <c r="F1155" t="s">
        <v>51</v>
      </c>
      <c r="G1155">
        <v>-199.9162</v>
      </c>
      <c r="H1155" s="1">
        <v>-6.4670390000000001E-6</v>
      </c>
      <c r="I1155">
        <v>358.49799999999999</v>
      </c>
      <c r="J1155">
        <v>-203.42230000000001</v>
      </c>
      <c r="K1155">
        <v>1.108636</v>
      </c>
      <c r="L1155">
        <v>364.03699999999998</v>
      </c>
      <c r="M1155">
        <v>0.93063410000000002</v>
      </c>
      <c r="N1155">
        <v>0</v>
      </c>
      <c r="O1155">
        <v>-0.36568669999999998</v>
      </c>
      <c r="P1155">
        <v>0.82440139999999995</v>
      </c>
      <c r="Q1155">
        <v>7.1398760000000006E-2</v>
      </c>
      <c r="R1155">
        <v>-0.56148450000000005</v>
      </c>
      <c r="S1155">
        <v>1.800613</v>
      </c>
      <c r="T1155">
        <v>-0.55181029999999998</v>
      </c>
      <c r="U1155">
        <v>-2.7812190000000001</v>
      </c>
      <c r="V1155">
        <v>0.221495</v>
      </c>
      <c r="W1155">
        <v>8.3841789999999999E-2</v>
      </c>
      <c r="X1155">
        <v>0.97155060000000004</v>
      </c>
      <c r="Y1155">
        <v>0.57970710000000003</v>
      </c>
      <c r="Z1155">
        <v>1.1319569999999999E-2</v>
      </c>
      <c r="AA1155">
        <v>0.81474630000000003</v>
      </c>
      <c r="AB1155">
        <v>14</v>
      </c>
      <c r="AC1155">
        <v>3.5061</v>
      </c>
      <c r="AD1155">
        <v>-1.108642467039</v>
      </c>
      <c r="AE1155">
        <v>-5.5389999999999198</v>
      </c>
      <c r="AF1155">
        <v>3.7653296328891099</v>
      </c>
      <c r="AG1155">
        <v>-1.108642467039</v>
      </c>
      <c r="AH1155">
        <v>5.1418821758525501</v>
      </c>
      <c r="AI1155">
        <v>99.868195813124402</v>
      </c>
      <c r="AJ1155">
        <v>53.785194713236301</v>
      </c>
      <c r="AK1155">
        <v>6.4688289260410503</v>
      </c>
      <c r="AL1155">
        <v>85.190573541047797</v>
      </c>
      <c r="AM1155">
        <v>77.157156318411594</v>
      </c>
      <c r="AN1155">
        <v>1.00000002456788</v>
      </c>
    </row>
    <row r="1156" spans="1:40" x14ac:dyDescent="0.25">
      <c r="A1156" t="str">
        <f>"20190312151246724"</f>
        <v>20190312151246724</v>
      </c>
      <c r="B1156" t="str">
        <f>"1552374766720661"</f>
        <v>1552374766720661</v>
      </c>
      <c r="C1156" t="s">
        <v>40</v>
      </c>
      <c r="D1156">
        <v>4.5306150000000001</v>
      </c>
      <c r="E1156">
        <v>0.66301889999999997</v>
      </c>
      <c r="F1156" t="s">
        <v>51</v>
      </c>
      <c r="G1156">
        <v>-199.81970000000001</v>
      </c>
      <c r="H1156" s="1">
        <v>-6.41193099999999E-6</v>
      </c>
      <c r="I1156">
        <v>358.3784</v>
      </c>
      <c r="J1156">
        <v>-203.3006</v>
      </c>
      <c r="K1156">
        <v>1.1086229999999999</v>
      </c>
      <c r="L1156">
        <v>363.983</v>
      </c>
      <c r="M1156">
        <v>0.92886230000000003</v>
      </c>
      <c r="N1156">
        <v>0</v>
      </c>
      <c r="O1156">
        <v>-0.3701643</v>
      </c>
      <c r="P1156">
        <v>0.82158580000000003</v>
      </c>
      <c r="Q1156">
        <v>7.1076829999999994E-2</v>
      </c>
      <c r="R1156">
        <v>-0.56563699999999995</v>
      </c>
      <c r="S1156">
        <v>1.7811129999999999</v>
      </c>
      <c r="T1156">
        <v>-0.54810309999999995</v>
      </c>
      <c r="U1156">
        <v>-2.7975460000000001</v>
      </c>
      <c r="V1156">
        <v>0.22170870000000001</v>
      </c>
      <c r="W1156">
        <v>8.3512509999999998E-2</v>
      </c>
      <c r="X1156">
        <v>0.97153020000000001</v>
      </c>
      <c r="Y1156">
        <v>0.58204549999999999</v>
      </c>
      <c r="Z1156">
        <v>1.182012E-2</v>
      </c>
      <c r="AA1156">
        <v>0.81307030000000002</v>
      </c>
      <c r="AB1156">
        <v>14</v>
      </c>
      <c r="AC1156">
        <v>3.4808999999999899</v>
      </c>
      <c r="AD1156">
        <v>-1.1086294119309901</v>
      </c>
      <c r="AE1156">
        <v>-5.6045999999999996</v>
      </c>
      <c r="AF1156">
        <v>3.8101909786838299</v>
      </c>
      <c r="AG1156">
        <v>-1.1086294119309901</v>
      </c>
      <c r="AH1156">
        <v>5.1626405497497201</v>
      </c>
      <c r="AI1156">
        <v>99.802789169176506</v>
      </c>
      <c r="AJ1156">
        <v>53.571508646051299</v>
      </c>
      <c r="AK1156">
        <v>6.5114876881525499</v>
      </c>
      <c r="AL1156">
        <v>85.209506215305495</v>
      </c>
      <c r="AM1156">
        <v>77.144915951564201</v>
      </c>
      <c r="AN1156">
        <v>1.0000000082471101</v>
      </c>
    </row>
    <row r="1157" spans="1:40" x14ac:dyDescent="0.25">
      <c r="A1157" t="str">
        <f>"20190312151246738"</f>
        <v>20190312151246738</v>
      </c>
      <c r="B1157" t="str">
        <f>"1552374766731398"</f>
        <v>1552374766731398</v>
      </c>
      <c r="C1157" t="s">
        <v>40</v>
      </c>
      <c r="D1157">
        <v>4.6283830000000004</v>
      </c>
      <c r="E1157">
        <v>0.66387609999999997</v>
      </c>
      <c r="F1157" t="s">
        <v>51</v>
      </c>
      <c r="G1157">
        <v>-199.71</v>
      </c>
      <c r="H1157" s="1">
        <v>-6.3365220000000004E-6</v>
      </c>
      <c r="I1157">
        <v>358.20429999999999</v>
      </c>
      <c r="J1157">
        <v>-203.22120000000001</v>
      </c>
      <c r="K1157">
        <v>1.108614</v>
      </c>
      <c r="L1157">
        <v>363.94740000000002</v>
      </c>
      <c r="M1157">
        <v>0.92768130000000004</v>
      </c>
      <c r="N1157">
        <v>0</v>
      </c>
      <c r="O1157">
        <v>-0.37311440000000001</v>
      </c>
      <c r="P1157">
        <v>0.81963240000000004</v>
      </c>
      <c r="Q1157">
        <v>7.0853760000000002E-2</v>
      </c>
      <c r="R1157">
        <v>-0.568492</v>
      </c>
      <c r="S1157">
        <v>1.75440999999999</v>
      </c>
      <c r="T1157">
        <v>-0.54169309999999904</v>
      </c>
      <c r="U1157">
        <v>-2.8235779999999999</v>
      </c>
      <c r="V1157">
        <v>0.22199459999999999</v>
      </c>
      <c r="W1157">
        <v>8.3282999999999996E-2</v>
      </c>
      <c r="X1157">
        <v>0.97148460000000003</v>
      </c>
      <c r="Y1157">
        <v>0.58839629999999998</v>
      </c>
      <c r="Z1157">
        <v>1.15461E-2</v>
      </c>
      <c r="AA1157">
        <v>0.80849019999999905</v>
      </c>
      <c r="AB1157">
        <v>14</v>
      </c>
      <c r="AC1157">
        <v>3.5112000000000001</v>
      </c>
      <c r="AD1157">
        <v>-1.108620336522</v>
      </c>
      <c r="AE1157">
        <v>-5.7431000000000196</v>
      </c>
      <c r="AF1157">
        <v>3.9119665414744902</v>
      </c>
      <c r="AG1157">
        <v>-1.108620336522</v>
      </c>
      <c r="AH1157">
        <v>5.2580104864428696</v>
      </c>
      <c r="AI1157">
        <v>99.601322738918796</v>
      </c>
      <c r="AJ1157">
        <v>53.350705259544597</v>
      </c>
      <c r="AK1157">
        <v>6.6467432286578703</v>
      </c>
      <c r="AL1157">
        <v>85.222702072814101</v>
      </c>
      <c r="AM1157">
        <v>77.1283066715106</v>
      </c>
      <c r="AN1157">
        <v>0.99999999427765995</v>
      </c>
    </row>
    <row r="1158" spans="1:40" x14ac:dyDescent="0.25">
      <c r="A1158" t="str">
        <f>"20190312151246751"</f>
        <v>20190312151246751</v>
      </c>
      <c r="B1158" t="str">
        <f>"1552374766741156"</f>
        <v>1552374766741156</v>
      </c>
      <c r="C1158" t="s">
        <v>40</v>
      </c>
      <c r="D1158">
        <v>4.6143269999999896</v>
      </c>
      <c r="E1158">
        <v>0.66462699999999997</v>
      </c>
      <c r="F1158" t="s">
        <v>51</v>
      </c>
      <c r="G1158">
        <v>-199.6626</v>
      </c>
      <c r="H1158" s="1">
        <v>-6.3111800000000001E-6</v>
      </c>
      <c r="I1158">
        <v>358.15069999999997</v>
      </c>
      <c r="J1158">
        <v>-203.14400000000001</v>
      </c>
      <c r="K1158">
        <v>1.108609</v>
      </c>
      <c r="L1158">
        <v>363.91239999999999</v>
      </c>
      <c r="M1158">
        <v>0.92651790000000001</v>
      </c>
      <c r="N1158">
        <v>0</v>
      </c>
      <c r="O1158">
        <v>-0.37599349999999998</v>
      </c>
      <c r="P1158">
        <v>0.81784330000000005</v>
      </c>
      <c r="Q1158">
        <v>7.0464890000000002E-2</v>
      </c>
      <c r="R1158">
        <v>-0.57111040000000002</v>
      </c>
      <c r="S1158">
        <v>1.74057</v>
      </c>
      <c r="T1158">
        <v>-0.54224609999999995</v>
      </c>
      <c r="U1158">
        <v>-2.8352360000000001</v>
      </c>
      <c r="V1158">
        <v>0.22207199999999999</v>
      </c>
      <c r="W1158">
        <v>8.2889550000000006E-2</v>
      </c>
      <c r="X1158">
        <v>0.97150060000000005</v>
      </c>
      <c r="Y1158">
        <v>0.5902425</v>
      </c>
      <c r="Z1158">
        <v>1.188646E-2</v>
      </c>
      <c r="AA1158">
        <v>0.80713849999999998</v>
      </c>
      <c r="AB1158">
        <v>14</v>
      </c>
      <c r="AC1158">
        <v>3.4813999999999998</v>
      </c>
      <c r="AD1158">
        <v>-1.1086153111799999</v>
      </c>
      <c r="AE1158">
        <v>-5.76170000000001</v>
      </c>
      <c r="AF1158">
        <v>3.9233218657242599</v>
      </c>
      <c r="AG1158">
        <v>-1.1086153111799999</v>
      </c>
      <c r="AH1158">
        <v>5.2500781777437604</v>
      </c>
      <c r="AI1158">
        <v>99.6006637466173</v>
      </c>
      <c r="AJ1158">
        <v>53.229668902560398</v>
      </c>
      <c r="AK1158">
        <v>6.6471650530639099</v>
      </c>
      <c r="AL1158">
        <v>85.245323499387993</v>
      </c>
      <c r="AM1158">
        <v>77.124173411583598</v>
      </c>
      <c r="AN1158">
        <v>1.00000003324178</v>
      </c>
    </row>
    <row r="1159" spans="1:40" x14ac:dyDescent="0.25">
      <c r="A1159" t="str">
        <f>"20190312151246770"</f>
        <v>20190312151246770</v>
      </c>
      <c r="B1159" t="str">
        <f>"1552374766760677"</f>
        <v>1552374766760677</v>
      </c>
      <c r="C1159" t="s">
        <v>40</v>
      </c>
      <c r="D1159">
        <v>4.6022049999999997</v>
      </c>
      <c r="E1159">
        <v>0.66591149999999999</v>
      </c>
      <c r="F1159" t="s">
        <v>51</v>
      </c>
      <c r="G1159">
        <v>-199.61369999999999</v>
      </c>
      <c r="H1159" s="1">
        <v>-6.2848100000000002E-6</v>
      </c>
      <c r="I1159">
        <v>358.09480000000002</v>
      </c>
      <c r="J1159">
        <v>-203.03909999999999</v>
      </c>
      <c r="K1159">
        <v>1.1085969999999901</v>
      </c>
      <c r="L1159">
        <v>363.86439999999999</v>
      </c>
      <c r="M1159">
        <v>0.92490550000000005</v>
      </c>
      <c r="N1159">
        <v>0</v>
      </c>
      <c r="O1159">
        <v>-0.37994280000000002</v>
      </c>
      <c r="P1159">
        <v>0.81551560000000001</v>
      </c>
      <c r="Q1159">
        <v>7.0315329999999995E-2</v>
      </c>
      <c r="R1159">
        <v>-0.57444799999999996</v>
      </c>
      <c r="S1159">
        <v>1.7272639999999999</v>
      </c>
      <c r="T1159">
        <v>-0.54240559999999904</v>
      </c>
      <c r="U1159">
        <v>-2.8463750000000001</v>
      </c>
      <c r="V1159">
        <v>0.22189400000000001</v>
      </c>
      <c r="W1159">
        <v>8.2735580000000003E-2</v>
      </c>
      <c r="X1159">
        <v>0.97155429999999998</v>
      </c>
      <c r="Y1159">
        <v>0.59099729999999995</v>
      </c>
      <c r="Z1159">
        <v>1.2527490000000001E-2</v>
      </c>
      <c r="AA1159">
        <v>0.80657619999999997</v>
      </c>
      <c r="AB1159">
        <v>14</v>
      </c>
      <c r="AC1159">
        <v>3.42539999999999</v>
      </c>
      <c r="AD1159">
        <v>-1.10860328480999</v>
      </c>
      <c r="AE1159">
        <v>-5.7695999999999596</v>
      </c>
      <c r="AF1159">
        <v>3.9280410162322998</v>
      </c>
      <c r="AG1159">
        <v>-1.10860328480999</v>
      </c>
      <c r="AH1159">
        <v>5.2183566548090496</v>
      </c>
      <c r="AI1159">
        <v>99.633081011565096</v>
      </c>
      <c r="AJ1159">
        <v>53.029934163512699</v>
      </c>
      <c r="AK1159">
        <v>6.6249342370384801</v>
      </c>
      <c r="AL1159">
        <v>85.254175295990905</v>
      </c>
      <c r="AM1159">
        <v>77.134837808394707</v>
      </c>
      <c r="AN1159">
        <v>0.999999940641211</v>
      </c>
    </row>
    <row r="1160" spans="1:40" x14ac:dyDescent="0.25">
      <c r="A1160" t="str">
        <f>"20190312151246791"</f>
        <v>20190312151246791</v>
      </c>
      <c r="B1160" t="str">
        <f>"1552374766781173"</f>
        <v>1552374766781173</v>
      </c>
      <c r="C1160" t="s">
        <v>40</v>
      </c>
      <c r="D1160">
        <v>4.4611330000000002</v>
      </c>
      <c r="E1160">
        <v>0.66680410000000001</v>
      </c>
      <c r="F1160" t="s">
        <v>51</v>
      </c>
      <c r="G1160">
        <v>-199.52199999999999</v>
      </c>
      <c r="H1160" s="1">
        <v>-6.23040899999999E-6</v>
      </c>
      <c r="I1160">
        <v>357.97500000000002</v>
      </c>
      <c r="J1160">
        <v>-202.91329999999999</v>
      </c>
      <c r="K1160">
        <v>1.1085879999999999</v>
      </c>
      <c r="L1160">
        <v>363.80610000000001</v>
      </c>
      <c r="M1160">
        <v>0.92292790000000002</v>
      </c>
      <c r="N1160">
        <v>0</v>
      </c>
      <c r="O1160">
        <v>-0.3847217</v>
      </c>
      <c r="P1160">
        <v>0.812281699999999</v>
      </c>
      <c r="Q1160">
        <v>7.0392940000000001E-2</v>
      </c>
      <c r="R1160">
        <v>-0.57900209999999996</v>
      </c>
      <c r="S1160">
        <v>1.709122</v>
      </c>
      <c r="T1160">
        <v>-0.53872640000000005</v>
      </c>
      <c r="U1160">
        <v>-2.8619690000000002</v>
      </c>
      <c r="V1160">
        <v>0.22231119999999999</v>
      </c>
      <c r="W1160">
        <v>8.2802570000000006E-2</v>
      </c>
      <c r="X1160">
        <v>0.97145329999999996</v>
      </c>
      <c r="Y1160">
        <v>0.59260819999999903</v>
      </c>
      <c r="Z1160">
        <v>1.31358E-2</v>
      </c>
      <c r="AA1160">
        <v>0.80538369999999904</v>
      </c>
      <c r="AB1160">
        <v>14</v>
      </c>
      <c r="AC1160">
        <v>3.39129999999997</v>
      </c>
      <c r="AD1160">
        <v>-1.108594230409</v>
      </c>
      <c r="AE1160">
        <v>-5.8310999999999904</v>
      </c>
      <c r="AF1160">
        <v>3.9701426752161502</v>
      </c>
      <c r="AG1160">
        <v>-1.108594230409</v>
      </c>
      <c r="AH1160">
        <v>5.2324716482887501</v>
      </c>
      <c r="AI1160">
        <v>99.580258138711201</v>
      </c>
      <c r="AJ1160">
        <v>52.810557820823398</v>
      </c>
      <c r="AK1160">
        <v>6.6610639975468002</v>
      </c>
      <c r="AL1160">
        <v>85.250324236173199</v>
      </c>
      <c r="AM1160">
        <v>77.110160840288103</v>
      </c>
      <c r="AN1160">
        <v>1.0000000246624601</v>
      </c>
    </row>
    <row r="1161" spans="1:40" x14ac:dyDescent="0.25">
      <c r="A1161" t="str">
        <f>"20190312151246814"</f>
        <v>20190312151246814</v>
      </c>
      <c r="B1161" t="str">
        <f>"1552374766811429"</f>
        <v>1552374766811429</v>
      </c>
      <c r="C1161" t="s">
        <v>40</v>
      </c>
      <c r="D1161">
        <v>4.5470560000000004</v>
      </c>
      <c r="E1161">
        <v>0.66791140000000004</v>
      </c>
      <c r="F1161" t="s">
        <v>51</v>
      </c>
      <c r="G1161">
        <v>-199.4135</v>
      </c>
      <c r="H1161" s="1">
        <v>-6.1685399999999997E-6</v>
      </c>
      <c r="I1161">
        <v>357.8408</v>
      </c>
      <c r="J1161">
        <v>-202.78960000000001</v>
      </c>
      <c r="K1161">
        <v>1.108582</v>
      </c>
      <c r="L1161">
        <v>363.74790000000002</v>
      </c>
      <c r="M1161">
        <v>0.92093559999999997</v>
      </c>
      <c r="N1161">
        <v>0</v>
      </c>
      <c r="O1161">
        <v>-0.3894668</v>
      </c>
      <c r="P1161">
        <v>0.80903239999999998</v>
      </c>
      <c r="Q1161">
        <v>7.0091000000000001E-2</v>
      </c>
      <c r="R1161">
        <v>-0.58356989999999997</v>
      </c>
      <c r="S1161">
        <v>1.6883539999999999</v>
      </c>
      <c r="T1161">
        <v>-0.53480360000000005</v>
      </c>
      <c r="U1161">
        <v>-2.8777469999999998</v>
      </c>
      <c r="V1161">
        <v>0.22277630000000001</v>
      </c>
      <c r="W1161">
        <v>8.2491789999999995E-2</v>
      </c>
      <c r="X1161">
        <v>0.97137320000000005</v>
      </c>
      <c r="Y1161">
        <v>0.59478249999999999</v>
      </c>
      <c r="Z1161">
        <v>1.3669809999999999E-2</v>
      </c>
      <c r="AA1161">
        <v>0.80377049999999906</v>
      </c>
      <c r="AB1161">
        <v>14</v>
      </c>
      <c r="AC1161">
        <v>3.3761000000000001</v>
      </c>
      <c r="AD1161">
        <v>-1.1085881685400001</v>
      </c>
      <c r="AE1161">
        <v>-5.9071000000000096</v>
      </c>
      <c r="AF1161">
        <v>4.0188841572220797</v>
      </c>
      <c r="AG1161">
        <v>-1.1085881685400001</v>
      </c>
      <c r="AH1161">
        <v>5.2703931298458997</v>
      </c>
      <c r="AI1161">
        <v>99.495504988444907</v>
      </c>
      <c r="AJ1161">
        <v>52.673040070023497</v>
      </c>
      <c r="AK1161">
        <v>6.7199286707318802</v>
      </c>
      <c r="AL1161">
        <v>85.2681917917443</v>
      </c>
      <c r="AM1161">
        <v>77.083067960586604</v>
      </c>
      <c r="AN1161">
        <v>1.0000000344686599</v>
      </c>
    </row>
    <row r="1162" spans="1:40" x14ac:dyDescent="0.25">
      <c r="A1162" t="str">
        <f>"20190312151246836"</f>
        <v>20190312151246836</v>
      </c>
      <c r="B1162" t="str">
        <f>"1552374766830949"</f>
        <v>1552374766830949</v>
      </c>
      <c r="C1162" t="s">
        <v>40</v>
      </c>
      <c r="D1162">
        <v>4.5414029999999999</v>
      </c>
      <c r="E1162">
        <v>0.66859569999999902</v>
      </c>
      <c r="F1162" t="s">
        <v>51</v>
      </c>
      <c r="G1162">
        <v>-199.32169999999999</v>
      </c>
      <c r="H1162" s="1">
        <v>-6.1158209999999999E-6</v>
      </c>
      <c r="I1162">
        <v>357.72609999999997</v>
      </c>
      <c r="J1162">
        <v>-202.66120000000001</v>
      </c>
      <c r="K1162">
        <v>1.1085670000000001</v>
      </c>
      <c r="L1162">
        <v>363.6866</v>
      </c>
      <c r="M1162">
        <v>0.91881749999999995</v>
      </c>
      <c r="N1162">
        <v>0</v>
      </c>
      <c r="O1162">
        <v>-0.3944376</v>
      </c>
      <c r="P1162">
        <v>0.80564709999999995</v>
      </c>
      <c r="Q1162">
        <v>6.9253930000000005E-2</v>
      </c>
      <c r="R1162">
        <v>-0.58833400000000002</v>
      </c>
      <c r="S1162">
        <v>1.6667179999999999</v>
      </c>
      <c r="T1162">
        <v>-0.53280590000000005</v>
      </c>
      <c r="U1162">
        <v>-2.8941349999999999</v>
      </c>
      <c r="V1162">
        <v>0.2232285</v>
      </c>
      <c r="W1162">
        <v>8.1647800000000006E-2</v>
      </c>
      <c r="X1162">
        <v>0.97134069999999995</v>
      </c>
      <c r="Y1162">
        <v>0.59697230000000001</v>
      </c>
      <c r="Z1162">
        <v>1.428423E-2</v>
      </c>
      <c r="AA1162">
        <v>0.80213469999999998</v>
      </c>
      <c r="AB1162">
        <v>14</v>
      </c>
      <c r="AC1162">
        <v>3.3395000000000099</v>
      </c>
      <c r="AD1162">
        <v>-1.1085731158209999</v>
      </c>
      <c r="AE1162">
        <v>-5.9605000000000201</v>
      </c>
      <c r="AF1162">
        <v>4.0530844794241503</v>
      </c>
      <c r="AG1162">
        <v>-1.1085731158209999</v>
      </c>
      <c r="AH1162">
        <v>5.2809299946530004</v>
      </c>
      <c r="AI1162">
        <v>99.454553136299495</v>
      </c>
      <c r="AJ1162">
        <v>52.493961266955402</v>
      </c>
      <c r="AK1162">
        <v>6.74867763038774</v>
      </c>
      <c r="AL1162">
        <v>85.316712567631299</v>
      </c>
      <c r="AM1162">
        <v>77.057312190278694</v>
      </c>
      <c r="AN1162">
        <v>1.00000004096678</v>
      </c>
    </row>
    <row r="1163" spans="1:40" x14ac:dyDescent="0.25">
      <c r="A1163" t="str">
        <f>"20190312151246849"</f>
        <v>20190312151246849</v>
      </c>
      <c r="B1163" t="str">
        <f>"1552374766840709"</f>
        <v>1552374766840709</v>
      </c>
      <c r="C1163" t="s">
        <v>40</v>
      </c>
      <c r="D1163">
        <v>4.515574</v>
      </c>
      <c r="E1163">
        <v>0.66889509999999996</v>
      </c>
      <c r="F1163" t="s">
        <v>51</v>
      </c>
      <c r="G1163">
        <v>-199.2328</v>
      </c>
      <c r="H1163" s="1">
        <v>-6.0684280000000001E-6</v>
      </c>
      <c r="I1163">
        <v>357.62610000000001</v>
      </c>
      <c r="J1163">
        <v>-202.59100000000001</v>
      </c>
      <c r="K1163">
        <v>1.108562</v>
      </c>
      <c r="L1163">
        <v>363.65269999999998</v>
      </c>
      <c r="M1163">
        <v>0.91763709999999998</v>
      </c>
      <c r="N1163">
        <v>0</v>
      </c>
      <c r="O1163">
        <v>-0.39717629999999998</v>
      </c>
      <c r="P1163">
        <v>0.80389080000000002</v>
      </c>
      <c r="Q1163">
        <v>6.9116090000000005E-2</v>
      </c>
      <c r="R1163">
        <v>-0.59074769999999999</v>
      </c>
      <c r="S1163">
        <v>1.645416</v>
      </c>
      <c r="T1163">
        <v>-0.53203230000000001</v>
      </c>
      <c r="U1163">
        <v>-2.908569</v>
      </c>
      <c r="V1163">
        <v>0.2232402</v>
      </c>
      <c r="W1163">
        <v>8.1507590000000005E-2</v>
      </c>
      <c r="X1163">
        <v>0.97134980000000004</v>
      </c>
      <c r="Y1163">
        <v>0.600724699999999</v>
      </c>
      <c r="Z1163">
        <v>1.437283E-2</v>
      </c>
      <c r="AA1163">
        <v>0.7993268</v>
      </c>
      <c r="AB1163">
        <v>14</v>
      </c>
      <c r="AC1163">
        <v>3.3581999999999801</v>
      </c>
      <c r="AD1163">
        <v>-1.1085680684279999</v>
      </c>
      <c r="AE1163">
        <v>-6.02659999999997</v>
      </c>
      <c r="AF1163">
        <v>4.0912082246308401</v>
      </c>
      <c r="AG1163">
        <v>-1.1085680684279999</v>
      </c>
      <c r="AH1163">
        <v>5.3379395381105796</v>
      </c>
      <c r="AI1163">
        <v>99.360013034923099</v>
      </c>
      <c r="AJ1163">
        <v>52.532015288524498</v>
      </c>
      <c r="AK1163">
        <v>6.8161944230009599</v>
      </c>
      <c r="AL1163">
        <v>85.324772934935297</v>
      </c>
      <c r="AM1163">
        <v>77.056773848615407</v>
      </c>
      <c r="AN1163">
        <v>1.0000000540418399</v>
      </c>
    </row>
    <row r="1164" spans="1:40" x14ac:dyDescent="0.25">
      <c r="A1164" t="str">
        <f>"20190312151246861"</f>
        <v>20190312151246861</v>
      </c>
      <c r="B1164" t="str">
        <f>"1552374766851445"</f>
        <v>1552374766851445</v>
      </c>
      <c r="C1164" t="s">
        <v>40</v>
      </c>
      <c r="D1164">
        <v>4.5665940000000003</v>
      </c>
      <c r="E1164">
        <v>0.66920760000000001</v>
      </c>
      <c r="F1164" t="s">
        <v>51</v>
      </c>
      <c r="G1164">
        <v>-199.1746</v>
      </c>
      <c r="H1164" s="1">
        <v>-6.038097E-6</v>
      </c>
      <c r="I1164">
        <v>357.56259999999997</v>
      </c>
      <c r="J1164">
        <v>-202.52</v>
      </c>
      <c r="K1164">
        <v>1.1085579999999999</v>
      </c>
      <c r="L1164">
        <v>363.6182</v>
      </c>
      <c r="M1164">
        <v>0.91642630000000003</v>
      </c>
      <c r="N1164">
        <v>0</v>
      </c>
      <c r="O1164">
        <v>-0.39996189999999998</v>
      </c>
      <c r="P1164">
        <v>0.80201769999999994</v>
      </c>
      <c r="Q1164">
        <v>6.8614549999999996E-2</v>
      </c>
      <c r="R1164">
        <v>-0.5933465</v>
      </c>
      <c r="S1164">
        <v>1.6353</v>
      </c>
      <c r="T1164">
        <v>-0.53062319999999996</v>
      </c>
      <c r="U1164">
        <v>-2.9150390000000002</v>
      </c>
      <c r="V1164">
        <v>0.22341449999999999</v>
      </c>
      <c r="W1164">
        <v>8.1003350000000002E-2</v>
      </c>
      <c r="X1164">
        <v>0.97135190000000005</v>
      </c>
      <c r="Y1164">
        <v>0.60120090000000004</v>
      </c>
      <c r="Z1164">
        <v>1.478748E-2</v>
      </c>
      <c r="AA1164">
        <v>0.79896109999999998</v>
      </c>
      <c r="AB1164">
        <v>14</v>
      </c>
      <c r="AC1164">
        <v>3.3454000000000099</v>
      </c>
      <c r="AD1164">
        <v>-1.1085640380970001</v>
      </c>
      <c r="AE1164">
        <v>-6.0556000000000196</v>
      </c>
      <c r="AF1164">
        <v>4.1064477083303901</v>
      </c>
      <c r="AG1164">
        <v>-1.1085640380970001</v>
      </c>
      <c r="AH1164">
        <v>5.3509600079498103</v>
      </c>
      <c r="AI1164">
        <v>99.333252139096999</v>
      </c>
      <c r="AJ1164">
        <v>52.496551701466998</v>
      </c>
      <c r="AK1164">
        <v>6.8355394823299802</v>
      </c>
      <c r="AL1164">
        <v>85.353759577460806</v>
      </c>
      <c r="AM1164">
        <v>77.047035880258903</v>
      </c>
      <c r="AN1164">
        <v>1.0000000475775399</v>
      </c>
    </row>
    <row r="1165" spans="1:40" x14ac:dyDescent="0.25">
      <c r="A1165" t="str">
        <f>"20190312151246873"</f>
        <v>20190312151246873</v>
      </c>
      <c r="B1165" t="str">
        <f>"1552374766870965"</f>
        <v>1552374766870965</v>
      </c>
      <c r="C1165" t="s">
        <v>40</v>
      </c>
      <c r="D1165">
        <v>4.6999339999999998</v>
      </c>
      <c r="E1165">
        <v>0.67017320000000002</v>
      </c>
      <c r="F1165" t="s">
        <v>51</v>
      </c>
      <c r="G1165">
        <v>-199.12880000000001</v>
      </c>
      <c r="H1165" s="1">
        <v>-6.0152840000000002E-6</v>
      </c>
      <c r="I1165">
        <v>357.51580000000001</v>
      </c>
      <c r="J1165">
        <v>-202.4555</v>
      </c>
      <c r="K1165">
        <v>1.1085510000000001</v>
      </c>
      <c r="L1165">
        <v>363.5865</v>
      </c>
      <c r="M1165">
        <v>0.9153097</v>
      </c>
      <c r="N1165">
        <v>0</v>
      </c>
      <c r="O1165">
        <v>-0.4025109</v>
      </c>
      <c r="P1165">
        <v>0.80048439999999998</v>
      </c>
      <c r="Q1165">
        <v>6.8406839999999997E-2</v>
      </c>
      <c r="R1165">
        <v>-0.59543729999999995</v>
      </c>
      <c r="S1165">
        <v>1.624023</v>
      </c>
      <c r="T1165">
        <v>-0.53087379999999995</v>
      </c>
      <c r="U1165">
        <v>-2.9223020000000002</v>
      </c>
      <c r="V1165">
        <v>0.2232383</v>
      </c>
      <c r="W1165">
        <v>8.0795179999999994E-2</v>
      </c>
      <c r="X1165">
        <v>0.97140970000000004</v>
      </c>
      <c r="Y1165">
        <v>0.60218909999999903</v>
      </c>
      <c r="Z1165">
        <v>1.5152229999999999E-2</v>
      </c>
      <c r="AA1165">
        <v>0.79820970000000002</v>
      </c>
      <c r="AB1165">
        <v>14</v>
      </c>
      <c r="AC1165">
        <v>3.3266999999999798</v>
      </c>
      <c r="AD1165">
        <v>-1.1085570152840001</v>
      </c>
      <c r="AE1165">
        <v>-6.07069999999998</v>
      </c>
      <c r="AF1165">
        <v>4.11248187488484</v>
      </c>
      <c r="AG1165">
        <v>-1.1085570152840001</v>
      </c>
      <c r="AH1165">
        <v>5.3517696716797696</v>
      </c>
      <c r="AI1165">
        <v>99.327328876757207</v>
      </c>
      <c r="AJ1165">
        <v>52.460099041378598</v>
      </c>
      <c r="AK1165">
        <v>6.8397985676555599</v>
      </c>
      <c r="AL1165">
        <v>85.365725852616706</v>
      </c>
      <c r="AM1165">
        <v>77.057651535998502</v>
      </c>
      <c r="AN1165">
        <v>1.0000000024761</v>
      </c>
    </row>
    <row r="1166" spans="1:40" x14ac:dyDescent="0.25">
      <c r="A1166" t="str">
        <f>"20190312151246887"</f>
        <v>20190312151246887</v>
      </c>
      <c r="B1166" t="str">
        <f>"1552374766880725"</f>
        <v>1552374766880725</v>
      </c>
      <c r="C1166" t="s">
        <v>40</v>
      </c>
      <c r="D1166">
        <v>4.5805879999999997</v>
      </c>
      <c r="E1166">
        <v>0.67017320000000002</v>
      </c>
      <c r="F1166" t="s">
        <v>51</v>
      </c>
      <c r="G1166">
        <v>-199.09630000000001</v>
      </c>
      <c r="H1166" s="1">
        <v>-5.9953290000000002E-6</v>
      </c>
      <c r="I1166">
        <v>357.47140000000002</v>
      </c>
      <c r="J1166">
        <v>-202.37909999999999</v>
      </c>
      <c r="K1166">
        <v>1.10854599999999</v>
      </c>
      <c r="L1166">
        <v>363.5487</v>
      </c>
      <c r="M1166">
        <v>0.91397090000000003</v>
      </c>
      <c r="N1166">
        <v>0</v>
      </c>
      <c r="O1166">
        <v>-0.4055417</v>
      </c>
      <c r="P1166">
        <v>0.79852749999999995</v>
      </c>
      <c r="Q1166">
        <v>6.8076479999999995E-2</v>
      </c>
      <c r="R1166">
        <v>-0.59809650000000003</v>
      </c>
      <c r="S1166">
        <v>1.6113280000000001</v>
      </c>
      <c r="T1166">
        <v>-0.53173970000000004</v>
      </c>
      <c r="U1166">
        <v>-2.9331969999999998</v>
      </c>
      <c r="V1166">
        <v>0.22323860000000001</v>
      </c>
      <c r="W1166">
        <v>8.0461989999999997E-2</v>
      </c>
      <c r="X1166">
        <v>0.97143729999999995</v>
      </c>
      <c r="Y1166">
        <v>0.60346460000000002</v>
      </c>
      <c r="Z1166">
        <v>1.5582169999999999E-2</v>
      </c>
      <c r="AA1166">
        <v>0.79723750000000004</v>
      </c>
      <c r="AB1166">
        <v>14</v>
      </c>
      <c r="AC1166">
        <v>3.28279999999998</v>
      </c>
      <c r="AD1166">
        <v>-1.10855199532899</v>
      </c>
      <c r="AE1166">
        <v>-6.0772999999999797</v>
      </c>
      <c r="AF1166">
        <v>4.1175150413230099</v>
      </c>
      <c r="AG1166">
        <v>-1.10855199532899</v>
      </c>
      <c r="AH1166">
        <v>5.3282684760019201</v>
      </c>
      <c r="AI1166">
        <v>99.348437124189502</v>
      </c>
      <c r="AJ1166">
        <v>52.304300720188301</v>
      </c>
      <c r="AK1166">
        <v>6.8244606082990096</v>
      </c>
      <c r="AL1166">
        <v>85.384878653624895</v>
      </c>
      <c r="AM1166">
        <v>77.057990060337701</v>
      </c>
      <c r="AN1166">
        <v>1.000000016098</v>
      </c>
    </row>
    <row r="1167" spans="1:40" x14ac:dyDescent="0.25">
      <c r="A1167" t="str">
        <f>"20190312151246904"</f>
        <v>20190312151246904</v>
      </c>
      <c r="B1167" t="str">
        <f>"1552374766901220"</f>
        <v>1552374766901220</v>
      </c>
      <c r="C1167" t="s">
        <v>40</v>
      </c>
      <c r="D1167">
        <v>4.410685</v>
      </c>
      <c r="E1167">
        <v>0.69873450000000004</v>
      </c>
      <c r="F1167" t="s">
        <v>51</v>
      </c>
      <c r="G1167">
        <v>-199.04140000000001</v>
      </c>
      <c r="H1167" s="1">
        <v>-5.9699729999999999E-6</v>
      </c>
      <c r="I1167">
        <v>357.4212</v>
      </c>
      <c r="J1167">
        <v>-202.2825</v>
      </c>
      <c r="K1167">
        <v>1.1085320000000001</v>
      </c>
      <c r="L1167">
        <v>363.50049999999999</v>
      </c>
      <c r="M1167">
        <v>0.91224780000000005</v>
      </c>
      <c r="N1167">
        <v>0</v>
      </c>
      <c r="O1167">
        <v>-0.40940310000000002</v>
      </c>
      <c r="P1167">
        <v>0.79589580000000004</v>
      </c>
      <c r="Q1167">
        <v>6.7641530000000005E-2</v>
      </c>
      <c r="R1167">
        <v>-0.60164329999999999</v>
      </c>
      <c r="S1167">
        <v>1.6009059999999999</v>
      </c>
      <c r="T1167">
        <v>-0.53171789999999997</v>
      </c>
      <c r="U1167">
        <v>-2.9390260000000001</v>
      </c>
      <c r="V1167">
        <v>0.2234372</v>
      </c>
      <c r="W1167">
        <v>8.0013790000000001E-2</v>
      </c>
      <c r="X1167">
        <v>0.97142859999999998</v>
      </c>
      <c r="Y1167">
        <v>0.60298339999999995</v>
      </c>
      <c r="Z1167">
        <v>1.6329779999999999E-2</v>
      </c>
      <c r="AA1167">
        <v>0.79758660000000003</v>
      </c>
      <c r="AB1167">
        <v>14</v>
      </c>
      <c r="AC1167">
        <v>3.2410999999999799</v>
      </c>
      <c r="AD1167">
        <v>-1.108537969973</v>
      </c>
      <c r="AE1167">
        <v>-6.0792999999999804</v>
      </c>
      <c r="AF1167">
        <v>4.1128334330563199</v>
      </c>
      <c r="AG1167">
        <v>-1.108537969973</v>
      </c>
      <c r="AH1167">
        <v>5.3086498739219996</v>
      </c>
      <c r="AI1167">
        <v>99.373455122067398</v>
      </c>
      <c r="AJ1167">
        <v>52.233556147587997</v>
      </c>
      <c r="AK1167">
        <v>6.8063219702589501</v>
      </c>
      <c r="AL1167">
        <v>85.410641416273293</v>
      </c>
      <c r="AM1167">
        <v>77.0467525036767</v>
      </c>
      <c r="AN1167">
        <v>0.99999995691598098</v>
      </c>
    </row>
    <row r="1168" spans="1:40" x14ac:dyDescent="0.25">
      <c r="A1168" t="str">
        <f>"20190312151246926"</f>
        <v>20190312151246926</v>
      </c>
      <c r="B1168" t="str">
        <f>"1552374766920741"</f>
        <v>1552374766920741</v>
      </c>
      <c r="C1168" t="s">
        <v>40</v>
      </c>
      <c r="D1168">
        <v>4.5555149999999998</v>
      </c>
      <c r="E1168">
        <v>0.70066799999999996</v>
      </c>
      <c r="F1168" t="s">
        <v>51</v>
      </c>
      <c r="G1168">
        <v>-199.49019999999999</v>
      </c>
      <c r="H1168" s="1">
        <v>-6.0566520000000003E-6</v>
      </c>
      <c r="I1168">
        <v>357.4708</v>
      </c>
      <c r="J1168">
        <v>-202.16300000000001</v>
      </c>
      <c r="K1168">
        <v>1.108509</v>
      </c>
      <c r="L1168">
        <v>363.43990000000002</v>
      </c>
      <c r="M1168">
        <v>0.91006860000000001</v>
      </c>
      <c r="N1168">
        <v>0</v>
      </c>
      <c r="O1168">
        <v>-0.41422550000000002</v>
      </c>
      <c r="P1168">
        <v>0.79293259999999999</v>
      </c>
      <c r="Q1168">
        <v>6.6963549999999997E-2</v>
      </c>
      <c r="R1168">
        <v>-0.6056184</v>
      </c>
      <c r="S1168">
        <v>1.4505159999999999</v>
      </c>
      <c r="T1168">
        <v>-0.57585589999999998</v>
      </c>
      <c r="U1168">
        <v>-3.132263</v>
      </c>
      <c r="V1168">
        <v>0.2231322</v>
      </c>
      <c r="W1168">
        <v>7.9306979999999999E-2</v>
      </c>
      <c r="X1168">
        <v>0.97155670000000005</v>
      </c>
      <c r="Y1168">
        <v>0.64877069999999903</v>
      </c>
      <c r="Z1168">
        <v>1.308346E-2</v>
      </c>
      <c r="AA1168">
        <v>0.76087150000000003</v>
      </c>
      <c r="AB1168">
        <v>14</v>
      </c>
      <c r="AC1168">
        <v>2.6727999999999899</v>
      </c>
      <c r="AD1168">
        <v>-1.1085150566519999</v>
      </c>
      <c r="AE1168">
        <v>-5.9691000000000196</v>
      </c>
      <c r="AF1168">
        <v>4.2047706217216296</v>
      </c>
      <c r="AG1168">
        <v>-1.1085150566519999</v>
      </c>
      <c r="AH1168">
        <v>4.7684687876489003</v>
      </c>
      <c r="AI1168">
        <v>99.8907786846938</v>
      </c>
      <c r="AJ1168">
        <v>48.594592652101703</v>
      </c>
      <c r="AK1168">
        <v>6.4534638908805597</v>
      </c>
      <c r="AL1168">
        <v>85.451267946516495</v>
      </c>
      <c r="AM1168">
        <v>77.065487252502606</v>
      </c>
      <c r="AN1168">
        <v>0.99999999853422505</v>
      </c>
    </row>
    <row r="1169" spans="1:40" x14ac:dyDescent="0.25">
      <c r="A1169" t="str">
        <f>"20190312151246949"</f>
        <v>20190312151246949</v>
      </c>
      <c r="B1169" t="str">
        <f>"1552374766941240"</f>
        <v>1552374766941240</v>
      </c>
      <c r="C1169" t="s">
        <v>40</v>
      </c>
      <c r="D1169">
        <v>4.5675540000000003</v>
      </c>
      <c r="E1169">
        <v>0.70111899999999905</v>
      </c>
      <c r="F1169" t="s">
        <v>51</v>
      </c>
      <c r="G1169">
        <v>-199.38810000000001</v>
      </c>
      <c r="H1169" s="1">
        <v>-5.9847550000000001E-6</v>
      </c>
      <c r="I1169">
        <v>357.30369999999999</v>
      </c>
      <c r="J1169">
        <v>-202.04060000000001</v>
      </c>
      <c r="K1169">
        <v>1.108479</v>
      </c>
      <c r="L1169">
        <v>363.37689999999998</v>
      </c>
      <c r="M1169">
        <v>0.90777750000000001</v>
      </c>
      <c r="N1169">
        <v>0</v>
      </c>
      <c r="O1169">
        <v>-0.4192245</v>
      </c>
      <c r="P1169">
        <v>0.78994790000000004</v>
      </c>
      <c r="Q1169">
        <v>6.6427669999999994E-2</v>
      </c>
      <c r="R1169">
        <v>-0.60956489999999997</v>
      </c>
      <c r="S1169">
        <v>1.4249270000000001</v>
      </c>
      <c r="T1169">
        <v>-0.56921299999999997</v>
      </c>
      <c r="U1169">
        <v>-3.150909</v>
      </c>
      <c r="V1169">
        <v>0.2226149</v>
      </c>
      <c r="W1169">
        <v>7.8710909999999995E-2</v>
      </c>
      <c r="X1169">
        <v>0.97172389999999997</v>
      </c>
      <c r="Y1169">
        <v>0.65151239999999999</v>
      </c>
      <c r="Z1169">
        <v>1.356198E-2</v>
      </c>
      <c r="AA1169">
        <v>0.75851679999999999</v>
      </c>
      <c r="AB1169">
        <v>14</v>
      </c>
      <c r="AC1169">
        <v>2.6524999999999999</v>
      </c>
      <c r="AD1169">
        <v>-1.108484984755</v>
      </c>
      <c r="AE1169">
        <v>-6.0731999999999804</v>
      </c>
      <c r="AF1169">
        <v>4.2817505198943904</v>
      </c>
      <c r="AG1169">
        <v>-1.108484984755</v>
      </c>
      <c r="AH1169">
        <v>4.81954994955092</v>
      </c>
      <c r="AI1169">
        <v>99.756208632035197</v>
      </c>
      <c r="AJ1169">
        <v>48.381697908187199</v>
      </c>
      <c r="AK1169">
        <v>6.5414209612483596</v>
      </c>
      <c r="AL1169">
        <v>85.485527661208806</v>
      </c>
      <c r="AM1169">
        <v>77.096615215028805</v>
      </c>
      <c r="AN1169">
        <v>1.0000000694431199</v>
      </c>
    </row>
    <row r="1170" spans="1:40" x14ac:dyDescent="0.25">
      <c r="A1170" t="str">
        <f>"20190312151246961"</f>
        <v>20190312151246961</v>
      </c>
      <c r="B1170" t="str">
        <f>"1552374766950997"</f>
        <v>1552374766950997</v>
      </c>
      <c r="C1170" t="s">
        <v>40</v>
      </c>
      <c r="D1170">
        <v>4.5489610000000003</v>
      </c>
      <c r="E1170">
        <v>0.70123930000000001</v>
      </c>
      <c r="F1170" t="s">
        <v>51</v>
      </c>
      <c r="G1170">
        <v>-199.2901</v>
      </c>
      <c r="H1170" s="1">
        <v>-5.9330599999999997E-6</v>
      </c>
      <c r="I1170">
        <v>357.19490000000002</v>
      </c>
      <c r="J1170">
        <v>-201.96690000000001</v>
      </c>
      <c r="K1170">
        <v>1.1084560000000001</v>
      </c>
      <c r="L1170">
        <v>363.33870000000002</v>
      </c>
      <c r="M1170">
        <v>0.90637449999999997</v>
      </c>
      <c r="N1170">
        <v>0</v>
      </c>
      <c r="O1170">
        <v>-0.42225119999999999</v>
      </c>
      <c r="P1170">
        <v>0.78809609999999997</v>
      </c>
      <c r="Q1170">
        <v>6.6391989999999998E-2</v>
      </c>
      <c r="R1170">
        <v>-0.61196200000000001</v>
      </c>
      <c r="S1170">
        <v>1.406296</v>
      </c>
      <c r="T1170">
        <v>-0.56676910000000003</v>
      </c>
      <c r="U1170">
        <v>-3.1608580000000002</v>
      </c>
      <c r="V1170">
        <v>0.2223242</v>
      </c>
      <c r="W1170">
        <v>7.8625329999999993E-2</v>
      </c>
      <c r="X1170">
        <v>0.97179729999999998</v>
      </c>
      <c r="Y1170">
        <v>0.65363119999999997</v>
      </c>
      <c r="Z1170">
        <v>1.3841259999999999E-2</v>
      </c>
      <c r="AA1170">
        <v>0.75668669999999905</v>
      </c>
      <c r="AB1170">
        <v>14</v>
      </c>
      <c r="AC1170">
        <v>2.6768000000000098</v>
      </c>
      <c r="AD1170">
        <v>-1.1084619330599901</v>
      </c>
      <c r="AE1170">
        <v>-6.1437999999999899</v>
      </c>
      <c r="AF1170">
        <v>4.3205209189141298</v>
      </c>
      <c r="AG1170">
        <v>-1.1084619330599901</v>
      </c>
      <c r="AH1170">
        <v>4.8871818494966002</v>
      </c>
      <c r="AI1170">
        <v>99.644006828256494</v>
      </c>
      <c r="AJ1170">
        <v>48.521658368702198</v>
      </c>
      <c r="AK1170">
        <v>6.6166558999139999</v>
      </c>
      <c r="AL1170">
        <v>85.490445928800995</v>
      </c>
      <c r="AM1170">
        <v>77.113842960060893</v>
      </c>
      <c r="AN1170">
        <v>0.99999999235526904</v>
      </c>
    </row>
    <row r="1171" spans="1:40" x14ac:dyDescent="0.25">
      <c r="A1171" t="str">
        <f>"20190312151246973"</f>
        <v>20190312151246973</v>
      </c>
      <c r="B1171" t="str">
        <f>"1552374766970516"</f>
        <v>1552374766970516</v>
      </c>
      <c r="C1171" t="s">
        <v>40</v>
      </c>
      <c r="D1171">
        <v>4.574287</v>
      </c>
      <c r="E1171">
        <v>0.70116990000000001</v>
      </c>
      <c r="F1171" t="s">
        <v>51</v>
      </c>
      <c r="G1171">
        <v>-199.2192</v>
      </c>
      <c r="H1171" s="1">
        <v>-5.89295399999999E-6</v>
      </c>
      <c r="I1171">
        <v>357.10820000000001</v>
      </c>
      <c r="J1171">
        <v>-201.90280000000001</v>
      </c>
      <c r="K1171">
        <v>1.10843799999999</v>
      </c>
      <c r="L1171">
        <v>363.30500000000001</v>
      </c>
      <c r="M1171">
        <v>0.90513829999999995</v>
      </c>
      <c r="N1171">
        <v>0</v>
      </c>
      <c r="O1171">
        <v>-0.4248962</v>
      </c>
      <c r="P1171">
        <v>0.78635639999999996</v>
      </c>
      <c r="Q1171">
        <v>6.6165929999999998E-2</v>
      </c>
      <c r="R1171">
        <v>-0.61421990000000004</v>
      </c>
      <c r="S1171">
        <v>1.3960269999999999</v>
      </c>
      <c r="T1171">
        <v>-0.56318570000000001</v>
      </c>
      <c r="U1171">
        <v>-3.1655579999999999</v>
      </c>
      <c r="V1171">
        <v>0.2222663</v>
      </c>
      <c r="W1171">
        <v>7.8347249999999993E-2</v>
      </c>
      <c r="X1171">
        <v>0.97183299999999995</v>
      </c>
      <c r="Y1171">
        <v>0.65395209999999904</v>
      </c>
      <c r="Z1171">
        <v>1.422084E-2</v>
      </c>
      <c r="AA1171">
        <v>0.75640240000000003</v>
      </c>
      <c r="AB1171">
        <v>14</v>
      </c>
      <c r="AC1171">
        <v>2.68360000000001</v>
      </c>
      <c r="AD1171">
        <v>-1.1084438929539999</v>
      </c>
      <c r="AE1171">
        <v>-6.1967999999999899</v>
      </c>
      <c r="AF1171">
        <v>4.3518775338239699</v>
      </c>
      <c r="AG1171">
        <v>-1.1084438929539999</v>
      </c>
      <c r="AH1171">
        <v>4.9296819318033203</v>
      </c>
      <c r="AI1171">
        <v>99.568125978104007</v>
      </c>
      <c r="AJ1171">
        <v>48.562233948608402</v>
      </c>
      <c r="AK1171">
        <v>6.6685268149702299</v>
      </c>
      <c r="AL1171">
        <v>85.506428029538398</v>
      </c>
      <c r="AM1171">
        <v>77.117544381703695</v>
      </c>
      <c r="AN1171">
        <v>0.99999998979362603</v>
      </c>
    </row>
    <row r="1172" spans="1:40" x14ac:dyDescent="0.25">
      <c r="A1172" t="str">
        <f>"20190312151246989"</f>
        <v>20190312151246989</v>
      </c>
      <c r="B1172" t="str">
        <f>"1552374766981253"</f>
        <v>1552374766981253</v>
      </c>
      <c r="C1172" t="s">
        <v>40</v>
      </c>
      <c r="D1172">
        <v>4.5340540000000003</v>
      </c>
      <c r="E1172">
        <v>0.70170580000000005</v>
      </c>
      <c r="F1172" t="s">
        <v>51</v>
      </c>
      <c r="G1172">
        <v>-199.18090000000001</v>
      </c>
      <c r="H1172" s="1">
        <v>-5.8798689999999996E-6</v>
      </c>
      <c r="I1172">
        <v>357.08699999999999</v>
      </c>
      <c r="J1172">
        <v>-201.82079999999999</v>
      </c>
      <c r="K1172">
        <v>1.1084149999999999</v>
      </c>
      <c r="L1172">
        <v>363.26170000000002</v>
      </c>
      <c r="M1172">
        <v>0.90353830000000002</v>
      </c>
      <c r="N1172">
        <v>0</v>
      </c>
      <c r="O1172">
        <v>-0.42829020000000001</v>
      </c>
      <c r="P1172">
        <v>0.78422080000000005</v>
      </c>
      <c r="Q1172">
        <v>6.6196050000000006E-2</v>
      </c>
      <c r="R1172">
        <v>-0.61694099999999996</v>
      </c>
      <c r="S1172">
        <v>1.3872530000000001</v>
      </c>
      <c r="T1172">
        <v>-0.56492849999999994</v>
      </c>
      <c r="U1172">
        <v>-3.1690670000000001</v>
      </c>
      <c r="V1172">
        <v>0.22198909999999999</v>
      </c>
      <c r="W1172">
        <v>7.8304470000000001E-2</v>
      </c>
      <c r="X1172">
        <v>0.97189979999999998</v>
      </c>
      <c r="Y1172">
        <v>0.65320610000000001</v>
      </c>
      <c r="Z1172">
        <v>1.4994520000000001E-2</v>
      </c>
      <c r="AA1172">
        <v>0.75703160000000003</v>
      </c>
      <c r="AB1172">
        <v>14</v>
      </c>
      <c r="AC1172">
        <v>2.6398999999999799</v>
      </c>
      <c r="AD1172">
        <v>-1.1084208798689901</v>
      </c>
      <c r="AE1172">
        <v>-6.1747000000000298</v>
      </c>
      <c r="AF1172">
        <v>4.3308584396748602</v>
      </c>
      <c r="AG1172">
        <v>-1.1084208798689901</v>
      </c>
      <c r="AH1172">
        <v>4.8968716580109399</v>
      </c>
      <c r="AI1172">
        <v>99.623235909750207</v>
      </c>
      <c r="AJ1172">
        <v>48.5100277291182</v>
      </c>
      <c r="AK1172">
        <v>6.6305568172260898</v>
      </c>
      <c r="AL1172">
        <v>85.508886678935994</v>
      </c>
      <c r="AM1172">
        <v>77.133930634532305</v>
      </c>
      <c r="AN1172">
        <v>0.99999998589041506</v>
      </c>
    </row>
    <row r="1173" spans="1:40" x14ac:dyDescent="0.25">
      <c r="A1173" t="str">
        <f>"20190312151247003"</f>
        <v>20190312151247003</v>
      </c>
      <c r="B1173" t="str">
        <f>"1552374767000773"</f>
        <v>1552374767000773</v>
      </c>
      <c r="C1173" t="s">
        <v>40</v>
      </c>
      <c r="D1173">
        <v>4.7623089999999904</v>
      </c>
      <c r="E1173">
        <v>0.70147060000000006</v>
      </c>
      <c r="F1173" t="s">
        <v>51</v>
      </c>
      <c r="G1173">
        <v>-199.0548</v>
      </c>
      <c r="H1173" s="1">
        <v>-5.7863559999999998E-6</v>
      </c>
      <c r="I1173">
        <v>356.86649999999997</v>
      </c>
      <c r="J1173">
        <v>-201.7363</v>
      </c>
      <c r="K1173">
        <v>1.108382</v>
      </c>
      <c r="L1173">
        <v>363.2167</v>
      </c>
      <c r="M1173">
        <v>0.90186040000000001</v>
      </c>
      <c r="N1173">
        <v>0</v>
      </c>
      <c r="O1173">
        <v>-0.43181510000000001</v>
      </c>
      <c r="P1173">
        <v>0.78214759999999905</v>
      </c>
      <c r="Q1173">
        <v>6.5845299999999995E-2</v>
      </c>
      <c r="R1173">
        <v>-0.61960419999999905</v>
      </c>
      <c r="S1173">
        <v>1.37355</v>
      </c>
      <c r="T1173">
        <v>-0.550423</v>
      </c>
      <c r="U1173">
        <v>-3.1757810000000002</v>
      </c>
      <c r="V1173">
        <v>0.2214855</v>
      </c>
      <c r="W1173">
        <v>7.7865680000000007E-2</v>
      </c>
      <c r="X1173">
        <v>0.97204999999999997</v>
      </c>
      <c r="Y1173">
        <v>0.65375719999999904</v>
      </c>
      <c r="Z1173">
        <v>1.5207770000000001E-2</v>
      </c>
      <c r="AA1173">
        <v>0.75655159999999999</v>
      </c>
      <c r="AB1173">
        <v>14</v>
      </c>
      <c r="AC1173">
        <v>2.6815000000000002</v>
      </c>
      <c r="AD1173">
        <v>-1.1083877863560001</v>
      </c>
      <c r="AE1173">
        <v>-6.3502000000000196</v>
      </c>
      <c r="AF1173">
        <v>4.4543332905656801</v>
      </c>
      <c r="AG1173">
        <v>-1.1083877863560001</v>
      </c>
      <c r="AH1173">
        <v>5.0308507676046696</v>
      </c>
      <c r="AI1173">
        <v>99.366763905278802</v>
      </c>
      <c r="AJ1173">
        <v>48.4782067619145</v>
      </c>
      <c r="AK1173">
        <v>6.8102179109257097</v>
      </c>
      <c r="AL1173">
        <v>85.534104764129793</v>
      </c>
      <c r="AM1173">
        <v>77.164068139812699</v>
      </c>
      <c r="AN1173">
        <v>1.0000000466660499</v>
      </c>
    </row>
    <row r="1174" spans="1:40" x14ac:dyDescent="0.25">
      <c r="A1174" t="str">
        <f>"20190312151247017"</f>
        <v>20190312151247017</v>
      </c>
      <c r="B1174" t="str">
        <f>"1552374767010535"</f>
        <v>1552374767010535</v>
      </c>
      <c r="C1174" t="s">
        <v>40</v>
      </c>
      <c r="D1174">
        <v>4.5776149999999998</v>
      </c>
      <c r="E1174">
        <v>0.70326390000000005</v>
      </c>
      <c r="F1174" t="s">
        <v>51</v>
      </c>
      <c r="G1174">
        <v>-198.95689999999999</v>
      </c>
      <c r="H1174" s="1">
        <v>-5.726648E-6</v>
      </c>
      <c r="I1174">
        <v>356.73379999999997</v>
      </c>
      <c r="J1174">
        <v>-201.66839999999999</v>
      </c>
      <c r="K1174">
        <v>1.1083639999999999</v>
      </c>
      <c r="L1174">
        <v>363.18009999999998</v>
      </c>
      <c r="M1174">
        <v>0.90049020000000002</v>
      </c>
      <c r="N1174">
        <v>0</v>
      </c>
      <c r="O1174">
        <v>-0.4346682</v>
      </c>
      <c r="P1174">
        <v>0.78042339999999999</v>
      </c>
      <c r="Q1174">
        <v>6.5513520000000006E-2</v>
      </c>
      <c r="R1174">
        <v>-0.62181019999999998</v>
      </c>
      <c r="S1174">
        <v>1.362976</v>
      </c>
      <c r="T1174">
        <v>-0.54352440000000002</v>
      </c>
      <c r="U1174">
        <v>-3.1790470000000002</v>
      </c>
      <c r="V1174">
        <v>0.22113940000000001</v>
      </c>
      <c r="W1174">
        <v>7.744972E-2</v>
      </c>
      <c r="X1174">
        <v>0.97216199999999997</v>
      </c>
      <c r="Y1174">
        <v>0.65385879999999996</v>
      </c>
      <c r="Z1174">
        <v>1.5538629999999999E-2</v>
      </c>
      <c r="AA1174">
        <v>0.75645699999999905</v>
      </c>
      <c r="AB1174">
        <v>14</v>
      </c>
      <c r="AC1174">
        <v>2.7115</v>
      </c>
      <c r="AD1174">
        <v>-1.1083697266479999</v>
      </c>
      <c r="AE1174">
        <v>-6.4462999999999999</v>
      </c>
      <c r="AF1174">
        <v>4.5132778498944202</v>
      </c>
      <c r="AG1174">
        <v>-1.1083697266479999</v>
      </c>
      <c r="AH1174">
        <v>5.1156563667184001</v>
      </c>
      <c r="AI1174">
        <v>99.228213091901097</v>
      </c>
      <c r="AJ1174">
        <v>48.579713639928798</v>
      </c>
      <c r="AK1174">
        <v>6.9114470600333604</v>
      </c>
      <c r="AL1174">
        <v>85.558009604861695</v>
      </c>
      <c r="AM1174">
        <v>77.184890835025698</v>
      </c>
      <c r="AN1174">
        <v>1.00000002380221</v>
      </c>
    </row>
    <row r="1175" spans="1:40" x14ac:dyDescent="0.25">
      <c r="A1175" t="str">
        <f>"20190312151247030"</f>
        <v>20190312151247030</v>
      </c>
      <c r="B1175" t="str">
        <f>"1552374767021269"</f>
        <v>1552374767021269</v>
      </c>
      <c r="C1175" t="s">
        <v>40</v>
      </c>
      <c r="D1175">
        <v>4.6339110000000003</v>
      </c>
      <c r="E1175">
        <v>0.70383580000000001</v>
      </c>
      <c r="F1175" t="s">
        <v>42</v>
      </c>
      <c r="G1175">
        <v>-194.89850000000001</v>
      </c>
      <c r="H1175" s="1">
        <v>-4.3287630000000004E-6</v>
      </c>
      <c r="I1175">
        <v>347.15370000000001</v>
      </c>
      <c r="J1175">
        <v>-201.59729999999999</v>
      </c>
      <c r="K1175">
        <v>1.1083379999999901</v>
      </c>
      <c r="L1175">
        <v>363.14150000000001</v>
      </c>
      <c r="M1175">
        <v>0.89903889999999997</v>
      </c>
      <c r="N1175">
        <v>0</v>
      </c>
      <c r="O1175">
        <v>-0.43766470000000002</v>
      </c>
      <c r="P1175">
        <v>0.77844329999999995</v>
      </c>
      <c r="Q1175">
        <v>6.5854910000000003E-2</v>
      </c>
      <c r="R1175">
        <v>-0.62425129999999995</v>
      </c>
      <c r="S1175">
        <v>1.338287</v>
      </c>
      <c r="T1175">
        <v>-0.21910289999999999</v>
      </c>
      <c r="U1175">
        <v>-3.168091</v>
      </c>
      <c r="V1175">
        <v>0.22096180000000001</v>
      </c>
      <c r="W1175">
        <v>7.7694070000000004E-2</v>
      </c>
      <c r="X1175">
        <v>0.97218289999999996</v>
      </c>
      <c r="Y1175">
        <v>0.65750489999999995</v>
      </c>
      <c r="Z1175">
        <v>6.399648E-3</v>
      </c>
      <c r="AA1175">
        <v>0.75342310000000001</v>
      </c>
      <c r="AB1175">
        <v>14</v>
      </c>
      <c r="AC1175">
        <v>6.6987999999999701</v>
      </c>
      <c r="AD1175">
        <v>-1.1083423287630001</v>
      </c>
      <c r="AE1175">
        <v>-15.987799999999901</v>
      </c>
      <c r="AF1175">
        <v>11.396258477149001</v>
      </c>
      <c r="AG1175">
        <v>-1.1083423287630001</v>
      </c>
      <c r="AH1175">
        <v>12.967925886419099</v>
      </c>
      <c r="AI1175">
        <v>93.673350339234204</v>
      </c>
      <c r="AJ1175">
        <v>48.690881418790902</v>
      </c>
      <c r="AK1175">
        <v>17.299428655056101</v>
      </c>
      <c r="AL1175">
        <v>85.543967132702207</v>
      </c>
      <c r="AM1175">
        <v>77.195109593809505</v>
      </c>
      <c r="AN1175">
        <v>1.0000000383123999</v>
      </c>
    </row>
    <row r="1176" spans="1:40" x14ac:dyDescent="0.25">
      <c r="A1176" t="str">
        <f>"20190312151247042"</f>
        <v>20190312151247042</v>
      </c>
      <c r="B1176" t="str">
        <f>"1552374767031029"</f>
        <v>1552374767031029</v>
      </c>
      <c r="C1176" t="s">
        <v>40</v>
      </c>
      <c r="D1176">
        <v>4.4330129999999999</v>
      </c>
      <c r="E1176">
        <v>0.70333049999999997</v>
      </c>
      <c r="F1176" t="s">
        <v>42</v>
      </c>
      <c r="G1176">
        <v>-194.51820000000001</v>
      </c>
      <c r="H1176" s="1">
        <v>-3.9304030000000004E-6</v>
      </c>
      <c r="I1176">
        <v>346.1814</v>
      </c>
      <c r="J1176">
        <v>-201.52690000000001</v>
      </c>
      <c r="K1176">
        <v>1.1083099999999999</v>
      </c>
      <c r="L1176">
        <v>363.10289999999998</v>
      </c>
      <c r="M1176">
        <v>0.89758150000000003</v>
      </c>
      <c r="N1176">
        <v>0</v>
      </c>
      <c r="O1176">
        <v>-0.44064900000000001</v>
      </c>
      <c r="P1176">
        <v>0.7766016</v>
      </c>
      <c r="Q1176">
        <v>6.5684530000000005E-2</v>
      </c>
      <c r="R1176">
        <v>-0.62655850000000002</v>
      </c>
      <c r="S1176">
        <v>1.325256</v>
      </c>
      <c r="T1176">
        <v>-0.20748900000000001</v>
      </c>
      <c r="U1176">
        <v>-3.175049</v>
      </c>
      <c r="V1176">
        <v>0.2206111</v>
      </c>
      <c r="W1176">
        <v>7.7418340000000002E-2</v>
      </c>
      <c r="X1176">
        <v>0.9722845</v>
      </c>
      <c r="Y1176">
        <v>0.65827049999999998</v>
      </c>
      <c r="Z1176">
        <v>6.240003E-3</v>
      </c>
      <c r="AA1176">
        <v>0.75275559999999997</v>
      </c>
      <c r="AB1176">
        <v>14</v>
      </c>
      <c r="AC1176">
        <v>7.0087000000000002</v>
      </c>
      <c r="AD1176">
        <v>-1.1083139304029901</v>
      </c>
      <c r="AE1176">
        <v>-16.921499999999899</v>
      </c>
      <c r="AF1176">
        <v>12.0569637816295</v>
      </c>
      <c r="AG1176">
        <v>-1.1083139304029901</v>
      </c>
      <c r="AH1176">
        <v>13.698371105707</v>
      </c>
      <c r="AI1176">
        <v>93.475520964423893</v>
      </c>
      <c r="AJ1176">
        <v>48.646572495850101</v>
      </c>
      <c r="AK1176">
        <v>18.2823441152802</v>
      </c>
      <c r="AL1176">
        <v>85.5598128678932</v>
      </c>
      <c r="AM1176">
        <v>77.216056546506096</v>
      </c>
      <c r="AN1176">
        <v>1.0000000028759</v>
      </c>
    </row>
    <row r="1177" spans="1:40" x14ac:dyDescent="0.25">
      <c r="A1177" t="str">
        <f>"20190312151247061"</f>
        <v>20190312151247061</v>
      </c>
      <c r="B1177" t="str">
        <f>"1552374767050549"</f>
        <v>1552374767050549</v>
      </c>
      <c r="C1177" t="s">
        <v>40</v>
      </c>
      <c r="D1177">
        <v>4.6115110000000001</v>
      </c>
      <c r="E1177">
        <v>0.70309709999999903</v>
      </c>
      <c r="F1177" t="s">
        <v>42</v>
      </c>
      <c r="G1177">
        <v>-194.578</v>
      </c>
      <c r="H1177" s="1">
        <v>-4.0024610000000002E-6</v>
      </c>
      <c r="I1177">
        <v>346.36189999999999</v>
      </c>
      <c r="J1177">
        <v>-201.42699999999999</v>
      </c>
      <c r="K1177">
        <v>1.1082689999999999</v>
      </c>
      <c r="L1177">
        <v>363.04770000000002</v>
      </c>
      <c r="M1177">
        <v>0.89548329999999998</v>
      </c>
      <c r="N1177">
        <v>0</v>
      </c>
      <c r="O1177">
        <v>-0.44490259999999998</v>
      </c>
      <c r="P1177">
        <v>0.77391149999999997</v>
      </c>
      <c r="Q1177">
        <v>6.5227579999999993E-2</v>
      </c>
      <c r="R1177">
        <v>-0.62992579999999998</v>
      </c>
      <c r="S1177">
        <v>1.3183290000000001</v>
      </c>
      <c r="T1177">
        <v>-0.2102668</v>
      </c>
      <c r="U1177">
        <v>-3.176056</v>
      </c>
      <c r="V1177">
        <v>0.2202037</v>
      </c>
      <c r="W1177">
        <v>7.6794600000000005E-2</v>
      </c>
      <c r="X1177">
        <v>0.97242629999999997</v>
      </c>
      <c r="Y1177">
        <v>0.65618120000000002</v>
      </c>
      <c r="Z1177">
        <v>6.720981E-3</v>
      </c>
      <c r="AA1177">
        <v>0.75457339999999995</v>
      </c>
      <c r="AB1177">
        <v>14</v>
      </c>
      <c r="AC1177">
        <v>6.84900000000001</v>
      </c>
      <c r="AD1177">
        <v>-1.1082730024609999</v>
      </c>
      <c r="AE1177">
        <v>-16.6858</v>
      </c>
      <c r="AF1177">
        <v>11.850992841029599</v>
      </c>
      <c r="AG1177">
        <v>-1.1082730024609999</v>
      </c>
      <c r="AH1177">
        <v>13.5068869682712</v>
      </c>
      <c r="AI1177">
        <v>93.529373817966203</v>
      </c>
      <c r="AJ1177">
        <v>48.736165349947299</v>
      </c>
      <c r="AK1177">
        <v>18.0030635154069</v>
      </c>
      <c r="AL1177">
        <v>85.595657214553199</v>
      </c>
      <c r="AM1177">
        <v>77.240690731108003</v>
      </c>
      <c r="AN1177">
        <v>0.99999999450726995</v>
      </c>
    </row>
    <row r="1178" spans="1:40" x14ac:dyDescent="0.25">
      <c r="A1178" t="str">
        <f>"20190312151247082"</f>
        <v>20190312151247082</v>
      </c>
      <c r="B1178" t="str">
        <f>"1552374767071045"</f>
        <v>1552374767071045</v>
      </c>
      <c r="C1178" t="s">
        <v>40</v>
      </c>
      <c r="D1178">
        <v>4.7930020000000004</v>
      </c>
      <c r="E1178">
        <v>0.69653549999999997</v>
      </c>
      <c r="F1178" t="s">
        <v>42</v>
      </c>
      <c r="G1178">
        <v>-195.07419999999999</v>
      </c>
      <c r="H1178" s="1">
        <v>-4.5021819999999998E-6</v>
      </c>
      <c r="I1178">
        <v>347.57170000000002</v>
      </c>
      <c r="J1178">
        <v>-201.31219999999999</v>
      </c>
      <c r="K1178">
        <v>1.1082179999999999</v>
      </c>
      <c r="L1178">
        <v>362.98349999999999</v>
      </c>
      <c r="M1178">
        <v>0.89302590000000004</v>
      </c>
      <c r="N1178">
        <v>0</v>
      </c>
      <c r="O1178">
        <v>-0.44982119999999998</v>
      </c>
      <c r="P1178">
        <v>0.77061650000000004</v>
      </c>
      <c r="Q1178">
        <v>6.479393E-2</v>
      </c>
      <c r="R1178">
        <v>-0.63399719999999904</v>
      </c>
      <c r="S1178">
        <v>1.3060149999999999</v>
      </c>
      <c r="T1178">
        <v>-0.22783890000000001</v>
      </c>
      <c r="U1178">
        <v>-3.181549</v>
      </c>
      <c r="V1178">
        <v>0.21996579999999999</v>
      </c>
      <c r="W1178">
        <v>7.6145610000000002E-2</v>
      </c>
      <c r="X1178">
        <v>0.97253109999999998</v>
      </c>
      <c r="Y1178">
        <v>0.65493380000000001</v>
      </c>
      <c r="Z1178">
        <v>7.7225030000000004E-3</v>
      </c>
      <c r="AA1178">
        <v>0.75564679999999995</v>
      </c>
      <c r="AB1178">
        <v>14</v>
      </c>
      <c r="AC1178">
        <v>6.2380000000000004</v>
      </c>
      <c r="AD1178">
        <v>-1.108222502182</v>
      </c>
      <c r="AE1178">
        <v>-15.4117999999999</v>
      </c>
      <c r="AF1178">
        <v>10.909590075166699</v>
      </c>
      <c r="AG1178">
        <v>-1.108222502182</v>
      </c>
      <c r="AH1178">
        <v>12.448976922734399</v>
      </c>
      <c r="AI1178">
        <v>93.830272794483406</v>
      </c>
      <c r="AJ1178">
        <v>48.770480118602599</v>
      </c>
      <c r="AK1178">
        <v>16.589886652575199</v>
      </c>
      <c r="AL1178">
        <v>85.632950494208899</v>
      </c>
      <c r="AM1178">
        <v>77.255353530020201</v>
      </c>
      <c r="AN1178">
        <v>0.99999992377955804</v>
      </c>
    </row>
    <row r="1179" spans="1:40" x14ac:dyDescent="0.25">
      <c r="A1179" t="str">
        <f>"20190312151247096"</f>
        <v>20190312151247096</v>
      </c>
      <c r="B1179" t="str">
        <f>"1552374767090565"</f>
        <v>1552374767090565</v>
      </c>
      <c r="C1179" t="s">
        <v>40</v>
      </c>
      <c r="D1179">
        <v>4.5663660000000004</v>
      </c>
      <c r="E1179">
        <v>0.69833049999999997</v>
      </c>
      <c r="F1179" t="s">
        <v>51</v>
      </c>
      <c r="G1179">
        <v>-197.95269999999999</v>
      </c>
      <c r="H1179" s="1">
        <v>-4.8924650000000003E-6</v>
      </c>
      <c r="I1179">
        <v>354.96730000000002</v>
      </c>
      <c r="J1179">
        <v>-201.23849999999999</v>
      </c>
      <c r="K1179">
        <v>1.108182</v>
      </c>
      <c r="L1179">
        <v>362.94170000000003</v>
      </c>
      <c r="M1179">
        <v>0.89142030000000005</v>
      </c>
      <c r="N1179">
        <v>0</v>
      </c>
      <c r="O1179">
        <v>-0.45299889999999998</v>
      </c>
      <c r="P1179">
        <v>0.76848240000000001</v>
      </c>
      <c r="Q1179">
        <v>6.4623529999999998E-2</v>
      </c>
      <c r="R1179">
        <v>-0.63659949999999998</v>
      </c>
      <c r="S1179">
        <v>1.3262480000000001</v>
      </c>
      <c r="T1179">
        <v>-0.43749519999999997</v>
      </c>
      <c r="U1179">
        <v>-3.1645509999999999</v>
      </c>
      <c r="V1179">
        <v>0.2197856</v>
      </c>
      <c r="W1179">
        <v>7.5825619999999996E-2</v>
      </c>
      <c r="X1179">
        <v>0.97259689999999999</v>
      </c>
      <c r="Y1179">
        <v>0.64557889999999996</v>
      </c>
      <c r="Z1179">
        <v>1.6089050000000001E-2</v>
      </c>
      <c r="AA1179">
        <v>0.76352410000000004</v>
      </c>
      <c r="AB1179">
        <v>14</v>
      </c>
      <c r="AC1179">
        <v>3.2857999999999898</v>
      </c>
      <c r="AD1179">
        <v>-1.108186892465</v>
      </c>
      <c r="AE1179">
        <v>-7.9744000000000002</v>
      </c>
      <c r="AF1179">
        <v>5.5292496532246096</v>
      </c>
      <c r="AG1179">
        <v>-1.108186892465</v>
      </c>
      <c r="AH1179">
        <v>6.4357043793575599</v>
      </c>
      <c r="AI1179">
        <v>97.441241759517695</v>
      </c>
      <c r="AJ1179">
        <v>49.332403565145597</v>
      </c>
      <c r="AK1179">
        <v>8.5568084456062099</v>
      </c>
      <c r="AL1179">
        <v>85.651337986034406</v>
      </c>
      <c r="AM1179">
        <v>77.266287035519596</v>
      </c>
      <c r="AN1179">
        <v>0.99999998225267706</v>
      </c>
    </row>
    <row r="1180" spans="1:40" x14ac:dyDescent="0.25">
      <c r="A1180" t="str">
        <f>"20190312151247116"</f>
        <v>20190312151247116</v>
      </c>
      <c r="B1180" t="str">
        <f>"1552374767111062"</f>
        <v>1552374767111062</v>
      </c>
      <c r="C1180" t="s">
        <v>40</v>
      </c>
      <c r="D1180">
        <v>4.622884</v>
      </c>
      <c r="E1180">
        <v>0.69829519999999901</v>
      </c>
      <c r="F1180" t="s">
        <v>51</v>
      </c>
      <c r="G1180">
        <v>-197.2131</v>
      </c>
      <c r="H1180" s="1">
        <v>-3.8267439999999997E-6</v>
      </c>
      <c r="I1180">
        <v>353.14819999999997</v>
      </c>
      <c r="J1180">
        <v>-201.12610000000001</v>
      </c>
      <c r="K1180">
        <v>1.1081259999999999</v>
      </c>
      <c r="L1180">
        <v>362.87740000000002</v>
      </c>
      <c r="M1180">
        <v>0.88893699999999998</v>
      </c>
      <c r="N1180">
        <v>0</v>
      </c>
      <c r="O1180">
        <v>-0.45785890000000001</v>
      </c>
      <c r="P1180">
        <v>0.76517570000000001</v>
      </c>
      <c r="Q1180">
        <v>6.4427219999999993E-2</v>
      </c>
      <c r="R1180">
        <v>-0.64058939999999998</v>
      </c>
      <c r="S1180">
        <v>1.3046260000000001</v>
      </c>
      <c r="T1180">
        <v>-0.35916160000000003</v>
      </c>
      <c r="U1180">
        <v>-3.1740719999999998</v>
      </c>
      <c r="V1180">
        <v>0.21953139999999999</v>
      </c>
      <c r="W1180">
        <v>7.53939E-2</v>
      </c>
      <c r="X1180">
        <v>0.97268790000000005</v>
      </c>
      <c r="Y1180">
        <v>0.6471713</v>
      </c>
      <c r="Z1180">
        <v>1.371638E-2</v>
      </c>
      <c r="AA1180">
        <v>0.76222119999999904</v>
      </c>
      <c r="AB1180">
        <v>14</v>
      </c>
      <c r="AC1180">
        <v>3.91300000000001</v>
      </c>
      <c r="AD1180">
        <v>-1.1081298267439901</v>
      </c>
      <c r="AE1180">
        <v>-9.7292000000000396</v>
      </c>
      <c r="AF1180">
        <v>6.7818511593805804</v>
      </c>
      <c r="AG1180">
        <v>-1.1081298267439901</v>
      </c>
      <c r="AH1180">
        <v>7.8460196464362397</v>
      </c>
      <c r="AI1180">
        <v>96.098966760167002</v>
      </c>
      <c r="AJ1180">
        <v>49.160902106211701</v>
      </c>
      <c r="AK1180">
        <v>10.42983610385</v>
      </c>
      <c r="AL1180">
        <v>85.676144864669197</v>
      </c>
      <c r="AM1180">
        <v>77.281686488599703</v>
      </c>
      <c r="AN1180">
        <v>1.0000000132747899</v>
      </c>
    </row>
    <row r="1181" spans="1:40" x14ac:dyDescent="0.25">
      <c r="A1181" t="str">
        <f>"20190312151247138"</f>
        <v>20190312151247138</v>
      </c>
      <c r="B1181" t="str">
        <f>"1552374767130754"</f>
        <v>1552374767130754</v>
      </c>
      <c r="C1181" t="s">
        <v>40</v>
      </c>
      <c r="D1181">
        <v>4.8300809999999998</v>
      </c>
      <c r="E1181">
        <v>0.697945699999999</v>
      </c>
      <c r="F1181" t="s">
        <v>51</v>
      </c>
      <c r="G1181">
        <v>-197.31649999999999</v>
      </c>
      <c r="H1181" s="1">
        <v>-4.0142380000000002E-6</v>
      </c>
      <c r="I1181">
        <v>353.47519999999997</v>
      </c>
      <c r="J1181">
        <v>-201.00890000000001</v>
      </c>
      <c r="K1181">
        <v>1.1080700000000001</v>
      </c>
      <c r="L1181">
        <v>362.80939999999998</v>
      </c>
      <c r="M1181">
        <v>0.88630279999999995</v>
      </c>
      <c r="N1181">
        <v>0</v>
      </c>
      <c r="O1181">
        <v>-0.46294419999999997</v>
      </c>
      <c r="P1181">
        <v>0.76133660000000003</v>
      </c>
      <c r="Q1181">
        <v>6.4396659999999994E-2</v>
      </c>
      <c r="R1181">
        <v>-0.64515129999999998</v>
      </c>
      <c r="S1181">
        <v>1.288956</v>
      </c>
      <c r="T1181">
        <v>-0.37493559999999998</v>
      </c>
      <c r="U1181">
        <v>-3.181244</v>
      </c>
      <c r="V1181">
        <v>0.21977430000000001</v>
      </c>
      <c r="W1181">
        <v>7.5111460000000005E-2</v>
      </c>
      <c r="X1181">
        <v>0.97265489999999999</v>
      </c>
      <c r="Y1181">
        <v>0.64656519999999995</v>
      </c>
      <c r="Z1181">
        <v>1.5014370000000001E-2</v>
      </c>
      <c r="AA1181">
        <v>0.76271089999999997</v>
      </c>
      <c r="AB1181">
        <v>14</v>
      </c>
      <c r="AC1181">
        <v>3.6924000000000201</v>
      </c>
      <c r="AD1181">
        <v>-1.1080740142379999</v>
      </c>
      <c r="AE1181">
        <v>-9.3342000000000098</v>
      </c>
      <c r="AF1181">
        <v>6.4850213448906899</v>
      </c>
      <c r="AG1181">
        <v>-1.1080740142379999</v>
      </c>
      <c r="AH1181">
        <v>7.5029405181993098</v>
      </c>
      <c r="AI1181">
        <v>96.375400557745905</v>
      </c>
      <c r="AJ1181">
        <v>49.1621393838087</v>
      </c>
      <c r="AK1181">
        <v>9.97884994798269</v>
      </c>
      <c r="AL1181">
        <v>85.692373505800603</v>
      </c>
      <c r="AM1181">
        <v>77.267654908466</v>
      </c>
      <c r="AN1181">
        <v>1.0000000144289101</v>
      </c>
    </row>
    <row r="1182" spans="1:40" x14ac:dyDescent="0.25">
      <c r="A1182" t="str">
        <f>"20190312151247152"</f>
        <v>20190312151247152</v>
      </c>
      <c r="B1182" t="str">
        <f>"1552374767140514"</f>
        <v>1552374767140514</v>
      </c>
      <c r="C1182" t="s">
        <v>40</v>
      </c>
      <c r="D1182">
        <v>4.5705799999999996</v>
      </c>
      <c r="E1182">
        <v>0.69751790000000002</v>
      </c>
      <c r="F1182" t="s">
        <v>51</v>
      </c>
      <c r="G1182">
        <v>-197.6902</v>
      </c>
      <c r="H1182" s="1">
        <v>-4.6066949999999999E-6</v>
      </c>
      <c r="I1182">
        <v>354.48779999999999</v>
      </c>
      <c r="J1182">
        <v>-200.93469999999999</v>
      </c>
      <c r="K1182">
        <v>1.1080399999999999</v>
      </c>
      <c r="L1182">
        <v>362.76600000000002</v>
      </c>
      <c r="M1182">
        <v>0.88460879999999997</v>
      </c>
      <c r="N1182">
        <v>0</v>
      </c>
      <c r="O1182">
        <v>-0.46617690000000001</v>
      </c>
      <c r="P1182">
        <v>0.75896450000000004</v>
      </c>
      <c r="Q1182">
        <v>6.4537699999999906E-2</v>
      </c>
      <c r="R1182">
        <v>-0.64792539999999998</v>
      </c>
      <c r="S1182">
        <v>1.2725070000000001</v>
      </c>
      <c r="T1182">
        <v>-0.4248767</v>
      </c>
      <c r="U1182">
        <v>-3.1908259999999999</v>
      </c>
      <c r="V1182">
        <v>0.2197819</v>
      </c>
      <c r="W1182">
        <v>7.5096250000000003E-2</v>
      </c>
      <c r="X1182">
        <v>0.97265429999999997</v>
      </c>
      <c r="Y1182">
        <v>0.64767180000000002</v>
      </c>
      <c r="Z1182">
        <v>1.7370400000000001E-2</v>
      </c>
      <c r="AA1182">
        <v>0.76172139999999999</v>
      </c>
      <c r="AB1182">
        <v>14</v>
      </c>
      <c r="AC1182">
        <v>3.24449999999998</v>
      </c>
      <c r="AD1182">
        <v>-1.1080446066949901</v>
      </c>
      <c r="AE1182">
        <v>-8.2781999999999698</v>
      </c>
      <c r="AF1182">
        <v>5.72201758568686</v>
      </c>
      <c r="AG1182">
        <v>-1.1080446066949901</v>
      </c>
      <c r="AH1182">
        <v>6.6267945192024298</v>
      </c>
      <c r="AI1182">
        <v>97.212808674267507</v>
      </c>
      <c r="AJ1182">
        <v>49.190478705813703</v>
      </c>
      <c r="AK1182">
        <v>8.8251715961258697</v>
      </c>
      <c r="AL1182">
        <v>85.693247202894199</v>
      </c>
      <c r="AM1182">
        <v>77.267221367185002</v>
      </c>
      <c r="AN1182">
        <v>0.99999995882007997</v>
      </c>
    </row>
    <row r="1183" spans="1:40" x14ac:dyDescent="0.25">
      <c r="A1183" t="str">
        <f>"20190312151247171"</f>
        <v>20190312151247171</v>
      </c>
      <c r="B1183" t="str">
        <f>"1552374767161010"</f>
        <v>1552374767161010</v>
      </c>
      <c r="C1183" t="s">
        <v>40</v>
      </c>
      <c r="D1183">
        <v>4.6181960000000002</v>
      </c>
      <c r="E1183">
        <v>0.69730170000000002</v>
      </c>
      <c r="F1183" t="s">
        <v>51</v>
      </c>
      <c r="G1183">
        <v>-197.7064</v>
      </c>
      <c r="H1183" s="1">
        <v>-4.6684400000000003E-6</v>
      </c>
      <c r="I1183">
        <v>354.60359999999997</v>
      </c>
      <c r="J1183">
        <v>-200.82730000000001</v>
      </c>
      <c r="K1183">
        <v>1.108007</v>
      </c>
      <c r="L1183">
        <v>362.70229999999998</v>
      </c>
      <c r="M1183">
        <v>0.88212590000000002</v>
      </c>
      <c r="N1183">
        <v>0</v>
      </c>
      <c r="O1183">
        <v>-0.47086410000000001</v>
      </c>
      <c r="P1183">
        <v>0.75545689999999999</v>
      </c>
      <c r="Q1183">
        <v>6.4564590000000005E-2</v>
      </c>
      <c r="R1183">
        <v>-0.65200950000000002</v>
      </c>
      <c r="S1183">
        <v>1.2631380000000001</v>
      </c>
      <c r="T1183">
        <v>-0.43355169999999998</v>
      </c>
      <c r="U1183">
        <v>-3.1937259999999998</v>
      </c>
      <c r="V1183">
        <v>0.2198707</v>
      </c>
      <c r="W1183">
        <v>7.4902239999999995E-2</v>
      </c>
      <c r="X1183">
        <v>0.97264919999999999</v>
      </c>
      <c r="Y1183">
        <v>0.64578139999999995</v>
      </c>
      <c r="Z1183">
        <v>1.85852E-2</v>
      </c>
      <c r="AA1183">
        <v>0.76329609999999903</v>
      </c>
      <c r="AB1183">
        <v>14</v>
      </c>
      <c r="AC1183">
        <v>3.1208999999999998</v>
      </c>
      <c r="AD1183">
        <v>-1.1080116684400001</v>
      </c>
      <c r="AE1183">
        <v>-8.0986999999999991</v>
      </c>
      <c r="AF1183">
        <v>5.58394747783474</v>
      </c>
      <c r="AG1183">
        <v>-1.1080116684400001</v>
      </c>
      <c r="AH1183">
        <v>6.4615676623678402</v>
      </c>
      <c r="AI1183">
        <v>97.392437510218102</v>
      </c>
      <c r="AJ1183">
        <v>49.167130988242498</v>
      </c>
      <c r="AK1183">
        <v>8.611620982601</v>
      </c>
      <c r="AL1183">
        <v>85.704394593719201</v>
      </c>
      <c r="AM1183">
        <v>77.262180053827507</v>
      </c>
      <c r="AN1183">
        <v>0.99999996826807303</v>
      </c>
    </row>
    <row r="1184" spans="1:40" x14ac:dyDescent="0.25">
      <c r="A1184" t="str">
        <f>"20190312151247186"</f>
        <v>20190312151247186</v>
      </c>
      <c r="B1184" t="str">
        <f>"1552374767180530"</f>
        <v>1552374767180530</v>
      </c>
      <c r="C1184" t="s">
        <v>40</v>
      </c>
      <c r="D1184">
        <v>4.4673699999999998</v>
      </c>
      <c r="E1184">
        <v>0.69644680000000003</v>
      </c>
      <c r="F1184" t="s">
        <v>51</v>
      </c>
      <c r="G1184">
        <v>-197.84299999999999</v>
      </c>
      <c r="H1184" s="1">
        <v>-4.9019490000000003E-6</v>
      </c>
      <c r="I1184">
        <v>355.03989999999999</v>
      </c>
      <c r="J1184">
        <v>-200.7535</v>
      </c>
      <c r="K1184">
        <v>1.107977</v>
      </c>
      <c r="L1184">
        <v>362.6583</v>
      </c>
      <c r="M1184">
        <v>0.88039990000000001</v>
      </c>
      <c r="N1184">
        <v>0</v>
      </c>
      <c r="O1184">
        <v>-0.47408689999999998</v>
      </c>
      <c r="P1184">
        <v>0.75292349999999997</v>
      </c>
      <c r="Q1184">
        <v>6.5076880000000004E-2</v>
      </c>
      <c r="R1184">
        <v>-0.65488230000000003</v>
      </c>
      <c r="S1184">
        <v>1.2470859999999999</v>
      </c>
      <c r="T1184">
        <v>-0.46302680000000002</v>
      </c>
      <c r="U1184">
        <v>-3.2020569999999999</v>
      </c>
      <c r="V1184">
        <v>0.2200442</v>
      </c>
      <c r="W1184">
        <v>7.5263140000000006E-2</v>
      </c>
      <c r="X1184">
        <v>0.97258219999999995</v>
      </c>
      <c r="Y1184">
        <v>0.6468062</v>
      </c>
      <c r="Z1184">
        <v>2.0252740000000002E-2</v>
      </c>
      <c r="AA1184">
        <v>0.76238549999999905</v>
      </c>
      <c r="AB1184">
        <v>14</v>
      </c>
      <c r="AC1184">
        <v>2.9105000000000101</v>
      </c>
      <c r="AD1184">
        <v>-1.107981901949</v>
      </c>
      <c r="AE1184">
        <v>-7.6184000000000003</v>
      </c>
      <c r="AF1184">
        <v>5.2312203317214401</v>
      </c>
      <c r="AG1184">
        <v>-1.107981901949</v>
      </c>
      <c r="AH1184">
        <v>6.0627102966122104</v>
      </c>
      <c r="AI1184">
        <v>97.877756379786504</v>
      </c>
      <c r="AJ1184">
        <v>49.210674750491798</v>
      </c>
      <c r="AK1184">
        <v>8.0839189873915807</v>
      </c>
      <c r="AL1184">
        <v>85.683658422770804</v>
      </c>
      <c r="AM1184">
        <v>77.251607479954401</v>
      </c>
      <c r="AN1184">
        <v>1.00000006297656</v>
      </c>
    </row>
    <row r="1185" spans="1:40" x14ac:dyDescent="0.25">
      <c r="A1185" t="str">
        <f>"20190312151247203"</f>
        <v>20190312151247203</v>
      </c>
      <c r="B1185" t="str">
        <f>"1552374767201027"</f>
        <v>1552374767201027</v>
      </c>
      <c r="C1185" t="s">
        <v>40</v>
      </c>
      <c r="D1185">
        <v>4.4121680000000003</v>
      </c>
      <c r="E1185">
        <v>0.69575100000000001</v>
      </c>
      <c r="F1185" t="s">
        <v>51</v>
      </c>
      <c r="G1185">
        <v>-197.80850000000001</v>
      </c>
      <c r="H1185" s="1">
        <v>-4.8997179999999999E-6</v>
      </c>
      <c r="I1185">
        <v>355.05149999999998</v>
      </c>
      <c r="J1185">
        <v>-200.65199999999999</v>
      </c>
      <c r="K1185">
        <v>1.1079479999999999</v>
      </c>
      <c r="L1185">
        <v>362.59690000000001</v>
      </c>
      <c r="M1185">
        <v>0.87799259999999901</v>
      </c>
      <c r="N1185">
        <v>0</v>
      </c>
      <c r="O1185">
        <v>-0.47853590000000001</v>
      </c>
      <c r="P1185">
        <v>0.74967839999999997</v>
      </c>
      <c r="Q1185">
        <v>6.5103099999999997E-2</v>
      </c>
      <c r="R1185">
        <v>-0.65859250000000003</v>
      </c>
      <c r="S1185">
        <v>1.2397</v>
      </c>
      <c r="T1185">
        <v>-0.46639609999999898</v>
      </c>
      <c r="U1185">
        <v>-3.2019959999999998</v>
      </c>
      <c r="V1185">
        <v>0.21992890000000001</v>
      </c>
      <c r="W1185">
        <v>7.508389E-2</v>
      </c>
      <c r="X1185">
        <v>0.97262210000000004</v>
      </c>
      <c r="Y1185">
        <v>0.64449239999999997</v>
      </c>
      <c r="Z1185">
        <v>2.1338389999999999E-2</v>
      </c>
      <c r="AA1185">
        <v>0.76431289999999996</v>
      </c>
      <c r="AB1185">
        <v>14</v>
      </c>
      <c r="AC1185">
        <v>2.8435000000000001</v>
      </c>
      <c r="AD1185">
        <v>-1.1079528997179999</v>
      </c>
      <c r="AE1185">
        <v>-7.5454000000000203</v>
      </c>
      <c r="AF1185">
        <v>5.1668854748305604</v>
      </c>
      <c r="AG1185">
        <v>-1.1079528997179999</v>
      </c>
      <c r="AH1185">
        <v>5.9945432052276102</v>
      </c>
      <c r="AI1185">
        <v>97.969568911959001</v>
      </c>
      <c r="AJ1185">
        <v>49.240914219225303</v>
      </c>
      <c r="AK1185">
        <v>7.9911709640921202</v>
      </c>
      <c r="AL1185">
        <v>85.693957693014397</v>
      </c>
      <c r="AM1185">
        <v>77.258574972288699</v>
      </c>
      <c r="AN1185">
        <v>1.0000000305005701</v>
      </c>
    </row>
    <row r="1186" spans="1:40" x14ac:dyDescent="0.25">
      <c r="A1186" t="str">
        <f>"20190312151247228"</f>
        <v>20190312151247228</v>
      </c>
      <c r="B1186" t="str">
        <f>"1552374767221051"</f>
        <v>1552374767221051</v>
      </c>
      <c r="C1186" t="s">
        <v>40</v>
      </c>
      <c r="D1186">
        <v>4.4736729999999998</v>
      </c>
      <c r="E1186">
        <v>0.69585459999999999</v>
      </c>
      <c r="F1186" t="s">
        <v>51</v>
      </c>
      <c r="G1186">
        <v>-197.68440000000001</v>
      </c>
      <c r="H1186" s="1">
        <v>-4.7787539999999999E-6</v>
      </c>
      <c r="I1186">
        <v>354.85090000000002</v>
      </c>
      <c r="J1186">
        <v>-200.5258</v>
      </c>
      <c r="K1186">
        <v>1.1079000000000001</v>
      </c>
      <c r="L1186">
        <v>362.51960000000003</v>
      </c>
      <c r="M1186">
        <v>0.8749536</v>
      </c>
      <c r="N1186">
        <v>0</v>
      </c>
      <c r="O1186">
        <v>-0.48407610000000001</v>
      </c>
      <c r="P1186">
        <v>0.74562379999999995</v>
      </c>
      <c r="Q1186">
        <v>6.4930920000000003E-2</v>
      </c>
      <c r="R1186">
        <v>-0.66319669999999997</v>
      </c>
      <c r="S1186">
        <v>1.2272639999999999</v>
      </c>
      <c r="T1186">
        <v>-0.4582099</v>
      </c>
      <c r="U1186">
        <v>-3.2034609999999999</v>
      </c>
      <c r="V1186">
        <v>0.21976479999999901</v>
      </c>
      <c r="W1186">
        <v>7.4650220000000003E-2</v>
      </c>
      <c r="X1186">
        <v>0.97269249999999996</v>
      </c>
      <c r="Y1186">
        <v>0.64246309999999995</v>
      </c>
      <c r="Z1186">
        <v>2.2043770000000001E-2</v>
      </c>
      <c r="AA1186">
        <v>0.7659994</v>
      </c>
      <c r="AB1186">
        <v>14</v>
      </c>
      <c r="AC1186">
        <v>2.8413999999999899</v>
      </c>
      <c r="AD1186">
        <v>-1.107904778754</v>
      </c>
      <c r="AE1186">
        <v>-7.6687000000000003</v>
      </c>
      <c r="AF1186">
        <v>5.2385013969417002</v>
      </c>
      <c r="AG1186">
        <v>-1.107904778754</v>
      </c>
      <c r="AH1186">
        <v>6.0870086452390098</v>
      </c>
      <c r="AI1186">
        <v>97.854781832293497</v>
      </c>
      <c r="AJ1186">
        <v>49.284595458945503</v>
      </c>
      <c r="AK1186">
        <v>8.1068504446400507</v>
      </c>
      <c r="AL1186">
        <v>85.718874785592305</v>
      </c>
      <c r="AM1186">
        <v>77.268663453754201</v>
      </c>
      <c r="AN1186">
        <v>0.99999996111066802</v>
      </c>
    </row>
    <row r="1187" spans="1:40" x14ac:dyDescent="0.25">
      <c r="A1187" t="str">
        <f>"20190312151247240"</f>
        <v>20190312151247240</v>
      </c>
      <c r="B1187" t="str">
        <f>"1552374767230812"</f>
        <v>1552374767230812</v>
      </c>
      <c r="C1187" t="s">
        <v>40</v>
      </c>
      <c r="D1187">
        <v>4.5182969999999996</v>
      </c>
      <c r="E1187">
        <v>0.69590739999999995</v>
      </c>
      <c r="F1187" t="s">
        <v>51</v>
      </c>
      <c r="G1187">
        <v>-197.4589</v>
      </c>
      <c r="H1187" s="1">
        <v>-4.4913170000000004E-6</v>
      </c>
      <c r="I1187">
        <v>354.36040000000003</v>
      </c>
      <c r="J1187">
        <v>-200.45249999999999</v>
      </c>
      <c r="K1187">
        <v>1.1078680000000001</v>
      </c>
      <c r="L1187">
        <v>362.4742</v>
      </c>
      <c r="M1187">
        <v>0.87316519999999997</v>
      </c>
      <c r="N1187">
        <v>0</v>
      </c>
      <c r="O1187">
        <v>-0.48729800000000001</v>
      </c>
      <c r="P1187">
        <v>0.74323139999999999</v>
      </c>
      <c r="Q1187">
        <v>6.4937969999999998E-2</v>
      </c>
      <c r="R1187">
        <v>-0.66587510000000005</v>
      </c>
      <c r="S1187">
        <v>1.2064820000000001</v>
      </c>
      <c r="T1187">
        <v>-0.4358436</v>
      </c>
      <c r="U1187">
        <v>-3.2097470000000001</v>
      </c>
      <c r="V1187">
        <v>0.21968199999999999</v>
      </c>
      <c r="W1187">
        <v>7.4496160000000006E-2</v>
      </c>
      <c r="X1187">
        <v>0.97272309999999995</v>
      </c>
      <c r="Y1187">
        <v>0.64461389999999996</v>
      </c>
      <c r="Z1187">
        <v>2.1300309999999999E-2</v>
      </c>
      <c r="AA1187">
        <v>0.76421149999999904</v>
      </c>
      <c r="AB1187">
        <v>14</v>
      </c>
      <c r="AC1187">
        <v>2.9935999999999798</v>
      </c>
      <c r="AD1187">
        <v>-1.1078724913169999</v>
      </c>
      <c r="AE1187">
        <v>-8.1137999999999693</v>
      </c>
      <c r="AF1187">
        <v>5.5354235815535997</v>
      </c>
      <c r="AG1187">
        <v>-1.1078724913169999</v>
      </c>
      <c r="AH1187">
        <v>6.4621081894014196</v>
      </c>
      <c r="AI1187">
        <v>97.418353550969698</v>
      </c>
      <c r="AJ1187">
        <v>49.416733926418203</v>
      </c>
      <c r="AK1187">
        <v>8.5806257310155107</v>
      </c>
      <c r="AL1187">
        <v>85.727726776058802</v>
      </c>
      <c r="AM1187">
        <v>77.273691258307593</v>
      </c>
      <c r="AN1187">
        <v>1.0000000441261701</v>
      </c>
    </row>
    <row r="1188" spans="1:40" x14ac:dyDescent="0.25">
      <c r="A1188" t="str">
        <f>"20190312151247261"</f>
        <v>20190312151247261</v>
      </c>
      <c r="B1188" t="str">
        <f>"1552374767251312"</f>
        <v>1552374767251312</v>
      </c>
      <c r="C1188" t="s">
        <v>40</v>
      </c>
      <c r="D1188">
        <v>4.6761339999999896</v>
      </c>
      <c r="E1188">
        <v>0.69586429999999999</v>
      </c>
      <c r="F1188" t="s">
        <v>51</v>
      </c>
      <c r="G1188">
        <v>-197.3546</v>
      </c>
      <c r="H1188" s="1">
        <v>-4.3575089999999998E-6</v>
      </c>
      <c r="I1188">
        <v>354.14049999999997</v>
      </c>
      <c r="J1188">
        <v>-200.3449</v>
      </c>
      <c r="K1188">
        <v>1.1078209999999999</v>
      </c>
      <c r="L1188">
        <v>362.40690000000001</v>
      </c>
      <c r="M1188">
        <v>0.8705079</v>
      </c>
      <c r="N1188">
        <v>0</v>
      </c>
      <c r="O1188">
        <v>-0.49203479999999999</v>
      </c>
      <c r="P1188">
        <v>0.73963699999999999</v>
      </c>
      <c r="Q1188">
        <v>6.4823210000000006E-2</v>
      </c>
      <c r="R1188">
        <v>-0.6698771</v>
      </c>
      <c r="S1188">
        <v>1.1945950000000001</v>
      </c>
      <c r="T1188">
        <v>-0.42721530000000002</v>
      </c>
      <c r="U1188">
        <v>-3.2136230000000001</v>
      </c>
      <c r="V1188">
        <v>0.2196449</v>
      </c>
      <c r="W1188">
        <v>7.4135240000000005E-2</v>
      </c>
      <c r="X1188">
        <v>0.97275900000000004</v>
      </c>
      <c r="Y1188">
        <v>0.64333030000000002</v>
      </c>
      <c r="Z1188">
        <v>2.169548E-2</v>
      </c>
      <c r="AA1188">
        <v>0.76528119999999999</v>
      </c>
      <c r="AB1188">
        <v>14</v>
      </c>
      <c r="AC1188">
        <v>2.9902999999999902</v>
      </c>
      <c r="AD1188">
        <v>-1.107825357509</v>
      </c>
      <c r="AE1188">
        <v>-8.2664000000000293</v>
      </c>
      <c r="AF1188">
        <v>5.6354700144833503</v>
      </c>
      <c r="AG1188">
        <v>-1.107825357509</v>
      </c>
      <c r="AH1188">
        <v>6.5665399582361603</v>
      </c>
      <c r="AI1188">
        <v>97.295597104793401</v>
      </c>
      <c r="AJ1188">
        <v>49.363478141125803</v>
      </c>
      <c r="AK1188">
        <v>8.7238320897409007</v>
      </c>
      <c r="AL1188">
        <v>85.748463095850099</v>
      </c>
      <c r="AM1188">
        <v>77.276224810260103</v>
      </c>
      <c r="AN1188">
        <v>0.99999999399343298</v>
      </c>
    </row>
    <row r="1189" spans="1:40" x14ac:dyDescent="0.25">
      <c r="A1189" t="str">
        <f>"20190312151247283"</f>
        <v>20190312151247283</v>
      </c>
      <c r="B1189" t="str">
        <f>"1552374767280588"</f>
        <v>1552374767280588</v>
      </c>
      <c r="C1189" t="s">
        <v>40</v>
      </c>
      <c r="D1189">
        <v>4.4857180000000003</v>
      </c>
      <c r="E1189">
        <v>0.69540069999999998</v>
      </c>
      <c r="F1189" t="s">
        <v>51</v>
      </c>
      <c r="G1189">
        <v>-197.18049999999999</v>
      </c>
      <c r="H1189" s="1">
        <v>-4.1279139999999999E-6</v>
      </c>
      <c r="I1189">
        <v>353.76100000000002</v>
      </c>
      <c r="J1189">
        <v>-200.2261</v>
      </c>
      <c r="K1189">
        <v>1.1077520000000001</v>
      </c>
      <c r="L1189">
        <v>362.33170000000001</v>
      </c>
      <c r="M1189">
        <v>0.8675292</v>
      </c>
      <c r="N1189">
        <v>0</v>
      </c>
      <c r="O1189">
        <v>-0.49727399999999999</v>
      </c>
      <c r="P1189">
        <v>0.735128</v>
      </c>
      <c r="Q1189">
        <v>6.5227140000000003E-2</v>
      </c>
      <c r="R1189">
        <v>-0.67478319999999903</v>
      </c>
      <c r="S1189">
        <v>1.1777500000000001</v>
      </c>
      <c r="T1189">
        <v>-0.41232170000000001</v>
      </c>
      <c r="U1189">
        <v>-3.2179259999999998</v>
      </c>
      <c r="V1189">
        <v>0.22027730000000001</v>
      </c>
      <c r="W1189">
        <v>7.424414E-2</v>
      </c>
      <c r="X1189">
        <v>0.97260769999999996</v>
      </c>
      <c r="Y1189">
        <v>0.6426904</v>
      </c>
      <c r="Z1189">
        <v>2.1762509999999999E-2</v>
      </c>
      <c r="AA1189">
        <v>0.76581690000000002</v>
      </c>
      <c r="AB1189">
        <v>14</v>
      </c>
      <c r="AC1189">
        <v>3.0455999999999999</v>
      </c>
      <c r="AD1189">
        <v>-1.107756127914</v>
      </c>
      <c r="AE1189">
        <v>-8.5707000000000395</v>
      </c>
      <c r="AF1189">
        <v>5.8346238543592603</v>
      </c>
      <c r="AG1189">
        <v>-1.107756127914</v>
      </c>
      <c r="AH1189">
        <v>6.8036048135341298</v>
      </c>
      <c r="AI1189">
        <v>97.045729511793297</v>
      </c>
      <c r="AJ1189">
        <v>49.384326040751297</v>
      </c>
      <c r="AK1189">
        <v>9.0310020274349405</v>
      </c>
      <c r="AL1189">
        <v>85.742206409557895</v>
      </c>
      <c r="AM1189">
        <v>77.238868319778106</v>
      </c>
      <c r="AN1189">
        <v>1.0000000096594499</v>
      </c>
    </row>
    <row r="1190" spans="1:40" x14ac:dyDescent="0.25">
      <c r="A1190" t="str">
        <f>"20190312151247307"</f>
        <v>20190312151247307</v>
      </c>
      <c r="B1190" t="str">
        <f>"1552374767301084"</f>
        <v>1552374767301084</v>
      </c>
      <c r="C1190" t="s">
        <v>40</v>
      </c>
      <c r="D1190">
        <v>4.5825589999999998</v>
      </c>
      <c r="E1190">
        <v>0.69492739999999997</v>
      </c>
      <c r="F1190" t="s">
        <v>51</v>
      </c>
      <c r="G1190">
        <v>-197.02199999999999</v>
      </c>
      <c r="H1190" s="1">
        <v>-3.9258370000000001E-6</v>
      </c>
      <c r="I1190">
        <v>353.42930000000001</v>
      </c>
      <c r="J1190">
        <v>-200.09909999999999</v>
      </c>
      <c r="K1190">
        <v>1.107674</v>
      </c>
      <c r="L1190">
        <v>362.25020000000001</v>
      </c>
      <c r="M1190">
        <v>0.86428930000000004</v>
      </c>
      <c r="N1190">
        <v>0</v>
      </c>
      <c r="O1190">
        <v>-0.50289119999999998</v>
      </c>
      <c r="P1190">
        <v>0.73095209999999999</v>
      </c>
      <c r="Q1190">
        <v>6.4105339999999997E-2</v>
      </c>
      <c r="R1190">
        <v>-0.6794116</v>
      </c>
      <c r="S1190">
        <v>1.159454</v>
      </c>
      <c r="T1190">
        <v>-0.40085959999999998</v>
      </c>
      <c r="U1190">
        <v>-3.2214969999999998</v>
      </c>
      <c r="V1190">
        <v>0.220058</v>
      </c>
      <c r="W1190">
        <v>7.2781830000000006E-2</v>
      </c>
      <c r="X1190">
        <v>0.97276779999999996</v>
      </c>
      <c r="Y1190">
        <v>0.64192990000000005</v>
      </c>
      <c r="Z1190">
        <v>2.2028349999999999E-2</v>
      </c>
      <c r="AA1190">
        <v>0.76644690000000004</v>
      </c>
      <c r="AB1190">
        <v>14</v>
      </c>
      <c r="AC1190">
        <v>3.07709999999997</v>
      </c>
      <c r="AD1190">
        <v>-1.107677925837</v>
      </c>
      <c r="AE1190">
        <v>-8.8208999999999893</v>
      </c>
      <c r="AF1190">
        <v>5.99243775703229</v>
      </c>
      <c r="AG1190">
        <v>-1.107677925837</v>
      </c>
      <c r="AH1190">
        <v>6.9974568912974302</v>
      </c>
      <c r="AI1190">
        <v>96.855983742421699</v>
      </c>
      <c r="AJ1190">
        <v>49.424121135852403</v>
      </c>
      <c r="AK1190">
        <v>9.2790443260531301</v>
      </c>
      <c r="AL1190">
        <v>85.826217694273296</v>
      </c>
      <c r="AM1190">
        <v>77.253187105966305</v>
      </c>
      <c r="AN1190">
        <v>0.99999995542949305</v>
      </c>
    </row>
    <row r="1191" spans="1:40" x14ac:dyDescent="0.25">
      <c r="A1191" t="str">
        <f>"20190312151247328"</f>
        <v>20190312151247328</v>
      </c>
      <c r="B1191" t="str">
        <f>"1552374767320604"</f>
        <v>1552374767320604</v>
      </c>
      <c r="C1191" t="s">
        <v>40</v>
      </c>
      <c r="D1191">
        <v>4.7719569999999996</v>
      </c>
      <c r="E1191">
        <v>0.694716</v>
      </c>
      <c r="F1191" t="s">
        <v>51</v>
      </c>
      <c r="G1191">
        <v>-197.04589999999999</v>
      </c>
      <c r="H1191" s="1">
        <v>-4.0293319999999997E-6</v>
      </c>
      <c r="I1191">
        <v>353.62439999999998</v>
      </c>
      <c r="J1191">
        <v>-199.98099999999999</v>
      </c>
      <c r="K1191">
        <v>1.1075889999999999</v>
      </c>
      <c r="L1191">
        <v>362.17329999999998</v>
      </c>
      <c r="M1191">
        <v>0.86122670000000001</v>
      </c>
      <c r="N1191">
        <v>0</v>
      </c>
      <c r="O1191">
        <v>-0.50812489999999999</v>
      </c>
      <c r="P1191">
        <v>0.72719719999999999</v>
      </c>
      <c r="Q1191">
        <v>6.4035439999999999E-2</v>
      </c>
      <c r="R1191">
        <v>-0.68343540000000003</v>
      </c>
      <c r="S1191">
        <v>1.1419220000000001</v>
      </c>
      <c r="T1191">
        <v>-0.41428389999999998</v>
      </c>
      <c r="U1191">
        <v>-3.2261350000000002</v>
      </c>
      <c r="V1191">
        <v>0.2195278</v>
      </c>
      <c r="W1191">
        <v>7.2365219999999994E-2</v>
      </c>
      <c r="X1191">
        <v>0.97291870000000003</v>
      </c>
      <c r="Y1191">
        <v>0.64128609999999997</v>
      </c>
      <c r="Z1191">
        <v>2.3583710000000001E-2</v>
      </c>
      <c r="AA1191">
        <v>0.76693940000000005</v>
      </c>
      <c r="AB1191">
        <v>14</v>
      </c>
      <c r="AC1191">
        <v>2.9350999999999998</v>
      </c>
      <c r="AD1191">
        <v>-1.107593029332</v>
      </c>
      <c r="AE1191">
        <v>-8.5488999999999997</v>
      </c>
      <c r="AF1191">
        <v>5.7845707149361596</v>
      </c>
      <c r="AG1191">
        <v>-1.107593029332</v>
      </c>
      <c r="AH1191">
        <v>6.7703690005050099</v>
      </c>
      <c r="AI1191">
        <v>97.089962195062697</v>
      </c>
      <c r="AJ1191">
        <v>49.489582238135398</v>
      </c>
      <c r="AK1191">
        <v>8.9736234085079101</v>
      </c>
      <c r="AL1191">
        <v>85.850150937428893</v>
      </c>
      <c r="AM1191">
        <v>77.284807214421704</v>
      </c>
      <c r="AN1191">
        <v>0.99999998842408899</v>
      </c>
    </row>
    <row r="1192" spans="1:40" x14ac:dyDescent="0.25">
      <c r="A1192" t="str">
        <f>"20190312151247350"</f>
        <v>20190312151247350</v>
      </c>
      <c r="B1192" t="str">
        <f>"1552374767341100"</f>
        <v>1552374767341100</v>
      </c>
      <c r="C1192" t="s">
        <v>40</v>
      </c>
      <c r="D1192">
        <v>4.5498859999999999</v>
      </c>
      <c r="E1192">
        <v>0.69424980000000003</v>
      </c>
      <c r="F1192" t="s">
        <v>51</v>
      </c>
      <c r="G1192">
        <v>-197.08</v>
      </c>
      <c r="H1192" s="1">
        <v>-4.1455289999999997E-6</v>
      </c>
      <c r="I1192">
        <v>353.84030000000001</v>
      </c>
      <c r="J1192">
        <v>-199.85849999999999</v>
      </c>
      <c r="K1192">
        <v>1.107497</v>
      </c>
      <c r="L1192">
        <v>362.09249999999997</v>
      </c>
      <c r="M1192">
        <v>0.85800259999999995</v>
      </c>
      <c r="N1192">
        <v>0</v>
      </c>
      <c r="O1192">
        <v>-0.51355729999999999</v>
      </c>
      <c r="P1192">
        <v>0.72275369999999906</v>
      </c>
      <c r="Q1192">
        <v>6.4385600000000001E-2</v>
      </c>
      <c r="R1192">
        <v>-0.6881003</v>
      </c>
      <c r="S1192">
        <v>1.1253359999999999</v>
      </c>
      <c r="T1192">
        <v>-0.42965049999999999</v>
      </c>
      <c r="U1192">
        <v>-3.2324830000000002</v>
      </c>
      <c r="V1192">
        <v>0.21966369999999999</v>
      </c>
      <c r="W1192">
        <v>7.2339529999999999E-2</v>
      </c>
      <c r="X1192">
        <v>0.97289000000000003</v>
      </c>
      <c r="Y1192">
        <v>0.64037180000000005</v>
      </c>
      <c r="Z1192">
        <v>2.5343569999999999E-2</v>
      </c>
      <c r="AA1192">
        <v>0.76764679999999996</v>
      </c>
      <c r="AB1192">
        <v>14</v>
      </c>
      <c r="AC1192">
        <v>2.7784999999999802</v>
      </c>
      <c r="AD1192">
        <v>-1.107501145529</v>
      </c>
      <c r="AE1192">
        <v>-8.2521999999999593</v>
      </c>
      <c r="AF1192">
        <v>5.56373845004474</v>
      </c>
      <c r="AG1192">
        <v>-1.107501145529</v>
      </c>
      <c r="AH1192">
        <v>6.5168115937172297</v>
      </c>
      <c r="AI1192">
        <v>97.364559105426693</v>
      </c>
      <c r="AJ1192">
        <v>49.510903542542003</v>
      </c>
      <c r="AK1192">
        <v>8.6400565782789691</v>
      </c>
      <c r="AL1192">
        <v>85.851626991434699</v>
      </c>
      <c r="AM1192">
        <v>77.276828831878305</v>
      </c>
      <c r="AN1192">
        <v>1.00000005039915</v>
      </c>
    </row>
    <row r="1193" spans="1:40" x14ac:dyDescent="0.25">
      <c r="A1193" t="str">
        <f>"20190312151247373"</f>
        <v>20190312151247373</v>
      </c>
      <c r="B1193" t="str">
        <f>"1552374767371356"</f>
        <v>1552374767371356</v>
      </c>
      <c r="C1193" t="s">
        <v>40</v>
      </c>
      <c r="D1193">
        <v>4.5477809999999996</v>
      </c>
      <c r="E1193">
        <v>0.69328080000000003</v>
      </c>
      <c r="F1193" t="s">
        <v>51</v>
      </c>
      <c r="G1193">
        <v>-197.0309</v>
      </c>
      <c r="H1193" s="1">
        <v>-4.130045E-6</v>
      </c>
      <c r="I1193">
        <v>353.83109999999999</v>
      </c>
      <c r="J1193">
        <v>-199.73519999999999</v>
      </c>
      <c r="K1193">
        <v>1.10741</v>
      </c>
      <c r="L1193">
        <v>362.01</v>
      </c>
      <c r="M1193">
        <v>0.85471019999999898</v>
      </c>
      <c r="N1193">
        <v>0</v>
      </c>
      <c r="O1193">
        <v>-0.51902479999999995</v>
      </c>
      <c r="P1193">
        <v>0.71808640000000001</v>
      </c>
      <c r="Q1193">
        <v>6.4808439999999995E-2</v>
      </c>
      <c r="R1193">
        <v>-0.69293000000000005</v>
      </c>
      <c r="S1193">
        <v>1.107864</v>
      </c>
      <c r="T1193">
        <v>-0.43391930000000001</v>
      </c>
      <c r="U1193">
        <v>-3.2367859999999999</v>
      </c>
      <c r="V1193">
        <v>0.220003</v>
      </c>
      <c r="W1193">
        <v>7.2381390000000004E-2</v>
      </c>
      <c r="X1193">
        <v>0.97281010000000001</v>
      </c>
      <c r="Y1193">
        <v>0.63950119999999999</v>
      </c>
      <c r="Z1193">
        <v>2.6513999999999999E-2</v>
      </c>
      <c r="AA1193">
        <v>0.76833280000000004</v>
      </c>
      <c r="AB1193">
        <v>14</v>
      </c>
      <c r="AC1193">
        <v>2.7042999999999799</v>
      </c>
      <c r="AD1193">
        <v>-1.107414130045</v>
      </c>
      <c r="AE1193">
        <v>-8.1788999999999898</v>
      </c>
      <c r="AF1193">
        <v>5.4963902788831804</v>
      </c>
      <c r="AG1193">
        <v>-1.107414130045</v>
      </c>
      <c r="AH1193">
        <v>6.4501235786409703</v>
      </c>
      <c r="AI1193">
        <v>97.445140477929598</v>
      </c>
      <c r="AJ1193">
        <v>49.564448180618697</v>
      </c>
      <c r="AK1193">
        <v>8.5463890815340893</v>
      </c>
      <c r="AL1193">
        <v>85.8492218196415</v>
      </c>
      <c r="AM1193">
        <v>77.256804952652502</v>
      </c>
      <c r="AN1193">
        <v>0.99999993814466903</v>
      </c>
    </row>
    <row r="1194" spans="1:40" x14ac:dyDescent="0.25">
      <c r="A1194" t="str">
        <f>"20190312151247394"</f>
        <v>20190312151247394</v>
      </c>
      <c r="B1194" t="str">
        <f>"1552374767390876"</f>
        <v>1552374767390876</v>
      </c>
      <c r="C1194" t="s">
        <v>40</v>
      </c>
      <c r="D1194">
        <v>4.5587220000000004</v>
      </c>
      <c r="E1194">
        <v>0.69280889999999995</v>
      </c>
      <c r="F1194" t="s">
        <v>51</v>
      </c>
      <c r="G1194">
        <v>-196.96190000000001</v>
      </c>
      <c r="H1194" s="1">
        <v>-4.0903999999999998E-6</v>
      </c>
      <c r="I1194">
        <v>353.78280000000001</v>
      </c>
      <c r="J1194">
        <v>-199.61510000000001</v>
      </c>
      <c r="K1194">
        <v>1.107327</v>
      </c>
      <c r="L1194">
        <v>361.92860000000002</v>
      </c>
      <c r="M1194">
        <v>0.85145550000000003</v>
      </c>
      <c r="N1194">
        <v>0</v>
      </c>
      <c r="O1194">
        <v>-0.52435330000000002</v>
      </c>
      <c r="P1194">
        <v>0.71330079999999996</v>
      </c>
      <c r="Q1194">
        <v>6.5311560000000005E-2</v>
      </c>
      <c r="R1194">
        <v>-0.69780819999999999</v>
      </c>
      <c r="S1194">
        <v>1.091782</v>
      </c>
      <c r="T1194">
        <v>-0.43595210000000001</v>
      </c>
      <c r="U1194">
        <v>-3.2387999999999999</v>
      </c>
      <c r="V1194">
        <v>0.22059119999999999</v>
      </c>
      <c r="W1194">
        <v>7.2513129999999995E-2</v>
      </c>
      <c r="X1194">
        <v>0.97266719999999895</v>
      </c>
      <c r="Y1194">
        <v>0.63829190000000002</v>
      </c>
      <c r="Z1194">
        <v>2.758292E-2</v>
      </c>
      <c r="AA1194">
        <v>0.76930010000000004</v>
      </c>
      <c r="AB1194">
        <v>14</v>
      </c>
      <c r="AC1194">
        <v>2.6531999999999898</v>
      </c>
      <c r="AD1194">
        <v>-1.1073310904</v>
      </c>
      <c r="AE1194">
        <v>-8.1457999999999995</v>
      </c>
      <c r="AF1194">
        <v>5.4536716949058297</v>
      </c>
      <c r="AG1194">
        <v>-1.1073310904</v>
      </c>
      <c r="AH1194">
        <v>6.4232970462391297</v>
      </c>
      <c r="AI1194">
        <v>97.486614705006701</v>
      </c>
      <c r="AJ1194">
        <v>49.667226806327697</v>
      </c>
      <c r="AK1194">
        <v>8.4986741344640198</v>
      </c>
      <c r="AL1194">
        <v>85.841654280294506</v>
      </c>
      <c r="AM1194">
        <v>77.222036132676394</v>
      </c>
      <c r="AN1194">
        <v>1.00000005674783</v>
      </c>
    </row>
    <row r="1195" spans="1:40" x14ac:dyDescent="0.25">
      <c r="A1195" t="str">
        <f>"20190312151247418"</f>
        <v>20190312151247418</v>
      </c>
      <c r="B1195" t="str">
        <f>"1552374767411390"</f>
        <v>1552374767411390</v>
      </c>
      <c r="C1195" t="s">
        <v>40</v>
      </c>
      <c r="D1195">
        <v>4.6644779999999999</v>
      </c>
      <c r="E1195">
        <v>0.6924285</v>
      </c>
      <c r="F1195" t="s">
        <v>51</v>
      </c>
      <c r="G1195">
        <v>-196.88740000000001</v>
      </c>
      <c r="H1195" s="1">
        <v>-4.0216569999999998E-6</v>
      </c>
      <c r="I1195">
        <v>353.67899999999997</v>
      </c>
      <c r="J1195">
        <v>-199.48779999999999</v>
      </c>
      <c r="K1195">
        <v>1.107245</v>
      </c>
      <c r="L1195">
        <v>361.84120000000001</v>
      </c>
      <c r="M1195">
        <v>0.84796139999999998</v>
      </c>
      <c r="N1195">
        <v>0</v>
      </c>
      <c r="O1195">
        <v>-0.52999110000000005</v>
      </c>
      <c r="P1195">
        <v>0.70814370000000004</v>
      </c>
      <c r="Q1195">
        <v>6.5422620000000001E-2</v>
      </c>
      <c r="R1195">
        <v>-0.70303110000000002</v>
      </c>
      <c r="S1195">
        <v>1.0724640000000001</v>
      </c>
      <c r="T1195">
        <v>-0.43538729999999998</v>
      </c>
      <c r="U1195">
        <v>-3.243652</v>
      </c>
      <c r="V1195">
        <v>0.2212982</v>
      </c>
      <c r="W1195">
        <v>7.224063E-2</v>
      </c>
      <c r="X1195">
        <v>0.97252680000000002</v>
      </c>
      <c r="Y1195">
        <v>0.63769259999999905</v>
      </c>
      <c r="Z1195">
        <v>2.8480579999999998E-2</v>
      </c>
      <c r="AA1195">
        <v>0.76976420000000001</v>
      </c>
      <c r="AB1195">
        <v>15</v>
      </c>
      <c r="AC1195">
        <v>2.6003999999999698</v>
      </c>
      <c r="AD1195">
        <v>-1.1072490216569999</v>
      </c>
      <c r="AE1195">
        <v>-8.1621999999999808</v>
      </c>
      <c r="AF1195">
        <v>5.4521505378101596</v>
      </c>
      <c r="AG1195">
        <v>-1.1072490216569999</v>
      </c>
      <c r="AH1195">
        <v>6.4238422587457</v>
      </c>
      <c r="AI1195">
        <v>97.486565757229698</v>
      </c>
      <c r="AJ1195">
        <v>49.677511709056802</v>
      </c>
      <c r="AK1195">
        <v>8.4980995080165496</v>
      </c>
      <c r="AL1195">
        <v>85.857308154898007</v>
      </c>
      <c r="AM1195">
        <v>77.180643876780707</v>
      </c>
      <c r="AN1195">
        <v>0.99999998933213796</v>
      </c>
    </row>
    <row r="1196" spans="1:40" x14ac:dyDescent="0.25">
      <c r="A1196" t="str">
        <f>"20190312151247440"</f>
        <v>20190312151247440</v>
      </c>
      <c r="B1196" t="str">
        <f>"1552374767431415"</f>
        <v>1552374767431415</v>
      </c>
      <c r="C1196" t="s">
        <v>40</v>
      </c>
      <c r="D1196">
        <v>4.8772630000000001</v>
      </c>
      <c r="E1196">
        <v>0.64268539999999996</v>
      </c>
      <c r="F1196" t="s">
        <v>51</v>
      </c>
      <c r="G1196">
        <v>-196.81909999999999</v>
      </c>
      <c r="H1196" s="1">
        <v>-3.9580449999999998E-6</v>
      </c>
      <c r="I1196">
        <v>353.58269999999999</v>
      </c>
      <c r="J1196">
        <v>-199.36240000000001</v>
      </c>
      <c r="K1196">
        <v>1.1071660000000001</v>
      </c>
      <c r="L1196">
        <v>361.75400000000002</v>
      </c>
      <c r="M1196">
        <v>0.844470099999999</v>
      </c>
      <c r="N1196">
        <v>0</v>
      </c>
      <c r="O1196">
        <v>-0.53554169999999901</v>
      </c>
      <c r="P1196">
        <v>0.7030845</v>
      </c>
      <c r="Q1196">
        <v>6.5419920000000006E-2</v>
      </c>
      <c r="R1196">
        <v>-0.70809080000000002</v>
      </c>
      <c r="S1196">
        <v>1.050217</v>
      </c>
      <c r="T1196">
        <v>-0.4357278</v>
      </c>
      <c r="U1196">
        <v>-3.2499389999999999</v>
      </c>
      <c r="V1196">
        <v>0.22189970000000001</v>
      </c>
      <c r="W1196">
        <v>7.1883440000000007E-2</v>
      </c>
      <c r="X1196">
        <v>0.97241619999999995</v>
      </c>
      <c r="Y1196">
        <v>0.63787289999999996</v>
      </c>
      <c r="Z1196">
        <v>2.9359420000000001E-2</v>
      </c>
      <c r="AA1196">
        <v>0.76958190000000004</v>
      </c>
      <c r="AB1196">
        <v>15</v>
      </c>
      <c r="AC1196">
        <v>2.5433000000000101</v>
      </c>
      <c r="AD1196">
        <v>-1.1071699580450001</v>
      </c>
      <c r="AE1196">
        <v>-8.1713000000000306</v>
      </c>
      <c r="AF1196">
        <v>5.4473810500285502</v>
      </c>
      <c r="AG1196">
        <v>-1.1071699580450001</v>
      </c>
      <c r="AH1196">
        <v>6.4166279095351397</v>
      </c>
      <c r="AI1196">
        <v>97.493587257970006</v>
      </c>
      <c r="AJ1196">
        <v>49.670486786976603</v>
      </c>
      <c r="AK1196">
        <v>8.4895759228381298</v>
      </c>
      <c r="AL1196">
        <v>85.8778269664287</v>
      </c>
      <c r="AM1196">
        <v>77.145542655497906</v>
      </c>
      <c r="AN1196">
        <v>0.999999985914381</v>
      </c>
    </row>
    <row r="1197" spans="1:40" x14ac:dyDescent="0.25">
      <c r="A1197" t="str">
        <f>"20190312151247462"</f>
        <v>20190312151247462</v>
      </c>
      <c r="B1197" t="str">
        <f>"1552374767450918"</f>
        <v>1552374767450918</v>
      </c>
      <c r="C1197" t="s">
        <v>40</v>
      </c>
      <c r="D1197">
        <v>4.8814479999999998</v>
      </c>
      <c r="E1197">
        <v>0.63750640000000003</v>
      </c>
      <c r="F1197" t="s">
        <v>51</v>
      </c>
      <c r="G1197">
        <v>-196.44820000000001</v>
      </c>
      <c r="H1197" s="1">
        <v>-4.6285550000000003E-6</v>
      </c>
      <c r="I1197">
        <v>355.11689999999999</v>
      </c>
      <c r="J1197">
        <v>-199.23990000000001</v>
      </c>
      <c r="K1197">
        <v>1.1070990000000001</v>
      </c>
      <c r="L1197">
        <v>361.66739999999999</v>
      </c>
      <c r="M1197">
        <v>0.84101309999999996</v>
      </c>
      <c r="N1197">
        <v>0</v>
      </c>
      <c r="O1197">
        <v>-0.54095839999999995</v>
      </c>
      <c r="P1197">
        <v>0.69816230000000001</v>
      </c>
      <c r="Q1197">
        <v>6.5507099999999999E-2</v>
      </c>
      <c r="R1197">
        <v>-0.71293649999999997</v>
      </c>
      <c r="S1197">
        <v>1.3095699999999999</v>
      </c>
      <c r="T1197">
        <v>-0.49752429999999997</v>
      </c>
      <c r="U1197">
        <v>-2.9824519999999999</v>
      </c>
      <c r="V1197">
        <v>0.22238649999999999</v>
      </c>
      <c r="W1197">
        <v>7.1654679999999998E-2</v>
      </c>
      <c r="X1197">
        <v>0.97232189999999996</v>
      </c>
      <c r="Y1197">
        <v>0.55193040000000004</v>
      </c>
      <c r="Z1197">
        <v>4.3649960000000002E-2</v>
      </c>
      <c r="AA1197">
        <v>0.83274689999999996</v>
      </c>
      <c r="AB1197">
        <v>15</v>
      </c>
      <c r="AC1197">
        <v>2.7916999999999899</v>
      </c>
      <c r="AD1197">
        <v>-1.107103628555</v>
      </c>
      <c r="AE1197">
        <v>-6.5505000000000004</v>
      </c>
      <c r="AF1197">
        <v>3.9045955260657998</v>
      </c>
      <c r="AG1197">
        <v>-1.107103628555</v>
      </c>
      <c r="AH1197">
        <v>5.7525232087995404</v>
      </c>
      <c r="AI1197">
        <v>99.047701523606705</v>
      </c>
      <c r="AJ1197">
        <v>55.832820416025299</v>
      </c>
      <c r="AK1197">
        <v>7.0401042559261997</v>
      </c>
      <c r="AL1197">
        <v>85.890967946847795</v>
      </c>
      <c r="AM1197">
        <v>77.1170748702542</v>
      </c>
      <c r="AN1197">
        <v>1.00000001288388</v>
      </c>
    </row>
    <row r="1198" spans="1:40" x14ac:dyDescent="0.25">
      <c r="A1198" t="str">
        <f>"20190312151247484"</f>
        <v>20190312151247484</v>
      </c>
      <c r="B1198" t="str">
        <f>"1552374767481175"</f>
        <v>1552374767481175</v>
      </c>
      <c r="C1198" t="s">
        <v>40</v>
      </c>
      <c r="D1198">
        <v>4.8043370000000003</v>
      </c>
      <c r="E1198">
        <v>0.63514820000000005</v>
      </c>
      <c r="F1198" t="s">
        <v>51</v>
      </c>
      <c r="G1198">
        <v>-196.2473</v>
      </c>
      <c r="H1198" s="1">
        <v>-4.503255E-6</v>
      </c>
      <c r="I1198">
        <v>354.9436</v>
      </c>
      <c r="J1198">
        <v>-199.119</v>
      </c>
      <c r="K1198">
        <v>1.107029</v>
      </c>
      <c r="L1198">
        <v>361.58100000000002</v>
      </c>
      <c r="M1198">
        <v>0.837557</v>
      </c>
      <c r="N1198">
        <v>0</v>
      </c>
      <c r="O1198">
        <v>-0.54629839999999996</v>
      </c>
      <c r="P1198">
        <v>0.69359609999999905</v>
      </c>
      <c r="Q1198">
        <v>6.5787230000000002E-2</v>
      </c>
      <c r="R1198">
        <v>-0.71735419999999905</v>
      </c>
      <c r="S1198">
        <v>1.3182370000000001</v>
      </c>
      <c r="T1198">
        <v>-0.48768119999999998</v>
      </c>
      <c r="U1198">
        <v>-2.961884</v>
      </c>
      <c r="V1198">
        <v>0.22239539999999999</v>
      </c>
      <c r="W1198">
        <v>7.1658479999999997E-2</v>
      </c>
      <c r="X1198">
        <v>0.97231959999999995</v>
      </c>
      <c r="Y1198">
        <v>0.54256510000000002</v>
      </c>
      <c r="Z1198">
        <v>4.4709550000000001E-2</v>
      </c>
      <c r="AA1198">
        <v>0.83882309999999904</v>
      </c>
      <c r="AB1198">
        <v>15</v>
      </c>
      <c r="AC1198">
        <v>2.8717000000000299</v>
      </c>
      <c r="AD1198">
        <v>-1.1070335032550001</v>
      </c>
      <c r="AE1198">
        <v>-6.6373999999999498</v>
      </c>
      <c r="AF1198">
        <v>3.89914419767904</v>
      </c>
      <c r="AG1198">
        <v>-1.1070335032550001</v>
      </c>
      <c r="AH1198">
        <v>5.8932929335101996</v>
      </c>
      <c r="AI1198">
        <v>98.903659265244201</v>
      </c>
      <c r="AJ1198">
        <v>56.510421207816997</v>
      </c>
      <c r="AK1198">
        <v>7.1526044383696004</v>
      </c>
      <c r="AL1198">
        <v>85.890749724475896</v>
      </c>
      <c r="AM1198">
        <v>77.116547035385594</v>
      </c>
      <c r="AN1198">
        <v>1.0000000281206101</v>
      </c>
    </row>
    <row r="1199" spans="1:40" x14ac:dyDescent="0.25">
      <c r="A1199" t="str">
        <f>"20190312151247508"</f>
        <v>20190312151247508</v>
      </c>
      <c r="B1199" t="str">
        <f>"1552374767500694"</f>
        <v>1552374767500694</v>
      </c>
      <c r="C1199" t="s">
        <v>40</v>
      </c>
      <c r="D1199">
        <v>4.8967210000000003</v>
      </c>
      <c r="E1199">
        <v>0.63577189999999995</v>
      </c>
      <c r="F1199" t="s">
        <v>51</v>
      </c>
      <c r="G1199">
        <v>-196.11359999999999</v>
      </c>
      <c r="H1199" s="1">
        <v>-4.4109070000000004E-6</v>
      </c>
      <c r="I1199">
        <v>354.80900000000003</v>
      </c>
      <c r="J1199">
        <v>-198.9872</v>
      </c>
      <c r="K1199">
        <v>1.1069659999999999</v>
      </c>
      <c r="L1199">
        <v>361.48540000000003</v>
      </c>
      <c r="M1199">
        <v>0.83373929999999996</v>
      </c>
      <c r="N1199">
        <v>0</v>
      </c>
      <c r="O1199">
        <v>-0.55210999999999999</v>
      </c>
      <c r="P1199">
        <v>0.68886700000000001</v>
      </c>
      <c r="Q1199">
        <v>6.6400219999999996E-2</v>
      </c>
      <c r="R1199">
        <v>-0.72184029999999999</v>
      </c>
      <c r="S1199">
        <v>1.312454</v>
      </c>
      <c r="T1199">
        <v>-0.48345139999999998</v>
      </c>
      <c r="U1199">
        <v>-2.9573969999999998</v>
      </c>
      <c r="V1199">
        <v>0.22198680000000001</v>
      </c>
      <c r="W1199">
        <v>7.2011870000000006E-2</v>
      </c>
      <c r="X1199">
        <v>0.9723868</v>
      </c>
      <c r="Y1199">
        <v>0.53769929999999999</v>
      </c>
      <c r="Z1199">
        <v>4.5829090000000003E-2</v>
      </c>
      <c r="AA1199">
        <v>0.84189029999999998</v>
      </c>
      <c r="AB1199">
        <v>15</v>
      </c>
      <c r="AC1199">
        <v>2.8736000000000099</v>
      </c>
      <c r="AD1199">
        <v>-1.106970410907</v>
      </c>
      <c r="AE1199">
        <v>-6.6764000000000001</v>
      </c>
      <c r="AF1199">
        <v>3.8897216443278499</v>
      </c>
      <c r="AG1199">
        <v>-1.106970410907</v>
      </c>
      <c r="AH1199">
        <v>5.9442320511214302</v>
      </c>
      <c r="AI1199">
        <v>98.857063380070997</v>
      </c>
      <c r="AJ1199">
        <v>56.8005049165562</v>
      </c>
      <c r="AK1199">
        <v>7.1895210298430499</v>
      </c>
      <c r="AL1199">
        <v>85.8704492788154</v>
      </c>
      <c r="AM1199">
        <v>77.140288863542594</v>
      </c>
      <c r="AN1199">
        <v>0.999999968804688</v>
      </c>
    </row>
    <row r="1200" spans="1:40" x14ac:dyDescent="0.25">
      <c r="A1200" t="str">
        <f>"20190312151247530"</f>
        <v>20190312151247530</v>
      </c>
      <c r="B1200" t="str">
        <f>"1552374767521190"</f>
        <v>1552374767521190</v>
      </c>
      <c r="C1200" t="s">
        <v>40</v>
      </c>
      <c r="D1200">
        <v>4.8637360000000003</v>
      </c>
      <c r="E1200">
        <v>0.63574929999999996</v>
      </c>
      <c r="F1200" t="s">
        <v>51</v>
      </c>
      <c r="G1200">
        <v>-195.92679999999999</v>
      </c>
      <c r="H1200" s="1">
        <v>-4.1915060000000002E-6</v>
      </c>
      <c r="I1200">
        <v>354.43979999999999</v>
      </c>
      <c r="J1200">
        <v>-198.85919999999999</v>
      </c>
      <c r="K1200">
        <v>1.1069089999999999</v>
      </c>
      <c r="L1200">
        <v>361.39109999999999</v>
      </c>
      <c r="M1200">
        <v>0.82997330000000002</v>
      </c>
      <c r="N1200">
        <v>0</v>
      </c>
      <c r="O1200">
        <v>-0.55775819999999998</v>
      </c>
      <c r="P1200">
        <v>0.68434189999999995</v>
      </c>
      <c r="Q1200">
        <v>6.642555E-2</v>
      </c>
      <c r="R1200">
        <v>-0.72612959999999904</v>
      </c>
      <c r="S1200">
        <v>1.2894289999999999</v>
      </c>
      <c r="T1200">
        <v>-0.46638200000000002</v>
      </c>
      <c r="U1200">
        <v>-2.9684140000000001</v>
      </c>
      <c r="V1200">
        <v>0.22146740000000001</v>
      </c>
      <c r="W1200">
        <v>7.1823049999999999E-2</v>
      </c>
      <c r="X1200">
        <v>0.97251920000000003</v>
      </c>
      <c r="Y1200">
        <v>0.53867259999999995</v>
      </c>
      <c r="Z1200">
        <v>4.511068E-2</v>
      </c>
      <c r="AA1200">
        <v>0.84130669999999996</v>
      </c>
      <c r="AB1200">
        <v>15</v>
      </c>
      <c r="AC1200">
        <v>2.9323999999999999</v>
      </c>
      <c r="AD1200">
        <v>-1.106913191506</v>
      </c>
      <c r="AE1200">
        <v>-6.9512999999999998</v>
      </c>
      <c r="AF1200">
        <v>4.0468146223122901</v>
      </c>
      <c r="AG1200">
        <v>-1.106913191506</v>
      </c>
      <c r="AH1200">
        <v>6.1781253521598396</v>
      </c>
      <c r="AI1200">
        <v>98.523821946629596</v>
      </c>
      <c r="AJ1200">
        <v>56.7742763151509</v>
      </c>
      <c r="AK1200">
        <v>7.4680116676321999</v>
      </c>
      <c r="AL1200">
        <v>85.881295988889804</v>
      </c>
      <c r="AM1200">
        <v>77.171069727411407</v>
      </c>
      <c r="AN1200">
        <v>0.99999997707135102</v>
      </c>
    </row>
    <row r="1201" spans="1:40" x14ac:dyDescent="0.25">
      <c r="A1201" t="str">
        <f>"20190312151247552"</f>
        <v>20190312151247552</v>
      </c>
      <c r="B1201" t="str">
        <f>"1552374767540715"</f>
        <v>1552374767540715</v>
      </c>
      <c r="C1201" t="s">
        <v>40</v>
      </c>
      <c r="D1201">
        <v>5.0008549999999996</v>
      </c>
      <c r="E1201">
        <v>0.63640769999999902</v>
      </c>
      <c r="F1201" t="s">
        <v>51</v>
      </c>
      <c r="G1201">
        <v>-195.83439999999999</v>
      </c>
      <c r="H1201" s="1">
        <v>-4.1043410000000003E-6</v>
      </c>
      <c r="I1201">
        <v>354.3073</v>
      </c>
      <c r="J1201">
        <v>-198.73830000000001</v>
      </c>
      <c r="K1201">
        <v>1.1068559999999901</v>
      </c>
      <c r="L1201">
        <v>361.30079999999998</v>
      </c>
      <c r="M1201">
        <v>0.82636549999999998</v>
      </c>
      <c r="N1201">
        <v>0</v>
      </c>
      <c r="O1201">
        <v>-0.56309169999999997</v>
      </c>
      <c r="P1201">
        <v>0.68016369999999904</v>
      </c>
      <c r="Q1201">
        <v>6.6010810000000003E-2</v>
      </c>
      <c r="R1201">
        <v>-0.73008229999999996</v>
      </c>
      <c r="S1201">
        <v>1.270905</v>
      </c>
      <c r="T1201">
        <v>-0.46507910000000002</v>
      </c>
      <c r="U1201">
        <v>-2.976318</v>
      </c>
      <c r="V1201">
        <v>0.22081980000000001</v>
      </c>
      <c r="W1201">
        <v>7.1235660000000006E-2</v>
      </c>
      <c r="X1201">
        <v>0.97270970000000001</v>
      </c>
      <c r="Y1201">
        <v>0.53852040000000001</v>
      </c>
      <c r="Z1201">
        <v>4.590876E-2</v>
      </c>
      <c r="AA1201">
        <v>0.84136089999999997</v>
      </c>
      <c r="AB1201">
        <v>15</v>
      </c>
      <c r="AC1201">
        <v>2.9039000000000201</v>
      </c>
      <c r="AD1201">
        <v>-1.10686010434099</v>
      </c>
      <c r="AE1201">
        <v>-6.9934999999999796</v>
      </c>
      <c r="AF1201">
        <v>4.0574346557100496</v>
      </c>
      <c r="AG1201">
        <v>-1.10686010434099</v>
      </c>
      <c r="AH1201">
        <v>6.2052374329219298</v>
      </c>
      <c r="AI1201">
        <v>98.491131632641995</v>
      </c>
      <c r="AJ1201">
        <v>56.820427396879502</v>
      </c>
      <c r="AK1201">
        <v>7.4961914913424099</v>
      </c>
      <c r="AL1201">
        <v>85.915037611202706</v>
      </c>
      <c r="AM1201">
        <v>77.209770103099302</v>
      </c>
      <c r="AN1201">
        <v>1.0000000319008799</v>
      </c>
    </row>
    <row r="1202" spans="1:40" x14ac:dyDescent="0.25">
      <c r="A1202" t="str">
        <f>"20190312151247574"</f>
        <v>20190312151247574</v>
      </c>
      <c r="B1202" t="str">
        <f>"1552374767570966"</f>
        <v>1552374767570966</v>
      </c>
      <c r="C1202" t="s">
        <v>40</v>
      </c>
      <c r="D1202">
        <v>4.8592629999999897</v>
      </c>
      <c r="E1202">
        <v>0.63674589999999998</v>
      </c>
      <c r="F1202" t="s">
        <v>51</v>
      </c>
      <c r="G1202">
        <v>-195.71719999999999</v>
      </c>
      <c r="H1202" s="1">
        <v>-3.9652700000000004E-6</v>
      </c>
      <c r="I1202">
        <v>354.08249999999998</v>
      </c>
      <c r="J1202">
        <v>-198.61189999999999</v>
      </c>
      <c r="K1202">
        <v>1.1068009999999999</v>
      </c>
      <c r="L1202">
        <v>361.20519999999999</v>
      </c>
      <c r="M1202">
        <v>0.82254050000000001</v>
      </c>
      <c r="N1202">
        <v>0</v>
      </c>
      <c r="O1202">
        <v>-0.56866640000000002</v>
      </c>
      <c r="P1202">
        <v>0.67595539999999998</v>
      </c>
      <c r="Q1202">
        <v>6.5439419999999998E-2</v>
      </c>
      <c r="R1202">
        <v>-0.73403189999999996</v>
      </c>
      <c r="S1202">
        <v>1.2497860000000001</v>
      </c>
      <c r="T1202">
        <v>-0.45790530000000002</v>
      </c>
      <c r="U1202">
        <v>-2.9862060000000001</v>
      </c>
      <c r="V1202">
        <v>0.21987950000000001</v>
      </c>
      <c r="W1202">
        <v>7.0514599999999997E-2</v>
      </c>
      <c r="X1202">
        <v>0.97297520000000004</v>
      </c>
      <c r="Y1202">
        <v>0.53892299999999904</v>
      </c>
      <c r="Z1202">
        <v>4.6106109999999999E-2</v>
      </c>
      <c r="AA1202">
        <v>0.84109219999999896</v>
      </c>
      <c r="AB1202">
        <v>15</v>
      </c>
      <c r="AC1202">
        <v>2.8946999999999998</v>
      </c>
      <c r="AD1202">
        <v>-1.1068049652699901</v>
      </c>
      <c r="AE1202">
        <v>-7.1227</v>
      </c>
      <c r="AF1202">
        <v>4.1271571391274096</v>
      </c>
      <c r="AG1202">
        <v>-1.1068049652699901</v>
      </c>
      <c r="AH1202">
        <v>6.3010151551547802</v>
      </c>
      <c r="AI1202">
        <v>98.359238583678803</v>
      </c>
      <c r="AJ1202">
        <v>56.775250751853903</v>
      </c>
      <c r="AK1202">
        <v>7.61322765111401</v>
      </c>
      <c r="AL1202">
        <v>85.956455421527494</v>
      </c>
      <c r="AM1202">
        <v>77.265815717215801</v>
      </c>
      <c r="AN1202">
        <v>1.00000002157422</v>
      </c>
    </row>
    <row r="1203" spans="1:40" x14ac:dyDescent="0.25">
      <c r="A1203" t="str">
        <f>"20190312151247596"</f>
        <v>20190312151247596</v>
      </c>
      <c r="B1203" t="str">
        <f>"1552374767590487"</f>
        <v>1552374767590487</v>
      </c>
      <c r="C1203" t="s">
        <v>40</v>
      </c>
      <c r="D1203">
        <v>4.8393980000000001</v>
      </c>
      <c r="E1203">
        <v>0.63685369999999997</v>
      </c>
      <c r="F1203" t="s">
        <v>51</v>
      </c>
      <c r="G1203">
        <v>-195.6361</v>
      </c>
      <c r="H1203" s="1">
        <v>-3.8840749999999997E-6</v>
      </c>
      <c r="I1203">
        <v>353.95690000000002</v>
      </c>
      <c r="J1203">
        <v>-198.48609999999999</v>
      </c>
      <c r="K1203">
        <v>1.1067499999999999</v>
      </c>
      <c r="L1203">
        <v>361.10860000000002</v>
      </c>
      <c r="M1203">
        <v>0.81867309999999904</v>
      </c>
      <c r="N1203">
        <v>0</v>
      </c>
      <c r="O1203">
        <v>-0.57422099999999998</v>
      </c>
      <c r="P1203">
        <v>0.67139190000000004</v>
      </c>
      <c r="Q1203">
        <v>6.5071760000000006E-2</v>
      </c>
      <c r="R1203">
        <v>-0.73824029999999996</v>
      </c>
      <c r="S1203">
        <v>1.2297209999999901</v>
      </c>
      <c r="T1203">
        <v>-0.45737640000000002</v>
      </c>
      <c r="U1203">
        <v>-2.9952999999999999</v>
      </c>
      <c r="V1203">
        <v>0.21935560000000001</v>
      </c>
      <c r="W1203">
        <v>7.0018949999999996E-2</v>
      </c>
      <c r="X1203">
        <v>0.97312920000000003</v>
      </c>
      <c r="Y1203">
        <v>0.53897600000000001</v>
      </c>
      <c r="Z1203">
        <v>4.6975790000000003E-2</v>
      </c>
      <c r="AA1203">
        <v>0.84101019999999904</v>
      </c>
      <c r="AB1203">
        <v>16</v>
      </c>
      <c r="AC1203">
        <v>2.8499999999999899</v>
      </c>
      <c r="AD1203">
        <v>-1.106753884075</v>
      </c>
      <c r="AE1203">
        <v>-7.1516999999999999</v>
      </c>
      <c r="AF1203">
        <v>4.1330518730789496</v>
      </c>
      <c r="AG1203">
        <v>-1.106753884075</v>
      </c>
      <c r="AH1203">
        <v>6.3096189432276901</v>
      </c>
      <c r="AI1203">
        <v>98.347465827858599</v>
      </c>
      <c r="AJ1203">
        <v>56.773603298244097</v>
      </c>
      <c r="AK1203">
        <v>7.6235367877523998</v>
      </c>
      <c r="AL1203">
        <v>85.984924300988993</v>
      </c>
      <c r="AM1203">
        <v>77.297116431464701</v>
      </c>
      <c r="AN1203">
        <v>0.99999998625155095</v>
      </c>
    </row>
    <row r="1204" spans="1:40" x14ac:dyDescent="0.25">
      <c r="A1204" t="str">
        <f>"20190312151247618"</f>
        <v>20190312151247618</v>
      </c>
      <c r="B1204" t="str">
        <f>"1552374767610983"</f>
        <v>1552374767610983</v>
      </c>
      <c r="C1204" t="s">
        <v>40</v>
      </c>
      <c r="D1204">
        <v>4.7554720000000001</v>
      </c>
      <c r="E1204">
        <v>0.63683089999999998</v>
      </c>
      <c r="F1204" t="s">
        <v>51</v>
      </c>
      <c r="G1204">
        <v>-195.55670000000001</v>
      </c>
      <c r="H1204" s="1">
        <v>-3.8064429999999998E-6</v>
      </c>
      <c r="I1204">
        <v>353.83760000000001</v>
      </c>
      <c r="J1204">
        <v>-198.3596</v>
      </c>
      <c r="K1204">
        <v>1.106708</v>
      </c>
      <c r="L1204">
        <v>361.01029999999997</v>
      </c>
      <c r="M1204">
        <v>0.8147295</v>
      </c>
      <c r="N1204">
        <v>0</v>
      </c>
      <c r="O1204">
        <v>-0.57980369999999903</v>
      </c>
      <c r="P1204">
        <v>0.66709010000000002</v>
      </c>
      <c r="Q1204">
        <v>6.4445600000000006E-2</v>
      </c>
      <c r="R1204">
        <v>-0.74218430000000002</v>
      </c>
      <c r="S1204">
        <v>1.210083</v>
      </c>
      <c r="T1204">
        <v>-0.45718340000000002</v>
      </c>
      <c r="U1204">
        <v>-3.0035400000000001</v>
      </c>
      <c r="V1204">
        <v>0.21840560000000001</v>
      </c>
      <c r="W1204">
        <v>6.9287840000000003E-2</v>
      </c>
      <c r="X1204">
        <v>0.97339520000000002</v>
      </c>
      <c r="Y1204">
        <v>0.53878459999999995</v>
      </c>
      <c r="Z1204">
        <v>4.7909729999999998E-2</v>
      </c>
      <c r="AA1204">
        <v>0.84108019999999994</v>
      </c>
      <c r="AB1204">
        <v>16</v>
      </c>
      <c r="AC1204">
        <v>2.80289999999999</v>
      </c>
      <c r="AD1204">
        <v>-1.1067118064429999</v>
      </c>
      <c r="AE1204">
        <v>-7.1726999999999599</v>
      </c>
      <c r="AF1204">
        <v>4.1334025482865897</v>
      </c>
      <c r="AG1204">
        <v>-1.1067118064429999</v>
      </c>
      <c r="AH1204">
        <v>6.3121380260869699</v>
      </c>
      <c r="AI1204">
        <v>98.344644844412201</v>
      </c>
      <c r="AJ1204">
        <v>56.7818576404296</v>
      </c>
      <c r="AK1204">
        <v>7.62580580064005</v>
      </c>
      <c r="AL1204">
        <v>86.026915913601599</v>
      </c>
      <c r="AM1204">
        <v>77.353702495179107</v>
      </c>
      <c r="AN1204">
        <v>1.0000000131331299</v>
      </c>
    </row>
    <row r="1205" spans="1:40" x14ac:dyDescent="0.25">
      <c r="A1205" t="str">
        <f>"20190312151247643"</f>
        <v>20190312151247643</v>
      </c>
      <c r="B1205" t="str">
        <f>"1552374767630503"</f>
        <v>1552374767630503</v>
      </c>
      <c r="C1205" t="s">
        <v>40</v>
      </c>
      <c r="D1205">
        <v>4.7972460000000003</v>
      </c>
      <c r="E1205">
        <v>0.63667050000000003</v>
      </c>
      <c r="F1205" t="s">
        <v>51</v>
      </c>
      <c r="G1205">
        <v>-195.4666</v>
      </c>
      <c r="H1205" s="1">
        <v>-3.7203409999999998E-6</v>
      </c>
      <c r="I1205">
        <v>353.70620000000002</v>
      </c>
      <c r="J1205">
        <v>-198.2259</v>
      </c>
      <c r="K1205">
        <v>1.1066549999999999</v>
      </c>
      <c r="L1205">
        <v>360.90480000000002</v>
      </c>
      <c r="M1205">
        <v>0.81049579999999999</v>
      </c>
      <c r="N1205">
        <v>0</v>
      </c>
      <c r="O1205">
        <v>-0.58570840000000002</v>
      </c>
      <c r="P1205">
        <v>0.66215440000000003</v>
      </c>
      <c r="Q1205">
        <v>6.3899949999999997E-2</v>
      </c>
      <c r="R1205">
        <v>-0.74663800000000002</v>
      </c>
      <c r="S1205">
        <v>1.1922299999999999</v>
      </c>
      <c r="T1205">
        <v>-0.4560823</v>
      </c>
      <c r="U1205">
        <v>-3.0100709999999999</v>
      </c>
      <c r="V1205">
        <v>0.21782770000000001</v>
      </c>
      <c r="W1205">
        <v>6.8647059999999996E-2</v>
      </c>
      <c r="X1205">
        <v>0.97357000000000005</v>
      </c>
      <c r="Y1205">
        <v>0.53764259999999997</v>
      </c>
      <c r="Z1205">
        <v>4.888464E-2</v>
      </c>
      <c r="AA1205">
        <v>0.84175460000000002</v>
      </c>
      <c r="AB1205">
        <v>16</v>
      </c>
      <c r="AC1205">
        <v>2.7592999999999899</v>
      </c>
      <c r="AD1205">
        <v>-1.1066587203410001</v>
      </c>
      <c r="AE1205">
        <v>-7.1985999999999901</v>
      </c>
      <c r="AF1205">
        <v>4.1332096658936202</v>
      </c>
      <c r="AG1205">
        <v>-1.1066587203410001</v>
      </c>
      <c r="AH1205">
        <v>6.3225350848023396</v>
      </c>
      <c r="AI1205">
        <v>98.334889432665804</v>
      </c>
      <c r="AJ1205">
        <v>56.826285189774801</v>
      </c>
      <c r="AK1205">
        <v>7.6343019041756399</v>
      </c>
      <c r="AL1205">
        <v>86.063717224505197</v>
      </c>
      <c r="AM1205">
        <v>77.388284704632895</v>
      </c>
      <c r="AN1205">
        <v>0.99999993531696396</v>
      </c>
    </row>
    <row r="1206" spans="1:40" x14ac:dyDescent="0.25">
      <c r="A1206" t="str">
        <f>"20190312151247663"</f>
        <v>20190312151247663</v>
      </c>
      <c r="B1206" t="str">
        <f>"1552374767660759"</f>
        <v>1552374767660759</v>
      </c>
      <c r="C1206" t="s">
        <v>40</v>
      </c>
      <c r="D1206">
        <v>4.862762</v>
      </c>
      <c r="E1206">
        <v>0.63650509999999905</v>
      </c>
      <c r="F1206" t="s">
        <v>51</v>
      </c>
      <c r="G1206">
        <v>-195.3974</v>
      </c>
      <c r="H1206" s="1">
        <v>-3.666263E-6</v>
      </c>
      <c r="I1206">
        <v>353.62920000000003</v>
      </c>
      <c r="J1206">
        <v>-198.10589999999999</v>
      </c>
      <c r="K1206">
        <v>1.106598</v>
      </c>
      <c r="L1206">
        <v>360.80869999999999</v>
      </c>
      <c r="M1206">
        <v>0.80663619999999903</v>
      </c>
      <c r="N1206">
        <v>0</v>
      </c>
      <c r="O1206">
        <v>-0.59101329999999996</v>
      </c>
      <c r="P1206">
        <v>0.65747929999999999</v>
      </c>
      <c r="Q1206">
        <v>6.3313579999999994E-2</v>
      </c>
      <c r="R1206">
        <v>-0.75080789999999997</v>
      </c>
      <c r="S1206">
        <v>1.1729430000000001</v>
      </c>
      <c r="T1206">
        <v>-0.45891739999999998</v>
      </c>
      <c r="U1206">
        <v>-3.01709</v>
      </c>
      <c r="V1206">
        <v>0.2175618</v>
      </c>
      <c r="W1206">
        <v>6.7990090000000003E-2</v>
      </c>
      <c r="X1206">
        <v>0.97367559999999997</v>
      </c>
      <c r="Y1206">
        <v>0.53747529999999999</v>
      </c>
      <c r="Z1206">
        <v>5.0107840000000001E-2</v>
      </c>
      <c r="AA1206">
        <v>0.84178949999999997</v>
      </c>
      <c r="AB1206">
        <v>16</v>
      </c>
      <c r="AC1206">
        <v>2.7084999999999799</v>
      </c>
      <c r="AD1206">
        <v>-1.106601666263</v>
      </c>
      <c r="AE1206">
        <v>-7.17949999999996</v>
      </c>
      <c r="AF1206">
        <v>4.1051948636380597</v>
      </c>
      <c r="AG1206">
        <v>-1.106601666263</v>
      </c>
      <c r="AH1206">
        <v>6.2971240387612903</v>
      </c>
      <c r="AI1206">
        <v>98.374463255470204</v>
      </c>
      <c r="AJ1206">
        <v>56.899033623763799</v>
      </c>
      <c r="AK1206">
        <v>7.5980894490497901</v>
      </c>
      <c r="AL1206">
        <v>86.101447170067004</v>
      </c>
      <c r="AM1206">
        <v>77.4045106818336</v>
      </c>
      <c r="AN1206">
        <v>0.99999998159640302</v>
      </c>
    </row>
    <row r="1207" spans="1:40" x14ac:dyDescent="0.25">
      <c r="A1207" t="str">
        <f>"20190312151247686"</f>
        <v>20190312151247686</v>
      </c>
      <c r="B1207" t="str">
        <f>"1552374767681255"</f>
        <v>1552374767681255</v>
      </c>
      <c r="C1207" t="s">
        <v>40</v>
      </c>
      <c r="D1207">
        <v>4.8067129999999896</v>
      </c>
      <c r="E1207">
        <v>0.63606479999999999</v>
      </c>
      <c r="F1207" t="s">
        <v>51</v>
      </c>
      <c r="G1207">
        <v>-195.34700000000001</v>
      </c>
      <c r="H1207" s="1">
        <v>-3.6363019999999999E-6</v>
      </c>
      <c r="I1207">
        <v>353.59190000000001</v>
      </c>
      <c r="J1207">
        <v>-197.9787</v>
      </c>
      <c r="K1207">
        <v>1.1065529999999999</v>
      </c>
      <c r="L1207">
        <v>360.70549999999997</v>
      </c>
      <c r="M1207">
        <v>0.80248889999999995</v>
      </c>
      <c r="N1207">
        <v>0</v>
      </c>
      <c r="O1207">
        <v>-0.59663310000000003</v>
      </c>
      <c r="P1207">
        <v>0.65240410000000004</v>
      </c>
      <c r="Q1207">
        <v>6.2458960000000001E-2</v>
      </c>
      <c r="R1207">
        <v>-0.75529360000000001</v>
      </c>
      <c r="S1207">
        <v>1.1556090000000001</v>
      </c>
      <c r="T1207">
        <v>-0.46351579999999898</v>
      </c>
      <c r="U1207">
        <v>-3.0228579999999998</v>
      </c>
      <c r="V1207">
        <v>0.2173805</v>
      </c>
      <c r="W1207">
        <v>6.7074750000000002E-2</v>
      </c>
      <c r="X1207">
        <v>0.97377959999999997</v>
      </c>
      <c r="Y1207">
        <v>0.53636740000000005</v>
      </c>
      <c r="Z1207">
        <v>5.1666589999999998E-2</v>
      </c>
      <c r="AA1207">
        <v>0.84240170000000003</v>
      </c>
      <c r="AB1207">
        <v>16</v>
      </c>
      <c r="AC1207">
        <v>2.6316999999999902</v>
      </c>
      <c r="AD1207">
        <v>-1.1065566363020001</v>
      </c>
      <c r="AE1207">
        <v>-7.11359999999996</v>
      </c>
      <c r="AF1207">
        <v>4.05226002346829</v>
      </c>
      <c r="AG1207">
        <v>-1.1065566363020001</v>
      </c>
      <c r="AH1207">
        <v>6.2237792293719902</v>
      </c>
      <c r="AI1207">
        <v>98.474531180025906</v>
      </c>
      <c r="AJ1207">
        <v>56.932124289403198</v>
      </c>
      <c r="AK1207">
        <v>7.5087087294091601</v>
      </c>
      <c r="AL1207">
        <v>86.154012390071699</v>
      </c>
      <c r="AM1207">
        <v>77.415973635719794</v>
      </c>
      <c r="AN1207">
        <v>1.0000000066219801</v>
      </c>
    </row>
    <row r="1208" spans="1:40" x14ac:dyDescent="0.25">
      <c r="A1208" t="str">
        <f>"20190312151247710"</f>
        <v>20190312151247710</v>
      </c>
      <c r="B1208" t="str">
        <f>"1552374767700775"</f>
        <v>1552374767700775</v>
      </c>
      <c r="C1208" t="s">
        <v>40</v>
      </c>
      <c r="D1208">
        <v>4.8561800000000002</v>
      </c>
      <c r="E1208">
        <v>0.6356484</v>
      </c>
      <c r="F1208" t="s">
        <v>51</v>
      </c>
      <c r="G1208">
        <v>-195.26410000000001</v>
      </c>
      <c r="H1208" s="1">
        <v>-3.5585619999999999E-6</v>
      </c>
      <c r="I1208">
        <v>353.47390000000001</v>
      </c>
      <c r="J1208">
        <v>-197.83940000000001</v>
      </c>
      <c r="K1208">
        <v>1.106503</v>
      </c>
      <c r="L1208">
        <v>360.59059999999999</v>
      </c>
      <c r="M1208">
        <v>0.79787030000000003</v>
      </c>
      <c r="N1208">
        <v>0</v>
      </c>
      <c r="O1208">
        <v>-0.60279550000000004</v>
      </c>
      <c r="P1208">
        <v>0.64647310000000002</v>
      </c>
      <c r="Q1208">
        <v>6.2100620000000002E-2</v>
      </c>
      <c r="R1208">
        <v>-0.76040549999999996</v>
      </c>
      <c r="S1208">
        <v>1.136765</v>
      </c>
      <c r="T1208">
        <v>-0.46338980000000002</v>
      </c>
      <c r="U1208">
        <v>-3.0283509999999998</v>
      </c>
      <c r="V1208">
        <v>0.21752969999999999</v>
      </c>
      <c r="W1208">
        <v>6.6658919999999997E-2</v>
      </c>
      <c r="X1208">
        <v>0.9737749</v>
      </c>
      <c r="Y1208">
        <v>0.53500669999999995</v>
      </c>
      <c r="Z1208">
        <v>5.284121E-2</v>
      </c>
      <c r="AA1208">
        <v>0.84319369999999905</v>
      </c>
      <c r="AB1208">
        <v>16</v>
      </c>
      <c r="AC1208">
        <v>2.5752999999999902</v>
      </c>
      <c r="AD1208">
        <v>-1.106506558562</v>
      </c>
      <c r="AE1208">
        <v>-7.1166999999999803</v>
      </c>
      <c r="AF1208">
        <v>4.0395619781725403</v>
      </c>
      <c r="AG1208">
        <v>-1.106506558562</v>
      </c>
      <c r="AH1208">
        <v>6.2120163707919396</v>
      </c>
      <c r="AI1208">
        <v>98.493069044952506</v>
      </c>
      <c r="AJ1208">
        <v>56.964778373924801</v>
      </c>
      <c r="AK1208">
        <v>7.4921001815662498</v>
      </c>
      <c r="AL1208">
        <v>86.177891375415896</v>
      </c>
      <c r="AM1208">
        <v>77.407553063267201</v>
      </c>
      <c r="AN1208">
        <v>1.00000006893383</v>
      </c>
    </row>
    <row r="1209" spans="1:40" x14ac:dyDescent="0.25">
      <c r="A1209" t="str">
        <f>"20190312151247732"</f>
        <v>20190312151247732</v>
      </c>
      <c r="B1209" t="str">
        <f>"1552374767721271"</f>
        <v>1552374767721271</v>
      </c>
      <c r="C1209" t="s">
        <v>40</v>
      </c>
      <c r="D1209">
        <v>4.8251970000000002</v>
      </c>
      <c r="E1209">
        <v>0.63525759999999998</v>
      </c>
      <c r="F1209" t="s">
        <v>51</v>
      </c>
      <c r="G1209">
        <v>-195.1781</v>
      </c>
      <c r="H1209" s="1">
        <v>-3.4777479999999998E-6</v>
      </c>
      <c r="I1209">
        <v>353.35129999999998</v>
      </c>
      <c r="J1209">
        <v>-197.71360000000001</v>
      </c>
      <c r="K1209">
        <v>1.1064579999999999</v>
      </c>
      <c r="L1209">
        <v>360.48540000000003</v>
      </c>
      <c r="M1209">
        <v>0.7936375</v>
      </c>
      <c r="N1209">
        <v>0</v>
      </c>
      <c r="O1209">
        <v>-0.60835779999999995</v>
      </c>
      <c r="P1209">
        <v>0.64098389999999905</v>
      </c>
      <c r="Q1209">
        <v>6.214538E-2</v>
      </c>
      <c r="R1209">
        <v>-0.76503460000000001</v>
      </c>
      <c r="S1209">
        <v>1.1156159999999999</v>
      </c>
      <c r="T1209">
        <v>-0.46384690000000001</v>
      </c>
      <c r="U1209">
        <v>-3.034729</v>
      </c>
      <c r="V1209">
        <v>0.21773519999999999</v>
      </c>
      <c r="W1209">
        <v>6.6658930000000005E-2</v>
      </c>
      <c r="X1209">
        <v>0.97372890000000001</v>
      </c>
      <c r="Y1209">
        <v>0.53488190000000002</v>
      </c>
      <c r="Z1209">
        <v>5.3888789999999999E-2</v>
      </c>
      <c r="AA1209">
        <v>0.84320659999999903</v>
      </c>
      <c r="AB1209">
        <v>16</v>
      </c>
      <c r="AC1209">
        <v>2.5355000000000101</v>
      </c>
      <c r="AD1209">
        <v>-1.106461477748</v>
      </c>
      <c r="AE1209">
        <v>-7.1341000000000401</v>
      </c>
      <c r="AF1209">
        <v>4.0333420566332396</v>
      </c>
      <c r="AG1209">
        <v>-1.106461477748</v>
      </c>
      <c r="AH1209">
        <v>6.2196498204269197</v>
      </c>
      <c r="AI1209">
        <v>98.489324806706904</v>
      </c>
      <c r="AJ1209">
        <v>57.037245216889801</v>
      </c>
      <c r="AK1209">
        <v>7.4950749853676104</v>
      </c>
      <c r="AL1209">
        <v>86.177890539159804</v>
      </c>
      <c r="AM1209">
        <v>77.395460508309597</v>
      </c>
      <c r="AN1209">
        <v>1.00000000048149</v>
      </c>
    </row>
    <row r="1210" spans="1:40" x14ac:dyDescent="0.25">
      <c r="A1210" t="str">
        <f>"20190312151247754"</f>
        <v>20190312151247754</v>
      </c>
      <c r="B1210" t="str">
        <f>"1552374767750552"</f>
        <v>1552374767750552</v>
      </c>
      <c r="C1210" t="s">
        <v>40</v>
      </c>
      <c r="D1210">
        <v>4.7092390000000002</v>
      </c>
      <c r="E1210">
        <v>0.65603319999999998</v>
      </c>
      <c r="F1210" t="s">
        <v>51</v>
      </c>
      <c r="G1210">
        <v>-195.08590000000001</v>
      </c>
      <c r="H1210" s="1">
        <v>-3.3777529999999998E-6</v>
      </c>
      <c r="I1210">
        <v>353.19319999999999</v>
      </c>
      <c r="J1210">
        <v>-197.5881</v>
      </c>
      <c r="K1210">
        <v>1.1064130000000001</v>
      </c>
      <c r="L1210">
        <v>360.37900000000002</v>
      </c>
      <c r="M1210">
        <v>0.78935119999999903</v>
      </c>
      <c r="N1210">
        <v>0</v>
      </c>
      <c r="O1210">
        <v>-0.61390919999999904</v>
      </c>
      <c r="P1210">
        <v>0.63551539999999995</v>
      </c>
      <c r="Q1210">
        <v>6.2016780000000001E-2</v>
      </c>
      <c r="R1210">
        <v>-0.76959350000000004</v>
      </c>
      <c r="S1210">
        <v>1.0957490000000001</v>
      </c>
      <c r="T1210">
        <v>-0.4613932</v>
      </c>
      <c r="U1210">
        <v>-3.0408629999999999</v>
      </c>
      <c r="V1210">
        <v>0.21785860000000001</v>
      </c>
      <c r="W1210">
        <v>6.6492410000000002E-2</v>
      </c>
      <c r="X1210">
        <v>0.97371269999999999</v>
      </c>
      <c r="Y1210">
        <v>0.53440810000000005</v>
      </c>
      <c r="Z1210">
        <v>5.461908E-2</v>
      </c>
      <c r="AA1210">
        <v>0.84345999999999999</v>
      </c>
      <c r="AB1210">
        <v>16</v>
      </c>
      <c r="AC1210">
        <v>2.5021999999999802</v>
      </c>
      <c r="AD1210">
        <v>-1.1064163777529901</v>
      </c>
      <c r="AE1210">
        <v>-7.1858000000000199</v>
      </c>
      <c r="AF1210">
        <v>4.05043766994417</v>
      </c>
      <c r="AG1210">
        <v>-1.1064163777529901</v>
      </c>
      <c r="AH1210">
        <v>6.2544291606014504</v>
      </c>
      <c r="AI1210">
        <v>98.445775503939402</v>
      </c>
      <c r="AJ1210">
        <v>57.072458668242</v>
      </c>
      <c r="AK1210">
        <v>7.5331325916941596</v>
      </c>
      <c r="AL1210">
        <v>86.187452706933797</v>
      </c>
      <c r="AM1210">
        <v>77.388342303555305</v>
      </c>
      <c r="AN1210">
        <v>1.00000001616142</v>
      </c>
    </row>
    <row r="1211" spans="1:40" x14ac:dyDescent="0.25">
      <c r="A1211" t="str">
        <f>"20190312151247776"</f>
        <v>20190312151247776</v>
      </c>
      <c r="B1211" t="str">
        <f>"1552374767771047"</f>
        <v>1552374767771047</v>
      </c>
      <c r="C1211" t="s">
        <v>40</v>
      </c>
      <c r="D1211">
        <v>4.6669330000000002</v>
      </c>
      <c r="E1211">
        <v>0.65634230000000005</v>
      </c>
      <c r="F1211" t="s">
        <v>51</v>
      </c>
      <c r="G1211">
        <v>-195.19380000000001</v>
      </c>
      <c r="H1211" s="1">
        <v>-3.0036989999999999E-6</v>
      </c>
      <c r="I1211">
        <v>352.40230000000003</v>
      </c>
      <c r="J1211">
        <v>-197.4614</v>
      </c>
      <c r="K1211">
        <v>1.106368</v>
      </c>
      <c r="L1211">
        <v>360.27</v>
      </c>
      <c r="M1211">
        <v>0.78495719999999902</v>
      </c>
      <c r="N1211">
        <v>0</v>
      </c>
      <c r="O1211">
        <v>-0.61951769999999995</v>
      </c>
      <c r="P1211">
        <v>0.6300173</v>
      </c>
      <c r="Q1211">
        <v>6.1790329999999997E-2</v>
      </c>
      <c r="R1211">
        <v>-0.774119</v>
      </c>
      <c r="S1211">
        <v>0.9461212</v>
      </c>
      <c r="T1211">
        <v>-0.43720999999999999</v>
      </c>
      <c r="U1211">
        <v>-3.152069</v>
      </c>
      <c r="V1211">
        <v>0.21787580000000001</v>
      </c>
      <c r="W1211">
        <v>6.6232630000000001E-2</v>
      </c>
      <c r="X1211">
        <v>0.9737266</v>
      </c>
      <c r="Y1211">
        <v>0.57338579999999995</v>
      </c>
      <c r="Z1211">
        <v>4.9139879999999997E-2</v>
      </c>
      <c r="AA1211">
        <v>0.8178105</v>
      </c>
      <c r="AB1211">
        <v>16</v>
      </c>
      <c r="AC1211">
        <v>2.2675999999999799</v>
      </c>
      <c r="AD1211">
        <v>-1.106371003699</v>
      </c>
      <c r="AE1211">
        <v>-7.8676999999999504</v>
      </c>
      <c r="AF1211">
        <v>4.6855369797185098</v>
      </c>
      <c r="AG1211">
        <v>-1.106371003699</v>
      </c>
      <c r="AH1211">
        <v>6.5349669434491098</v>
      </c>
      <c r="AI1211">
        <v>97.834064295598594</v>
      </c>
      <c r="AJ1211">
        <v>54.359675528735401</v>
      </c>
      <c r="AK1211">
        <v>8.1169025211658301</v>
      </c>
      <c r="AL1211">
        <v>86.202370049212604</v>
      </c>
      <c r="AM1211">
        <v>77.387552749872995</v>
      </c>
      <c r="AN1211">
        <v>1.00000005852495</v>
      </c>
    </row>
    <row r="1212" spans="1:40" x14ac:dyDescent="0.25">
      <c r="A1212" t="str">
        <f>"20190312151247799"</f>
        <v>20190312151247799</v>
      </c>
      <c r="B1212" t="str">
        <f>"1552374767790567"</f>
        <v>1552374767790567</v>
      </c>
      <c r="C1212" t="s">
        <v>40</v>
      </c>
      <c r="D1212">
        <v>4.7739659999999997</v>
      </c>
      <c r="E1212">
        <v>0.65646110000000002</v>
      </c>
      <c r="F1212" t="s">
        <v>51</v>
      </c>
      <c r="G1212">
        <v>-195.22300000000001</v>
      </c>
      <c r="H1212" s="1">
        <v>-3.1002800000000001E-6</v>
      </c>
      <c r="I1212">
        <v>352.58139999999997</v>
      </c>
      <c r="J1212">
        <v>-197.32849999999999</v>
      </c>
      <c r="K1212">
        <v>1.1063190000000001</v>
      </c>
      <c r="L1212">
        <v>360.154</v>
      </c>
      <c r="M1212">
        <v>0.78028009999999903</v>
      </c>
      <c r="N1212">
        <v>0</v>
      </c>
      <c r="O1212">
        <v>-0.62539860000000003</v>
      </c>
      <c r="P1212">
        <v>0.62430039999999998</v>
      </c>
      <c r="Q1212">
        <v>6.1488699999999903E-2</v>
      </c>
      <c r="R1212">
        <v>-0.77876080000000003</v>
      </c>
      <c r="S1212">
        <v>0.92066959999999998</v>
      </c>
      <c r="T1212">
        <v>-0.45506540000000001</v>
      </c>
      <c r="U1212">
        <v>-3.1624150000000002</v>
      </c>
      <c r="V1212">
        <v>0.21775159999999999</v>
      </c>
      <c r="W1212">
        <v>6.5902420000000003E-2</v>
      </c>
      <c r="X1212">
        <v>0.97377670000000005</v>
      </c>
      <c r="Y1212">
        <v>0.57401759999999902</v>
      </c>
      <c r="Z1212">
        <v>5.2041419999999998E-2</v>
      </c>
      <c r="AA1212">
        <v>0.81718749999999996</v>
      </c>
      <c r="AB1212">
        <v>17</v>
      </c>
      <c r="AC1212">
        <v>2.1055000000000001</v>
      </c>
      <c r="AD1212">
        <v>-1.1063221002799899</v>
      </c>
      <c r="AE1212">
        <v>-7.57260000000002</v>
      </c>
      <c r="AF1212">
        <v>4.5028515885593698</v>
      </c>
      <c r="AG1212">
        <v>-1.1063221002799899</v>
      </c>
      <c r="AH1212">
        <v>6.2549743125801003</v>
      </c>
      <c r="AI1212">
        <v>98.1687016959837</v>
      </c>
      <c r="AJ1212">
        <v>54.250516348149297</v>
      </c>
      <c r="AK1212">
        <v>7.7861623839473397</v>
      </c>
      <c r="AL1212">
        <v>86.221330797955602</v>
      </c>
      <c r="AM1212">
        <v>77.395140456826994</v>
      </c>
      <c r="AN1212">
        <v>0.999999974863653</v>
      </c>
    </row>
    <row r="1213" spans="1:40" x14ac:dyDescent="0.25">
      <c r="A1213" t="str">
        <f>"20190312151247820"</f>
        <v>20190312151247820</v>
      </c>
      <c r="B1213" t="str">
        <f>"1552374767811063"</f>
        <v>1552374767811063</v>
      </c>
      <c r="C1213" t="s">
        <v>40</v>
      </c>
      <c r="D1213">
        <v>4.7713190000000001</v>
      </c>
      <c r="E1213">
        <v>0.65627000000000002</v>
      </c>
      <c r="F1213" t="s">
        <v>51</v>
      </c>
      <c r="G1213">
        <v>-195.1893</v>
      </c>
      <c r="H1213" s="1">
        <v>-3.096734E-6</v>
      </c>
      <c r="I1213">
        <v>352.58920000000001</v>
      </c>
      <c r="J1213">
        <v>-197.20599999999999</v>
      </c>
      <c r="K1213">
        <v>1.1062719999999999</v>
      </c>
      <c r="L1213">
        <v>360.0455</v>
      </c>
      <c r="M1213">
        <v>0.7759028</v>
      </c>
      <c r="N1213">
        <v>0</v>
      </c>
      <c r="O1213">
        <v>-0.63082099999999997</v>
      </c>
      <c r="P1213">
        <v>0.61908450000000004</v>
      </c>
      <c r="Q1213">
        <v>6.1323860000000001E-2</v>
      </c>
      <c r="R1213">
        <v>-0.78292640000000002</v>
      </c>
      <c r="S1213">
        <v>0.89646909999999902</v>
      </c>
      <c r="T1213">
        <v>-0.46363009999999899</v>
      </c>
      <c r="U1213">
        <v>-3.1701969999999999</v>
      </c>
      <c r="V1213">
        <v>0.21748500000000001</v>
      </c>
      <c r="W1213">
        <v>6.5715910000000002E-2</v>
      </c>
      <c r="X1213">
        <v>0.97384890000000002</v>
      </c>
      <c r="Y1213">
        <v>0.57462460000000004</v>
      </c>
      <c r="Z1213">
        <v>5.3899219999999998E-2</v>
      </c>
      <c r="AA1213">
        <v>0.81664040000000004</v>
      </c>
      <c r="AB1213">
        <v>17</v>
      </c>
      <c r="AC1213">
        <v>2.0166999999999802</v>
      </c>
      <c r="AD1213">
        <v>-1.10627509673399</v>
      </c>
      <c r="AE1213">
        <v>-7.4562999999999899</v>
      </c>
      <c r="AF1213">
        <v>4.4225594028571402</v>
      </c>
      <c r="AG1213">
        <v>-1.10627509673399</v>
      </c>
      <c r="AH1213">
        <v>6.1424809042524604</v>
      </c>
      <c r="AI1213">
        <v>98.315444339708606</v>
      </c>
      <c r="AJ1213">
        <v>54.246277679023898</v>
      </c>
      <c r="AK1213">
        <v>7.6493756556048398</v>
      </c>
      <c r="AL1213">
        <v>86.232040318328501</v>
      </c>
      <c r="AM1213">
        <v>77.410984352706194</v>
      </c>
      <c r="AN1213">
        <v>0.99999999304166898</v>
      </c>
    </row>
    <row r="1214" spans="1:40" x14ac:dyDescent="0.25">
      <c r="A1214" t="str">
        <f>"20190312151247833"</f>
        <v>20190312151247833</v>
      </c>
      <c r="B1214" t="str">
        <f>"1552374767830583"</f>
        <v>1552374767830583</v>
      </c>
      <c r="C1214" t="s">
        <v>40</v>
      </c>
      <c r="D1214">
        <v>4.760084</v>
      </c>
      <c r="E1214">
        <v>0.65584960000000003</v>
      </c>
      <c r="F1214" t="s">
        <v>51</v>
      </c>
      <c r="G1214">
        <v>-195.14070000000001</v>
      </c>
      <c r="H1214" s="1">
        <v>-3.0694920000000002E-6</v>
      </c>
      <c r="I1214">
        <v>352.55650000000003</v>
      </c>
      <c r="J1214">
        <v>-197.13380000000001</v>
      </c>
      <c r="K1214">
        <v>1.1062459999999901</v>
      </c>
      <c r="L1214">
        <v>359.98070000000001</v>
      </c>
      <c r="M1214">
        <v>0.77329110000000001</v>
      </c>
      <c r="N1214">
        <v>0</v>
      </c>
      <c r="O1214">
        <v>-0.63401989999999997</v>
      </c>
      <c r="P1214">
        <v>0.61607869999999998</v>
      </c>
      <c r="Q1214">
        <v>6.1082749999999998E-2</v>
      </c>
      <c r="R1214">
        <v>-0.78531289999999998</v>
      </c>
      <c r="S1214">
        <v>0.87582399999999905</v>
      </c>
      <c r="T1214">
        <v>-0.4691476</v>
      </c>
      <c r="U1214">
        <v>-3.1759339999999998</v>
      </c>
      <c r="V1214">
        <v>0.21721260000000001</v>
      </c>
      <c r="W1214">
        <v>6.5466109999999994E-2</v>
      </c>
      <c r="X1214">
        <v>0.97392650000000003</v>
      </c>
      <c r="Y1214">
        <v>0.57655069999999997</v>
      </c>
      <c r="Z1214">
        <v>5.4958149999999997E-2</v>
      </c>
      <c r="AA1214">
        <v>0.81521100000000002</v>
      </c>
      <c r="AB1214">
        <v>17</v>
      </c>
      <c r="AC1214">
        <v>1.9930999999999901</v>
      </c>
      <c r="AD1214">
        <v>-1.10624906949199</v>
      </c>
      <c r="AE1214">
        <v>-7.4241999999999804</v>
      </c>
      <c r="AF1214">
        <v>4.3866434600686297</v>
      </c>
      <c r="AG1214">
        <v>-1.10624906949199</v>
      </c>
      <c r="AH1214">
        <v>6.1216800194947396</v>
      </c>
      <c r="AI1214">
        <v>98.356450741262506</v>
      </c>
      <c r="AJ1214">
        <v>54.375559070535701</v>
      </c>
      <c r="AK1214">
        <v>7.6119244682666096</v>
      </c>
      <c r="AL1214">
        <v>86.246383628327607</v>
      </c>
      <c r="AM1214">
        <v>77.427220395977599</v>
      </c>
      <c r="AN1214">
        <v>0.99999997627977</v>
      </c>
    </row>
    <row r="1215" spans="1:40" x14ac:dyDescent="0.25">
      <c r="A1215" t="str">
        <f>"20190312151247854"</f>
        <v>20190312151247854</v>
      </c>
      <c r="B1215" t="str">
        <f>"1552374767851079"</f>
        <v>1552374767851079</v>
      </c>
      <c r="C1215" t="s">
        <v>40</v>
      </c>
      <c r="D1215">
        <v>4.768338</v>
      </c>
      <c r="E1215">
        <v>0.65521200000000002</v>
      </c>
      <c r="F1215" t="s">
        <v>51</v>
      </c>
      <c r="G1215">
        <v>-195.10480000000001</v>
      </c>
      <c r="H1215" s="1">
        <v>-3.0528990000000002E-6</v>
      </c>
      <c r="I1215">
        <v>352.53930000000003</v>
      </c>
      <c r="J1215">
        <v>-197.01419999999999</v>
      </c>
      <c r="K1215">
        <v>1.106203</v>
      </c>
      <c r="L1215">
        <v>359.87240000000003</v>
      </c>
      <c r="M1215">
        <v>0.76891909999999997</v>
      </c>
      <c r="N1215">
        <v>0</v>
      </c>
      <c r="O1215">
        <v>-0.63931479999999996</v>
      </c>
      <c r="P1215">
        <v>0.61111759999999904</v>
      </c>
      <c r="Q1215">
        <v>6.1015590000000001E-2</v>
      </c>
      <c r="R1215">
        <v>-0.78918469999999996</v>
      </c>
      <c r="S1215">
        <v>0.86630249999999998</v>
      </c>
      <c r="T1215">
        <v>-0.47233209999999998</v>
      </c>
      <c r="U1215">
        <v>-3.1772459999999998</v>
      </c>
      <c r="V1215">
        <v>0.21667159999999999</v>
      </c>
      <c r="W1215">
        <v>6.5389039999999996E-2</v>
      </c>
      <c r="X1215">
        <v>0.97405220000000003</v>
      </c>
      <c r="Y1215">
        <v>0.5733355</v>
      </c>
      <c r="Z1215">
        <v>5.653188E-2</v>
      </c>
      <c r="AA1215">
        <v>0.81736799999999998</v>
      </c>
      <c r="AB1215">
        <v>17</v>
      </c>
      <c r="AC1215">
        <v>1.90939999999997</v>
      </c>
      <c r="AD1215">
        <v>-1.1062060528990001</v>
      </c>
      <c r="AE1215">
        <v>-7.3331</v>
      </c>
      <c r="AF1215">
        <v>4.3257543829520202</v>
      </c>
      <c r="AG1215">
        <v>-1.1062060528990001</v>
      </c>
      <c r="AH1215">
        <v>6.0279929497396196</v>
      </c>
      <c r="AI1215">
        <v>98.480024628422399</v>
      </c>
      <c r="AJ1215">
        <v>54.336360081986001</v>
      </c>
      <c r="AK1215">
        <v>7.5015026371527496</v>
      </c>
      <c r="AL1215">
        <v>86.250808979749607</v>
      </c>
      <c r="AM1215">
        <v>77.459110109329302</v>
      </c>
      <c r="AN1215">
        <v>0.99999999856176003</v>
      </c>
    </row>
    <row r="1216" spans="1:40" x14ac:dyDescent="0.25">
      <c r="A1216" t="str">
        <f>"20190312151247876"</f>
        <v>20190312151247876</v>
      </c>
      <c r="B1216" t="str">
        <f>"1552374767870599"</f>
        <v>1552374767870599</v>
      </c>
      <c r="C1216" t="s">
        <v>40</v>
      </c>
      <c r="D1216">
        <v>4.7646119999999996</v>
      </c>
      <c r="E1216">
        <v>0.65479449999999995</v>
      </c>
      <c r="F1216" t="s">
        <v>51</v>
      </c>
      <c r="G1216">
        <v>-195.0378</v>
      </c>
      <c r="H1216" s="1">
        <v>-3.0087000000000001E-6</v>
      </c>
      <c r="I1216">
        <v>352.48099999999999</v>
      </c>
      <c r="J1216">
        <v>-196.88650000000001</v>
      </c>
      <c r="K1216">
        <v>1.1061609999999999</v>
      </c>
      <c r="L1216">
        <v>359.755</v>
      </c>
      <c r="M1216">
        <v>0.76418169999999996</v>
      </c>
      <c r="N1216">
        <v>0</v>
      </c>
      <c r="O1216">
        <v>-0.64497019999999905</v>
      </c>
      <c r="P1216">
        <v>0.60567119999999997</v>
      </c>
      <c r="Q1216">
        <v>6.1114839999999997E-2</v>
      </c>
      <c r="R1216">
        <v>-0.79336479999999998</v>
      </c>
      <c r="S1216">
        <v>0.85025019999999996</v>
      </c>
      <c r="T1216">
        <v>-0.47589229999999999</v>
      </c>
      <c r="U1216">
        <v>-3.1797789999999999</v>
      </c>
      <c r="V1216">
        <v>0.2161912</v>
      </c>
      <c r="W1216">
        <v>6.5484189999999998E-2</v>
      </c>
      <c r="X1216">
        <v>0.97415260000000004</v>
      </c>
      <c r="Y1216">
        <v>0.57133650000000002</v>
      </c>
      <c r="Z1216">
        <v>5.8151139999999997E-2</v>
      </c>
      <c r="AA1216">
        <v>0.81865319999999997</v>
      </c>
      <c r="AB1216">
        <v>17</v>
      </c>
      <c r="AC1216">
        <v>1.8487</v>
      </c>
      <c r="AD1216">
        <v>-1.1061640087</v>
      </c>
      <c r="AE1216">
        <v>-7.274</v>
      </c>
      <c r="AF1216">
        <v>4.27355600004236</v>
      </c>
      <c r="AG1216">
        <v>-1.1061640087</v>
      </c>
      <c r="AH1216">
        <v>5.9745945041814998</v>
      </c>
      <c r="AI1216">
        <v>98.563652461936499</v>
      </c>
      <c r="AJ1216">
        <v>54.424312853405098</v>
      </c>
      <c r="AK1216">
        <v>7.4285031593879696</v>
      </c>
      <c r="AL1216">
        <v>86.245345774275705</v>
      </c>
      <c r="AM1216">
        <v>77.487287849458696</v>
      </c>
      <c r="AN1216">
        <v>1.0000000510920699</v>
      </c>
    </row>
    <row r="1217" spans="1:40" x14ac:dyDescent="0.25">
      <c r="A1217" t="str">
        <f>"20190312151247890"</f>
        <v>20190312151247890</v>
      </c>
      <c r="B1217" t="str">
        <f>"1552374767881336"</f>
        <v>1552374767881336</v>
      </c>
      <c r="C1217" t="s">
        <v>40</v>
      </c>
      <c r="D1217">
        <v>4.809126</v>
      </c>
      <c r="E1217">
        <v>0.65449849999999998</v>
      </c>
      <c r="F1217" t="s">
        <v>51</v>
      </c>
      <c r="G1217">
        <v>-194.96199999999999</v>
      </c>
      <c r="H1217" s="1">
        <v>-2.940707E-6</v>
      </c>
      <c r="I1217">
        <v>352.3793</v>
      </c>
      <c r="J1217">
        <v>-196.8091</v>
      </c>
      <c r="K1217">
        <v>1.106136</v>
      </c>
      <c r="L1217">
        <v>359.6832</v>
      </c>
      <c r="M1217">
        <v>0.76127889999999998</v>
      </c>
      <c r="N1217">
        <v>0</v>
      </c>
      <c r="O1217">
        <v>-0.64839380000000002</v>
      </c>
      <c r="P1217">
        <v>0.60211320000000002</v>
      </c>
      <c r="Q1217">
        <v>6.1216470000000002E-2</v>
      </c>
      <c r="R1217">
        <v>-0.7960604</v>
      </c>
      <c r="S1217">
        <v>0.83074950000000003</v>
      </c>
      <c r="T1217">
        <v>-0.47750209999999998</v>
      </c>
      <c r="U1217">
        <v>-3.1838989999999998</v>
      </c>
      <c r="V1217">
        <v>0.2161788</v>
      </c>
      <c r="W1217">
        <v>6.5582210000000002E-2</v>
      </c>
      <c r="X1217">
        <v>0.97414869999999998</v>
      </c>
      <c r="Y1217">
        <v>0.57261139999999999</v>
      </c>
      <c r="Z1217">
        <v>5.8891319999999997E-2</v>
      </c>
      <c r="AA1217">
        <v>0.81770900000000002</v>
      </c>
      <c r="AB1217">
        <v>17</v>
      </c>
      <c r="AC1217">
        <v>1.84709999999998</v>
      </c>
      <c r="AD1217">
        <v>-1.1061389407069999</v>
      </c>
      <c r="AE1217">
        <v>-7.3038999999999898</v>
      </c>
      <c r="AF1217">
        <v>4.2706811214450298</v>
      </c>
      <c r="AG1217">
        <v>-1.1061389407069999</v>
      </c>
      <c r="AH1217">
        <v>6.0124739125778603</v>
      </c>
      <c r="AI1217">
        <v>98.530081346074098</v>
      </c>
      <c r="AJ1217">
        <v>54.6136894684686</v>
      </c>
      <c r="AK1217">
        <v>7.4573522879534604</v>
      </c>
      <c r="AL1217">
        <v>86.239717331676601</v>
      </c>
      <c r="AM1217">
        <v>77.487934421433806</v>
      </c>
      <c r="AN1217">
        <v>0.99999999477480706</v>
      </c>
    </row>
    <row r="1218" spans="1:40" x14ac:dyDescent="0.25">
      <c r="A1218" t="str">
        <f>"20190312151247902"</f>
        <v>20190312151247902</v>
      </c>
      <c r="B1218" t="str">
        <f>"1552374767891095"</f>
        <v>1552374767891095</v>
      </c>
      <c r="C1218" t="s">
        <v>40</v>
      </c>
      <c r="D1218">
        <v>4.8519100000000002</v>
      </c>
      <c r="E1218">
        <v>0.65421669999999998</v>
      </c>
      <c r="F1218" t="s">
        <v>51</v>
      </c>
      <c r="G1218">
        <v>-194.9092</v>
      </c>
      <c r="H1218" s="1">
        <v>-2.8843270000000002E-6</v>
      </c>
      <c r="I1218">
        <v>352.29050000000001</v>
      </c>
      <c r="J1218">
        <v>-196.73429999999999</v>
      </c>
      <c r="K1218">
        <v>1.106109</v>
      </c>
      <c r="L1218">
        <v>359.61309999999997</v>
      </c>
      <c r="M1218">
        <v>0.75844449999999997</v>
      </c>
      <c r="N1218">
        <v>0</v>
      </c>
      <c r="O1218">
        <v>-0.65170689999999998</v>
      </c>
      <c r="P1218">
        <v>0.59888730000000001</v>
      </c>
      <c r="Q1218">
        <v>6.1640710000000001E-2</v>
      </c>
      <c r="R1218">
        <v>-0.79845759999999999</v>
      </c>
      <c r="S1218">
        <v>0.81877140000000004</v>
      </c>
      <c r="T1218">
        <v>-0.47669660000000003</v>
      </c>
      <c r="U1218">
        <v>-3.1859130000000002</v>
      </c>
      <c r="V1218">
        <v>0.2158554</v>
      </c>
      <c r="W1218">
        <v>6.6008049999999999E-2</v>
      </c>
      <c r="X1218">
        <v>0.97419169999999999</v>
      </c>
      <c r="Y1218">
        <v>0.57206519999999905</v>
      </c>
      <c r="Z1218">
        <v>5.9454849999999997E-2</v>
      </c>
      <c r="AA1218">
        <v>0.81805039999999996</v>
      </c>
      <c r="AB1218">
        <v>17</v>
      </c>
      <c r="AC1218">
        <v>1.82509999999999</v>
      </c>
      <c r="AD1218">
        <v>-1.1061118843269999</v>
      </c>
      <c r="AE1218">
        <v>-7.3225999999999596</v>
      </c>
      <c r="AF1218">
        <v>4.2726537802147799</v>
      </c>
      <c r="AG1218">
        <v>-1.1061118843269999</v>
      </c>
      <c r="AH1218">
        <v>6.0270702605751296</v>
      </c>
      <c r="AI1218">
        <v>98.515034869602104</v>
      </c>
      <c r="AJ1218">
        <v>54.666769442357399</v>
      </c>
      <c r="AK1218">
        <v>7.4702496445662598</v>
      </c>
      <c r="AL1218">
        <v>86.215265693624502</v>
      </c>
      <c r="AM1218">
        <v>77.506598265994697</v>
      </c>
      <c r="AN1218">
        <v>1.0000000423614199</v>
      </c>
    </row>
    <row r="1219" spans="1:40" x14ac:dyDescent="0.25">
      <c r="A1219" t="str">
        <f>"20190312151247923"</f>
        <v>20190312151247923</v>
      </c>
      <c r="B1219" t="str">
        <f>"1552374767910615"</f>
        <v>1552374767910615</v>
      </c>
      <c r="C1219" t="s">
        <v>40</v>
      </c>
      <c r="D1219">
        <v>5.7739409999999998</v>
      </c>
      <c r="E1219">
        <v>0.65393950000000001</v>
      </c>
      <c r="F1219" t="s">
        <v>51</v>
      </c>
      <c r="G1219">
        <v>-194.85720000000001</v>
      </c>
      <c r="H1219" s="1">
        <v>-2.8283160000000001E-6</v>
      </c>
      <c r="I1219">
        <v>352.20209999999997</v>
      </c>
      <c r="J1219">
        <v>-196.625</v>
      </c>
      <c r="K1219">
        <v>1.1060719999999999</v>
      </c>
      <c r="L1219">
        <v>359.5093</v>
      </c>
      <c r="M1219">
        <v>0.754254599999999</v>
      </c>
      <c r="N1219">
        <v>0</v>
      </c>
      <c r="O1219">
        <v>-0.65655129999999995</v>
      </c>
      <c r="P1219">
        <v>0.59432890000000005</v>
      </c>
      <c r="Q1219">
        <v>6.2087459999999997E-2</v>
      </c>
      <c r="R1219">
        <v>-0.80182219999999904</v>
      </c>
      <c r="S1219">
        <v>0.80757139999999905</v>
      </c>
      <c r="T1219">
        <v>-0.4758618</v>
      </c>
      <c r="U1219">
        <v>-3.1882630000000001</v>
      </c>
      <c r="V1219">
        <v>0.2151486</v>
      </c>
      <c r="W1219">
        <v>6.6461939999999997E-2</v>
      </c>
      <c r="X1219">
        <v>0.97431710000000005</v>
      </c>
      <c r="Y1219">
        <v>0.56969199999999998</v>
      </c>
      <c r="Z1219">
        <v>6.0414860000000001E-2</v>
      </c>
      <c r="AA1219">
        <v>0.81963469999999905</v>
      </c>
      <c r="AB1219">
        <v>17</v>
      </c>
      <c r="AC1219">
        <v>1.76779999999999</v>
      </c>
      <c r="AD1219">
        <v>-1.106074828316</v>
      </c>
      <c r="AE1219">
        <v>-7.3072000000000203</v>
      </c>
      <c r="AF1219">
        <v>4.2587436854934202</v>
      </c>
      <c r="AG1219">
        <v>-1.106074828316</v>
      </c>
      <c r="AH1219">
        <v>6.0011497584083298</v>
      </c>
      <c r="AI1219">
        <v>98.548031179583205</v>
      </c>
      <c r="AJ1219">
        <v>54.638406667411402</v>
      </c>
      <c r="AK1219">
        <v>7.4413774079405997</v>
      </c>
      <c r="AL1219">
        <v>86.189202167064906</v>
      </c>
      <c r="AM1219">
        <v>77.547781349361898</v>
      </c>
      <c r="AN1219">
        <v>0.999999960451466</v>
      </c>
    </row>
    <row r="1220" spans="1:40" x14ac:dyDescent="0.25">
      <c r="A1220" t="str">
        <f>"20190312151247945"</f>
        <v>20190312151247945</v>
      </c>
      <c r="B1220" t="str">
        <f>"1552374767940871"</f>
        <v>1552374767940871</v>
      </c>
      <c r="C1220" t="s">
        <v>40</v>
      </c>
      <c r="D1220">
        <v>4.8169589999999998</v>
      </c>
      <c r="E1220">
        <v>0.64999110000000004</v>
      </c>
      <c r="F1220" t="s">
        <v>51</v>
      </c>
      <c r="G1220">
        <v>-194.78129999999999</v>
      </c>
      <c r="H1220" s="1">
        <v>-2.7342279999999999E-6</v>
      </c>
      <c r="I1220">
        <v>352.0727</v>
      </c>
      <c r="J1220">
        <v>-196.4956</v>
      </c>
      <c r="K1220">
        <v>1.106025</v>
      </c>
      <c r="L1220">
        <v>359.38499999999999</v>
      </c>
      <c r="M1220">
        <v>0.74922469999999997</v>
      </c>
      <c r="N1220">
        <v>0</v>
      </c>
      <c r="O1220">
        <v>-0.66228529999999997</v>
      </c>
      <c r="P1220">
        <v>0.58809789999999995</v>
      </c>
      <c r="Q1220">
        <v>6.1783810000000002E-2</v>
      </c>
      <c r="R1220">
        <v>-0.80642630000000004</v>
      </c>
      <c r="S1220">
        <v>0.79130549999999999</v>
      </c>
      <c r="T1220">
        <v>-0.47470869999999998</v>
      </c>
      <c r="U1220">
        <v>-3.191681</v>
      </c>
      <c r="V1220">
        <v>0.21528820000000001</v>
      </c>
      <c r="W1220">
        <v>6.6163169999999993E-2</v>
      </c>
      <c r="X1220">
        <v>0.97430660000000002</v>
      </c>
      <c r="Y1220">
        <v>0.5676021</v>
      </c>
      <c r="Z1220">
        <v>6.1475370000000001E-2</v>
      </c>
      <c r="AA1220">
        <v>0.82100469999999903</v>
      </c>
      <c r="AB1220">
        <v>17</v>
      </c>
      <c r="AC1220">
        <v>1.7142999999999999</v>
      </c>
      <c r="AD1220">
        <v>-1.106027734228</v>
      </c>
      <c r="AE1220">
        <v>-7.3122999999999898</v>
      </c>
      <c r="AF1220">
        <v>4.25109719517123</v>
      </c>
      <c r="AG1220">
        <v>-1.106027734228</v>
      </c>
      <c r="AH1220">
        <v>5.99728938171494</v>
      </c>
      <c r="AI1220">
        <v>98.556347281424607</v>
      </c>
      <c r="AJ1220">
        <v>54.669596452777199</v>
      </c>
      <c r="AK1220">
        <v>7.4338822051270803</v>
      </c>
      <c r="AL1220">
        <v>86.206358197619593</v>
      </c>
      <c r="AM1220">
        <v>77.539823855618394</v>
      </c>
      <c r="AN1220">
        <v>0.99999996246362299</v>
      </c>
    </row>
    <row r="1221" spans="1:40" x14ac:dyDescent="0.25">
      <c r="A1221" t="str">
        <f>"20190312151247966"</f>
        <v>20190312151247966</v>
      </c>
      <c r="B1221" t="str">
        <f>"1552374767961367"</f>
        <v>1552374767961367</v>
      </c>
      <c r="C1221" t="s">
        <v>40</v>
      </c>
      <c r="D1221">
        <v>4.8438610000000004</v>
      </c>
      <c r="E1221">
        <v>0.64667359999999996</v>
      </c>
      <c r="F1221" t="s">
        <v>42</v>
      </c>
      <c r="G1221">
        <v>-193.1285</v>
      </c>
      <c r="H1221" s="1">
        <v>-3.570923E-6</v>
      </c>
      <c r="I1221">
        <v>345.97269999999997</v>
      </c>
      <c r="J1221">
        <v>-196.3776</v>
      </c>
      <c r="K1221">
        <v>1.1059829999999999</v>
      </c>
      <c r="L1221">
        <v>359.26990000000001</v>
      </c>
      <c r="M1221">
        <v>0.74457099999999998</v>
      </c>
      <c r="N1221">
        <v>0</v>
      </c>
      <c r="O1221">
        <v>-0.66751240000000001</v>
      </c>
      <c r="P1221">
        <v>0.58194889999999999</v>
      </c>
      <c r="Q1221">
        <v>6.186929E-2</v>
      </c>
      <c r="R1221">
        <v>-0.8108687</v>
      </c>
      <c r="S1221">
        <v>0.79362489999999997</v>
      </c>
      <c r="T1221">
        <v>-0.26069100000000001</v>
      </c>
      <c r="U1221">
        <v>-3.1612849999999999</v>
      </c>
      <c r="V1221">
        <v>0.21588019999999999</v>
      </c>
      <c r="W1221">
        <v>6.6252610000000003E-2</v>
      </c>
      <c r="X1221">
        <v>0.97416959999999997</v>
      </c>
      <c r="Y1221">
        <v>0.55958989999999997</v>
      </c>
      <c r="Z1221">
        <v>3.508476E-2</v>
      </c>
      <c r="AA1221">
        <v>0.8280267</v>
      </c>
      <c r="AB1221">
        <v>17</v>
      </c>
      <c r="AC1221">
        <v>3.2490999999999901</v>
      </c>
      <c r="AD1221">
        <v>-1.1059865709229999</v>
      </c>
      <c r="AE1221">
        <v>-13.2972</v>
      </c>
      <c r="AF1221">
        <v>7.6819051824409499</v>
      </c>
      <c r="AG1221">
        <v>-1.1059865709229999</v>
      </c>
      <c r="AH1221">
        <v>11.2222033516185</v>
      </c>
      <c r="AI1221">
        <v>94.649338693660695</v>
      </c>
      <c r="AJ1221">
        <v>55.607292530690202</v>
      </c>
      <c r="AK1221">
        <v>13.6445125084099</v>
      </c>
      <c r="AL1221">
        <v>86.201222686588594</v>
      </c>
      <c r="AM1221">
        <v>77.504933397827898</v>
      </c>
      <c r="AN1221">
        <v>1.0000000393240001</v>
      </c>
    </row>
    <row r="1222" spans="1:40" x14ac:dyDescent="0.25">
      <c r="A1222" t="str">
        <f>"20190312151247990"</f>
        <v>20190312151247990</v>
      </c>
      <c r="B1222" t="str">
        <f>"1552374767980888"</f>
        <v>1552374767980888</v>
      </c>
      <c r="C1222" t="s">
        <v>40</v>
      </c>
      <c r="D1222">
        <v>4.8203699999999996</v>
      </c>
      <c r="E1222">
        <v>0.64667509999999995</v>
      </c>
      <c r="F1222" t="s">
        <v>51</v>
      </c>
      <c r="G1222">
        <v>-194.60390000000001</v>
      </c>
      <c r="H1222" s="1">
        <v>-2.7361759999999999E-6</v>
      </c>
      <c r="I1222">
        <v>352.15570000000002</v>
      </c>
      <c r="J1222">
        <v>-196.24019999999999</v>
      </c>
      <c r="K1222">
        <v>1.1059429999999999</v>
      </c>
      <c r="L1222">
        <v>359.1336</v>
      </c>
      <c r="M1222">
        <v>0.73906139999999998</v>
      </c>
      <c r="N1222">
        <v>0</v>
      </c>
      <c r="O1222">
        <v>-0.67360719999999996</v>
      </c>
      <c r="P1222">
        <v>0.57493450000000001</v>
      </c>
      <c r="Q1222">
        <v>6.1777840000000001E-2</v>
      </c>
      <c r="R1222">
        <v>-0.81586400000000003</v>
      </c>
      <c r="S1222">
        <v>0.79040529999999998</v>
      </c>
      <c r="T1222">
        <v>-0.49283100000000002</v>
      </c>
      <c r="U1222">
        <v>-3.170105</v>
      </c>
      <c r="V1222">
        <v>0.2162888</v>
      </c>
      <c r="W1222">
        <v>6.6170309999999996E-2</v>
      </c>
      <c r="X1222">
        <v>0.97408450000000002</v>
      </c>
      <c r="Y1222">
        <v>0.55403340000000001</v>
      </c>
      <c r="Z1222">
        <v>6.7341479999999995E-2</v>
      </c>
      <c r="AA1222">
        <v>0.82976629999999996</v>
      </c>
      <c r="AB1222">
        <v>17</v>
      </c>
      <c r="AC1222">
        <v>1.6362999999999699</v>
      </c>
      <c r="AD1222">
        <v>-1.1059457361759999</v>
      </c>
      <c r="AE1222">
        <v>-6.9778999999999698</v>
      </c>
      <c r="AF1222">
        <v>3.9606519322214502</v>
      </c>
      <c r="AG1222">
        <v>-1.1059457361759999</v>
      </c>
      <c r="AH1222">
        <v>5.77236920871285</v>
      </c>
      <c r="AI1222">
        <v>98.9774459321211</v>
      </c>
      <c r="AJ1222">
        <v>55.544433307038098</v>
      </c>
      <c r="AK1222">
        <v>7.08732149554905</v>
      </c>
      <c r="AL1222">
        <v>86.2059482892425</v>
      </c>
      <c r="AM1222">
        <v>77.480969397943397</v>
      </c>
      <c r="AN1222">
        <v>0.99999998403559298</v>
      </c>
    </row>
    <row r="1223" spans="1:40" x14ac:dyDescent="0.25">
      <c r="A1223" t="str">
        <f>"20190312151248011"</f>
        <v>20190312151248011</v>
      </c>
      <c r="B1223" t="str">
        <f>"1552374768001386"</f>
        <v>1552374768001386</v>
      </c>
      <c r="C1223" t="s">
        <v>40</v>
      </c>
      <c r="D1223">
        <v>4.8495249999999999</v>
      </c>
      <c r="E1223">
        <v>0.64688100000000004</v>
      </c>
      <c r="F1223" t="s">
        <v>51</v>
      </c>
      <c r="G1223">
        <v>-194.51240000000001</v>
      </c>
      <c r="H1223" s="1">
        <v>-2.585036E-6</v>
      </c>
      <c r="I1223">
        <v>351.94150000000002</v>
      </c>
      <c r="J1223">
        <v>-196.1208</v>
      </c>
      <c r="K1223">
        <v>1.1059159999999999</v>
      </c>
      <c r="L1223">
        <v>359.0136</v>
      </c>
      <c r="M1223">
        <v>0.73419979999999996</v>
      </c>
      <c r="N1223">
        <v>0</v>
      </c>
      <c r="O1223">
        <v>-0.67890260000000002</v>
      </c>
      <c r="P1223">
        <v>0.56865580000000004</v>
      </c>
      <c r="Q1223">
        <v>6.1848609999999998E-2</v>
      </c>
      <c r="R1223">
        <v>-0.82024719999999995</v>
      </c>
      <c r="S1223">
        <v>0.76309199999999999</v>
      </c>
      <c r="T1223">
        <v>-0.48843500000000001</v>
      </c>
      <c r="U1223">
        <v>-3.176361</v>
      </c>
      <c r="V1223">
        <v>0.2167656</v>
      </c>
      <c r="W1223">
        <v>6.624737E-2</v>
      </c>
      <c r="X1223">
        <v>0.97397330000000004</v>
      </c>
      <c r="Y1223">
        <v>0.55518699999999999</v>
      </c>
      <c r="Z1223">
        <v>6.7676349999999996E-2</v>
      </c>
      <c r="AA1223">
        <v>0.82896759999999903</v>
      </c>
      <c r="AB1223">
        <v>18</v>
      </c>
      <c r="AC1223">
        <v>1.6083999999999801</v>
      </c>
      <c r="AD1223">
        <v>-1.1059185850359901</v>
      </c>
      <c r="AE1223">
        <v>-7.0720999999999696</v>
      </c>
      <c r="AF1223">
        <v>4.0072983842111602</v>
      </c>
      <c r="AG1223">
        <v>-1.1059185850359901</v>
      </c>
      <c r="AH1223">
        <v>5.8463441354437604</v>
      </c>
      <c r="AI1223">
        <v>98.868315866868997</v>
      </c>
      <c r="AJ1223">
        <v>55.571832951620202</v>
      </c>
      <c r="AK1223">
        <v>7.1736487234089603</v>
      </c>
      <c r="AL1223">
        <v>86.201523482096505</v>
      </c>
      <c r="AM1223">
        <v>77.4528574744146</v>
      </c>
      <c r="AN1223">
        <v>1.0000000142440799</v>
      </c>
    </row>
    <row r="1224" spans="1:40" x14ac:dyDescent="0.25">
      <c r="A1224" t="str">
        <f>"20190312151248033"</f>
        <v>20190312151248033</v>
      </c>
      <c r="B1224" t="str">
        <f>"1552374768030663"</f>
        <v>1552374768030663</v>
      </c>
      <c r="C1224" t="s">
        <v>40</v>
      </c>
      <c r="D1224">
        <v>4.8238789999999998</v>
      </c>
      <c r="E1224">
        <v>0.64585389999999998</v>
      </c>
      <c r="F1224" t="s">
        <v>51</v>
      </c>
      <c r="G1224">
        <v>-194.4265</v>
      </c>
      <c r="H1224" s="1">
        <v>-2.4186469999999998E-6</v>
      </c>
      <c r="I1224">
        <v>351.69900000000001</v>
      </c>
      <c r="J1224">
        <v>-195.99260000000001</v>
      </c>
      <c r="K1224">
        <v>1.1058749999999999</v>
      </c>
      <c r="L1224">
        <v>358.88260000000002</v>
      </c>
      <c r="M1224">
        <v>0.72889589999999904</v>
      </c>
      <c r="N1224">
        <v>0</v>
      </c>
      <c r="O1224">
        <v>-0.68459360000000002</v>
      </c>
      <c r="P1224">
        <v>0.56206699999999998</v>
      </c>
      <c r="Q1224">
        <v>6.1830870000000003E-2</v>
      </c>
      <c r="R1224">
        <v>-0.82477780000000001</v>
      </c>
      <c r="S1224">
        <v>0.73722840000000001</v>
      </c>
      <c r="T1224">
        <v>-0.48119390000000001</v>
      </c>
      <c r="U1224">
        <v>-3.182617</v>
      </c>
      <c r="V1224">
        <v>0.21699779999999999</v>
      </c>
      <c r="W1224">
        <v>6.6238340000000007E-2</v>
      </c>
      <c r="X1224">
        <v>0.97392219999999996</v>
      </c>
      <c r="Y1224">
        <v>0.55549869999999901</v>
      </c>
      <c r="Z1224">
        <v>6.7727029999999994E-2</v>
      </c>
      <c r="AA1224">
        <v>0.82875469999999896</v>
      </c>
      <c r="AB1224">
        <v>18</v>
      </c>
      <c r="AC1224">
        <v>1.5661</v>
      </c>
      <c r="AD1224">
        <v>-1.105877418647</v>
      </c>
      <c r="AE1224">
        <v>-7.18360000000001</v>
      </c>
      <c r="AF1224">
        <v>4.0719208110622001</v>
      </c>
      <c r="AG1224">
        <v>-1.105877418647</v>
      </c>
      <c r="AH1224">
        <v>5.9254433148688799</v>
      </c>
      <c r="AI1224">
        <v>98.744400287417903</v>
      </c>
      <c r="AJ1224">
        <v>55.503438473821703</v>
      </c>
      <c r="AK1224">
        <v>7.2742272740380596</v>
      </c>
      <c r="AL1224">
        <v>86.202041975372097</v>
      </c>
      <c r="AM1224">
        <v>77.439205098236698</v>
      </c>
      <c r="AN1224">
        <v>1.00000000727181</v>
      </c>
    </row>
    <row r="1225" spans="1:40" x14ac:dyDescent="0.25">
      <c r="A1225" t="str">
        <f>"20190312151248056"</f>
        <v>20190312151248056</v>
      </c>
      <c r="B1225" t="str">
        <f>"1552374768051159"</f>
        <v>1552374768051159</v>
      </c>
      <c r="C1225" t="s">
        <v>40</v>
      </c>
      <c r="D1225">
        <v>4.8506090000000004</v>
      </c>
      <c r="E1225">
        <v>0.64544409999999997</v>
      </c>
      <c r="F1225" t="s">
        <v>51</v>
      </c>
      <c r="G1225">
        <v>-194.32759999999999</v>
      </c>
      <c r="H1225" s="1">
        <v>-2.2800499999999999E-6</v>
      </c>
      <c r="I1225">
        <v>351.5093</v>
      </c>
      <c r="J1225">
        <v>-195.869</v>
      </c>
      <c r="K1225">
        <v>1.1058330000000001</v>
      </c>
      <c r="L1225">
        <v>358.75439999999998</v>
      </c>
      <c r="M1225">
        <v>0.72370400000000001</v>
      </c>
      <c r="N1225">
        <v>0</v>
      </c>
      <c r="O1225">
        <v>-0.69007929999999995</v>
      </c>
      <c r="P1225">
        <v>0.55563689999999999</v>
      </c>
      <c r="Q1225">
        <v>6.2023910000000002E-2</v>
      </c>
      <c r="R1225">
        <v>-0.82910839999999997</v>
      </c>
      <c r="S1225">
        <v>0.71881099999999998</v>
      </c>
      <c r="T1225">
        <v>-0.47744560000000003</v>
      </c>
      <c r="U1225">
        <v>-3.1832889999999998</v>
      </c>
      <c r="V1225">
        <v>0.21721170000000001</v>
      </c>
      <c r="W1225">
        <v>6.6438650000000002E-2</v>
      </c>
      <c r="X1225">
        <v>0.97386090000000003</v>
      </c>
      <c r="Y1225">
        <v>0.5538478</v>
      </c>
      <c r="Z1225">
        <v>6.8412600000000004E-2</v>
      </c>
      <c r="AA1225">
        <v>0.82980259999999995</v>
      </c>
      <c r="AB1225">
        <v>18</v>
      </c>
      <c r="AC1225">
        <v>1.5414000000000301</v>
      </c>
      <c r="AD1225">
        <v>-1.10583528005</v>
      </c>
      <c r="AE1225">
        <v>-7.2450999999999697</v>
      </c>
      <c r="AF1225">
        <v>4.0885842288229099</v>
      </c>
      <c r="AG1225">
        <v>-1.10583528005</v>
      </c>
      <c r="AH1225">
        <v>5.9820167998606797</v>
      </c>
      <c r="AI1225">
        <v>98.677422458161104</v>
      </c>
      <c r="AJ1225">
        <v>55.648204617047497</v>
      </c>
      <c r="AK1225">
        <v>7.3296601324071</v>
      </c>
      <c r="AL1225">
        <v>86.190539824998496</v>
      </c>
      <c r="AM1225">
        <v>77.426450854244806</v>
      </c>
      <c r="AN1225">
        <v>1.00000003468976</v>
      </c>
    </row>
    <row r="1226" spans="1:40" x14ac:dyDescent="0.25">
      <c r="A1226" t="str">
        <f>"20190312151248078"</f>
        <v>20190312151248078</v>
      </c>
      <c r="B1226" t="str">
        <f>"1552374768070679"</f>
        <v>1552374768070679</v>
      </c>
      <c r="C1226" t="s">
        <v>40</v>
      </c>
      <c r="D1226">
        <v>4.8170080000000004</v>
      </c>
      <c r="E1226">
        <v>0.64530889999999996</v>
      </c>
      <c r="F1226" t="s">
        <v>51</v>
      </c>
      <c r="G1226">
        <v>-194.26519999999999</v>
      </c>
      <c r="H1226" s="1">
        <v>-2.2122659999999999E-6</v>
      </c>
      <c r="I1226">
        <v>351.42290000000003</v>
      </c>
      <c r="J1226">
        <v>-195.7422</v>
      </c>
      <c r="K1226">
        <v>1.1057920000000001</v>
      </c>
      <c r="L1226">
        <v>358.62110000000001</v>
      </c>
      <c r="M1226">
        <v>0.71829860000000001</v>
      </c>
      <c r="N1226">
        <v>0</v>
      </c>
      <c r="O1226">
        <v>-0.69570410000000005</v>
      </c>
      <c r="P1226">
        <v>0.54907620000000001</v>
      </c>
      <c r="Q1226">
        <v>6.2140710000000002E-2</v>
      </c>
      <c r="R1226">
        <v>-0.83345919999999896</v>
      </c>
      <c r="S1226">
        <v>0.69717410000000002</v>
      </c>
      <c r="T1226">
        <v>-0.48071789999999998</v>
      </c>
      <c r="U1226">
        <v>-3.187103</v>
      </c>
      <c r="V1226">
        <v>0.21730160000000001</v>
      </c>
      <c r="W1226">
        <v>6.6562819999999995E-2</v>
      </c>
      <c r="X1226">
        <v>0.97383229999999998</v>
      </c>
      <c r="Y1226">
        <v>0.55296279999999998</v>
      </c>
      <c r="Z1226">
        <v>7.0011970000000007E-2</v>
      </c>
      <c r="AA1226">
        <v>0.83025930000000003</v>
      </c>
      <c r="AB1226">
        <v>18</v>
      </c>
      <c r="AC1226">
        <v>1.4770000000000001</v>
      </c>
      <c r="AD1226">
        <v>-1.1057942122660001</v>
      </c>
      <c r="AE1226">
        <v>-7.1981999999999804</v>
      </c>
      <c r="AF1226">
        <v>4.05124670170773</v>
      </c>
      <c r="AG1226">
        <v>-1.1057942122660001</v>
      </c>
      <c r="AH1226">
        <v>5.93448266655159</v>
      </c>
      <c r="AI1226">
        <v>98.748814136219394</v>
      </c>
      <c r="AJ1226">
        <v>55.680125777255</v>
      </c>
      <c r="AK1226">
        <v>7.27003887180667</v>
      </c>
      <c r="AL1226">
        <v>86.183409382984806</v>
      </c>
      <c r="AM1226">
        <v>77.421054804133604</v>
      </c>
      <c r="AN1226">
        <v>0.99999997144609998</v>
      </c>
    </row>
    <row r="1227" spans="1:40" x14ac:dyDescent="0.25">
      <c r="A1227" t="str">
        <f>"20190312151248091"</f>
        <v>20190312151248091</v>
      </c>
      <c r="B1227" t="str">
        <f>"1552374768081415"</f>
        <v>1552374768081415</v>
      </c>
      <c r="C1227" t="s">
        <v>40</v>
      </c>
      <c r="D1227">
        <v>4.8510749999999998</v>
      </c>
      <c r="E1227">
        <v>0.66591009999999995</v>
      </c>
      <c r="F1227" t="s">
        <v>51</v>
      </c>
      <c r="G1227">
        <v>-194.18680000000001</v>
      </c>
      <c r="H1227" s="1">
        <v>-2.089875E-6</v>
      </c>
      <c r="I1227">
        <v>351.25130000000001</v>
      </c>
      <c r="J1227">
        <v>-195.6677</v>
      </c>
      <c r="K1227">
        <v>1.1057699999999999</v>
      </c>
      <c r="L1227">
        <v>358.54169999999999</v>
      </c>
      <c r="M1227">
        <v>0.71507959999999904</v>
      </c>
      <c r="N1227">
        <v>0</v>
      </c>
      <c r="O1227">
        <v>-0.69901210000000003</v>
      </c>
      <c r="P1227">
        <v>0.54525299999999999</v>
      </c>
      <c r="Q1227">
        <v>6.1963520000000001E-2</v>
      </c>
      <c r="R1227">
        <v>-0.83597849999999996</v>
      </c>
      <c r="S1227">
        <v>0.67356870000000002</v>
      </c>
      <c r="T1227">
        <v>-0.47885749999999999</v>
      </c>
      <c r="U1227">
        <v>-3.1914370000000001</v>
      </c>
      <c r="V1227">
        <v>0.21727859999999999</v>
      </c>
      <c r="W1227">
        <v>6.6390119999999997E-2</v>
      </c>
      <c r="X1227">
        <v>0.97384919999999997</v>
      </c>
      <c r="Y1227">
        <v>0.55522469999999902</v>
      </c>
      <c r="Z1227">
        <v>7.022718E-2</v>
      </c>
      <c r="AA1227">
        <v>0.82873019999999997</v>
      </c>
      <c r="AB1227">
        <v>18</v>
      </c>
      <c r="AC1227">
        <v>1.4808999999999899</v>
      </c>
      <c r="AD1227">
        <v>-1.1057720898749901</v>
      </c>
      <c r="AE1227">
        <v>-7.2903999999999698</v>
      </c>
      <c r="AF1227">
        <v>4.0878244570939399</v>
      </c>
      <c r="AG1227">
        <v>-1.1057720898749901</v>
      </c>
      <c r="AH1227">
        <v>6.0221213205518502</v>
      </c>
      <c r="AI1227">
        <v>98.638519248844005</v>
      </c>
      <c r="AJ1227">
        <v>55.831283849409303</v>
      </c>
      <c r="AK1227">
        <v>7.3619960544819003</v>
      </c>
      <c r="AL1227">
        <v>86.193326223495802</v>
      </c>
      <c r="AM1227">
        <v>77.422555166452</v>
      </c>
      <c r="AN1227">
        <v>0.99999995119610596</v>
      </c>
    </row>
    <row r="1228" spans="1:40" x14ac:dyDescent="0.25">
      <c r="A1228" t="str">
        <f>"20190312151248112"</f>
        <v>20190312151248112</v>
      </c>
      <c r="B1228" t="str">
        <f>"1552374768100935"</f>
        <v>1552374768100935</v>
      </c>
      <c r="C1228" t="s">
        <v>40</v>
      </c>
      <c r="D1228">
        <v>4.7291369999999997</v>
      </c>
      <c r="E1228">
        <v>0.67118199999999995</v>
      </c>
      <c r="F1228" t="s">
        <v>42</v>
      </c>
      <c r="G1228">
        <v>-194.14439999999999</v>
      </c>
      <c r="H1228" s="1">
        <v>-4.81643899999999E-6</v>
      </c>
      <c r="I1228">
        <v>348.97989999999999</v>
      </c>
      <c r="J1228">
        <v>-195.55080000000001</v>
      </c>
      <c r="K1228">
        <v>1.1057410000000001</v>
      </c>
      <c r="L1228">
        <v>358.41559999999998</v>
      </c>
      <c r="M1228">
        <v>0.70996840000000005</v>
      </c>
      <c r="N1228">
        <v>0</v>
      </c>
      <c r="O1228">
        <v>-0.70420229999999995</v>
      </c>
      <c r="P1228">
        <v>0.53885939999999999</v>
      </c>
      <c r="Q1228">
        <v>6.1844959999999997E-2</v>
      </c>
      <c r="R1228">
        <v>-0.84012229999999999</v>
      </c>
      <c r="S1228">
        <v>0.52195740000000002</v>
      </c>
      <c r="T1228">
        <v>-0.37888820000000001</v>
      </c>
      <c r="U1228">
        <v>-3.2763059999999999</v>
      </c>
      <c r="V1228">
        <v>0.21762509999999999</v>
      </c>
      <c r="W1228">
        <v>6.6273540000000006E-2</v>
      </c>
      <c r="X1228">
        <v>0.97377979999999997</v>
      </c>
      <c r="Y1228">
        <v>0.59010819999999997</v>
      </c>
      <c r="Z1228">
        <v>5.3683109999999999E-2</v>
      </c>
      <c r="AA1228">
        <v>0.80553730000000001</v>
      </c>
      <c r="AB1228">
        <v>18</v>
      </c>
      <c r="AC1228">
        <v>1.4064000000000101</v>
      </c>
      <c r="AD1228">
        <v>-1.1057458164389999</v>
      </c>
      <c r="AE1228">
        <v>-9.43569999999999</v>
      </c>
      <c r="AF1228">
        <v>5.6331066477366702</v>
      </c>
      <c r="AG1228">
        <v>-1.1057458164389999</v>
      </c>
      <c r="AH1228">
        <v>7.5419869422492196</v>
      </c>
      <c r="AI1228">
        <v>96.699501641227798</v>
      </c>
      <c r="AJ1228">
        <v>53.243963008433099</v>
      </c>
      <c r="AK1228">
        <v>9.4781924095475691</v>
      </c>
      <c r="AL1228">
        <v>86.2000206285703</v>
      </c>
      <c r="AM1228">
        <v>77.402268116510797</v>
      </c>
      <c r="AN1228">
        <v>0.99999998257109002</v>
      </c>
    </row>
    <row r="1229" spans="1:40" x14ac:dyDescent="0.25">
      <c r="A1229" t="str">
        <f>"20190312151248136"</f>
        <v>20190312151248136</v>
      </c>
      <c r="B1229" t="str">
        <f>"1552374768131191"</f>
        <v>1552374768131191</v>
      </c>
      <c r="C1229" t="s">
        <v>40</v>
      </c>
      <c r="D1229">
        <v>4.7668660000000003</v>
      </c>
      <c r="E1229">
        <v>0.67702980000000001</v>
      </c>
      <c r="F1229" t="s">
        <v>42</v>
      </c>
      <c r="G1229">
        <v>-194.21299999999999</v>
      </c>
      <c r="H1229" s="1">
        <v>-4.7833020000000001E-6</v>
      </c>
      <c r="I1229">
        <v>348.8467</v>
      </c>
      <c r="J1229">
        <v>-195.41909999999999</v>
      </c>
      <c r="K1229">
        <v>1.105701</v>
      </c>
      <c r="L1229">
        <v>358.27140000000003</v>
      </c>
      <c r="M1229">
        <v>0.70411800000000002</v>
      </c>
      <c r="N1229">
        <v>0</v>
      </c>
      <c r="O1229">
        <v>-0.71005189999999996</v>
      </c>
      <c r="P1229">
        <v>0.53166969999999902</v>
      </c>
      <c r="Q1229">
        <v>6.2224040000000001E-2</v>
      </c>
      <c r="R1229">
        <v>-0.84466289999999999</v>
      </c>
      <c r="S1229">
        <v>0.46176149999999999</v>
      </c>
      <c r="T1229">
        <v>-0.38166050000000001</v>
      </c>
      <c r="U1229">
        <v>-3.302826</v>
      </c>
      <c r="V1229">
        <v>0.2178706</v>
      </c>
      <c r="W1229">
        <v>6.6654640000000001E-2</v>
      </c>
      <c r="X1229">
        <v>0.97369890000000003</v>
      </c>
      <c r="Y1229">
        <v>0.59874949999999905</v>
      </c>
      <c r="Z1229">
        <v>5.4198120000000002E-2</v>
      </c>
      <c r="AA1229">
        <v>0.79910049999999999</v>
      </c>
      <c r="AB1229">
        <v>18</v>
      </c>
      <c r="AC1229">
        <v>1.20609999999999</v>
      </c>
      <c r="AD1229">
        <v>-1.1057057833020001</v>
      </c>
      <c r="AE1229">
        <v>-9.4247000000000298</v>
      </c>
      <c r="AF1229">
        <v>5.7026089976682899</v>
      </c>
      <c r="AG1229">
        <v>-1.1057057833020001</v>
      </c>
      <c r="AH1229">
        <v>7.4406662972494697</v>
      </c>
      <c r="AI1229">
        <v>96.726780709119197</v>
      </c>
      <c r="AJ1229">
        <v>52.5330450149795</v>
      </c>
      <c r="AK1229">
        <v>9.4395894829456992</v>
      </c>
      <c r="AL1229">
        <v>86.1781368596737</v>
      </c>
      <c r="AM1229">
        <v>77.387496824004899</v>
      </c>
      <c r="AN1229">
        <v>0.99999999361954905</v>
      </c>
    </row>
    <row r="1230" spans="1:40" x14ac:dyDescent="0.25">
      <c r="A1230" t="str">
        <f>"20190312151248157"</f>
        <v>20190312151248157</v>
      </c>
      <c r="B1230" t="str">
        <f>"1552374768150711"</f>
        <v>1552374768150711</v>
      </c>
      <c r="C1230" t="s">
        <v>40</v>
      </c>
      <c r="D1230">
        <v>4.7520709999999999</v>
      </c>
      <c r="E1230">
        <v>0.67816719999999997</v>
      </c>
      <c r="F1230" t="s">
        <v>42</v>
      </c>
      <c r="G1230">
        <v>-194.2</v>
      </c>
      <c r="H1230" s="1">
        <v>-4.4858829999999999E-6</v>
      </c>
      <c r="I1230">
        <v>347.97949999999997</v>
      </c>
      <c r="J1230">
        <v>-195.297</v>
      </c>
      <c r="K1230">
        <v>1.1056629999999901</v>
      </c>
      <c r="L1230">
        <v>358.13549999999998</v>
      </c>
      <c r="M1230">
        <v>0.69860599999999995</v>
      </c>
      <c r="N1230">
        <v>0</v>
      </c>
      <c r="O1230">
        <v>-0.71547569999999905</v>
      </c>
      <c r="P1230">
        <v>0.52506359999999996</v>
      </c>
      <c r="Q1230">
        <v>6.2680959999999994E-2</v>
      </c>
      <c r="R1230">
        <v>-0.84875179999999995</v>
      </c>
      <c r="S1230">
        <v>0.3944397</v>
      </c>
      <c r="T1230">
        <v>-0.35774</v>
      </c>
      <c r="U1230">
        <v>-3.3298339999999902</v>
      </c>
      <c r="V1230">
        <v>0.21792500000000001</v>
      </c>
      <c r="W1230">
        <v>6.7114709999999994E-2</v>
      </c>
      <c r="X1230">
        <v>0.9736551</v>
      </c>
      <c r="Y1230">
        <v>0.60931069999999998</v>
      </c>
      <c r="Z1230">
        <v>5.078129E-2</v>
      </c>
      <c r="AA1230">
        <v>0.7913038</v>
      </c>
      <c r="AB1230">
        <v>18</v>
      </c>
      <c r="AC1230">
        <v>1.097</v>
      </c>
      <c r="AD1230">
        <v>-1.10566748588299</v>
      </c>
      <c r="AE1230">
        <v>-10.156000000000001</v>
      </c>
      <c r="AF1230">
        <v>6.2372319253318498</v>
      </c>
      <c r="AG1230">
        <v>-1.10566748588299</v>
      </c>
      <c r="AH1230">
        <v>7.9398984483484698</v>
      </c>
      <c r="AI1230">
        <v>96.249381977371996</v>
      </c>
      <c r="AJ1230">
        <v>51.848394359237197</v>
      </c>
      <c r="AK1230">
        <v>10.1571428093634</v>
      </c>
      <c r="AL1230">
        <v>86.151717545805994</v>
      </c>
      <c r="AM1230">
        <v>77.383899057820301</v>
      </c>
      <c r="AN1230">
        <v>0.99999997183969602</v>
      </c>
    </row>
    <row r="1231" spans="1:40" x14ac:dyDescent="0.25">
      <c r="A1231" t="str">
        <f>"20190312151248178"</f>
        <v>20190312151248178</v>
      </c>
      <c r="B1231" t="str">
        <f>"1552374768171207"</f>
        <v>1552374768171207</v>
      </c>
      <c r="C1231" t="s">
        <v>40</v>
      </c>
      <c r="D1231">
        <v>4.7920530000000001</v>
      </c>
      <c r="E1231">
        <v>0.67823149999999999</v>
      </c>
      <c r="F1231" t="s">
        <v>42</v>
      </c>
      <c r="G1231">
        <v>-194.16200000000001</v>
      </c>
      <c r="H1231" s="1">
        <v>-4.3655129999999997E-6</v>
      </c>
      <c r="I1231">
        <v>347.6456</v>
      </c>
      <c r="J1231">
        <v>-195.18039999999999</v>
      </c>
      <c r="K1231">
        <v>1.105629</v>
      </c>
      <c r="L1231">
        <v>358.00369999999998</v>
      </c>
      <c r="M1231">
        <v>0.69325700000000001</v>
      </c>
      <c r="N1231">
        <v>0</v>
      </c>
      <c r="O1231">
        <v>-0.72065939999999995</v>
      </c>
      <c r="P1231">
        <v>0.51833940000000001</v>
      </c>
      <c r="Q1231">
        <v>6.3053639999999994E-2</v>
      </c>
      <c r="R1231">
        <v>-0.85284740000000003</v>
      </c>
      <c r="S1231">
        <v>0.36108400000000002</v>
      </c>
      <c r="T1231">
        <v>-0.35174879999999997</v>
      </c>
      <c r="U1231">
        <v>-3.337189</v>
      </c>
      <c r="V1231">
        <v>0.21835840000000001</v>
      </c>
      <c r="W1231">
        <v>6.7484370000000002E-2</v>
      </c>
      <c r="X1231">
        <v>0.97353239999999996</v>
      </c>
      <c r="Y1231">
        <v>0.61143110000000001</v>
      </c>
      <c r="Z1231">
        <v>5.0506879999999997E-2</v>
      </c>
      <c r="AA1231">
        <v>0.78968419999999995</v>
      </c>
      <c r="AB1231">
        <v>18</v>
      </c>
      <c r="AC1231">
        <v>1.01839999999998</v>
      </c>
      <c r="AD1231">
        <v>-1.105633365513</v>
      </c>
      <c r="AE1231">
        <v>-10.358099999999901</v>
      </c>
      <c r="AF1231">
        <v>6.37510987415315</v>
      </c>
      <c r="AG1231">
        <v>-1.105633365513</v>
      </c>
      <c r="AH1231">
        <v>8.0796823901631392</v>
      </c>
      <c r="AI1231">
        <v>96.131625829009394</v>
      </c>
      <c r="AJ1231">
        <v>51.725509108564403</v>
      </c>
      <c r="AK1231">
        <v>10.351121609389599</v>
      </c>
      <c r="AL1231">
        <v>86.130489306587407</v>
      </c>
      <c r="AM1231">
        <v>77.358072228839205</v>
      </c>
      <c r="AN1231">
        <v>0.99999993244730601</v>
      </c>
    </row>
    <row r="1232" spans="1:40" x14ac:dyDescent="0.25">
      <c r="A1232" t="str">
        <f>"20190312151248201"</f>
        <v>20190312151248201</v>
      </c>
      <c r="B1232" t="str">
        <f>"1552374768190731"</f>
        <v>1552374768190731</v>
      </c>
      <c r="C1232" t="s">
        <v>40</v>
      </c>
      <c r="D1232">
        <v>4.765104</v>
      </c>
      <c r="E1232">
        <v>0.67779929999999999</v>
      </c>
      <c r="F1232" t="s">
        <v>42</v>
      </c>
      <c r="G1232">
        <v>-194.1371</v>
      </c>
      <c r="H1232" s="1">
        <v>-4.3416580000000004E-6</v>
      </c>
      <c r="I1232">
        <v>347.58850000000001</v>
      </c>
      <c r="J1232">
        <v>-195.05179999999999</v>
      </c>
      <c r="K1232">
        <v>1.1055870000000001</v>
      </c>
      <c r="L1232">
        <v>357.8562</v>
      </c>
      <c r="M1232">
        <v>0.68726940000000003</v>
      </c>
      <c r="N1232">
        <v>0</v>
      </c>
      <c r="O1232">
        <v>-0.72637159999999901</v>
      </c>
      <c r="P1232">
        <v>0.51131179999999998</v>
      </c>
      <c r="Q1232">
        <v>6.3203099999999998E-2</v>
      </c>
      <c r="R1232">
        <v>-0.85706779999999905</v>
      </c>
      <c r="S1232">
        <v>0.33461000000000002</v>
      </c>
      <c r="T1232">
        <v>-0.35461379999999998</v>
      </c>
      <c r="U1232">
        <v>-3.3405149999999999</v>
      </c>
      <c r="V1232">
        <v>0.21830479999999999</v>
      </c>
      <c r="W1232">
        <v>6.7636150000000006E-2</v>
      </c>
      <c r="X1232">
        <v>0.97353389999999995</v>
      </c>
      <c r="Y1232">
        <v>0.61116470000000001</v>
      </c>
      <c r="Z1232">
        <v>5.173386E-2</v>
      </c>
      <c r="AA1232">
        <v>0.78981099999999904</v>
      </c>
      <c r="AB1232">
        <v>18</v>
      </c>
      <c r="AC1232">
        <v>0.91469999999998197</v>
      </c>
      <c r="AD1232">
        <v>-1.1055913416580001</v>
      </c>
      <c r="AE1232">
        <v>-10.2676999999999</v>
      </c>
      <c r="AF1232">
        <v>6.3197125256074402</v>
      </c>
      <c r="AG1232">
        <v>-1.1055913416580001</v>
      </c>
      <c r="AH1232">
        <v>7.9950267113220201</v>
      </c>
      <c r="AI1232">
        <v>96.191553180515797</v>
      </c>
      <c r="AJ1232">
        <v>51.675200016635102</v>
      </c>
      <c r="AK1232">
        <v>10.250929262063</v>
      </c>
      <c r="AL1232">
        <v>86.121773084299704</v>
      </c>
      <c r="AM1232">
        <v>77.361094561210905</v>
      </c>
      <c r="AN1232">
        <v>0.999999944469534</v>
      </c>
    </row>
    <row r="1233" spans="1:40" x14ac:dyDescent="0.25">
      <c r="A1233" t="str">
        <f>"20190312151248235"</f>
        <v>20190312151248235</v>
      </c>
      <c r="B1233" t="str">
        <f>"1552374768230744"</f>
        <v>1552374768230744</v>
      </c>
      <c r="C1233" t="s">
        <v>40</v>
      </c>
      <c r="D1233">
        <v>4.7371280000000002</v>
      </c>
      <c r="E1233">
        <v>0.67656830000000001</v>
      </c>
      <c r="F1233" t="s">
        <v>42</v>
      </c>
      <c r="G1233">
        <v>-194.08680000000001</v>
      </c>
      <c r="H1233" s="1">
        <v>-4.2922500000000003E-6</v>
      </c>
      <c r="I1233">
        <v>347.46949999999998</v>
      </c>
      <c r="J1233">
        <v>-194.8674</v>
      </c>
      <c r="K1233">
        <v>1.1055280000000001</v>
      </c>
      <c r="L1233">
        <v>357.64019999999999</v>
      </c>
      <c r="M1233">
        <v>0.67849589999999904</v>
      </c>
      <c r="N1233">
        <v>0</v>
      </c>
      <c r="O1233">
        <v>-0.73457320000000004</v>
      </c>
      <c r="P1233">
        <v>0.50116329999999998</v>
      </c>
      <c r="Q1233">
        <v>6.3503560000000001E-2</v>
      </c>
      <c r="R1233">
        <v>-0.86301969999999995</v>
      </c>
      <c r="S1233">
        <v>0.3104401</v>
      </c>
      <c r="T1233">
        <v>-0.35566229999999999</v>
      </c>
      <c r="U1233">
        <v>-3.3413390000000001</v>
      </c>
      <c r="V1233">
        <v>0.21809790000000001</v>
      </c>
      <c r="W1233">
        <v>6.7941580000000001E-2</v>
      </c>
      <c r="X1233">
        <v>0.97355910000000001</v>
      </c>
      <c r="Y1233">
        <v>0.60735360000000005</v>
      </c>
      <c r="Z1233">
        <v>5.3279269999999997E-2</v>
      </c>
      <c r="AA1233">
        <v>0.79264299999999999</v>
      </c>
      <c r="AB1233">
        <v>18</v>
      </c>
      <c r="AC1233">
        <v>0.78059999999999197</v>
      </c>
      <c r="AD1233">
        <v>-1.1055322922499999</v>
      </c>
      <c r="AE1233">
        <v>-10.1707</v>
      </c>
      <c r="AF1233">
        <v>6.2540542517333204</v>
      </c>
      <c r="AG1233">
        <v>-1.1055322922499999</v>
      </c>
      <c r="AH1233">
        <v>7.9080516069167599</v>
      </c>
      <c r="AI1233">
        <v>96.257599613968495</v>
      </c>
      <c r="AJ1233">
        <v>51.661416539467098</v>
      </c>
      <c r="AK1233">
        <v>10.1426168443104</v>
      </c>
      <c r="AL1233">
        <v>86.104233245407997</v>
      </c>
      <c r="AM1233">
        <v>77.373005250013605</v>
      </c>
      <c r="AN1233">
        <v>1.0000000367350499</v>
      </c>
    </row>
    <row r="1234" spans="1:40" x14ac:dyDescent="0.25">
      <c r="A1234" t="str">
        <f>"20190312151248257"</f>
        <v>20190312151248257</v>
      </c>
      <c r="B1234" t="str">
        <f>"1552374768251239"</f>
        <v>1552374768251239</v>
      </c>
      <c r="C1234" t="s">
        <v>40</v>
      </c>
      <c r="D1234">
        <v>4.7184939999999997</v>
      </c>
      <c r="E1234">
        <v>0.67617119999999997</v>
      </c>
      <c r="F1234" t="s">
        <v>42</v>
      </c>
      <c r="G1234">
        <v>-193.99250000000001</v>
      </c>
      <c r="H1234" s="1">
        <v>-4.1884140000000004E-6</v>
      </c>
      <c r="I1234">
        <v>347.21359999999999</v>
      </c>
      <c r="J1234">
        <v>-194.7457</v>
      </c>
      <c r="K1234">
        <v>1.105488</v>
      </c>
      <c r="L1234">
        <v>357.4948</v>
      </c>
      <c r="M1234">
        <v>0.67258660000000003</v>
      </c>
      <c r="N1234">
        <v>0</v>
      </c>
      <c r="O1234">
        <v>-0.73998750000000002</v>
      </c>
      <c r="P1234">
        <v>0.49457010000000001</v>
      </c>
      <c r="Q1234">
        <v>6.2721570000000004E-2</v>
      </c>
      <c r="R1234">
        <v>-0.86687190000000003</v>
      </c>
      <c r="S1234">
        <v>0.28021239999999997</v>
      </c>
      <c r="T1234">
        <v>-0.35408309999999998</v>
      </c>
      <c r="U1234">
        <v>-3.3394780000000002</v>
      </c>
      <c r="V1234">
        <v>0.21775340000000001</v>
      </c>
      <c r="W1234">
        <v>6.7165139999999998E-2</v>
      </c>
      <c r="X1234">
        <v>0.97369000000000006</v>
      </c>
      <c r="Y1234">
        <v>0.60807449999999996</v>
      </c>
      <c r="Z1234">
        <v>5.3858169999999997E-2</v>
      </c>
      <c r="AA1234">
        <v>0.7920509</v>
      </c>
      <c r="AB1234">
        <v>19</v>
      </c>
      <c r="AC1234">
        <v>0.75319999999999199</v>
      </c>
      <c r="AD1234">
        <v>-1.1054921884139901</v>
      </c>
      <c r="AE1234">
        <v>-10.2812</v>
      </c>
      <c r="AF1234">
        <v>6.2855007817517903</v>
      </c>
      <c r="AG1234">
        <v>-1.1054921884139901</v>
      </c>
      <c r="AH1234">
        <v>8.0224786276752802</v>
      </c>
      <c r="AI1234">
        <v>96.190751893175502</v>
      </c>
      <c r="AJ1234">
        <v>51.921792839333897</v>
      </c>
      <c r="AK1234">
        <v>10.2513314446248</v>
      </c>
      <c r="AL1234">
        <v>86.148821530381895</v>
      </c>
      <c r="AM1234">
        <v>77.393953081459202</v>
      </c>
      <c r="AN1234">
        <v>0.99999995767138905</v>
      </c>
    </row>
    <row r="1235" spans="1:40" x14ac:dyDescent="0.25">
      <c r="A1235" t="str">
        <f>"20190312151248279"</f>
        <v>20190312151248279</v>
      </c>
      <c r="B1235" t="str">
        <f>"1552374768270763"</f>
        <v>1552374768270763</v>
      </c>
      <c r="C1235" t="s">
        <v>40</v>
      </c>
      <c r="D1235">
        <v>4.7184489999999997</v>
      </c>
      <c r="E1235">
        <v>0.67501699999999998</v>
      </c>
      <c r="F1235" t="s">
        <v>42</v>
      </c>
      <c r="G1235">
        <v>-193.9393</v>
      </c>
      <c r="H1235" s="1">
        <v>-4.1157820000000004E-6</v>
      </c>
      <c r="I1235">
        <v>347.02789999999999</v>
      </c>
      <c r="J1235">
        <v>-194.62090000000001</v>
      </c>
      <c r="K1235">
        <v>1.10544</v>
      </c>
      <c r="L1235">
        <v>357.34320000000002</v>
      </c>
      <c r="M1235">
        <v>0.66642330000000005</v>
      </c>
      <c r="N1235">
        <v>0</v>
      </c>
      <c r="O1235">
        <v>-0.74554279999999995</v>
      </c>
      <c r="P1235">
        <v>0.48802859999999998</v>
      </c>
      <c r="Q1235">
        <v>6.273716E-2</v>
      </c>
      <c r="R1235">
        <v>-0.87057039999999997</v>
      </c>
      <c r="S1235">
        <v>0.25727840000000002</v>
      </c>
      <c r="T1235">
        <v>-0.35270230000000002</v>
      </c>
      <c r="U1235">
        <v>-3.3394170000000001</v>
      </c>
      <c r="V1235">
        <v>0.21701200000000001</v>
      </c>
      <c r="W1235">
        <v>6.7190360000000005E-2</v>
      </c>
      <c r="X1235">
        <v>0.97385379999999999</v>
      </c>
      <c r="Y1235">
        <v>0.60690429999999995</v>
      </c>
      <c r="Z1235">
        <v>5.4537330000000002E-2</v>
      </c>
      <c r="AA1235">
        <v>0.79290150000000004</v>
      </c>
      <c r="AB1235">
        <v>19</v>
      </c>
      <c r="AC1235">
        <v>0.68160000000000298</v>
      </c>
      <c r="AD1235">
        <v>-1.1054441157820001</v>
      </c>
      <c r="AE1235">
        <v>-10.315300000000001</v>
      </c>
      <c r="AF1235">
        <v>6.2943674143752899</v>
      </c>
      <c r="AG1235">
        <v>-1.1054441157820001</v>
      </c>
      <c r="AH1235">
        <v>8.0528384557363495</v>
      </c>
      <c r="AI1235">
        <v>96.172831756963106</v>
      </c>
      <c r="AJ1235">
        <v>51.987629234726498</v>
      </c>
      <c r="AK1235">
        <v>10.280528927757199</v>
      </c>
      <c r="AL1235">
        <v>86.147373376934397</v>
      </c>
      <c r="AM1235">
        <v>77.4375549490167</v>
      </c>
      <c r="AN1235">
        <v>0.99999998819768399</v>
      </c>
    </row>
    <row r="1236" spans="1:40" x14ac:dyDescent="0.25">
      <c r="A1236" t="str">
        <f>"20190312151248301"</f>
        <v>20190312151248301</v>
      </c>
      <c r="B1236" t="str">
        <f>"1552374768291259"</f>
        <v>1552374768291259</v>
      </c>
      <c r="C1236" t="s">
        <v>40</v>
      </c>
      <c r="D1236">
        <v>4.4252949999999904</v>
      </c>
      <c r="E1236">
        <v>0.67462319999999998</v>
      </c>
      <c r="F1236" t="s">
        <v>42</v>
      </c>
      <c r="G1236">
        <v>-193.87430000000001</v>
      </c>
      <c r="H1236" s="1">
        <v>-4.0757440000000002E-6</v>
      </c>
      <c r="I1236">
        <v>346.94409999999999</v>
      </c>
      <c r="J1236">
        <v>-194.5052</v>
      </c>
      <c r="K1236">
        <v>1.105402</v>
      </c>
      <c r="L1236">
        <v>357.2004</v>
      </c>
      <c r="M1236">
        <v>0.66061569999999903</v>
      </c>
      <c r="N1236">
        <v>0</v>
      </c>
      <c r="O1236">
        <v>-0.75069339999999996</v>
      </c>
      <c r="P1236">
        <v>0.48152349999999999</v>
      </c>
      <c r="Q1236">
        <v>6.2464409999999998E-2</v>
      </c>
      <c r="R1236">
        <v>-0.8742046</v>
      </c>
      <c r="S1236">
        <v>0.23959349999999999</v>
      </c>
      <c r="T1236">
        <v>-0.35476279999999999</v>
      </c>
      <c r="U1236">
        <v>-3.3373110000000001</v>
      </c>
      <c r="V1236">
        <v>0.21673029999999999</v>
      </c>
      <c r="W1236">
        <v>6.6922029999999993E-2</v>
      </c>
      <c r="X1236">
        <v>0.973935</v>
      </c>
      <c r="Y1236">
        <v>0.60488199999999903</v>
      </c>
      <c r="Z1236">
        <v>5.5756609999999998E-2</v>
      </c>
      <c r="AA1236">
        <v>0.79436079999999998</v>
      </c>
      <c r="AB1236">
        <v>19</v>
      </c>
      <c r="AC1236">
        <v>0.63089999999999602</v>
      </c>
      <c r="AD1236">
        <v>-1.1054060757439901</v>
      </c>
      <c r="AE1236">
        <v>-10.2563</v>
      </c>
      <c r="AF1236">
        <v>6.2299114862638003</v>
      </c>
      <c r="AG1236">
        <v>-1.1054060757439901</v>
      </c>
      <c r="AH1236">
        <v>8.0234567715184095</v>
      </c>
      <c r="AI1236">
        <v>96.2104786190786</v>
      </c>
      <c r="AJ1236">
        <v>52.172009375653602</v>
      </c>
      <c r="AK1236">
        <v>10.218100522278901</v>
      </c>
      <c r="AL1236">
        <v>86.162782214543697</v>
      </c>
      <c r="AM1236">
        <v>77.454358353140407</v>
      </c>
      <c r="AN1236">
        <v>0.99999998263120504</v>
      </c>
    </row>
    <row r="1237" spans="1:40" x14ac:dyDescent="0.25">
      <c r="A1237" t="str">
        <f>"20190312151248325"</f>
        <v>20190312151248325</v>
      </c>
      <c r="B1237" t="str">
        <f>"1552374768321511"</f>
        <v>1552374768321511</v>
      </c>
      <c r="C1237" t="s">
        <v>40</v>
      </c>
      <c r="D1237">
        <v>5.2919450000000001</v>
      </c>
      <c r="E1237">
        <v>0.67362929999999999</v>
      </c>
      <c r="F1237" t="s">
        <v>42</v>
      </c>
      <c r="G1237">
        <v>-193.82980000000001</v>
      </c>
      <c r="H1237" s="1">
        <v>-4.0304699999999901E-6</v>
      </c>
      <c r="I1237">
        <v>346.83420000000001</v>
      </c>
      <c r="J1237">
        <v>-194.37459999999999</v>
      </c>
      <c r="K1237">
        <v>1.105362</v>
      </c>
      <c r="L1237">
        <v>357.03649999999999</v>
      </c>
      <c r="M1237">
        <v>0.65394589999999997</v>
      </c>
      <c r="N1237">
        <v>0</v>
      </c>
      <c r="O1237">
        <v>-0.75651059999999903</v>
      </c>
      <c r="P1237">
        <v>0.47399750000000002</v>
      </c>
      <c r="Q1237">
        <v>6.227137E-2</v>
      </c>
      <c r="R1237">
        <v>-0.87832199999999905</v>
      </c>
      <c r="S1237">
        <v>0.21745300000000001</v>
      </c>
      <c r="T1237">
        <v>-0.35588160000000002</v>
      </c>
      <c r="U1237">
        <v>-3.3373409999999999</v>
      </c>
      <c r="V1237">
        <v>0.2164896</v>
      </c>
      <c r="W1237">
        <v>6.6735539999999996E-2</v>
      </c>
      <c r="X1237">
        <v>0.97400129999999996</v>
      </c>
      <c r="Y1237">
        <v>0.60309019999999902</v>
      </c>
      <c r="Z1237">
        <v>5.6894319999999998E-2</v>
      </c>
      <c r="AA1237">
        <v>0.79564140000000005</v>
      </c>
      <c r="AB1237">
        <v>19</v>
      </c>
      <c r="AC1237">
        <v>0.54479999999997997</v>
      </c>
      <c r="AD1237">
        <v>-1.1053660304699999</v>
      </c>
      <c r="AE1237">
        <v>-10.2022999999999</v>
      </c>
      <c r="AF1237">
        <v>6.1873267421429299</v>
      </c>
      <c r="AG1237">
        <v>-1.1053660304699999</v>
      </c>
      <c r="AH1237">
        <v>7.98118396752092</v>
      </c>
      <c r="AI1237">
        <v>96.246559177628399</v>
      </c>
      <c r="AJ1237">
        <v>52.215754005903896</v>
      </c>
      <c r="AK1237">
        <v>10.1589440297093</v>
      </c>
      <c r="AL1237">
        <v>86.173491142350201</v>
      </c>
      <c r="AM1237">
        <v>77.468677228489497</v>
      </c>
      <c r="AN1237">
        <v>0.99999995580446899</v>
      </c>
    </row>
    <row r="1238" spans="1:40" x14ac:dyDescent="0.25">
      <c r="A1238" t="str">
        <f>"20190312151248347"</f>
        <v>20190312151248347</v>
      </c>
      <c r="B1238" t="str">
        <f>"1552374768341032"</f>
        <v>1552374768341032</v>
      </c>
      <c r="C1238" t="s">
        <v>40</v>
      </c>
      <c r="D1238">
        <v>4.7146660000000002</v>
      </c>
      <c r="E1238">
        <v>0.66451289999999996</v>
      </c>
      <c r="F1238" t="s">
        <v>42</v>
      </c>
      <c r="G1238">
        <v>-193.7757</v>
      </c>
      <c r="H1238" s="1">
        <v>-4.0256339999999997E-6</v>
      </c>
      <c r="I1238">
        <v>346.84820000000002</v>
      </c>
      <c r="J1238">
        <v>-194.25540000000001</v>
      </c>
      <c r="K1238">
        <v>1.105326</v>
      </c>
      <c r="L1238">
        <v>356.88420000000002</v>
      </c>
      <c r="M1238">
        <v>0.64775059999999995</v>
      </c>
      <c r="N1238">
        <v>0</v>
      </c>
      <c r="O1238">
        <v>-0.76182150000000004</v>
      </c>
      <c r="P1238">
        <v>0.46736499999999997</v>
      </c>
      <c r="Q1238">
        <v>6.1727339999999999E-2</v>
      </c>
      <c r="R1238">
        <v>-0.88190689999999905</v>
      </c>
      <c r="S1238">
        <v>0.19606019999999999</v>
      </c>
      <c r="T1238">
        <v>-0.36187829999999999</v>
      </c>
      <c r="U1238">
        <v>-3.33548</v>
      </c>
      <c r="V1238">
        <v>0.21590690000000001</v>
      </c>
      <c r="W1238">
        <v>6.6206920000000002E-2</v>
      </c>
      <c r="X1238">
        <v>0.9741668</v>
      </c>
      <c r="Y1238">
        <v>0.60163559999999905</v>
      </c>
      <c r="Z1238">
        <v>5.8764039999999997E-2</v>
      </c>
      <c r="AA1238">
        <v>0.79660620000000004</v>
      </c>
      <c r="AB1238">
        <v>19</v>
      </c>
      <c r="AC1238">
        <v>0.47970000000000801</v>
      </c>
      <c r="AD1238">
        <v>-1.105330025634</v>
      </c>
      <c r="AE1238">
        <v>-10.036</v>
      </c>
      <c r="AF1238">
        <v>6.0621572717499497</v>
      </c>
      <c r="AG1238">
        <v>-1.105330025634</v>
      </c>
      <c r="AH1238">
        <v>7.8614121976601901</v>
      </c>
      <c r="AI1238">
        <v>96.353276662530405</v>
      </c>
      <c r="AJ1238">
        <v>52.363167316124603</v>
      </c>
      <c r="AK1238">
        <v>9.9886589187197394</v>
      </c>
      <c r="AL1238">
        <v>86.203846331524403</v>
      </c>
      <c r="AM1238">
        <v>77.503401764329695</v>
      </c>
      <c r="AN1238">
        <v>1.0000000499728601</v>
      </c>
    </row>
    <row r="1239" spans="1:40" x14ac:dyDescent="0.25">
      <c r="A1239" t="str">
        <f>"20190312151248370"</f>
        <v>20190312151248370</v>
      </c>
      <c r="B1239" t="str">
        <f>"1552374768361528"</f>
        <v>1552374768361528</v>
      </c>
      <c r="C1239" t="s">
        <v>40</v>
      </c>
      <c r="D1239">
        <v>4.70791</v>
      </c>
      <c r="E1239">
        <v>0.66297490000000003</v>
      </c>
      <c r="F1239" t="s">
        <v>42</v>
      </c>
      <c r="G1239">
        <v>-192.75380000000001</v>
      </c>
      <c r="H1239" s="1">
        <v>-3.5053819999999999E-6</v>
      </c>
      <c r="I1239">
        <v>336.05220000000003</v>
      </c>
      <c r="J1239">
        <v>-194.1354</v>
      </c>
      <c r="K1239">
        <v>1.1052770000000001</v>
      </c>
      <c r="L1239">
        <v>356.72820000000002</v>
      </c>
      <c r="M1239">
        <v>0.64140249999999999</v>
      </c>
      <c r="N1239">
        <v>0</v>
      </c>
      <c r="O1239">
        <v>-0.76717369999999996</v>
      </c>
      <c r="P1239">
        <v>0.46017200000000003</v>
      </c>
      <c r="Q1239">
        <v>6.1806270000000003E-2</v>
      </c>
      <c r="R1239">
        <v>-0.88567609999999997</v>
      </c>
      <c r="S1239">
        <v>0.23702999999999999</v>
      </c>
      <c r="T1239">
        <v>-0.17447660000000001</v>
      </c>
      <c r="U1239">
        <v>-3.2883300000000002</v>
      </c>
      <c r="V1239">
        <v>0.21575050000000001</v>
      </c>
      <c r="W1239">
        <v>6.6298750000000004E-2</v>
      </c>
      <c r="X1239">
        <v>0.97419520000000004</v>
      </c>
      <c r="Y1239">
        <v>0.58454249999999996</v>
      </c>
      <c r="Z1239">
        <v>2.9612659999999999E-2</v>
      </c>
      <c r="AA1239">
        <v>0.8108225</v>
      </c>
      <c r="AB1239">
        <v>19</v>
      </c>
      <c r="AC1239">
        <v>1.3815999999999899</v>
      </c>
      <c r="AD1239">
        <v>-1.1052805053820001</v>
      </c>
      <c r="AE1239">
        <v>-20.675999999999899</v>
      </c>
      <c r="AF1239">
        <v>12.1673839768397</v>
      </c>
      <c r="AG1239">
        <v>-1.1052805053820001</v>
      </c>
      <c r="AH1239">
        <v>16.701127474945</v>
      </c>
      <c r="AI1239">
        <v>93.061831635606296</v>
      </c>
      <c r="AJ1239">
        <v>53.925289012089301</v>
      </c>
      <c r="AK1239">
        <v>20.6928619762902</v>
      </c>
      <c r="AL1239">
        <v>86.198573256206302</v>
      </c>
      <c r="AM1239">
        <v>77.512522690059996</v>
      </c>
      <c r="AN1239">
        <v>1.00000004510242</v>
      </c>
    </row>
    <row r="1240" spans="1:40" x14ac:dyDescent="0.25">
      <c r="A1240" t="str">
        <f>"20190312151248391"</f>
        <v>20190312151248391</v>
      </c>
      <c r="B1240" t="str">
        <f>"1552374768381047"</f>
        <v>1552374768381047</v>
      </c>
      <c r="C1240" t="s">
        <v>40</v>
      </c>
      <c r="D1240">
        <v>4.7213079999999996</v>
      </c>
      <c r="E1240">
        <v>0.66276679999999999</v>
      </c>
      <c r="F1240" t="s">
        <v>42</v>
      </c>
      <c r="G1240">
        <v>-192.7484</v>
      </c>
      <c r="H1240" s="1">
        <v>-3.5334809999999998E-6</v>
      </c>
      <c r="I1240">
        <v>336.12119999999999</v>
      </c>
      <c r="J1240">
        <v>-194.0213</v>
      </c>
      <c r="K1240">
        <v>1.105243</v>
      </c>
      <c r="L1240">
        <v>356.57740000000001</v>
      </c>
      <c r="M1240">
        <v>0.63526490000000002</v>
      </c>
      <c r="N1240">
        <v>0</v>
      </c>
      <c r="O1240">
        <v>-0.77226309999999998</v>
      </c>
      <c r="P1240">
        <v>0.4536694</v>
      </c>
      <c r="Q1240">
        <v>6.1726870000000003E-2</v>
      </c>
      <c r="R1240">
        <v>-0.88902969999999903</v>
      </c>
      <c r="S1240">
        <v>0.22108459999999999</v>
      </c>
      <c r="T1240">
        <v>-0.1761751</v>
      </c>
      <c r="U1240">
        <v>-3.284637</v>
      </c>
      <c r="V1240">
        <v>0.2151304</v>
      </c>
      <c r="W1240">
        <v>6.6237389999999993E-2</v>
      </c>
      <c r="X1240">
        <v>0.97433639999999999</v>
      </c>
      <c r="Y1240">
        <v>0.58192369999999904</v>
      </c>
      <c r="Z1240">
        <v>3.03818E-2</v>
      </c>
      <c r="AA1240">
        <v>0.8126757</v>
      </c>
      <c r="AB1240">
        <v>19</v>
      </c>
      <c r="AC1240">
        <v>1.2728999999999899</v>
      </c>
      <c r="AD1240">
        <v>-1.105246533481</v>
      </c>
      <c r="AE1240">
        <v>-20.456199999999999</v>
      </c>
      <c r="AF1240">
        <v>11.9775513465712</v>
      </c>
      <c r="AG1240">
        <v>-1.105246533481</v>
      </c>
      <c r="AH1240">
        <v>16.5584459563539</v>
      </c>
      <c r="AI1240">
        <v>93.095678498447199</v>
      </c>
      <c r="AJ1240">
        <v>54.119904707129002</v>
      </c>
      <c r="AK1240">
        <v>20.4662023504365</v>
      </c>
      <c r="AL1240">
        <v>86.202096310619396</v>
      </c>
      <c r="AM1240">
        <v>77.549040808631005</v>
      </c>
      <c r="AN1240">
        <v>0.99999995060156399</v>
      </c>
    </row>
    <row r="1241" spans="1:40" x14ac:dyDescent="0.25">
      <c r="A1241" t="str">
        <f>"20190312151248414"</f>
        <v>20190312151248414</v>
      </c>
      <c r="B1241" t="str">
        <f>"1552374768411303"</f>
        <v>1552374768411303</v>
      </c>
      <c r="C1241" t="s">
        <v>40</v>
      </c>
      <c r="D1241">
        <v>4.7503320000000002</v>
      </c>
      <c r="E1241">
        <v>0.65585539999999998</v>
      </c>
      <c r="F1241" t="s">
        <v>42</v>
      </c>
      <c r="G1241">
        <v>-192.77889999999999</v>
      </c>
      <c r="H1241" s="1">
        <v>-3.4878930000000001E-6</v>
      </c>
      <c r="I1241">
        <v>335.99590000000001</v>
      </c>
      <c r="J1241">
        <v>-193.90020000000001</v>
      </c>
      <c r="K1241">
        <v>1.10521</v>
      </c>
      <c r="L1241">
        <v>356.41460000000001</v>
      </c>
      <c r="M1241">
        <v>0.628637</v>
      </c>
      <c r="N1241">
        <v>0</v>
      </c>
      <c r="O1241">
        <v>-0.77766749999999996</v>
      </c>
      <c r="P1241">
        <v>0.44635229999999998</v>
      </c>
      <c r="Q1241">
        <v>6.1572830000000002E-2</v>
      </c>
      <c r="R1241">
        <v>-0.89273659999999999</v>
      </c>
      <c r="S1241">
        <v>0.19831850000000001</v>
      </c>
      <c r="T1241">
        <v>-0.17643610000000001</v>
      </c>
      <c r="U1241">
        <v>-3.2855219999999998</v>
      </c>
      <c r="V1241">
        <v>0.21481230000000001</v>
      </c>
      <c r="W1241">
        <v>6.6097989999999995E-2</v>
      </c>
      <c r="X1241">
        <v>0.97441610000000001</v>
      </c>
      <c r="Y1241">
        <v>0.58059359999999904</v>
      </c>
      <c r="Z1241">
        <v>3.086527E-2</v>
      </c>
      <c r="AA1241">
        <v>0.81360829999999995</v>
      </c>
      <c r="AB1241">
        <v>19</v>
      </c>
      <c r="AC1241">
        <v>1.12130000000001</v>
      </c>
      <c r="AD1241">
        <v>-1.105213487893</v>
      </c>
      <c r="AE1241">
        <v>-20.418700000000001</v>
      </c>
      <c r="AF1241">
        <v>11.929398043469901</v>
      </c>
      <c r="AG1241">
        <v>-1.105213487893</v>
      </c>
      <c r="AH1241">
        <v>16.535953385183099</v>
      </c>
      <c r="AI1241">
        <v>93.102621398753996</v>
      </c>
      <c r="AJ1241">
        <v>54.192496467936202</v>
      </c>
      <c r="AK1241">
        <v>20.419838121060401</v>
      </c>
      <c r="AL1241">
        <v>86.210101080511606</v>
      </c>
      <c r="AM1241">
        <v>77.567863654882999</v>
      </c>
      <c r="AN1241">
        <v>1.0000000022262701</v>
      </c>
    </row>
    <row r="1242" spans="1:40" x14ac:dyDescent="0.25">
      <c r="A1242" t="str">
        <f>"20190312151248435"</f>
        <v>20190312151248435</v>
      </c>
      <c r="B1242" t="str">
        <f>"1552374768430824"</f>
        <v>1552374768430824</v>
      </c>
      <c r="C1242" t="s">
        <v>40</v>
      </c>
      <c r="D1242">
        <v>5.506526</v>
      </c>
      <c r="E1242">
        <v>0.65592220000000001</v>
      </c>
      <c r="F1242" t="s">
        <v>42</v>
      </c>
      <c r="G1242">
        <v>-193.32830000000001</v>
      </c>
      <c r="H1242" s="1">
        <v>-4.2565779999999999E-6</v>
      </c>
      <c r="I1242">
        <v>347.76</v>
      </c>
      <c r="J1242">
        <v>-193.78890000000001</v>
      </c>
      <c r="K1242">
        <v>1.105173</v>
      </c>
      <c r="L1242">
        <v>356.26249999999999</v>
      </c>
      <c r="M1242">
        <v>0.62243979999999999</v>
      </c>
      <c r="N1242">
        <v>0</v>
      </c>
      <c r="O1242">
        <v>-0.78263640000000001</v>
      </c>
      <c r="P1242">
        <v>0.43957059999999998</v>
      </c>
      <c r="Q1242">
        <v>6.1689910000000001E-2</v>
      </c>
      <c r="R1242">
        <v>-0.89608729999999903</v>
      </c>
      <c r="S1242">
        <v>0.21679689999999999</v>
      </c>
      <c r="T1242">
        <v>-0.41899310000000001</v>
      </c>
      <c r="U1242">
        <v>-3.2810060000000001</v>
      </c>
      <c r="V1242">
        <v>0.21446319999999999</v>
      </c>
      <c r="W1242">
        <v>6.6229289999999996E-2</v>
      </c>
      <c r="X1242">
        <v>0.97448409999999996</v>
      </c>
      <c r="Y1242">
        <v>0.56921790000000005</v>
      </c>
      <c r="Z1242">
        <v>7.4445520000000001E-2</v>
      </c>
      <c r="AA1242">
        <v>0.81880940000000002</v>
      </c>
      <c r="AB1242">
        <v>19</v>
      </c>
      <c r="AC1242">
        <v>0.46059999999999901</v>
      </c>
      <c r="AD1242">
        <v>-1.105177256578</v>
      </c>
      <c r="AE1242">
        <v>-8.5024999999999906</v>
      </c>
      <c r="AF1242">
        <v>4.8502256887484796</v>
      </c>
      <c r="AG1242">
        <v>-1.105177256578</v>
      </c>
      <c r="AH1242">
        <v>6.8262365975608503</v>
      </c>
      <c r="AI1242">
        <v>97.518376653024006</v>
      </c>
      <c r="AJ1242">
        <v>54.605176554869999</v>
      </c>
      <c r="AK1242">
        <v>8.4465147893158896</v>
      </c>
      <c r="AL1242">
        <v>86.202561699613597</v>
      </c>
      <c r="AM1242">
        <v>77.588280192463003</v>
      </c>
      <c r="AN1242">
        <v>1.0000000220804699</v>
      </c>
    </row>
    <row r="1243" spans="1:40" x14ac:dyDescent="0.25">
      <c r="A1243" t="str">
        <f>"20190312151248459"</f>
        <v>20190312151248459</v>
      </c>
      <c r="B1243" t="str">
        <f>"1552374768451320"</f>
        <v>1552374768451320</v>
      </c>
      <c r="C1243" t="s">
        <v>40</v>
      </c>
      <c r="D1243">
        <v>4.8595259999999998</v>
      </c>
      <c r="E1243">
        <v>0.65507419999999905</v>
      </c>
      <c r="F1243" t="s">
        <v>42</v>
      </c>
      <c r="G1243">
        <v>-193.27879999999999</v>
      </c>
      <c r="H1243" s="1">
        <v>-4.1682259999999996E-6</v>
      </c>
      <c r="I1243">
        <v>347.52620000000002</v>
      </c>
      <c r="J1243">
        <v>-193.66679999999999</v>
      </c>
      <c r="K1243">
        <v>1.1051299999999999</v>
      </c>
      <c r="L1243">
        <v>356.09269999999998</v>
      </c>
      <c r="M1243">
        <v>0.61551350000000005</v>
      </c>
      <c r="N1243">
        <v>0</v>
      </c>
      <c r="O1243">
        <v>-0.78809490000000004</v>
      </c>
      <c r="P1243">
        <v>0.43268230000000002</v>
      </c>
      <c r="Q1243">
        <v>6.1386870000000003E-2</v>
      </c>
      <c r="R1243">
        <v>-0.89945439999999999</v>
      </c>
      <c r="S1243">
        <v>0.19168089999999999</v>
      </c>
      <c r="T1243">
        <v>-0.415244</v>
      </c>
      <c r="U1243">
        <v>-3.2824399999999998</v>
      </c>
      <c r="V1243">
        <v>0.21336260000000001</v>
      </c>
      <c r="W1243">
        <v>6.5953810000000002E-2</v>
      </c>
      <c r="X1243">
        <v>0.97474430000000001</v>
      </c>
      <c r="Y1243">
        <v>0.56825040000000004</v>
      </c>
      <c r="Z1243">
        <v>7.4794050000000001E-2</v>
      </c>
      <c r="AA1243">
        <v>0.81944939999999999</v>
      </c>
      <c r="AB1243">
        <v>20</v>
      </c>
      <c r="AC1243">
        <v>0.38800000000000501</v>
      </c>
      <c r="AD1243">
        <v>-1.1051341682260001</v>
      </c>
      <c r="AE1243">
        <v>-8.5664999999999605</v>
      </c>
      <c r="AF1243">
        <v>4.8859891977793604</v>
      </c>
      <c r="AG1243">
        <v>-1.1051341682260001</v>
      </c>
      <c r="AH1243">
        <v>6.8760065398087002</v>
      </c>
      <c r="AI1243">
        <v>97.464082229461894</v>
      </c>
      <c r="AJ1243">
        <v>54.602958290072799</v>
      </c>
      <c r="AK1243">
        <v>8.5072720601899903</v>
      </c>
      <c r="AL1243">
        <v>86.218379956894196</v>
      </c>
      <c r="AM1243">
        <v>77.653211839082701</v>
      </c>
      <c r="AN1243">
        <v>0.99999997725738199</v>
      </c>
    </row>
    <row r="1244" spans="1:40" x14ac:dyDescent="0.25">
      <c r="A1244" t="str">
        <f>"20190312151248481"</f>
        <v>20190312151248481</v>
      </c>
      <c r="B1244" t="str">
        <f>"1552374768470839"</f>
        <v>1552374768470839</v>
      </c>
      <c r="C1244" t="s">
        <v>40</v>
      </c>
      <c r="D1244">
        <v>4.8813719999999998</v>
      </c>
      <c r="E1244">
        <v>0.63514539999999997</v>
      </c>
      <c r="F1244" t="s">
        <v>42</v>
      </c>
      <c r="G1244">
        <v>-193.20760000000001</v>
      </c>
      <c r="H1244" s="1">
        <v>-4.0889330000000002E-6</v>
      </c>
      <c r="I1244">
        <v>347.3304</v>
      </c>
      <c r="J1244">
        <v>-193.5506</v>
      </c>
      <c r="K1244">
        <v>1.105091</v>
      </c>
      <c r="L1244">
        <v>355.92790000000002</v>
      </c>
      <c r="M1244">
        <v>0.60878719999999997</v>
      </c>
      <c r="N1244">
        <v>0</v>
      </c>
      <c r="O1244">
        <v>-0.79330199999999995</v>
      </c>
      <c r="P1244">
        <v>0.42598180000000002</v>
      </c>
      <c r="Q1244">
        <v>6.0800010000000002E-2</v>
      </c>
      <c r="R1244">
        <v>-0.90268669999999995</v>
      </c>
      <c r="S1244">
        <v>0.1719666</v>
      </c>
      <c r="T1244">
        <v>-0.41378579999999998</v>
      </c>
      <c r="U1244">
        <v>-3.2807919999999999</v>
      </c>
      <c r="V1244">
        <v>0.21234439999999999</v>
      </c>
      <c r="W1244">
        <v>6.5395679999999998E-2</v>
      </c>
      <c r="X1244">
        <v>0.97500430000000005</v>
      </c>
      <c r="Y1244">
        <v>0.56615130000000002</v>
      </c>
      <c r="Z1244">
        <v>7.5613509999999995E-2</v>
      </c>
      <c r="AA1244">
        <v>0.82082599999999994</v>
      </c>
      <c r="AB1244">
        <v>20</v>
      </c>
      <c r="AC1244">
        <v>0.34299999999998898</v>
      </c>
      <c r="AD1244">
        <v>-1.105095088933</v>
      </c>
      <c r="AE1244">
        <v>-8.5975000000000197</v>
      </c>
      <c r="AF1244">
        <v>4.8815463062111402</v>
      </c>
      <c r="AG1244">
        <v>-1.105095088933</v>
      </c>
      <c r="AH1244">
        <v>6.9153324404607401</v>
      </c>
      <c r="AI1244">
        <v>97.438079838904201</v>
      </c>
      <c r="AJ1244">
        <v>54.781659548477201</v>
      </c>
      <c r="AK1244">
        <v>8.5365421721769899</v>
      </c>
      <c r="AL1244">
        <v>86.250427958303007</v>
      </c>
      <c r="AM1244">
        <v>77.713515576279505</v>
      </c>
      <c r="AN1244">
        <v>1.0000000620962499</v>
      </c>
    </row>
    <row r="1245" spans="1:40" x14ac:dyDescent="0.25">
      <c r="A1245" t="str">
        <f>"20190312151248504"</f>
        <v>20190312151248504</v>
      </c>
      <c r="B1245" t="str">
        <f>"1552374768501095"</f>
        <v>1552374768501095</v>
      </c>
      <c r="C1245" t="s">
        <v>40</v>
      </c>
      <c r="D1245">
        <v>4.8025710000000004</v>
      </c>
      <c r="E1245">
        <v>0.63435359999999996</v>
      </c>
      <c r="F1245" t="s">
        <v>42</v>
      </c>
      <c r="G1245">
        <v>-192.80119999999999</v>
      </c>
      <c r="H1245" s="1">
        <v>-4.1195439999999996E-6</v>
      </c>
      <c r="I1245">
        <v>347.63209999999998</v>
      </c>
      <c r="J1245">
        <v>-193.43559999999999</v>
      </c>
      <c r="K1245">
        <v>1.1050420000000001</v>
      </c>
      <c r="L1245">
        <v>355.76220000000001</v>
      </c>
      <c r="M1245">
        <v>0.60200659999999995</v>
      </c>
      <c r="N1245">
        <v>0</v>
      </c>
      <c r="O1245">
        <v>-0.79845940000000004</v>
      </c>
      <c r="P1245">
        <v>0.419155</v>
      </c>
      <c r="Q1245">
        <v>6.1038780000000001E-2</v>
      </c>
      <c r="R1245">
        <v>-0.90586080000000002</v>
      </c>
      <c r="S1245">
        <v>0.29042050000000003</v>
      </c>
      <c r="T1245">
        <v>-0.42830770000000001</v>
      </c>
      <c r="U1245">
        <v>-3.2152400000000001</v>
      </c>
      <c r="V1245">
        <v>0.21139920000000001</v>
      </c>
      <c r="W1245">
        <v>6.5663570000000004E-2</v>
      </c>
      <c r="X1245">
        <v>0.97519160000000005</v>
      </c>
      <c r="Y1245">
        <v>0.52767940000000002</v>
      </c>
      <c r="Z1245">
        <v>8.2527639999999999E-2</v>
      </c>
      <c r="AA1245">
        <v>0.84542510000000004</v>
      </c>
      <c r="AB1245">
        <v>20</v>
      </c>
      <c r="AC1245">
        <v>0.63439999999999896</v>
      </c>
      <c r="AD1245">
        <v>-1.105046119544</v>
      </c>
      <c r="AE1245">
        <v>-8.1301000000000201</v>
      </c>
      <c r="AF1245">
        <v>4.30882142368357</v>
      </c>
      <c r="AG1245">
        <v>-1.105046119544</v>
      </c>
      <c r="AH1245">
        <v>6.7497001740599298</v>
      </c>
      <c r="AI1245">
        <v>97.857006531432603</v>
      </c>
      <c r="AJ1245">
        <v>57.446967894967003</v>
      </c>
      <c r="AK1245">
        <v>8.0836576762761503</v>
      </c>
      <c r="AL1245">
        <v>86.2350456647127</v>
      </c>
      <c r="AM1245">
        <v>77.768834206582596</v>
      </c>
      <c r="AN1245">
        <v>0.99999999144817198</v>
      </c>
    </row>
    <row r="1246" spans="1:40" x14ac:dyDescent="0.25">
      <c r="A1246" t="str">
        <f>"20190312151248528"</f>
        <v>20190312151248528</v>
      </c>
      <c r="B1246" t="str">
        <f>"1552374768521591"</f>
        <v>1552374768521591</v>
      </c>
      <c r="C1246" t="s">
        <v>40</v>
      </c>
      <c r="D1246">
        <v>4.8972930000000003</v>
      </c>
      <c r="E1246">
        <v>0.63440730000000001</v>
      </c>
      <c r="F1246" t="s">
        <v>42</v>
      </c>
      <c r="G1246">
        <v>-192.7021</v>
      </c>
      <c r="H1246" s="1">
        <v>-3.9193029999999998E-6</v>
      </c>
      <c r="I1246">
        <v>347.09539999999998</v>
      </c>
      <c r="J1246">
        <v>-193.315</v>
      </c>
      <c r="K1246">
        <v>1.104992</v>
      </c>
      <c r="L1246">
        <v>355.58499999999998</v>
      </c>
      <c r="M1246">
        <v>0.59474069999999901</v>
      </c>
      <c r="N1246">
        <v>0</v>
      </c>
      <c r="O1246">
        <v>-0.80388559999999998</v>
      </c>
      <c r="P1246">
        <v>0.41212840000000001</v>
      </c>
      <c r="Q1246">
        <v>6.0859490000000002E-2</v>
      </c>
      <c r="R1246">
        <v>-0.90909119999999999</v>
      </c>
      <c r="S1246">
        <v>0.27197270000000001</v>
      </c>
      <c r="T1246">
        <v>-0.40973589999999999</v>
      </c>
      <c r="U1246">
        <v>-3.2135310000000001</v>
      </c>
      <c r="V1246">
        <v>0.21012020000000001</v>
      </c>
      <c r="W1246">
        <v>6.5522259999999999E-2</v>
      </c>
      <c r="X1246">
        <v>0.9754775</v>
      </c>
      <c r="Y1246">
        <v>0.52477479999999999</v>
      </c>
      <c r="Z1246">
        <v>8.0160549999999997E-2</v>
      </c>
      <c r="AA1246">
        <v>0.84745839999999995</v>
      </c>
      <c r="AB1246">
        <v>20</v>
      </c>
      <c r="AC1246">
        <v>0.612899999999996</v>
      </c>
      <c r="AD1246">
        <v>-1.1049959193029999</v>
      </c>
      <c r="AE1246">
        <v>-8.4895999999999905</v>
      </c>
      <c r="AF1246">
        <v>4.4810058825074801</v>
      </c>
      <c r="AG1246">
        <v>-1.1049959193029999</v>
      </c>
      <c r="AH1246">
        <v>7.0702111227686899</v>
      </c>
      <c r="AI1246">
        <v>97.5200676505264</v>
      </c>
      <c r="AJ1246">
        <v>57.634020113540203</v>
      </c>
      <c r="AK1246">
        <v>8.4432407890137195</v>
      </c>
      <c r="AL1246">
        <v>86.243159671091803</v>
      </c>
      <c r="AM1246">
        <v>77.844084197880207</v>
      </c>
      <c r="AN1246">
        <v>1.0000000090048899</v>
      </c>
    </row>
    <row r="1247" spans="1:40" x14ac:dyDescent="0.25">
      <c r="A1247" t="str">
        <f>"20190312151248549"</f>
        <v>20190312151248549</v>
      </c>
      <c r="B1247" t="str">
        <f>"1552374768541112"</f>
        <v>1552374768541112</v>
      </c>
      <c r="C1247" t="s">
        <v>40</v>
      </c>
      <c r="D1247">
        <v>4.8061290000000003</v>
      </c>
      <c r="E1247">
        <v>0.63330640000000005</v>
      </c>
      <c r="F1247" t="s">
        <v>42</v>
      </c>
      <c r="G1247">
        <v>-192.66030000000001</v>
      </c>
      <c r="H1247" s="1">
        <v>-3.8914440000000001E-6</v>
      </c>
      <c r="I1247">
        <v>347.03530000000001</v>
      </c>
      <c r="J1247">
        <v>-193.20179999999999</v>
      </c>
      <c r="K1247">
        <v>1.104935</v>
      </c>
      <c r="L1247">
        <v>355.41500000000002</v>
      </c>
      <c r="M1247">
        <v>0.58775129999999998</v>
      </c>
      <c r="N1247">
        <v>0</v>
      </c>
      <c r="O1247">
        <v>-0.80900950000000005</v>
      </c>
      <c r="P1247">
        <v>0.40489579999999997</v>
      </c>
      <c r="Q1247">
        <v>6.0717960000000001E-2</v>
      </c>
      <c r="R1247">
        <v>-0.91234479999999996</v>
      </c>
      <c r="S1247">
        <v>0.24629210000000001</v>
      </c>
      <c r="T1247">
        <v>-0.41567739999999997</v>
      </c>
      <c r="U1247">
        <v>-3.2162169999999999</v>
      </c>
      <c r="V1247">
        <v>0.20942620000000001</v>
      </c>
      <c r="W1247">
        <v>6.5409960000000003E-2</v>
      </c>
      <c r="X1247">
        <v>0.97563429999999995</v>
      </c>
      <c r="Y1247">
        <v>0.52418889999999996</v>
      </c>
      <c r="Z1247">
        <v>8.2225399999999907E-2</v>
      </c>
      <c r="AA1247">
        <v>0.84762309999999996</v>
      </c>
      <c r="AB1247">
        <v>20</v>
      </c>
      <c r="AC1247">
        <v>0.54149999999998499</v>
      </c>
      <c r="AD1247">
        <v>-1.1049388914439999</v>
      </c>
      <c r="AE1247">
        <v>-8.3797000000000104</v>
      </c>
      <c r="AF1247">
        <v>4.4108461070287497</v>
      </c>
      <c r="AG1247">
        <v>-1.1049388914439999</v>
      </c>
      <c r="AH1247">
        <v>6.9769072891555197</v>
      </c>
      <c r="AI1247">
        <v>97.624451790775694</v>
      </c>
      <c r="AJ1247">
        <v>57.698659866131898</v>
      </c>
      <c r="AK1247">
        <v>8.3278862057059602</v>
      </c>
      <c r="AL1247">
        <v>86.2496079425772</v>
      </c>
      <c r="AM1247">
        <v>77.884935170425706</v>
      </c>
      <c r="AN1247">
        <v>1.0000000417250601</v>
      </c>
    </row>
    <row r="1248" spans="1:40" x14ac:dyDescent="0.25">
      <c r="A1248" t="str">
        <f>"20190312151248571"</f>
        <v>20190312151248571</v>
      </c>
      <c r="B1248" t="str">
        <f>"1552374768560631"</f>
        <v>1552374768560631</v>
      </c>
      <c r="C1248" t="s">
        <v>40</v>
      </c>
      <c r="D1248">
        <v>4.9301899999999996</v>
      </c>
      <c r="E1248">
        <v>0.63247419999999899</v>
      </c>
      <c r="F1248" t="s">
        <v>42</v>
      </c>
      <c r="G1248">
        <v>-192.5761</v>
      </c>
      <c r="H1248" s="1">
        <v>-3.697002E-6</v>
      </c>
      <c r="I1248">
        <v>346.60919999999999</v>
      </c>
      <c r="J1248">
        <v>-193.09309999999999</v>
      </c>
      <c r="K1248">
        <v>1.104886</v>
      </c>
      <c r="L1248">
        <v>355.24900000000002</v>
      </c>
      <c r="M1248">
        <v>0.58090399999999998</v>
      </c>
      <c r="N1248">
        <v>0</v>
      </c>
      <c r="O1248">
        <v>-0.81393959999999999</v>
      </c>
      <c r="P1248">
        <v>0.39782030000000002</v>
      </c>
      <c r="Q1248">
        <v>6.0588040000000003E-2</v>
      </c>
      <c r="R1248">
        <v>-0.91546079999999996</v>
      </c>
      <c r="S1248">
        <v>0.22833249999999999</v>
      </c>
      <c r="T1248">
        <v>-0.40325119999999998</v>
      </c>
      <c r="U1248">
        <v>-3.2137150000000001</v>
      </c>
      <c r="V1248">
        <v>0.2087599</v>
      </c>
      <c r="W1248">
        <v>6.5308619999999998E-2</v>
      </c>
      <c r="X1248">
        <v>0.97578379999999998</v>
      </c>
      <c r="Y1248">
        <v>0.5216828</v>
      </c>
      <c r="Z1248">
        <v>8.0859739999999999E-2</v>
      </c>
      <c r="AA1248">
        <v>0.84929900000000003</v>
      </c>
      <c r="AB1248">
        <v>20</v>
      </c>
      <c r="AC1248">
        <v>0.51699999999999502</v>
      </c>
      <c r="AD1248">
        <v>-1.1048896970019999</v>
      </c>
      <c r="AE1248">
        <v>-8.6398000000000295</v>
      </c>
      <c r="AF1248">
        <v>4.5244787433662896</v>
      </c>
      <c r="AG1248">
        <v>-1.1048896970019999</v>
      </c>
      <c r="AH1248">
        <v>7.2152181518591298</v>
      </c>
      <c r="AI1248">
        <v>97.392015722689493</v>
      </c>
      <c r="AJ1248">
        <v>57.909227302331502</v>
      </c>
      <c r="AK1248">
        <v>8.5878438574901992</v>
      </c>
      <c r="AL1248">
        <v>86.255426462013105</v>
      </c>
      <c r="AM1248">
        <v>77.924142535235603</v>
      </c>
      <c r="AN1248">
        <v>0.99999996801837598</v>
      </c>
    </row>
    <row r="1249" spans="1:40" x14ac:dyDescent="0.25">
      <c r="A1249" t="str">
        <f>"20190312151248593"</f>
        <v>20190312151248593</v>
      </c>
      <c r="B1249" t="str">
        <f>"1552374768590888"</f>
        <v>1552374768590888</v>
      </c>
      <c r="C1249" t="s">
        <v>40</v>
      </c>
      <c r="D1249">
        <v>4.8339359999999996</v>
      </c>
      <c r="E1249">
        <v>0.63075890000000001</v>
      </c>
      <c r="F1249" t="s">
        <v>42</v>
      </c>
      <c r="G1249">
        <v>-192.52610000000001</v>
      </c>
      <c r="H1249" s="1">
        <v>-3.6516159999999999E-6</v>
      </c>
      <c r="I1249">
        <v>346.53440000000001</v>
      </c>
      <c r="J1249">
        <v>-192.9813</v>
      </c>
      <c r="K1249">
        <v>1.104832</v>
      </c>
      <c r="L1249">
        <v>355.07490000000001</v>
      </c>
      <c r="M1249">
        <v>0.57369479999999995</v>
      </c>
      <c r="N1249">
        <v>0</v>
      </c>
      <c r="O1249">
        <v>-0.8190366</v>
      </c>
      <c r="P1249">
        <v>0.39034489999999999</v>
      </c>
      <c r="Q1249">
        <v>6.023742E-2</v>
      </c>
      <c r="R1249">
        <v>-0.91869610000000002</v>
      </c>
      <c r="S1249">
        <v>0.20906069999999999</v>
      </c>
      <c r="T1249">
        <v>-0.4073792</v>
      </c>
      <c r="U1249">
        <v>-3.2131349999999999</v>
      </c>
      <c r="V1249">
        <v>0.208117</v>
      </c>
      <c r="W1249">
        <v>6.4984570000000005E-2</v>
      </c>
      <c r="X1249">
        <v>0.9759428</v>
      </c>
      <c r="Y1249">
        <v>0.51921980000000001</v>
      </c>
      <c r="Z1249">
        <v>8.2727999999999996E-2</v>
      </c>
      <c r="AA1249">
        <v>0.85062739999999903</v>
      </c>
      <c r="AB1249">
        <v>20</v>
      </c>
      <c r="AC1249">
        <v>0.45519999999999</v>
      </c>
      <c r="AD1249">
        <v>-1.1048356516159901</v>
      </c>
      <c r="AE1249">
        <v>-8.5404999999999998</v>
      </c>
      <c r="AF1249">
        <v>4.4526314501998199</v>
      </c>
      <c r="AG1249">
        <v>-1.1048356516159901</v>
      </c>
      <c r="AH1249">
        <v>7.1372175999185501</v>
      </c>
      <c r="AI1249">
        <v>97.482211352515193</v>
      </c>
      <c r="AJ1249">
        <v>58.041570775265498</v>
      </c>
      <c r="AK1249">
        <v>8.4844837036190501</v>
      </c>
      <c r="AL1249">
        <v>86.274032858408802</v>
      </c>
      <c r="AM1249">
        <v>77.962149093106405</v>
      </c>
      <c r="AN1249">
        <v>1.0000000144494601</v>
      </c>
    </row>
    <row r="1250" spans="1:40" x14ac:dyDescent="0.25">
      <c r="A1250" t="str">
        <f>"20190312151248616"</f>
        <v>20190312151248616</v>
      </c>
      <c r="B1250" t="str">
        <f>"1552374768611384"</f>
        <v>1552374768611384</v>
      </c>
      <c r="C1250" t="s">
        <v>40</v>
      </c>
      <c r="D1250">
        <v>4.9738610000000003</v>
      </c>
      <c r="E1250">
        <v>0.62978630000000002</v>
      </c>
      <c r="F1250" t="s">
        <v>42</v>
      </c>
      <c r="G1250">
        <v>-192.44560000000001</v>
      </c>
      <c r="H1250" s="1">
        <v>-3.5188110000000002E-6</v>
      </c>
      <c r="I1250">
        <v>346.2747</v>
      </c>
      <c r="J1250">
        <v>-192.874</v>
      </c>
      <c r="K1250">
        <v>1.1047830000000001</v>
      </c>
      <c r="L1250">
        <v>354.90449999999998</v>
      </c>
      <c r="M1250">
        <v>0.56661219999999901</v>
      </c>
      <c r="N1250">
        <v>0</v>
      </c>
      <c r="O1250">
        <v>-0.82395169999999995</v>
      </c>
      <c r="P1250">
        <v>0.38306050000000003</v>
      </c>
      <c r="Q1250">
        <v>6.0590720000000001E-2</v>
      </c>
      <c r="R1250">
        <v>-0.92173419999999895</v>
      </c>
      <c r="S1250">
        <v>0.19534299999999999</v>
      </c>
      <c r="T1250">
        <v>-0.40287970000000001</v>
      </c>
      <c r="U1250">
        <v>-3.2089840000000001</v>
      </c>
      <c r="V1250">
        <v>0.2074289</v>
      </c>
      <c r="W1250">
        <v>6.5362870000000003E-2</v>
      </c>
      <c r="X1250">
        <v>0.97606400000000004</v>
      </c>
      <c r="Y1250">
        <v>0.51541550000000003</v>
      </c>
      <c r="Z1250">
        <v>8.2977060000000005E-2</v>
      </c>
      <c r="AA1250">
        <v>0.85291360000000005</v>
      </c>
      <c r="AB1250">
        <v>20</v>
      </c>
      <c r="AC1250">
        <v>0.42840000000001</v>
      </c>
      <c r="AD1250">
        <v>-1.104786518811</v>
      </c>
      <c r="AE1250">
        <v>-8.6297999999999799</v>
      </c>
      <c r="AF1250">
        <v>4.4639123432037602</v>
      </c>
      <c r="AG1250">
        <v>-1.104786518811</v>
      </c>
      <c r="AH1250">
        <v>7.23518760729044</v>
      </c>
      <c r="AI1250">
        <v>97.404258051356194</v>
      </c>
      <c r="AJ1250">
        <v>58.326552201093001</v>
      </c>
      <c r="AK1250">
        <v>8.5729228605326107</v>
      </c>
      <c r="AL1250">
        <v>86.252311602953597</v>
      </c>
      <c r="AM1250">
        <v>78.002241375554306</v>
      </c>
      <c r="AN1250">
        <v>0.99999999271292295</v>
      </c>
    </row>
    <row r="1251" spans="1:40" x14ac:dyDescent="0.25">
      <c r="A1251" t="str">
        <f>"20190312151248638"</f>
        <v>20190312151248638</v>
      </c>
      <c r="B1251" t="str">
        <f>"1552374768630903"</f>
        <v>1552374768630903</v>
      </c>
      <c r="C1251" t="s">
        <v>40</v>
      </c>
      <c r="D1251">
        <v>4.9881830000000003</v>
      </c>
      <c r="E1251">
        <v>0.62897069999999999</v>
      </c>
      <c r="F1251" t="s">
        <v>42</v>
      </c>
      <c r="G1251">
        <v>-192.3837</v>
      </c>
      <c r="H1251" s="1">
        <v>-3.4019279999999999E-6</v>
      </c>
      <c r="I1251">
        <v>346.04070000000002</v>
      </c>
      <c r="J1251">
        <v>-192.76400000000001</v>
      </c>
      <c r="K1251">
        <v>1.104722</v>
      </c>
      <c r="L1251">
        <v>354.72629999999998</v>
      </c>
      <c r="M1251">
        <v>0.55917109999999903</v>
      </c>
      <c r="N1251">
        <v>0</v>
      </c>
      <c r="O1251">
        <v>-0.82901909999999901</v>
      </c>
      <c r="P1251">
        <v>0.3753978</v>
      </c>
      <c r="Q1251">
        <v>6.0454899999999999E-2</v>
      </c>
      <c r="R1251">
        <v>-0.9248902</v>
      </c>
      <c r="S1251">
        <v>0.17741390000000001</v>
      </c>
      <c r="T1251">
        <v>-0.39975119999999997</v>
      </c>
      <c r="U1251">
        <v>-3.2072449999999999</v>
      </c>
      <c r="V1251">
        <v>0.20675550000000001</v>
      </c>
      <c r="W1251">
        <v>6.5254370000000006E-2</v>
      </c>
      <c r="X1251">
        <v>0.97621409999999997</v>
      </c>
      <c r="Y1251">
        <v>0.51243729999999998</v>
      </c>
      <c r="Z1251">
        <v>8.3419640000000003E-2</v>
      </c>
      <c r="AA1251">
        <v>0.85466319999999996</v>
      </c>
      <c r="AB1251">
        <v>20</v>
      </c>
      <c r="AC1251">
        <v>0.38030000000000502</v>
      </c>
      <c r="AD1251">
        <v>-1.104725401928</v>
      </c>
      <c r="AE1251">
        <v>-8.68559999999996</v>
      </c>
      <c r="AF1251">
        <v>4.4694201685092798</v>
      </c>
      <c r="AG1251">
        <v>-1.104725401928</v>
      </c>
      <c r="AH1251">
        <v>7.2955871028707904</v>
      </c>
      <c r="AI1251">
        <v>97.3573477211594</v>
      </c>
      <c r="AJ1251">
        <v>58.507544831112199</v>
      </c>
      <c r="AK1251">
        <v>8.6268027699673997</v>
      </c>
      <c r="AL1251">
        <v>86.258541407514201</v>
      </c>
      <c r="AM1251">
        <v>78.041853699753702</v>
      </c>
      <c r="AN1251">
        <v>0.99999996931157797</v>
      </c>
    </row>
    <row r="1252" spans="1:40" x14ac:dyDescent="0.25">
      <c r="A1252" t="str">
        <f>"20190312151248660"</f>
        <v>20190312151248660</v>
      </c>
      <c r="B1252" t="str">
        <f>"1552374768651399"</f>
        <v>1552374768651399</v>
      </c>
      <c r="C1252" t="s">
        <v>40</v>
      </c>
      <c r="D1252">
        <v>5.010046</v>
      </c>
      <c r="E1252">
        <v>0.62824019999999903</v>
      </c>
      <c r="F1252" t="s">
        <v>42</v>
      </c>
      <c r="G1252">
        <v>-192.32769999999999</v>
      </c>
      <c r="H1252" s="1">
        <v>-3.291464E-6</v>
      </c>
      <c r="I1252">
        <v>345.81790000000001</v>
      </c>
      <c r="J1252">
        <v>-192.65520000000001</v>
      </c>
      <c r="K1252">
        <v>1.1046590000000001</v>
      </c>
      <c r="L1252">
        <v>354.54649999999998</v>
      </c>
      <c r="M1252">
        <v>0.55162719999999998</v>
      </c>
      <c r="N1252">
        <v>0</v>
      </c>
      <c r="O1252">
        <v>-0.8340573</v>
      </c>
      <c r="P1252">
        <v>0.36776199999999998</v>
      </c>
      <c r="Q1252">
        <v>6.0273819999999999E-2</v>
      </c>
      <c r="R1252">
        <v>-0.92796469999999998</v>
      </c>
      <c r="S1252">
        <v>0.15701289999999901</v>
      </c>
      <c r="T1252">
        <v>-0.39755610000000002</v>
      </c>
      <c r="U1252">
        <v>-3.2058409999999999</v>
      </c>
      <c r="V1252">
        <v>0.20596010000000001</v>
      </c>
      <c r="W1252">
        <v>6.5103530000000007E-2</v>
      </c>
      <c r="X1252">
        <v>0.97639229999999999</v>
      </c>
      <c r="Y1252">
        <v>0.51006200000000002</v>
      </c>
      <c r="Z1252">
        <v>8.400436E-2</v>
      </c>
      <c r="AA1252">
        <v>0.85602579999999995</v>
      </c>
      <c r="AB1252">
        <v>20</v>
      </c>
      <c r="AC1252">
        <v>0.327500000000014</v>
      </c>
      <c r="AD1252">
        <v>-1.1046622914640001</v>
      </c>
      <c r="AE1252">
        <v>-8.7285999999999699</v>
      </c>
      <c r="AF1252">
        <v>4.4704062741887096</v>
      </c>
      <c r="AG1252">
        <v>-1.1046622914640001</v>
      </c>
      <c r="AH1252">
        <v>7.3435653407453003</v>
      </c>
      <c r="AI1252">
        <v>97.321838659053498</v>
      </c>
      <c r="AJ1252">
        <v>58.668973217125398</v>
      </c>
      <c r="AK1252">
        <v>8.66791572111104</v>
      </c>
      <c r="AL1252">
        <v>86.267202352118204</v>
      </c>
      <c r="AM1252">
        <v>78.088652585840606</v>
      </c>
      <c r="AN1252">
        <v>0.99999997795488005</v>
      </c>
    </row>
    <row r="1253" spans="1:40" x14ac:dyDescent="0.25">
      <c r="A1253" t="str">
        <f>"20190312151248682"</f>
        <v>20190312151248682</v>
      </c>
      <c r="B1253" t="str">
        <f>"1552374768670919"</f>
        <v>1552374768670919</v>
      </c>
      <c r="C1253" t="s">
        <v>40</v>
      </c>
      <c r="D1253">
        <v>4.8986419999999997</v>
      </c>
      <c r="E1253">
        <v>0.62701490000000004</v>
      </c>
      <c r="F1253" t="s">
        <v>42</v>
      </c>
      <c r="G1253">
        <v>-192.28219999999999</v>
      </c>
      <c r="H1253" s="1">
        <v>-3.240862E-6</v>
      </c>
      <c r="I1253">
        <v>345.72820000000002</v>
      </c>
      <c r="J1253">
        <v>-192.55070000000001</v>
      </c>
      <c r="K1253">
        <v>1.104608</v>
      </c>
      <c r="L1253">
        <v>354.37029999999999</v>
      </c>
      <c r="M1253">
        <v>0.54420000000000002</v>
      </c>
      <c r="N1253">
        <v>0</v>
      </c>
      <c r="O1253">
        <v>-0.83892180000000005</v>
      </c>
      <c r="P1253">
        <v>0.35955789999999999</v>
      </c>
      <c r="Q1253">
        <v>5.9716909999999998E-2</v>
      </c>
      <c r="R1253">
        <v>-0.93121019999999999</v>
      </c>
      <c r="S1253">
        <v>0.13557429999999901</v>
      </c>
      <c r="T1253">
        <v>-0.40151759999999997</v>
      </c>
      <c r="U1253">
        <v>-3.2052309999999999</v>
      </c>
      <c r="V1253">
        <v>0.2059317</v>
      </c>
      <c r="W1253">
        <v>6.4565839999999999E-2</v>
      </c>
      <c r="X1253">
        <v>0.97643400000000002</v>
      </c>
      <c r="Y1253">
        <v>0.50813750000000002</v>
      </c>
      <c r="Z1253">
        <v>8.5807640000000004E-2</v>
      </c>
      <c r="AA1253">
        <v>0.8569909</v>
      </c>
      <c r="AB1253">
        <v>20</v>
      </c>
      <c r="AC1253">
        <v>0.268500000000017</v>
      </c>
      <c r="AD1253">
        <v>-1.1046112408619999</v>
      </c>
      <c r="AE1253">
        <v>-8.6420999999999708</v>
      </c>
      <c r="AF1253">
        <v>4.4059943382632198</v>
      </c>
      <c r="AG1253">
        <v>-1.1046112408619999</v>
      </c>
      <c r="AH1253">
        <v>7.2775914558136101</v>
      </c>
      <c r="AI1253">
        <v>97.397952435092293</v>
      </c>
      <c r="AJ1253">
        <v>58.808478107437203</v>
      </c>
      <c r="AK1253">
        <v>8.5788279793907503</v>
      </c>
      <c r="AL1253">
        <v>86.298074700141299</v>
      </c>
      <c r="AM1253">
        <v>78.090742242580106</v>
      </c>
      <c r="AN1253">
        <v>0.99999998455789696</v>
      </c>
    </row>
    <row r="1254" spans="1:40" x14ac:dyDescent="0.25">
      <c r="A1254" t="str">
        <f>"20190312151248705"</f>
        <v>20190312151248705</v>
      </c>
      <c r="B1254" t="str">
        <f>"1552374768701175"</f>
        <v>1552374768701175</v>
      </c>
      <c r="C1254" t="s">
        <v>40</v>
      </c>
      <c r="D1254">
        <v>4.9659430000000002</v>
      </c>
      <c r="E1254">
        <v>0.62573069999999997</v>
      </c>
      <c r="F1254" t="s">
        <v>42</v>
      </c>
      <c r="G1254">
        <v>-192.2268</v>
      </c>
      <c r="H1254" s="1">
        <v>-3.1463050000000002E-6</v>
      </c>
      <c r="I1254">
        <v>345.5421</v>
      </c>
      <c r="J1254">
        <v>-192.4462</v>
      </c>
      <c r="K1254">
        <v>1.104544</v>
      </c>
      <c r="L1254">
        <v>354.19029999999998</v>
      </c>
      <c r="M1254">
        <v>0.53658240000000001</v>
      </c>
      <c r="N1254">
        <v>0</v>
      </c>
      <c r="O1254">
        <v>-0.84381399999999995</v>
      </c>
      <c r="P1254">
        <v>0.35085139999999998</v>
      </c>
      <c r="Q1254">
        <v>5.9365389999999997E-2</v>
      </c>
      <c r="R1254">
        <v>-0.93454789999999999</v>
      </c>
      <c r="S1254">
        <v>0.1174622</v>
      </c>
      <c r="T1254">
        <v>-0.40064070000000002</v>
      </c>
      <c r="U1254">
        <v>-3.201965</v>
      </c>
      <c r="V1254">
        <v>0.20622270000000001</v>
      </c>
      <c r="W1254">
        <v>6.4227980000000004E-2</v>
      </c>
      <c r="X1254">
        <v>0.97639489999999995</v>
      </c>
      <c r="Y1254">
        <v>0.50515290000000002</v>
      </c>
      <c r="Z1254">
        <v>8.6714429999999995E-2</v>
      </c>
      <c r="AA1254">
        <v>0.85866239999999905</v>
      </c>
      <c r="AB1254">
        <v>20</v>
      </c>
      <c r="AC1254">
        <v>0.21940000000000701</v>
      </c>
      <c r="AD1254">
        <v>-1.1045471463050001</v>
      </c>
      <c r="AE1254">
        <v>-8.6481999999999708</v>
      </c>
      <c r="AF1254">
        <v>4.3839992635494198</v>
      </c>
      <c r="AG1254">
        <v>-1.1045471463050001</v>
      </c>
      <c r="AH1254">
        <v>7.2964646477145001</v>
      </c>
      <c r="AI1254">
        <v>97.393401238533201</v>
      </c>
      <c r="AJ1254">
        <v>59.000917374019501</v>
      </c>
      <c r="AK1254">
        <v>8.5835814376377808</v>
      </c>
      <c r="AL1254">
        <v>86.317473039829594</v>
      </c>
      <c r="AM1254">
        <v>78.073931030640097</v>
      </c>
      <c r="AN1254">
        <v>1.0000000180780899</v>
      </c>
    </row>
    <row r="1255" spans="1:40" x14ac:dyDescent="0.25">
      <c r="A1255" t="str">
        <f>"20190312151248727"</f>
        <v>20190312151248727</v>
      </c>
      <c r="B1255" t="str">
        <f>"1552374768720696"</f>
        <v>1552374768720696</v>
      </c>
      <c r="C1255" t="s">
        <v>40</v>
      </c>
      <c r="D1255">
        <v>4.8929970000000003</v>
      </c>
      <c r="E1255">
        <v>0.62501629999999997</v>
      </c>
      <c r="F1255" t="s">
        <v>42</v>
      </c>
      <c r="G1255">
        <v>-192.1823</v>
      </c>
      <c r="H1255" s="1">
        <v>-3.0981629999999999E-6</v>
      </c>
      <c r="I1255">
        <v>345.45749999999998</v>
      </c>
      <c r="J1255">
        <v>-192.3441</v>
      </c>
      <c r="K1255">
        <v>1.1044879999999999</v>
      </c>
      <c r="L1255">
        <v>354.01049999999998</v>
      </c>
      <c r="M1255">
        <v>0.52894399999999997</v>
      </c>
      <c r="N1255">
        <v>0</v>
      </c>
      <c r="O1255">
        <v>-0.8486224</v>
      </c>
      <c r="P1255">
        <v>0.34227069999999998</v>
      </c>
      <c r="Q1255">
        <v>5.9373429999999998E-2</v>
      </c>
      <c r="R1255">
        <v>-0.9377238</v>
      </c>
      <c r="S1255">
        <v>9.6694950000000002E-2</v>
      </c>
      <c r="T1255">
        <v>-0.40467829999999999</v>
      </c>
      <c r="U1255">
        <v>-3.1994630000000002</v>
      </c>
      <c r="V1255">
        <v>0.20636869999999999</v>
      </c>
      <c r="W1255">
        <v>6.4249879999999995E-2</v>
      </c>
      <c r="X1255">
        <v>0.97636259999999997</v>
      </c>
      <c r="Y1255">
        <v>0.502911</v>
      </c>
      <c r="Z1255">
        <v>8.861542E-2</v>
      </c>
      <c r="AA1255">
        <v>0.85978359999999998</v>
      </c>
      <c r="AB1255">
        <v>21</v>
      </c>
      <c r="AC1255">
        <v>0.161799999999999</v>
      </c>
      <c r="AD1255">
        <v>-1.1044910981629901</v>
      </c>
      <c r="AE1255">
        <v>-8.5529999999999902</v>
      </c>
      <c r="AF1255">
        <v>4.3149491120617904</v>
      </c>
      <c r="AG1255">
        <v>-1.1044910981629901</v>
      </c>
      <c r="AH1255">
        <v>7.2236472574847204</v>
      </c>
      <c r="AI1255">
        <v>97.478125146454602</v>
      </c>
      <c r="AJ1255">
        <v>59.148581084957399</v>
      </c>
      <c r="AK1255">
        <v>8.48644602446576</v>
      </c>
      <c r="AL1255">
        <v>86.316215624548704</v>
      </c>
      <c r="AM1255">
        <v>78.065346234853095</v>
      </c>
      <c r="AN1255">
        <v>1.0000000070492301</v>
      </c>
    </row>
    <row r="1256" spans="1:40" x14ac:dyDescent="0.25">
      <c r="A1256" t="str">
        <f>"20190312151248751"</f>
        <v>20190312151248751</v>
      </c>
      <c r="B1256" t="str">
        <f>"1552374768741192"</f>
        <v>1552374768741192</v>
      </c>
      <c r="C1256" t="s">
        <v>40</v>
      </c>
      <c r="D1256">
        <v>5.11043</v>
      </c>
      <c r="E1256">
        <v>0.62418680000000004</v>
      </c>
      <c r="F1256" t="s">
        <v>42</v>
      </c>
      <c r="G1256">
        <v>-192.14750000000001</v>
      </c>
      <c r="H1256" s="1">
        <v>-3.025765E-6</v>
      </c>
      <c r="I1256">
        <v>345.31029999999998</v>
      </c>
      <c r="J1256">
        <v>-192.23140000000001</v>
      </c>
      <c r="K1256">
        <v>1.1044240000000001</v>
      </c>
      <c r="L1256">
        <v>353.80739999999997</v>
      </c>
      <c r="M1256">
        <v>0.52028419999999997</v>
      </c>
      <c r="N1256">
        <v>0</v>
      </c>
      <c r="O1256">
        <v>-0.85395889999999997</v>
      </c>
      <c r="P1256">
        <v>0.33213169999999997</v>
      </c>
      <c r="Q1256">
        <v>5.9354190000000001E-2</v>
      </c>
      <c r="R1256">
        <v>-0.94136379999999997</v>
      </c>
      <c r="S1256">
        <v>7.2265629999999997E-2</v>
      </c>
      <c r="T1256">
        <v>-0.40606150000000002</v>
      </c>
      <c r="U1256">
        <v>-3.1985779999999999</v>
      </c>
      <c r="V1256">
        <v>0.20698369999999999</v>
      </c>
      <c r="W1256">
        <v>6.4238939999999994E-2</v>
      </c>
      <c r="X1256">
        <v>0.97623309999999996</v>
      </c>
      <c r="Y1256">
        <v>0.5006813</v>
      </c>
      <c r="Z1256">
        <v>9.0009980000000003E-2</v>
      </c>
      <c r="AA1256">
        <v>0.86093929999999996</v>
      </c>
      <c r="AB1256">
        <v>21</v>
      </c>
      <c r="AC1256">
        <v>8.3899999999999794E-2</v>
      </c>
      <c r="AD1256">
        <v>-1.104427025765</v>
      </c>
      <c r="AE1256">
        <v>-8.4970999999999801</v>
      </c>
      <c r="AF1256">
        <v>4.2771361398075403</v>
      </c>
      <c r="AG1256">
        <v>-1.104427025765</v>
      </c>
      <c r="AH1256">
        <v>7.1787733171848203</v>
      </c>
      <c r="AI1256">
        <v>97.528924564872995</v>
      </c>
      <c r="AJ1256">
        <v>59.213378761653097</v>
      </c>
      <c r="AK1256">
        <v>8.4290236061605999</v>
      </c>
      <c r="AL1256">
        <v>86.316843636349503</v>
      </c>
      <c r="AM1256">
        <v>78.029262089514802</v>
      </c>
      <c r="AN1256">
        <v>0.99999997950681097</v>
      </c>
    </row>
    <row r="1257" spans="1:40" x14ac:dyDescent="0.25">
      <c r="A1257" t="str">
        <f>"20190312151248775"</f>
        <v>20190312151248775</v>
      </c>
      <c r="B1257" t="str">
        <f>"1552374768771448"</f>
        <v>1552374768771448</v>
      </c>
      <c r="C1257" t="s">
        <v>40</v>
      </c>
      <c r="D1257">
        <v>5.0774010000000001</v>
      </c>
      <c r="E1257">
        <v>0.62277389999999999</v>
      </c>
      <c r="F1257" t="s">
        <v>42</v>
      </c>
      <c r="G1257">
        <v>-192.11189999999999</v>
      </c>
      <c r="H1257" s="1">
        <v>-2.9585440000000001E-6</v>
      </c>
      <c r="I1257">
        <v>345.17570000000001</v>
      </c>
      <c r="J1257">
        <v>-192.12629999999999</v>
      </c>
      <c r="K1257">
        <v>1.104373</v>
      </c>
      <c r="L1257">
        <v>353.61329999999998</v>
      </c>
      <c r="M1257">
        <v>0.51198659999999996</v>
      </c>
      <c r="N1257">
        <v>0</v>
      </c>
      <c r="O1257">
        <v>-0.85895900000000003</v>
      </c>
      <c r="P1257">
        <v>0.32253850000000001</v>
      </c>
      <c r="Q1257">
        <v>5.9428910000000001E-2</v>
      </c>
      <c r="R1257">
        <v>-0.94468909999999995</v>
      </c>
      <c r="S1257">
        <v>4.4281010000000003E-2</v>
      </c>
      <c r="T1257">
        <v>-0.40905730000000001</v>
      </c>
      <c r="U1257">
        <v>-3.1969910000000001</v>
      </c>
      <c r="V1257">
        <v>0.20746400000000001</v>
      </c>
      <c r="W1257">
        <v>6.4323160000000004E-2</v>
      </c>
      <c r="X1257">
        <v>0.97612560000000004</v>
      </c>
      <c r="Y1257">
        <v>0.49982320000000002</v>
      </c>
      <c r="Z1257">
        <v>9.167206E-2</v>
      </c>
      <c r="AA1257">
        <v>0.86126239999999998</v>
      </c>
      <c r="AB1257">
        <v>21</v>
      </c>
      <c r="AC1257">
        <v>1.4399999999994801E-2</v>
      </c>
      <c r="AD1257">
        <v>-1.1043759585439901</v>
      </c>
      <c r="AE1257">
        <v>-8.4375999999999696</v>
      </c>
      <c r="AF1257">
        <v>4.23514231065242</v>
      </c>
      <c r="AG1257">
        <v>-1.1043759585439901</v>
      </c>
      <c r="AH1257">
        <v>7.1329418524723698</v>
      </c>
      <c r="AI1257">
        <v>97.583171221978603</v>
      </c>
      <c r="AJ1257">
        <v>59.3005263733072</v>
      </c>
      <c r="AK1257">
        <v>8.3686878374115707</v>
      </c>
      <c r="AL1257">
        <v>86.312008200272103</v>
      </c>
      <c r="AM1257">
        <v>78.001005337227298</v>
      </c>
      <c r="AN1257">
        <v>0.99999998359187203</v>
      </c>
    </row>
    <row r="1258" spans="1:40" x14ac:dyDescent="0.25">
      <c r="A1258" t="str">
        <f>"20190312151248796"</f>
        <v>20190312151248796</v>
      </c>
      <c r="B1258" t="str">
        <f>"1552374768790968"</f>
        <v>1552374768790968</v>
      </c>
      <c r="C1258" t="s">
        <v>40</v>
      </c>
      <c r="D1258">
        <v>4.8695620000000002</v>
      </c>
      <c r="E1258">
        <v>0.62178549999999999</v>
      </c>
      <c r="F1258" t="s">
        <v>42</v>
      </c>
      <c r="G1258">
        <v>-192.06460000000001</v>
      </c>
      <c r="H1258" s="1">
        <v>-2.8230030000000002E-6</v>
      </c>
      <c r="I1258">
        <v>344.88909999999998</v>
      </c>
      <c r="J1258">
        <v>-192.0299</v>
      </c>
      <c r="K1258">
        <v>1.10433</v>
      </c>
      <c r="L1258">
        <v>353.4316</v>
      </c>
      <c r="M1258">
        <v>0.50419590000000003</v>
      </c>
      <c r="N1258">
        <v>0</v>
      </c>
      <c r="O1258">
        <v>-0.86355479999999996</v>
      </c>
      <c r="P1258">
        <v>0.31385359999999901</v>
      </c>
      <c r="Q1258">
        <v>5.8954260000000001E-2</v>
      </c>
      <c r="R1258">
        <v>-0.94763980000000003</v>
      </c>
      <c r="S1258">
        <v>2.2567750000000001E-2</v>
      </c>
      <c r="T1258">
        <v>-0.40424280000000001</v>
      </c>
      <c r="U1258">
        <v>-3.19339</v>
      </c>
      <c r="V1258">
        <v>0.20761060000000001</v>
      </c>
      <c r="W1258">
        <v>6.3860150000000004E-2</v>
      </c>
      <c r="X1258">
        <v>0.97612489999999996</v>
      </c>
      <c r="Y1258">
        <v>0.4978437</v>
      </c>
      <c r="Z1258">
        <v>9.1630169999999997E-2</v>
      </c>
      <c r="AA1258">
        <v>0.86241259999999997</v>
      </c>
      <c r="AB1258">
        <v>21</v>
      </c>
      <c r="AC1258">
        <v>-3.4700000000014997E-2</v>
      </c>
      <c r="AD1258">
        <v>-1.1043328230030001</v>
      </c>
      <c r="AE1258">
        <v>-8.5425000000000093</v>
      </c>
      <c r="AF1258">
        <v>4.2658973256705801</v>
      </c>
      <c r="AG1258">
        <v>-1.1043328230030001</v>
      </c>
      <c r="AH1258">
        <v>7.2386695252009696</v>
      </c>
      <c r="AI1258">
        <v>97.487720236231993</v>
      </c>
      <c r="AJ1258">
        <v>59.488277492064199</v>
      </c>
      <c r="AK1258">
        <v>8.4744184149827309</v>
      </c>
      <c r="AL1258">
        <v>86.338591618588396</v>
      </c>
      <c r="AM1258">
        <v>77.992764136762304</v>
      </c>
      <c r="AN1258">
        <v>1.00000005019519</v>
      </c>
    </row>
    <row r="1259" spans="1:40" x14ac:dyDescent="0.25">
      <c r="A1259" t="str">
        <f>"20190312151248819"</f>
        <v>20190312151248819</v>
      </c>
      <c r="B1259" t="str">
        <f>"1552374768811464"</f>
        <v>1552374768811464</v>
      </c>
      <c r="C1259" t="s">
        <v>40</v>
      </c>
      <c r="D1259">
        <v>4.8999920000000001</v>
      </c>
      <c r="E1259">
        <v>0.62076540000000002</v>
      </c>
      <c r="F1259" t="s">
        <v>42</v>
      </c>
      <c r="G1259">
        <v>-192.0275</v>
      </c>
      <c r="H1259" s="1">
        <v>-2.7572649999999999E-6</v>
      </c>
      <c r="I1259">
        <v>344.75889999999998</v>
      </c>
      <c r="J1259">
        <v>-191.93029999999999</v>
      </c>
      <c r="K1259">
        <v>1.1042879999999999</v>
      </c>
      <c r="L1259">
        <v>353.23939999999999</v>
      </c>
      <c r="M1259">
        <v>0.49594440000000001</v>
      </c>
      <c r="N1259">
        <v>0</v>
      </c>
      <c r="O1259">
        <v>-0.86831930000000002</v>
      </c>
      <c r="P1259">
        <v>0.30503000000000002</v>
      </c>
      <c r="Q1259">
        <v>5.8864100000000003E-2</v>
      </c>
      <c r="R1259">
        <v>-0.95052179999999997</v>
      </c>
      <c r="S1259">
        <v>8.8500979999999905E-4</v>
      </c>
      <c r="T1259">
        <v>-0.4062868</v>
      </c>
      <c r="U1259">
        <v>-3.1907040000000002</v>
      </c>
      <c r="V1259">
        <v>0.2073933</v>
      </c>
      <c r="W1259">
        <v>6.3786389999999998E-2</v>
      </c>
      <c r="X1259">
        <v>0.97617580000000004</v>
      </c>
      <c r="Y1259">
        <v>0.49543930000000003</v>
      </c>
      <c r="Z1259">
        <v>9.3135679999999998E-2</v>
      </c>
      <c r="AA1259">
        <v>0.86363509999999999</v>
      </c>
      <c r="AB1259">
        <v>21</v>
      </c>
      <c r="AC1259">
        <v>-9.7200000000014997E-2</v>
      </c>
      <c r="AD1259">
        <v>-1.104290757265</v>
      </c>
      <c r="AE1259">
        <v>-8.4804999999999993</v>
      </c>
      <c r="AF1259">
        <v>4.2188617190592801</v>
      </c>
      <c r="AG1259">
        <v>-1.104290757265</v>
      </c>
      <c r="AH1259">
        <v>7.19383542591014</v>
      </c>
      <c r="AI1259">
        <v>97.542896522941007</v>
      </c>
      <c r="AJ1259">
        <v>59.610289727673901</v>
      </c>
      <c r="AK1259">
        <v>8.41246220890201</v>
      </c>
      <c r="AL1259">
        <v>86.342825979697096</v>
      </c>
      <c r="AM1259">
        <v>78.005574905781998</v>
      </c>
      <c r="AN1259">
        <v>0.999999938469879</v>
      </c>
    </row>
    <row r="1260" spans="1:40" x14ac:dyDescent="0.25">
      <c r="A1260" t="str">
        <f>"20190312151248840"</f>
        <v>20190312151248840</v>
      </c>
      <c r="B1260" t="str">
        <f>"1552374768830984"</f>
        <v>1552374768830984</v>
      </c>
      <c r="C1260" t="s">
        <v>40</v>
      </c>
      <c r="D1260">
        <v>4.8751790000000002</v>
      </c>
      <c r="E1260">
        <v>0.62019349999999995</v>
      </c>
      <c r="F1260" t="s">
        <v>42</v>
      </c>
      <c r="G1260">
        <v>-191.98580000000001</v>
      </c>
      <c r="H1260" s="1">
        <v>-2.6483379999999999E-6</v>
      </c>
      <c r="I1260">
        <v>344.5308</v>
      </c>
      <c r="J1260">
        <v>-191.8329</v>
      </c>
      <c r="K1260">
        <v>1.104247</v>
      </c>
      <c r="L1260">
        <v>353.04730000000001</v>
      </c>
      <c r="M1260">
        <v>0.48768030000000001</v>
      </c>
      <c r="N1260">
        <v>0</v>
      </c>
      <c r="O1260">
        <v>-0.87298739999999997</v>
      </c>
      <c r="P1260">
        <v>0.2959058</v>
      </c>
      <c r="Q1260">
        <v>5.900532E-2</v>
      </c>
      <c r="R1260">
        <v>-0.95339320000000005</v>
      </c>
      <c r="S1260">
        <v>-2.0324709999999999E-2</v>
      </c>
      <c r="T1260">
        <v>-0.40422150000000001</v>
      </c>
      <c r="U1260">
        <v>-3.1877439999999999</v>
      </c>
      <c r="V1260">
        <v>0.20748849999999999</v>
      </c>
      <c r="W1260">
        <v>6.3937240000000006E-2</v>
      </c>
      <c r="X1260">
        <v>0.97614570000000001</v>
      </c>
      <c r="Y1260">
        <v>0.49294959999999999</v>
      </c>
      <c r="Z1260">
        <v>9.3706609999999996E-2</v>
      </c>
      <c r="AA1260">
        <v>0.86499699999999902</v>
      </c>
      <c r="AB1260">
        <v>21</v>
      </c>
      <c r="AC1260">
        <v>-0.152900000000016</v>
      </c>
      <c r="AD1260">
        <v>-1.104249648338</v>
      </c>
      <c r="AE1260">
        <v>-8.5165000000000006</v>
      </c>
      <c r="AF1260">
        <v>4.2160828597760496</v>
      </c>
      <c r="AG1260">
        <v>-1.104249648338</v>
      </c>
      <c r="AH1260">
        <v>7.2387976423501099</v>
      </c>
      <c r="AI1260">
        <v>97.509314876246293</v>
      </c>
      <c r="AJ1260">
        <v>59.782254184707099</v>
      </c>
      <c r="AK1260">
        <v>8.4495510693317595</v>
      </c>
      <c r="AL1260">
        <v>86.334165230199801</v>
      </c>
      <c r="AM1260">
        <v>77.999869357092706</v>
      </c>
      <c r="AN1260">
        <v>0.99999993795977604</v>
      </c>
    </row>
    <row r="1261" spans="1:40" x14ac:dyDescent="0.25">
      <c r="A1261" t="str">
        <f>"20190312151248863"</f>
        <v>20190312151248863</v>
      </c>
      <c r="B1261" t="str">
        <f>"1552374768851480"</f>
        <v>1552374768851480</v>
      </c>
      <c r="C1261" t="s">
        <v>40</v>
      </c>
      <c r="D1261">
        <v>4.9079189999999997</v>
      </c>
      <c r="E1261">
        <v>0.59634189999999998</v>
      </c>
      <c r="F1261" t="s">
        <v>42</v>
      </c>
      <c r="G1261">
        <v>-191.9589</v>
      </c>
      <c r="H1261" s="1">
        <v>-2.5511489999999999E-6</v>
      </c>
      <c r="I1261">
        <v>344.32100000000003</v>
      </c>
      <c r="J1261">
        <v>-191.73740000000001</v>
      </c>
      <c r="K1261">
        <v>1.104206</v>
      </c>
      <c r="L1261">
        <v>352.85419999999999</v>
      </c>
      <c r="M1261">
        <v>0.47936719999999999</v>
      </c>
      <c r="N1261">
        <v>0</v>
      </c>
      <c r="O1261">
        <v>-0.87757960000000002</v>
      </c>
      <c r="P1261">
        <v>0.28638160000000001</v>
      </c>
      <c r="Q1261">
        <v>5.9492570000000002E-2</v>
      </c>
      <c r="R1261">
        <v>-0.95626710000000004</v>
      </c>
      <c r="S1261">
        <v>-4.6005249999999998E-2</v>
      </c>
      <c r="T1261">
        <v>-0.40314100000000003</v>
      </c>
      <c r="U1261">
        <v>-3.1858219999999999</v>
      </c>
      <c r="V1261">
        <v>0.20795340000000001</v>
      </c>
      <c r="W1261">
        <v>6.4426890000000001E-2</v>
      </c>
      <c r="X1261">
        <v>0.97601459999999995</v>
      </c>
      <c r="Y1261">
        <v>0.49166910000000003</v>
      </c>
      <c r="Z1261">
        <v>9.4404059999999998E-2</v>
      </c>
      <c r="AA1261">
        <v>0.86564969999999997</v>
      </c>
      <c r="AB1261">
        <v>21</v>
      </c>
      <c r="AC1261">
        <v>-0.22149999999999101</v>
      </c>
      <c r="AD1261">
        <v>-1.1042085511489901</v>
      </c>
      <c r="AE1261">
        <v>-8.5332000000000203</v>
      </c>
      <c r="AF1261">
        <v>4.2145274136391402</v>
      </c>
      <c r="AG1261">
        <v>-1.1042085511489901</v>
      </c>
      <c r="AH1261">
        <v>7.2611046437627298</v>
      </c>
      <c r="AI1261">
        <v>97.492678145645698</v>
      </c>
      <c r="AJ1261">
        <v>59.868044657403097</v>
      </c>
      <c r="AK1261">
        <v>8.4678898488595795</v>
      </c>
      <c r="AL1261">
        <v>86.306052505607994</v>
      </c>
      <c r="AM1261">
        <v>77.972195402926104</v>
      </c>
      <c r="AN1261">
        <v>0.99999997006989505</v>
      </c>
    </row>
    <row r="1262" spans="1:40" x14ac:dyDescent="0.25">
      <c r="A1262" t="str">
        <f>"20190312151248884"</f>
        <v>20190312151248884</v>
      </c>
      <c r="B1262" t="str">
        <f>"1552374768880760"</f>
        <v>1552374768880760</v>
      </c>
      <c r="C1262" t="s">
        <v>40</v>
      </c>
      <c r="D1262">
        <v>4.7521250000000004</v>
      </c>
      <c r="E1262">
        <v>0.60128429999999999</v>
      </c>
      <c r="F1262" t="s">
        <v>42</v>
      </c>
      <c r="G1262">
        <v>-191.40440000000001</v>
      </c>
      <c r="H1262" s="1">
        <v>-1.8895709999999999E-6</v>
      </c>
      <c r="I1262">
        <v>343.12270000000001</v>
      </c>
      <c r="J1262">
        <v>-191.6491</v>
      </c>
      <c r="K1262">
        <v>1.1041719999999999</v>
      </c>
      <c r="L1262">
        <v>352.67160000000001</v>
      </c>
      <c r="M1262">
        <v>0.47150059999999999</v>
      </c>
      <c r="N1262">
        <v>0</v>
      </c>
      <c r="O1262">
        <v>-0.88183080000000003</v>
      </c>
      <c r="P1262">
        <v>0.27738370000000001</v>
      </c>
      <c r="Q1262">
        <v>5.9677840000000003E-2</v>
      </c>
      <c r="R1262">
        <v>-0.95890410000000004</v>
      </c>
      <c r="S1262">
        <v>0.10700990000000001</v>
      </c>
      <c r="T1262">
        <v>-0.35483989999999999</v>
      </c>
      <c r="U1262">
        <v>-3.1272280000000001</v>
      </c>
      <c r="V1262">
        <v>0.20840020000000001</v>
      </c>
      <c r="W1262">
        <v>6.4613429999999999E-2</v>
      </c>
      <c r="X1262">
        <v>0.97590699999999997</v>
      </c>
      <c r="Y1262">
        <v>0.44106269999999997</v>
      </c>
      <c r="Z1262">
        <v>8.7058269999999993E-2</v>
      </c>
      <c r="AA1262">
        <v>0.89324380000000003</v>
      </c>
      <c r="AB1262">
        <v>21</v>
      </c>
      <c r="AC1262">
        <v>0.24469999999999401</v>
      </c>
      <c r="AD1262">
        <v>-1.1041738895709901</v>
      </c>
      <c r="AE1262">
        <v>-9.5488999999999997</v>
      </c>
      <c r="AF1262">
        <v>4.2301355736881998</v>
      </c>
      <c r="AG1262">
        <v>-1.1041738895709901</v>
      </c>
      <c r="AH1262">
        <v>8.4235942498331902</v>
      </c>
      <c r="AI1262">
        <v>96.681196563684395</v>
      </c>
      <c r="AJ1262">
        <v>63.335247869114298</v>
      </c>
      <c r="AK1262">
        <v>9.4905314411794404</v>
      </c>
      <c r="AL1262">
        <v>86.295342366761005</v>
      </c>
      <c r="AM1262">
        <v>77.945817823159501</v>
      </c>
      <c r="AN1262">
        <v>1.0000000056727001</v>
      </c>
    </row>
    <row r="1263" spans="1:40" x14ac:dyDescent="0.25">
      <c r="A1263" t="str">
        <f>"20190312151248907"</f>
        <v>20190312151248907</v>
      </c>
      <c r="B1263" t="str">
        <f>"1552374768901256"</f>
        <v>1552374768901256</v>
      </c>
      <c r="C1263" t="s">
        <v>40</v>
      </c>
      <c r="D1263">
        <v>4.7627410000000001</v>
      </c>
      <c r="E1263">
        <v>0.60180929999999999</v>
      </c>
      <c r="F1263" t="s">
        <v>42</v>
      </c>
      <c r="G1263">
        <v>-191.4829</v>
      </c>
      <c r="H1263" s="1">
        <v>-7.2738089999999997E-7</v>
      </c>
      <c r="I1263">
        <v>340.36500000000001</v>
      </c>
      <c r="J1263">
        <v>-191.5573</v>
      </c>
      <c r="K1263">
        <v>1.104139</v>
      </c>
      <c r="L1263">
        <v>352.47710000000001</v>
      </c>
      <c r="M1263">
        <v>0.46312140000000002</v>
      </c>
      <c r="N1263">
        <v>0</v>
      </c>
      <c r="O1263">
        <v>-0.88625969999999998</v>
      </c>
      <c r="P1263">
        <v>0.26783190000000001</v>
      </c>
      <c r="Q1263">
        <v>5.9860339999999998E-2</v>
      </c>
      <c r="R1263">
        <v>-0.96160429999999997</v>
      </c>
      <c r="S1263">
        <v>4.2327879999999998E-2</v>
      </c>
      <c r="T1263">
        <v>-0.2811747</v>
      </c>
      <c r="U1263">
        <v>-3.1338499999999998</v>
      </c>
      <c r="V1263">
        <v>0.20886170000000001</v>
      </c>
      <c r="W1263">
        <v>6.4796140000000002E-2</v>
      </c>
      <c r="X1263">
        <v>0.9757962</v>
      </c>
      <c r="Y1263">
        <v>0.45105430000000002</v>
      </c>
      <c r="Z1263">
        <v>6.9349930000000004E-2</v>
      </c>
      <c r="AA1263">
        <v>0.88979799999999998</v>
      </c>
      <c r="AB1263">
        <v>21</v>
      </c>
      <c r="AC1263">
        <v>7.4399999999997093E-2</v>
      </c>
      <c r="AD1263">
        <v>-1.1041397273808999</v>
      </c>
      <c r="AE1263">
        <v>-12.1120999999999</v>
      </c>
      <c r="AF1263">
        <v>5.4979208532536701</v>
      </c>
      <c r="AG1263">
        <v>-1.1041397273808999</v>
      </c>
      <c r="AH1263">
        <v>10.6805045718278</v>
      </c>
      <c r="AI1263">
        <v>95.251633859388093</v>
      </c>
      <c r="AJ1263">
        <v>62.762298911868797</v>
      </c>
      <c r="AK1263">
        <v>12.063143709458901</v>
      </c>
      <c r="AL1263">
        <v>86.284851801023294</v>
      </c>
      <c r="AM1263">
        <v>77.918575830241394</v>
      </c>
      <c r="AN1263">
        <v>0.99999998671011403</v>
      </c>
    </row>
    <row r="1264" spans="1:40" x14ac:dyDescent="0.25">
      <c r="A1264" t="str">
        <f>"20190312151248929"</f>
        <v>20190312151248929</v>
      </c>
      <c r="B1264" t="str">
        <f>"1552374768920776"</f>
        <v>1552374768920776</v>
      </c>
      <c r="C1264" t="s">
        <v>40</v>
      </c>
      <c r="D1264">
        <v>4.7239620000000002</v>
      </c>
      <c r="E1264">
        <v>0.59981079999999998</v>
      </c>
      <c r="F1264" t="s">
        <v>42</v>
      </c>
      <c r="G1264">
        <v>-191.52760000000001</v>
      </c>
      <c r="H1264" s="1">
        <v>-5.1491129999999995E-7</v>
      </c>
      <c r="I1264">
        <v>339.84190000000001</v>
      </c>
      <c r="J1264">
        <v>-191.46459999999999</v>
      </c>
      <c r="K1264">
        <v>1.1041019999999999</v>
      </c>
      <c r="L1264">
        <v>352.27539999999999</v>
      </c>
      <c r="M1264">
        <v>0.45442549999999998</v>
      </c>
      <c r="N1264">
        <v>0</v>
      </c>
      <c r="O1264">
        <v>-0.89074940000000002</v>
      </c>
      <c r="P1264">
        <v>0.25815850000000001</v>
      </c>
      <c r="Q1264">
        <v>6.0100540000000001E-2</v>
      </c>
      <c r="R1264">
        <v>-0.96423159999999997</v>
      </c>
      <c r="S1264">
        <v>7.3699949999999998E-3</v>
      </c>
      <c r="T1264">
        <v>-0.27393230000000002</v>
      </c>
      <c r="U1264">
        <v>-3.134735</v>
      </c>
      <c r="V1264">
        <v>0.20911730000000001</v>
      </c>
      <c r="W1264">
        <v>6.503929E-2</v>
      </c>
      <c r="X1264">
        <v>0.97572530000000002</v>
      </c>
      <c r="Y1264">
        <v>0.45225159999999998</v>
      </c>
      <c r="Z1264">
        <v>6.8105780000000005E-2</v>
      </c>
      <c r="AA1264">
        <v>0.88928629999999997</v>
      </c>
      <c r="AB1264">
        <v>21</v>
      </c>
      <c r="AC1264">
        <v>-6.3000000000016598E-2</v>
      </c>
      <c r="AD1264">
        <v>-1.1041025149113</v>
      </c>
      <c r="AE1264">
        <v>-12.433499999999899</v>
      </c>
      <c r="AF1264">
        <v>5.6617514598746803</v>
      </c>
      <c r="AG1264">
        <v>-1.1041025149113</v>
      </c>
      <c r="AH1264">
        <v>10.960424919461801</v>
      </c>
      <c r="AI1264">
        <v>95.114328269693004</v>
      </c>
      <c r="AJ1264">
        <v>62.680790959752599</v>
      </c>
      <c r="AK1264">
        <v>12.385692809527701</v>
      </c>
      <c r="AL1264">
        <v>86.270890961640504</v>
      </c>
      <c r="AM1264">
        <v>77.903372965992503</v>
      </c>
      <c r="AN1264">
        <v>1.0000000077315401</v>
      </c>
    </row>
    <row r="1265" spans="1:40" x14ac:dyDescent="0.25">
      <c r="A1265" t="str">
        <f>"20190312151248954"</f>
        <v>20190312151248954</v>
      </c>
      <c r="B1265" t="str">
        <f>"1552374768951621"</f>
        <v>1552374768951621</v>
      </c>
      <c r="C1265" t="s">
        <v>40</v>
      </c>
      <c r="D1265">
        <v>4.7807760000000004</v>
      </c>
      <c r="E1265">
        <v>0.58690229999999999</v>
      </c>
      <c r="F1265" t="s">
        <v>42</v>
      </c>
      <c r="G1265">
        <v>-191.49940000000001</v>
      </c>
      <c r="H1265" s="1">
        <v>-4.1929300000000002E-7</v>
      </c>
      <c r="I1265">
        <v>339.63650000000001</v>
      </c>
      <c r="J1265">
        <v>-191.36410000000001</v>
      </c>
      <c r="K1265">
        <v>1.1040639999999999</v>
      </c>
      <c r="L1265">
        <v>352.05090000000001</v>
      </c>
      <c r="M1265">
        <v>0.44474970000000003</v>
      </c>
      <c r="N1265">
        <v>0</v>
      </c>
      <c r="O1265">
        <v>-0.89561959999999996</v>
      </c>
      <c r="P1265">
        <v>0.2475841</v>
      </c>
      <c r="Q1265">
        <v>6.0816380000000003E-2</v>
      </c>
      <c r="R1265">
        <v>-0.96695580000000003</v>
      </c>
      <c r="S1265">
        <v>-8.6364749999999994E-3</v>
      </c>
      <c r="T1265">
        <v>-0.2734859</v>
      </c>
      <c r="U1265">
        <v>-3.130646</v>
      </c>
      <c r="V1265">
        <v>0.20922930000000001</v>
      </c>
      <c r="W1265">
        <v>6.5759689999999996E-2</v>
      </c>
      <c r="X1265">
        <v>0.97565299999999999</v>
      </c>
      <c r="Y1265">
        <v>0.44713150000000002</v>
      </c>
      <c r="Z1265">
        <v>6.8825220000000006E-2</v>
      </c>
      <c r="AA1265">
        <v>0.89181639999999995</v>
      </c>
      <c r="AB1265">
        <v>21</v>
      </c>
      <c r="AC1265">
        <v>-0.1353</v>
      </c>
      <c r="AD1265">
        <v>-1.104064419293</v>
      </c>
      <c r="AE1265">
        <v>-12.414400000000001</v>
      </c>
      <c r="AF1265">
        <v>5.5983824638996804</v>
      </c>
      <c r="AG1265">
        <v>-1.104064419293</v>
      </c>
      <c r="AH1265">
        <v>10.9719847171881</v>
      </c>
      <c r="AI1265">
        <v>95.1218583341401</v>
      </c>
      <c r="AJ1265">
        <v>62.967353626042097</v>
      </c>
      <c r="AK1265">
        <v>12.3671052833012</v>
      </c>
      <c r="AL1265">
        <v>86.229526522686598</v>
      </c>
      <c r="AM1265">
        <v>77.896214729982503</v>
      </c>
      <c r="AN1265">
        <v>1.00000000660819</v>
      </c>
    </row>
    <row r="1266" spans="1:40" x14ac:dyDescent="0.25">
      <c r="A1266" t="str">
        <f>"20190312151248976"</f>
        <v>20190312151248976</v>
      </c>
      <c r="B1266" t="str">
        <f>"1552374768971141"</f>
        <v>1552374768971141</v>
      </c>
      <c r="C1266" t="s">
        <v>40</v>
      </c>
      <c r="D1266">
        <v>4.6896959999999996</v>
      </c>
      <c r="E1266">
        <v>0.58626919999999905</v>
      </c>
      <c r="F1266" t="s">
        <v>42</v>
      </c>
      <c r="G1266">
        <v>-190.9314</v>
      </c>
      <c r="H1266" s="1">
        <v>-4.4291939999999999E-7</v>
      </c>
      <c r="I1266">
        <v>330.04390000000001</v>
      </c>
      <c r="J1266">
        <v>-191.27420000000001</v>
      </c>
      <c r="K1266">
        <v>1.1040299999999901</v>
      </c>
      <c r="L1266">
        <v>351.84449999999998</v>
      </c>
      <c r="M1266">
        <v>0.43584580000000001</v>
      </c>
      <c r="N1266">
        <v>0</v>
      </c>
      <c r="O1266">
        <v>-0.89998609999999901</v>
      </c>
      <c r="P1266">
        <v>0.23775199999999999</v>
      </c>
      <c r="Q1266">
        <v>6.0717090000000001E-2</v>
      </c>
      <c r="R1266">
        <v>-0.96942660000000003</v>
      </c>
      <c r="S1266">
        <v>6.0882569999999997E-2</v>
      </c>
      <c r="T1266">
        <v>-0.15535779999999999</v>
      </c>
      <c r="U1266">
        <v>-3.0967099999999999</v>
      </c>
      <c r="V1266">
        <v>0.20946899999999999</v>
      </c>
      <c r="W1266">
        <v>6.5662620000000005E-2</v>
      </c>
      <c r="X1266">
        <v>0.97560809999999998</v>
      </c>
      <c r="Y1266">
        <v>0.41807549999999999</v>
      </c>
      <c r="Z1266">
        <v>4.0306830000000002E-2</v>
      </c>
      <c r="AA1266">
        <v>0.90751760000000004</v>
      </c>
      <c r="AB1266">
        <v>21</v>
      </c>
      <c r="AC1266">
        <v>0.34280000000001098</v>
      </c>
      <c r="AD1266">
        <v>-1.1040304429193999</v>
      </c>
      <c r="AE1266">
        <v>-21.8005999999999</v>
      </c>
      <c r="AF1266">
        <v>9.1699646394438492</v>
      </c>
      <c r="AG1266">
        <v>-1.1040304429193999</v>
      </c>
      <c r="AH1266">
        <v>19.719710899745099</v>
      </c>
      <c r="AI1266">
        <v>92.906169827779806</v>
      </c>
      <c r="AJ1266">
        <v>65.0608578810577</v>
      </c>
      <c r="AK1266">
        <v>21.775539779235501</v>
      </c>
      <c r="AL1266">
        <v>86.235100257758702</v>
      </c>
      <c r="AM1266">
        <v>77.882216605887393</v>
      </c>
      <c r="AN1266">
        <v>1.00000000320593</v>
      </c>
    </row>
    <row r="1267" spans="1:40" x14ac:dyDescent="0.25">
      <c r="A1267" t="str">
        <f>"20190312151248998"</f>
        <v>20190312151248998</v>
      </c>
      <c r="B1267" t="str">
        <f>"1552374768990662"</f>
        <v>1552374768990662</v>
      </c>
      <c r="C1267" t="s">
        <v>40</v>
      </c>
      <c r="D1267">
        <v>4.8214689999999996</v>
      </c>
      <c r="E1267">
        <v>0.58612109999999995</v>
      </c>
      <c r="F1267" t="s">
        <v>42</v>
      </c>
      <c r="G1267">
        <v>-191.04150000000001</v>
      </c>
      <c r="H1267" s="1">
        <v>-8.8671769999999996E-7</v>
      </c>
      <c r="I1267">
        <v>331.01010000000002</v>
      </c>
      <c r="J1267">
        <v>-191.19110000000001</v>
      </c>
      <c r="K1267">
        <v>1.1039969999999999</v>
      </c>
      <c r="L1267">
        <v>351.64870000000002</v>
      </c>
      <c r="M1267">
        <v>0.42740319999999998</v>
      </c>
      <c r="N1267">
        <v>0</v>
      </c>
      <c r="O1267">
        <v>-0.90402559999999998</v>
      </c>
      <c r="P1267">
        <v>0.2286359</v>
      </c>
      <c r="Q1267">
        <v>6.0875640000000002E-2</v>
      </c>
      <c r="R1267">
        <v>-0.97160690000000005</v>
      </c>
      <c r="S1267">
        <v>3.4576419999999997E-2</v>
      </c>
      <c r="T1267">
        <v>-0.16408130000000001</v>
      </c>
      <c r="U1267">
        <v>-3.0964049999999999</v>
      </c>
      <c r="V1267">
        <v>0.20950550000000001</v>
      </c>
      <c r="W1267">
        <v>6.5824869999999994E-2</v>
      </c>
      <c r="X1267">
        <v>0.97558929999999999</v>
      </c>
      <c r="Y1267">
        <v>0.41727829999999999</v>
      </c>
      <c r="Z1267">
        <v>4.2895889999999999E-2</v>
      </c>
      <c r="AA1267">
        <v>0.90776579999999996</v>
      </c>
      <c r="AB1267">
        <v>22</v>
      </c>
      <c r="AC1267">
        <v>0.14959999999999199</v>
      </c>
      <c r="AD1267">
        <v>-1.1039978867176901</v>
      </c>
      <c r="AE1267">
        <v>-20.6386</v>
      </c>
      <c r="AF1267">
        <v>8.6612584863518602</v>
      </c>
      <c r="AG1267">
        <v>-1.1039978867176901</v>
      </c>
      <c r="AH1267">
        <v>18.668947239309801</v>
      </c>
      <c r="AI1267">
        <v>93.070605431755794</v>
      </c>
      <c r="AJ1267">
        <v>65.111561239986003</v>
      </c>
      <c r="AK1267">
        <v>20.609847183456001</v>
      </c>
      <c r="AL1267">
        <v>86.225783755885999</v>
      </c>
      <c r="AM1267">
        <v>77.879940852434103</v>
      </c>
      <c r="AN1267">
        <v>0.99999997515762795</v>
      </c>
    </row>
    <row r="1268" spans="1:40" x14ac:dyDescent="0.25">
      <c r="A1268" t="str">
        <f>"20190312151249019"</f>
        <v>20190312151249019</v>
      </c>
      <c r="B1268" t="str">
        <f>"1552374769011157"</f>
        <v>1552374769011157</v>
      </c>
      <c r="C1268" t="s">
        <v>40</v>
      </c>
      <c r="D1268">
        <v>4.6963860000000004</v>
      </c>
      <c r="E1268">
        <v>0.58871249999999997</v>
      </c>
      <c r="F1268" t="s">
        <v>42</v>
      </c>
      <c r="G1268">
        <v>-191.14670000000001</v>
      </c>
      <c r="H1268" s="1">
        <v>-8.4002309999999899E-7</v>
      </c>
      <c r="I1268">
        <v>330.83600000000001</v>
      </c>
      <c r="J1268">
        <v>-191.11060000000001</v>
      </c>
      <c r="K1268">
        <v>1.103955</v>
      </c>
      <c r="L1268">
        <v>351.45409999999998</v>
      </c>
      <c r="M1268">
        <v>0.41900999999999999</v>
      </c>
      <c r="N1268">
        <v>0</v>
      </c>
      <c r="O1268">
        <v>-0.90794620000000004</v>
      </c>
      <c r="P1268">
        <v>0.21961520000000001</v>
      </c>
      <c r="Q1268">
        <v>6.0772229999999997E-2</v>
      </c>
      <c r="R1268">
        <v>-0.973692</v>
      </c>
      <c r="S1268">
        <v>6.607056E-3</v>
      </c>
      <c r="T1268">
        <v>-0.1642458</v>
      </c>
      <c r="U1268">
        <v>-3.0963750000000001</v>
      </c>
      <c r="V1268">
        <v>0.20952270000000001</v>
      </c>
      <c r="W1268">
        <v>6.5724000000000005E-2</v>
      </c>
      <c r="X1268">
        <v>0.97559240000000003</v>
      </c>
      <c r="Y1268">
        <v>0.41705910000000002</v>
      </c>
      <c r="Z1268">
        <v>4.3249280000000001E-2</v>
      </c>
      <c r="AA1268">
        <v>0.90784969999999998</v>
      </c>
      <c r="AB1268">
        <v>22</v>
      </c>
      <c r="AC1268">
        <v>-3.6100000000004601E-2</v>
      </c>
      <c r="AD1268">
        <v>-1.1039558400231</v>
      </c>
      <c r="AE1268">
        <v>-20.618099999999899</v>
      </c>
      <c r="AF1268">
        <v>8.6474548875852406</v>
      </c>
      <c r="AG1268">
        <v>-1.1039558400231</v>
      </c>
      <c r="AH1268">
        <v>18.6521280157536</v>
      </c>
      <c r="AI1268">
        <v>93.073628824642199</v>
      </c>
      <c r="AJ1268">
        <v>65.126730802650201</v>
      </c>
      <c r="AK1268">
        <v>20.588809437303599</v>
      </c>
      <c r="AL1268">
        <v>86.231575698460105</v>
      </c>
      <c r="AM1268">
        <v>77.879012617328598</v>
      </c>
      <c r="AN1268">
        <v>0.99999996846452399</v>
      </c>
    </row>
    <row r="1269" spans="1:40" x14ac:dyDescent="0.25">
      <c r="A1269" t="str">
        <f>"20190312151249041"</f>
        <v>20190312151249041</v>
      </c>
      <c r="B1269" t="str">
        <f>"1552374769031250"</f>
        <v>1552374769031250</v>
      </c>
      <c r="C1269" t="s">
        <v>40</v>
      </c>
      <c r="D1269">
        <v>4.7171010000000004</v>
      </c>
      <c r="E1269">
        <v>0.58797940000000004</v>
      </c>
      <c r="F1269" t="s">
        <v>42</v>
      </c>
      <c r="G1269">
        <v>-191.28360000000001</v>
      </c>
      <c r="H1269" s="1">
        <v>-4.062734E-7</v>
      </c>
      <c r="I1269">
        <v>339.74009999999998</v>
      </c>
      <c r="J1269">
        <v>-191.0264</v>
      </c>
      <c r="K1269">
        <v>1.1039209999999999</v>
      </c>
      <c r="L1269">
        <v>351.245</v>
      </c>
      <c r="M1269">
        <v>0.40999160000000001</v>
      </c>
      <c r="N1269">
        <v>0</v>
      </c>
      <c r="O1269">
        <v>-0.91205389999999997</v>
      </c>
      <c r="P1269">
        <v>0.2099887</v>
      </c>
      <c r="Q1269">
        <v>6.0898420000000002E-2</v>
      </c>
      <c r="R1269">
        <v>-0.97580560000000005</v>
      </c>
      <c r="S1269">
        <v>-4.5913700000000002E-2</v>
      </c>
      <c r="T1269">
        <v>-0.2930663</v>
      </c>
      <c r="U1269">
        <v>-3.1097109999999999</v>
      </c>
      <c r="V1269">
        <v>0.20949409999999999</v>
      </c>
      <c r="W1269">
        <v>6.5853419999999996E-2</v>
      </c>
      <c r="X1269">
        <v>0.97558990000000001</v>
      </c>
      <c r="Y1269">
        <v>0.42328830000000001</v>
      </c>
      <c r="Z1269">
        <v>7.704271E-2</v>
      </c>
      <c r="AA1269">
        <v>0.9027134</v>
      </c>
      <c r="AB1269">
        <v>22</v>
      </c>
      <c r="AC1269">
        <v>-0.25720000000001098</v>
      </c>
      <c r="AD1269">
        <v>-1.1039214062734</v>
      </c>
      <c r="AE1269">
        <v>-11.504899999999999</v>
      </c>
      <c r="AF1269">
        <v>4.9065016797110301</v>
      </c>
      <c r="AG1269">
        <v>-1.1039214062734</v>
      </c>
      <c r="AH1269">
        <v>10.293253461002699</v>
      </c>
      <c r="AI1269">
        <v>95.529633340030699</v>
      </c>
      <c r="AJ1269">
        <v>64.514187839966596</v>
      </c>
      <c r="AK1269">
        <v>11.456154154718799</v>
      </c>
      <c r="AL1269">
        <v>86.224144694625096</v>
      </c>
      <c r="AM1269">
        <v>77.8805880878203</v>
      </c>
      <c r="AN1269">
        <v>1.00000005192125</v>
      </c>
    </row>
    <row r="1270" spans="1:40" x14ac:dyDescent="0.25">
      <c r="A1270" t="str">
        <f>"20190312151249064"</f>
        <v>20190312151249064</v>
      </c>
      <c r="B1270" t="str">
        <f>"1552374769060530"</f>
        <v>1552374769060530</v>
      </c>
      <c r="C1270" t="s">
        <v>40</v>
      </c>
      <c r="D1270">
        <v>4.7367140000000001</v>
      </c>
      <c r="E1270">
        <v>0.5798529</v>
      </c>
      <c r="F1270" t="s">
        <v>42</v>
      </c>
      <c r="G1270">
        <v>-191.29239999999999</v>
      </c>
      <c r="H1270" s="1">
        <v>-4.5032759999999999E-6</v>
      </c>
      <c r="I1270">
        <v>339.5462</v>
      </c>
      <c r="J1270">
        <v>-190.94759999999999</v>
      </c>
      <c r="K1270">
        <v>1.103885</v>
      </c>
      <c r="L1270">
        <v>351.04360000000003</v>
      </c>
      <c r="M1270">
        <v>0.40130909999999997</v>
      </c>
      <c r="N1270">
        <v>0</v>
      </c>
      <c r="O1270">
        <v>-0.91590740000000004</v>
      </c>
      <c r="P1270">
        <v>0.2006783</v>
      </c>
      <c r="Q1270">
        <v>6.0684639999999998E-2</v>
      </c>
      <c r="R1270">
        <v>-0.97777610000000004</v>
      </c>
      <c r="S1270">
        <v>-7.0663450000000003E-2</v>
      </c>
      <c r="T1270">
        <v>-0.29326459999999999</v>
      </c>
      <c r="U1270">
        <v>-3.1078489999999999</v>
      </c>
      <c r="V1270">
        <v>0.209534</v>
      </c>
      <c r="W1270">
        <v>6.5640729999999994E-2</v>
      </c>
      <c r="X1270">
        <v>0.97559560000000001</v>
      </c>
      <c r="Y1270">
        <v>0.42187750000000002</v>
      </c>
      <c r="Z1270">
        <v>7.7701649999999997E-2</v>
      </c>
      <c r="AA1270">
        <v>0.90331719999999904</v>
      </c>
      <c r="AB1270">
        <v>22</v>
      </c>
      <c r="AC1270">
        <v>-0.344799999999992</v>
      </c>
      <c r="AD1270">
        <v>-1.1038895032760001</v>
      </c>
      <c r="AE1270">
        <v>-11.497400000000001</v>
      </c>
      <c r="AF1270">
        <v>4.8849845566503696</v>
      </c>
      <c r="AG1270">
        <v>-1.1038895032760001</v>
      </c>
      <c r="AH1270">
        <v>10.2976762499566</v>
      </c>
      <c r="AI1270">
        <v>95.532003894773098</v>
      </c>
      <c r="AJ1270">
        <v>64.621395844661706</v>
      </c>
      <c r="AK1270">
        <v>11.450929320499499</v>
      </c>
      <c r="AL1270">
        <v>86.236357119232196</v>
      </c>
      <c r="AM1270">
        <v>77.878416822396503</v>
      </c>
      <c r="AN1270">
        <v>0.99999998866514594</v>
      </c>
    </row>
    <row r="1271" spans="1:40" x14ac:dyDescent="0.25">
      <c r="A1271" t="str">
        <f>"20190312151249087"</f>
        <v>20190312151249087</v>
      </c>
      <c r="B1271" t="str">
        <f>"1552374769081026"</f>
        <v>1552374769081026</v>
      </c>
      <c r="C1271" t="s">
        <v>40</v>
      </c>
      <c r="D1271">
        <v>4.744294</v>
      </c>
      <c r="E1271">
        <v>0.57905499999999999</v>
      </c>
      <c r="F1271" t="s">
        <v>42</v>
      </c>
      <c r="G1271">
        <v>-191.0779</v>
      </c>
      <c r="H1271" s="1">
        <v>-4.728649E-7</v>
      </c>
      <c r="I1271">
        <v>340.02280000000002</v>
      </c>
      <c r="J1271">
        <v>-190.8656</v>
      </c>
      <c r="K1271">
        <v>1.1038460000000001</v>
      </c>
      <c r="L1271">
        <v>350.8279</v>
      </c>
      <c r="M1271">
        <v>0.39200770000000001</v>
      </c>
      <c r="N1271">
        <v>0</v>
      </c>
      <c r="O1271">
        <v>-0.91992629999999997</v>
      </c>
      <c r="P1271">
        <v>0.19097549999999999</v>
      </c>
      <c r="Q1271">
        <v>6.0711099999999997E-2</v>
      </c>
      <c r="R1271">
        <v>-0.97971549999999996</v>
      </c>
      <c r="S1271">
        <v>-3.6605829999999999E-2</v>
      </c>
      <c r="T1271">
        <v>-0.30999739999999998</v>
      </c>
      <c r="U1271">
        <v>-3.09491</v>
      </c>
      <c r="V1271">
        <v>0.20932609999999999</v>
      </c>
      <c r="W1271">
        <v>6.5672610000000006E-2</v>
      </c>
      <c r="X1271">
        <v>0.97563809999999995</v>
      </c>
      <c r="Y1271">
        <v>0.4027424</v>
      </c>
      <c r="Z1271">
        <v>8.3484530000000001E-2</v>
      </c>
      <c r="AA1271">
        <v>0.91149809999999998</v>
      </c>
      <c r="AB1271">
        <v>22</v>
      </c>
      <c r="AC1271">
        <v>-0.21229999999999899</v>
      </c>
      <c r="AD1271">
        <v>-1.10384647286489</v>
      </c>
      <c r="AE1271">
        <v>-10.8050999999999</v>
      </c>
      <c r="AF1271">
        <v>4.3853771779866797</v>
      </c>
      <c r="AG1271">
        <v>-1.10384647286489</v>
      </c>
      <c r="AH1271">
        <v>9.7552233296201898</v>
      </c>
      <c r="AI1271">
        <v>95.892385748654306</v>
      </c>
      <c r="AJ1271">
        <v>65.794107368865298</v>
      </c>
      <c r="AK1271">
        <v>10.752413321651501</v>
      </c>
      <c r="AL1271">
        <v>86.234526641585603</v>
      </c>
      <c r="AM1271">
        <v>77.890600667165302</v>
      </c>
      <c r="AN1271">
        <v>1.0000000050085101</v>
      </c>
    </row>
    <row r="1272" spans="1:40" x14ac:dyDescent="0.25">
      <c r="A1272" t="str">
        <f>"20190312151249109"</f>
        <v>20190312151249109</v>
      </c>
      <c r="B1272" t="str">
        <f>"1552374769100547"</f>
        <v>1552374769100547</v>
      </c>
      <c r="C1272" t="s">
        <v>40</v>
      </c>
      <c r="D1272">
        <v>4.7597880000000004</v>
      </c>
      <c r="E1272">
        <v>0.5785361</v>
      </c>
      <c r="F1272" t="s">
        <v>42</v>
      </c>
      <c r="G1272">
        <v>-191.0805</v>
      </c>
      <c r="H1272" s="1">
        <v>-4.252868E-7</v>
      </c>
      <c r="I1272">
        <v>339.91030000000001</v>
      </c>
      <c r="J1272">
        <v>-190.78909999999999</v>
      </c>
      <c r="K1272">
        <v>1.1038059999999901</v>
      </c>
      <c r="L1272">
        <v>350.62040000000002</v>
      </c>
      <c r="M1272">
        <v>0.38305529999999999</v>
      </c>
      <c r="N1272">
        <v>0</v>
      </c>
      <c r="O1272">
        <v>-0.92369000000000001</v>
      </c>
      <c r="P1272">
        <v>0.18186769999999999</v>
      </c>
      <c r="Q1272">
        <v>6.0429429999999999E-2</v>
      </c>
      <c r="R1272">
        <v>-0.98146469999999997</v>
      </c>
      <c r="S1272">
        <v>-6.089783E-2</v>
      </c>
      <c r="T1272">
        <v>-0.31275890000000001</v>
      </c>
      <c r="U1272">
        <v>-3.093353</v>
      </c>
      <c r="V1272">
        <v>0.20892169999999999</v>
      </c>
      <c r="W1272">
        <v>6.5399009999999994E-2</v>
      </c>
      <c r="X1272">
        <v>0.97574320000000003</v>
      </c>
      <c r="Y1272">
        <v>0.40101360000000003</v>
      </c>
      <c r="Z1272">
        <v>8.4857390000000005E-2</v>
      </c>
      <c r="AA1272">
        <v>0.91213339999999998</v>
      </c>
      <c r="AB1272">
        <v>22</v>
      </c>
      <c r="AC1272">
        <v>-0.29140000000000998</v>
      </c>
      <c r="AD1272">
        <v>-1.1038064252867901</v>
      </c>
      <c r="AE1272">
        <v>-10.710100000000001</v>
      </c>
      <c r="AF1272">
        <v>4.3259513723531802</v>
      </c>
      <c r="AG1272">
        <v>-1.1038064252867901</v>
      </c>
      <c r="AH1272">
        <v>9.6787797465736904</v>
      </c>
      <c r="AI1272">
        <v>95.944079825323101</v>
      </c>
      <c r="AJ1272">
        <v>65.917641988022694</v>
      </c>
      <c r="AK1272">
        <v>10.6588470897726</v>
      </c>
      <c r="AL1272">
        <v>86.250236707858605</v>
      </c>
      <c r="AM1272">
        <v>77.914570069213994</v>
      </c>
      <c r="AN1272">
        <v>1.0000000497930499</v>
      </c>
    </row>
    <row r="1273" spans="1:40" x14ac:dyDescent="0.25">
      <c r="A1273" t="str">
        <f>"20190312151249131"</f>
        <v>20190312151249131</v>
      </c>
      <c r="B1273" t="str">
        <f>"1552374769121042"</f>
        <v>1552374769121042</v>
      </c>
      <c r="C1273" t="s">
        <v>40</v>
      </c>
      <c r="D1273">
        <v>4.7683650000000002</v>
      </c>
      <c r="E1273">
        <v>0.57225439999999905</v>
      </c>
      <c r="F1273" t="s">
        <v>42</v>
      </c>
      <c r="G1273">
        <v>-191.08959999999999</v>
      </c>
      <c r="H1273" s="1">
        <v>-3.459946E-7</v>
      </c>
      <c r="I1273">
        <v>339.71980000000002</v>
      </c>
      <c r="J1273">
        <v>-190.71440000000001</v>
      </c>
      <c r="K1273">
        <v>1.1037650000000001</v>
      </c>
      <c r="L1273">
        <v>350.41149999999999</v>
      </c>
      <c r="M1273">
        <v>0.37404229999999999</v>
      </c>
      <c r="N1273">
        <v>0</v>
      </c>
      <c r="O1273">
        <v>-0.92737590000000003</v>
      </c>
      <c r="P1273">
        <v>0.17262930000000001</v>
      </c>
      <c r="Q1273">
        <v>6.0487770000000003E-2</v>
      </c>
      <c r="R1273">
        <v>-0.98312770000000005</v>
      </c>
      <c r="S1273">
        <v>-8.5235599999999995E-2</v>
      </c>
      <c r="T1273">
        <v>-0.31307590000000002</v>
      </c>
      <c r="U1273">
        <v>-3.0917659999999998</v>
      </c>
      <c r="V1273">
        <v>0.20860219999999999</v>
      </c>
      <c r="W1273">
        <v>6.5463250000000001E-2</v>
      </c>
      <c r="X1273">
        <v>0.97580719999999999</v>
      </c>
      <c r="Y1273">
        <v>0.39927940000000001</v>
      </c>
      <c r="Z1273">
        <v>8.556735E-2</v>
      </c>
      <c r="AA1273">
        <v>0.91282759999999996</v>
      </c>
      <c r="AB1273">
        <v>22</v>
      </c>
      <c r="AC1273">
        <v>-0.375199999999978</v>
      </c>
      <c r="AD1273">
        <v>-1.1037653459946</v>
      </c>
      <c r="AE1273">
        <v>-10.6916999999999</v>
      </c>
      <c r="AF1273">
        <v>4.3014567269975199</v>
      </c>
      <c r="AG1273">
        <v>-1.1037653459946</v>
      </c>
      <c r="AH1273">
        <v>9.6722519460969991</v>
      </c>
      <c r="AI1273">
        <v>95.952744295196197</v>
      </c>
      <c r="AJ1273">
        <v>66.0242649286362</v>
      </c>
      <c r="AK1273">
        <v>10.642992324625</v>
      </c>
      <c r="AL1273">
        <v>86.246547947936406</v>
      </c>
      <c r="AM1273">
        <v>77.933278220283498</v>
      </c>
      <c r="AN1273">
        <v>1.00000000325862</v>
      </c>
    </row>
    <row r="1274" spans="1:40" x14ac:dyDescent="0.25">
      <c r="A1274" t="str">
        <f>"20190312151249155"</f>
        <v>20190312151249155</v>
      </c>
      <c r="B1274" t="str">
        <f>"1552374769150901"</f>
        <v>1552374769150901</v>
      </c>
      <c r="C1274" t="s">
        <v>40</v>
      </c>
      <c r="D1274">
        <v>4.7070030000000003</v>
      </c>
      <c r="E1274">
        <v>0.56998459999999995</v>
      </c>
      <c r="F1274" t="s">
        <v>42</v>
      </c>
      <c r="G1274">
        <v>-190.9365</v>
      </c>
      <c r="H1274" s="1">
        <v>-3.7371999999999999E-7</v>
      </c>
      <c r="I1274">
        <v>339.87939999999998</v>
      </c>
      <c r="J1274">
        <v>-190.63470000000001</v>
      </c>
      <c r="K1274">
        <v>1.1037220000000001</v>
      </c>
      <c r="L1274">
        <v>350.1814</v>
      </c>
      <c r="M1274">
        <v>0.36411569999999999</v>
      </c>
      <c r="N1274">
        <v>0</v>
      </c>
      <c r="O1274">
        <v>-0.93131799999999998</v>
      </c>
      <c r="P1274">
        <v>0.16247429999999999</v>
      </c>
      <c r="Q1274">
        <v>6.0280019999999997E-2</v>
      </c>
      <c r="R1274">
        <v>-0.98486989999999996</v>
      </c>
      <c r="S1274">
        <v>-6.5017699999999998E-2</v>
      </c>
      <c r="T1274">
        <v>-0.32307609999999998</v>
      </c>
      <c r="U1274">
        <v>-3.0827640000000001</v>
      </c>
      <c r="V1274">
        <v>0.20825830000000001</v>
      </c>
      <c r="W1274">
        <v>6.5261979999999997E-2</v>
      </c>
      <c r="X1274">
        <v>0.97589420000000004</v>
      </c>
      <c r="Y1274">
        <v>0.38351600000000002</v>
      </c>
      <c r="Z1274">
        <v>8.9505559999999998E-2</v>
      </c>
      <c r="AA1274">
        <v>0.91918670000000002</v>
      </c>
      <c r="AB1274">
        <v>22</v>
      </c>
      <c r="AC1274">
        <v>-0.30179999999998502</v>
      </c>
      <c r="AD1274">
        <v>-1.1037223737199999</v>
      </c>
      <c r="AE1274">
        <v>-10.302</v>
      </c>
      <c r="AF1274">
        <v>3.9866057542811499</v>
      </c>
      <c r="AG1274">
        <v>-1.1037223737199999</v>
      </c>
      <c r="AH1274">
        <v>9.3773203233890801</v>
      </c>
      <c r="AI1274">
        <v>96.182114397170395</v>
      </c>
      <c r="AJ1274">
        <v>66.968067087453406</v>
      </c>
      <c r="AK1274">
        <v>10.2491641105879</v>
      </c>
      <c r="AL1274">
        <v>86.258104823424702</v>
      </c>
      <c r="AM1274">
        <v>77.953632327171704</v>
      </c>
      <c r="AN1274">
        <v>1.0000000675730201</v>
      </c>
    </row>
    <row r="1275" spans="1:40" x14ac:dyDescent="0.25">
      <c r="A1275" t="str">
        <f>"20190312151249179"</f>
        <v>20190312151249179</v>
      </c>
      <c r="B1275" t="str">
        <f>"1552374769171396"</f>
        <v>1552374769171396</v>
      </c>
      <c r="C1275" t="s">
        <v>40</v>
      </c>
      <c r="D1275">
        <v>4.7837589999999999</v>
      </c>
      <c r="E1275">
        <v>0.56906509999999999</v>
      </c>
      <c r="F1275" t="s">
        <v>42</v>
      </c>
      <c r="G1275">
        <v>-190.9016</v>
      </c>
      <c r="H1275" s="1">
        <v>-3.064094E-7</v>
      </c>
      <c r="I1275">
        <v>339.74419999999998</v>
      </c>
      <c r="J1275">
        <v>-190.55850000000001</v>
      </c>
      <c r="K1275">
        <v>1.1036760000000001</v>
      </c>
      <c r="L1275">
        <v>349.95400000000001</v>
      </c>
      <c r="M1275">
        <v>0.35430220000000001</v>
      </c>
      <c r="N1275">
        <v>0</v>
      </c>
      <c r="O1275">
        <v>-0.93509509999999996</v>
      </c>
      <c r="P1275">
        <v>0.15264920000000001</v>
      </c>
      <c r="Q1275">
        <v>6.0033120000000002E-2</v>
      </c>
      <c r="R1275">
        <v>-0.98645539999999998</v>
      </c>
      <c r="S1275">
        <v>-7.8735349999999996E-2</v>
      </c>
      <c r="T1275">
        <v>-0.32560879999999998</v>
      </c>
      <c r="U1275">
        <v>-3.0790709999999999</v>
      </c>
      <c r="V1275">
        <v>0.20773220000000001</v>
      </c>
      <c r="W1275">
        <v>6.5024059999999995E-2</v>
      </c>
      <c r="X1275">
        <v>0.9760221</v>
      </c>
      <c r="Y1275">
        <v>0.37791409999999998</v>
      </c>
      <c r="Z1275">
        <v>9.1016369999999999E-2</v>
      </c>
      <c r="AA1275">
        <v>0.92135610000000001</v>
      </c>
      <c r="AB1275">
        <v>22</v>
      </c>
      <c r="AC1275">
        <v>-0.34309999999999202</v>
      </c>
      <c r="AD1275">
        <v>-1.1036763064094</v>
      </c>
      <c r="AE1275">
        <v>-10.2098</v>
      </c>
      <c r="AF1275">
        <v>3.89287877735077</v>
      </c>
      <c r="AG1275">
        <v>-1.1036763064094</v>
      </c>
      <c r="AH1275">
        <v>9.3171361360585596</v>
      </c>
      <c r="AI1275">
        <v>96.237655447056795</v>
      </c>
      <c r="AJ1275">
        <v>67.323889172974006</v>
      </c>
      <c r="AK1275">
        <v>10.1578360068631</v>
      </c>
      <c r="AL1275">
        <v>86.271765277190397</v>
      </c>
      <c r="AM1275">
        <v>77.984707021969797</v>
      </c>
      <c r="AN1275">
        <v>0.99999996749206599</v>
      </c>
    </row>
    <row r="1276" spans="1:40" x14ac:dyDescent="0.25">
      <c r="A1276" t="str">
        <f>"20190312151249198"</f>
        <v>20190312151249198</v>
      </c>
      <c r="B1276" t="str">
        <f>"1552374769190916"</f>
        <v>1552374769190916</v>
      </c>
      <c r="C1276" t="s">
        <v>40</v>
      </c>
      <c r="D1276">
        <v>4.7559829999999996</v>
      </c>
      <c r="E1276">
        <v>0.5549113</v>
      </c>
      <c r="F1276" t="s">
        <v>42</v>
      </c>
      <c r="G1276">
        <v>-190.90029999999999</v>
      </c>
      <c r="H1276" s="1">
        <v>-2.8418310000000002E-7</v>
      </c>
      <c r="I1276">
        <v>339.69319999999999</v>
      </c>
      <c r="J1276">
        <v>-190.4948</v>
      </c>
      <c r="K1276">
        <v>1.10364</v>
      </c>
      <c r="L1276">
        <v>349.75740000000002</v>
      </c>
      <c r="M1276">
        <v>0.34581659999999997</v>
      </c>
      <c r="N1276">
        <v>0</v>
      </c>
      <c r="O1276">
        <v>-0.93826639999999994</v>
      </c>
      <c r="P1276">
        <v>0.14498269999999999</v>
      </c>
      <c r="Q1276">
        <v>5.9596669999999997E-2</v>
      </c>
      <c r="R1276">
        <v>-0.98763780000000001</v>
      </c>
      <c r="S1276">
        <v>-0.1024933</v>
      </c>
      <c r="T1276">
        <v>-0.33098240000000001</v>
      </c>
      <c r="U1276">
        <v>-3.077118</v>
      </c>
      <c r="V1276">
        <v>0.2064792</v>
      </c>
      <c r="W1276">
        <v>6.4608659999999998E-2</v>
      </c>
      <c r="X1276">
        <v>0.97631559999999995</v>
      </c>
      <c r="Y1276">
        <v>0.37664310000000001</v>
      </c>
      <c r="Z1276">
        <v>9.3081330000000004E-2</v>
      </c>
      <c r="AA1276">
        <v>0.92167010000000005</v>
      </c>
      <c r="AB1276">
        <v>22</v>
      </c>
      <c r="AC1276">
        <v>-0.40549999999998898</v>
      </c>
      <c r="AD1276">
        <v>-1.1036402841830999</v>
      </c>
      <c r="AE1276">
        <v>-10.0642</v>
      </c>
      <c r="AF1276">
        <v>3.8151597250374101</v>
      </c>
      <c r="AG1276">
        <v>-1.1036402841830999</v>
      </c>
      <c r="AH1276">
        <v>9.1926189205717606</v>
      </c>
      <c r="AI1276">
        <v>96.327484805791997</v>
      </c>
      <c r="AJ1276">
        <v>67.460364937950601</v>
      </c>
      <c r="AK1276">
        <v>10.0138757842941</v>
      </c>
      <c r="AL1276">
        <v>86.295616385363402</v>
      </c>
      <c r="AM1276">
        <v>78.0585808896099</v>
      </c>
      <c r="AN1276">
        <v>1.0000000448914901</v>
      </c>
    </row>
    <row r="1277" spans="1:40" x14ac:dyDescent="0.25">
      <c r="A1277" t="str">
        <f>"20190312151249221"</f>
        <v>20190312151249221</v>
      </c>
      <c r="B1277" t="str">
        <f>"1552374769211413"</f>
        <v>1552374769211413</v>
      </c>
      <c r="C1277" t="s">
        <v>40</v>
      </c>
      <c r="D1277">
        <v>4.7817780000000001</v>
      </c>
      <c r="E1277">
        <v>0.55482049999999905</v>
      </c>
      <c r="F1277" t="s">
        <v>42</v>
      </c>
      <c r="G1277">
        <v>-190.5444</v>
      </c>
      <c r="H1277" s="1">
        <v>-4.2348389999999997E-6</v>
      </c>
      <c r="I1277">
        <v>339.14729999999997</v>
      </c>
      <c r="J1277">
        <v>-190.42670000000001</v>
      </c>
      <c r="K1277">
        <v>1.1036060000000001</v>
      </c>
      <c r="L1277">
        <v>349.54059999999998</v>
      </c>
      <c r="M1277">
        <v>0.33645890000000001</v>
      </c>
      <c r="N1277">
        <v>0</v>
      </c>
      <c r="O1277">
        <v>-0.9416622</v>
      </c>
      <c r="P1277">
        <v>0.13639970000000001</v>
      </c>
      <c r="Q1277">
        <v>5.928456E-2</v>
      </c>
      <c r="R1277">
        <v>-0.98887849999999999</v>
      </c>
      <c r="S1277">
        <v>-1.4312739999999999E-2</v>
      </c>
      <c r="T1277">
        <v>-0.31817889999999999</v>
      </c>
      <c r="U1277">
        <v>-3.0588679999999999</v>
      </c>
      <c r="V1277">
        <v>0.2052466</v>
      </c>
      <c r="W1277">
        <v>6.4316970000000001E-2</v>
      </c>
      <c r="X1277">
        <v>0.97659470000000004</v>
      </c>
      <c r="Y1277">
        <v>0.3407963</v>
      </c>
      <c r="Z1277">
        <v>9.1327649999999996E-2</v>
      </c>
      <c r="AA1277">
        <v>0.93569080000000004</v>
      </c>
      <c r="AB1277">
        <v>22</v>
      </c>
      <c r="AC1277">
        <v>-0.117699999999985</v>
      </c>
      <c r="AD1277">
        <v>-1.10361023483899</v>
      </c>
      <c r="AE1277">
        <v>-10.3933</v>
      </c>
      <c r="AF1277">
        <v>3.5676532032927799</v>
      </c>
      <c r="AG1277">
        <v>-1.10361023483899</v>
      </c>
      <c r="AH1277">
        <v>9.6390383302013802</v>
      </c>
      <c r="AI1277">
        <v>96.128652696722199</v>
      </c>
      <c r="AJ1277">
        <v>69.689205333330506</v>
      </c>
      <c r="AK1277">
        <v>10.3371739300689</v>
      </c>
      <c r="AL1277">
        <v>86.312363745377098</v>
      </c>
      <c r="AM1277">
        <v>78.131134378861105</v>
      </c>
      <c r="AN1277">
        <v>1.0000000237548099</v>
      </c>
    </row>
    <row r="1278" spans="1:40" x14ac:dyDescent="0.25">
      <c r="A1278" t="str">
        <f>"20190312151249243"</f>
        <v>20190312151249243</v>
      </c>
      <c r="B1278" t="str">
        <f>"1552374769230560"</f>
        <v>1552374769230560</v>
      </c>
      <c r="C1278" t="s">
        <v>40</v>
      </c>
      <c r="D1278">
        <v>4.7706530000000003</v>
      </c>
      <c r="E1278">
        <v>0.55397879999999999</v>
      </c>
      <c r="F1278" t="s">
        <v>42</v>
      </c>
      <c r="G1278">
        <v>-190.56739999999999</v>
      </c>
      <c r="H1278" s="1">
        <v>-4.0316819999999998E-6</v>
      </c>
      <c r="I1278">
        <v>338.63510000000002</v>
      </c>
      <c r="J1278">
        <v>-190.3614</v>
      </c>
      <c r="K1278">
        <v>1.103572</v>
      </c>
      <c r="L1278">
        <v>349.32490000000001</v>
      </c>
      <c r="M1278">
        <v>0.32714890000000002</v>
      </c>
      <c r="N1278">
        <v>0</v>
      </c>
      <c r="O1278">
        <v>-0.94493700000000003</v>
      </c>
      <c r="P1278">
        <v>0.12860239999999901</v>
      </c>
      <c r="Q1278">
        <v>5.9248990000000001E-2</v>
      </c>
      <c r="R1278">
        <v>-0.98992480000000005</v>
      </c>
      <c r="S1278">
        <v>-3.9443970000000002E-2</v>
      </c>
      <c r="T1278">
        <v>-0.30943120000000002</v>
      </c>
      <c r="U1278">
        <v>-3.0576780000000001</v>
      </c>
      <c r="V1278">
        <v>0.20330970000000001</v>
      </c>
      <c r="W1278">
        <v>6.431365E-2</v>
      </c>
      <c r="X1278">
        <v>0.97699990000000003</v>
      </c>
      <c r="Y1278">
        <v>0.33921649999999998</v>
      </c>
      <c r="Z1278">
        <v>8.9391440000000003E-2</v>
      </c>
      <c r="AA1278">
        <v>0.93645140000000004</v>
      </c>
      <c r="AB1278">
        <v>22</v>
      </c>
      <c r="AC1278">
        <v>-0.205999999999988</v>
      </c>
      <c r="AD1278">
        <v>-1.103576031682</v>
      </c>
      <c r="AE1278">
        <v>-10.6897999999999</v>
      </c>
      <c r="AF1278">
        <v>3.6530197364884498</v>
      </c>
      <c r="AG1278">
        <v>-1.103576031682</v>
      </c>
      <c r="AH1278">
        <v>9.9283596923073603</v>
      </c>
      <c r="AI1278">
        <v>95.955375414739393</v>
      </c>
      <c r="AJ1278">
        <v>69.799518987963594</v>
      </c>
      <c r="AK1278">
        <v>10.6364824746111</v>
      </c>
      <c r="AL1278">
        <v>86.312554060660801</v>
      </c>
      <c r="AM1278">
        <v>78.244748236500897</v>
      </c>
      <c r="AN1278">
        <v>0.99999994214520904</v>
      </c>
    </row>
    <row r="1279" spans="1:40" x14ac:dyDescent="0.25">
      <c r="A1279" t="str">
        <f>"20190312151249277"</f>
        <v>20190312151249277</v>
      </c>
      <c r="B1279" t="str">
        <f>"1552374769270575"</f>
        <v>1552374769270575</v>
      </c>
      <c r="C1279" t="s">
        <v>40</v>
      </c>
      <c r="D1279">
        <v>4.7512489999999996</v>
      </c>
      <c r="E1279">
        <v>0.5523342</v>
      </c>
      <c r="F1279" t="s">
        <v>42</v>
      </c>
      <c r="G1279">
        <v>-190.56200000000001</v>
      </c>
      <c r="H1279" s="1">
        <v>-3.9445749999999901E-6</v>
      </c>
      <c r="I1279">
        <v>338.43549999999999</v>
      </c>
      <c r="J1279">
        <v>-190.26490000000001</v>
      </c>
      <c r="K1279">
        <v>1.10351</v>
      </c>
      <c r="L1279">
        <v>348.99119999999999</v>
      </c>
      <c r="M1279">
        <v>0.31274180000000001</v>
      </c>
      <c r="N1279">
        <v>0</v>
      </c>
      <c r="O1279">
        <v>-0.94980200000000004</v>
      </c>
      <c r="P1279">
        <v>0.116356</v>
      </c>
      <c r="Q1279">
        <v>5.9277049999999998E-2</v>
      </c>
      <c r="R1279">
        <v>-0.99143709999999996</v>
      </c>
      <c r="S1279">
        <v>-5.6304930000000003E-2</v>
      </c>
      <c r="T1279">
        <v>-0.30974699999999999</v>
      </c>
      <c r="U1279">
        <v>-3.0563959999999999</v>
      </c>
      <c r="V1279">
        <v>0.2005373</v>
      </c>
      <c r="W1279">
        <v>6.4390269999999999E-2</v>
      </c>
      <c r="X1279">
        <v>0.97756770000000004</v>
      </c>
      <c r="Y1279">
        <v>0.33006920000000001</v>
      </c>
      <c r="Z1279">
        <v>9.0411850000000002E-2</v>
      </c>
      <c r="AA1279">
        <v>0.93961700000000004</v>
      </c>
      <c r="AB1279">
        <v>23</v>
      </c>
      <c r="AC1279">
        <v>-0.29709999999999998</v>
      </c>
      <c r="AD1279">
        <v>-1.103513944575</v>
      </c>
      <c r="AE1279">
        <v>-10.5557</v>
      </c>
      <c r="AF1279">
        <v>3.5448073023262201</v>
      </c>
      <c r="AG1279">
        <v>-1.103513944575</v>
      </c>
      <c r="AH1279">
        <v>9.8259476703330808</v>
      </c>
      <c r="AI1279">
        <v>96.030461829445898</v>
      </c>
      <c r="AJ1279">
        <v>70.162592273879895</v>
      </c>
      <c r="AK1279">
        <v>10.503934951084799</v>
      </c>
      <c r="AL1279">
        <v>86.308155012310706</v>
      </c>
      <c r="AM1279">
        <v>78.407228837861098</v>
      </c>
      <c r="AN1279">
        <v>0.99999996182262496</v>
      </c>
    </row>
    <row r="1280" spans="1:40" x14ac:dyDescent="0.25">
      <c r="A1280" t="str">
        <f>"20190312151249299"</f>
        <v>20190312151249299</v>
      </c>
      <c r="B1280" t="str">
        <f>"1552374769291071"</f>
        <v>1552374769291071</v>
      </c>
      <c r="C1280" t="s">
        <v>40</v>
      </c>
      <c r="D1280">
        <v>4.7457969999999996</v>
      </c>
      <c r="E1280">
        <v>0.55130649999999903</v>
      </c>
      <c r="F1280" t="s">
        <v>42</v>
      </c>
      <c r="G1280">
        <v>-190.54920000000001</v>
      </c>
      <c r="H1280" s="1">
        <v>-3.8536909999999996E-6</v>
      </c>
      <c r="I1280">
        <v>338.23149999999998</v>
      </c>
      <c r="J1280">
        <v>-190.20339999999999</v>
      </c>
      <c r="K1280">
        <v>1.103469</v>
      </c>
      <c r="L1280">
        <v>348.76819999999998</v>
      </c>
      <c r="M1280">
        <v>0.3031143</v>
      </c>
      <c r="N1280">
        <v>0</v>
      </c>
      <c r="O1280">
        <v>-0.95291820000000005</v>
      </c>
      <c r="P1280">
        <v>0.1083213</v>
      </c>
      <c r="Q1280">
        <v>5.9435160000000001E-2</v>
      </c>
      <c r="R1280">
        <v>-0.99233749999999998</v>
      </c>
      <c r="S1280">
        <v>-8.0703739999999996E-2</v>
      </c>
      <c r="T1280">
        <v>-0.31322420000000001</v>
      </c>
      <c r="U1280">
        <v>-3.0540470000000002</v>
      </c>
      <c r="V1280">
        <v>0.19856799999999999</v>
      </c>
      <c r="W1280">
        <v>6.4587249999999999E-2</v>
      </c>
      <c r="X1280">
        <v>0.97795670000000001</v>
      </c>
      <c r="Y1280">
        <v>0.32802979999999998</v>
      </c>
      <c r="Z1280">
        <v>9.1987830000000007E-2</v>
      </c>
      <c r="AA1280">
        <v>0.94017799999999996</v>
      </c>
      <c r="AB1280">
        <v>23</v>
      </c>
      <c r="AC1280">
        <v>-0.34580000000002498</v>
      </c>
      <c r="AD1280">
        <v>-1.1034728536909999</v>
      </c>
      <c r="AE1280">
        <v>-10.5366999999999</v>
      </c>
      <c r="AF1280">
        <v>3.4852802095492699</v>
      </c>
      <c r="AG1280">
        <v>-1.1034728536909999</v>
      </c>
      <c r="AH1280">
        <v>9.8284579810946493</v>
      </c>
      <c r="AI1280">
        <v>96.040389667493997</v>
      </c>
      <c r="AJ1280">
        <v>70.474929031526301</v>
      </c>
      <c r="AK1280">
        <v>10.486344299328101</v>
      </c>
      <c r="AL1280">
        <v>86.296845619796898</v>
      </c>
      <c r="AM1280">
        <v>78.522479291687304</v>
      </c>
      <c r="AN1280">
        <v>1.0000000352807199</v>
      </c>
    </row>
    <row r="1281" spans="1:40" x14ac:dyDescent="0.25">
      <c r="A1281" t="str">
        <f>"20190312151249322"</f>
        <v>20190312151249322</v>
      </c>
      <c r="B1281" t="str">
        <f>"1552374769311567"</f>
        <v>1552374769311567</v>
      </c>
      <c r="C1281" t="s">
        <v>40</v>
      </c>
      <c r="D1281">
        <v>4.6799059999999999</v>
      </c>
      <c r="E1281">
        <v>0.55072809999999905</v>
      </c>
      <c r="F1281" t="s">
        <v>42</v>
      </c>
      <c r="G1281">
        <v>-190.54470000000001</v>
      </c>
      <c r="H1281" s="1">
        <v>-3.76919E-6</v>
      </c>
      <c r="I1281">
        <v>338.03739999999999</v>
      </c>
      <c r="J1281">
        <v>-190.14169999999999</v>
      </c>
      <c r="K1281">
        <v>1.103423</v>
      </c>
      <c r="L1281">
        <v>348.53559999999999</v>
      </c>
      <c r="M1281">
        <v>0.29307499999999997</v>
      </c>
      <c r="N1281">
        <v>0</v>
      </c>
      <c r="O1281">
        <v>-0.95605340000000005</v>
      </c>
      <c r="P1281">
        <v>0.10084129999999999</v>
      </c>
      <c r="Q1281">
        <v>5.9581740000000001E-2</v>
      </c>
      <c r="R1281">
        <v>-0.99311709999999997</v>
      </c>
      <c r="S1281">
        <v>-9.7091670000000005E-2</v>
      </c>
      <c r="T1281">
        <v>-0.31390020000000002</v>
      </c>
      <c r="U1281">
        <v>-3.0525509999999998</v>
      </c>
      <c r="V1281">
        <v>0.19565489999999999</v>
      </c>
      <c r="W1281">
        <v>6.4792820000000001E-2</v>
      </c>
      <c r="X1281">
        <v>0.97853000000000001</v>
      </c>
      <c r="Y1281">
        <v>0.32314609999999999</v>
      </c>
      <c r="Z1281">
        <v>9.2787060000000005E-2</v>
      </c>
      <c r="AA1281">
        <v>0.94178930000000005</v>
      </c>
      <c r="AB1281">
        <v>23</v>
      </c>
      <c r="AC1281">
        <v>-0.40300000000002001</v>
      </c>
      <c r="AD1281">
        <v>-1.1034267691899999</v>
      </c>
      <c r="AE1281">
        <v>-10.498199999999899</v>
      </c>
      <c r="AF1281">
        <v>3.4243940812421401</v>
      </c>
      <c r="AG1281">
        <v>-1.1034267691899999</v>
      </c>
      <c r="AH1281">
        <v>9.81084829461639</v>
      </c>
      <c r="AI1281">
        <v>96.061381804101998</v>
      </c>
      <c r="AJ1281">
        <v>70.758888559459294</v>
      </c>
      <c r="AK1281">
        <v>10.449725820258999</v>
      </c>
      <c r="AL1281">
        <v>86.285042306205995</v>
      </c>
      <c r="AM1281">
        <v>78.692944529606905</v>
      </c>
      <c r="AN1281">
        <v>0.99999995515878004</v>
      </c>
    </row>
    <row r="1282" spans="1:40" x14ac:dyDescent="0.25">
      <c r="A1282" t="str">
        <f>"20190312151249344"</f>
        <v>20190312151249344</v>
      </c>
      <c r="B1282" t="str">
        <f>"1552374769340819"</f>
        <v>1552374769340819</v>
      </c>
      <c r="C1282" t="s">
        <v>40</v>
      </c>
      <c r="D1282">
        <v>4.6834369999999996</v>
      </c>
      <c r="E1282">
        <v>0.55032840000000005</v>
      </c>
      <c r="F1282" t="s">
        <v>42</v>
      </c>
      <c r="G1282">
        <v>-190.5598</v>
      </c>
      <c r="H1282" s="1">
        <v>-3.5375949999999999E-6</v>
      </c>
      <c r="I1282">
        <v>337.48820000000001</v>
      </c>
      <c r="J1282">
        <v>-190.0848</v>
      </c>
      <c r="K1282">
        <v>1.103394</v>
      </c>
      <c r="L1282">
        <v>348.31180000000001</v>
      </c>
      <c r="M1282">
        <v>0.28340700000000002</v>
      </c>
      <c r="N1282">
        <v>0</v>
      </c>
      <c r="O1282">
        <v>-0.95896340000000002</v>
      </c>
      <c r="P1282">
        <v>9.3279479999999998E-2</v>
      </c>
      <c r="Q1282">
        <v>5.9405430000000002E-2</v>
      </c>
      <c r="R1282">
        <v>-0.99386649999999999</v>
      </c>
      <c r="S1282">
        <v>-0.115448</v>
      </c>
      <c r="T1282">
        <v>-0.304716599999999</v>
      </c>
      <c r="U1282">
        <v>-3.0508120000000001</v>
      </c>
      <c r="V1282">
        <v>0.19322790000000001</v>
      </c>
      <c r="W1282">
        <v>6.4669580000000004E-2</v>
      </c>
      <c r="X1282">
        <v>0.97902040000000001</v>
      </c>
      <c r="Y1282">
        <v>0.31927860000000002</v>
      </c>
      <c r="Z1282">
        <v>9.0637809999999999E-2</v>
      </c>
      <c r="AA1282">
        <v>0.9433165</v>
      </c>
      <c r="AB1282">
        <v>23</v>
      </c>
      <c r="AC1282">
        <v>-0.47499999999999398</v>
      </c>
      <c r="AD1282">
        <v>-1.103397537595</v>
      </c>
      <c r="AE1282">
        <v>-10.823600000000001</v>
      </c>
      <c r="AF1282">
        <v>3.48694587973573</v>
      </c>
      <c r="AG1282">
        <v>-1.103397537595</v>
      </c>
      <c r="AH1282">
        <v>10.139997344629499</v>
      </c>
      <c r="AI1282">
        <v>95.875173931016207</v>
      </c>
      <c r="AJ1282">
        <v>71.022912980791105</v>
      </c>
      <c r="AK1282">
        <v>10.7794166745363</v>
      </c>
      <c r="AL1282">
        <v>86.292118666986894</v>
      </c>
      <c r="AM1282">
        <v>78.835109149529401</v>
      </c>
      <c r="AN1282">
        <v>1.00000005976597</v>
      </c>
    </row>
    <row r="1283" spans="1:40" x14ac:dyDescent="0.25">
      <c r="A1283" t="str">
        <f>"20190312151249368"</f>
        <v>20190312151249368</v>
      </c>
      <c r="B1283" t="str">
        <f>"1552374769361315"</f>
        <v>1552374769361315</v>
      </c>
      <c r="C1283" t="s">
        <v>40</v>
      </c>
      <c r="D1283">
        <v>4.6792280000000002</v>
      </c>
      <c r="E1283">
        <v>0.54990050000000001</v>
      </c>
      <c r="F1283" t="s">
        <v>42</v>
      </c>
      <c r="G1283">
        <v>-190.5959</v>
      </c>
      <c r="H1283" s="1">
        <v>-3.2412209999999999E-6</v>
      </c>
      <c r="I1283">
        <v>336.7749</v>
      </c>
      <c r="J1283">
        <v>-190.02670000000001</v>
      </c>
      <c r="K1283">
        <v>1.1033580000000001</v>
      </c>
      <c r="L1283">
        <v>348.07240000000002</v>
      </c>
      <c r="M1283">
        <v>0.27307369999999997</v>
      </c>
      <c r="N1283">
        <v>0</v>
      </c>
      <c r="O1283">
        <v>-0.96195640000000004</v>
      </c>
      <c r="P1283">
        <v>8.5516800000000004E-2</v>
      </c>
      <c r="Q1283">
        <v>5.9015600000000001E-2</v>
      </c>
      <c r="R1283">
        <v>-0.99458729999999995</v>
      </c>
      <c r="S1283">
        <v>-0.13505549999999999</v>
      </c>
      <c r="T1283">
        <v>-0.29156969999999999</v>
      </c>
      <c r="U1283">
        <v>-3.048584</v>
      </c>
      <c r="V1283">
        <v>0.19034400000000001</v>
      </c>
      <c r="W1283">
        <v>6.4341720000000005E-2</v>
      </c>
      <c r="X1283">
        <v>0.97960670000000005</v>
      </c>
      <c r="Y1283">
        <v>0.3151834</v>
      </c>
      <c r="Z1283">
        <v>8.7305430000000003E-2</v>
      </c>
      <c r="AA1283">
        <v>0.94500640000000002</v>
      </c>
      <c r="AB1283">
        <v>23</v>
      </c>
      <c r="AC1283">
        <v>-0.56919999999999504</v>
      </c>
      <c r="AD1283">
        <v>-1.1033612412209901</v>
      </c>
      <c r="AE1283">
        <v>-11.297499999999999</v>
      </c>
      <c r="AF1283">
        <v>3.5984874886043001</v>
      </c>
      <c r="AG1283">
        <v>-1.1033612412209901</v>
      </c>
      <c r="AH1283">
        <v>10.611686140553401</v>
      </c>
      <c r="AI1283">
        <v>95.623699635900905</v>
      </c>
      <c r="AJ1283">
        <v>71.267888894053399</v>
      </c>
      <c r="AK1283">
        <v>11.259413882608801</v>
      </c>
      <c r="AL1283">
        <v>86.310942610466498</v>
      </c>
      <c r="AM1283">
        <v>79.004072180311994</v>
      </c>
      <c r="AN1283">
        <v>0.99999999097672398</v>
      </c>
    </row>
    <row r="1284" spans="1:40" x14ac:dyDescent="0.25">
      <c r="A1284" t="str">
        <f>"20190312151249390"</f>
        <v>20190312151249390</v>
      </c>
      <c r="B1284" t="str">
        <f>"1552374769380835"</f>
        <v>1552374769380835</v>
      </c>
      <c r="C1284" t="s">
        <v>40</v>
      </c>
      <c r="D1284">
        <v>4.6496040000000001</v>
      </c>
      <c r="E1284">
        <v>0.54302419999999996</v>
      </c>
      <c r="F1284" t="s">
        <v>42</v>
      </c>
      <c r="G1284">
        <v>-190.62700000000001</v>
      </c>
      <c r="H1284" s="1">
        <v>-3.041645E-6</v>
      </c>
      <c r="I1284">
        <v>336.29039999999998</v>
      </c>
      <c r="J1284">
        <v>-189.97389999999999</v>
      </c>
      <c r="K1284">
        <v>1.1033280000000001</v>
      </c>
      <c r="L1284">
        <v>347.84449999999998</v>
      </c>
      <c r="M1284">
        <v>0.26324109999999901</v>
      </c>
      <c r="N1284">
        <v>0</v>
      </c>
      <c r="O1284">
        <v>-0.96469340000000003</v>
      </c>
      <c r="P1284">
        <v>7.868058E-2</v>
      </c>
      <c r="Q1284">
        <v>5.9258489999999997E-2</v>
      </c>
      <c r="R1284">
        <v>-0.99513720000000006</v>
      </c>
      <c r="S1284">
        <v>-0.15524289999999999</v>
      </c>
      <c r="T1284">
        <v>-0.28530680000000003</v>
      </c>
      <c r="U1284">
        <v>-3.0466000000000002</v>
      </c>
      <c r="V1284">
        <v>0.18707989999999999</v>
      </c>
      <c r="W1284">
        <v>6.4652929999999997E-2</v>
      </c>
      <c r="X1284">
        <v>0.98021480000000005</v>
      </c>
      <c r="Y1284">
        <v>0.31178030000000001</v>
      </c>
      <c r="Z1284">
        <v>8.592197E-2</v>
      </c>
      <c r="AA1284">
        <v>0.94626129999999997</v>
      </c>
      <c r="AB1284">
        <v>23</v>
      </c>
      <c r="AC1284">
        <v>-0.653100000000023</v>
      </c>
      <c r="AD1284">
        <v>-1.103331041645</v>
      </c>
      <c r="AE1284">
        <v>-11.5541</v>
      </c>
      <c r="AF1284">
        <v>3.6386109505820001</v>
      </c>
      <c r="AG1284">
        <v>-1.103331041645</v>
      </c>
      <c r="AH1284">
        <v>10.875771066045001</v>
      </c>
      <c r="AI1284">
        <v>95.495344029828701</v>
      </c>
      <c r="AJ1284">
        <v>71.501758420568095</v>
      </c>
      <c r="AK1284">
        <v>11.5212510309503</v>
      </c>
      <c r="AL1284">
        <v>86.2930743173509</v>
      </c>
      <c r="AM1284">
        <v>79.194702645598497</v>
      </c>
      <c r="AN1284">
        <v>0.999999972240317</v>
      </c>
    </row>
    <row r="1285" spans="1:40" x14ac:dyDescent="0.25">
      <c r="A1285" t="str">
        <f>"20190312151249411"</f>
        <v>20190312151249411</v>
      </c>
      <c r="B1285" t="str">
        <f>"1552374769401331"</f>
        <v>1552374769401331</v>
      </c>
      <c r="C1285" t="s">
        <v>40</v>
      </c>
      <c r="D1285">
        <v>4.6484589999999999</v>
      </c>
      <c r="E1285">
        <v>0.5422669</v>
      </c>
      <c r="F1285" t="s">
        <v>42</v>
      </c>
      <c r="G1285">
        <v>-190.58439999999999</v>
      </c>
      <c r="H1285" s="1">
        <v>-1.3066210000000001E-6</v>
      </c>
      <c r="I1285">
        <v>332.2724</v>
      </c>
      <c r="J1285">
        <v>-189.92439999999999</v>
      </c>
      <c r="K1285">
        <v>1.1032999999999999</v>
      </c>
      <c r="L1285">
        <v>347.6207</v>
      </c>
      <c r="M1285">
        <v>0.2535983</v>
      </c>
      <c r="N1285">
        <v>0</v>
      </c>
      <c r="O1285">
        <v>-0.96727300000000005</v>
      </c>
      <c r="P1285">
        <v>7.2174530000000001E-2</v>
      </c>
      <c r="Q1285">
        <v>6.015889E-2</v>
      </c>
      <c r="R1285">
        <v>-0.99557640000000003</v>
      </c>
      <c r="S1285">
        <v>-0.1190643</v>
      </c>
      <c r="T1285">
        <v>-0.21516979999999999</v>
      </c>
      <c r="U1285">
        <v>-3.036835</v>
      </c>
      <c r="V1285">
        <v>0.18370500000000001</v>
      </c>
      <c r="W1285">
        <v>6.5623130000000002E-2</v>
      </c>
      <c r="X1285">
        <v>0.98078849999999995</v>
      </c>
      <c r="Y1285">
        <v>0.2912071</v>
      </c>
      <c r="Z1285">
        <v>6.5650189999999997E-2</v>
      </c>
      <c r="AA1285">
        <v>0.95440480000000005</v>
      </c>
      <c r="AB1285">
        <v>23</v>
      </c>
      <c r="AC1285">
        <v>-0.65999999999999603</v>
      </c>
      <c r="AD1285">
        <v>-1.103301306621</v>
      </c>
      <c r="AE1285">
        <v>-15.348299999999901</v>
      </c>
      <c r="AF1285">
        <v>4.5076140478275599</v>
      </c>
      <c r="AG1285">
        <v>-1.103301306621</v>
      </c>
      <c r="AH1285">
        <v>14.603817570730101</v>
      </c>
      <c r="AI1285">
        <v>94.128923923520702</v>
      </c>
      <c r="AJ1285">
        <v>72.846636363661702</v>
      </c>
      <c r="AK1285">
        <v>15.3234247417648</v>
      </c>
      <c r="AL1285">
        <v>86.237367754033002</v>
      </c>
      <c r="AM1285">
        <v>79.391228068660197</v>
      </c>
      <c r="AN1285">
        <v>1.00000000197412</v>
      </c>
    </row>
    <row r="1286" spans="1:40" x14ac:dyDescent="0.25">
      <c r="A1286" t="str">
        <f>"20190312151249433"</f>
        <v>20190312151249433</v>
      </c>
      <c r="B1286" t="str">
        <f>"1552374769430611"</f>
        <v>1552374769430611</v>
      </c>
      <c r="C1286" t="s">
        <v>40</v>
      </c>
      <c r="D1286">
        <v>4.6148249999999997</v>
      </c>
      <c r="E1286">
        <v>0.53836099999999998</v>
      </c>
      <c r="F1286" t="s">
        <v>42</v>
      </c>
      <c r="G1286">
        <v>-190.6096</v>
      </c>
      <c r="H1286" s="1">
        <v>-1.1722359999999999E-6</v>
      </c>
      <c r="I1286">
        <v>331.94349999999997</v>
      </c>
      <c r="J1286">
        <v>-189.87649999999999</v>
      </c>
      <c r="K1286">
        <v>1.1032740000000001</v>
      </c>
      <c r="L1286">
        <v>347.39389999999997</v>
      </c>
      <c r="M1286">
        <v>0.24383189999999999</v>
      </c>
      <c r="N1286">
        <v>0</v>
      </c>
      <c r="O1286">
        <v>-0.96978050000000005</v>
      </c>
      <c r="P1286">
        <v>6.5877740000000004E-2</v>
      </c>
      <c r="Q1286">
        <v>6.0410970000000001E-2</v>
      </c>
      <c r="R1286">
        <v>-0.99599740000000003</v>
      </c>
      <c r="S1286">
        <v>-0.13270570000000001</v>
      </c>
      <c r="T1286">
        <v>-0.2136518</v>
      </c>
      <c r="U1286">
        <v>-3.0358580000000002</v>
      </c>
      <c r="V1286">
        <v>0.18001889999999901</v>
      </c>
      <c r="W1286">
        <v>6.5953330000000004E-2</v>
      </c>
      <c r="X1286">
        <v>0.98144960000000003</v>
      </c>
      <c r="Y1286">
        <v>0.28585139999999998</v>
      </c>
      <c r="Z1286">
        <v>6.5524509999999994E-2</v>
      </c>
      <c r="AA1286">
        <v>0.95603110000000002</v>
      </c>
      <c r="AB1286">
        <v>23</v>
      </c>
      <c r="AC1286">
        <v>-0.73310000000000697</v>
      </c>
      <c r="AD1286">
        <v>-1.1032751722359999</v>
      </c>
      <c r="AE1286">
        <v>-15.4504</v>
      </c>
      <c r="AF1286">
        <v>4.4557382775683596</v>
      </c>
      <c r="AG1286">
        <v>-1.1032751722359999</v>
      </c>
      <c r="AH1286">
        <v>14.730333085188301</v>
      </c>
      <c r="AI1286">
        <v>94.100529721620703</v>
      </c>
      <c r="AJ1286">
        <v>73.170102117508307</v>
      </c>
      <c r="AK1286">
        <v>15.4289835214266</v>
      </c>
      <c r="AL1286">
        <v>86.218407535771703</v>
      </c>
      <c r="AM1286">
        <v>79.606258215819196</v>
      </c>
      <c r="AN1286">
        <v>0.99999998171772897</v>
      </c>
    </row>
    <row r="1287" spans="1:40" x14ac:dyDescent="0.25">
      <c r="A1287" t="str">
        <f>"20190312151249455"</f>
        <v>20190312151249455</v>
      </c>
      <c r="B1287" t="str">
        <f>"1552374769451107"</f>
        <v>1552374769451107</v>
      </c>
      <c r="C1287" t="s">
        <v>40</v>
      </c>
      <c r="D1287">
        <v>4.6373550000000003</v>
      </c>
      <c r="E1287">
        <v>0.53759959999999996</v>
      </c>
      <c r="F1287" t="s">
        <v>42</v>
      </c>
      <c r="G1287">
        <v>-190.3981</v>
      </c>
      <c r="H1287" s="1">
        <v>-2.1638150000000001E-6</v>
      </c>
      <c r="I1287">
        <v>334.3861</v>
      </c>
      <c r="J1287">
        <v>-189.8297</v>
      </c>
      <c r="K1287">
        <v>1.103259</v>
      </c>
      <c r="L1287">
        <v>347.16019999999997</v>
      </c>
      <c r="M1287">
        <v>0.23380210000000001</v>
      </c>
      <c r="N1287">
        <v>0</v>
      </c>
      <c r="O1287">
        <v>-0.97224710000000003</v>
      </c>
      <c r="P1287">
        <v>5.9079300000000001E-2</v>
      </c>
      <c r="Q1287">
        <v>6.1414599999999903E-2</v>
      </c>
      <c r="R1287">
        <v>-0.99636239999999998</v>
      </c>
      <c r="S1287">
        <v>-0.1217346</v>
      </c>
      <c r="T1287">
        <v>-0.25748409999999999</v>
      </c>
      <c r="U1287">
        <v>-3.0357669999999999</v>
      </c>
      <c r="V1287">
        <v>0.1765815</v>
      </c>
      <c r="W1287">
        <v>6.7035269999999994E-2</v>
      </c>
      <c r="X1287">
        <v>0.9820006</v>
      </c>
      <c r="Y1287">
        <v>0.27243410000000001</v>
      </c>
      <c r="Z1287">
        <v>7.9367450000000006E-2</v>
      </c>
      <c r="AA1287">
        <v>0.95889539999999995</v>
      </c>
      <c r="AB1287">
        <v>23</v>
      </c>
      <c r="AC1287">
        <v>-0.56839999999999602</v>
      </c>
      <c r="AD1287">
        <v>-1.1032611638150001</v>
      </c>
      <c r="AE1287">
        <v>-12.774099999999899</v>
      </c>
      <c r="AF1287">
        <v>3.5132101676412999</v>
      </c>
      <c r="AG1287">
        <v>-1.1032611638150001</v>
      </c>
      <c r="AH1287">
        <v>12.196335927392999</v>
      </c>
      <c r="AI1287">
        <v>94.967890758907402</v>
      </c>
      <c r="AJ1287">
        <v>73.930712927570198</v>
      </c>
      <c r="AK1287">
        <v>12.740111496035601</v>
      </c>
      <c r="AL1287">
        <v>86.156279373691007</v>
      </c>
      <c r="AM1287">
        <v>79.806120609665896</v>
      </c>
      <c r="AN1287">
        <v>0.99999996598329</v>
      </c>
    </row>
    <row r="1288" spans="1:40" x14ac:dyDescent="0.25">
      <c r="A1288" t="str">
        <f>"20190312151249478"</f>
        <v>20190312151249478</v>
      </c>
      <c r="B1288" t="str">
        <f>"1552374769470627"</f>
        <v>1552374769470627</v>
      </c>
      <c r="C1288" t="s">
        <v>40</v>
      </c>
      <c r="D1288">
        <v>4.6563639999999999</v>
      </c>
      <c r="E1288">
        <v>0.53692390000000001</v>
      </c>
      <c r="F1288" t="s">
        <v>42</v>
      </c>
      <c r="G1288">
        <v>-190.40710000000001</v>
      </c>
      <c r="H1288" s="1">
        <v>-2.086573E-6</v>
      </c>
      <c r="I1288">
        <v>334.20049999999998</v>
      </c>
      <c r="J1288">
        <v>-189.7851</v>
      </c>
      <c r="K1288">
        <v>1.103256</v>
      </c>
      <c r="L1288">
        <v>346.92619999999999</v>
      </c>
      <c r="M1288">
        <v>0.2237924</v>
      </c>
      <c r="N1288">
        <v>0</v>
      </c>
      <c r="O1288">
        <v>-0.9745994</v>
      </c>
      <c r="P1288">
        <v>5.1937129999999998E-2</v>
      </c>
      <c r="Q1288">
        <v>6.1846279999999997E-2</v>
      </c>
      <c r="R1288">
        <v>-0.99673350000000005</v>
      </c>
      <c r="S1288">
        <v>-0.13522339999999999</v>
      </c>
      <c r="T1288">
        <v>-0.25835730000000001</v>
      </c>
      <c r="U1288">
        <v>-3.0348510000000002</v>
      </c>
      <c r="V1288">
        <v>0.17352239999999999</v>
      </c>
      <c r="W1288">
        <v>6.7544800000000002E-2</v>
      </c>
      <c r="X1288">
        <v>0.98251089999999996</v>
      </c>
      <c r="Y1288">
        <v>0.26680120000000002</v>
      </c>
      <c r="Z1288">
        <v>8.0016920000000005E-2</v>
      </c>
      <c r="AA1288">
        <v>0.9604241</v>
      </c>
      <c r="AB1288">
        <v>23</v>
      </c>
      <c r="AC1288">
        <v>-0.62200000000001399</v>
      </c>
      <c r="AD1288">
        <v>-1.103258086573</v>
      </c>
      <c r="AE1288">
        <v>-12.7257</v>
      </c>
      <c r="AF1288">
        <v>3.42853411373867</v>
      </c>
      <c r="AG1288">
        <v>-1.103258086573</v>
      </c>
      <c r="AH1288">
        <v>12.172437311790899</v>
      </c>
      <c r="AI1288">
        <v>94.985927883553302</v>
      </c>
      <c r="AJ1288">
        <v>74.269397132570305</v>
      </c>
      <c r="AK1288">
        <v>12.694103146112299</v>
      </c>
      <c r="AL1288">
        <v>86.127019250536407</v>
      </c>
      <c r="AM1288">
        <v>79.984208885391098</v>
      </c>
      <c r="AN1288">
        <v>0.99999999596380496</v>
      </c>
    </row>
    <row r="1289" spans="1:40" x14ac:dyDescent="0.25">
      <c r="A1289" t="str">
        <f>"20190312151249499"</f>
        <v>20190312151249499</v>
      </c>
      <c r="B1289" t="str">
        <f>"1552374769491123"</f>
        <v>1552374769491123</v>
      </c>
      <c r="C1289" t="s">
        <v>40</v>
      </c>
      <c r="D1289">
        <v>4.6248060000000004</v>
      </c>
      <c r="E1289">
        <v>0.53580859999999997</v>
      </c>
      <c r="F1289" t="s">
        <v>42</v>
      </c>
      <c r="G1289">
        <v>-190.42089999999999</v>
      </c>
      <c r="H1289" s="1">
        <v>-2.0521959999999999E-6</v>
      </c>
      <c r="I1289">
        <v>334.11180000000002</v>
      </c>
      <c r="J1289">
        <v>-189.745</v>
      </c>
      <c r="K1289">
        <v>1.103253</v>
      </c>
      <c r="L1289">
        <v>346.70319999999998</v>
      </c>
      <c r="M1289">
        <v>0.21429980000000001</v>
      </c>
      <c r="N1289">
        <v>0</v>
      </c>
      <c r="O1289">
        <v>-0.97673049999999995</v>
      </c>
      <c r="P1289">
        <v>4.5351229999999999E-2</v>
      </c>
      <c r="Q1289">
        <v>6.0348159999999998E-2</v>
      </c>
      <c r="R1289">
        <v>-0.99714650000000005</v>
      </c>
      <c r="S1289">
        <v>-0.1505127</v>
      </c>
      <c r="T1289">
        <v>-0.26119730000000002</v>
      </c>
      <c r="U1289">
        <v>-3.0338129999999999</v>
      </c>
      <c r="V1289">
        <v>0.1704493</v>
      </c>
      <c r="W1289">
        <v>6.6126530000000003E-2</v>
      </c>
      <c r="X1289">
        <v>0.98314509999999999</v>
      </c>
      <c r="Y1289">
        <v>0.2622623</v>
      </c>
      <c r="Z1289">
        <v>8.1235269999999998E-2</v>
      </c>
      <c r="AA1289">
        <v>0.96157130000000002</v>
      </c>
      <c r="AB1289">
        <v>23</v>
      </c>
      <c r="AC1289">
        <v>-0.67589999999998396</v>
      </c>
      <c r="AD1289">
        <v>-1.1032550521960001</v>
      </c>
      <c r="AE1289">
        <v>-12.591399999999901</v>
      </c>
      <c r="AF1289">
        <v>3.3331139347938499</v>
      </c>
      <c r="AG1289">
        <v>-1.1032550521960001</v>
      </c>
      <c r="AH1289">
        <v>12.061669584594799</v>
      </c>
      <c r="AI1289">
        <v>95.038371704235402</v>
      </c>
      <c r="AJ1289">
        <v>74.552429468765894</v>
      </c>
      <c r="AK1289">
        <v>12.5622726200498</v>
      </c>
      <c r="AL1289">
        <v>86.208462207202203</v>
      </c>
      <c r="AM1289">
        <v>80.164315347965299</v>
      </c>
      <c r="AN1289">
        <v>0.99999998474717</v>
      </c>
    </row>
    <row r="1290" spans="1:40" x14ac:dyDescent="0.25">
      <c r="A1290" t="str">
        <f>"20190312151249523"</f>
        <v>20190312151249523</v>
      </c>
      <c r="B1290" t="str">
        <f>"1552374769510646"</f>
        <v>1552374769510646</v>
      </c>
      <c r="C1290" t="s">
        <v>40</v>
      </c>
      <c r="D1290">
        <v>4.6053699999999997</v>
      </c>
      <c r="E1290">
        <v>0.53565750000000001</v>
      </c>
      <c r="F1290" t="s">
        <v>42</v>
      </c>
      <c r="G1290">
        <v>-190.4102</v>
      </c>
      <c r="H1290" s="1">
        <v>-2.0748609999999998E-6</v>
      </c>
      <c r="I1290">
        <v>334.1712</v>
      </c>
      <c r="J1290">
        <v>-189.70320000000001</v>
      </c>
      <c r="K1290">
        <v>1.1032550000000001</v>
      </c>
      <c r="L1290">
        <v>346.45800000000003</v>
      </c>
      <c r="M1290">
        <v>0.20390929999999999</v>
      </c>
      <c r="N1290">
        <v>0</v>
      </c>
      <c r="O1290">
        <v>-0.97895200000000004</v>
      </c>
      <c r="P1290">
        <v>3.8357549999999997E-2</v>
      </c>
      <c r="Q1290">
        <v>5.8794659999999999E-2</v>
      </c>
      <c r="R1290">
        <v>-0.99753259999999999</v>
      </c>
      <c r="S1290">
        <v>-0.160965</v>
      </c>
      <c r="T1290">
        <v>-0.26692890000000002</v>
      </c>
      <c r="U1290">
        <v>-3.0320740000000002</v>
      </c>
      <c r="V1290">
        <v>0.16688910000000001</v>
      </c>
      <c r="W1290">
        <v>6.4663860000000004E-2</v>
      </c>
      <c r="X1290">
        <v>0.98385290000000003</v>
      </c>
      <c r="Y1290">
        <v>0.25532709999999997</v>
      </c>
      <c r="Z1290">
        <v>8.3417909999999998E-2</v>
      </c>
      <c r="AA1290">
        <v>0.96324940000000003</v>
      </c>
      <c r="AB1290">
        <v>23</v>
      </c>
      <c r="AC1290">
        <v>-0.70699999999999297</v>
      </c>
      <c r="AD1290">
        <v>-1.10325707486099</v>
      </c>
      <c r="AE1290">
        <v>-12.286799999999999</v>
      </c>
      <c r="AF1290">
        <v>3.1721388039822398</v>
      </c>
      <c r="AG1290">
        <v>-1.10325707486099</v>
      </c>
      <c r="AH1290">
        <v>11.7897208927428</v>
      </c>
      <c r="AI1290">
        <v>95.163460726412197</v>
      </c>
      <c r="AJ1290">
        <v>74.940651158675905</v>
      </c>
      <c r="AK1290">
        <v>12.258758480928501</v>
      </c>
      <c r="AL1290">
        <v>86.292446707155705</v>
      </c>
      <c r="AM1290">
        <v>80.372665635990401</v>
      </c>
      <c r="AN1290">
        <v>0.99999995766365801</v>
      </c>
    </row>
    <row r="1291" spans="1:40" x14ac:dyDescent="0.25">
      <c r="A1291" t="str">
        <f>"20190312151249545"</f>
        <v>20190312151249545</v>
      </c>
      <c r="B1291" t="str">
        <f>"1552374769540899"</f>
        <v>1552374769540899</v>
      </c>
      <c r="C1291" t="s">
        <v>40</v>
      </c>
      <c r="D1291">
        <v>4.5659090000000004</v>
      </c>
      <c r="E1291">
        <v>0.53560299999999905</v>
      </c>
      <c r="F1291" t="s">
        <v>42</v>
      </c>
      <c r="G1291">
        <v>-190.44730000000001</v>
      </c>
      <c r="H1291" s="1">
        <v>-1.9995110000000002E-6</v>
      </c>
      <c r="I1291">
        <v>333.9726</v>
      </c>
      <c r="J1291">
        <v>-189.66579999999999</v>
      </c>
      <c r="K1291">
        <v>1.103248</v>
      </c>
      <c r="L1291">
        <v>346.2242</v>
      </c>
      <c r="M1291">
        <v>0.19405919999999999</v>
      </c>
      <c r="N1291">
        <v>0</v>
      </c>
      <c r="O1291">
        <v>-0.98095220000000005</v>
      </c>
      <c r="P1291">
        <v>3.0863080000000001E-2</v>
      </c>
      <c r="Q1291">
        <v>5.6943580000000001E-2</v>
      </c>
      <c r="R1291">
        <v>-0.99790049999999997</v>
      </c>
      <c r="S1291">
        <v>-0.1805725</v>
      </c>
      <c r="T1291">
        <v>-0.26775939999999998</v>
      </c>
      <c r="U1291">
        <v>-3.0301819999999999</v>
      </c>
      <c r="V1291">
        <v>0.16438059999999999</v>
      </c>
      <c r="W1291">
        <v>6.2883649999999999E-2</v>
      </c>
      <c r="X1291">
        <v>0.98439049999999995</v>
      </c>
      <c r="Y1291">
        <v>0.25185099999999999</v>
      </c>
      <c r="Z1291">
        <v>8.4015839999999994E-2</v>
      </c>
      <c r="AA1291">
        <v>0.96411230000000003</v>
      </c>
      <c r="AB1291">
        <v>23</v>
      </c>
      <c r="AC1291">
        <v>-0.78150000000002195</v>
      </c>
      <c r="AD1291">
        <v>-1.1032499995109999</v>
      </c>
      <c r="AE1291">
        <v>-12.2515999999999</v>
      </c>
      <c r="AF1291">
        <v>3.1190760771687498</v>
      </c>
      <c r="AG1291">
        <v>-1.1032499995109999</v>
      </c>
      <c r="AH1291">
        <v>11.771943903790699</v>
      </c>
      <c r="AI1291">
        <v>95.176442837147405</v>
      </c>
      <c r="AJ1291">
        <v>75.159997089673794</v>
      </c>
      <c r="AK1291">
        <v>12.228019439409699</v>
      </c>
      <c r="AL1291">
        <v>86.394653436030097</v>
      </c>
      <c r="AM1291">
        <v>80.519810624264693</v>
      </c>
      <c r="AN1291">
        <v>0.99999999579196597</v>
      </c>
    </row>
    <row r="1292" spans="1:40" x14ac:dyDescent="0.25">
      <c r="A1292" t="str">
        <f>"20190312151249571"</f>
        <v>20190312151249571</v>
      </c>
      <c r="B1292" t="str">
        <f>"1552374769561395"</f>
        <v>1552374769561395</v>
      </c>
      <c r="C1292" t="s">
        <v>40</v>
      </c>
      <c r="D1292">
        <v>4.6284369999999999</v>
      </c>
      <c r="E1292">
        <v>0.53566400000000003</v>
      </c>
      <c r="F1292" t="s">
        <v>42</v>
      </c>
      <c r="G1292">
        <v>-190.64830000000001</v>
      </c>
      <c r="H1292" s="1">
        <v>-9.7300739999999999E-7</v>
      </c>
      <c r="I1292">
        <v>331.45519999999999</v>
      </c>
      <c r="J1292">
        <v>-189.62649999999999</v>
      </c>
      <c r="K1292">
        <v>1.103243</v>
      </c>
      <c r="L1292">
        <v>345.95890000000003</v>
      </c>
      <c r="M1292">
        <v>0.18295410000000001</v>
      </c>
      <c r="N1292">
        <v>0</v>
      </c>
      <c r="O1292">
        <v>-0.98308329999999999</v>
      </c>
      <c r="P1292">
        <v>2.148717E-2</v>
      </c>
      <c r="Q1292">
        <v>5.4853190000000003E-2</v>
      </c>
      <c r="R1292">
        <v>-0.99826320000000002</v>
      </c>
      <c r="S1292">
        <v>-0.20124819999999999</v>
      </c>
      <c r="T1292">
        <v>-0.2260017</v>
      </c>
      <c r="U1292">
        <v>-3.025452</v>
      </c>
      <c r="V1292">
        <v>0.1624842</v>
      </c>
      <c r="W1292">
        <v>6.0859549999999998E-2</v>
      </c>
      <c r="X1292">
        <v>0.9848325</v>
      </c>
      <c r="Y1292">
        <v>0.24762880000000001</v>
      </c>
      <c r="Z1292">
        <v>7.1365300000000007E-2</v>
      </c>
      <c r="AA1292">
        <v>0.9662231</v>
      </c>
      <c r="AB1292">
        <v>23</v>
      </c>
      <c r="AC1292">
        <v>-1.02180000000001</v>
      </c>
      <c r="AD1292">
        <v>-1.1032439730074</v>
      </c>
      <c r="AE1292">
        <v>-14.5037</v>
      </c>
      <c r="AF1292">
        <v>3.6372217520013699</v>
      </c>
      <c r="AG1292">
        <v>-1.1032439730074</v>
      </c>
      <c r="AH1292">
        <v>13.9913750337347</v>
      </c>
      <c r="AI1292">
        <v>94.364078703660695</v>
      </c>
      <c r="AJ1292">
        <v>75.427838866127601</v>
      </c>
      <c r="AK1292">
        <v>14.498451802583</v>
      </c>
      <c r="AL1292">
        <v>86.510848567484999</v>
      </c>
      <c r="AM1292">
        <v>80.631360380079101</v>
      </c>
      <c r="AN1292">
        <v>1.00000002656604</v>
      </c>
    </row>
    <row r="1293" spans="1:40" x14ac:dyDescent="0.25">
      <c r="A1293" t="str">
        <f>"20190312151249592"</f>
        <v>20190312151249592</v>
      </c>
      <c r="B1293" t="str">
        <f>"1552374769580916"</f>
        <v>1552374769580916</v>
      </c>
      <c r="C1293" t="s">
        <v>40</v>
      </c>
      <c r="D1293">
        <v>4.6338999999999997</v>
      </c>
      <c r="E1293">
        <v>0.53548680000000004</v>
      </c>
      <c r="F1293" t="s">
        <v>42</v>
      </c>
      <c r="G1293">
        <v>-190.80529999999999</v>
      </c>
      <c r="H1293" s="1">
        <v>-5.7587109999999995E-7</v>
      </c>
      <c r="I1293">
        <v>330.43200000000002</v>
      </c>
      <c r="J1293">
        <v>-189.59350000000001</v>
      </c>
      <c r="K1293">
        <v>1.103235</v>
      </c>
      <c r="L1293">
        <v>345.72059999999999</v>
      </c>
      <c r="M1293">
        <v>0.17302719999999999</v>
      </c>
      <c r="N1293">
        <v>0</v>
      </c>
      <c r="O1293">
        <v>-0.9848789</v>
      </c>
      <c r="P1293">
        <v>1.3522899999999999E-2</v>
      </c>
      <c r="Q1293">
        <v>5.3139619999999999E-2</v>
      </c>
      <c r="R1293">
        <v>-0.99849560000000004</v>
      </c>
      <c r="S1293">
        <v>-0.2294312</v>
      </c>
      <c r="T1293">
        <v>-0.21472240000000001</v>
      </c>
      <c r="U1293">
        <v>-3.021973</v>
      </c>
      <c r="V1293">
        <v>0.16039429999999999</v>
      </c>
      <c r="W1293">
        <v>5.9212670000000002E-2</v>
      </c>
      <c r="X1293">
        <v>0.98527540000000002</v>
      </c>
      <c r="Y1293">
        <v>0.24691340000000001</v>
      </c>
      <c r="Z1293">
        <v>6.8073939999999999E-2</v>
      </c>
      <c r="AA1293">
        <v>0.96664349999999999</v>
      </c>
      <c r="AB1293">
        <v>24</v>
      </c>
      <c r="AC1293">
        <v>-1.21179999999998</v>
      </c>
      <c r="AD1293">
        <v>-1.1032355758711001</v>
      </c>
      <c r="AE1293">
        <v>-15.288600000000001</v>
      </c>
      <c r="AF1293">
        <v>3.8192010954824802</v>
      </c>
      <c r="AG1293">
        <v>-1.1032355758711001</v>
      </c>
      <c r="AH1293">
        <v>14.7718637906413</v>
      </c>
      <c r="AI1293">
        <v>94.135705336987002</v>
      </c>
      <c r="AJ1293">
        <v>75.503863331719202</v>
      </c>
      <c r="AK1293">
        <v>15.2974306859963</v>
      </c>
      <c r="AL1293">
        <v>86.605378416618507</v>
      </c>
      <c r="AM1293">
        <v>80.753851551290595</v>
      </c>
      <c r="AN1293">
        <v>1.00000004280308</v>
      </c>
    </row>
    <row r="1294" spans="1:40" x14ac:dyDescent="0.25">
      <c r="A1294" t="str">
        <f>"20190312151249613"</f>
        <v>20190312151249613</v>
      </c>
      <c r="B1294" t="str">
        <f>"1552374769601412"</f>
        <v>1552374769601412</v>
      </c>
      <c r="C1294" t="s">
        <v>40</v>
      </c>
      <c r="D1294">
        <v>4.5998700000000001</v>
      </c>
      <c r="E1294">
        <v>0.5350646</v>
      </c>
      <c r="F1294" t="s">
        <v>42</v>
      </c>
      <c r="G1294">
        <v>-190.94069999999999</v>
      </c>
      <c r="H1294" s="1">
        <v>-4.4425229999999998E-6</v>
      </c>
      <c r="I1294">
        <v>329.55110000000002</v>
      </c>
      <c r="J1294">
        <v>-189.5652</v>
      </c>
      <c r="K1294">
        <v>1.103229</v>
      </c>
      <c r="L1294">
        <v>345.50049999999999</v>
      </c>
      <c r="M1294">
        <v>0.16389400000000001</v>
      </c>
      <c r="N1294">
        <v>0</v>
      </c>
      <c r="O1294">
        <v>-0.98643959999999997</v>
      </c>
      <c r="P1294">
        <v>6.1090490000000001E-3</v>
      </c>
      <c r="Q1294">
        <v>5.288379E-2</v>
      </c>
      <c r="R1294">
        <v>-0.99858239999999998</v>
      </c>
      <c r="S1294">
        <v>-0.25151059999999997</v>
      </c>
      <c r="T1294">
        <v>-0.20597779999999999</v>
      </c>
      <c r="U1294">
        <v>-3.0188899999999999</v>
      </c>
      <c r="V1294">
        <v>0.1585791</v>
      </c>
      <c r="W1294">
        <v>5.9015129999999999E-2</v>
      </c>
      <c r="X1294">
        <v>0.98558100000000004</v>
      </c>
      <c r="Y1294">
        <v>0.24504960000000001</v>
      </c>
      <c r="Z1294">
        <v>6.5537219999999993E-2</v>
      </c>
      <c r="AA1294">
        <v>0.96729290000000001</v>
      </c>
      <c r="AB1294">
        <v>24</v>
      </c>
      <c r="AC1294">
        <v>-1.37549999999998</v>
      </c>
      <c r="AD1294">
        <v>-1.1032334425229999</v>
      </c>
      <c r="AE1294">
        <v>-15.949399999999899</v>
      </c>
      <c r="AF1294">
        <v>3.9522385872766099</v>
      </c>
      <c r="AG1294">
        <v>-1.1032334425229999</v>
      </c>
      <c r="AH1294">
        <v>15.4349653363571</v>
      </c>
      <c r="AI1294">
        <v>93.960971260678804</v>
      </c>
      <c r="AJ1294">
        <v>75.637571792341902</v>
      </c>
      <c r="AK1294">
        <v>15.9710822680871</v>
      </c>
      <c r="AL1294">
        <v>86.616716347699395</v>
      </c>
      <c r="AM1294">
        <v>80.859501124142099</v>
      </c>
      <c r="AN1294">
        <v>1.0000000120433601</v>
      </c>
    </row>
    <row r="1295" spans="1:40" x14ac:dyDescent="0.25">
      <c r="A1295" t="str">
        <f>"20190312151249634"</f>
        <v>20190312151249634</v>
      </c>
      <c r="B1295" t="str">
        <f>"1552374769630691"</f>
        <v>1552374769630691</v>
      </c>
      <c r="C1295" t="s">
        <v>40</v>
      </c>
      <c r="D1295">
        <v>4.6045540000000003</v>
      </c>
      <c r="E1295">
        <v>0.53434369999999998</v>
      </c>
      <c r="F1295" t="s">
        <v>42</v>
      </c>
      <c r="G1295">
        <v>-191.10249999999999</v>
      </c>
      <c r="H1295" s="1">
        <v>-4.0479429999999999E-6</v>
      </c>
      <c r="I1295">
        <v>328.34120000000001</v>
      </c>
      <c r="J1295">
        <v>-189.53700000000001</v>
      </c>
      <c r="K1295">
        <v>1.1032169999999999</v>
      </c>
      <c r="L1295">
        <v>345.26409999999998</v>
      </c>
      <c r="M1295">
        <v>0.15411610000000001</v>
      </c>
      <c r="N1295">
        <v>0</v>
      </c>
      <c r="O1295">
        <v>-0.98801399999999995</v>
      </c>
      <c r="P1295">
        <v>-1.937308E-3</v>
      </c>
      <c r="Q1295">
        <v>5.3100439999999999E-2</v>
      </c>
      <c r="R1295">
        <v>-0.99858740000000001</v>
      </c>
      <c r="S1295">
        <v>-0.27021790000000001</v>
      </c>
      <c r="T1295">
        <v>-0.1939206</v>
      </c>
      <c r="U1295">
        <v>-3.0161739999999999</v>
      </c>
      <c r="V1295">
        <v>0.1567624</v>
      </c>
      <c r="W1295">
        <v>5.9288830000000001E-2</v>
      </c>
      <c r="X1295">
        <v>0.98585520000000004</v>
      </c>
      <c r="Y1295">
        <v>0.2414953</v>
      </c>
      <c r="Z1295">
        <v>6.1935820000000003E-2</v>
      </c>
      <c r="AA1295">
        <v>0.96842349999999999</v>
      </c>
      <c r="AB1295">
        <v>24</v>
      </c>
      <c r="AC1295">
        <v>-1.5654999999999799</v>
      </c>
      <c r="AD1295">
        <v>-1.103221047943</v>
      </c>
      <c r="AE1295">
        <v>-16.922899999999899</v>
      </c>
      <c r="AF1295">
        <v>4.1375514808770504</v>
      </c>
      <c r="AG1295">
        <v>-1.103221047943</v>
      </c>
      <c r="AH1295">
        <v>16.4102744915062</v>
      </c>
      <c r="AI1295">
        <v>93.729685105312996</v>
      </c>
      <c r="AJ1295">
        <v>75.848857923528598</v>
      </c>
      <c r="AK1295">
        <v>16.959762316262299</v>
      </c>
      <c r="AL1295">
        <v>86.601007099198995</v>
      </c>
      <c r="AM1295">
        <v>80.964949877257297</v>
      </c>
      <c r="AN1295">
        <v>1.0000000453917799</v>
      </c>
    </row>
    <row r="1296" spans="1:40" x14ac:dyDescent="0.25">
      <c r="A1296" t="str">
        <f>"20190312151249657"</f>
        <v>20190312151249657</v>
      </c>
      <c r="B1296" t="str">
        <f>"1552374769651188"</f>
        <v>1552374769651188</v>
      </c>
      <c r="C1296" t="s">
        <v>40</v>
      </c>
      <c r="D1296">
        <v>4.5860820000000002</v>
      </c>
      <c r="E1296">
        <v>0.53372369999999902</v>
      </c>
      <c r="F1296" t="s">
        <v>42</v>
      </c>
      <c r="G1296">
        <v>-191.3116</v>
      </c>
      <c r="H1296" s="1">
        <v>-3.4105619999999998E-6</v>
      </c>
      <c r="I1296">
        <v>326.72570000000002</v>
      </c>
      <c r="J1296">
        <v>-189.51050000000001</v>
      </c>
      <c r="K1296">
        <v>1.103197</v>
      </c>
      <c r="L1296">
        <v>345.0215</v>
      </c>
      <c r="M1296">
        <v>0.1441132</v>
      </c>
      <c r="N1296">
        <v>0</v>
      </c>
      <c r="O1296">
        <v>-0.98952229999999997</v>
      </c>
      <c r="P1296">
        <v>-1.0027690000000001E-2</v>
      </c>
      <c r="Q1296">
        <v>5.2615910000000002E-2</v>
      </c>
      <c r="R1296">
        <v>-0.99856440000000002</v>
      </c>
      <c r="S1296">
        <v>-0.2884369</v>
      </c>
      <c r="T1296">
        <v>-0.179317</v>
      </c>
      <c r="U1296">
        <v>-3.0132140000000001</v>
      </c>
      <c r="V1296">
        <v>0.15477489999999999</v>
      </c>
      <c r="W1296">
        <v>5.88628E-2</v>
      </c>
      <c r="X1296">
        <v>0.98619469999999998</v>
      </c>
      <c r="Y1296">
        <v>0.23759369999999999</v>
      </c>
      <c r="Z1296">
        <v>5.7491420000000001E-2</v>
      </c>
      <c r="AA1296">
        <v>0.96966180000000002</v>
      </c>
      <c r="AB1296">
        <v>24</v>
      </c>
      <c r="AC1296">
        <v>-1.8010999999999899</v>
      </c>
      <c r="AD1296">
        <v>-1.1032004105619999</v>
      </c>
      <c r="AE1296">
        <v>-18.2957999999999</v>
      </c>
      <c r="AF1296">
        <v>4.4032092925968396</v>
      </c>
      <c r="AG1296">
        <v>-1.1032004105619999</v>
      </c>
      <c r="AH1296">
        <v>17.781197633304402</v>
      </c>
      <c r="AI1296">
        <v>93.446420113691602</v>
      </c>
      <c r="AJ1296">
        <v>76.091475100113499</v>
      </c>
      <c r="AK1296">
        <v>18.3514656770217</v>
      </c>
      <c r="AL1296">
        <v>86.625459515980793</v>
      </c>
      <c r="AM1296">
        <v>81.080667747340897</v>
      </c>
      <c r="AN1296">
        <v>1.0000000426009601</v>
      </c>
    </row>
    <row r="1297" spans="1:40" x14ac:dyDescent="0.25">
      <c r="A1297" t="str">
        <f>"20190312151249680"</f>
        <v>20190312151249680</v>
      </c>
      <c r="B1297" t="str">
        <f>"1552374769670707"</f>
        <v>1552374769670707</v>
      </c>
      <c r="C1297" t="s">
        <v>40</v>
      </c>
      <c r="D1297">
        <v>4.6657510000000002</v>
      </c>
      <c r="E1297">
        <v>0.53315809999999997</v>
      </c>
      <c r="F1297" t="s">
        <v>42</v>
      </c>
      <c r="G1297">
        <v>-191.47839999999999</v>
      </c>
      <c r="H1297" s="1">
        <v>-3.0360490000000001E-6</v>
      </c>
      <c r="I1297">
        <v>325.74930000000001</v>
      </c>
      <c r="J1297">
        <v>-189.48570000000001</v>
      </c>
      <c r="K1297">
        <v>1.1031770000000001</v>
      </c>
      <c r="L1297">
        <v>344.7722</v>
      </c>
      <c r="M1297">
        <v>0.1338607</v>
      </c>
      <c r="N1297">
        <v>0</v>
      </c>
      <c r="O1297">
        <v>-0.99096110000000004</v>
      </c>
      <c r="P1297">
        <v>-1.7958979999999999E-2</v>
      </c>
      <c r="Q1297">
        <v>5.2690290000000001E-2</v>
      </c>
      <c r="R1297">
        <v>-0.99844980000000005</v>
      </c>
      <c r="S1297">
        <v>-0.3073883</v>
      </c>
      <c r="T1297">
        <v>-0.17231769999999999</v>
      </c>
      <c r="U1297">
        <v>-3.010284</v>
      </c>
      <c r="V1297">
        <v>0.15240090000000001</v>
      </c>
      <c r="W1297">
        <v>5.9003699999999902E-2</v>
      </c>
      <c r="X1297">
        <v>0.98655590000000004</v>
      </c>
      <c r="Y1297">
        <v>0.2336829</v>
      </c>
      <c r="Z1297">
        <v>5.5441400000000002E-2</v>
      </c>
      <c r="AA1297">
        <v>0.97073100000000001</v>
      </c>
      <c r="AB1297">
        <v>24</v>
      </c>
      <c r="AC1297">
        <v>-1.9926999999999799</v>
      </c>
      <c r="AD1297">
        <v>-1.1031800360490001</v>
      </c>
      <c r="AE1297">
        <v>-19.0229</v>
      </c>
      <c r="AF1297">
        <v>4.5062912974390699</v>
      </c>
      <c r="AG1297">
        <v>-1.1031800360490001</v>
      </c>
      <c r="AH1297">
        <v>18.523309527879999</v>
      </c>
      <c r="AI1297">
        <v>93.311926866400796</v>
      </c>
      <c r="AJ1297">
        <v>76.326878121256399</v>
      </c>
      <c r="AK1297">
        <v>19.095461851313399</v>
      </c>
      <c r="AL1297">
        <v>86.617372365845</v>
      </c>
      <c r="AM1297">
        <v>81.218492039177093</v>
      </c>
      <c r="AN1297">
        <v>1.00000000737965</v>
      </c>
    </row>
    <row r="1298" spans="1:40" x14ac:dyDescent="0.25">
      <c r="A1298" t="str">
        <f>"20190312151249701"</f>
        <v>20190312151249701</v>
      </c>
      <c r="B1298" t="str">
        <f>"1552374769691203"</f>
        <v>1552374769691203</v>
      </c>
      <c r="C1298" t="s">
        <v>40</v>
      </c>
      <c r="D1298">
        <v>4.627637</v>
      </c>
      <c r="E1298">
        <v>0.53262390000000004</v>
      </c>
      <c r="F1298" t="s">
        <v>42</v>
      </c>
      <c r="G1298">
        <v>-191.64570000000001</v>
      </c>
      <c r="H1298" s="1">
        <v>-2.7076530000000001E-6</v>
      </c>
      <c r="I1298">
        <v>324.88</v>
      </c>
      <c r="J1298">
        <v>-189.46440000000001</v>
      </c>
      <c r="K1298">
        <v>1.1031580000000001</v>
      </c>
      <c r="L1298">
        <v>344.53280000000001</v>
      </c>
      <c r="M1298">
        <v>0.124038</v>
      </c>
      <c r="N1298">
        <v>0</v>
      </c>
      <c r="O1298">
        <v>-0.99223810000000001</v>
      </c>
      <c r="P1298">
        <v>-2.5420269999999998E-2</v>
      </c>
      <c r="Q1298">
        <v>5.2771100000000001E-2</v>
      </c>
      <c r="R1298">
        <v>-0.99828349999999999</v>
      </c>
      <c r="S1298">
        <v>-0.32656859999999999</v>
      </c>
      <c r="T1298">
        <v>-0.16679539999999901</v>
      </c>
      <c r="U1298">
        <v>-3.0075989999999999</v>
      </c>
      <c r="V1298">
        <v>0.15000379999999899</v>
      </c>
      <c r="W1298">
        <v>5.9153169999999998E-2</v>
      </c>
      <c r="X1298">
        <v>0.98691430000000002</v>
      </c>
      <c r="Y1298">
        <v>0.23027069999999999</v>
      </c>
      <c r="Z1298">
        <v>5.3828279999999999E-2</v>
      </c>
      <c r="AA1298">
        <v>0.97163670000000002</v>
      </c>
      <c r="AB1298">
        <v>24</v>
      </c>
      <c r="AC1298">
        <v>-2.18129999999999</v>
      </c>
      <c r="AD1298">
        <v>-1.1031607076529999</v>
      </c>
      <c r="AE1298">
        <v>-19.652799999999999</v>
      </c>
      <c r="AF1298">
        <v>4.5879626628293604</v>
      </c>
      <c r="AG1298">
        <v>-1.1031607076529999</v>
      </c>
      <c r="AH1298">
        <v>19.1707747759733</v>
      </c>
      <c r="AI1298">
        <v>93.203134091476997</v>
      </c>
      <c r="AJ1298">
        <v>76.541075286429702</v>
      </c>
      <c r="AK1298">
        <v>19.7429726853257</v>
      </c>
      <c r="AL1298">
        <v>86.608793480204596</v>
      </c>
      <c r="AM1298">
        <v>81.357604482437495</v>
      </c>
      <c r="AN1298">
        <v>1.0000000365399799</v>
      </c>
    </row>
    <row r="1299" spans="1:40" x14ac:dyDescent="0.25">
      <c r="A1299" t="str">
        <f>"20190312151249724"</f>
        <v>20190312151249724</v>
      </c>
      <c r="B1299" t="str">
        <f>"1552374769721459"</f>
        <v>1552374769721459</v>
      </c>
      <c r="C1299" t="s">
        <v>40</v>
      </c>
      <c r="D1299">
        <v>4.6689100000000003</v>
      </c>
      <c r="E1299">
        <v>0.52234380000000002</v>
      </c>
      <c r="F1299" t="s">
        <v>42</v>
      </c>
      <c r="G1299">
        <v>-191.80699999999999</v>
      </c>
      <c r="H1299" s="1">
        <v>-2.402782E-6</v>
      </c>
      <c r="I1299">
        <v>324.0693</v>
      </c>
      <c r="J1299">
        <v>-189.4453</v>
      </c>
      <c r="K1299">
        <v>1.1031530000000001</v>
      </c>
      <c r="L1299">
        <v>344.29199999999997</v>
      </c>
      <c r="M1299">
        <v>0.1141954</v>
      </c>
      <c r="N1299">
        <v>0</v>
      </c>
      <c r="O1299">
        <v>-0.99341860000000004</v>
      </c>
      <c r="P1299">
        <v>-3.1865480000000002E-2</v>
      </c>
      <c r="Q1299">
        <v>5.2624259999999999E-2</v>
      </c>
      <c r="R1299">
        <v>-0.99810600000000005</v>
      </c>
      <c r="S1299">
        <v>-0.34400940000000002</v>
      </c>
      <c r="T1299">
        <v>-0.1619961</v>
      </c>
      <c r="U1299">
        <v>-3.0050050000000001</v>
      </c>
      <c r="V1299">
        <v>0.1465909</v>
      </c>
      <c r="W1299">
        <v>5.909557E-2</v>
      </c>
      <c r="X1299">
        <v>0.98743040000000004</v>
      </c>
      <c r="Y1299">
        <v>0.2262911</v>
      </c>
      <c r="Z1299">
        <v>5.2432289999999999E-2</v>
      </c>
      <c r="AA1299">
        <v>0.9726475</v>
      </c>
      <c r="AB1299">
        <v>24</v>
      </c>
      <c r="AC1299">
        <v>-2.3617000000000101</v>
      </c>
      <c r="AD1299">
        <v>-1.1031554027820001</v>
      </c>
      <c r="AE1299">
        <v>-20.2226999999999</v>
      </c>
      <c r="AF1299">
        <v>4.6420520026713197</v>
      </c>
      <c r="AG1299">
        <v>-1.1031554027820001</v>
      </c>
      <c r="AH1299">
        <v>19.7626756215756</v>
      </c>
      <c r="AI1299">
        <v>93.110461011742501</v>
      </c>
      <c r="AJ1299">
        <v>76.781429544633795</v>
      </c>
      <c r="AK1299">
        <v>20.330493018168799</v>
      </c>
      <c r="AL1299">
        <v>86.612099331067398</v>
      </c>
      <c r="AM1299">
        <v>81.555719009505793</v>
      </c>
      <c r="AN1299">
        <v>0.99999998660029699</v>
      </c>
    </row>
    <row r="1300" spans="1:40" x14ac:dyDescent="0.25">
      <c r="A1300" t="str">
        <f>"20190312151249747"</f>
        <v>20190312151249747</v>
      </c>
      <c r="B1300" t="str">
        <f>"1552374769740980"</f>
        <v>1552374769740980</v>
      </c>
      <c r="C1300" t="s">
        <v>40</v>
      </c>
      <c r="D1300">
        <v>4.6348310000000001</v>
      </c>
      <c r="E1300">
        <v>0.52028549999999996</v>
      </c>
      <c r="F1300" t="s">
        <v>42</v>
      </c>
      <c r="G1300">
        <v>-192.74</v>
      </c>
      <c r="H1300" s="1">
        <v>-4.5354169999999996E-6</v>
      </c>
      <c r="I1300">
        <v>308.8861</v>
      </c>
      <c r="J1300">
        <v>-189.42779999999999</v>
      </c>
      <c r="K1300">
        <v>1.1031569999999999</v>
      </c>
      <c r="L1300">
        <v>344.03949999999998</v>
      </c>
      <c r="M1300">
        <v>0.1039255</v>
      </c>
      <c r="N1300">
        <v>0</v>
      </c>
      <c r="O1300">
        <v>-0.99454489999999995</v>
      </c>
      <c r="P1300">
        <v>-3.84766E-2</v>
      </c>
      <c r="Q1300">
        <v>5.3275309999999999E-2</v>
      </c>
      <c r="R1300">
        <v>-0.99783829999999996</v>
      </c>
      <c r="S1300">
        <v>-0.2793274</v>
      </c>
      <c r="T1300">
        <v>-9.3525650000000002E-2</v>
      </c>
      <c r="U1300">
        <v>-3.001709</v>
      </c>
      <c r="V1300">
        <v>0.1429349</v>
      </c>
      <c r="W1300">
        <v>5.9847629999999999E-2</v>
      </c>
      <c r="X1300">
        <v>0.98792100000000005</v>
      </c>
      <c r="Y1300">
        <v>0.19559270000000001</v>
      </c>
      <c r="Z1300">
        <v>3.052235E-2</v>
      </c>
      <c r="AA1300">
        <v>0.98021009999999997</v>
      </c>
      <c r="AB1300">
        <v>24</v>
      </c>
      <c r="AC1300">
        <v>-3.31220000000001</v>
      </c>
      <c r="AD1300">
        <v>-1.1031615354169999</v>
      </c>
      <c r="AE1300">
        <v>-35.153399999999898</v>
      </c>
      <c r="AF1300">
        <v>6.9409687227306103</v>
      </c>
      <c r="AG1300">
        <v>-1.1031615354169999</v>
      </c>
      <c r="AH1300">
        <v>34.585036965989403</v>
      </c>
      <c r="AI1300">
        <v>91.791254724448095</v>
      </c>
      <c r="AJ1300">
        <v>78.651903512806797</v>
      </c>
      <c r="AK1300">
        <v>35.291908337776299</v>
      </c>
      <c r="AL1300">
        <v>86.568933153013205</v>
      </c>
      <c r="AM1300">
        <v>81.767429253983394</v>
      </c>
      <c r="AN1300">
        <v>1.00000001334781</v>
      </c>
    </row>
    <row r="1301" spans="1:40" x14ac:dyDescent="0.25">
      <c r="A1301" t="str">
        <f>"20190312151249772"</f>
        <v>20190312151249772</v>
      </c>
      <c r="B1301" t="str">
        <f>"1552374769761476"</f>
        <v>1552374769761476</v>
      </c>
      <c r="C1301" t="s">
        <v>40</v>
      </c>
      <c r="D1301">
        <v>4.6613179999999996</v>
      </c>
      <c r="E1301">
        <v>0.51859029999999995</v>
      </c>
      <c r="F1301" t="s">
        <v>42</v>
      </c>
      <c r="G1301">
        <v>-192.4451</v>
      </c>
      <c r="H1301" s="1">
        <v>-1.799772E-6</v>
      </c>
      <c r="I1301">
        <v>312.02280000000002</v>
      </c>
      <c r="J1301">
        <v>-189.4119</v>
      </c>
      <c r="K1301">
        <v>1.103178</v>
      </c>
      <c r="L1301">
        <v>343.76780000000002</v>
      </c>
      <c r="M1301">
        <v>9.2954579999999995E-2</v>
      </c>
      <c r="N1301">
        <v>0</v>
      </c>
      <c r="O1301">
        <v>-0.99562989999999996</v>
      </c>
      <c r="P1301">
        <v>-4.6608799999999999E-2</v>
      </c>
      <c r="Q1301">
        <v>5.3614370000000001E-2</v>
      </c>
      <c r="R1301">
        <v>-0.99747339999999995</v>
      </c>
      <c r="S1301">
        <v>-0.28282170000000001</v>
      </c>
      <c r="T1301">
        <v>-0.1034038</v>
      </c>
      <c r="U1301">
        <v>-3.0010680000000001</v>
      </c>
      <c r="V1301">
        <v>0.1400962</v>
      </c>
      <c r="W1301">
        <v>6.0281250000000001E-2</v>
      </c>
      <c r="X1301">
        <v>0.98830119999999999</v>
      </c>
      <c r="Y1301">
        <v>0.1859122</v>
      </c>
      <c r="Z1301">
        <v>3.383622E-2</v>
      </c>
      <c r="AA1301">
        <v>0.98198359999999996</v>
      </c>
      <c r="AB1301">
        <v>24</v>
      </c>
      <c r="AC1301">
        <v>-3.0331999999999901</v>
      </c>
      <c r="AD1301">
        <v>-1.1031797997720001</v>
      </c>
      <c r="AE1301">
        <v>-31.745000000000001</v>
      </c>
      <c r="AF1301">
        <v>5.96389108969161</v>
      </c>
      <c r="AG1301">
        <v>-1.1031797997720001</v>
      </c>
      <c r="AH1301">
        <v>31.288139626340801</v>
      </c>
      <c r="AI1301">
        <v>91.983654277942804</v>
      </c>
      <c r="AJ1301">
        <v>79.208200119178997</v>
      </c>
      <c r="AK1301">
        <v>31.870561398847801</v>
      </c>
      <c r="AL1301">
        <v>86.544043635800193</v>
      </c>
      <c r="AM1301">
        <v>81.931817156767195</v>
      </c>
      <c r="AN1301">
        <v>1.0000000181387201</v>
      </c>
    </row>
    <row r="1302" spans="1:40" x14ac:dyDescent="0.25">
      <c r="A1302" t="str">
        <f>"20190312151249795"</f>
        <v>20190312151249795</v>
      </c>
      <c r="B1302" t="str">
        <f>"1552374769790756"</f>
        <v>1552374769790756</v>
      </c>
      <c r="C1302" t="s">
        <v>40</v>
      </c>
      <c r="D1302">
        <v>4.6450820000000004</v>
      </c>
      <c r="E1302">
        <v>0.51688670000000003</v>
      </c>
      <c r="F1302" t="s">
        <v>42</v>
      </c>
      <c r="G1302">
        <v>-192.2628</v>
      </c>
      <c r="H1302" s="1">
        <v>-2.9871409999999998E-6</v>
      </c>
      <c r="I1302">
        <v>314.63720000000001</v>
      </c>
      <c r="J1302">
        <v>-189.39959999999999</v>
      </c>
      <c r="K1302">
        <v>1.1032040000000001</v>
      </c>
      <c r="L1302">
        <v>343.51330000000002</v>
      </c>
      <c r="M1302">
        <v>8.2744860000000003E-2</v>
      </c>
      <c r="N1302">
        <v>0</v>
      </c>
      <c r="O1302">
        <v>-0.99653029999999998</v>
      </c>
      <c r="P1302">
        <v>-5.3132579999999999E-2</v>
      </c>
      <c r="Q1302">
        <v>5.3833590000000001E-2</v>
      </c>
      <c r="R1302">
        <v>-0.99713549999999995</v>
      </c>
      <c r="S1302">
        <v>-0.29359439999999998</v>
      </c>
      <c r="T1302">
        <v>-0.1136104</v>
      </c>
      <c r="U1302">
        <v>-3</v>
      </c>
      <c r="V1302">
        <v>0.13642899999999999</v>
      </c>
      <c r="W1302">
        <v>6.0607300000000003E-2</v>
      </c>
      <c r="X1302">
        <v>0.98879410000000001</v>
      </c>
      <c r="Y1302">
        <v>0.17935190000000001</v>
      </c>
      <c r="Z1302">
        <v>3.7252390000000003E-2</v>
      </c>
      <c r="AA1302">
        <v>0.98307940000000005</v>
      </c>
      <c r="AB1302">
        <v>24</v>
      </c>
      <c r="AC1302">
        <v>-2.8632</v>
      </c>
      <c r="AD1302">
        <v>-1.103206987141</v>
      </c>
      <c r="AE1302">
        <v>-28.876100000000001</v>
      </c>
      <c r="AF1302">
        <v>5.2352587848453904</v>
      </c>
      <c r="AG1302">
        <v>-1.103206987141</v>
      </c>
      <c r="AH1302">
        <v>28.4989520312478</v>
      </c>
      <c r="AI1302">
        <v>92.180389940771903</v>
      </c>
      <c r="AJ1302">
        <v>79.590815688633896</v>
      </c>
      <c r="AK1302">
        <v>28.996814774732499</v>
      </c>
      <c r="AL1302">
        <v>86.525327871110207</v>
      </c>
      <c r="AM1302">
        <v>82.144207081469403</v>
      </c>
      <c r="AN1302">
        <v>0.99999994452454799</v>
      </c>
    </row>
    <row r="1303" spans="1:40" x14ac:dyDescent="0.25">
      <c r="A1303" t="str">
        <f>"20190312151249837"</f>
        <v>20190312151249837</v>
      </c>
      <c r="B1303" t="str">
        <f>"1552374769830772"</f>
        <v>1552374769830772</v>
      </c>
      <c r="C1303" t="s">
        <v>40</v>
      </c>
      <c r="D1303">
        <v>4.6685809999999996</v>
      </c>
      <c r="E1303">
        <v>0.51471709999999904</v>
      </c>
      <c r="F1303" t="s">
        <v>42</v>
      </c>
      <c r="G1303">
        <v>-192.1337</v>
      </c>
      <c r="H1303" s="1">
        <v>-3.6840490000000001E-6</v>
      </c>
      <c r="I1303">
        <v>316.18419999999998</v>
      </c>
      <c r="J1303">
        <v>-189.38329999999999</v>
      </c>
      <c r="K1303">
        <v>1.103283</v>
      </c>
      <c r="L1303">
        <v>343.0453</v>
      </c>
      <c r="M1303">
        <v>6.4223440000000007E-2</v>
      </c>
      <c r="N1303">
        <v>0</v>
      </c>
      <c r="O1303">
        <v>-0.99789439999999996</v>
      </c>
      <c r="P1303">
        <v>-6.3287120000000002E-2</v>
      </c>
      <c r="Q1303">
        <v>5.2580189999999999E-2</v>
      </c>
      <c r="R1303">
        <v>-0.99660950000000004</v>
      </c>
      <c r="S1303">
        <v>-0.3000488</v>
      </c>
      <c r="T1303">
        <v>-0.1210701</v>
      </c>
      <c r="U1303">
        <v>-2.9992070000000002</v>
      </c>
      <c r="V1303">
        <v>0.1281051</v>
      </c>
      <c r="W1303">
        <v>5.9577280000000003E-2</v>
      </c>
      <c r="X1303">
        <v>0.98996949999999995</v>
      </c>
      <c r="Y1303">
        <v>0.1631678</v>
      </c>
      <c r="Z1303">
        <v>3.9839930000000003E-2</v>
      </c>
      <c r="AA1303">
        <v>0.98579360000000005</v>
      </c>
      <c r="AB1303">
        <v>24</v>
      </c>
      <c r="AC1303">
        <v>-2.7504000000000102</v>
      </c>
      <c r="AD1303">
        <v>-1.1032866840490001</v>
      </c>
      <c r="AE1303">
        <v>-26.8611</v>
      </c>
      <c r="AF1303">
        <v>4.4624542390250799</v>
      </c>
      <c r="AG1303">
        <v>-1.1032866840490001</v>
      </c>
      <c r="AH1303">
        <v>26.584610129077301</v>
      </c>
      <c r="AI1303">
        <v>92.343713673448804</v>
      </c>
      <c r="AJ1303">
        <v>80.471246175947996</v>
      </c>
      <c r="AK1303">
        <v>26.979107380668299</v>
      </c>
      <c r="AL1303">
        <v>86.584450676090597</v>
      </c>
      <c r="AM1303">
        <v>82.626723176971197</v>
      </c>
      <c r="AN1303">
        <v>0.99999998993422901</v>
      </c>
    </row>
    <row r="1304" spans="1:40" x14ac:dyDescent="0.25">
      <c r="A1304" t="str">
        <f>"20190312151249859"</f>
        <v>20190312151249859</v>
      </c>
      <c r="B1304" t="str">
        <f>"1552374769851267"</f>
        <v>1552374769851267</v>
      </c>
      <c r="C1304" t="s">
        <v>40</v>
      </c>
      <c r="D1304">
        <v>4.6616460000000002</v>
      </c>
      <c r="E1304">
        <v>0.51435350000000002</v>
      </c>
      <c r="F1304" t="s">
        <v>42</v>
      </c>
      <c r="G1304">
        <v>-192.0703</v>
      </c>
      <c r="H1304" s="1">
        <v>-4.2339560000000001E-6</v>
      </c>
      <c r="I1304">
        <v>317.38310000000001</v>
      </c>
      <c r="J1304">
        <v>-189.37809999999999</v>
      </c>
      <c r="K1304">
        <v>1.1033360000000001</v>
      </c>
      <c r="L1304">
        <v>342.80149999999998</v>
      </c>
      <c r="M1304">
        <v>5.4742609999999997E-2</v>
      </c>
      <c r="N1304">
        <v>0</v>
      </c>
      <c r="O1304">
        <v>-0.99845930000000005</v>
      </c>
      <c r="P1304">
        <v>-6.8622169999999996E-2</v>
      </c>
      <c r="Q1304">
        <v>5.3482660000000001E-2</v>
      </c>
      <c r="R1304">
        <v>-0.99620830000000005</v>
      </c>
      <c r="S1304">
        <v>-0.31381229999999999</v>
      </c>
      <c r="T1304">
        <v>-0.12885489999999999</v>
      </c>
      <c r="U1304">
        <v>-2.997131</v>
      </c>
      <c r="V1304">
        <v>0.1240043</v>
      </c>
      <c r="W1304">
        <v>6.059349E-2</v>
      </c>
      <c r="X1304">
        <v>0.99042989999999997</v>
      </c>
      <c r="Y1304">
        <v>0.15833159999999999</v>
      </c>
      <c r="Z1304">
        <v>4.246954E-2</v>
      </c>
      <c r="AA1304">
        <v>0.98647220000000002</v>
      </c>
      <c r="AB1304">
        <v>24</v>
      </c>
      <c r="AC1304">
        <v>-2.6922000000000099</v>
      </c>
      <c r="AD1304">
        <v>-1.1033402339559999</v>
      </c>
      <c r="AE1304">
        <v>-25.418399999999899</v>
      </c>
      <c r="AF1304">
        <v>4.0721020544795001</v>
      </c>
      <c r="AG1304">
        <v>-1.1033402339559999</v>
      </c>
      <c r="AH1304">
        <v>25.1859693656288</v>
      </c>
      <c r="AI1304">
        <v>92.476278010031905</v>
      </c>
      <c r="AJ1304">
        <v>80.815816968077399</v>
      </c>
      <c r="AK1304">
        <v>25.536883672452099</v>
      </c>
      <c r="AL1304">
        <v>86.526120817934896</v>
      </c>
      <c r="AM1304">
        <v>82.863560013639798</v>
      </c>
      <c r="AN1304">
        <v>1.0000000121314401</v>
      </c>
    </row>
    <row r="1305" spans="1:40" x14ac:dyDescent="0.25">
      <c r="A1305" t="str">
        <f>"20190312151249881"</f>
        <v>20190312151249881</v>
      </c>
      <c r="B1305" t="str">
        <f>"1552374769870788"</f>
        <v>1552374769870788</v>
      </c>
      <c r="C1305" t="s">
        <v>40</v>
      </c>
      <c r="D1305">
        <v>4.6478390000000003</v>
      </c>
      <c r="E1305">
        <v>0.50324499999999905</v>
      </c>
      <c r="F1305" t="s">
        <v>42</v>
      </c>
      <c r="G1305">
        <v>-192.1961</v>
      </c>
      <c r="H1305" s="1">
        <v>-4.0710219999999998E-6</v>
      </c>
      <c r="I1305">
        <v>316.96769999999998</v>
      </c>
      <c r="J1305">
        <v>-189.375</v>
      </c>
      <c r="K1305">
        <v>1.103397</v>
      </c>
      <c r="L1305">
        <v>342.55349999999999</v>
      </c>
      <c r="M1305">
        <v>4.524094E-2</v>
      </c>
      <c r="N1305">
        <v>0</v>
      </c>
      <c r="O1305">
        <v>-0.99893449999999995</v>
      </c>
      <c r="P1305">
        <v>-7.3684159999999999E-2</v>
      </c>
      <c r="Q1305">
        <v>5.380861E-2</v>
      </c>
      <c r="R1305">
        <v>-0.99582899999999996</v>
      </c>
      <c r="S1305">
        <v>-0.32678220000000002</v>
      </c>
      <c r="T1305">
        <v>-0.12794720000000001</v>
      </c>
      <c r="U1305">
        <v>-2.9957889999999998</v>
      </c>
      <c r="V1305">
        <v>0.1196064</v>
      </c>
      <c r="W1305">
        <v>6.1040410000000003E-2</v>
      </c>
      <c r="X1305">
        <v>0.99094320000000002</v>
      </c>
      <c r="Y1305">
        <v>0.15320529999999999</v>
      </c>
      <c r="Z1305">
        <v>4.2227609999999999E-2</v>
      </c>
      <c r="AA1305">
        <v>0.98729180000000005</v>
      </c>
      <c r="AB1305">
        <v>24</v>
      </c>
      <c r="AC1305">
        <v>-2.8210999999999999</v>
      </c>
      <c r="AD1305">
        <v>-1.1034010710219999</v>
      </c>
      <c r="AE1305">
        <v>-25.585799999999999</v>
      </c>
      <c r="AF1305">
        <v>3.9684930063436301</v>
      </c>
      <c r="AG1305">
        <v>-1.1034010710219999</v>
      </c>
      <c r="AH1305">
        <v>25.385321293815799</v>
      </c>
      <c r="AI1305">
        <v>92.459028267171803</v>
      </c>
      <c r="AJ1305">
        <v>81.114853859592401</v>
      </c>
      <c r="AK1305">
        <v>25.717328163228601</v>
      </c>
      <c r="AL1305">
        <v>86.500466742776595</v>
      </c>
      <c r="AM1305">
        <v>83.117717481533603</v>
      </c>
      <c r="AN1305">
        <v>1.0000000241000799</v>
      </c>
    </row>
    <row r="1306" spans="1:40" x14ac:dyDescent="0.25">
      <c r="A1306" t="str">
        <f>"20190312151249905"</f>
        <v>20190312151249905</v>
      </c>
      <c r="B1306" t="str">
        <f>"1552374769901044"</f>
        <v>1552374769901044</v>
      </c>
      <c r="C1306" t="s">
        <v>40</v>
      </c>
      <c r="D1306">
        <v>4.6389930000000001</v>
      </c>
      <c r="E1306">
        <v>0.50132840000000001</v>
      </c>
      <c r="F1306" t="s">
        <v>42</v>
      </c>
      <c r="G1306">
        <v>-191.32409999999999</v>
      </c>
      <c r="H1306" s="1">
        <v>-4.9178069999999997E-6</v>
      </c>
      <c r="I1306">
        <v>319.48070000000001</v>
      </c>
      <c r="J1306">
        <v>-189.37389999999999</v>
      </c>
      <c r="K1306">
        <v>1.103504</v>
      </c>
      <c r="L1306">
        <v>342.28030000000001</v>
      </c>
      <c r="M1306">
        <v>3.4987860000000003E-2</v>
      </c>
      <c r="N1306">
        <v>0</v>
      </c>
      <c r="O1306">
        <v>-0.99934590000000001</v>
      </c>
      <c r="P1306">
        <v>-7.8809279999999995E-2</v>
      </c>
      <c r="Q1306">
        <v>5.3075329999999997E-2</v>
      </c>
      <c r="R1306">
        <v>-0.99547609999999997</v>
      </c>
      <c r="S1306">
        <v>-0.25357059999999998</v>
      </c>
      <c r="T1306">
        <v>-0.14354539999999999</v>
      </c>
      <c r="U1306">
        <v>-3.001617</v>
      </c>
      <c r="V1306">
        <v>0.11450970000000001</v>
      </c>
      <c r="W1306">
        <v>6.0449740000000002E-2</v>
      </c>
      <c r="X1306">
        <v>0.9915813</v>
      </c>
      <c r="Y1306">
        <v>0.11889669999999899</v>
      </c>
      <c r="Z1306">
        <v>4.7470409999999998E-2</v>
      </c>
      <c r="AA1306">
        <v>0.99177119999999996</v>
      </c>
      <c r="AB1306">
        <v>24</v>
      </c>
      <c r="AC1306">
        <v>-1.9501999999999899</v>
      </c>
      <c r="AD1306">
        <v>-1.1035089178069999</v>
      </c>
      <c r="AE1306">
        <v>-22.799600000000002</v>
      </c>
      <c r="AF1306">
        <v>2.74037547102516</v>
      </c>
      <c r="AG1306">
        <v>-1.1035089178069999</v>
      </c>
      <c r="AH1306">
        <v>22.664694750788399</v>
      </c>
      <c r="AI1306">
        <v>92.767318855941397</v>
      </c>
      <c r="AJ1306">
        <v>83.105864940411905</v>
      </c>
      <c r="AK1306">
        <v>22.8564165564134</v>
      </c>
      <c r="AL1306">
        <v>86.534372372725201</v>
      </c>
      <c r="AM1306">
        <v>83.412554216869296</v>
      </c>
      <c r="AN1306">
        <v>1.00000005848492</v>
      </c>
    </row>
    <row r="1307" spans="1:40" x14ac:dyDescent="0.25">
      <c r="A1307" t="str">
        <f>"20190312151249926"</f>
        <v>20190312151249926</v>
      </c>
      <c r="B1307" t="str">
        <f>"1552374769920564"</f>
        <v>1552374769920564</v>
      </c>
      <c r="C1307" t="s">
        <v>40</v>
      </c>
      <c r="D1307">
        <v>4.7761050000000003</v>
      </c>
      <c r="E1307">
        <v>0.50085109999999999</v>
      </c>
      <c r="F1307" t="s">
        <v>42</v>
      </c>
      <c r="G1307">
        <v>-191.1652</v>
      </c>
      <c r="H1307" s="1">
        <v>-9.4675740000000003E-7</v>
      </c>
      <c r="I1307">
        <v>321.07339999999999</v>
      </c>
      <c r="J1307">
        <v>-189.3751</v>
      </c>
      <c r="K1307">
        <v>1.103621</v>
      </c>
      <c r="L1307">
        <v>342.0487</v>
      </c>
      <c r="M1307">
        <v>2.652229E-2</v>
      </c>
      <c r="N1307">
        <v>0</v>
      </c>
      <c r="O1307">
        <v>-0.9996062</v>
      </c>
      <c r="P1307">
        <v>-8.1565929999999995E-2</v>
      </c>
      <c r="Q1307">
        <v>5.2710189999999997E-2</v>
      </c>
      <c r="R1307">
        <v>-0.99527330000000003</v>
      </c>
      <c r="S1307">
        <v>-0.25355529999999998</v>
      </c>
      <c r="T1307">
        <v>-0.1562037</v>
      </c>
      <c r="U1307">
        <v>-3.0018919999999998</v>
      </c>
      <c r="V1307">
        <v>0.1088311</v>
      </c>
      <c r="W1307">
        <v>6.0229369999999997E-2</v>
      </c>
      <c r="X1307">
        <v>0.9922339</v>
      </c>
      <c r="Y1307">
        <v>0.1104525</v>
      </c>
      <c r="Z1307">
        <v>5.1686580000000003E-2</v>
      </c>
      <c r="AA1307">
        <v>0.99253650000000004</v>
      </c>
      <c r="AB1307">
        <v>25</v>
      </c>
      <c r="AC1307">
        <v>-1.79009999999999</v>
      </c>
      <c r="AD1307">
        <v>-1.1036219467574</v>
      </c>
      <c r="AE1307">
        <v>-20.975300000000001</v>
      </c>
      <c r="AF1307">
        <v>2.3393771539810402</v>
      </c>
      <c r="AG1307">
        <v>-1.1036219467574</v>
      </c>
      <c r="AH1307">
        <v>20.863102010131101</v>
      </c>
      <c r="AI1307">
        <v>93.009201762375596</v>
      </c>
      <c r="AJ1307">
        <v>83.602155326740203</v>
      </c>
      <c r="AK1307">
        <v>21.022837400195701</v>
      </c>
      <c r="AL1307">
        <v>86.5470213120323</v>
      </c>
      <c r="AM1307">
        <v>83.740652932134196</v>
      </c>
      <c r="AN1307">
        <v>0.99999994882350696</v>
      </c>
    </row>
    <row r="1308" spans="1:40" x14ac:dyDescent="0.25">
      <c r="A1308" t="str">
        <f>"20190312151249947"</f>
        <v>20190312151249947</v>
      </c>
      <c r="B1308" t="str">
        <f>"1552374769941060"</f>
        <v>1552374769941060</v>
      </c>
      <c r="C1308" t="s">
        <v>40</v>
      </c>
      <c r="D1308">
        <v>4.6405729999999998</v>
      </c>
      <c r="E1308">
        <v>0.49275229999999998</v>
      </c>
      <c r="F1308" t="s">
        <v>42</v>
      </c>
      <c r="G1308">
        <v>-191.245</v>
      </c>
      <c r="H1308" s="1">
        <v>-6.3125769999999997E-7</v>
      </c>
      <c r="I1308">
        <v>320.28840000000002</v>
      </c>
      <c r="J1308">
        <v>-189.3783</v>
      </c>
      <c r="K1308">
        <v>1.103734</v>
      </c>
      <c r="L1308">
        <v>341.8057</v>
      </c>
      <c r="M1308">
        <v>1.7825099999999899E-2</v>
      </c>
      <c r="N1308">
        <v>0</v>
      </c>
      <c r="O1308">
        <v>-0.99979879999999999</v>
      </c>
      <c r="P1308">
        <v>-8.5516199999999903E-2</v>
      </c>
      <c r="Q1308">
        <v>5.3122599999999999E-2</v>
      </c>
      <c r="R1308">
        <v>-0.99491949999999996</v>
      </c>
      <c r="S1308">
        <v>-0.25788879999999997</v>
      </c>
      <c r="T1308">
        <v>-0.15220899999999901</v>
      </c>
      <c r="U1308">
        <v>-3.0011290000000002</v>
      </c>
      <c r="V1308">
        <v>0.1041222</v>
      </c>
      <c r="W1308">
        <v>6.0769110000000001E-2</v>
      </c>
      <c r="X1308">
        <v>0.99270619999999998</v>
      </c>
      <c r="Y1308">
        <v>0.10325289999999999</v>
      </c>
      <c r="Z1308">
        <v>5.041205E-2</v>
      </c>
      <c r="AA1308">
        <v>0.99337679999999995</v>
      </c>
      <c r="AB1308">
        <v>25</v>
      </c>
      <c r="AC1308">
        <v>-1.8667</v>
      </c>
      <c r="AD1308">
        <v>-1.1037346312577001</v>
      </c>
      <c r="AE1308">
        <v>-21.517299999999899</v>
      </c>
      <c r="AF1308">
        <v>2.2441070625134398</v>
      </c>
      <c r="AG1308">
        <v>-1.1037346312577001</v>
      </c>
      <c r="AH1308">
        <v>21.424654084973</v>
      </c>
      <c r="AI1308">
        <v>92.933083701444303</v>
      </c>
      <c r="AJ1308">
        <v>84.020407020475901</v>
      </c>
      <c r="AK1308">
        <v>21.570119362326398</v>
      </c>
      <c r="AL1308">
        <v>86.5160397686913</v>
      </c>
      <c r="AM1308">
        <v>84.012298113402593</v>
      </c>
      <c r="AN1308">
        <v>0.99999995839073497</v>
      </c>
    </row>
    <row r="1309" spans="1:40" x14ac:dyDescent="0.25">
      <c r="A1309" t="str">
        <f>"20190312151249973"</f>
        <v>20190312151249973</v>
      </c>
      <c r="B1309" t="str">
        <f>"1552374769960580"</f>
        <v>1552374769960580</v>
      </c>
      <c r="C1309" t="s">
        <v>40</v>
      </c>
      <c r="D1309">
        <v>4.8425320000000003</v>
      </c>
      <c r="E1309">
        <v>0.49398550000000002</v>
      </c>
      <c r="F1309" t="s">
        <v>41</v>
      </c>
      <c r="G1309">
        <v>-189.4419</v>
      </c>
      <c r="H1309">
        <v>1.0492330000000001</v>
      </c>
      <c r="I1309">
        <v>340.8732</v>
      </c>
      <c r="J1309">
        <v>-189.38419999999999</v>
      </c>
      <c r="K1309">
        <v>1.1038840000000001</v>
      </c>
      <c r="L1309">
        <v>341.52980000000002</v>
      </c>
      <c r="M1309">
        <v>8.2095829999999995E-3</v>
      </c>
      <c r="N1309">
        <v>0</v>
      </c>
      <c r="O1309">
        <v>-0.99992389999999998</v>
      </c>
      <c r="P1309">
        <v>-8.9834029999999995E-2</v>
      </c>
      <c r="Q1309">
        <v>5.2146150000000002E-2</v>
      </c>
      <c r="R1309">
        <v>-0.9945908</v>
      </c>
      <c r="S1309">
        <v>-0.2052765</v>
      </c>
      <c r="T1309">
        <v>-0.17582929999999999</v>
      </c>
      <c r="U1309">
        <v>-3.0071110000000001</v>
      </c>
      <c r="V1309">
        <v>9.8846820000000002E-2</v>
      </c>
      <c r="W1309">
        <v>5.9930940000000002E-2</v>
      </c>
      <c r="X1309">
        <v>0.99329630000000002</v>
      </c>
      <c r="Y1309">
        <v>7.6178270000000006E-2</v>
      </c>
      <c r="Z1309">
        <v>5.8216209999999997E-2</v>
      </c>
      <c r="AA1309">
        <v>0.99539330000000004</v>
      </c>
      <c r="AB1309">
        <v>25</v>
      </c>
      <c r="AC1309">
        <v>-5.7700000000011097E-2</v>
      </c>
      <c r="AD1309">
        <v>-5.4650999999999998E-2</v>
      </c>
      <c r="AE1309">
        <v>-0.65660000000002505</v>
      </c>
      <c r="AF1309">
        <v>6.2657941770975598E-2</v>
      </c>
      <c r="AG1309">
        <v>-5.4650999999999998E-2</v>
      </c>
      <c r="AH1309">
        <v>0.65162443749802701</v>
      </c>
      <c r="AI1309">
        <v>94.772203298413402</v>
      </c>
      <c r="AJ1309">
        <v>84.507523340091794</v>
      </c>
      <c r="AK1309">
        <v>0.656907266676656</v>
      </c>
      <c r="AL1309">
        <v>86.564151128089193</v>
      </c>
      <c r="AM1309">
        <v>84.316982119275707</v>
      </c>
      <c r="AN1309">
        <v>0.99999997549354203</v>
      </c>
    </row>
    <row r="1310" spans="1:40" x14ac:dyDescent="0.25">
      <c r="A1310" t="str">
        <f>"20190312151249996"</f>
        <v>20190312151249996</v>
      </c>
      <c r="B1310" t="str">
        <f>"1552374769990836"</f>
        <v>1552374769990836</v>
      </c>
      <c r="C1310" t="s">
        <v>40</v>
      </c>
      <c r="D1310">
        <v>4.6966029999999996</v>
      </c>
      <c r="E1310">
        <v>0.49553950000000002</v>
      </c>
      <c r="F1310" t="s">
        <v>41</v>
      </c>
      <c r="G1310">
        <v>-189.4512</v>
      </c>
      <c r="H1310">
        <v>1.051715</v>
      </c>
      <c r="I1310">
        <v>340.6465</v>
      </c>
      <c r="J1310">
        <v>-189.392</v>
      </c>
      <c r="K1310">
        <v>1.104025</v>
      </c>
      <c r="L1310">
        <v>341.26420000000002</v>
      </c>
      <c r="M1310">
        <v>-7.6162970000000002E-4</v>
      </c>
      <c r="N1310">
        <v>0</v>
      </c>
      <c r="O1310">
        <v>-0.99995699999999998</v>
      </c>
      <c r="P1310">
        <v>-9.351102E-2</v>
      </c>
      <c r="Q1310">
        <v>5.0210730000000002E-2</v>
      </c>
      <c r="R1310">
        <v>-0.9943514</v>
      </c>
      <c r="S1310">
        <v>-0.2275848</v>
      </c>
      <c r="T1310">
        <v>-0.17741419999999999</v>
      </c>
      <c r="U1310">
        <v>-3.0050659999999998</v>
      </c>
      <c r="V1310">
        <v>9.3556780000000006E-2</v>
      </c>
      <c r="W1310">
        <v>5.8127829999999998E-2</v>
      </c>
      <c r="X1310">
        <v>0.99391560000000001</v>
      </c>
      <c r="Y1310">
        <v>7.4627440000000003E-2</v>
      </c>
      <c r="Z1310">
        <v>5.8769700000000001E-2</v>
      </c>
      <c r="AA1310">
        <v>0.99547819999999998</v>
      </c>
      <c r="AB1310">
        <v>25</v>
      </c>
      <c r="AC1310">
        <v>-5.9200000000004097E-2</v>
      </c>
      <c r="AD1310">
        <v>-5.2310000000000002E-2</v>
      </c>
      <c r="AE1310">
        <v>-0.61770000000001302</v>
      </c>
      <c r="AF1310">
        <v>5.8315099637542299E-2</v>
      </c>
      <c r="AG1310">
        <v>-5.2310000000000002E-2</v>
      </c>
      <c r="AH1310">
        <v>0.61338600794405995</v>
      </c>
      <c r="AI1310">
        <v>94.852655463884304</v>
      </c>
      <c r="AJ1310">
        <v>84.569167163092501</v>
      </c>
      <c r="AK1310">
        <v>0.61836832202764602</v>
      </c>
      <c r="AL1310">
        <v>86.667642175221403</v>
      </c>
      <c r="AM1310">
        <v>84.622621324720996</v>
      </c>
      <c r="AN1310">
        <v>0.99999996781391798</v>
      </c>
    </row>
    <row r="1311" spans="1:40" x14ac:dyDescent="0.25">
      <c r="A1311" t="str">
        <f>"20190312151250017"</f>
        <v>20190312151250017</v>
      </c>
      <c r="B1311" t="str">
        <f>"1552374770011332"</f>
        <v>1552374770011332</v>
      </c>
      <c r="C1311" t="s">
        <v>40</v>
      </c>
      <c r="D1311">
        <v>4.7773269999999997</v>
      </c>
      <c r="E1311">
        <v>0.49488409999999999</v>
      </c>
      <c r="F1311" t="s">
        <v>41</v>
      </c>
      <c r="G1311">
        <v>-189.4623</v>
      </c>
      <c r="H1311">
        <v>1.0504249999999999</v>
      </c>
      <c r="I1311">
        <v>340.42290000000003</v>
      </c>
      <c r="J1311">
        <v>-189.4007</v>
      </c>
      <c r="K1311">
        <v>1.1041719999999999</v>
      </c>
      <c r="L1311">
        <v>341.0274</v>
      </c>
      <c r="M1311">
        <v>-8.4810489999999992E-3</v>
      </c>
      <c r="N1311">
        <v>0</v>
      </c>
      <c r="O1311">
        <v>-0.99992130000000001</v>
      </c>
      <c r="P1311">
        <v>-9.7293770000000002E-2</v>
      </c>
      <c r="Q1311">
        <v>4.9783639999999997E-2</v>
      </c>
      <c r="R1311">
        <v>-0.99401010000000001</v>
      </c>
      <c r="S1311">
        <v>-0.25097659999999999</v>
      </c>
      <c r="T1311">
        <v>-0.1912962</v>
      </c>
      <c r="U1311">
        <v>-3.0031430000000001</v>
      </c>
      <c r="V1311">
        <v>8.9636380000000002E-2</v>
      </c>
      <c r="W1311">
        <v>5.7806499999999997E-2</v>
      </c>
      <c r="X1311">
        <v>0.99429559999999995</v>
      </c>
      <c r="Y1311">
        <v>7.4658680000000005E-2</v>
      </c>
      <c r="Z1311">
        <v>6.3367720000000002E-2</v>
      </c>
      <c r="AA1311">
        <v>0.99519380000000002</v>
      </c>
      <c r="AB1311">
        <v>25</v>
      </c>
      <c r="AC1311">
        <v>-6.1599999999998503E-2</v>
      </c>
      <c r="AD1311">
        <v>-5.3746999999999899E-2</v>
      </c>
      <c r="AE1311">
        <v>-0.60449999999997295</v>
      </c>
      <c r="AF1311">
        <v>5.6032373370175602E-2</v>
      </c>
      <c r="AG1311">
        <v>-5.3746999999999899E-2</v>
      </c>
      <c r="AH1311">
        <v>0.60030392903548002</v>
      </c>
      <c r="AI1311">
        <v>95.094194381272999</v>
      </c>
      <c r="AJ1311">
        <v>84.667462006904302</v>
      </c>
      <c r="AK1311">
        <v>0.60530419963017701</v>
      </c>
      <c r="AL1311">
        <v>86.6860841659893</v>
      </c>
      <c r="AM1311">
        <v>84.848674138790003</v>
      </c>
      <c r="AN1311">
        <v>1.0000000061205501</v>
      </c>
    </row>
    <row r="1312" spans="1:40" x14ac:dyDescent="0.25">
      <c r="A1312" t="str">
        <f>"20190312151250038"</f>
        <v>20190312151250038</v>
      </c>
      <c r="B1312" t="str">
        <f>"1552374770030852"</f>
        <v>1552374770030852</v>
      </c>
      <c r="C1312" t="s">
        <v>40</v>
      </c>
      <c r="D1312">
        <v>4.7104650000000001</v>
      </c>
      <c r="E1312">
        <v>0.49389759999999999</v>
      </c>
      <c r="F1312" t="s">
        <v>41</v>
      </c>
      <c r="G1312">
        <v>-189.4718</v>
      </c>
      <c r="H1312">
        <v>1.0512379999999999</v>
      </c>
      <c r="I1312">
        <v>340.19709999999998</v>
      </c>
      <c r="J1312">
        <v>-189.4109</v>
      </c>
      <c r="K1312">
        <v>1.1043499999999999</v>
      </c>
      <c r="L1312">
        <v>340.79020000000003</v>
      </c>
      <c r="M1312">
        <v>-1.5922789999999999E-2</v>
      </c>
      <c r="N1312">
        <v>0</v>
      </c>
      <c r="O1312">
        <v>-0.99983029999999995</v>
      </c>
      <c r="P1312">
        <v>-0.10172539999999999</v>
      </c>
      <c r="Q1312">
        <v>5.0128859999999997E-2</v>
      </c>
      <c r="R1312">
        <v>-0.99354889999999996</v>
      </c>
      <c r="S1312">
        <v>-0.25711060000000002</v>
      </c>
      <c r="T1312">
        <v>-0.19143189999999999</v>
      </c>
      <c r="U1312">
        <v>-3.0025019999999998</v>
      </c>
      <c r="V1312">
        <v>8.6648340000000004E-2</v>
      </c>
      <c r="W1312">
        <v>5.8243980000000001E-2</v>
      </c>
      <c r="X1312">
        <v>0.9945349</v>
      </c>
      <c r="Y1312">
        <v>6.9271869999999999E-2</v>
      </c>
      <c r="Z1312">
        <v>6.3424190000000005E-2</v>
      </c>
      <c r="AA1312">
        <v>0.99557960000000001</v>
      </c>
      <c r="AB1312">
        <v>25</v>
      </c>
      <c r="AC1312">
        <v>-6.0900000000003701E-2</v>
      </c>
      <c r="AD1312">
        <v>-5.3111999999999999E-2</v>
      </c>
      <c r="AE1312">
        <v>-0.59310000000004903</v>
      </c>
      <c r="AF1312">
        <v>5.1043014570464902E-2</v>
      </c>
      <c r="AG1312">
        <v>-5.3111999999999999E-2</v>
      </c>
      <c r="AH1312">
        <v>0.58931800704660098</v>
      </c>
      <c r="AI1312">
        <v>95.130735224067294</v>
      </c>
      <c r="AJ1312">
        <v>85.049754532710594</v>
      </c>
      <c r="AK1312">
        <v>0.59390402196804404</v>
      </c>
      <c r="AL1312">
        <v>86.660976022437794</v>
      </c>
      <c r="AM1312">
        <v>85.020708102367095</v>
      </c>
      <c r="AN1312">
        <v>0.99999998167450199</v>
      </c>
    </row>
    <row r="1313" spans="1:40" x14ac:dyDescent="0.25">
      <c r="A1313" t="str">
        <f>"20190312151250061"</f>
        <v>20190312151250061</v>
      </c>
      <c r="B1313" t="str">
        <f>"1552374770051348"</f>
        <v>1552374770051348</v>
      </c>
      <c r="C1313" t="s">
        <v>40</v>
      </c>
      <c r="D1313">
        <v>4.8320819999999998</v>
      </c>
      <c r="E1313">
        <v>0.49321110000000001</v>
      </c>
      <c r="F1313" t="s">
        <v>41</v>
      </c>
      <c r="G1313">
        <v>-189.48230000000001</v>
      </c>
      <c r="H1313">
        <v>1.051439</v>
      </c>
      <c r="I1313">
        <v>339.97129999999999</v>
      </c>
      <c r="J1313">
        <v>-189.42330000000001</v>
      </c>
      <c r="K1313">
        <v>1.104565</v>
      </c>
      <c r="L1313">
        <v>340.53769999999997</v>
      </c>
      <c r="M1313">
        <v>-2.3513309999999999E-2</v>
      </c>
      <c r="N1313">
        <v>0</v>
      </c>
      <c r="O1313">
        <v>-0.99968040000000002</v>
      </c>
      <c r="P1313">
        <v>-0.1063225</v>
      </c>
      <c r="Q1313">
        <v>4.9596550000000003E-2</v>
      </c>
      <c r="R1313">
        <v>-0.99309409999999998</v>
      </c>
      <c r="S1313">
        <v>-0.26167299999999999</v>
      </c>
      <c r="T1313">
        <v>-0.194052</v>
      </c>
      <c r="U1313">
        <v>-3.002472</v>
      </c>
      <c r="V1313">
        <v>8.3660639999999994E-2</v>
      </c>
      <c r="W1313">
        <v>5.7808409999999998E-2</v>
      </c>
      <c r="X1313">
        <v>0.99481609999999998</v>
      </c>
      <c r="Y1313">
        <v>6.3194299999999995E-2</v>
      </c>
      <c r="Z1313">
        <v>6.4283750000000001E-2</v>
      </c>
      <c r="AA1313">
        <v>0.99592879999999995</v>
      </c>
      <c r="AB1313">
        <v>25</v>
      </c>
      <c r="AC1313">
        <v>-5.8999999999997499E-2</v>
      </c>
      <c r="AD1313">
        <v>-5.3126E-2</v>
      </c>
      <c r="AE1313">
        <v>-0.56639999999998702</v>
      </c>
      <c r="AF1313">
        <v>4.5271167898885703E-2</v>
      </c>
      <c r="AG1313">
        <v>-5.3126E-2</v>
      </c>
      <c r="AH1313">
        <v>0.56273313655395296</v>
      </c>
      <c r="AI1313">
        <v>95.375877411299896</v>
      </c>
      <c r="AJ1313">
        <v>85.4005326421875</v>
      </c>
      <c r="AK1313">
        <v>0.56704535400158196</v>
      </c>
      <c r="AL1313">
        <v>86.685974507149695</v>
      </c>
      <c r="AM1313">
        <v>85.192931367268699</v>
      </c>
      <c r="AN1313">
        <v>0.99999999388557304</v>
      </c>
    </row>
    <row r="1314" spans="1:40" x14ac:dyDescent="0.25">
      <c r="A1314" t="str">
        <f>"20190312151250083"</f>
        <v>20190312151250083</v>
      </c>
      <c r="B1314" t="str">
        <f>"1552374770070868"</f>
        <v>1552374770070868</v>
      </c>
      <c r="C1314" t="s">
        <v>40</v>
      </c>
      <c r="D1314">
        <v>4.7275390000000002</v>
      </c>
      <c r="E1314">
        <v>0.49222959999999899</v>
      </c>
      <c r="F1314" t="s">
        <v>41</v>
      </c>
      <c r="G1314">
        <v>-189.49459999999999</v>
      </c>
      <c r="H1314">
        <v>1.052092</v>
      </c>
      <c r="I1314">
        <v>339.745</v>
      </c>
      <c r="J1314">
        <v>-189.43719999999999</v>
      </c>
      <c r="K1314">
        <v>1.1047990000000001</v>
      </c>
      <c r="L1314">
        <v>340.28590000000003</v>
      </c>
      <c r="M1314">
        <v>-3.0715659999999999E-2</v>
      </c>
      <c r="N1314">
        <v>0</v>
      </c>
      <c r="O1314">
        <v>-0.99948490000000001</v>
      </c>
      <c r="P1314">
        <v>-0.1095593</v>
      </c>
      <c r="Q1314">
        <v>4.8960999999999998E-2</v>
      </c>
      <c r="R1314">
        <v>-0.99277369999999998</v>
      </c>
      <c r="S1314">
        <v>-0.2694397</v>
      </c>
      <c r="T1314">
        <v>-0.19871040000000001</v>
      </c>
      <c r="U1314">
        <v>-3.0019230000000001</v>
      </c>
      <c r="V1314">
        <v>7.9691280000000003E-2</v>
      </c>
      <c r="W1314">
        <v>5.728428E-2</v>
      </c>
      <c r="X1314">
        <v>0.99517230000000001</v>
      </c>
      <c r="Y1314">
        <v>5.856629E-2</v>
      </c>
      <c r="Z1314">
        <v>6.5814849999999994E-2</v>
      </c>
      <c r="AA1314">
        <v>0.99611159999999999</v>
      </c>
      <c r="AB1314">
        <v>25</v>
      </c>
      <c r="AC1314">
        <v>-5.74000000000012E-2</v>
      </c>
      <c r="AD1314">
        <v>-5.2706999999999997E-2</v>
      </c>
      <c r="AE1314">
        <v>-0.54090000000002103</v>
      </c>
      <c r="AF1314">
        <v>4.0378959825020697E-2</v>
      </c>
      <c r="AG1314">
        <v>-5.2706999999999997E-2</v>
      </c>
      <c r="AH1314">
        <v>0.53736238974319195</v>
      </c>
      <c r="AI1314">
        <v>95.586268469128299</v>
      </c>
      <c r="AJ1314">
        <v>85.702705888851298</v>
      </c>
      <c r="AK1314">
        <v>0.54144882136363004</v>
      </c>
      <c r="AL1314">
        <v>86.7160549696966</v>
      </c>
      <c r="AM1314">
        <v>85.421645407415099</v>
      </c>
      <c r="AN1314">
        <v>1.00000004776522</v>
      </c>
    </row>
    <row r="1315" spans="1:40" x14ac:dyDescent="0.25">
      <c r="A1315" t="str">
        <f>"20190312151250106"</f>
        <v>20190312151250106</v>
      </c>
      <c r="B1315" t="str">
        <f>"1552374770101124"</f>
        <v>1552374770101124</v>
      </c>
      <c r="C1315" t="s">
        <v>40</v>
      </c>
      <c r="D1315">
        <v>4.7257210000000001</v>
      </c>
      <c r="E1315">
        <v>0.49106090000000002</v>
      </c>
      <c r="F1315" t="s">
        <v>41</v>
      </c>
      <c r="G1315">
        <v>-189.50710000000001</v>
      </c>
      <c r="H1315">
        <v>1.053023</v>
      </c>
      <c r="I1315">
        <v>339.51319999999998</v>
      </c>
      <c r="J1315">
        <v>-189.45310000000001</v>
      </c>
      <c r="K1315">
        <v>1.1050660000000001</v>
      </c>
      <c r="L1315">
        <v>340.02429999999998</v>
      </c>
      <c r="M1315">
        <v>-3.779188E-2</v>
      </c>
      <c r="N1315">
        <v>0</v>
      </c>
      <c r="O1315">
        <v>-0.99924250000000003</v>
      </c>
      <c r="P1315">
        <v>-0.1125234</v>
      </c>
      <c r="Q1315">
        <v>4.903242E-2</v>
      </c>
      <c r="R1315">
        <v>-0.99243890000000001</v>
      </c>
      <c r="S1315">
        <v>-0.27119450000000001</v>
      </c>
      <c r="T1315">
        <v>-0.2011144</v>
      </c>
      <c r="U1315">
        <v>-3.0018310000000001</v>
      </c>
      <c r="V1315">
        <v>7.5577989999999998E-2</v>
      </c>
      <c r="W1315">
        <v>5.746851E-2</v>
      </c>
      <c r="X1315">
        <v>0.99548239999999999</v>
      </c>
      <c r="Y1315">
        <v>5.207225E-2</v>
      </c>
      <c r="Z1315">
        <v>6.6595619999999994E-2</v>
      </c>
      <c r="AA1315">
        <v>0.99642030000000004</v>
      </c>
      <c r="AB1315">
        <v>25</v>
      </c>
      <c r="AC1315">
        <v>-5.4000000000001998E-2</v>
      </c>
      <c r="AD1315">
        <v>-5.2042999999999798E-2</v>
      </c>
      <c r="AE1315">
        <v>-0.511099999999999</v>
      </c>
      <c r="AF1315">
        <v>3.4293513926425101E-2</v>
      </c>
      <c r="AG1315">
        <v>-5.2042999999999798E-2</v>
      </c>
      <c r="AH1315">
        <v>0.50757108890078295</v>
      </c>
      <c r="AI1315">
        <v>95.841049634655704</v>
      </c>
      <c r="AJ1315">
        <v>86.134744456768402</v>
      </c>
      <c r="AK1315">
        <v>0.51138334860879897</v>
      </c>
      <c r="AL1315">
        <v>86.705481580530204</v>
      </c>
      <c r="AM1315">
        <v>85.658377720854602</v>
      </c>
      <c r="AN1315">
        <v>0.99999993546190802</v>
      </c>
    </row>
    <row r="1316" spans="1:40" x14ac:dyDescent="0.25">
      <c r="A1316" t="str">
        <f>"20190312151250127"</f>
        <v>20190312151250127</v>
      </c>
      <c r="B1316" t="str">
        <f>"1552374770120643"</f>
        <v>1552374770120643</v>
      </c>
      <c r="C1316" t="s">
        <v>40</v>
      </c>
      <c r="D1316">
        <v>4.7346170000000001</v>
      </c>
      <c r="E1316">
        <v>0.4903421</v>
      </c>
      <c r="F1316" t="s">
        <v>41</v>
      </c>
      <c r="G1316">
        <v>-189.53880000000001</v>
      </c>
      <c r="H1316">
        <v>1.0409280000000001</v>
      </c>
      <c r="I1316">
        <v>339.07499999999999</v>
      </c>
      <c r="J1316">
        <v>-189.46950000000001</v>
      </c>
      <c r="K1316">
        <v>1.1053329999999999</v>
      </c>
      <c r="L1316">
        <v>339.77670000000001</v>
      </c>
      <c r="M1316">
        <v>-4.4049810000000002E-2</v>
      </c>
      <c r="N1316">
        <v>0</v>
      </c>
      <c r="O1316">
        <v>-0.99898580000000003</v>
      </c>
      <c r="P1316">
        <v>-0.1144934</v>
      </c>
      <c r="Q1316">
        <v>4.909467E-2</v>
      </c>
      <c r="R1316">
        <v>-0.99221040000000005</v>
      </c>
      <c r="S1316">
        <v>-0.27102659999999901</v>
      </c>
      <c r="T1316">
        <v>-0.20289479999999999</v>
      </c>
      <c r="U1316">
        <v>-3.002167</v>
      </c>
      <c r="V1316">
        <v>7.1281010000000006E-2</v>
      </c>
      <c r="W1316">
        <v>5.7640360000000002E-2</v>
      </c>
      <c r="X1316">
        <v>0.99578949999999999</v>
      </c>
      <c r="Y1316">
        <v>4.5747629999999997E-2</v>
      </c>
      <c r="Z1316">
        <v>6.7159839999999998E-2</v>
      </c>
      <c r="AA1316">
        <v>0.99669289999999999</v>
      </c>
      <c r="AB1316">
        <v>25</v>
      </c>
      <c r="AC1316">
        <v>-6.9299999999998294E-2</v>
      </c>
      <c r="AD1316">
        <v>-6.4404999999999796E-2</v>
      </c>
      <c r="AE1316">
        <v>-0.70170000000001598</v>
      </c>
      <c r="AF1316">
        <v>3.8004560010427901E-2</v>
      </c>
      <c r="AG1316">
        <v>-6.4404999999999796E-2</v>
      </c>
      <c r="AH1316">
        <v>0.69824616179031596</v>
      </c>
      <c r="AI1316">
        <v>95.262205485756397</v>
      </c>
      <c r="AJ1316">
        <v>86.884545076185603</v>
      </c>
      <c r="AK1316">
        <v>0.70223931324121602</v>
      </c>
      <c r="AL1316">
        <v>86.695619366529598</v>
      </c>
      <c r="AM1316">
        <v>85.905613887269496</v>
      </c>
      <c r="AN1316">
        <v>1.0000000608988899</v>
      </c>
    </row>
    <row r="1317" spans="1:40" x14ac:dyDescent="0.25">
      <c r="A1317" t="str">
        <f>"20190312151250149"</f>
        <v>20190312151250149</v>
      </c>
      <c r="B1317" t="str">
        <f>"1552374770141140"</f>
        <v>1552374770141140</v>
      </c>
      <c r="C1317" t="s">
        <v>40</v>
      </c>
      <c r="D1317">
        <v>4.7336470000000004</v>
      </c>
      <c r="E1317">
        <v>0.489514</v>
      </c>
      <c r="F1317" t="s">
        <v>41</v>
      </c>
      <c r="G1317">
        <v>-189.55359999999999</v>
      </c>
      <c r="H1317">
        <v>1.042</v>
      </c>
      <c r="I1317">
        <v>338.8476</v>
      </c>
      <c r="J1317">
        <v>-189.48699999999999</v>
      </c>
      <c r="K1317">
        <v>1.105575</v>
      </c>
      <c r="L1317">
        <v>339.52940000000001</v>
      </c>
      <c r="M1317">
        <v>-4.9969670000000001E-2</v>
      </c>
      <c r="N1317">
        <v>0</v>
      </c>
      <c r="O1317">
        <v>-0.99870709999999996</v>
      </c>
      <c r="P1317">
        <v>-0.1159927</v>
      </c>
      <c r="Q1317">
        <v>5.0780520000000003E-2</v>
      </c>
      <c r="R1317">
        <v>-0.99195109999999997</v>
      </c>
      <c r="S1317">
        <v>-0.27156069999999999</v>
      </c>
      <c r="T1317">
        <v>-0.20469270000000001</v>
      </c>
      <c r="U1317">
        <v>-3.0023499999999999</v>
      </c>
      <c r="V1317">
        <v>6.6870150000000003E-2</v>
      </c>
      <c r="W1317">
        <v>5.9428290000000002E-2</v>
      </c>
      <c r="X1317">
        <v>0.9959903</v>
      </c>
      <c r="Y1317">
        <v>3.9993359999999999E-2</v>
      </c>
      <c r="Z1317">
        <v>6.7727689999999993E-2</v>
      </c>
      <c r="AA1317">
        <v>0.99690190000000001</v>
      </c>
      <c r="AB1317">
        <v>25</v>
      </c>
      <c r="AC1317">
        <v>-6.6599999999993997E-2</v>
      </c>
      <c r="AD1317">
        <v>-6.3574999999999895E-2</v>
      </c>
      <c r="AE1317">
        <v>-0.68180000000000895</v>
      </c>
      <c r="AF1317">
        <v>3.2168927704517E-2</v>
      </c>
      <c r="AG1317">
        <v>-6.3574999999999895E-2</v>
      </c>
      <c r="AH1317">
        <v>0.67843322673653095</v>
      </c>
      <c r="AI1317">
        <v>95.347498129386807</v>
      </c>
      <c r="AJ1317">
        <v>87.285268102363602</v>
      </c>
      <c r="AK1317">
        <v>0.68216439636996495</v>
      </c>
      <c r="AL1317">
        <v>86.593002388852994</v>
      </c>
      <c r="AM1317">
        <v>86.158962593282794</v>
      </c>
      <c r="AN1317">
        <v>1.0000000081537099</v>
      </c>
    </row>
    <row r="1318" spans="1:40" x14ac:dyDescent="0.25">
      <c r="A1318" t="str">
        <f>"20190312151250174"</f>
        <v>20190312151250174</v>
      </c>
      <c r="B1318" t="str">
        <f>"1552374770171396"</f>
        <v>1552374770171396</v>
      </c>
      <c r="C1318" t="s">
        <v>40</v>
      </c>
      <c r="D1318">
        <v>4.7246499999999996</v>
      </c>
      <c r="E1318">
        <v>0.48857660000000003</v>
      </c>
      <c r="F1318" t="s">
        <v>41</v>
      </c>
      <c r="G1318">
        <v>-189.56870000000001</v>
      </c>
      <c r="H1318">
        <v>1.04430499999999</v>
      </c>
      <c r="I1318">
        <v>338.61799999999999</v>
      </c>
      <c r="J1318">
        <v>-189.5076</v>
      </c>
      <c r="K1318">
        <v>1.1058250000000001</v>
      </c>
      <c r="L1318">
        <v>339.25540000000001</v>
      </c>
      <c r="M1318">
        <v>-5.6123199999999998E-2</v>
      </c>
      <c r="N1318">
        <v>0</v>
      </c>
      <c r="O1318">
        <v>-0.99838009999999999</v>
      </c>
      <c r="P1318">
        <v>-0.11752369999999999</v>
      </c>
      <c r="Q1318">
        <v>5.1738949999999999E-2</v>
      </c>
      <c r="R1318">
        <v>-0.99172190000000005</v>
      </c>
      <c r="S1318">
        <v>-0.269287099999999</v>
      </c>
      <c r="T1318">
        <v>-0.20187330000000001</v>
      </c>
      <c r="U1318">
        <v>-3.003174</v>
      </c>
      <c r="V1318">
        <v>6.2244599999999997E-2</v>
      </c>
      <c r="W1318">
        <v>6.0489719999999997E-2</v>
      </c>
      <c r="X1318">
        <v>0.99622619999999895</v>
      </c>
      <c r="Y1318">
        <v>3.3067529999999998E-2</v>
      </c>
      <c r="Z1318">
        <v>6.6758830000000005E-2</v>
      </c>
      <c r="AA1318">
        <v>0.99722109999999997</v>
      </c>
      <c r="AB1318">
        <v>25</v>
      </c>
      <c r="AC1318">
        <v>-6.1100000000010299E-2</v>
      </c>
      <c r="AD1318">
        <v>-6.15200000000002E-2</v>
      </c>
      <c r="AE1318">
        <v>-0.637399999999956</v>
      </c>
      <c r="AF1318">
        <v>2.49984445657776E-2</v>
      </c>
      <c r="AG1318">
        <v>-6.15200000000002E-2</v>
      </c>
      <c r="AH1318">
        <v>0.63397252203854804</v>
      </c>
      <c r="AI1318">
        <v>95.538288846220894</v>
      </c>
      <c r="AJ1318">
        <v>87.741915184328803</v>
      </c>
      <c r="AK1318">
        <v>0.63744081398246299</v>
      </c>
      <c r="AL1318">
        <v>86.532077350966603</v>
      </c>
      <c r="AM1318">
        <v>86.424784910911896</v>
      </c>
      <c r="AN1318">
        <v>1.00000001901063</v>
      </c>
    </row>
    <row r="1319" spans="1:40" x14ac:dyDescent="0.25">
      <c r="A1319" t="str">
        <f>"20190312151250218"</f>
        <v>20190312151250218</v>
      </c>
      <c r="B1319" t="str">
        <f>"1552374770211412"</f>
        <v>1552374770211412</v>
      </c>
      <c r="C1319" t="s">
        <v>40</v>
      </c>
      <c r="D1319">
        <v>4.733625</v>
      </c>
      <c r="E1319">
        <v>0.48734050000000001</v>
      </c>
      <c r="F1319" t="s">
        <v>41</v>
      </c>
      <c r="G1319">
        <v>-189.58449999999999</v>
      </c>
      <c r="H1319">
        <v>1.048548</v>
      </c>
      <c r="I1319">
        <v>338.38630000000001</v>
      </c>
      <c r="J1319">
        <v>-189.548</v>
      </c>
      <c r="K1319">
        <v>1.106274</v>
      </c>
      <c r="L1319">
        <v>338.75959999999998</v>
      </c>
      <c r="M1319">
        <v>-6.6110070000000007E-2</v>
      </c>
      <c r="N1319">
        <v>0</v>
      </c>
      <c r="O1319">
        <v>-0.99776819999999999</v>
      </c>
      <c r="P1319">
        <v>-0.11538660000000001</v>
      </c>
      <c r="Q1319">
        <v>4.9055540000000002E-2</v>
      </c>
      <c r="R1319">
        <v>-0.99210880000000001</v>
      </c>
      <c r="S1319">
        <v>-0.26519779999999998</v>
      </c>
      <c r="T1319">
        <v>-0.1980249</v>
      </c>
      <c r="U1319">
        <v>-3.0039669999999998</v>
      </c>
      <c r="V1319">
        <v>5.0022450000000003E-2</v>
      </c>
      <c r="W1319">
        <v>5.8011199999999999E-2</v>
      </c>
      <c r="X1319">
        <v>0.99706189999999995</v>
      </c>
      <c r="Y1319">
        <v>2.1702389999999998E-2</v>
      </c>
      <c r="Z1319">
        <v>6.5428609999999998E-2</v>
      </c>
      <c r="AA1319">
        <v>0.99762119999999999</v>
      </c>
      <c r="AB1319">
        <v>25</v>
      </c>
      <c r="AC1319">
        <v>-3.6499999999989499E-2</v>
      </c>
      <c r="AD1319">
        <v>-5.7725999999999902E-2</v>
      </c>
      <c r="AE1319">
        <v>-0.37329999999997199</v>
      </c>
      <c r="AF1319">
        <v>1.14685219307578E-2</v>
      </c>
      <c r="AG1319">
        <v>-5.7725999999999902E-2</v>
      </c>
      <c r="AH1319">
        <v>0.36622200313939801</v>
      </c>
      <c r="AI1319">
        <v>98.953268424489295</v>
      </c>
      <c r="AJ1319">
        <v>88.206325058930204</v>
      </c>
      <c r="AK1319">
        <v>0.37092098033773901</v>
      </c>
      <c r="AL1319">
        <v>86.674335946854399</v>
      </c>
      <c r="AM1319">
        <v>87.127887205252605</v>
      </c>
      <c r="AN1319">
        <v>0.99999998863052597</v>
      </c>
    </row>
    <row r="1320" spans="1:40" x14ac:dyDescent="0.25">
      <c r="A1320" t="str">
        <f>"20190312151250239"</f>
        <v>20190312151250239</v>
      </c>
      <c r="B1320" t="str">
        <f>"1552374770230932"</f>
        <v>1552374770230932</v>
      </c>
      <c r="C1320" t="s">
        <v>40</v>
      </c>
      <c r="D1320">
        <v>4.7216740000000001</v>
      </c>
      <c r="E1320">
        <v>0.48678009999999999</v>
      </c>
      <c r="F1320" t="s">
        <v>42</v>
      </c>
      <c r="G1320">
        <v>-190.88990000000001</v>
      </c>
      <c r="H1320" s="1">
        <v>-1.488989E-6</v>
      </c>
      <c r="I1320">
        <v>322.50810000000001</v>
      </c>
      <c r="J1320">
        <v>-189.56950000000001</v>
      </c>
      <c r="K1320">
        <v>1.106508</v>
      </c>
      <c r="L1320">
        <v>338.51119999999997</v>
      </c>
      <c r="M1320">
        <v>-7.0585659999999995E-2</v>
      </c>
      <c r="N1320">
        <v>0</v>
      </c>
      <c r="O1320">
        <v>-0.99746159999999995</v>
      </c>
      <c r="P1320">
        <v>-0.1136205</v>
      </c>
      <c r="Q1320">
        <v>4.7734110000000003E-2</v>
      </c>
      <c r="R1320">
        <v>-0.99237690000000001</v>
      </c>
      <c r="S1320">
        <v>-0.24813840000000001</v>
      </c>
      <c r="T1320">
        <v>-0.2045652</v>
      </c>
      <c r="U1320">
        <v>-3.0051269999999999</v>
      </c>
      <c r="V1320">
        <v>4.3722509999999999E-2</v>
      </c>
      <c r="W1320">
        <v>5.6780129999999998E-2</v>
      </c>
      <c r="X1320">
        <v>0.99742889999999995</v>
      </c>
      <c r="Y1320">
        <v>1.1548610000000001E-2</v>
      </c>
      <c r="Z1320">
        <v>6.7544759999999995E-2</v>
      </c>
      <c r="AA1320">
        <v>0.99764940000000002</v>
      </c>
      <c r="AB1320">
        <v>25</v>
      </c>
      <c r="AC1320">
        <v>-1.3204</v>
      </c>
      <c r="AD1320">
        <v>-1.1065094889889999</v>
      </c>
      <c r="AE1320">
        <v>-16.0030999999999</v>
      </c>
      <c r="AF1320">
        <v>0.186581192933885</v>
      </c>
      <c r="AG1320">
        <v>-1.1065094889889999</v>
      </c>
      <c r="AH1320">
        <v>15.980502450866201</v>
      </c>
      <c r="AI1320">
        <v>93.960638683955807</v>
      </c>
      <c r="AJ1320">
        <v>89.331070521619793</v>
      </c>
      <c r="AK1320">
        <v>16.019851259388201</v>
      </c>
      <c r="AL1320">
        <v>86.744987657006405</v>
      </c>
      <c r="AM1320">
        <v>87.490034034511595</v>
      </c>
      <c r="AN1320">
        <v>1.00000002579936</v>
      </c>
    </row>
    <row r="1321" spans="1:40" x14ac:dyDescent="0.25">
      <c r="A1321" t="str">
        <f>"20190312151250261"</f>
        <v>20190312151250261</v>
      </c>
      <c r="B1321" t="str">
        <f>"1552374770251428"</f>
        <v>1552374770251428</v>
      </c>
      <c r="C1321" t="s">
        <v>40</v>
      </c>
      <c r="D1321">
        <v>4.7377349999999998</v>
      </c>
      <c r="E1321">
        <v>0.47670360000000001</v>
      </c>
      <c r="F1321" t="s">
        <v>42</v>
      </c>
      <c r="G1321">
        <v>-190.82589999999999</v>
      </c>
      <c r="H1321" s="1">
        <v>-1.5476720000000001E-6</v>
      </c>
      <c r="I1321">
        <v>322.68450000000001</v>
      </c>
      <c r="J1321">
        <v>-189.5917</v>
      </c>
      <c r="K1321">
        <v>1.1067530000000001</v>
      </c>
      <c r="L1321">
        <v>338.26319999999998</v>
      </c>
      <c r="M1321">
        <v>-7.4706469999999997E-2</v>
      </c>
      <c r="N1321">
        <v>0</v>
      </c>
      <c r="O1321">
        <v>-0.99716130000000003</v>
      </c>
      <c r="P1321">
        <v>-0.1123104</v>
      </c>
      <c r="Q1321">
        <v>4.7975789999999997E-2</v>
      </c>
      <c r="R1321">
        <v>-0.99251469999999997</v>
      </c>
      <c r="S1321">
        <v>-0.23863219999999999</v>
      </c>
      <c r="T1321">
        <v>-0.21015249999999999</v>
      </c>
      <c r="U1321">
        <v>-3.0058590000000001</v>
      </c>
      <c r="V1321">
        <v>3.8250079999999999E-2</v>
      </c>
      <c r="W1321">
        <v>5.7099089999999998E-2</v>
      </c>
      <c r="X1321">
        <v>0.99763550000000001</v>
      </c>
      <c r="Y1321">
        <v>4.2523709999999996E-3</v>
      </c>
      <c r="Z1321">
        <v>6.9343559999999999E-2</v>
      </c>
      <c r="AA1321">
        <v>0.99758369999999996</v>
      </c>
      <c r="AB1321">
        <v>25</v>
      </c>
      <c r="AC1321">
        <v>-1.23419999999998</v>
      </c>
      <c r="AD1321">
        <v>-1.106754547672</v>
      </c>
      <c r="AE1321">
        <v>-15.5786999999999</v>
      </c>
      <c r="AF1321">
        <v>6.6536026020333996E-2</v>
      </c>
      <c r="AG1321">
        <v>-1.106754547672</v>
      </c>
      <c r="AH1321">
        <v>15.549379841430699</v>
      </c>
      <c r="AI1321">
        <v>94.071225140673107</v>
      </c>
      <c r="AJ1321">
        <v>89.754832009483295</v>
      </c>
      <c r="AK1321">
        <v>15.588859680061301</v>
      </c>
      <c r="AL1321">
        <v>86.726682757401903</v>
      </c>
      <c r="AM1321">
        <v>87.804313079288505</v>
      </c>
      <c r="AN1321">
        <v>0.99999998277954205</v>
      </c>
    </row>
    <row r="1322" spans="1:40" x14ac:dyDescent="0.25">
      <c r="A1322" t="str">
        <f>"20190312151250282"</f>
        <v>20190312151250282</v>
      </c>
      <c r="B1322" t="str">
        <f>"1552374770270948"</f>
        <v>1552374770270948</v>
      </c>
      <c r="C1322" t="s">
        <v>40</v>
      </c>
      <c r="D1322">
        <v>4.7404929999999998</v>
      </c>
      <c r="E1322">
        <v>0.47596630000000001</v>
      </c>
      <c r="F1322" t="s">
        <v>42</v>
      </c>
      <c r="G1322">
        <v>-190.23740000000001</v>
      </c>
      <c r="H1322" s="1">
        <v>-2.677809E-6</v>
      </c>
      <c r="I1322">
        <v>325.68389999999999</v>
      </c>
      <c r="J1322">
        <v>-189.6147</v>
      </c>
      <c r="K1322">
        <v>1.107019</v>
      </c>
      <c r="L1322">
        <v>338.01330000000002</v>
      </c>
      <c r="M1322">
        <v>-7.846185E-2</v>
      </c>
      <c r="N1322">
        <v>0</v>
      </c>
      <c r="O1322">
        <v>-0.99687269999999994</v>
      </c>
      <c r="P1322">
        <v>-0.1114638</v>
      </c>
      <c r="Q1322">
        <v>4.8054239999999998E-2</v>
      </c>
      <c r="R1322">
        <v>-0.99260619999999999</v>
      </c>
      <c r="S1322">
        <v>-0.15492249999999999</v>
      </c>
      <c r="T1322">
        <v>-0.26552579999999998</v>
      </c>
      <c r="U1322">
        <v>-3.017944</v>
      </c>
      <c r="V1322">
        <v>3.3602460000000001E-2</v>
      </c>
      <c r="W1322">
        <v>5.7247619999999999E-2</v>
      </c>
      <c r="X1322">
        <v>0.99779430000000002</v>
      </c>
      <c r="Y1322">
        <v>-2.7449609999999999E-2</v>
      </c>
      <c r="Z1322">
        <v>8.716612E-2</v>
      </c>
      <c r="AA1322">
        <v>0.99581549999999996</v>
      </c>
      <c r="AB1322">
        <v>25</v>
      </c>
      <c r="AC1322">
        <v>-0.62270000000000802</v>
      </c>
      <c r="AD1322">
        <v>-1.1070216778090001</v>
      </c>
      <c r="AE1322">
        <v>-12.3294</v>
      </c>
      <c r="AF1322">
        <v>-0.343884997605787</v>
      </c>
      <c r="AG1322">
        <v>-1.1070216778090001</v>
      </c>
      <c r="AH1322">
        <v>12.241807808926801</v>
      </c>
      <c r="AI1322">
        <v>95.165153125746897</v>
      </c>
      <c r="AJ1322">
        <v>91.609074340451997</v>
      </c>
      <c r="AK1322">
        <v>12.296569127907899</v>
      </c>
      <c r="AL1322">
        <v>86.718158532129607</v>
      </c>
      <c r="AM1322">
        <v>88.071193832475501</v>
      </c>
      <c r="AN1322">
        <v>0.99999994021310101</v>
      </c>
    </row>
    <row r="1323" spans="1:40" x14ac:dyDescent="0.25">
      <c r="A1323" t="str">
        <f>"20190312151250307"</f>
        <v>20190312151250307</v>
      </c>
      <c r="B1323" t="str">
        <f>"1552374770301205"</f>
        <v>1552374770301205</v>
      </c>
      <c r="C1323" t="s">
        <v>40</v>
      </c>
      <c r="D1323">
        <v>4.7523210000000002</v>
      </c>
      <c r="E1323">
        <v>0.47596640000000001</v>
      </c>
      <c r="F1323" t="s">
        <v>42</v>
      </c>
      <c r="G1323">
        <v>-190.24449999999999</v>
      </c>
      <c r="H1323" s="1">
        <v>-2.3917049999999998E-6</v>
      </c>
      <c r="I1323">
        <v>325.01260000000002</v>
      </c>
      <c r="J1323">
        <v>-189.6405</v>
      </c>
      <c r="K1323">
        <v>1.107327</v>
      </c>
      <c r="L1323">
        <v>337.73869999999999</v>
      </c>
      <c r="M1323">
        <v>-8.2123150000000006E-2</v>
      </c>
      <c r="N1323">
        <v>0</v>
      </c>
      <c r="O1323">
        <v>-0.99657779999999996</v>
      </c>
      <c r="P1323">
        <v>-0.10952679999999999</v>
      </c>
      <c r="Q1323">
        <v>4.7444529999999999E-2</v>
      </c>
      <c r="R1323">
        <v>-0.99285120000000004</v>
      </c>
      <c r="S1323">
        <v>-0.14624019999999999</v>
      </c>
      <c r="T1323">
        <v>-0.25701590000000002</v>
      </c>
      <c r="U1323">
        <v>-3.0183719999999998</v>
      </c>
      <c r="V1323">
        <v>2.7938569999999999E-2</v>
      </c>
      <c r="W1323">
        <v>5.6713E-2</v>
      </c>
      <c r="X1323">
        <v>0.99799950000000004</v>
      </c>
      <c r="Y1323">
        <v>-3.3973690000000001E-2</v>
      </c>
      <c r="Z1323">
        <v>8.4341100000000002E-2</v>
      </c>
      <c r="AA1323">
        <v>0.99585760000000001</v>
      </c>
      <c r="AB1323">
        <v>25</v>
      </c>
      <c r="AC1323">
        <v>-0.60399999999998499</v>
      </c>
      <c r="AD1323">
        <v>-1.107329391705</v>
      </c>
      <c r="AE1323">
        <v>-12.726099999999899</v>
      </c>
      <c r="AF1323">
        <v>-0.43987118024764299</v>
      </c>
      <c r="AG1323">
        <v>-1.107329391705</v>
      </c>
      <c r="AH1323">
        <v>12.6372506796687</v>
      </c>
      <c r="AI1323">
        <v>95.004693011383097</v>
      </c>
      <c r="AJ1323">
        <v>91.993518364746194</v>
      </c>
      <c r="AK1323">
        <v>12.693296253445499</v>
      </c>
      <c r="AL1323">
        <v>86.748839932624094</v>
      </c>
      <c r="AM1323">
        <v>88.396447921278593</v>
      </c>
      <c r="AN1323">
        <v>0.99999996503144595</v>
      </c>
    </row>
    <row r="1324" spans="1:40" x14ac:dyDescent="0.25">
      <c r="A1324" t="str">
        <f>"20190312151250329"</f>
        <v>20190312151250329</v>
      </c>
      <c r="B1324" t="str">
        <f>"1552374770320724"</f>
        <v>1552374770320724</v>
      </c>
      <c r="C1324" t="s">
        <v>40</v>
      </c>
      <c r="D1324">
        <v>4.7601180000000003</v>
      </c>
      <c r="E1324">
        <v>0.47588239999999998</v>
      </c>
      <c r="F1324" t="s">
        <v>42</v>
      </c>
      <c r="G1324">
        <v>-190.25620000000001</v>
      </c>
      <c r="H1324" s="1">
        <v>-2.1720530000000001E-6</v>
      </c>
      <c r="I1324">
        <v>324.49329999999998</v>
      </c>
      <c r="J1324">
        <v>-189.66540000000001</v>
      </c>
      <c r="K1324">
        <v>1.107615</v>
      </c>
      <c r="L1324">
        <v>337.4785</v>
      </c>
      <c r="M1324">
        <v>-8.5149589999999997E-2</v>
      </c>
      <c r="N1324">
        <v>0</v>
      </c>
      <c r="O1324">
        <v>-0.99632330000000002</v>
      </c>
      <c r="P1324">
        <v>-0.1071424</v>
      </c>
      <c r="Q1324">
        <v>4.7518449999999997E-2</v>
      </c>
      <c r="R1324">
        <v>-0.99310759999999998</v>
      </c>
      <c r="S1324">
        <v>-0.1403046</v>
      </c>
      <c r="T1324">
        <v>-0.25232650000000001</v>
      </c>
      <c r="U1324">
        <v>-3.0182190000000002</v>
      </c>
      <c r="V1324">
        <v>2.2469980000000001E-2</v>
      </c>
      <c r="W1324">
        <v>5.6854399999999999E-2</v>
      </c>
      <c r="X1324">
        <v>0.99812959999999995</v>
      </c>
      <c r="Y1324">
        <v>-3.8954320000000001E-2</v>
      </c>
      <c r="Z1324">
        <v>8.2781709999999994E-2</v>
      </c>
      <c r="AA1324">
        <v>0.99580610000000003</v>
      </c>
      <c r="AB1324">
        <v>26</v>
      </c>
      <c r="AC1324">
        <v>-0.59080000000000099</v>
      </c>
      <c r="AD1324">
        <v>-1.1076171720529999</v>
      </c>
      <c r="AE1324">
        <v>-12.985200000000001</v>
      </c>
      <c r="AF1324">
        <v>-0.51335242684612103</v>
      </c>
      <c r="AG1324">
        <v>-1.1076171720529999</v>
      </c>
      <c r="AH1324">
        <v>12.8947186068521</v>
      </c>
      <c r="AI1324">
        <v>94.9056156339756</v>
      </c>
      <c r="AJ1324">
        <v>92.2798018371995</v>
      </c>
      <c r="AK1324">
        <v>12.952378718361899</v>
      </c>
      <c r="AL1324">
        <v>86.740725364722806</v>
      </c>
      <c r="AM1324">
        <v>88.710370278850206</v>
      </c>
      <c r="AN1324">
        <v>1.00000001059836</v>
      </c>
    </row>
    <row r="1325" spans="1:40" x14ac:dyDescent="0.25">
      <c r="A1325" t="str">
        <f>"20190312151250350"</f>
        <v>20190312151250350</v>
      </c>
      <c r="B1325" t="str">
        <f>"1552374770341220"</f>
        <v>1552374770341220</v>
      </c>
      <c r="C1325" t="s">
        <v>40</v>
      </c>
      <c r="D1325">
        <v>4.9781849999999999</v>
      </c>
      <c r="E1325">
        <v>0.4758636</v>
      </c>
      <c r="F1325" t="s">
        <v>42</v>
      </c>
      <c r="G1325">
        <v>-190.25409999999999</v>
      </c>
      <c r="H1325" s="1">
        <v>-2.0177449999999999E-6</v>
      </c>
      <c r="I1325">
        <v>324.13490000000002</v>
      </c>
      <c r="J1325">
        <v>-189.6884</v>
      </c>
      <c r="K1325">
        <v>1.107836</v>
      </c>
      <c r="L1325">
        <v>337.24220000000003</v>
      </c>
      <c r="M1325">
        <v>-8.7627839999999999E-2</v>
      </c>
      <c r="N1325">
        <v>0</v>
      </c>
      <c r="O1325">
        <v>-0.99610829999999995</v>
      </c>
      <c r="P1325">
        <v>-0.105421</v>
      </c>
      <c r="Q1325">
        <v>4.7901190000000003E-2</v>
      </c>
      <c r="R1325">
        <v>-0.99327370000000004</v>
      </c>
      <c r="S1325">
        <v>-0.13316349999999999</v>
      </c>
      <c r="T1325">
        <v>-0.25055620000000001</v>
      </c>
      <c r="U1325">
        <v>-3.0184630000000001</v>
      </c>
      <c r="V1325">
        <v>1.8228479999999998E-2</v>
      </c>
      <c r="W1325">
        <v>5.7290000000000001E-2</v>
      </c>
      <c r="X1325">
        <v>0.99819119999999995</v>
      </c>
      <c r="Y1325">
        <v>-4.3792200000000003E-2</v>
      </c>
      <c r="Z1325">
        <v>8.2167779999999996E-2</v>
      </c>
      <c r="AA1325">
        <v>0.99565590000000004</v>
      </c>
      <c r="AB1325">
        <v>26</v>
      </c>
      <c r="AC1325">
        <v>-0.56569999999999199</v>
      </c>
      <c r="AD1325">
        <v>-1.107838017745</v>
      </c>
      <c r="AE1325">
        <v>-13.1073</v>
      </c>
      <c r="AF1325">
        <v>-0.58094969807421903</v>
      </c>
      <c r="AG1325">
        <v>-1.107838017745</v>
      </c>
      <c r="AH1325">
        <v>13.013655268663801</v>
      </c>
      <c r="AI1325">
        <v>94.860976676286597</v>
      </c>
      <c r="AJ1325">
        <v>92.556075139184301</v>
      </c>
      <c r="AK1325">
        <v>13.073638784855399</v>
      </c>
      <c r="AL1325">
        <v>86.715726695148305</v>
      </c>
      <c r="AM1325">
        <v>88.953808753252503</v>
      </c>
      <c r="AN1325">
        <v>1.0000000466702701</v>
      </c>
    </row>
    <row r="1326" spans="1:40" x14ac:dyDescent="0.25">
      <c r="A1326" t="str">
        <f>"20190312151250374"</f>
        <v>20190312151250374</v>
      </c>
      <c r="B1326" t="str">
        <f>"1552374770371476"</f>
        <v>1552374770371476</v>
      </c>
      <c r="C1326" t="s">
        <v>40</v>
      </c>
      <c r="D1326">
        <v>4.8908339999999999</v>
      </c>
      <c r="E1326">
        <v>0.4759409</v>
      </c>
      <c r="F1326" t="s">
        <v>42</v>
      </c>
      <c r="G1326">
        <v>-190.2621</v>
      </c>
      <c r="H1326" s="1">
        <v>-1.8219319999999999E-6</v>
      </c>
      <c r="I1326">
        <v>323.67349999999999</v>
      </c>
      <c r="J1326">
        <v>-189.7158</v>
      </c>
      <c r="K1326">
        <v>1.108053</v>
      </c>
      <c r="L1326">
        <v>336.9649</v>
      </c>
      <c r="M1326">
        <v>-9.0204859999999998E-2</v>
      </c>
      <c r="N1326">
        <v>0</v>
      </c>
      <c r="O1326">
        <v>-0.99587800000000004</v>
      </c>
      <c r="P1326">
        <v>-0.1042032</v>
      </c>
      <c r="Q1326">
        <v>4.8309610000000003E-2</v>
      </c>
      <c r="R1326">
        <v>-0.99338230000000005</v>
      </c>
      <c r="S1326">
        <v>-0.1276398</v>
      </c>
      <c r="T1326">
        <v>-0.24646280000000001</v>
      </c>
      <c r="U1326">
        <v>-3.0186459999999999</v>
      </c>
      <c r="V1326">
        <v>1.439471E-2</v>
      </c>
      <c r="W1326">
        <v>5.7749849999999998E-2</v>
      </c>
      <c r="X1326">
        <v>0.99822730000000004</v>
      </c>
      <c r="Y1326">
        <v>-4.8193119999999999E-2</v>
      </c>
      <c r="Z1326">
        <v>8.0796320000000005E-2</v>
      </c>
      <c r="AA1326">
        <v>0.99556489999999997</v>
      </c>
      <c r="AB1326">
        <v>26</v>
      </c>
      <c r="AC1326">
        <v>-0.54630000000000201</v>
      </c>
      <c r="AD1326">
        <v>-1.1080548219319999</v>
      </c>
      <c r="AE1326">
        <v>-13.291399999999999</v>
      </c>
      <c r="AF1326">
        <v>-0.65041748882724704</v>
      </c>
      <c r="AG1326">
        <v>-1.1080548219319999</v>
      </c>
      <c r="AH1326">
        <v>13.1949408984079</v>
      </c>
      <c r="AI1326">
        <v>94.794398657847495</v>
      </c>
      <c r="AJ1326">
        <v>92.821993534934094</v>
      </c>
      <c r="AK1326">
        <v>13.2573486682163</v>
      </c>
      <c r="AL1326">
        <v>86.689335375199605</v>
      </c>
      <c r="AM1326">
        <v>89.173836490269906</v>
      </c>
      <c r="AN1326">
        <v>0.99999999765814795</v>
      </c>
    </row>
    <row r="1327" spans="1:40" x14ac:dyDescent="0.25">
      <c r="A1327" t="str">
        <f>"20190312151250396"</f>
        <v>20190312151250396</v>
      </c>
      <c r="B1327" t="str">
        <f>"1552374770390996"</f>
        <v>1552374770390996</v>
      </c>
      <c r="C1327" t="s">
        <v>40</v>
      </c>
      <c r="D1327">
        <v>4.7698619999999998</v>
      </c>
      <c r="E1327">
        <v>0.47611100000000001</v>
      </c>
      <c r="F1327" t="s">
        <v>42</v>
      </c>
      <c r="G1327">
        <v>-190.26179999999999</v>
      </c>
      <c r="H1327" s="1">
        <v>-1.833597E-6</v>
      </c>
      <c r="I1327">
        <v>323.70089999999999</v>
      </c>
      <c r="J1327">
        <v>-189.74160000000001</v>
      </c>
      <c r="K1327">
        <v>1.1082320000000001</v>
      </c>
      <c r="L1327">
        <v>336.7072</v>
      </c>
      <c r="M1327">
        <v>-9.2297229999999994E-2</v>
      </c>
      <c r="N1327">
        <v>0</v>
      </c>
      <c r="O1327">
        <v>-0.99568579999999995</v>
      </c>
      <c r="P1327">
        <v>-0.1020139</v>
      </c>
      <c r="Q1327">
        <v>4.8442989999999998E-2</v>
      </c>
      <c r="R1327">
        <v>-0.99360280000000001</v>
      </c>
      <c r="S1327">
        <v>-0.12429809999999999</v>
      </c>
      <c r="T1327">
        <v>-0.25221919999999998</v>
      </c>
      <c r="U1327">
        <v>-3.019196</v>
      </c>
      <c r="V1327">
        <v>1.0072609999999999E-2</v>
      </c>
      <c r="W1327">
        <v>5.7930750000000003E-2</v>
      </c>
      <c r="X1327">
        <v>0.99826979999999998</v>
      </c>
      <c r="Y1327">
        <v>-5.1405529999999998E-2</v>
      </c>
      <c r="Z1327">
        <v>8.2626950000000005E-2</v>
      </c>
      <c r="AA1327">
        <v>0.99525390000000002</v>
      </c>
      <c r="AB1327">
        <v>26</v>
      </c>
      <c r="AC1327">
        <v>-0.52019999999998801</v>
      </c>
      <c r="AD1327">
        <v>-1.1082338335969999</v>
      </c>
      <c r="AE1327">
        <v>-13.0063</v>
      </c>
      <c r="AF1327">
        <v>-0.67760897271319898</v>
      </c>
      <c r="AG1327">
        <v>-1.1082338335969999</v>
      </c>
      <c r="AH1327">
        <v>12.905246288563401</v>
      </c>
      <c r="AI1327">
        <v>94.901496018767602</v>
      </c>
      <c r="AJ1327">
        <v>93.005639246298699</v>
      </c>
      <c r="AK1327">
        <v>12.970455578672301</v>
      </c>
      <c r="AL1327">
        <v>86.678953233079099</v>
      </c>
      <c r="AM1327">
        <v>89.421901316139994</v>
      </c>
      <c r="AN1327">
        <v>1.0000000114298999</v>
      </c>
    </row>
    <row r="1328" spans="1:40" x14ac:dyDescent="0.25">
      <c r="A1328" t="str">
        <f>"20190312151250422"</f>
        <v>20190312151250422</v>
      </c>
      <c r="B1328" t="str">
        <f>"1552374770411492"</f>
        <v>1552374770411492</v>
      </c>
      <c r="C1328" t="s">
        <v>40</v>
      </c>
      <c r="D1328">
        <v>4.7811579999999996</v>
      </c>
      <c r="E1328">
        <v>0.47625689999999998</v>
      </c>
      <c r="F1328" t="s">
        <v>42</v>
      </c>
      <c r="G1328">
        <v>-190.2724</v>
      </c>
      <c r="H1328" s="1">
        <v>-1.656166E-6</v>
      </c>
      <c r="I1328">
        <v>323.28070000000002</v>
      </c>
      <c r="J1328">
        <v>-189.77099999999999</v>
      </c>
      <c r="K1328">
        <v>1.108422</v>
      </c>
      <c r="L1328">
        <v>336.41550000000001</v>
      </c>
      <c r="M1328">
        <v>-9.4338400000000003E-2</v>
      </c>
      <c r="N1328">
        <v>0</v>
      </c>
      <c r="O1328">
        <v>-0.9954944</v>
      </c>
      <c r="P1328">
        <v>-9.9972019999999995E-2</v>
      </c>
      <c r="Q1328">
        <v>4.949253E-2</v>
      </c>
      <c r="R1328">
        <v>-0.99375869999999999</v>
      </c>
      <c r="S1328">
        <v>-0.1193695</v>
      </c>
      <c r="T1328">
        <v>-0.24921080000000001</v>
      </c>
      <c r="U1328">
        <v>-3.0192260000000002</v>
      </c>
      <c r="V1328">
        <v>5.9543269999999997E-3</v>
      </c>
      <c r="W1328">
        <v>5.9033210000000003E-2</v>
      </c>
      <c r="X1328">
        <v>0.99823830000000002</v>
      </c>
      <c r="Y1328">
        <v>-5.5071830000000002E-2</v>
      </c>
      <c r="Z1328">
        <v>8.1618339999999998E-2</v>
      </c>
      <c r="AA1328">
        <v>0.99514100000000005</v>
      </c>
      <c r="AB1328">
        <v>26</v>
      </c>
      <c r="AC1328">
        <v>-0.50140000000001705</v>
      </c>
      <c r="AD1328">
        <v>-1.1084236561659999</v>
      </c>
      <c r="AE1328">
        <v>-13.134799999999901</v>
      </c>
      <c r="AF1328">
        <v>-0.73478379030367003</v>
      </c>
      <c r="AG1328">
        <v>-1.1084236561659999</v>
      </c>
      <c r="AH1328">
        <v>13.0308565852573</v>
      </c>
      <c r="AI1328">
        <v>94.854284614588906</v>
      </c>
      <c r="AJ1328">
        <v>93.227376053560207</v>
      </c>
      <c r="AK1328">
        <v>13.098539367638899</v>
      </c>
      <c r="AL1328">
        <v>86.615678721269802</v>
      </c>
      <c r="AM1328">
        <v>89.658244167770505</v>
      </c>
      <c r="AN1328">
        <v>1.0000000387399</v>
      </c>
    </row>
    <row r="1329" spans="1:40" x14ac:dyDescent="0.25">
      <c r="A1329" t="str">
        <f>"20190312151250440"</f>
        <v>20190312151250440</v>
      </c>
      <c r="B1329" t="str">
        <f>"1552374770431013"</f>
        <v>1552374770431013</v>
      </c>
      <c r="C1329" t="s">
        <v>40</v>
      </c>
      <c r="D1329">
        <v>4.7501670000000003</v>
      </c>
      <c r="E1329">
        <v>0.47633110000000001</v>
      </c>
      <c r="F1329" t="s">
        <v>42</v>
      </c>
      <c r="G1329">
        <v>-190.291</v>
      </c>
      <c r="H1329" s="1">
        <v>-1.416556E-6</v>
      </c>
      <c r="I1329">
        <v>322.71069999999997</v>
      </c>
      <c r="J1329">
        <v>-189.79220000000001</v>
      </c>
      <c r="K1329">
        <v>1.108568</v>
      </c>
      <c r="L1329">
        <v>336.20740000000001</v>
      </c>
      <c r="M1329">
        <v>-9.5583539999999995E-2</v>
      </c>
      <c r="N1329">
        <v>0</v>
      </c>
      <c r="O1329">
        <v>-0.99537520000000002</v>
      </c>
      <c r="P1329">
        <v>-9.7219180000000002E-2</v>
      </c>
      <c r="Q1329">
        <v>5.0660980000000001E-2</v>
      </c>
      <c r="R1329">
        <v>-0.99397310000000005</v>
      </c>
      <c r="S1329">
        <v>-0.1145477</v>
      </c>
      <c r="T1329">
        <v>-0.24421190000000001</v>
      </c>
      <c r="U1329">
        <v>-3.019501</v>
      </c>
      <c r="V1329">
        <v>1.927691E-3</v>
      </c>
      <c r="W1329">
        <v>6.0244600000000002E-2</v>
      </c>
      <c r="X1329">
        <v>0.99818180000000001</v>
      </c>
      <c r="Y1329">
        <v>-5.7905819999999997E-2</v>
      </c>
      <c r="Z1329">
        <v>7.9966280000000001E-2</v>
      </c>
      <c r="AA1329">
        <v>0.99511419999999995</v>
      </c>
      <c r="AB1329">
        <v>26</v>
      </c>
      <c r="AC1329">
        <v>-0.49879999999998798</v>
      </c>
      <c r="AD1329">
        <v>-1.1085694165560001</v>
      </c>
      <c r="AE1329">
        <v>-13.496700000000001</v>
      </c>
      <c r="AF1329">
        <v>-0.78829484022916996</v>
      </c>
      <c r="AG1329">
        <v>-1.1085694165560001</v>
      </c>
      <c r="AH1329">
        <v>13.3923511186885</v>
      </c>
      <c r="AI1329">
        <v>94.723806210280898</v>
      </c>
      <c r="AJ1329">
        <v>93.368632824784001</v>
      </c>
      <c r="AK1329">
        <v>13.461255639526801</v>
      </c>
      <c r="AL1329">
        <v>86.546147344997095</v>
      </c>
      <c r="AM1329">
        <v>89.889350395691295</v>
      </c>
      <c r="AN1329">
        <v>1.00000001683649</v>
      </c>
    </row>
    <row r="1330" spans="1:40" x14ac:dyDescent="0.25">
      <c r="A1330" t="str">
        <f>"20190312151250462"</f>
        <v>20190312151250462</v>
      </c>
      <c r="B1330" t="str">
        <f>"1552374770450818"</f>
        <v>1552374770450818</v>
      </c>
      <c r="C1330" t="s">
        <v>40</v>
      </c>
      <c r="D1330">
        <v>4.7570819999999996</v>
      </c>
      <c r="E1330">
        <v>0.47639710000000002</v>
      </c>
      <c r="F1330" t="s">
        <v>42</v>
      </c>
      <c r="G1330">
        <v>-190.2841</v>
      </c>
      <c r="H1330" s="1">
        <v>-1.2582150000000001E-6</v>
      </c>
      <c r="I1330">
        <v>322.34589999999997</v>
      </c>
      <c r="J1330">
        <v>-189.81819999999999</v>
      </c>
      <c r="K1330">
        <v>1.108751</v>
      </c>
      <c r="L1330">
        <v>335.95389999999998</v>
      </c>
      <c r="M1330">
        <v>-9.6895659999999995E-2</v>
      </c>
      <c r="N1330">
        <v>0</v>
      </c>
      <c r="O1330">
        <v>-0.99524789999999996</v>
      </c>
      <c r="P1330">
        <v>-9.4969300000000006E-2</v>
      </c>
      <c r="Q1330">
        <v>5.0732369999999999E-2</v>
      </c>
      <c r="R1330">
        <v>-0.99418680000000004</v>
      </c>
      <c r="S1330">
        <v>-0.10716249999999999</v>
      </c>
      <c r="T1330">
        <v>-0.24152670000000001</v>
      </c>
      <c r="U1330">
        <v>-3.0200499999999999</v>
      </c>
      <c r="V1330">
        <v>-1.6747540000000001E-3</v>
      </c>
      <c r="W1330">
        <v>6.0365500000000002E-2</v>
      </c>
      <c r="X1330">
        <v>0.99817489999999998</v>
      </c>
      <c r="Y1330">
        <v>-6.1655969999999997E-2</v>
      </c>
      <c r="Z1330">
        <v>7.9057730000000007E-2</v>
      </c>
      <c r="AA1330">
        <v>0.99496150000000005</v>
      </c>
      <c r="AB1330">
        <v>26</v>
      </c>
      <c r="AC1330">
        <v>-0.46590000000000398</v>
      </c>
      <c r="AD1330">
        <v>-1.108752258215</v>
      </c>
      <c r="AE1330">
        <v>-13.608000000000001</v>
      </c>
      <c r="AF1330">
        <v>-0.84927836492557696</v>
      </c>
      <c r="AG1330">
        <v>-1.108752258215</v>
      </c>
      <c r="AH1330">
        <v>13.4995937041156</v>
      </c>
      <c r="AI1330">
        <v>94.686070758602298</v>
      </c>
      <c r="AJ1330">
        <v>93.599813646271897</v>
      </c>
      <c r="AK1330">
        <v>13.5716482229471</v>
      </c>
      <c r="AL1330">
        <v>86.539207474405401</v>
      </c>
      <c r="AM1330">
        <v>90.096131695839702</v>
      </c>
      <c r="AN1330">
        <v>0.99999996469060903</v>
      </c>
    </row>
    <row r="1331" spans="1:40" x14ac:dyDescent="0.25">
      <c r="A1331" t="str">
        <f>"20190312151250485"</f>
        <v>20190312151250485</v>
      </c>
      <c r="B1331" t="str">
        <f>"1552374770481074"</f>
        <v>1552374770481074</v>
      </c>
      <c r="C1331" t="s">
        <v>40</v>
      </c>
      <c r="D1331">
        <v>4.845796</v>
      </c>
      <c r="E1331">
        <v>0.47652319999999998</v>
      </c>
      <c r="F1331" t="s">
        <v>42</v>
      </c>
      <c r="G1331">
        <v>-190.28319999999999</v>
      </c>
      <c r="H1331" s="1">
        <v>-1.1339700000000001E-6</v>
      </c>
      <c r="I1331">
        <v>322.05680000000001</v>
      </c>
      <c r="J1331">
        <v>-189.84520000000001</v>
      </c>
      <c r="K1331">
        <v>1.10894</v>
      </c>
      <c r="L1331">
        <v>335.69069999999999</v>
      </c>
      <c r="M1331">
        <v>-9.8017350000000003E-2</v>
      </c>
      <c r="N1331">
        <v>0</v>
      </c>
      <c r="O1331">
        <v>-0.99513759999999996</v>
      </c>
      <c r="P1331">
        <v>-9.2592309999999997E-2</v>
      </c>
      <c r="Q1331">
        <v>5.0651969999999998E-2</v>
      </c>
      <c r="R1331">
        <v>-0.99441469999999998</v>
      </c>
      <c r="S1331">
        <v>-0.101059</v>
      </c>
      <c r="T1331">
        <v>-0.24095900000000001</v>
      </c>
      <c r="U1331">
        <v>-3.0201720000000001</v>
      </c>
      <c r="V1331">
        <v>-5.2154649999999999E-3</v>
      </c>
      <c r="W1331">
        <v>6.0331700000000002E-2</v>
      </c>
      <c r="X1331">
        <v>0.99816479999999996</v>
      </c>
      <c r="Y1331">
        <v>-6.4789869999999999E-2</v>
      </c>
      <c r="Z1331">
        <v>7.8851649999999995E-2</v>
      </c>
      <c r="AA1331">
        <v>0.99477870000000002</v>
      </c>
      <c r="AB1331">
        <v>26</v>
      </c>
      <c r="AC1331">
        <v>-0.43799999999998801</v>
      </c>
      <c r="AD1331">
        <v>-1.1089411339699999</v>
      </c>
      <c r="AE1331">
        <v>-13.633899999999899</v>
      </c>
      <c r="AF1331">
        <v>-0.89461825824973495</v>
      </c>
      <c r="AG1331">
        <v>-1.1089411339699999</v>
      </c>
      <c r="AH1331">
        <v>13.5218119823887</v>
      </c>
      <c r="AI1331">
        <v>94.678225674387505</v>
      </c>
      <c r="AJ1331">
        <v>93.785236485001207</v>
      </c>
      <c r="AK1331">
        <v>13.5966720764191</v>
      </c>
      <c r="AL1331">
        <v>86.541147874080195</v>
      </c>
      <c r="AM1331">
        <v>90.299370818650999</v>
      </c>
      <c r="AN1331">
        <v>1.00000004152954</v>
      </c>
    </row>
    <row r="1332" spans="1:40" x14ac:dyDescent="0.25">
      <c r="A1332" t="str">
        <f>"20190312151250507"</f>
        <v>20190312151250507</v>
      </c>
      <c r="B1332" t="str">
        <f>"1552374770501571"</f>
        <v>1552374770501571</v>
      </c>
      <c r="C1332" t="s">
        <v>40</v>
      </c>
      <c r="D1332">
        <v>4.7678250000000002</v>
      </c>
      <c r="E1332">
        <v>0.51154449999999996</v>
      </c>
      <c r="F1332" t="s">
        <v>42</v>
      </c>
      <c r="G1332">
        <v>-190.27979999999999</v>
      </c>
      <c r="H1332" s="1">
        <v>-1.0334689999999999E-6</v>
      </c>
      <c r="I1332">
        <v>321.82459999999998</v>
      </c>
      <c r="J1332">
        <v>-189.87049999999999</v>
      </c>
      <c r="K1332">
        <v>1.1091200000000001</v>
      </c>
      <c r="L1332">
        <v>335.44409999999999</v>
      </c>
      <c r="M1332">
        <v>-9.8826129999999998E-2</v>
      </c>
      <c r="N1332">
        <v>0</v>
      </c>
      <c r="O1332">
        <v>-0.99505759999999999</v>
      </c>
      <c r="P1332">
        <v>-9.0070600000000001E-2</v>
      </c>
      <c r="Q1332">
        <v>5.0967209999999999E-2</v>
      </c>
      <c r="R1332">
        <v>-0.99463089999999998</v>
      </c>
      <c r="S1332">
        <v>-9.4665529999999998E-2</v>
      </c>
      <c r="T1332">
        <v>-0.24155160000000001</v>
      </c>
      <c r="U1332">
        <v>-3.0203250000000001</v>
      </c>
      <c r="V1332">
        <v>-8.5821999999999999E-3</v>
      </c>
      <c r="W1332">
        <v>6.0686770000000001E-2</v>
      </c>
      <c r="X1332">
        <v>0.99812000000000001</v>
      </c>
      <c r="Y1332">
        <v>-6.7706269999999999E-2</v>
      </c>
      <c r="Z1332">
        <v>7.9025780000000004E-2</v>
      </c>
      <c r="AA1332">
        <v>0.99457070000000003</v>
      </c>
      <c r="AB1332">
        <v>26</v>
      </c>
      <c r="AC1332">
        <v>-0.409300000000001</v>
      </c>
      <c r="AD1332">
        <v>-1.109121033469</v>
      </c>
      <c r="AE1332">
        <v>-13.6195</v>
      </c>
      <c r="AF1332">
        <v>-0.93255044822406896</v>
      </c>
      <c r="AG1332">
        <v>-1.109121033469</v>
      </c>
      <c r="AH1332">
        <v>13.503799305446799</v>
      </c>
      <c r="AI1332">
        <v>94.684285333161498</v>
      </c>
      <c r="AJ1332">
        <v>93.950481417910296</v>
      </c>
      <c r="AK1332">
        <v>13.5813252478229</v>
      </c>
      <c r="AL1332">
        <v>86.520766498151701</v>
      </c>
      <c r="AM1332">
        <v>90.4926378806678</v>
      </c>
      <c r="AN1332">
        <v>1.00000003630493</v>
      </c>
    </row>
    <row r="1333" spans="1:40" x14ac:dyDescent="0.25">
      <c r="A1333" t="str">
        <f>"20190312151250529"</f>
        <v>20190312151250529</v>
      </c>
      <c r="B1333" t="str">
        <f>"1552374770521090"</f>
        <v>1552374770521090</v>
      </c>
      <c r="C1333" t="s">
        <v>40</v>
      </c>
      <c r="D1333">
        <v>4.7565269999999904</v>
      </c>
      <c r="E1333">
        <v>0.5171192</v>
      </c>
      <c r="F1333" t="s">
        <v>42</v>
      </c>
      <c r="G1333">
        <v>-192.38399999999999</v>
      </c>
      <c r="H1333" s="1">
        <v>-3.1114060000000001E-6</v>
      </c>
      <c r="I1333">
        <v>314.83179999999999</v>
      </c>
      <c r="J1333">
        <v>-189.89789999999999</v>
      </c>
      <c r="K1333">
        <v>1.109302</v>
      </c>
      <c r="L1333">
        <v>335.17509999999999</v>
      </c>
      <c r="M1333">
        <v>-9.9446690000000004E-2</v>
      </c>
      <c r="N1333">
        <v>0</v>
      </c>
      <c r="O1333">
        <v>-0.99499519999999997</v>
      </c>
      <c r="P1333">
        <v>-8.7839639999999997E-2</v>
      </c>
      <c r="Q1333">
        <v>5.0968050000000001E-2</v>
      </c>
      <c r="R1333">
        <v>-0.99482999999999999</v>
      </c>
      <c r="S1333">
        <v>-0.3647919</v>
      </c>
      <c r="T1333">
        <v>-0.16096479999999999</v>
      </c>
      <c r="U1333">
        <v>-2.991425</v>
      </c>
      <c r="V1333">
        <v>-1.147109E-2</v>
      </c>
      <c r="W1333">
        <v>6.0723899999999997E-2</v>
      </c>
      <c r="X1333">
        <v>0.99808869999999905</v>
      </c>
      <c r="Y1333">
        <v>2.1557130000000001E-2</v>
      </c>
      <c r="Z1333">
        <v>5.3130219999999999E-2</v>
      </c>
      <c r="AA1333">
        <v>0.99835490000000005</v>
      </c>
      <c r="AB1333">
        <v>26</v>
      </c>
      <c r="AC1333">
        <v>-2.48610000000002</v>
      </c>
      <c r="AD1333">
        <v>-1.109305111406</v>
      </c>
      <c r="AE1333">
        <v>-20.343299999999999</v>
      </c>
      <c r="AF1333">
        <v>0.449288826112892</v>
      </c>
      <c r="AG1333">
        <v>-1.109305111406</v>
      </c>
      <c r="AH1333">
        <v>20.429839581913502</v>
      </c>
      <c r="AI1333">
        <v>93.107260284014401</v>
      </c>
      <c r="AJ1333">
        <v>88.740166088079604</v>
      </c>
      <c r="AK1333">
        <v>20.464866567416902</v>
      </c>
      <c r="AL1333">
        <v>86.518635102691206</v>
      </c>
      <c r="AM1333">
        <v>90.658474649729698</v>
      </c>
      <c r="AN1333">
        <v>1.0000000155023401</v>
      </c>
    </row>
    <row r="1334" spans="1:40" x14ac:dyDescent="0.25">
      <c r="A1334" t="str">
        <f>"20190312151250551"</f>
        <v>20190312151250551</v>
      </c>
      <c r="B1334" t="str">
        <f>"1552374770541586"</f>
        <v>1552374770541586</v>
      </c>
      <c r="C1334" t="s">
        <v>40</v>
      </c>
      <c r="D1334">
        <v>4.7472830000000004</v>
      </c>
      <c r="E1334">
        <v>0.51969949999999998</v>
      </c>
      <c r="F1334" t="s">
        <v>42</v>
      </c>
      <c r="G1334">
        <v>-193.06229999999999</v>
      </c>
      <c r="H1334" s="1">
        <v>-1.8016799999999999E-6</v>
      </c>
      <c r="I1334">
        <v>311.67930000000001</v>
      </c>
      <c r="J1334">
        <v>-189.92339999999999</v>
      </c>
      <c r="K1334">
        <v>1.109448</v>
      </c>
      <c r="L1334">
        <v>334.92520000000002</v>
      </c>
      <c r="M1334">
        <v>-9.9835919999999995E-2</v>
      </c>
      <c r="N1334">
        <v>0</v>
      </c>
      <c r="O1334">
        <v>-0.9949557</v>
      </c>
      <c r="P1334">
        <v>-8.5730139999999996E-2</v>
      </c>
      <c r="Q1334">
        <v>5.1189900000000003E-2</v>
      </c>
      <c r="R1334">
        <v>-0.99500230000000001</v>
      </c>
      <c r="S1334">
        <v>-0.40232849999999998</v>
      </c>
      <c r="T1334">
        <v>-0.141039</v>
      </c>
      <c r="U1334">
        <v>-2.9873050000000001</v>
      </c>
      <c r="V1334">
        <v>-1.399801E-2</v>
      </c>
      <c r="W1334">
        <v>6.0975210000000002E-2</v>
      </c>
      <c r="X1334">
        <v>0.99804110000000001</v>
      </c>
      <c r="Y1334">
        <v>3.3714460000000002E-2</v>
      </c>
      <c r="Z1334">
        <v>4.6584670000000002E-2</v>
      </c>
      <c r="AA1334">
        <v>0.99834529999999999</v>
      </c>
      <c r="AB1334">
        <v>26</v>
      </c>
      <c r="AC1334">
        <v>-3.1389</v>
      </c>
      <c r="AD1334">
        <v>-1.1094498016800001</v>
      </c>
      <c r="AE1334">
        <v>-23.245899999999999</v>
      </c>
      <c r="AF1334">
        <v>0.80053828158115503</v>
      </c>
      <c r="AG1334">
        <v>-1.1094498016800001</v>
      </c>
      <c r="AH1334">
        <v>23.390813940314501</v>
      </c>
      <c r="AI1334">
        <v>92.7139745817083</v>
      </c>
      <c r="AJ1334">
        <v>88.039847217125399</v>
      </c>
      <c r="AK1334">
        <v>23.430789939588799</v>
      </c>
      <c r="AL1334">
        <v>86.504209240806205</v>
      </c>
      <c r="AM1334">
        <v>90.803548381682404</v>
      </c>
      <c r="AN1334">
        <v>0.99999997890385595</v>
      </c>
    </row>
    <row r="1335" spans="1:40" x14ac:dyDescent="0.25">
      <c r="A1335" t="str">
        <f>"20190312151250576"</f>
        <v>20190312151250576</v>
      </c>
      <c r="B1335" t="str">
        <f>"1552374770570867"</f>
        <v>1552374770570867</v>
      </c>
      <c r="C1335" t="s">
        <v>40</v>
      </c>
      <c r="D1335">
        <v>4.7627949999999997</v>
      </c>
      <c r="E1335">
        <v>0.52146970000000004</v>
      </c>
      <c r="F1335" t="s">
        <v>42</v>
      </c>
      <c r="G1335">
        <v>-193.40199999999999</v>
      </c>
      <c r="H1335" s="1">
        <v>-1.0887799999999999E-6</v>
      </c>
      <c r="I1335">
        <v>309.98</v>
      </c>
      <c r="J1335">
        <v>-189.9521</v>
      </c>
      <c r="K1335">
        <v>1.109591</v>
      </c>
      <c r="L1335">
        <v>334.64269999999999</v>
      </c>
      <c r="M1335">
        <v>-0.1000606</v>
      </c>
      <c r="N1335">
        <v>0</v>
      </c>
      <c r="O1335">
        <v>-0.99493299999999996</v>
      </c>
      <c r="P1335">
        <v>-8.4194089999999999E-2</v>
      </c>
      <c r="Q1335">
        <v>5.1466419999999999E-2</v>
      </c>
      <c r="R1335">
        <v>-0.9951198</v>
      </c>
      <c r="S1335">
        <v>-0.41639710000000002</v>
      </c>
      <c r="T1335">
        <v>-0.13280320000000001</v>
      </c>
      <c r="U1335">
        <v>-2.985992</v>
      </c>
      <c r="V1335">
        <v>-1.578471E-2</v>
      </c>
      <c r="W1335">
        <v>6.1280279999999999E-2</v>
      </c>
      <c r="X1335">
        <v>0.99799579999999999</v>
      </c>
      <c r="Y1335">
        <v>3.8180440000000003E-2</v>
      </c>
      <c r="Z1335">
        <v>4.3869970000000001E-2</v>
      </c>
      <c r="AA1335">
        <v>0.99830739999999996</v>
      </c>
      <c r="AB1335">
        <v>26</v>
      </c>
      <c r="AC1335">
        <v>-3.4499000000000102</v>
      </c>
      <c r="AD1335">
        <v>-1.1095920887799999</v>
      </c>
      <c r="AE1335">
        <v>-24.662699999999901</v>
      </c>
      <c r="AF1335">
        <v>0.96278975971218195</v>
      </c>
      <c r="AG1335">
        <v>-1.1095920887799999</v>
      </c>
      <c r="AH1335">
        <v>24.834825176316699</v>
      </c>
      <c r="AI1335">
        <v>92.556292030461705</v>
      </c>
      <c r="AJ1335">
        <v>87.779884561429697</v>
      </c>
      <c r="AK1335">
        <v>24.8782374830514</v>
      </c>
      <c r="AL1335">
        <v>86.486697424843101</v>
      </c>
      <c r="AM1335">
        <v>90.906137942507698</v>
      </c>
      <c r="AN1335">
        <v>1.00000002330215</v>
      </c>
    </row>
    <row r="1336" spans="1:40" x14ac:dyDescent="0.25">
      <c r="A1336" t="str">
        <f>"20190312151250599"</f>
        <v>20190312151250599</v>
      </c>
      <c r="B1336" t="str">
        <f>"1552374770591362"</f>
        <v>1552374770591362</v>
      </c>
      <c r="C1336" t="s">
        <v>40</v>
      </c>
      <c r="D1336">
        <v>4.7641229999999997</v>
      </c>
      <c r="E1336">
        <v>0.522401</v>
      </c>
      <c r="F1336" t="s">
        <v>42</v>
      </c>
      <c r="G1336">
        <v>-193.68340000000001</v>
      </c>
      <c r="H1336" s="1">
        <v>-4.5755160000000001E-6</v>
      </c>
      <c r="I1336">
        <v>308.51220000000001</v>
      </c>
      <c r="J1336">
        <v>-189.9785</v>
      </c>
      <c r="K1336">
        <v>1.1097109999999999</v>
      </c>
      <c r="L1336">
        <v>334.38119999999998</v>
      </c>
      <c r="M1336">
        <v>-0.1000759</v>
      </c>
      <c r="N1336">
        <v>0</v>
      </c>
      <c r="O1336">
        <v>-0.99493120000000002</v>
      </c>
      <c r="P1336">
        <v>-8.1767450000000005E-2</v>
      </c>
      <c r="Q1336">
        <v>5.2023510000000002E-2</v>
      </c>
      <c r="R1336">
        <v>-0.99529290000000004</v>
      </c>
      <c r="S1336">
        <v>-0.42626950000000002</v>
      </c>
      <c r="T1336">
        <v>-0.1267624</v>
      </c>
      <c r="U1336">
        <v>-2.9851990000000002</v>
      </c>
      <c r="V1336">
        <v>-1.8249060000000001E-2</v>
      </c>
      <c r="W1336">
        <v>6.1860440000000003E-2</v>
      </c>
      <c r="X1336">
        <v>0.99791799999999997</v>
      </c>
      <c r="Y1336">
        <v>4.145037E-2</v>
      </c>
      <c r="Z1336">
        <v>4.187664E-2</v>
      </c>
      <c r="AA1336">
        <v>0.9982626</v>
      </c>
      <c r="AB1336">
        <v>26</v>
      </c>
      <c r="AC1336">
        <v>-3.7048999999999999</v>
      </c>
      <c r="AD1336">
        <v>-1.109715575516</v>
      </c>
      <c r="AE1336">
        <v>-25.8689999999999</v>
      </c>
      <c r="AF1336">
        <v>1.0953350948593701</v>
      </c>
      <c r="AG1336">
        <v>-1.109715575516</v>
      </c>
      <c r="AH1336">
        <v>26.0629122419402</v>
      </c>
      <c r="AI1336">
        <v>92.435938949027303</v>
      </c>
      <c r="AJ1336">
        <v>87.593470440351098</v>
      </c>
      <c r="AK1336">
        <v>26.109512101141402</v>
      </c>
      <c r="AL1336">
        <v>86.453393573608693</v>
      </c>
      <c r="AM1336">
        <v>91.047658811503197</v>
      </c>
      <c r="AN1336">
        <v>1.00000003847593</v>
      </c>
    </row>
    <row r="1337" spans="1:40" x14ac:dyDescent="0.25">
      <c r="A1337" t="str">
        <f>"20190312151250618"</f>
        <v>20190312151250618</v>
      </c>
      <c r="B1337" t="str">
        <f>"1552374770610883"</f>
        <v>1552374770610883</v>
      </c>
      <c r="C1337" t="s">
        <v>40</v>
      </c>
      <c r="D1337">
        <v>4.7527699999999999</v>
      </c>
      <c r="E1337">
        <v>0.52287659999999903</v>
      </c>
      <c r="F1337" t="s">
        <v>42</v>
      </c>
      <c r="G1337">
        <v>-193.81559999999999</v>
      </c>
      <c r="H1337" s="1">
        <v>-4.2631139999999999E-6</v>
      </c>
      <c r="I1337">
        <v>307.52530000000002</v>
      </c>
      <c r="J1337">
        <v>-190.00200000000001</v>
      </c>
      <c r="K1337">
        <v>1.109818</v>
      </c>
      <c r="L1337">
        <v>334.14659999999998</v>
      </c>
      <c r="M1337">
        <v>-9.9922880000000006E-2</v>
      </c>
      <c r="N1337">
        <v>0</v>
      </c>
      <c r="O1337">
        <v>-0.99494610000000006</v>
      </c>
      <c r="P1337">
        <v>-8.0359219999999995E-2</v>
      </c>
      <c r="Q1337">
        <v>5.2232500000000001E-2</v>
      </c>
      <c r="R1337">
        <v>-0.99539639999999996</v>
      </c>
      <c r="S1337">
        <v>-0.42657469999999997</v>
      </c>
      <c r="T1337">
        <v>-0.1233691</v>
      </c>
      <c r="U1337">
        <v>-2.9856259999999999</v>
      </c>
      <c r="V1337">
        <v>-1.9524039999999999E-2</v>
      </c>
      <c r="W1337">
        <v>6.208698E-2</v>
      </c>
      <c r="X1337">
        <v>0.99787969999999904</v>
      </c>
      <c r="Y1337">
        <v>4.1690610000000003E-2</v>
      </c>
      <c r="Z1337">
        <v>4.0752240000000002E-2</v>
      </c>
      <c r="AA1337">
        <v>0.99829909999999999</v>
      </c>
      <c r="AB1337">
        <v>26</v>
      </c>
      <c r="AC1337">
        <v>-3.8135999999999801</v>
      </c>
      <c r="AD1337">
        <v>-1.109822263114</v>
      </c>
      <c r="AE1337">
        <v>-26.621299999999898</v>
      </c>
      <c r="AF1337">
        <v>1.13237639223599</v>
      </c>
      <c r="AG1337">
        <v>-1.109822263114</v>
      </c>
      <c r="AH1337">
        <v>26.823455223652399</v>
      </c>
      <c r="AI1337">
        <v>92.367159352601206</v>
      </c>
      <c r="AJ1337">
        <v>87.582642287529197</v>
      </c>
      <c r="AK1337">
        <v>26.8702759919708</v>
      </c>
      <c r="AL1337">
        <v>86.440388433644202</v>
      </c>
      <c r="AM1337">
        <v>91.120878980771593</v>
      </c>
      <c r="AN1337">
        <v>0.99999993844776303</v>
      </c>
    </row>
    <row r="1338" spans="1:40" x14ac:dyDescent="0.25">
      <c r="A1338" t="str">
        <f>"20190312151250641"</f>
        <v>20190312151250641</v>
      </c>
      <c r="B1338" t="str">
        <f>"1552374770631379"</f>
        <v>1552374770631379</v>
      </c>
      <c r="C1338" t="s">
        <v>40</v>
      </c>
      <c r="D1338">
        <v>4.7484209999999996</v>
      </c>
      <c r="E1338">
        <v>0.52335719999999997</v>
      </c>
      <c r="F1338" t="s">
        <v>42</v>
      </c>
      <c r="G1338">
        <v>-193.9134</v>
      </c>
      <c r="H1338" s="1">
        <v>-4.0179150000000003E-6</v>
      </c>
      <c r="I1338">
        <v>306.75380000000001</v>
      </c>
      <c r="J1338">
        <v>-190.02770000000001</v>
      </c>
      <c r="K1338">
        <v>1.10996299999999</v>
      </c>
      <c r="L1338">
        <v>333.88810000000001</v>
      </c>
      <c r="M1338">
        <v>-9.9573129999999996E-2</v>
      </c>
      <c r="N1338">
        <v>0</v>
      </c>
      <c r="O1338">
        <v>-0.99498109999999995</v>
      </c>
      <c r="P1338">
        <v>-7.8863199999999994E-2</v>
      </c>
      <c r="Q1338">
        <v>5.2106960000000001E-2</v>
      </c>
      <c r="R1338">
        <v>-0.99552289999999999</v>
      </c>
      <c r="S1338">
        <v>-0.4263306</v>
      </c>
      <c r="T1338">
        <v>-0.1209688</v>
      </c>
      <c r="U1338">
        <v>-2.985779</v>
      </c>
      <c r="V1338">
        <v>-2.06947E-2</v>
      </c>
      <c r="W1338">
        <v>6.1977999999999998E-2</v>
      </c>
      <c r="X1338">
        <v>0.9978629</v>
      </c>
      <c r="Y1338">
        <v>4.1959219999999998E-2</v>
      </c>
      <c r="Z1338">
        <v>3.9960740000000002E-2</v>
      </c>
      <c r="AA1338">
        <v>0.99831990000000004</v>
      </c>
      <c r="AB1338">
        <v>26</v>
      </c>
      <c r="AC1338">
        <v>-3.8856999999999799</v>
      </c>
      <c r="AD1338">
        <v>-1.1099670179150001</v>
      </c>
      <c r="AE1338">
        <v>-27.1343</v>
      </c>
      <c r="AF1338">
        <v>1.16250165616158</v>
      </c>
      <c r="AG1338">
        <v>-1.1099670179150001</v>
      </c>
      <c r="AH1338">
        <v>27.341534057056599</v>
      </c>
      <c r="AI1338">
        <v>92.322627964022402</v>
      </c>
      <c r="AJ1338">
        <v>87.565376335365201</v>
      </c>
      <c r="AK1338">
        <v>27.3887371281449</v>
      </c>
      <c r="AL1338">
        <v>86.446644636003498</v>
      </c>
      <c r="AM1338">
        <v>91.188088079835495</v>
      </c>
      <c r="AN1338">
        <v>0.999999955144249</v>
      </c>
    </row>
    <row r="1339" spans="1:40" x14ac:dyDescent="0.25">
      <c r="A1339" t="str">
        <f>"20190312151250663"</f>
        <v>20190312151250663</v>
      </c>
      <c r="B1339" t="str">
        <f>"1552374770660658"</f>
        <v>1552374770660658</v>
      </c>
      <c r="C1339" t="s">
        <v>40</v>
      </c>
      <c r="D1339">
        <v>4.7379379999999998</v>
      </c>
      <c r="E1339">
        <v>0.52397360000000004</v>
      </c>
      <c r="F1339" t="s">
        <v>42</v>
      </c>
      <c r="G1339">
        <v>-193.95599999999999</v>
      </c>
      <c r="H1339" s="1">
        <v>-3.8837389999999998E-6</v>
      </c>
      <c r="I1339">
        <v>306.33730000000003</v>
      </c>
      <c r="J1339">
        <v>-190.05340000000001</v>
      </c>
      <c r="K1339">
        <v>1.1101110000000001</v>
      </c>
      <c r="L1339">
        <v>333.6268</v>
      </c>
      <c r="M1339">
        <v>-9.9032750000000003E-2</v>
      </c>
      <c r="N1339">
        <v>0</v>
      </c>
      <c r="O1339">
        <v>-0.99503470000000005</v>
      </c>
      <c r="P1339">
        <v>-7.7742510000000001E-2</v>
      </c>
      <c r="Q1339">
        <v>5.2439949999999999E-2</v>
      </c>
      <c r="R1339">
        <v>-0.99559350000000002</v>
      </c>
      <c r="S1339">
        <v>-0.42576599999999998</v>
      </c>
      <c r="T1339">
        <v>-0.1203032</v>
      </c>
      <c r="U1339">
        <v>-2.986084</v>
      </c>
      <c r="V1339">
        <v>-2.1297090000000001E-2</v>
      </c>
      <c r="W1339">
        <v>6.2325409999999998E-2</v>
      </c>
      <c r="X1339">
        <v>0.99782859999999995</v>
      </c>
      <c r="Y1339">
        <v>4.2303790000000001E-2</v>
      </c>
      <c r="Z1339">
        <v>3.9740640000000001E-2</v>
      </c>
      <c r="AA1339">
        <v>0.99831409999999998</v>
      </c>
      <c r="AB1339">
        <v>26</v>
      </c>
      <c r="AC1339">
        <v>-3.9025999999999699</v>
      </c>
      <c r="AD1339">
        <v>-1.110114883739</v>
      </c>
      <c r="AE1339">
        <v>-27.289499999999901</v>
      </c>
      <c r="AF1339">
        <v>1.1788147133398601</v>
      </c>
      <c r="AG1339">
        <v>-1.110114883739</v>
      </c>
      <c r="AH1339">
        <v>27.497250137359298</v>
      </c>
      <c r="AI1339">
        <v>92.309761945807594</v>
      </c>
      <c r="AJ1339">
        <v>87.545217209522093</v>
      </c>
      <c r="AK1339">
        <v>27.544885628733201</v>
      </c>
      <c r="AL1339">
        <v>86.426701000529903</v>
      </c>
      <c r="AM1339">
        <v>91.222703111800399</v>
      </c>
      <c r="AN1339">
        <v>0.99999996887604703</v>
      </c>
    </row>
    <row r="1340" spans="1:40" x14ac:dyDescent="0.25">
      <c r="A1340" t="str">
        <f>"20190312151250685"</f>
        <v>20190312151250685</v>
      </c>
      <c r="B1340" t="str">
        <f>"1552374770681155"</f>
        <v>1552374770681155</v>
      </c>
      <c r="C1340" t="s">
        <v>40</v>
      </c>
      <c r="D1340">
        <v>4.7711550000000003</v>
      </c>
      <c r="E1340">
        <v>0.52432539999999905</v>
      </c>
      <c r="F1340" t="s">
        <v>42</v>
      </c>
      <c r="G1340">
        <v>-194.0471</v>
      </c>
      <c r="H1340" s="1">
        <v>-3.6900030000000001E-6</v>
      </c>
      <c r="I1340">
        <v>305.72050000000002</v>
      </c>
      <c r="J1340">
        <v>-190.07759999999999</v>
      </c>
      <c r="K1340">
        <v>1.11025</v>
      </c>
      <c r="L1340">
        <v>333.37580000000003</v>
      </c>
      <c r="M1340">
        <v>-9.8341380000000006E-2</v>
      </c>
      <c r="N1340">
        <v>0</v>
      </c>
      <c r="O1340">
        <v>-0.99510310000000002</v>
      </c>
      <c r="P1340">
        <v>-7.6793669999999994E-2</v>
      </c>
      <c r="Q1340">
        <v>5.3113519999999997E-2</v>
      </c>
      <c r="R1340">
        <v>-0.9956315</v>
      </c>
      <c r="S1340">
        <v>-0.42736819999999998</v>
      </c>
      <c r="T1340">
        <v>-0.11879149999999999</v>
      </c>
      <c r="U1340">
        <v>-2.9862060000000001</v>
      </c>
      <c r="V1340">
        <v>-2.1572600000000001E-2</v>
      </c>
      <c r="W1340">
        <v>6.3014509999999996E-2</v>
      </c>
      <c r="X1340">
        <v>0.99777939999999998</v>
      </c>
      <c r="Y1340">
        <v>4.3519919999999997E-2</v>
      </c>
      <c r="Z1340">
        <v>3.9242020000000002E-2</v>
      </c>
      <c r="AA1340">
        <v>0.99828150000000004</v>
      </c>
      <c r="AB1340">
        <v>26</v>
      </c>
      <c r="AC1340">
        <v>-3.9695</v>
      </c>
      <c r="AD1340">
        <v>-1.110253690003</v>
      </c>
      <c r="AE1340">
        <v>-27.6553</v>
      </c>
      <c r="AF1340">
        <v>1.2285221158695301</v>
      </c>
      <c r="AG1340">
        <v>-1.110253690003</v>
      </c>
      <c r="AH1340">
        <v>27.8676117159679</v>
      </c>
      <c r="AI1340">
        <v>92.2792624383803</v>
      </c>
      <c r="AJ1340">
        <v>87.475794209983704</v>
      </c>
      <c r="AK1340">
        <v>27.916764006548</v>
      </c>
      <c r="AL1340">
        <v>86.387140711350597</v>
      </c>
      <c r="AM1340">
        <v>91.238576778032595</v>
      </c>
      <c r="AN1340">
        <v>0.999999968302829</v>
      </c>
    </row>
    <row r="1341" spans="1:40" x14ac:dyDescent="0.25">
      <c r="A1341" t="str">
        <f>"20190312151250708"</f>
        <v>20190312151250708</v>
      </c>
      <c r="B1341" t="str">
        <f>"1552374770700675"</f>
        <v>1552374770700675</v>
      </c>
      <c r="C1341" t="s">
        <v>40</v>
      </c>
      <c r="D1341">
        <v>4.7849380000000004</v>
      </c>
      <c r="E1341">
        <v>0.52474519999999902</v>
      </c>
      <c r="F1341" t="s">
        <v>42</v>
      </c>
      <c r="G1341">
        <v>-194.1463</v>
      </c>
      <c r="H1341" s="1">
        <v>-3.4117319999999999E-6</v>
      </c>
      <c r="I1341">
        <v>304.97030000000001</v>
      </c>
      <c r="J1341">
        <v>-190.10310000000001</v>
      </c>
      <c r="K1341">
        <v>1.110392</v>
      </c>
      <c r="L1341">
        <v>333.10840000000002</v>
      </c>
      <c r="M1341">
        <v>-9.7414130000000002E-2</v>
      </c>
      <c r="N1341">
        <v>0</v>
      </c>
      <c r="O1341">
        <v>-0.99519409999999997</v>
      </c>
      <c r="P1341">
        <v>-7.5987230000000003E-2</v>
      </c>
      <c r="Q1341">
        <v>5.3827260000000002E-2</v>
      </c>
      <c r="R1341">
        <v>-0.99565510000000002</v>
      </c>
      <c r="S1341">
        <v>-0.42774960000000001</v>
      </c>
      <c r="T1341">
        <v>-0.11672440000000001</v>
      </c>
      <c r="U1341">
        <v>-2.9863590000000002</v>
      </c>
      <c r="V1341">
        <v>-2.14693E-2</v>
      </c>
      <c r="W1341">
        <v>6.3749280000000005E-2</v>
      </c>
      <c r="X1341">
        <v>0.99773500000000004</v>
      </c>
      <c r="Y1341">
        <v>4.4572359999999998E-2</v>
      </c>
      <c r="Z1341">
        <v>3.8562310000000002E-2</v>
      </c>
      <c r="AA1341">
        <v>0.99826159999999997</v>
      </c>
      <c r="AB1341">
        <v>26</v>
      </c>
      <c r="AC1341">
        <v>-4.0431999999999801</v>
      </c>
      <c r="AD1341">
        <v>-1.1103954117320001</v>
      </c>
      <c r="AE1341">
        <v>-28.138100000000001</v>
      </c>
      <c r="AF1341">
        <v>1.28082961919719</v>
      </c>
      <c r="AG1341">
        <v>-1.1103954117320001</v>
      </c>
      <c r="AH1341">
        <v>28.354881231852499</v>
      </c>
      <c r="AI1341">
        <v>92.240311584280406</v>
      </c>
      <c r="AJ1341">
        <v>87.413627721773494</v>
      </c>
      <c r="AK1341">
        <v>28.4055063703549</v>
      </c>
      <c r="AL1341">
        <v>86.3449568457889</v>
      </c>
      <c r="AM1341">
        <v>91.232702546969705</v>
      </c>
      <c r="AN1341">
        <v>1.0000000158839999</v>
      </c>
    </row>
    <row r="1342" spans="1:40" x14ac:dyDescent="0.25">
      <c r="A1342" t="str">
        <f>"20190312151250730"</f>
        <v>20190312151250730</v>
      </c>
      <c r="B1342" t="str">
        <f>"1552374770721170"</f>
        <v>1552374770721170</v>
      </c>
      <c r="C1342" t="s">
        <v>40</v>
      </c>
      <c r="D1342">
        <v>4.7870160000000004</v>
      </c>
      <c r="E1342">
        <v>0.52520489999999997</v>
      </c>
      <c r="F1342" t="s">
        <v>42</v>
      </c>
      <c r="G1342">
        <v>-194.24449999999999</v>
      </c>
      <c r="H1342" s="1">
        <v>-3.1322229999999998E-6</v>
      </c>
      <c r="I1342">
        <v>304.25779999999997</v>
      </c>
      <c r="J1342">
        <v>-190.1277</v>
      </c>
      <c r="K1342">
        <v>1.110514</v>
      </c>
      <c r="L1342">
        <v>332.84500000000003</v>
      </c>
      <c r="M1342">
        <v>-9.6333329999999995E-2</v>
      </c>
      <c r="N1342">
        <v>0</v>
      </c>
      <c r="O1342">
        <v>-0.99529900000000004</v>
      </c>
      <c r="P1342">
        <v>-7.5338899999999903E-2</v>
      </c>
      <c r="Q1342">
        <v>5.4291899999999997E-2</v>
      </c>
      <c r="R1342">
        <v>-0.99567910000000004</v>
      </c>
      <c r="S1342">
        <v>-0.42871090000000001</v>
      </c>
      <c r="T1342">
        <v>-0.114945699999999</v>
      </c>
      <c r="U1342">
        <v>-2.986542</v>
      </c>
      <c r="V1342">
        <v>-2.1051879999999999E-2</v>
      </c>
      <c r="W1342">
        <v>6.4237039999999995E-2</v>
      </c>
      <c r="X1342">
        <v>0.99771259999999995</v>
      </c>
      <c r="Y1342">
        <v>4.5966609999999998E-2</v>
      </c>
      <c r="Z1342">
        <v>3.7977169999999998E-2</v>
      </c>
      <c r="AA1342">
        <v>0.99822080000000002</v>
      </c>
      <c r="AB1342">
        <v>26</v>
      </c>
      <c r="AC1342">
        <v>-4.11679999999998</v>
      </c>
      <c r="AD1342">
        <v>-1.1105171322229901</v>
      </c>
      <c r="AE1342">
        <v>-28.587199999999999</v>
      </c>
      <c r="AF1342">
        <v>1.3416303230092399</v>
      </c>
      <c r="AG1342">
        <v>-1.1105171322229901</v>
      </c>
      <c r="AH1342">
        <v>28.8082459810744</v>
      </c>
      <c r="AI1342">
        <v>92.205190484699401</v>
      </c>
      <c r="AJ1342">
        <v>87.333601840507498</v>
      </c>
      <c r="AK1342">
        <v>28.860842966390798</v>
      </c>
      <c r="AL1342">
        <v>86.316952819798999</v>
      </c>
      <c r="AM1342">
        <v>91.208769858633701</v>
      </c>
      <c r="AN1342">
        <v>1.0000000055791201</v>
      </c>
    </row>
    <row r="1343" spans="1:40" x14ac:dyDescent="0.25">
      <c r="A1343" t="str">
        <f>"20190312151250752"</f>
        <v>20190312151250752</v>
      </c>
      <c r="B1343" t="str">
        <f>"1552374770740690"</f>
        <v>1552374770740690</v>
      </c>
      <c r="C1343" t="s">
        <v>40</v>
      </c>
      <c r="D1343">
        <v>4.7557559999999999</v>
      </c>
      <c r="E1343">
        <v>0.52553499999999997</v>
      </c>
      <c r="F1343" t="s">
        <v>42</v>
      </c>
      <c r="G1343">
        <v>-194.31950000000001</v>
      </c>
      <c r="H1343" s="1">
        <v>-2.9418829999999999E-6</v>
      </c>
      <c r="I1343">
        <v>303.76769999999999</v>
      </c>
      <c r="J1343">
        <v>-190.1508</v>
      </c>
      <c r="K1343">
        <v>1.110609</v>
      </c>
      <c r="L1343">
        <v>332.59379999999999</v>
      </c>
      <c r="M1343">
        <v>-9.5184930000000001E-2</v>
      </c>
      <c r="N1343">
        <v>0</v>
      </c>
      <c r="O1343">
        <v>-0.9954094</v>
      </c>
      <c r="P1343">
        <v>-7.4522930000000001E-2</v>
      </c>
      <c r="Q1343">
        <v>5.4784390000000002E-2</v>
      </c>
      <c r="R1343">
        <v>-0.99571359999999998</v>
      </c>
      <c r="S1343">
        <v>-0.43055729999999998</v>
      </c>
      <c r="T1343">
        <v>-0.11406760000000001</v>
      </c>
      <c r="U1343">
        <v>-2.986694</v>
      </c>
      <c r="V1343">
        <v>-2.0730060000000002E-2</v>
      </c>
      <c r="W1343">
        <v>6.4753320000000003E-2</v>
      </c>
      <c r="X1343">
        <v>0.99768599999999996</v>
      </c>
      <c r="Y1343">
        <v>4.7718040000000003E-2</v>
      </c>
      <c r="Z1343">
        <v>3.7688630000000001E-2</v>
      </c>
      <c r="AA1343">
        <v>0.99814959999999997</v>
      </c>
      <c r="AB1343">
        <v>26</v>
      </c>
      <c r="AC1343">
        <v>-4.1687000000000003</v>
      </c>
      <c r="AD1343">
        <v>-1.1106119418830001</v>
      </c>
      <c r="AE1343">
        <v>-28.8261</v>
      </c>
      <c r="AF1343">
        <v>1.4037820200748301</v>
      </c>
      <c r="AG1343">
        <v>-1.1106119418830001</v>
      </c>
      <c r="AH1343">
        <v>29.0497839768008</v>
      </c>
      <c r="AI1343">
        <v>92.186878315518001</v>
      </c>
      <c r="AJ1343">
        <v>87.233429792871206</v>
      </c>
      <c r="AK1343">
        <v>29.1048795212097</v>
      </c>
      <c r="AL1343">
        <v>86.287310572197299</v>
      </c>
      <c r="AM1343">
        <v>91.190328482603505</v>
      </c>
      <c r="AN1343">
        <v>1.00000004121731</v>
      </c>
    </row>
    <row r="1344" spans="1:40" x14ac:dyDescent="0.25">
      <c r="A1344" t="str">
        <f>"20190312151250778"</f>
        <v>20190312151250778</v>
      </c>
      <c r="B1344" t="str">
        <f>"1552374770770948"</f>
        <v>1552374770770948</v>
      </c>
      <c r="C1344" t="s">
        <v>40</v>
      </c>
      <c r="D1344">
        <v>4.7825689999999996</v>
      </c>
      <c r="E1344">
        <v>0.52599439999999997</v>
      </c>
      <c r="F1344" t="s">
        <v>42</v>
      </c>
      <c r="G1344">
        <v>-194.376</v>
      </c>
      <c r="H1344" s="1">
        <v>-2.7574480000000001E-6</v>
      </c>
      <c r="I1344">
        <v>303.30270000000002</v>
      </c>
      <c r="J1344">
        <v>-190.17830000000001</v>
      </c>
      <c r="K1344">
        <v>1.110703</v>
      </c>
      <c r="L1344">
        <v>332.28870000000001</v>
      </c>
      <c r="M1344">
        <v>-9.3653059999999996E-2</v>
      </c>
      <c r="N1344">
        <v>0</v>
      </c>
      <c r="O1344">
        <v>-0.99555400000000005</v>
      </c>
      <c r="P1344">
        <v>-7.3927419999999994E-2</v>
      </c>
      <c r="Q1344">
        <v>5.5106170000000003E-2</v>
      </c>
      <c r="R1344">
        <v>-0.99573999999999996</v>
      </c>
      <c r="S1344">
        <v>-0.43086239999999998</v>
      </c>
      <c r="T1344">
        <v>-0.1132536</v>
      </c>
      <c r="U1344">
        <v>-2.9869379999999999</v>
      </c>
      <c r="V1344">
        <v>-1.9803810000000002E-2</v>
      </c>
      <c r="W1344">
        <v>6.5109249999999994E-2</v>
      </c>
      <c r="X1344">
        <v>0.99768159999999895</v>
      </c>
      <c r="Y1344">
        <v>4.9344789999999999E-2</v>
      </c>
      <c r="Z1344">
        <v>3.742347E-2</v>
      </c>
      <c r="AA1344">
        <v>0.99808039999999998</v>
      </c>
      <c r="AB1344">
        <v>26</v>
      </c>
      <c r="AC1344">
        <v>-4.1976999999999602</v>
      </c>
      <c r="AD1344">
        <v>-1.1107057574479999</v>
      </c>
      <c r="AE1344">
        <v>-28.985999999999901</v>
      </c>
      <c r="AF1344">
        <v>1.4623804954311199</v>
      </c>
      <c r="AG1344">
        <v>-1.1107057574479999</v>
      </c>
      <c r="AH1344">
        <v>29.209729585631901</v>
      </c>
      <c r="AI1344">
        <v>92.1749128488172</v>
      </c>
      <c r="AJ1344">
        <v>87.133888879936706</v>
      </c>
      <c r="AK1344">
        <v>29.267396988095499</v>
      </c>
      <c r="AL1344">
        <v>86.266873969033298</v>
      </c>
      <c r="AM1344">
        <v>91.137162136628106</v>
      </c>
      <c r="AN1344">
        <v>0.999999990152319</v>
      </c>
    </row>
    <row r="1345" spans="1:40" x14ac:dyDescent="0.25">
      <c r="A1345" t="str">
        <f>"20190312151250821"</f>
        <v>20190312151250821</v>
      </c>
      <c r="B1345" t="str">
        <f>"1552374770810963"</f>
        <v>1552374770810963</v>
      </c>
      <c r="C1345" t="s">
        <v>40</v>
      </c>
      <c r="D1345">
        <v>4.7854799999999997</v>
      </c>
      <c r="E1345">
        <v>0.52640489999999995</v>
      </c>
      <c r="F1345" t="s">
        <v>42</v>
      </c>
      <c r="G1345">
        <v>-194.42230000000001</v>
      </c>
      <c r="H1345" s="1">
        <v>-2.630077E-6</v>
      </c>
      <c r="I1345">
        <v>302.97710000000001</v>
      </c>
      <c r="J1345">
        <v>-190.22219999999999</v>
      </c>
      <c r="K1345">
        <v>1.1108260000000001</v>
      </c>
      <c r="L1345">
        <v>331.78579999999999</v>
      </c>
      <c r="M1345">
        <v>-9.0855199999999997E-2</v>
      </c>
      <c r="N1345">
        <v>0</v>
      </c>
      <c r="O1345">
        <v>-0.99581260000000005</v>
      </c>
      <c r="P1345">
        <v>-7.2228089999999995E-2</v>
      </c>
      <c r="Q1345">
        <v>5.6548149999999998E-2</v>
      </c>
      <c r="R1345">
        <v>-0.99578409999999995</v>
      </c>
      <c r="S1345">
        <v>-0.43247989999999997</v>
      </c>
      <c r="T1345">
        <v>-0.1131853</v>
      </c>
      <c r="U1345">
        <v>-2.9869690000000002</v>
      </c>
      <c r="V1345">
        <v>-1.8716779999999999E-2</v>
      </c>
      <c r="W1345">
        <v>6.6621810000000004E-2</v>
      </c>
      <c r="X1345">
        <v>0.99760280000000001</v>
      </c>
      <c r="Y1345">
        <v>5.2679070000000001E-2</v>
      </c>
      <c r="Z1345">
        <v>3.7410499999999999E-2</v>
      </c>
      <c r="AA1345">
        <v>0.99791050000000003</v>
      </c>
      <c r="AB1345">
        <v>26</v>
      </c>
      <c r="AC1345">
        <v>-4.2001000000000204</v>
      </c>
      <c r="AD1345">
        <v>-1.1108286300770001</v>
      </c>
      <c r="AE1345">
        <v>-28.808699999999899</v>
      </c>
      <c r="AF1345">
        <v>1.56289727335937</v>
      </c>
      <c r="AG1345">
        <v>-1.1108286300770001</v>
      </c>
      <c r="AH1345">
        <v>29.028897432093999</v>
      </c>
      <c r="AI1345">
        <v>92.188262372444299</v>
      </c>
      <c r="AJ1345">
        <v>86.918207281198903</v>
      </c>
      <c r="AK1345">
        <v>29.0921548575472</v>
      </c>
      <c r="AL1345">
        <v>86.180022343623804</v>
      </c>
      <c r="AM1345">
        <v>91.074843312402606</v>
      </c>
      <c r="AN1345">
        <v>1.00000006499454</v>
      </c>
    </row>
    <row r="1346" spans="1:40" x14ac:dyDescent="0.25">
      <c r="A1346" t="str">
        <f>"20190312151250842"</f>
        <v>20190312151250842</v>
      </c>
      <c r="B1346" t="str">
        <f>"1552374770831459"</f>
        <v>1552374770831459</v>
      </c>
      <c r="C1346" t="s">
        <v>40</v>
      </c>
      <c r="D1346">
        <v>4.781301</v>
      </c>
      <c r="E1346">
        <v>0.52666559999999996</v>
      </c>
      <c r="F1346" t="s">
        <v>42</v>
      </c>
      <c r="G1346">
        <v>-194.5026</v>
      </c>
      <c r="H1346" s="1">
        <v>-2.2701000000000001E-6</v>
      </c>
      <c r="I1346">
        <v>302.0881</v>
      </c>
      <c r="J1346">
        <v>-190.24299999999999</v>
      </c>
      <c r="K1346">
        <v>1.110892</v>
      </c>
      <c r="L1346">
        <v>331.5419</v>
      </c>
      <c r="M1346">
        <v>-8.9406100000000002E-2</v>
      </c>
      <c r="N1346">
        <v>0</v>
      </c>
      <c r="O1346">
        <v>-0.99594320000000003</v>
      </c>
      <c r="P1346">
        <v>-7.1383080000000002E-2</v>
      </c>
      <c r="Q1346">
        <v>5.7054470000000003E-2</v>
      </c>
      <c r="R1346">
        <v>-0.99581620000000004</v>
      </c>
      <c r="S1346">
        <v>-0.4306335</v>
      </c>
      <c r="T1346">
        <v>-0.1117572</v>
      </c>
      <c r="U1346">
        <v>-2.9877929999999999</v>
      </c>
      <c r="V1346">
        <v>-1.8118160000000001E-2</v>
      </c>
      <c r="W1346">
        <v>6.7171809999999998E-2</v>
      </c>
      <c r="X1346">
        <v>0.99757689999999999</v>
      </c>
      <c r="Y1346">
        <v>5.3491539999999997E-2</v>
      </c>
      <c r="Z1346">
        <v>3.6937159999999997E-2</v>
      </c>
      <c r="AA1346">
        <v>0.99788489999999996</v>
      </c>
      <c r="AB1346">
        <v>26</v>
      </c>
      <c r="AC1346">
        <v>-4.2595999999999998</v>
      </c>
      <c r="AD1346">
        <v>-1.1108942701</v>
      </c>
      <c r="AE1346">
        <v>-29.453800000000001</v>
      </c>
      <c r="AF1346">
        <v>1.60681476884645</v>
      </c>
      <c r="AG1346">
        <v>-1.1108942701</v>
      </c>
      <c r="AH1346">
        <v>29.675337401095899</v>
      </c>
      <c r="AI1346">
        <v>92.140729677300001</v>
      </c>
      <c r="AJ1346">
        <v>86.900662345086303</v>
      </c>
      <c r="AK1346">
        <v>29.739562701048602</v>
      </c>
      <c r="AL1346">
        <v>86.148438648797907</v>
      </c>
      <c r="AM1346">
        <v>91.040501218210196</v>
      </c>
      <c r="AN1346">
        <v>0.99999999559703501</v>
      </c>
    </row>
    <row r="1347" spans="1:40" x14ac:dyDescent="0.25">
      <c r="A1347" t="str">
        <f>"20190312151250863"</f>
        <v>20190312151250863</v>
      </c>
      <c r="B1347" t="str">
        <f>"1552374770860738"</f>
        <v>1552374770860738</v>
      </c>
      <c r="C1347" t="s">
        <v>40</v>
      </c>
      <c r="D1347">
        <v>4.7818180000000003</v>
      </c>
      <c r="E1347">
        <v>0.52693459999999903</v>
      </c>
      <c r="F1347" t="s">
        <v>42</v>
      </c>
      <c r="G1347">
        <v>-194.5214</v>
      </c>
      <c r="H1347" s="1">
        <v>-2.165883E-6</v>
      </c>
      <c r="I1347">
        <v>301.83350000000002</v>
      </c>
      <c r="J1347">
        <v>-190.26429999999999</v>
      </c>
      <c r="K1347">
        <v>1.1109500000000001</v>
      </c>
      <c r="L1347">
        <v>331.28519999999997</v>
      </c>
      <c r="M1347">
        <v>-8.7827069999999993E-2</v>
      </c>
      <c r="N1347">
        <v>0</v>
      </c>
      <c r="O1347">
        <v>-0.99608319999999995</v>
      </c>
      <c r="P1347">
        <v>-7.0543179999999997E-2</v>
      </c>
      <c r="Q1347">
        <v>5.822662E-2</v>
      </c>
      <c r="R1347">
        <v>-0.99580820000000003</v>
      </c>
      <c r="S1347">
        <v>-0.43034359999999999</v>
      </c>
      <c r="T1347">
        <v>-0.1117373</v>
      </c>
      <c r="U1347">
        <v>-2.988159</v>
      </c>
      <c r="V1347">
        <v>-1.7382729999999999E-2</v>
      </c>
      <c r="W1347">
        <v>6.8397310000000003E-2</v>
      </c>
      <c r="X1347">
        <v>0.99750669999999997</v>
      </c>
      <c r="Y1347">
        <v>5.496243E-2</v>
      </c>
      <c r="Z1347">
        <v>3.6932699999999999E-2</v>
      </c>
      <c r="AA1347">
        <v>0.9978051</v>
      </c>
      <c r="AB1347">
        <v>26</v>
      </c>
      <c r="AC1347">
        <v>-4.2571000000000003</v>
      </c>
      <c r="AD1347">
        <v>-1.1109521658829999</v>
      </c>
      <c r="AE1347">
        <v>-29.451699999999899</v>
      </c>
      <c r="AF1347">
        <v>1.65155394692636</v>
      </c>
      <c r="AG1347">
        <v>-1.1109521658829999</v>
      </c>
      <c r="AH1347">
        <v>29.670433506671099</v>
      </c>
      <c r="AI1347">
        <v>92.141017035381907</v>
      </c>
      <c r="AJ1347">
        <v>86.814016176643406</v>
      </c>
      <c r="AK1347">
        <v>29.737122753021701</v>
      </c>
      <c r="AL1347">
        <v>86.078060750042695</v>
      </c>
      <c r="AM1347">
        <v>90.998345443815595</v>
      </c>
      <c r="AN1347">
        <v>0.99999998393118905</v>
      </c>
    </row>
    <row r="1348" spans="1:40" x14ac:dyDescent="0.25">
      <c r="A1348" t="str">
        <f>"20190312151250887"</f>
        <v>20190312151250887</v>
      </c>
      <c r="B1348" t="str">
        <f>"1552374770881234"</f>
        <v>1552374770881234</v>
      </c>
      <c r="C1348" t="s">
        <v>40</v>
      </c>
      <c r="D1348">
        <v>4.8156739999999996</v>
      </c>
      <c r="E1348">
        <v>0.5271226</v>
      </c>
      <c r="F1348" t="s">
        <v>42</v>
      </c>
      <c r="G1348">
        <v>-194.58150000000001</v>
      </c>
      <c r="H1348" s="1">
        <v>-1.9394699999999998E-6</v>
      </c>
      <c r="I1348">
        <v>301.26850000000002</v>
      </c>
      <c r="J1348">
        <v>-190.28620000000001</v>
      </c>
      <c r="K1348">
        <v>1.1110180000000001</v>
      </c>
      <c r="L1348">
        <v>331.01569999999998</v>
      </c>
      <c r="M1348">
        <v>-8.6105000000000001E-2</v>
      </c>
      <c r="N1348">
        <v>0</v>
      </c>
      <c r="O1348">
        <v>-0.99623289999999998</v>
      </c>
      <c r="P1348">
        <v>-6.9077109999999997E-2</v>
      </c>
      <c r="Q1348">
        <v>5.9310090000000003E-2</v>
      </c>
      <c r="R1348">
        <v>-0.99584700000000004</v>
      </c>
      <c r="S1348">
        <v>-0.4298553</v>
      </c>
      <c r="T1348">
        <v>-0.1106143</v>
      </c>
      <c r="U1348">
        <v>-2.9886780000000002</v>
      </c>
      <c r="V1348">
        <v>-1.713307E-2</v>
      </c>
      <c r="W1348">
        <v>6.9547559999999994E-2</v>
      </c>
      <c r="X1348">
        <v>0.99743150000000003</v>
      </c>
      <c r="Y1348">
        <v>5.6506210000000001E-2</v>
      </c>
      <c r="Z1348">
        <v>3.6562869999999997E-2</v>
      </c>
      <c r="AA1348">
        <v>0.99773250000000002</v>
      </c>
      <c r="AB1348">
        <v>26</v>
      </c>
      <c r="AC1348">
        <v>-4.2952999999999903</v>
      </c>
      <c r="AD1348">
        <v>-1.11101993947</v>
      </c>
      <c r="AE1348">
        <v>-29.7471999999999</v>
      </c>
      <c r="AF1348">
        <v>1.71548341222389</v>
      </c>
      <c r="AG1348">
        <v>-1.11101993947</v>
      </c>
      <c r="AH1348">
        <v>29.965629424842</v>
      </c>
      <c r="AI1348">
        <v>92.119885168711207</v>
      </c>
      <c r="AJ1348">
        <v>86.723486401693506</v>
      </c>
      <c r="AK1348">
        <v>30.035249216054002</v>
      </c>
      <c r="AL1348">
        <v>86.011999022024</v>
      </c>
      <c r="AM1348">
        <v>90.984083689702501</v>
      </c>
      <c r="AN1348">
        <v>1.00000000119091</v>
      </c>
    </row>
    <row r="1349" spans="1:40" x14ac:dyDescent="0.25">
      <c r="A1349" t="str">
        <f>"20190312151250909"</f>
        <v>20190312151250909</v>
      </c>
      <c r="B1349" t="str">
        <f>"1552374770901730"</f>
        <v>1552374770901730</v>
      </c>
      <c r="C1349" t="s">
        <v>40</v>
      </c>
      <c r="D1349">
        <v>4.7933789999999998</v>
      </c>
      <c r="E1349">
        <v>0.52736939999999999</v>
      </c>
      <c r="F1349" t="s">
        <v>42</v>
      </c>
      <c r="G1349">
        <v>-194.62710000000001</v>
      </c>
      <c r="H1349" s="1">
        <v>-1.672933E-6</v>
      </c>
      <c r="I1349">
        <v>300.6189</v>
      </c>
      <c r="J1349">
        <v>-190.30690000000001</v>
      </c>
      <c r="K1349">
        <v>1.1110819999999999</v>
      </c>
      <c r="L1349">
        <v>330.75349999999997</v>
      </c>
      <c r="M1349">
        <v>-8.4369260000000001E-2</v>
      </c>
      <c r="N1349">
        <v>0</v>
      </c>
      <c r="O1349">
        <v>-0.9963805</v>
      </c>
      <c r="P1349">
        <v>-6.7296949999999994E-2</v>
      </c>
      <c r="Q1349">
        <v>6.0460510000000002E-2</v>
      </c>
      <c r="R1349">
        <v>-0.99589930000000004</v>
      </c>
      <c r="S1349">
        <v>-0.42691040000000002</v>
      </c>
      <c r="T1349">
        <v>-0.10926470000000001</v>
      </c>
      <c r="U1349">
        <v>-2.9894099999999999</v>
      </c>
      <c r="V1349">
        <v>-1.718343E-2</v>
      </c>
      <c r="W1349">
        <v>7.0772870000000002E-2</v>
      </c>
      <c r="X1349">
        <v>0.99734440000000002</v>
      </c>
      <c r="Y1349">
        <v>5.7250240000000001E-2</v>
      </c>
      <c r="Z1349">
        <v>3.6118409999999997E-2</v>
      </c>
      <c r="AA1349">
        <v>0.99770630000000005</v>
      </c>
      <c r="AB1349">
        <v>26</v>
      </c>
      <c r="AC1349">
        <v>-4.3201999999999998</v>
      </c>
      <c r="AD1349">
        <v>-1.11108367293299</v>
      </c>
      <c r="AE1349">
        <v>-30.134599999999899</v>
      </c>
      <c r="AF1349">
        <v>1.7598797727937601</v>
      </c>
      <c r="AG1349">
        <v>-1.11108367293299</v>
      </c>
      <c r="AH1349">
        <v>30.3512269789953</v>
      </c>
      <c r="AI1349">
        <v>92.093008805601698</v>
      </c>
      <c r="AJ1349">
        <v>86.681488169750907</v>
      </c>
      <c r="AK1349">
        <v>30.422502574138001</v>
      </c>
      <c r="AL1349">
        <v>85.941620330565399</v>
      </c>
      <c r="AM1349">
        <v>90.987061857051202</v>
      </c>
      <c r="AN1349">
        <v>0.99999996080298004</v>
      </c>
    </row>
    <row r="1350" spans="1:40" x14ac:dyDescent="0.25">
      <c r="A1350" t="str">
        <f>"20190312151250931"</f>
        <v>20190312151250931</v>
      </c>
      <c r="B1350" t="str">
        <f>"1552374770921251"</f>
        <v>1552374770921251</v>
      </c>
      <c r="C1350" t="s">
        <v>40</v>
      </c>
      <c r="D1350">
        <v>4.7873199999999896</v>
      </c>
      <c r="E1350">
        <v>0.52749619999999997</v>
      </c>
      <c r="F1350" t="s">
        <v>42</v>
      </c>
      <c r="G1350">
        <v>-194.69839999999999</v>
      </c>
      <c r="H1350" s="1">
        <v>-1.317811E-6</v>
      </c>
      <c r="I1350">
        <v>299.74689999999998</v>
      </c>
      <c r="J1350">
        <v>-190.32669999999999</v>
      </c>
      <c r="K1350">
        <v>1.111132</v>
      </c>
      <c r="L1350">
        <v>330.49610000000001</v>
      </c>
      <c r="M1350">
        <v>-8.2623440000000006E-2</v>
      </c>
      <c r="N1350">
        <v>0</v>
      </c>
      <c r="O1350">
        <v>-0.99652609999999997</v>
      </c>
      <c r="P1350">
        <v>-6.5206589999999995E-2</v>
      </c>
      <c r="Q1350">
        <v>6.1511610000000001E-2</v>
      </c>
      <c r="R1350">
        <v>-0.99597440000000004</v>
      </c>
      <c r="S1350">
        <v>-0.42350769999999999</v>
      </c>
      <c r="T1350">
        <v>-0.1071515</v>
      </c>
      <c r="U1350">
        <v>-2.9902340000000001</v>
      </c>
      <c r="V1350">
        <v>-1.753441E-2</v>
      </c>
      <c r="W1350">
        <v>7.1901519999999997E-2</v>
      </c>
      <c r="X1350">
        <v>0.99725759999999997</v>
      </c>
      <c r="Y1350">
        <v>5.7851529999999998E-2</v>
      </c>
      <c r="Z1350">
        <v>3.5421099999999997E-2</v>
      </c>
      <c r="AA1350">
        <v>0.99769660000000004</v>
      </c>
      <c r="AB1350">
        <v>26</v>
      </c>
      <c r="AC1350">
        <v>-4.3716999999999997</v>
      </c>
      <c r="AD1350">
        <v>-1.1111333178110001</v>
      </c>
      <c r="AE1350">
        <v>-30.749199999999998</v>
      </c>
      <c r="AF1350">
        <v>1.81368621028114</v>
      </c>
      <c r="AG1350">
        <v>-1.1111333178110001</v>
      </c>
      <c r="AH1350">
        <v>30.965643894794599</v>
      </c>
      <c r="AI1350">
        <v>92.051537087577103</v>
      </c>
      <c r="AJ1350">
        <v>86.647963170211796</v>
      </c>
      <c r="AK1350">
        <v>31.0386078415019</v>
      </c>
      <c r="AL1350">
        <v>85.876788439474893</v>
      </c>
      <c r="AM1350">
        <v>91.007306617567096</v>
      </c>
      <c r="AN1350">
        <v>1.0000000024350499</v>
      </c>
    </row>
    <row r="1351" spans="1:40" x14ac:dyDescent="0.25">
      <c r="A1351" t="str">
        <f>"20190312151250954"</f>
        <v>20190312151250954</v>
      </c>
      <c r="B1351" t="str">
        <f>"1552374770951486"</f>
        <v>1552374770951486</v>
      </c>
      <c r="C1351" t="s">
        <v>40</v>
      </c>
      <c r="D1351">
        <v>4.822724</v>
      </c>
      <c r="E1351">
        <v>0.53214249999999996</v>
      </c>
      <c r="F1351" t="s">
        <v>53</v>
      </c>
      <c r="G1351">
        <v>-194.7704</v>
      </c>
      <c r="H1351" s="1">
        <v>1.567912E-7</v>
      </c>
      <c r="I1351">
        <v>298.726</v>
      </c>
      <c r="J1351">
        <v>-190.34710000000001</v>
      </c>
      <c r="K1351">
        <v>1.1111759999999999</v>
      </c>
      <c r="L1351">
        <v>330.2244</v>
      </c>
      <c r="M1351">
        <v>-8.0740259999999994E-2</v>
      </c>
      <c r="N1351">
        <v>0</v>
      </c>
      <c r="O1351">
        <v>-0.99667930000000005</v>
      </c>
      <c r="P1351">
        <v>-6.3185560000000002E-2</v>
      </c>
      <c r="Q1351">
        <v>6.2330410000000003E-2</v>
      </c>
      <c r="R1351">
        <v>-0.99605339999999998</v>
      </c>
      <c r="S1351">
        <v>-0.41838069999999999</v>
      </c>
      <c r="T1351">
        <v>-0.10461529999999999</v>
      </c>
      <c r="U1351">
        <v>-2.9912109999999998</v>
      </c>
      <c r="V1351">
        <v>-1.7677330000000002E-2</v>
      </c>
      <c r="W1351">
        <v>7.2805140000000004E-2</v>
      </c>
      <c r="X1351">
        <v>0.99718949999999995</v>
      </c>
      <c r="Y1351">
        <v>5.8019870000000001E-2</v>
      </c>
      <c r="Z1351">
        <v>3.4584530000000002E-2</v>
      </c>
      <c r="AA1351">
        <v>0.99771620000000005</v>
      </c>
      <c r="AB1351">
        <v>26</v>
      </c>
      <c r="AC1351">
        <v>-4.4232999999999798</v>
      </c>
      <c r="AD1351">
        <v>-1.1111758432087999</v>
      </c>
      <c r="AE1351">
        <v>-31.4984</v>
      </c>
      <c r="AF1351">
        <v>1.8632524982768599</v>
      </c>
      <c r="AG1351">
        <v>-1.1111758432087999</v>
      </c>
      <c r="AH1351">
        <v>31.714005822436398</v>
      </c>
      <c r="AI1351">
        <v>92.003221906045994</v>
      </c>
      <c r="AJ1351">
        <v>86.637639347882697</v>
      </c>
      <c r="AK1351">
        <v>31.788120217030698</v>
      </c>
      <c r="AL1351">
        <v>85.824878711759695</v>
      </c>
      <c r="AM1351">
        <v>91.015584627392499</v>
      </c>
      <c r="AN1351">
        <v>0.99999998765829901</v>
      </c>
    </row>
    <row r="1352" spans="1:40" x14ac:dyDescent="0.25">
      <c r="A1352" t="str">
        <f>"20190312151250976"</f>
        <v>20190312151250976</v>
      </c>
      <c r="B1352" t="str">
        <f>"1552374770971007"</f>
        <v>1552374770971007</v>
      </c>
      <c r="C1352" t="s">
        <v>40</v>
      </c>
      <c r="D1352">
        <v>4.8185370000000001</v>
      </c>
      <c r="E1352">
        <v>0.53209019999999996</v>
      </c>
      <c r="F1352" t="s">
        <v>42</v>
      </c>
      <c r="G1352">
        <v>-193.71199999999999</v>
      </c>
      <c r="H1352" s="1">
        <v>-4.3530499999999998E-6</v>
      </c>
      <c r="I1352">
        <v>307.84359999999998</v>
      </c>
      <c r="J1352">
        <v>-190.36680000000001</v>
      </c>
      <c r="K1352">
        <v>1.1112150000000001</v>
      </c>
      <c r="L1352">
        <v>329.9554</v>
      </c>
      <c r="M1352">
        <v>-7.8837229999999994E-2</v>
      </c>
      <c r="N1352">
        <v>0</v>
      </c>
      <c r="O1352">
        <v>-0.99683080000000002</v>
      </c>
      <c r="P1352">
        <v>-6.0789709999999997E-2</v>
      </c>
      <c r="Q1352">
        <v>6.3208539999999994E-2</v>
      </c>
      <c r="R1352">
        <v>-0.99614729999999996</v>
      </c>
      <c r="S1352">
        <v>-0.4499359</v>
      </c>
      <c r="T1352">
        <v>-0.14858260000000001</v>
      </c>
      <c r="U1352">
        <v>-2.9926759999999999</v>
      </c>
      <c r="V1352">
        <v>-1.8175319999999998E-2</v>
      </c>
      <c r="W1352">
        <v>7.3764800000000005E-2</v>
      </c>
      <c r="X1352">
        <v>0.99711000000000005</v>
      </c>
      <c r="Y1352">
        <v>7.0067320000000002E-2</v>
      </c>
      <c r="Z1352">
        <v>4.9021120000000001E-2</v>
      </c>
      <c r="AA1352">
        <v>0.99633709999999998</v>
      </c>
      <c r="AB1352">
        <v>26</v>
      </c>
      <c r="AC1352">
        <v>-3.3452000000000002</v>
      </c>
      <c r="AD1352">
        <v>-1.1112193530500001</v>
      </c>
      <c r="AE1352">
        <v>-22.111799999999999</v>
      </c>
      <c r="AF1352">
        <v>1.5875356393160001</v>
      </c>
      <c r="AG1352">
        <v>-1.1112193530500001</v>
      </c>
      <c r="AH1352">
        <v>22.251770541560798</v>
      </c>
      <c r="AI1352">
        <v>92.851652304955195</v>
      </c>
      <c r="AJ1352">
        <v>85.919190604398295</v>
      </c>
      <c r="AK1352">
        <v>22.335988227319699</v>
      </c>
      <c r="AL1352">
        <v>85.769745916874797</v>
      </c>
      <c r="AM1352">
        <v>91.044271760592295</v>
      </c>
      <c r="AN1352">
        <v>0.99999997003806995</v>
      </c>
    </row>
    <row r="1353" spans="1:40" x14ac:dyDescent="0.25">
      <c r="A1353" t="str">
        <f>"20190312151251001"</f>
        <v>20190312151251001</v>
      </c>
      <c r="B1353" t="str">
        <f>"1552374770991503"</f>
        <v>1552374770991503</v>
      </c>
      <c r="C1353" t="s">
        <v>40</v>
      </c>
      <c r="D1353">
        <v>4.8149559999999996</v>
      </c>
      <c r="E1353">
        <v>0.53209010000000001</v>
      </c>
      <c r="F1353" t="s">
        <v>42</v>
      </c>
      <c r="G1353">
        <v>-193.7878</v>
      </c>
      <c r="H1353" s="1">
        <v>-4.0077529999999997E-6</v>
      </c>
      <c r="I1353">
        <v>306.7894</v>
      </c>
      <c r="J1353">
        <v>-190.38730000000001</v>
      </c>
      <c r="K1353">
        <v>1.111254</v>
      </c>
      <c r="L1353">
        <v>329.66719999999998</v>
      </c>
      <c r="M1353">
        <v>-7.6762559999999994E-2</v>
      </c>
      <c r="N1353">
        <v>0</v>
      </c>
      <c r="O1353">
        <v>-0.99699179999999998</v>
      </c>
      <c r="P1353">
        <v>-5.8633730000000002E-2</v>
      </c>
      <c r="Q1353">
        <v>6.4687179999999997E-2</v>
      </c>
      <c r="R1353">
        <v>-0.99618169999999995</v>
      </c>
      <c r="S1353">
        <v>-0.44210820000000001</v>
      </c>
      <c r="T1353">
        <v>-0.1436057</v>
      </c>
      <c r="U1353">
        <v>-2.993805</v>
      </c>
      <c r="V1353">
        <v>-1.8260660000000001E-2</v>
      </c>
      <c r="W1353">
        <v>7.5327340000000007E-2</v>
      </c>
      <c r="X1353">
        <v>0.99699159999999998</v>
      </c>
      <c r="Y1353">
        <v>6.9551020000000005E-2</v>
      </c>
      <c r="Z1353">
        <v>4.7386709999999999E-2</v>
      </c>
      <c r="AA1353">
        <v>0.99645229999999996</v>
      </c>
      <c r="AB1353">
        <v>26</v>
      </c>
      <c r="AC1353">
        <v>-3.4004999999999899</v>
      </c>
      <c r="AD1353">
        <v>-1.1112580077529901</v>
      </c>
      <c r="AE1353">
        <v>-22.877799999999901</v>
      </c>
      <c r="AF1353">
        <v>1.6304422651369399</v>
      </c>
      <c r="AG1353">
        <v>-1.1112580077529901</v>
      </c>
      <c r="AH1353">
        <v>23.0181999302796</v>
      </c>
      <c r="AI1353">
        <v>92.757046122144999</v>
      </c>
      <c r="AJ1353">
        <v>85.948349754626705</v>
      </c>
      <c r="AK1353">
        <v>23.102613799526299</v>
      </c>
      <c r="AL1353">
        <v>85.679969095688904</v>
      </c>
      <c r="AM1353">
        <v>91.049298487103499</v>
      </c>
      <c r="AN1353">
        <v>0.99999995516283402</v>
      </c>
    </row>
    <row r="1354" spans="1:40" x14ac:dyDescent="0.25">
      <c r="A1354" t="str">
        <f>"20190312151251023"</f>
        <v>20190312151251023</v>
      </c>
      <c r="B1354" t="str">
        <f>"1552374771020783"</f>
        <v>1552374771020783</v>
      </c>
      <c r="C1354" t="s">
        <v>40</v>
      </c>
      <c r="D1354">
        <v>4.8284699999999896</v>
      </c>
      <c r="E1354">
        <v>0.53452860000000002</v>
      </c>
      <c r="F1354" t="s">
        <v>42</v>
      </c>
      <c r="G1354">
        <v>-193.8546</v>
      </c>
      <c r="H1354" s="1">
        <v>-3.6991470000000001E-6</v>
      </c>
      <c r="I1354">
        <v>305.84769999999997</v>
      </c>
      <c r="J1354">
        <v>-190.40539999999999</v>
      </c>
      <c r="K1354">
        <v>1.1112879999999901</v>
      </c>
      <c r="L1354">
        <v>329.40410000000003</v>
      </c>
      <c r="M1354">
        <v>-7.4843699999999999E-2</v>
      </c>
      <c r="N1354">
        <v>0</v>
      </c>
      <c r="O1354">
        <v>-0.99713669999999999</v>
      </c>
      <c r="P1354">
        <v>-5.6745490000000003E-2</v>
      </c>
      <c r="Q1354">
        <v>6.5736409999999995E-2</v>
      </c>
      <c r="R1354">
        <v>-0.99622230000000001</v>
      </c>
      <c r="S1354">
        <v>-0.43595889999999998</v>
      </c>
      <c r="T1354">
        <v>-0.13972219999999999</v>
      </c>
      <c r="U1354">
        <v>-2.994904</v>
      </c>
      <c r="V1354">
        <v>-1.8232950000000001E-2</v>
      </c>
      <c r="W1354">
        <v>7.6447050000000003E-2</v>
      </c>
      <c r="X1354">
        <v>0.99690690000000004</v>
      </c>
      <c r="Y1354">
        <v>6.9423680000000001E-2</v>
      </c>
      <c r="Z1354">
        <v>4.6108450000000002E-2</v>
      </c>
      <c r="AA1354">
        <v>0.99652110000000005</v>
      </c>
      <c r="AB1354">
        <v>26</v>
      </c>
      <c r="AC1354">
        <v>-3.44920000000001</v>
      </c>
      <c r="AD1354">
        <v>-1.1112916991470001</v>
      </c>
      <c r="AE1354">
        <v>-23.5564</v>
      </c>
      <c r="AF1354">
        <v>1.6727290816520199</v>
      </c>
      <c r="AG1354">
        <v>-1.1112916991470001</v>
      </c>
      <c r="AH1354">
        <v>23.696857377211</v>
      </c>
      <c r="AI1354">
        <v>92.678330379101794</v>
      </c>
      <c r="AJ1354">
        <v>85.962265952095905</v>
      </c>
      <c r="AK1354">
        <v>23.781800633616299</v>
      </c>
      <c r="AL1354">
        <v>85.615629008622307</v>
      </c>
      <c r="AM1354">
        <v>91.047795559771401</v>
      </c>
      <c r="AN1354">
        <v>0.99999997959350695</v>
      </c>
    </row>
    <row r="1355" spans="1:40" x14ac:dyDescent="0.25">
      <c r="A1355" t="str">
        <f>"20190312151251042"</f>
        <v>20190312151251042</v>
      </c>
      <c r="B1355" t="str">
        <f>"1552374771031519"</f>
        <v>1552374771031519</v>
      </c>
      <c r="C1355" t="s">
        <v>40</v>
      </c>
      <c r="D1355">
        <v>4.8395760000000001</v>
      </c>
      <c r="E1355">
        <v>0.53468149999999903</v>
      </c>
      <c r="F1355" t="s">
        <v>42</v>
      </c>
      <c r="G1355">
        <v>-193.48439999999999</v>
      </c>
      <c r="H1355" s="1">
        <v>-4.6711960000000002E-6</v>
      </c>
      <c r="I1355">
        <v>308.89710000000002</v>
      </c>
      <c r="J1355">
        <v>-190.42070000000001</v>
      </c>
      <c r="K1355">
        <v>1.111313</v>
      </c>
      <c r="L1355">
        <v>329.1755</v>
      </c>
      <c r="M1355">
        <v>-7.3163320000000004E-2</v>
      </c>
      <c r="N1355">
        <v>0</v>
      </c>
      <c r="O1355">
        <v>-0.99726090000000001</v>
      </c>
      <c r="P1355">
        <v>-5.5060789999999998E-2</v>
      </c>
      <c r="Q1355">
        <v>6.7186300000000004E-2</v>
      </c>
      <c r="R1355">
        <v>-0.99622010000000005</v>
      </c>
      <c r="S1355">
        <v>-0.44990540000000001</v>
      </c>
      <c r="T1355">
        <v>-0.1623819</v>
      </c>
      <c r="U1355">
        <v>-2.9964900000000001</v>
      </c>
      <c r="V1355">
        <v>-1.8239379999999999E-2</v>
      </c>
      <c r="W1355">
        <v>7.7952220000000003E-2</v>
      </c>
      <c r="X1355">
        <v>0.99679019999999996</v>
      </c>
      <c r="Y1355">
        <v>7.5512049999999997E-2</v>
      </c>
      <c r="Z1355">
        <v>5.351815E-2</v>
      </c>
      <c r="AA1355">
        <v>0.99570760000000003</v>
      </c>
      <c r="AB1355">
        <v>27</v>
      </c>
      <c r="AC1355">
        <v>-3.0636999999999799</v>
      </c>
      <c r="AD1355">
        <v>-1.111317671196</v>
      </c>
      <c r="AE1355">
        <v>-20.278399999999898</v>
      </c>
      <c r="AF1355">
        <v>1.56716401339609</v>
      </c>
      <c r="AG1355">
        <v>-1.111317671196</v>
      </c>
      <c r="AH1355">
        <v>20.388343342168699</v>
      </c>
      <c r="AI1355">
        <v>93.110804205117802</v>
      </c>
      <c r="AJ1355">
        <v>85.604563529639293</v>
      </c>
      <c r="AK1355">
        <v>20.4786614369531</v>
      </c>
      <c r="AL1355">
        <v>85.529130896639799</v>
      </c>
      <c r="AM1355">
        <v>91.048287678445405</v>
      </c>
      <c r="AN1355">
        <v>0.99999996320087503</v>
      </c>
    </row>
    <row r="1356" spans="1:40" x14ac:dyDescent="0.25">
      <c r="A1356" t="str">
        <f>"20190312151251065"</f>
        <v>20190312151251065</v>
      </c>
      <c r="B1356" t="str">
        <f>"1552374771061132"</f>
        <v>1552374771061132</v>
      </c>
      <c r="C1356" t="s">
        <v>40</v>
      </c>
      <c r="D1356">
        <v>4.9441980000000001</v>
      </c>
      <c r="E1356">
        <v>0.53077430000000003</v>
      </c>
      <c r="F1356" t="s">
        <v>42</v>
      </c>
      <c r="G1356">
        <v>-193.59110000000001</v>
      </c>
      <c r="H1356" s="1">
        <v>-4.3397159999999997E-6</v>
      </c>
      <c r="I1356">
        <v>307.86739999999998</v>
      </c>
      <c r="J1356">
        <v>-190.4375</v>
      </c>
      <c r="K1356">
        <v>1.1113299999999999</v>
      </c>
      <c r="L1356">
        <v>328.91820000000001</v>
      </c>
      <c r="M1356">
        <v>-7.1263590000000002E-2</v>
      </c>
      <c r="N1356">
        <v>0</v>
      </c>
      <c r="O1356">
        <v>-0.99739789999999995</v>
      </c>
      <c r="P1356">
        <v>-5.3976469999999999E-2</v>
      </c>
      <c r="Q1356">
        <v>6.8487569999999998E-2</v>
      </c>
      <c r="R1356">
        <v>-0.99619100000000005</v>
      </c>
      <c r="S1356">
        <v>-0.4459534</v>
      </c>
      <c r="T1356">
        <v>-0.15632209999999999</v>
      </c>
      <c r="U1356">
        <v>-2.9972840000000001</v>
      </c>
      <c r="V1356">
        <v>-1.7424720000000001E-2</v>
      </c>
      <c r="W1356">
        <v>7.9313159999999994E-2</v>
      </c>
      <c r="X1356">
        <v>0.99669739999999996</v>
      </c>
      <c r="Y1356">
        <v>7.6103889999999993E-2</v>
      </c>
      <c r="Z1356">
        <v>5.1527400000000001E-2</v>
      </c>
      <c r="AA1356">
        <v>0.99576759999999997</v>
      </c>
      <c r="AB1356">
        <v>27</v>
      </c>
      <c r="AC1356">
        <v>-3.1536000000000102</v>
      </c>
      <c r="AD1356">
        <v>-1.11133433971599</v>
      </c>
      <c r="AE1356">
        <v>-21.050799999999999</v>
      </c>
      <c r="AF1356">
        <v>1.6408634157637501</v>
      </c>
      <c r="AG1356">
        <v>-1.11133433971599</v>
      </c>
      <c r="AH1356">
        <v>21.164330282283899</v>
      </c>
      <c r="AI1356">
        <v>92.996851357606701</v>
      </c>
      <c r="AJ1356">
        <v>85.566745812308696</v>
      </c>
      <c r="AK1356">
        <v>21.256913535633998</v>
      </c>
      <c r="AL1356">
        <v>85.450912530713495</v>
      </c>
      <c r="AM1356">
        <v>91.001569003646694</v>
      </c>
      <c r="AN1356">
        <v>0.99999995269150999</v>
      </c>
    </row>
    <row r="1357" spans="1:40" x14ac:dyDescent="0.25">
      <c r="A1357" t="str">
        <f>"20190312151251087"</f>
        <v>20190312151251087</v>
      </c>
      <c r="B1357" t="str">
        <f>"1552374771081627"</f>
        <v>1552374771081627</v>
      </c>
      <c r="C1357" t="s">
        <v>40</v>
      </c>
      <c r="D1357">
        <v>5.0069910000000002</v>
      </c>
      <c r="E1357">
        <v>0.50590539999999995</v>
      </c>
      <c r="F1357" t="s">
        <v>42</v>
      </c>
      <c r="G1357">
        <v>-193.30439999999999</v>
      </c>
      <c r="H1357" s="1">
        <v>-4.3414749999999998E-6</v>
      </c>
      <c r="I1357">
        <v>308.02199999999999</v>
      </c>
      <c r="J1357">
        <v>-190.4545</v>
      </c>
      <c r="K1357">
        <v>1.1113500000000001</v>
      </c>
      <c r="L1357">
        <v>328.64960000000002</v>
      </c>
      <c r="M1357">
        <v>-6.9273959999999996E-2</v>
      </c>
      <c r="N1357">
        <v>0</v>
      </c>
      <c r="O1357">
        <v>-0.99753760000000002</v>
      </c>
      <c r="P1357">
        <v>-5.2300890000000003E-2</v>
      </c>
      <c r="Q1357">
        <v>6.9571069999999999E-2</v>
      </c>
      <c r="R1357">
        <v>-0.99620520000000001</v>
      </c>
      <c r="S1357">
        <v>-0.41160580000000002</v>
      </c>
      <c r="T1357">
        <v>-0.1595589</v>
      </c>
      <c r="U1357">
        <v>-3.0001530000000001</v>
      </c>
      <c r="V1357">
        <v>-1.711234E-2</v>
      </c>
      <c r="W1357">
        <v>8.0449160000000006E-2</v>
      </c>
      <c r="X1357">
        <v>0.99661180000000005</v>
      </c>
      <c r="Y1357">
        <v>6.6771399999999995E-2</v>
      </c>
      <c r="Z1357">
        <v>5.2612720000000002E-2</v>
      </c>
      <c r="AA1357">
        <v>0.99638020000000005</v>
      </c>
      <c r="AB1357">
        <v>27</v>
      </c>
      <c r="AC1357">
        <v>-2.8498999999999901</v>
      </c>
      <c r="AD1357">
        <v>-1.111354341475</v>
      </c>
      <c r="AE1357">
        <v>-20.627600000000001</v>
      </c>
      <c r="AF1357">
        <v>1.40999542490494</v>
      </c>
      <c r="AG1357">
        <v>-1.111354341475</v>
      </c>
      <c r="AH1357">
        <v>20.716467409146201</v>
      </c>
      <c r="AI1357">
        <v>93.063668098851096</v>
      </c>
      <c r="AJ1357">
        <v>86.106363793555005</v>
      </c>
      <c r="AK1357">
        <v>20.794114972385401</v>
      </c>
      <c r="AL1357">
        <v>85.385616027262202</v>
      </c>
      <c r="AM1357">
        <v>90.983701498324507</v>
      </c>
      <c r="AN1357">
        <v>0.99999998971211002</v>
      </c>
    </row>
    <row r="1358" spans="1:40" x14ac:dyDescent="0.25">
      <c r="A1358" t="str">
        <f>"20190312151251109"</f>
        <v>20190312151251109</v>
      </c>
      <c r="B1358" t="str">
        <f>"1552374771101148"</f>
        <v>1552374771101148</v>
      </c>
      <c r="C1358" t="s">
        <v>40</v>
      </c>
      <c r="D1358">
        <v>4.9126399999999997</v>
      </c>
      <c r="E1358">
        <v>0.50542120000000001</v>
      </c>
      <c r="F1358" t="s">
        <v>42</v>
      </c>
      <c r="G1358">
        <v>-191.78880000000001</v>
      </c>
      <c r="H1358" s="1">
        <v>-4.5248030000000002E-6</v>
      </c>
      <c r="I1358">
        <v>309.35070000000002</v>
      </c>
      <c r="J1358">
        <v>-190.47030000000001</v>
      </c>
      <c r="K1358">
        <v>1.1113630000000001</v>
      </c>
      <c r="L1358">
        <v>328.3904</v>
      </c>
      <c r="M1358">
        <v>-6.7352490000000001E-2</v>
      </c>
      <c r="N1358">
        <v>0</v>
      </c>
      <c r="O1358">
        <v>-0.99766840000000001</v>
      </c>
      <c r="P1358">
        <v>-5.0776099999999998E-2</v>
      </c>
      <c r="Q1358">
        <v>6.9733569999999995E-2</v>
      </c>
      <c r="R1358">
        <v>-0.99627250000000001</v>
      </c>
      <c r="S1358">
        <v>-0.2082977</v>
      </c>
      <c r="T1358">
        <v>-0.17348729999999901</v>
      </c>
      <c r="U1358">
        <v>-3.0126339999999998</v>
      </c>
      <c r="V1358">
        <v>-1.6717619999999999E-2</v>
      </c>
      <c r="W1358">
        <v>8.0658289999999994E-2</v>
      </c>
      <c r="X1358">
        <v>0.99660159999999998</v>
      </c>
      <c r="Y1358">
        <v>1.5106189999999999E-3</v>
      </c>
      <c r="Z1358">
        <v>5.7227739999999999E-2</v>
      </c>
      <c r="AA1358">
        <v>0.99836000000000003</v>
      </c>
      <c r="AB1358">
        <v>27</v>
      </c>
      <c r="AC1358">
        <v>-1.3185</v>
      </c>
      <c r="AD1358">
        <v>-1.1113675248029999</v>
      </c>
      <c r="AE1358">
        <v>-19.0396999999999</v>
      </c>
      <c r="AF1358">
        <v>3.2944874816188602E-2</v>
      </c>
      <c r="AG1358">
        <v>-1.1113675248029999</v>
      </c>
      <c r="AH1358">
        <v>19.0207719510849</v>
      </c>
      <c r="AI1358">
        <v>93.343936743899604</v>
      </c>
      <c r="AJ1358">
        <v>89.900761104711293</v>
      </c>
      <c r="AK1358">
        <v>19.053240898995099</v>
      </c>
      <c r="AL1358">
        <v>85.3735947137952</v>
      </c>
      <c r="AM1358">
        <v>90.961025190229606</v>
      </c>
      <c r="AN1358">
        <v>0.99999999384337401</v>
      </c>
    </row>
    <row r="1359" spans="1:40" x14ac:dyDescent="0.25">
      <c r="A1359" t="str">
        <f>"20190312151251132"</f>
        <v>20190312151251132</v>
      </c>
      <c r="B1359" t="str">
        <f>"1552374771121644"</f>
        <v>1552374771121644</v>
      </c>
      <c r="C1359" t="s">
        <v>40</v>
      </c>
      <c r="D1359">
        <v>5.0141429999999998</v>
      </c>
      <c r="E1359">
        <v>0.50539499999999904</v>
      </c>
      <c r="F1359" t="s">
        <v>42</v>
      </c>
      <c r="G1359">
        <v>-191.90270000000001</v>
      </c>
      <c r="H1359" s="1">
        <v>-3.580028E-6</v>
      </c>
      <c r="I1359">
        <v>306.75420000000003</v>
      </c>
      <c r="J1359">
        <v>-190.4862</v>
      </c>
      <c r="K1359">
        <v>1.1113690000000001</v>
      </c>
      <c r="L1359">
        <v>328.12310000000002</v>
      </c>
      <c r="M1359">
        <v>-6.5371360000000003E-2</v>
      </c>
      <c r="N1359">
        <v>0</v>
      </c>
      <c r="O1359">
        <v>-0.99779989999999996</v>
      </c>
      <c r="P1359">
        <v>-4.9714830000000002E-2</v>
      </c>
      <c r="Q1359">
        <v>7.0090410000000006E-2</v>
      </c>
      <c r="R1359">
        <v>-0.99630129999999995</v>
      </c>
      <c r="S1359">
        <v>-0.1993866</v>
      </c>
      <c r="T1359">
        <v>-0.15470739999999999</v>
      </c>
      <c r="U1359">
        <v>-3.0118710000000002</v>
      </c>
      <c r="V1359">
        <v>-1.579945E-2</v>
      </c>
      <c r="W1359">
        <v>8.1058939999999996E-2</v>
      </c>
      <c r="X1359">
        <v>0.99658409999999997</v>
      </c>
      <c r="Y1359">
        <v>5.9536229999999999E-4</v>
      </c>
      <c r="Z1359">
        <v>5.1078150000000003E-2</v>
      </c>
      <c r="AA1359">
        <v>0.99869450000000004</v>
      </c>
      <c r="AB1359">
        <v>27</v>
      </c>
      <c r="AC1359">
        <v>-1.4165000000000101</v>
      </c>
      <c r="AD1359">
        <v>-1.1113725800280001</v>
      </c>
      <c r="AE1359">
        <v>-21.3689</v>
      </c>
      <c r="AF1359">
        <v>1.6426270497981999E-2</v>
      </c>
      <c r="AG1359">
        <v>-1.1113725800280001</v>
      </c>
      <c r="AH1359">
        <v>21.3582708804873</v>
      </c>
      <c r="AI1359">
        <v>92.978685031744504</v>
      </c>
      <c r="AJ1359">
        <v>89.955934832347594</v>
      </c>
      <c r="AK1359">
        <v>21.387172647132999</v>
      </c>
      <c r="AL1359">
        <v>85.350563874683999</v>
      </c>
      <c r="AM1359">
        <v>90.908268529348405</v>
      </c>
      <c r="AN1359">
        <v>1.0000000213735101</v>
      </c>
    </row>
    <row r="1360" spans="1:40" x14ac:dyDescent="0.25">
      <c r="A1360" t="str">
        <f>"20190312151251154"</f>
        <v>20190312151251154</v>
      </c>
      <c r="B1360" t="str">
        <f>"1552374771150924"</f>
        <v>1552374771150924</v>
      </c>
      <c r="C1360" t="s">
        <v>40</v>
      </c>
      <c r="D1360">
        <v>4.9309659999999997</v>
      </c>
      <c r="E1360">
        <v>0.50634190000000001</v>
      </c>
      <c r="F1360" t="s">
        <v>42</v>
      </c>
      <c r="G1360">
        <v>-191.74209999999999</v>
      </c>
      <c r="H1360" s="1">
        <v>-4.3359929999999997E-6</v>
      </c>
      <c r="I1360">
        <v>308.82029999999997</v>
      </c>
      <c r="J1360">
        <v>-190.5018</v>
      </c>
      <c r="K1360">
        <v>1.11137</v>
      </c>
      <c r="L1360">
        <v>327.84989999999999</v>
      </c>
      <c r="M1360">
        <v>-6.3347730000000005E-2</v>
      </c>
      <c r="N1360">
        <v>0</v>
      </c>
      <c r="O1360">
        <v>-0.99792979999999998</v>
      </c>
      <c r="P1360">
        <v>-4.9003980000000003E-2</v>
      </c>
      <c r="Q1360">
        <v>7.0682780000000001E-2</v>
      </c>
      <c r="R1360">
        <v>-0.99629429999999997</v>
      </c>
      <c r="S1360">
        <v>-0.19607540000000001</v>
      </c>
      <c r="T1360">
        <v>-0.17350839999999901</v>
      </c>
      <c r="U1360">
        <v>-3.0135800000000001</v>
      </c>
      <c r="V1360">
        <v>-1.448759E-2</v>
      </c>
      <c r="W1360">
        <v>8.1692470000000003E-2</v>
      </c>
      <c r="X1360">
        <v>0.99655229999999995</v>
      </c>
      <c r="Y1360">
        <v>1.4715850000000001E-3</v>
      </c>
      <c r="Z1360">
        <v>5.7247069999999997E-2</v>
      </c>
      <c r="AA1360">
        <v>0.998359</v>
      </c>
      <c r="AB1360">
        <v>27</v>
      </c>
      <c r="AC1360">
        <v>-1.24029999999999</v>
      </c>
      <c r="AD1360">
        <v>-1.111374335993</v>
      </c>
      <c r="AE1360">
        <v>-19.029599999999999</v>
      </c>
      <c r="AF1360">
        <v>3.2143183106401997E-2</v>
      </c>
      <c r="AG1360">
        <v>-1.111374335993</v>
      </c>
      <c r="AH1360">
        <v>19.0053994893461</v>
      </c>
      <c r="AI1360">
        <v>93.346656029018604</v>
      </c>
      <c r="AJ1360">
        <v>89.903097697199598</v>
      </c>
      <c r="AK1360">
        <v>19.037893682037399</v>
      </c>
      <c r="AL1360">
        <v>85.314144480147903</v>
      </c>
      <c r="AM1360">
        <v>90.832890849901702</v>
      </c>
      <c r="AN1360">
        <v>1.0000000182769899</v>
      </c>
    </row>
    <row r="1361" spans="1:40" x14ac:dyDescent="0.25">
      <c r="A1361" t="str">
        <f>"20190312151251179"</f>
        <v>20190312151251179</v>
      </c>
      <c r="B1361" t="str">
        <f>"1552374771171419"</f>
        <v>1552374771171419</v>
      </c>
      <c r="C1361" t="s">
        <v>40</v>
      </c>
      <c r="D1361">
        <v>4.8793870000000004</v>
      </c>
      <c r="E1361">
        <v>0.50677810000000001</v>
      </c>
      <c r="F1361" t="s">
        <v>42</v>
      </c>
      <c r="G1361">
        <v>-191.70400000000001</v>
      </c>
      <c r="H1361" s="1">
        <v>-5.8583230000000003E-7</v>
      </c>
      <c r="I1361">
        <v>309.87180000000001</v>
      </c>
      <c r="J1361">
        <v>-190.51679999999999</v>
      </c>
      <c r="K1361">
        <v>1.111378</v>
      </c>
      <c r="L1361">
        <v>327.57769999999999</v>
      </c>
      <c r="M1361">
        <v>-6.1334729999999997E-2</v>
      </c>
      <c r="N1361">
        <v>0</v>
      </c>
      <c r="O1361">
        <v>-0.99805520000000003</v>
      </c>
      <c r="P1361">
        <v>-4.8346880000000002E-2</v>
      </c>
      <c r="Q1361">
        <v>7.1362149999999999E-2</v>
      </c>
      <c r="R1361">
        <v>-0.996278</v>
      </c>
      <c r="S1361">
        <v>-0.20158390000000001</v>
      </c>
      <c r="T1361">
        <v>-0.1863484</v>
      </c>
      <c r="U1361">
        <v>-3.014465</v>
      </c>
      <c r="V1361">
        <v>-1.313345E-2</v>
      </c>
      <c r="W1361">
        <v>8.2408159999999994E-2</v>
      </c>
      <c r="X1361">
        <v>0.99651210000000001</v>
      </c>
      <c r="Y1361">
        <v>5.2693100000000001E-3</v>
      </c>
      <c r="Z1361">
        <v>6.1457570000000003E-2</v>
      </c>
      <c r="AA1361">
        <v>0.99809579999999998</v>
      </c>
      <c r="AB1361">
        <v>27</v>
      </c>
      <c r="AC1361">
        <v>-1.18720000000001</v>
      </c>
      <c r="AD1361">
        <v>-1.1113785858323</v>
      </c>
      <c r="AE1361">
        <v>-17.7058999999999</v>
      </c>
      <c r="AF1361">
        <v>9.8524222946548806E-2</v>
      </c>
      <c r="AG1361">
        <v>-1.1113785858323</v>
      </c>
      <c r="AH1361">
        <v>17.676050612869702</v>
      </c>
      <c r="AI1361">
        <v>93.597670452161097</v>
      </c>
      <c r="AJ1361">
        <v>89.680643384701099</v>
      </c>
      <c r="AK1361">
        <v>17.711229055384202</v>
      </c>
      <c r="AL1361">
        <v>85.272999544637401</v>
      </c>
      <c r="AM1361">
        <v>90.755081339681595</v>
      </c>
      <c r="AN1361">
        <v>0.99999997889494796</v>
      </c>
    </row>
    <row r="1362" spans="1:40" x14ac:dyDescent="0.25">
      <c r="A1362" t="str">
        <f>"20190312151251202"</f>
        <v>20190312151251202</v>
      </c>
      <c r="B1362" t="str">
        <f>"1552374771190940"</f>
        <v>1552374771190940</v>
      </c>
      <c r="C1362" t="s">
        <v>40</v>
      </c>
      <c r="D1362">
        <v>5.0440690000000004</v>
      </c>
      <c r="E1362">
        <v>0.5067391</v>
      </c>
      <c r="F1362" t="s">
        <v>42</v>
      </c>
      <c r="G1362">
        <v>-191.68899999999999</v>
      </c>
      <c r="H1362" s="1">
        <v>-7.2560869999999999E-7</v>
      </c>
      <c r="I1362">
        <v>310.17599999999999</v>
      </c>
      <c r="J1362">
        <v>-190.5317</v>
      </c>
      <c r="K1362">
        <v>1.111381</v>
      </c>
      <c r="L1362">
        <v>327.29820000000001</v>
      </c>
      <c r="M1362">
        <v>-5.9269910000000002E-2</v>
      </c>
      <c r="N1362">
        <v>0</v>
      </c>
      <c r="O1362">
        <v>-0.9981797</v>
      </c>
      <c r="P1362">
        <v>-4.7650480000000002E-2</v>
      </c>
      <c r="Q1362">
        <v>7.2394890000000003E-2</v>
      </c>
      <c r="R1362">
        <v>-0.99623700000000004</v>
      </c>
      <c r="S1362">
        <v>-0.20309450000000001</v>
      </c>
      <c r="T1362">
        <v>-0.1925665</v>
      </c>
      <c r="U1362">
        <v>-3.0151669999999999</v>
      </c>
      <c r="V1362">
        <v>-1.1766260000000001E-2</v>
      </c>
      <c r="W1362">
        <v>8.3473549999999994E-2</v>
      </c>
      <c r="X1362">
        <v>0.99644049999999995</v>
      </c>
      <c r="Y1362">
        <v>7.8117389999999998E-3</v>
      </c>
      <c r="Z1362">
        <v>6.3495750000000004E-2</v>
      </c>
      <c r="AA1362">
        <v>0.99795149999999999</v>
      </c>
      <c r="AB1362">
        <v>27</v>
      </c>
      <c r="AC1362">
        <v>-1.15730000000002</v>
      </c>
      <c r="AD1362">
        <v>-1.1113817256087</v>
      </c>
      <c r="AE1362">
        <v>-17.122199999999999</v>
      </c>
      <c r="AF1362">
        <v>0.139784586899977</v>
      </c>
      <c r="AG1362">
        <v>-1.1113817256087</v>
      </c>
      <c r="AH1362">
        <v>17.089021392315001</v>
      </c>
      <c r="AI1362">
        <v>93.720857472786406</v>
      </c>
      <c r="AJ1362">
        <v>89.531343072983304</v>
      </c>
      <c r="AK1362">
        <v>17.1256930142331</v>
      </c>
      <c r="AL1362">
        <v>85.211746117102294</v>
      </c>
      <c r="AM1362">
        <v>90.676533829576798</v>
      </c>
      <c r="AN1362">
        <v>0.99999997423211895</v>
      </c>
    </row>
    <row r="1363" spans="1:40" x14ac:dyDescent="0.25">
      <c r="A1363" t="str">
        <f>"20190312151251223"</f>
        <v>20190312151251223</v>
      </c>
      <c r="B1363" t="str">
        <f>"1552374771211436"</f>
        <v>1552374771211436</v>
      </c>
      <c r="C1363" t="s">
        <v>40</v>
      </c>
      <c r="D1363">
        <v>4.9095659999999999</v>
      </c>
      <c r="E1363">
        <v>0.50719040000000004</v>
      </c>
      <c r="F1363" t="s">
        <v>42</v>
      </c>
      <c r="G1363">
        <v>-191.66640000000001</v>
      </c>
      <c r="H1363" s="1">
        <v>-7.6236230000000004E-7</v>
      </c>
      <c r="I1363">
        <v>310.26639999999998</v>
      </c>
      <c r="J1363">
        <v>-190.54470000000001</v>
      </c>
      <c r="K1363">
        <v>1.1113900000000001</v>
      </c>
      <c r="L1363">
        <v>327.04390000000001</v>
      </c>
      <c r="M1363">
        <v>-5.7393239999999998E-2</v>
      </c>
      <c r="N1363">
        <v>0</v>
      </c>
      <c r="O1363">
        <v>-0.99828939999999999</v>
      </c>
      <c r="P1363">
        <v>-4.7434339999999998E-2</v>
      </c>
      <c r="Q1363">
        <v>7.3394940000000006E-2</v>
      </c>
      <c r="R1363">
        <v>-0.99617469999999997</v>
      </c>
      <c r="S1363">
        <v>-0.20092769999999999</v>
      </c>
      <c r="T1363">
        <v>-0.1968066</v>
      </c>
      <c r="U1363">
        <v>-3.016022</v>
      </c>
      <c r="V1363">
        <v>-1.0107130000000001E-2</v>
      </c>
      <c r="W1363">
        <v>8.4501309999999996E-2</v>
      </c>
      <c r="X1363">
        <v>0.99637209999999998</v>
      </c>
      <c r="Y1363">
        <v>8.9530410000000001E-3</v>
      </c>
      <c r="Z1363">
        <v>6.4881620000000001E-2</v>
      </c>
      <c r="AA1363">
        <v>0.99785279999999998</v>
      </c>
      <c r="AB1363">
        <v>27</v>
      </c>
      <c r="AC1363">
        <v>-1.1216999999999999</v>
      </c>
      <c r="AD1363">
        <v>-1.1113907623622901</v>
      </c>
      <c r="AE1363">
        <v>-16.7775</v>
      </c>
      <c r="AF1363">
        <v>0.15619353835647601</v>
      </c>
      <c r="AG1363">
        <v>-1.1113907623622901</v>
      </c>
      <c r="AH1363">
        <v>16.741088262866</v>
      </c>
      <c r="AI1363">
        <v>93.797957368378107</v>
      </c>
      <c r="AJ1363">
        <v>89.465448677096703</v>
      </c>
      <c r="AK1363">
        <v>16.778665682143998</v>
      </c>
      <c r="AL1363">
        <v>85.152651102481798</v>
      </c>
      <c r="AM1363">
        <v>90.581184509637197</v>
      </c>
      <c r="AN1363">
        <v>0.99999999356348102</v>
      </c>
    </row>
    <row r="1364" spans="1:40" x14ac:dyDescent="0.25">
      <c r="A1364" t="str">
        <f>"20190312151251244"</f>
        <v>20190312151251244</v>
      </c>
      <c r="B1364" t="str">
        <f>"1552374771240716"</f>
        <v>1552374771240716</v>
      </c>
      <c r="C1364" t="s">
        <v>40</v>
      </c>
      <c r="D1364">
        <v>4.8701860000000003</v>
      </c>
      <c r="E1364">
        <v>0.50764409999999904</v>
      </c>
      <c r="F1364" t="s">
        <v>42</v>
      </c>
      <c r="G1364">
        <v>-191.6918</v>
      </c>
      <c r="H1364" s="1">
        <v>-6.8056359999999998E-7</v>
      </c>
      <c r="I1364">
        <v>310.07909999999998</v>
      </c>
      <c r="J1364">
        <v>-190.55719999999999</v>
      </c>
      <c r="K1364">
        <v>1.1113999999999999</v>
      </c>
      <c r="L1364">
        <v>326.79140000000001</v>
      </c>
      <c r="M1364">
        <v>-5.5530690000000001E-2</v>
      </c>
      <c r="N1364">
        <v>0</v>
      </c>
      <c r="O1364">
        <v>-0.99839429999999996</v>
      </c>
      <c r="P1364">
        <v>-4.6839440000000003E-2</v>
      </c>
      <c r="Q1364">
        <v>7.3960570000000003E-2</v>
      </c>
      <c r="R1364">
        <v>-0.99616059999999995</v>
      </c>
      <c r="S1364">
        <v>-0.20394899999999999</v>
      </c>
      <c r="T1364">
        <v>-0.19760420000000001</v>
      </c>
      <c r="U1364">
        <v>-3.016327</v>
      </c>
      <c r="V1364">
        <v>-8.8419409999999903E-3</v>
      </c>
      <c r="W1364">
        <v>8.5090940000000004E-2</v>
      </c>
      <c r="X1364">
        <v>0.99633400000000005</v>
      </c>
      <c r="Y1364">
        <v>1.1805710000000001E-2</v>
      </c>
      <c r="Z1364">
        <v>6.5144079999999993E-2</v>
      </c>
      <c r="AA1364">
        <v>0.99780599999999997</v>
      </c>
      <c r="AB1364">
        <v>27</v>
      </c>
      <c r="AC1364">
        <v>-1.1346000000000001</v>
      </c>
      <c r="AD1364">
        <v>-1.1114006805636001</v>
      </c>
      <c r="AE1364">
        <v>-16.712299999999999</v>
      </c>
      <c r="AF1364">
        <v>0.20384805205029599</v>
      </c>
      <c r="AG1364">
        <v>-1.1114006805636001</v>
      </c>
      <c r="AH1364">
        <v>16.6761065380438</v>
      </c>
      <c r="AI1364">
        <v>93.812628665819801</v>
      </c>
      <c r="AJ1364">
        <v>89.299653589633394</v>
      </c>
      <c r="AK1364">
        <v>16.714343982617699</v>
      </c>
      <c r="AL1364">
        <v>85.118745920552698</v>
      </c>
      <c r="AM1364">
        <v>90.508456605076901</v>
      </c>
      <c r="AN1364">
        <v>1.00000004377336</v>
      </c>
    </row>
    <row r="1365" spans="1:40" x14ac:dyDescent="0.25">
      <c r="A1365" t="str">
        <f>"20190312151251266"</f>
        <v>20190312151251266</v>
      </c>
      <c r="B1365" t="str">
        <f>"1552374771261212"</f>
        <v>1552374771261212</v>
      </c>
      <c r="C1365" t="s">
        <v>40</v>
      </c>
      <c r="D1365">
        <v>4.9143670000000004</v>
      </c>
      <c r="E1365">
        <v>0.50797409999999998</v>
      </c>
      <c r="F1365" t="s">
        <v>42</v>
      </c>
      <c r="G1365">
        <v>-191.69499999999999</v>
      </c>
      <c r="H1365" s="1">
        <v>-6.8243109999999997E-7</v>
      </c>
      <c r="I1365">
        <v>310.08120000000002</v>
      </c>
      <c r="J1365">
        <v>-190.5694</v>
      </c>
      <c r="K1365">
        <v>1.111405</v>
      </c>
      <c r="L1365">
        <v>326.53469999999999</v>
      </c>
      <c r="M1365">
        <v>-5.3637959999999998E-2</v>
      </c>
      <c r="N1365">
        <v>0</v>
      </c>
      <c r="O1365">
        <v>-0.99849759999999999</v>
      </c>
      <c r="P1365">
        <v>-4.5564250000000001E-2</v>
      </c>
      <c r="Q1365">
        <v>7.4327799999999999E-2</v>
      </c>
      <c r="R1365">
        <v>-0.99619270000000004</v>
      </c>
      <c r="S1365">
        <v>-0.20541380000000001</v>
      </c>
      <c r="T1365">
        <v>-0.2006502</v>
      </c>
      <c r="U1365">
        <v>-3.0168149999999998</v>
      </c>
      <c r="V1365">
        <v>-8.2283240000000004E-3</v>
      </c>
      <c r="W1365">
        <v>8.5478109999999996E-2</v>
      </c>
      <c r="X1365">
        <v>0.99630609999999997</v>
      </c>
      <c r="Y1365">
        <v>1.4168160000000001E-2</v>
      </c>
      <c r="Z1365">
        <v>6.6141420000000006E-2</v>
      </c>
      <c r="AA1365">
        <v>0.99770970000000003</v>
      </c>
      <c r="AB1365">
        <v>27</v>
      </c>
      <c r="AC1365">
        <v>-1.1255999999999899</v>
      </c>
      <c r="AD1365">
        <v>-1.1114056824311001</v>
      </c>
      <c r="AE1365">
        <v>-16.453499999999899</v>
      </c>
      <c r="AF1365">
        <v>0.24030054419584099</v>
      </c>
      <c r="AG1365">
        <v>-1.1114056824311001</v>
      </c>
      <c r="AH1365">
        <v>16.415638156765699</v>
      </c>
      <c r="AI1365">
        <v>93.872833488154697</v>
      </c>
      <c r="AJ1365">
        <v>89.161334847477903</v>
      </c>
      <c r="AK1365">
        <v>16.454973200717799</v>
      </c>
      <c r="AL1365">
        <v>85.096481523599905</v>
      </c>
      <c r="AM1365">
        <v>90.473185418829999</v>
      </c>
      <c r="AN1365">
        <v>1.0000000287511099</v>
      </c>
    </row>
    <row r="1366" spans="1:40" x14ac:dyDescent="0.25">
      <c r="A1366" t="str">
        <f>"20190312151251288"</f>
        <v>20190312151251288</v>
      </c>
      <c r="B1366" t="str">
        <f>"1552374771280732"</f>
        <v>1552374771280732</v>
      </c>
      <c r="C1366" t="s">
        <v>40</v>
      </c>
      <c r="D1366">
        <v>4.8692549999999999</v>
      </c>
      <c r="E1366">
        <v>0.50829480000000005</v>
      </c>
      <c r="F1366" t="s">
        <v>41</v>
      </c>
      <c r="G1366">
        <v>-190.63489999999999</v>
      </c>
      <c r="H1366">
        <v>1.046972</v>
      </c>
      <c r="I1366">
        <v>325.56970000000001</v>
      </c>
      <c r="J1366">
        <v>-190.58109999999999</v>
      </c>
      <c r="K1366">
        <v>1.1114029999999999</v>
      </c>
      <c r="L1366">
        <v>326.27730000000003</v>
      </c>
      <c r="M1366">
        <v>-5.1740019999999998E-2</v>
      </c>
      <c r="N1366">
        <v>0</v>
      </c>
      <c r="O1366">
        <v>-0.99859750000000003</v>
      </c>
      <c r="P1366">
        <v>-4.4555480000000001E-2</v>
      </c>
      <c r="Q1366">
        <v>7.4663480000000004E-2</v>
      </c>
      <c r="R1366">
        <v>-0.99621309999999996</v>
      </c>
      <c r="S1366">
        <v>-0.20429990000000001</v>
      </c>
      <c r="T1366">
        <v>-0.20165350000000001</v>
      </c>
      <c r="U1366">
        <v>-3.0172119999999998</v>
      </c>
      <c r="V1366">
        <v>-7.3430319999999898E-3</v>
      </c>
      <c r="W1366">
        <v>8.5832069999999996E-2</v>
      </c>
      <c r="X1366">
        <v>0.99628260000000002</v>
      </c>
      <c r="Y1366">
        <v>1.5691630000000002E-2</v>
      </c>
      <c r="Z1366">
        <v>6.6472050000000005E-2</v>
      </c>
      <c r="AA1366">
        <v>0.99766489999999997</v>
      </c>
      <c r="AB1366">
        <v>27</v>
      </c>
      <c r="AC1366">
        <v>-5.37999999999954E-2</v>
      </c>
      <c r="AD1366">
        <v>-6.4431000000000099E-2</v>
      </c>
      <c r="AE1366">
        <v>-0.707600000000013</v>
      </c>
      <c r="AF1366">
        <v>1.6974456968526799E-2</v>
      </c>
      <c r="AG1366">
        <v>-6.4431000000000099E-2</v>
      </c>
      <c r="AH1366">
        <v>0.70363549386324498</v>
      </c>
      <c r="AI1366">
        <v>95.230397439784298</v>
      </c>
      <c r="AJ1366">
        <v>88.618068371783494</v>
      </c>
      <c r="AK1366">
        <v>0.70678313093518896</v>
      </c>
      <c r="AL1366">
        <v>85.076126365426106</v>
      </c>
      <c r="AM1366">
        <v>90.422286933746705</v>
      </c>
      <c r="AN1366">
        <v>1.0000000417110899</v>
      </c>
    </row>
    <row r="1367" spans="1:40" x14ac:dyDescent="0.25">
      <c r="A1367" t="str">
        <f>"20190312151251311"</f>
        <v>20190312151251311</v>
      </c>
      <c r="B1367" t="str">
        <f>"1552374771301229"</f>
        <v>1552374771301229</v>
      </c>
      <c r="C1367" t="s">
        <v>40</v>
      </c>
      <c r="D1367">
        <v>4.874231</v>
      </c>
      <c r="E1367">
        <v>0.5085442</v>
      </c>
      <c r="F1367" t="s">
        <v>41</v>
      </c>
      <c r="G1367">
        <v>-190.64510000000001</v>
      </c>
      <c r="H1367">
        <v>1.048114</v>
      </c>
      <c r="I1367">
        <v>325.33120000000002</v>
      </c>
      <c r="J1367">
        <v>-190.5934</v>
      </c>
      <c r="K1367">
        <v>1.1114029999999999</v>
      </c>
      <c r="L1367">
        <v>325.99669999999998</v>
      </c>
      <c r="M1367">
        <v>-4.967063E-2</v>
      </c>
      <c r="N1367">
        <v>0</v>
      </c>
      <c r="O1367">
        <v>-0.99870230000000004</v>
      </c>
      <c r="P1367">
        <v>-4.2682209999999998E-2</v>
      </c>
      <c r="Q1367">
        <v>7.4615039999999994E-2</v>
      </c>
      <c r="R1367">
        <v>-0.99629869999999998</v>
      </c>
      <c r="S1367">
        <v>-0.2039185</v>
      </c>
      <c r="T1367">
        <v>-0.20195840000000001</v>
      </c>
      <c r="U1367">
        <v>-3.0173649999999999</v>
      </c>
      <c r="V1367">
        <v>-7.1516009999999996E-3</v>
      </c>
      <c r="W1367">
        <v>8.579929E-2</v>
      </c>
      <c r="X1367">
        <v>0.99628669999999997</v>
      </c>
      <c r="Y1367">
        <v>1.7634099999999899E-2</v>
      </c>
      <c r="Z1367">
        <v>6.6578470000000001E-2</v>
      </c>
      <c r="AA1367">
        <v>0.9976254</v>
      </c>
      <c r="AB1367">
        <v>27</v>
      </c>
      <c r="AC1367">
        <v>-5.1700000000010897E-2</v>
      </c>
      <c r="AD1367">
        <v>-6.3289000000000095E-2</v>
      </c>
      <c r="AE1367">
        <v>-0.66549999999995102</v>
      </c>
      <c r="AF1367">
        <v>1.8412754267618198E-2</v>
      </c>
      <c r="AG1367">
        <v>-6.3289000000000095E-2</v>
      </c>
      <c r="AH1367">
        <v>0.66130164083602105</v>
      </c>
      <c r="AI1367">
        <v>95.464662086648602</v>
      </c>
      <c r="AJ1367">
        <v>88.405114171969501</v>
      </c>
      <c r="AK1367">
        <v>0.66457835295255696</v>
      </c>
      <c r="AL1367">
        <v>85.078010904568799</v>
      </c>
      <c r="AM1367">
        <v>90.411276710196006</v>
      </c>
      <c r="AN1367">
        <v>0.99999992607912502</v>
      </c>
    </row>
    <row r="1368" spans="1:40" x14ac:dyDescent="0.25">
      <c r="A1368" t="str">
        <f>"20190312151251332"</f>
        <v>20190312151251332</v>
      </c>
      <c r="B1368" t="str">
        <f>"1552374771320748"</f>
        <v>1552374771320748</v>
      </c>
      <c r="C1368" t="s">
        <v>40</v>
      </c>
      <c r="D1368">
        <v>5.0353940000000001</v>
      </c>
      <c r="E1368">
        <v>0.50534869999999998</v>
      </c>
      <c r="F1368" t="s">
        <v>42</v>
      </c>
      <c r="G1368">
        <v>-191.68219999999999</v>
      </c>
      <c r="H1368" s="1">
        <v>-4.5823409999999998E-6</v>
      </c>
      <c r="I1368">
        <v>309.5754</v>
      </c>
      <c r="J1368">
        <v>-190.6036</v>
      </c>
      <c r="K1368">
        <v>1.1113999999999999</v>
      </c>
      <c r="L1368">
        <v>325.75</v>
      </c>
      <c r="M1368">
        <v>-4.7851200000000003E-2</v>
      </c>
      <c r="N1368">
        <v>0</v>
      </c>
      <c r="O1368">
        <v>-0.99879130000000005</v>
      </c>
      <c r="P1368">
        <v>-4.1135110000000003E-2</v>
      </c>
      <c r="Q1368">
        <v>7.4871380000000001E-2</v>
      </c>
      <c r="R1368">
        <v>-0.99634460000000002</v>
      </c>
      <c r="S1368">
        <v>-0.2001038</v>
      </c>
      <c r="T1368">
        <v>-0.20425270000000001</v>
      </c>
      <c r="U1368">
        <v>-3.0178829999999999</v>
      </c>
      <c r="V1368">
        <v>-6.883503E-3</v>
      </c>
      <c r="W1368">
        <v>8.6068179999999994E-2</v>
      </c>
      <c r="X1368">
        <v>0.99626550000000003</v>
      </c>
      <c r="Y1368">
        <v>1.8185239999999998E-2</v>
      </c>
      <c r="Z1368">
        <v>6.7331360000000007E-2</v>
      </c>
      <c r="AA1368">
        <v>0.99756489999999998</v>
      </c>
      <c r="AB1368">
        <v>27</v>
      </c>
      <c r="AC1368">
        <v>-1.07859999999999</v>
      </c>
      <c r="AD1368">
        <v>-1.1114045823409999</v>
      </c>
      <c r="AE1368">
        <v>-16.174599999999899</v>
      </c>
      <c r="AF1368">
        <v>0.30192221260181301</v>
      </c>
      <c r="AG1368">
        <v>-1.1114045823409999</v>
      </c>
      <c r="AH1368">
        <v>16.1318559372748</v>
      </c>
      <c r="AI1368">
        <v>93.940478384230005</v>
      </c>
      <c r="AJ1368">
        <v>88.927783066582904</v>
      </c>
      <c r="AK1368">
        <v>16.172914182332701</v>
      </c>
      <c r="AL1368">
        <v>85.062547955758703</v>
      </c>
      <c r="AM1368">
        <v>90.395867762551205</v>
      </c>
      <c r="AN1368">
        <v>1.00000003035615</v>
      </c>
    </row>
    <row r="1369" spans="1:40" x14ac:dyDescent="0.25">
      <c r="A1369" t="str">
        <f>"20190312151251354"</f>
        <v>20190312151251354</v>
      </c>
      <c r="B1369" t="str">
        <f>"1552374771351004"</f>
        <v>1552374771351004</v>
      </c>
      <c r="C1369" t="s">
        <v>40</v>
      </c>
      <c r="D1369">
        <v>4.8931050000000003</v>
      </c>
      <c r="E1369">
        <v>0.5137275</v>
      </c>
      <c r="F1369" t="s">
        <v>41</v>
      </c>
      <c r="G1369">
        <v>-190.6533</v>
      </c>
      <c r="H1369">
        <v>1.024856</v>
      </c>
      <c r="I1369">
        <v>324.86989999999997</v>
      </c>
      <c r="J1369">
        <v>-190.61429999999999</v>
      </c>
      <c r="K1369">
        <v>1.1113980000000001</v>
      </c>
      <c r="L1369">
        <v>325.48110000000003</v>
      </c>
      <c r="M1369">
        <v>-4.5868350000000002E-2</v>
      </c>
      <c r="N1369">
        <v>0</v>
      </c>
      <c r="O1369">
        <v>-0.99888410000000005</v>
      </c>
      <c r="P1369">
        <v>-3.8999249999999999E-2</v>
      </c>
      <c r="Q1369">
        <v>7.4522130000000006E-2</v>
      </c>
      <c r="R1369">
        <v>-0.99645660000000003</v>
      </c>
      <c r="S1369">
        <v>-0.17057800000000001</v>
      </c>
      <c r="T1369">
        <v>-0.29773880000000003</v>
      </c>
      <c r="U1369">
        <v>-3.0263059999999999</v>
      </c>
      <c r="V1369">
        <v>-7.0419019999999896E-3</v>
      </c>
      <c r="W1369">
        <v>8.5730399999999998E-2</v>
      </c>
      <c r="X1369">
        <v>0.99629350000000005</v>
      </c>
      <c r="Y1369">
        <v>1.0148580000000001E-2</v>
      </c>
      <c r="Z1369">
        <v>9.7677570000000005E-2</v>
      </c>
      <c r="AA1369">
        <v>0.99516640000000001</v>
      </c>
      <c r="AB1369">
        <v>27</v>
      </c>
      <c r="AC1369">
        <v>-3.9000000000015599E-2</v>
      </c>
      <c r="AD1369">
        <v>-8.6541999999999897E-2</v>
      </c>
      <c r="AE1369">
        <v>-0.61120000000005303</v>
      </c>
      <c r="AF1369">
        <v>1.07086124339686E-2</v>
      </c>
      <c r="AG1369">
        <v>-8.6541999999999897E-2</v>
      </c>
      <c r="AH1369">
        <v>0.60035799035177895</v>
      </c>
      <c r="AI1369">
        <v>98.201433095940899</v>
      </c>
      <c r="AJ1369">
        <v>88.978120972406003</v>
      </c>
      <c r="AK1369">
        <v>0.60665798331802001</v>
      </c>
      <c r="AL1369">
        <v>85.081973041865496</v>
      </c>
      <c r="AM1369">
        <v>90.404965550481606</v>
      </c>
      <c r="AN1369">
        <v>1.00000001400509</v>
      </c>
    </row>
    <row r="1370" spans="1:40" x14ac:dyDescent="0.25">
      <c r="A1370" t="str">
        <f>"20190312151251379"</f>
        <v>20190312151251379</v>
      </c>
      <c r="B1370" t="str">
        <f>"1552374771371500"</f>
        <v>1552374771371500</v>
      </c>
      <c r="C1370" t="s">
        <v>40</v>
      </c>
      <c r="D1370">
        <v>4.8617920000000003</v>
      </c>
      <c r="E1370">
        <v>0.5135923</v>
      </c>
      <c r="F1370" t="s">
        <v>41</v>
      </c>
      <c r="G1370">
        <v>-190.68010000000001</v>
      </c>
      <c r="H1370">
        <v>1.049056</v>
      </c>
      <c r="I1370">
        <v>324.6182</v>
      </c>
      <c r="J1370">
        <v>-190.62520000000001</v>
      </c>
      <c r="K1370">
        <v>1.111399</v>
      </c>
      <c r="L1370">
        <v>325.19069999999999</v>
      </c>
      <c r="M1370">
        <v>-4.3726590000000003E-2</v>
      </c>
      <c r="N1370">
        <v>0</v>
      </c>
      <c r="O1370">
        <v>-0.99898019999999998</v>
      </c>
      <c r="P1370">
        <v>-3.7249039999999997E-2</v>
      </c>
      <c r="Q1370">
        <v>7.4369840000000006E-2</v>
      </c>
      <c r="R1370">
        <v>-0.99653510000000001</v>
      </c>
      <c r="S1370">
        <v>-0.23002619999999999</v>
      </c>
      <c r="T1370">
        <v>-0.2180628</v>
      </c>
      <c r="U1370">
        <v>-3.018005</v>
      </c>
      <c r="V1370">
        <v>-6.6557500000000002E-3</v>
      </c>
      <c r="W1370">
        <v>8.5590719999999995E-2</v>
      </c>
      <c r="X1370">
        <v>0.99630810000000003</v>
      </c>
      <c r="Y1370">
        <v>3.2125430000000003E-2</v>
      </c>
      <c r="Z1370">
        <v>7.1840730000000005E-2</v>
      </c>
      <c r="AA1370">
        <v>0.99689870000000003</v>
      </c>
      <c r="AB1370">
        <v>27</v>
      </c>
      <c r="AC1370">
        <v>-5.4900000000003502E-2</v>
      </c>
      <c r="AD1370">
        <v>-6.2343000000000003E-2</v>
      </c>
      <c r="AE1370">
        <v>-0.57249999999999002</v>
      </c>
      <c r="AF1370">
        <v>2.9466190016101901E-2</v>
      </c>
      <c r="AG1370">
        <v>-6.2343000000000003E-2</v>
      </c>
      <c r="AH1370">
        <v>0.56768265502711801</v>
      </c>
      <c r="AI1370">
        <v>96.258758769595403</v>
      </c>
      <c r="AJ1370">
        <v>87.028666389348899</v>
      </c>
      <c r="AK1370">
        <v>0.57185531633596198</v>
      </c>
      <c r="AL1370">
        <v>85.090005327185096</v>
      </c>
      <c r="AM1370">
        <v>90.382753800503096</v>
      </c>
      <c r="AN1370">
        <v>0.99999995024189403</v>
      </c>
    </row>
    <row r="1371" spans="1:40" x14ac:dyDescent="0.25">
      <c r="A1371" t="str">
        <f>"20190312151251401"</f>
        <v>20190312151251401</v>
      </c>
      <c r="B1371" t="str">
        <f>"1552374771391020"</f>
        <v>1552374771391020</v>
      </c>
      <c r="C1371" t="s">
        <v>40</v>
      </c>
      <c r="D1371">
        <v>5.1111110000000002</v>
      </c>
      <c r="E1371">
        <v>0.51361639999999997</v>
      </c>
      <c r="F1371" t="s">
        <v>42</v>
      </c>
      <c r="G1371">
        <v>-191.751</v>
      </c>
      <c r="H1371" s="1">
        <v>-6.4341579999999998E-7</v>
      </c>
      <c r="I1371">
        <v>309.96719999999999</v>
      </c>
      <c r="J1371">
        <v>-190.63470000000001</v>
      </c>
      <c r="K1371">
        <v>1.111405</v>
      </c>
      <c r="L1371">
        <v>324.92399999999998</v>
      </c>
      <c r="M1371">
        <v>-4.1759890000000001E-2</v>
      </c>
      <c r="N1371">
        <v>0</v>
      </c>
      <c r="O1371">
        <v>-0.99906399999999995</v>
      </c>
      <c r="P1371">
        <v>-3.6072180000000002E-2</v>
      </c>
      <c r="Q1371">
        <v>7.4538480000000004E-2</v>
      </c>
      <c r="R1371">
        <v>-0.9965657</v>
      </c>
      <c r="S1371">
        <v>-0.2232208</v>
      </c>
      <c r="T1371">
        <v>-0.22036800000000001</v>
      </c>
      <c r="U1371">
        <v>-3.0185240000000002</v>
      </c>
      <c r="V1371">
        <v>-5.8708299999999996E-3</v>
      </c>
      <c r="W1371">
        <v>8.5771260000000002E-2</v>
      </c>
      <c r="X1371">
        <v>0.99629749999999995</v>
      </c>
      <c r="Y1371">
        <v>3.1841040000000001E-2</v>
      </c>
      <c r="Z1371">
        <v>7.2599399999999994E-2</v>
      </c>
      <c r="AA1371">
        <v>0.99685279999999998</v>
      </c>
      <c r="AB1371">
        <v>27</v>
      </c>
      <c r="AC1371">
        <v>-1.1162999999999601</v>
      </c>
      <c r="AD1371">
        <v>-1.1114056434157999</v>
      </c>
      <c r="AE1371">
        <v>-14.956799999999999</v>
      </c>
      <c r="AF1371">
        <v>0.48801233829638901</v>
      </c>
      <c r="AG1371">
        <v>-1.1114056434157999</v>
      </c>
      <c r="AH1371">
        <v>14.9085073338233</v>
      </c>
      <c r="AI1371">
        <v>94.261149581176596</v>
      </c>
      <c r="AJ1371">
        <v>88.1251599274825</v>
      </c>
      <c r="AK1371">
        <v>14.9578397327024</v>
      </c>
      <c r="AL1371">
        <v>85.079622926582502</v>
      </c>
      <c r="AM1371">
        <v>90.337619925759697</v>
      </c>
      <c r="AN1371">
        <v>0.99999994209656096</v>
      </c>
    </row>
    <row r="1372" spans="1:40" x14ac:dyDescent="0.25">
      <c r="A1372" t="str">
        <f>"20190312151251424"</f>
        <v>20190312151251424</v>
      </c>
      <c r="B1372" t="str">
        <f>"1552374771421276"</f>
        <v>1552374771421276</v>
      </c>
      <c r="C1372" t="s">
        <v>40</v>
      </c>
      <c r="D1372">
        <v>4.8458990000000002</v>
      </c>
      <c r="E1372">
        <v>0.51433240000000002</v>
      </c>
      <c r="F1372" t="s">
        <v>42</v>
      </c>
      <c r="G1372">
        <v>-191.74250000000001</v>
      </c>
      <c r="H1372" s="1">
        <v>-5.2270309999999895E-7</v>
      </c>
      <c r="I1372">
        <v>309.71660000000003</v>
      </c>
      <c r="J1372">
        <v>-190.6439</v>
      </c>
      <c r="K1372">
        <v>1.1114120000000001</v>
      </c>
      <c r="L1372">
        <v>324.65359999999998</v>
      </c>
      <c r="M1372">
        <v>-3.976524E-2</v>
      </c>
      <c r="N1372">
        <v>0</v>
      </c>
      <c r="O1372">
        <v>-0.99914530000000001</v>
      </c>
      <c r="P1372">
        <v>-3.5416780000000002E-2</v>
      </c>
      <c r="Q1372">
        <v>7.52887E-2</v>
      </c>
      <c r="R1372">
        <v>-0.9965328</v>
      </c>
      <c r="S1372">
        <v>-0.21990970000000001</v>
      </c>
      <c r="T1372">
        <v>-0.22063160000000001</v>
      </c>
      <c r="U1372">
        <v>-3.0189210000000002</v>
      </c>
      <c r="V1372">
        <v>-4.5365229999999998E-3</v>
      </c>
      <c r="W1372">
        <v>8.6533260000000001E-2</v>
      </c>
      <c r="X1372">
        <v>0.99623859999999997</v>
      </c>
      <c r="Y1372">
        <v>3.273885E-2</v>
      </c>
      <c r="Z1372">
        <v>7.2686990000000007E-2</v>
      </c>
      <c r="AA1372">
        <v>0.99681730000000002</v>
      </c>
      <c r="AB1372">
        <v>27</v>
      </c>
      <c r="AC1372">
        <v>-1.0986</v>
      </c>
      <c r="AD1372">
        <v>-1.1114125227031</v>
      </c>
      <c r="AE1372">
        <v>-14.9369999999999</v>
      </c>
      <c r="AF1372">
        <v>0.50096114781962098</v>
      </c>
      <c r="AG1372">
        <v>-1.1114125227031</v>
      </c>
      <c r="AH1372">
        <v>14.8868972676031</v>
      </c>
      <c r="AI1372">
        <v>94.267209310217098</v>
      </c>
      <c r="AJ1372">
        <v>88.072658667344498</v>
      </c>
      <c r="AK1372">
        <v>14.9367302353432</v>
      </c>
      <c r="AL1372">
        <v>85.035800728881796</v>
      </c>
      <c r="AM1372">
        <v>90.2609031862617</v>
      </c>
      <c r="AN1372">
        <v>0.99999996662855795</v>
      </c>
    </row>
    <row r="1373" spans="1:40" x14ac:dyDescent="0.25">
      <c r="A1373" t="str">
        <f>"20190312151251445"</f>
        <v>20190312151251445</v>
      </c>
      <c r="B1373" t="str">
        <f>"1552374771440796"</f>
        <v>1552374771440796</v>
      </c>
      <c r="C1373" t="s">
        <v>40</v>
      </c>
      <c r="D1373">
        <v>4.8586619999999998</v>
      </c>
      <c r="E1373">
        <v>0.51487989999999995</v>
      </c>
      <c r="F1373" t="s">
        <v>42</v>
      </c>
      <c r="G1373">
        <v>-191.7766</v>
      </c>
      <c r="H1373" s="1">
        <v>-4.5287070000000003E-6</v>
      </c>
      <c r="I1373">
        <v>309.36860000000001</v>
      </c>
      <c r="J1373">
        <v>-190.65180000000001</v>
      </c>
      <c r="K1373">
        <v>1.1114189999999999</v>
      </c>
      <c r="L1373">
        <v>324.40410000000003</v>
      </c>
      <c r="M1373">
        <v>-3.7925430000000003E-2</v>
      </c>
      <c r="N1373">
        <v>0</v>
      </c>
      <c r="O1373">
        <v>-0.99921660000000001</v>
      </c>
      <c r="P1373">
        <v>-3.5760119999999999E-2</v>
      </c>
      <c r="Q1373">
        <v>7.6294650000000006E-2</v>
      </c>
      <c r="R1373">
        <v>-0.99644350000000004</v>
      </c>
      <c r="S1373">
        <v>-0.22372439999999999</v>
      </c>
      <c r="T1373">
        <v>-0.2195232</v>
      </c>
      <c r="U1373">
        <v>-3.0190429999999999</v>
      </c>
      <c r="V1373">
        <v>-2.3572789999999999E-3</v>
      </c>
      <c r="W1373">
        <v>8.7552660000000004E-2</v>
      </c>
      <c r="X1373">
        <v>0.99615710000000002</v>
      </c>
      <c r="Y1373">
        <v>3.5830819999999999E-2</v>
      </c>
      <c r="Z1373">
        <v>7.2321440000000001E-2</v>
      </c>
      <c r="AA1373">
        <v>0.99673750000000005</v>
      </c>
      <c r="AB1373">
        <v>27</v>
      </c>
      <c r="AC1373">
        <v>-1.12479999999999</v>
      </c>
      <c r="AD1373">
        <v>-1.111423528707</v>
      </c>
      <c r="AE1373">
        <v>-15.035500000000001</v>
      </c>
      <c r="AF1373">
        <v>0.55073387608896596</v>
      </c>
      <c r="AG1373">
        <v>-1.111423528707</v>
      </c>
      <c r="AH1373">
        <v>14.985913198212099</v>
      </c>
      <c r="AI1373">
        <v>94.238699515239603</v>
      </c>
      <c r="AJ1373">
        <v>87.895321279818106</v>
      </c>
      <c r="AK1373">
        <v>15.0371594540585</v>
      </c>
      <c r="AL1373">
        <v>84.977171030755301</v>
      </c>
      <c r="AM1373">
        <v>90.135582917325195</v>
      </c>
      <c r="AN1373">
        <v>0.99999999645888404</v>
      </c>
    </row>
    <row r="1374" spans="1:40" x14ac:dyDescent="0.25">
      <c r="A1374" t="str">
        <f>"20190312151251466"</f>
        <v>20190312151251466</v>
      </c>
      <c r="B1374" t="str">
        <f>"1552374771461291"</f>
        <v>1552374771461291</v>
      </c>
      <c r="C1374" t="s">
        <v>40</v>
      </c>
      <c r="D1374">
        <v>4.878978</v>
      </c>
      <c r="E1374">
        <v>0.51530500000000001</v>
      </c>
      <c r="F1374" t="s">
        <v>42</v>
      </c>
      <c r="G1374">
        <v>-191.8271</v>
      </c>
      <c r="H1374" s="1">
        <v>-4.3804189999999999E-6</v>
      </c>
      <c r="I1374">
        <v>308.90649999999999</v>
      </c>
      <c r="J1374">
        <v>-190.6591</v>
      </c>
      <c r="K1374">
        <v>1.111426</v>
      </c>
      <c r="L1374">
        <v>324.1583</v>
      </c>
      <c r="M1374">
        <v>-3.6113300000000001E-2</v>
      </c>
      <c r="N1374">
        <v>0</v>
      </c>
      <c r="O1374">
        <v>-0.99928380000000006</v>
      </c>
      <c r="P1374">
        <v>-3.6449130000000003E-2</v>
      </c>
      <c r="Q1374">
        <v>7.6950050000000006E-2</v>
      </c>
      <c r="R1374">
        <v>-0.99636860000000005</v>
      </c>
      <c r="S1374">
        <v>-0.2289581</v>
      </c>
      <c r="T1374">
        <v>-0.2165155</v>
      </c>
      <c r="U1374">
        <v>-3.0190730000000001</v>
      </c>
      <c r="V1374">
        <v>1.3967999999999999E-4</v>
      </c>
      <c r="W1374">
        <v>8.8222410000000001E-2</v>
      </c>
      <c r="X1374">
        <v>0.99610080000000001</v>
      </c>
      <c r="Y1374">
        <v>3.9365820000000003E-2</v>
      </c>
      <c r="Z1374">
        <v>7.1332779999999998E-2</v>
      </c>
      <c r="AA1374">
        <v>0.99667539999999999</v>
      </c>
      <c r="AB1374">
        <v>27</v>
      </c>
      <c r="AC1374">
        <v>-1.1679999999999999</v>
      </c>
      <c r="AD1374">
        <v>-1.111430380419</v>
      </c>
      <c r="AE1374">
        <v>-15.251799999999999</v>
      </c>
      <c r="AF1374">
        <v>0.61317284231253999</v>
      </c>
      <c r="AG1374">
        <v>-1.111430380419</v>
      </c>
      <c r="AH1374">
        <v>15.2037666057035</v>
      </c>
      <c r="AI1374">
        <v>94.177632297423301</v>
      </c>
      <c r="AJ1374">
        <v>87.690494235565694</v>
      </c>
      <c r="AK1374">
        <v>15.2566633778744</v>
      </c>
      <c r="AL1374">
        <v>84.938648174254595</v>
      </c>
      <c r="AM1374">
        <v>89.991965597829093</v>
      </c>
      <c r="AN1374">
        <v>1.00000000844867</v>
      </c>
    </row>
    <row r="1375" spans="1:40" x14ac:dyDescent="0.25">
      <c r="A1375" t="str">
        <f>"20190312151251489"</f>
        <v>20190312151251489</v>
      </c>
      <c r="B1375" t="str">
        <f>"1552374771480812"</f>
        <v>1552374771480812</v>
      </c>
      <c r="C1375" t="s">
        <v>40</v>
      </c>
      <c r="D1375">
        <v>4.8359940000000003</v>
      </c>
      <c r="E1375">
        <v>0.51564379999999999</v>
      </c>
      <c r="F1375" t="s">
        <v>41</v>
      </c>
      <c r="G1375">
        <v>-190.73410000000001</v>
      </c>
      <c r="H1375">
        <v>1.043501</v>
      </c>
      <c r="I1375">
        <v>323.19389999999999</v>
      </c>
      <c r="J1375">
        <v>-190.667</v>
      </c>
      <c r="K1375">
        <v>1.1114310000000001</v>
      </c>
      <c r="L1375">
        <v>323.87650000000002</v>
      </c>
      <c r="M1375">
        <v>-3.403846E-2</v>
      </c>
      <c r="N1375">
        <v>0</v>
      </c>
      <c r="O1375">
        <v>-0.99935660000000004</v>
      </c>
      <c r="P1375">
        <v>-3.7721780000000003E-2</v>
      </c>
      <c r="Q1375">
        <v>7.7434139999999999E-2</v>
      </c>
      <c r="R1375">
        <v>-0.99628399999999995</v>
      </c>
      <c r="S1375">
        <v>-0.23449710000000001</v>
      </c>
      <c r="T1375">
        <v>-0.21275820000000001</v>
      </c>
      <c r="U1375">
        <v>-3.018799</v>
      </c>
      <c r="V1375">
        <v>3.482841E-3</v>
      </c>
      <c r="W1375">
        <v>8.8723499999999997E-2</v>
      </c>
      <c r="X1375">
        <v>0.9960502</v>
      </c>
      <c r="Y1375">
        <v>4.3271740000000003E-2</v>
      </c>
      <c r="Z1375">
        <v>7.0104459999999993E-2</v>
      </c>
      <c r="AA1375">
        <v>0.99660070000000001</v>
      </c>
      <c r="AB1375">
        <v>27</v>
      </c>
      <c r="AC1375">
        <v>-6.7100000000010596E-2</v>
      </c>
      <c r="AD1375">
        <v>-6.7930000000000004E-2</v>
      </c>
      <c r="AE1375">
        <v>-0.68260000000003596</v>
      </c>
      <c r="AF1375">
        <v>4.3399281653575497E-2</v>
      </c>
      <c r="AG1375">
        <v>-6.7930000000000004E-2</v>
      </c>
      <c r="AH1375">
        <v>0.67783975640164096</v>
      </c>
      <c r="AI1375">
        <v>95.711197197960203</v>
      </c>
      <c r="AJ1375">
        <v>86.336588102849106</v>
      </c>
      <c r="AK1375">
        <v>0.68261608383240002</v>
      </c>
      <c r="AL1375">
        <v>84.9098247362477</v>
      </c>
      <c r="AM1375">
        <v>89.799657410096799</v>
      </c>
      <c r="AN1375">
        <v>0.99999999527686001</v>
      </c>
    </row>
    <row r="1376" spans="1:40" x14ac:dyDescent="0.25">
      <c r="A1376" t="str">
        <f>"20190312151251511"</f>
        <v>20190312151251511</v>
      </c>
      <c r="B1376" t="str">
        <f>"1552374771501309"</f>
        <v>1552374771501309</v>
      </c>
      <c r="C1376" t="s">
        <v>40</v>
      </c>
      <c r="D1376">
        <v>4.981039</v>
      </c>
      <c r="E1376">
        <v>0.54163499999999998</v>
      </c>
      <c r="F1376" t="s">
        <v>41</v>
      </c>
      <c r="G1376">
        <v>-190.74090000000001</v>
      </c>
      <c r="H1376">
        <v>1.047078</v>
      </c>
      <c r="I1376">
        <v>322.95280000000002</v>
      </c>
      <c r="J1376">
        <v>-190.6738</v>
      </c>
      <c r="K1376">
        <v>1.111437</v>
      </c>
      <c r="L1376">
        <v>323.61380000000003</v>
      </c>
      <c r="M1376">
        <v>-3.2107160000000003E-2</v>
      </c>
      <c r="N1376">
        <v>0</v>
      </c>
      <c r="O1376">
        <v>-0.99942039999999999</v>
      </c>
      <c r="P1376">
        <v>-3.970071E-2</v>
      </c>
      <c r="Q1376">
        <v>7.7445109999999998E-2</v>
      </c>
      <c r="R1376">
        <v>-0.99620600000000004</v>
      </c>
      <c r="S1376">
        <v>-0.240921</v>
      </c>
      <c r="T1376">
        <v>-0.21056800000000001</v>
      </c>
      <c r="U1376">
        <v>-3.018402</v>
      </c>
      <c r="V1376">
        <v>7.39002699999999E-3</v>
      </c>
      <c r="W1376">
        <v>8.8752960000000006E-2</v>
      </c>
      <c r="X1376">
        <v>0.99602630000000003</v>
      </c>
      <c r="Y1376">
        <v>4.7324089999999999E-2</v>
      </c>
      <c r="Z1376">
        <v>6.938983E-2</v>
      </c>
      <c r="AA1376">
        <v>0.99646650000000003</v>
      </c>
      <c r="AB1376">
        <v>27</v>
      </c>
      <c r="AC1376">
        <v>-6.7100000000010596E-2</v>
      </c>
      <c r="AD1376">
        <v>-6.4358999999999805E-2</v>
      </c>
      <c r="AE1376">
        <v>-0.66100000000000103</v>
      </c>
      <c r="AF1376">
        <v>4.5415059286690998E-2</v>
      </c>
      <c r="AG1376">
        <v>-6.4358999999999805E-2</v>
      </c>
      <c r="AH1376">
        <v>0.65665202346732499</v>
      </c>
      <c r="AI1376">
        <v>95.584471994476402</v>
      </c>
      <c r="AJ1376">
        <v>86.043636322938497</v>
      </c>
      <c r="AK1376">
        <v>0.66135957573376503</v>
      </c>
      <c r="AL1376">
        <v>84.908130372910307</v>
      </c>
      <c r="AM1376">
        <v>89.574901196626001</v>
      </c>
      <c r="AN1376">
        <v>1.00000004534975</v>
      </c>
    </row>
    <row r="1377" spans="1:40" x14ac:dyDescent="0.25">
      <c r="A1377" t="str">
        <f>"20190312151251534"</f>
        <v>20190312151251534</v>
      </c>
      <c r="B1377" t="str">
        <f>"1552374771531564"</f>
        <v>1552374771531564</v>
      </c>
      <c r="C1377" t="s">
        <v>40</v>
      </c>
      <c r="D1377">
        <v>4.7998180000000001</v>
      </c>
      <c r="E1377">
        <v>0.55037550000000002</v>
      </c>
      <c r="F1377" t="s">
        <v>42</v>
      </c>
      <c r="G1377">
        <v>-193.7467</v>
      </c>
      <c r="H1377" s="1">
        <v>-2.560237E-6</v>
      </c>
      <c r="I1377">
        <v>303.23329999999999</v>
      </c>
      <c r="J1377">
        <v>-190.68049999999999</v>
      </c>
      <c r="K1377">
        <v>1.111434</v>
      </c>
      <c r="L1377">
        <v>323.33659999999998</v>
      </c>
      <c r="M1377">
        <v>-3.0075109999999999E-2</v>
      </c>
      <c r="N1377">
        <v>0</v>
      </c>
      <c r="O1377">
        <v>-0.99948349999999997</v>
      </c>
      <c r="P1377">
        <v>-4.1811149999999998E-2</v>
      </c>
      <c r="Q1377">
        <v>7.7683340000000004E-2</v>
      </c>
      <c r="R1377">
        <v>-0.99610109999999996</v>
      </c>
      <c r="S1377">
        <v>-0.45324710000000001</v>
      </c>
      <c r="T1377">
        <v>-0.16393579999999999</v>
      </c>
      <c r="U1377">
        <v>-3.0061040000000001</v>
      </c>
      <c r="V1377">
        <v>1.152942E-2</v>
      </c>
      <c r="W1377">
        <v>8.9009420000000006E-2</v>
      </c>
      <c r="X1377">
        <v>0.99596410000000002</v>
      </c>
      <c r="Y1377">
        <v>0.1190653</v>
      </c>
      <c r="Z1377">
        <v>5.3919099999999998E-2</v>
      </c>
      <c r="AA1377">
        <v>0.99142129999999995</v>
      </c>
      <c r="AB1377">
        <v>27</v>
      </c>
      <c r="AC1377">
        <v>-3.0661999999999998</v>
      </c>
      <c r="AD1377">
        <v>-1.111436560237</v>
      </c>
      <c r="AE1377">
        <v>-20.103299999999901</v>
      </c>
      <c r="AF1377">
        <v>2.45283824357388</v>
      </c>
      <c r="AG1377">
        <v>-1.111436560237</v>
      </c>
      <c r="AH1377">
        <v>20.126308187441801</v>
      </c>
      <c r="AI1377">
        <v>93.137669597882393</v>
      </c>
      <c r="AJ1377">
        <v>83.051501504886502</v>
      </c>
      <c r="AK1377">
        <v>20.305663937248099</v>
      </c>
      <c r="AL1377">
        <v>84.893377916689801</v>
      </c>
      <c r="AM1377">
        <v>89.336765651657402</v>
      </c>
      <c r="AN1377">
        <v>1.0000000464315399</v>
      </c>
    </row>
    <row r="1378" spans="1:40" x14ac:dyDescent="0.25">
      <c r="A1378" t="str">
        <f>"20190312151251555"</f>
        <v>20190312151251555</v>
      </c>
      <c r="B1378" t="str">
        <f>"1552374771551085"</f>
        <v>1552374771551085</v>
      </c>
      <c r="C1378" t="s">
        <v>40</v>
      </c>
      <c r="D1378">
        <v>4.7509860000000002</v>
      </c>
      <c r="E1378">
        <v>0.55790620000000002</v>
      </c>
      <c r="F1378" t="s">
        <v>42</v>
      </c>
      <c r="G1378">
        <v>-194.06280000000001</v>
      </c>
      <c r="H1378" s="1">
        <v>-3.0336009999999999E-6</v>
      </c>
      <c r="I1378">
        <v>304.14069999999998</v>
      </c>
      <c r="J1378">
        <v>-190.68600000000001</v>
      </c>
      <c r="K1378">
        <v>1.1114299999999999</v>
      </c>
      <c r="L1378">
        <v>323.0883</v>
      </c>
      <c r="M1378">
        <v>-2.8268769999999999E-2</v>
      </c>
      <c r="N1378">
        <v>0</v>
      </c>
      <c r="O1378">
        <v>-0.99953619999999999</v>
      </c>
      <c r="P1378">
        <v>-4.3755629999999997E-2</v>
      </c>
      <c r="Q1378">
        <v>7.7814850000000005E-2</v>
      </c>
      <c r="R1378">
        <v>-0.99600730000000004</v>
      </c>
      <c r="S1378">
        <v>-0.52914430000000001</v>
      </c>
      <c r="T1378">
        <v>-0.17387739999999999</v>
      </c>
      <c r="U1378">
        <v>-3.003082</v>
      </c>
      <c r="V1378">
        <v>1.5278419999999999E-2</v>
      </c>
      <c r="W1378">
        <v>8.9157130000000001E-2</v>
      </c>
      <c r="X1378">
        <v>0.99590040000000002</v>
      </c>
      <c r="Y1378">
        <v>0.14533399999999999</v>
      </c>
      <c r="Z1378">
        <v>5.702372E-2</v>
      </c>
      <c r="AA1378">
        <v>0.987738</v>
      </c>
      <c r="AB1378">
        <v>27</v>
      </c>
      <c r="AC1378">
        <v>-3.37680000000003</v>
      </c>
      <c r="AD1378">
        <v>-1.1114330336010001</v>
      </c>
      <c r="AE1378">
        <v>-18.947600000000001</v>
      </c>
      <c r="AF1378">
        <v>2.8303517640545901</v>
      </c>
      <c r="AG1378">
        <v>-1.1114330336010001</v>
      </c>
      <c r="AH1378">
        <v>18.972221006452301</v>
      </c>
      <c r="AI1378">
        <v>93.316062144946798</v>
      </c>
      <c r="AJ1378">
        <v>81.514964569372196</v>
      </c>
      <c r="AK1378">
        <v>19.214352562970699</v>
      </c>
      <c r="AL1378">
        <v>84.884880815696405</v>
      </c>
      <c r="AM1378">
        <v>89.121076447665303</v>
      </c>
      <c r="AN1378">
        <v>1.00000001533384</v>
      </c>
    </row>
    <row r="1379" spans="1:40" x14ac:dyDescent="0.25">
      <c r="A1379" t="str">
        <f>"20190312151251579"</f>
        <v>20190312151251579</v>
      </c>
      <c r="B1379" t="str">
        <f>"1552374771571580"</f>
        <v>1552374771571580</v>
      </c>
      <c r="C1379" t="s">
        <v>40</v>
      </c>
      <c r="D1379">
        <v>4.710934</v>
      </c>
      <c r="E1379">
        <v>0.56038580000000004</v>
      </c>
      <c r="F1379" t="s">
        <v>41</v>
      </c>
      <c r="G1379">
        <v>-190.85429999999999</v>
      </c>
      <c r="H1379">
        <v>1.038532</v>
      </c>
      <c r="I1379">
        <v>322.23919999999998</v>
      </c>
      <c r="J1379">
        <v>-190.6918</v>
      </c>
      <c r="K1379">
        <v>1.111402</v>
      </c>
      <c r="L1379">
        <v>322.803</v>
      </c>
      <c r="M1379">
        <v>-2.6225439999999999E-2</v>
      </c>
      <c r="N1379">
        <v>0</v>
      </c>
      <c r="O1379">
        <v>-0.99959189999999998</v>
      </c>
      <c r="P1379">
        <v>-4.5787460000000002E-2</v>
      </c>
      <c r="Q1379">
        <v>7.7453040000000001E-2</v>
      </c>
      <c r="R1379">
        <v>-0.9959443</v>
      </c>
      <c r="S1379">
        <v>-0.59576419999999997</v>
      </c>
      <c r="T1379">
        <v>-0.25816319999999998</v>
      </c>
      <c r="U1379">
        <v>-3.0060419999999999</v>
      </c>
      <c r="V1379">
        <v>1.9353950000000002E-2</v>
      </c>
      <c r="W1379">
        <v>8.8811840000000003E-2</v>
      </c>
      <c r="X1379">
        <v>0.99586039999999998</v>
      </c>
      <c r="Y1379">
        <v>0.16792570000000001</v>
      </c>
      <c r="Z1379">
        <v>8.4103269999999994E-2</v>
      </c>
      <c r="AA1379">
        <v>0.98220549999999995</v>
      </c>
      <c r="AB1379">
        <v>27</v>
      </c>
      <c r="AC1379">
        <v>-0.16249999999999401</v>
      </c>
      <c r="AD1379">
        <v>-7.2869999999999893E-2</v>
      </c>
      <c r="AE1379">
        <v>-0.56380000000001396</v>
      </c>
      <c r="AF1379">
        <v>0.14541441493493901</v>
      </c>
      <c r="AG1379">
        <v>-7.2869999999999893E-2</v>
      </c>
      <c r="AH1379">
        <v>0.55924235258692601</v>
      </c>
      <c r="AI1379">
        <v>97.187508926458605</v>
      </c>
      <c r="AJ1379">
        <v>75.424689490438496</v>
      </c>
      <c r="AK1379">
        <v>0.58241514222917501</v>
      </c>
      <c r="AL1379">
        <v>84.904743330424793</v>
      </c>
      <c r="AM1379">
        <v>88.886631023208295</v>
      </c>
      <c r="AN1379">
        <v>1.00000002729647</v>
      </c>
    </row>
    <row r="1380" spans="1:40" x14ac:dyDescent="0.25">
      <c r="A1380" t="str">
        <f>"20190312151251603"</f>
        <v>20190312151251603</v>
      </c>
      <c r="B1380" t="str">
        <f>"1552374771591100"</f>
        <v>1552374771591100</v>
      </c>
      <c r="C1380" t="s">
        <v>40</v>
      </c>
      <c r="D1380">
        <v>4.6601100000000004</v>
      </c>
      <c r="E1380">
        <v>0.56150480000000003</v>
      </c>
      <c r="F1380" t="s">
        <v>41</v>
      </c>
      <c r="G1380">
        <v>-190.8578</v>
      </c>
      <c r="H1380">
        <v>1.036737</v>
      </c>
      <c r="I1380">
        <v>322.00130000000001</v>
      </c>
      <c r="J1380">
        <v>-190.69720000000001</v>
      </c>
      <c r="K1380">
        <v>1.1113679999999999</v>
      </c>
      <c r="L1380">
        <v>322.50830000000002</v>
      </c>
      <c r="M1380">
        <v>-2.4163500000000001E-2</v>
      </c>
      <c r="N1380">
        <v>0</v>
      </c>
      <c r="O1380">
        <v>-0.99964390000000003</v>
      </c>
      <c r="P1380">
        <v>-4.7541920000000001E-2</v>
      </c>
      <c r="Q1380">
        <v>7.7190699999999904E-2</v>
      </c>
      <c r="R1380">
        <v>-0.9958825</v>
      </c>
      <c r="S1380">
        <v>-0.62156679999999997</v>
      </c>
      <c r="T1380">
        <v>-0.28012110000000001</v>
      </c>
      <c r="U1380">
        <v>-3.0054319999999999</v>
      </c>
      <c r="V1380">
        <v>2.3173099999999999E-2</v>
      </c>
      <c r="W1380">
        <v>8.8563429999999999E-2</v>
      </c>
      <c r="X1380">
        <v>0.99580100000000005</v>
      </c>
      <c r="Y1380">
        <v>0.17796409999999999</v>
      </c>
      <c r="Z1380">
        <v>9.1066560000000005E-2</v>
      </c>
      <c r="AA1380">
        <v>0.97981410000000002</v>
      </c>
      <c r="AB1380">
        <v>27</v>
      </c>
      <c r="AC1380">
        <v>-0.160599999999988</v>
      </c>
      <c r="AD1380">
        <v>-7.46310000000001E-2</v>
      </c>
      <c r="AE1380">
        <v>-0.507000000000005</v>
      </c>
      <c r="AF1380">
        <v>0.14543743017442001</v>
      </c>
      <c r="AG1380">
        <v>-7.46310000000001E-2</v>
      </c>
      <c r="AH1380">
        <v>0.50086959867523695</v>
      </c>
      <c r="AI1380">
        <v>98.143318202197307</v>
      </c>
      <c r="AJ1380">
        <v>73.808295979368296</v>
      </c>
      <c r="AK1380">
        <v>0.52687018053200896</v>
      </c>
      <c r="AL1380">
        <v>84.919032610385798</v>
      </c>
      <c r="AM1380">
        <v>88.666921163123902</v>
      </c>
      <c r="AN1380">
        <v>1.0000000526489801</v>
      </c>
    </row>
    <row r="1381" spans="1:40" x14ac:dyDescent="0.25">
      <c r="A1381" t="str">
        <f>"20190312151251626"</f>
        <v>20190312151251626</v>
      </c>
      <c r="B1381" t="str">
        <f>"1552374771621356"</f>
        <v>1552374771621356</v>
      </c>
      <c r="C1381" t="s">
        <v>40</v>
      </c>
      <c r="D1381">
        <v>4.5688000000000004</v>
      </c>
      <c r="E1381">
        <v>0.5626582</v>
      </c>
      <c r="F1381" t="s">
        <v>41</v>
      </c>
      <c r="G1381">
        <v>-190.85499999999999</v>
      </c>
      <c r="H1381">
        <v>1.0359339999999999</v>
      </c>
      <c r="I1381">
        <v>321.76319999999998</v>
      </c>
      <c r="J1381">
        <v>-190.70160000000001</v>
      </c>
      <c r="K1381">
        <v>1.1113280000000001</v>
      </c>
      <c r="L1381">
        <v>322.24549999999999</v>
      </c>
      <c r="M1381">
        <v>-2.2383699999999999E-2</v>
      </c>
      <c r="N1381">
        <v>0</v>
      </c>
      <c r="O1381">
        <v>-0.99968520000000005</v>
      </c>
      <c r="P1381">
        <v>-5.0139429999999999E-2</v>
      </c>
      <c r="Q1381">
        <v>7.6692099999999999E-2</v>
      </c>
      <c r="R1381">
        <v>-0.99579359999999995</v>
      </c>
      <c r="S1381">
        <v>-0.63603209999999999</v>
      </c>
      <c r="T1381">
        <v>-0.30435709999999999</v>
      </c>
      <c r="U1381">
        <v>-3.0056150000000001</v>
      </c>
      <c r="V1381">
        <v>2.7556790000000001E-2</v>
      </c>
      <c r="W1381">
        <v>8.8078020000000007E-2</v>
      </c>
      <c r="X1381">
        <v>0.99573230000000001</v>
      </c>
      <c r="Y1381">
        <v>0.18406629999999999</v>
      </c>
      <c r="Z1381">
        <v>9.8767090000000002E-2</v>
      </c>
      <c r="AA1381">
        <v>0.977939</v>
      </c>
      <c r="AB1381">
        <v>27</v>
      </c>
      <c r="AC1381">
        <v>-0.153399999999976</v>
      </c>
      <c r="AD1381">
        <v>-7.53940000000001E-2</v>
      </c>
      <c r="AE1381">
        <v>-0.482300000000009</v>
      </c>
      <c r="AF1381">
        <v>0.139470148261537</v>
      </c>
      <c r="AG1381">
        <v>-7.53940000000001E-2</v>
      </c>
      <c r="AH1381">
        <v>0.47507046864845798</v>
      </c>
      <c r="AI1381">
        <v>98.6581564534861</v>
      </c>
      <c r="AJ1381">
        <v>73.6389315458608</v>
      </c>
      <c r="AK1381">
        <v>0.50082744301202198</v>
      </c>
      <c r="AL1381">
        <v>84.946953216267104</v>
      </c>
      <c r="AM1381">
        <v>88.414749768564207</v>
      </c>
      <c r="AN1381">
        <v>0.99999996377275602</v>
      </c>
    </row>
    <row r="1382" spans="1:40" x14ac:dyDescent="0.25">
      <c r="A1382" t="str">
        <f>"20190312151251644"</f>
        <v>20190312151251644</v>
      </c>
      <c r="B1382" t="str">
        <f>"1552374771640876"</f>
        <v>1552374771640876</v>
      </c>
      <c r="C1382" t="s">
        <v>40</v>
      </c>
      <c r="D1382">
        <v>4.4107900000000004</v>
      </c>
      <c r="E1382">
        <v>0.5632104</v>
      </c>
      <c r="F1382" t="s">
        <v>41</v>
      </c>
      <c r="G1382">
        <v>-190.9092</v>
      </c>
      <c r="H1382">
        <v>1.013458</v>
      </c>
      <c r="I1382">
        <v>321.2919</v>
      </c>
      <c r="J1382">
        <v>-190.70519999999999</v>
      </c>
      <c r="K1382">
        <v>1.1112839999999999</v>
      </c>
      <c r="L1382">
        <v>322.01119999999997</v>
      </c>
      <c r="M1382">
        <v>-2.0857939999999998E-2</v>
      </c>
      <c r="N1382">
        <v>0</v>
      </c>
      <c r="O1382">
        <v>-0.9997182</v>
      </c>
      <c r="P1382">
        <v>-5.2460720000000002E-2</v>
      </c>
      <c r="Q1382">
        <v>7.6184489999999994E-2</v>
      </c>
      <c r="R1382">
        <v>-0.99571290000000001</v>
      </c>
      <c r="S1382">
        <v>-0.65295409999999998</v>
      </c>
      <c r="T1382">
        <v>-0.30845440000000002</v>
      </c>
      <c r="U1382">
        <v>-3.0035400000000001</v>
      </c>
      <c r="V1382">
        <v>3.141161E-2</v>
      </c>
      <c r="W1382">
        <v>8.758022E-2</v>
      </c>
      <c r="X1382">
        <v>0.99566209999999999</v>
      </c>
      <c r="Y1382">
        <v>0.19093879999999999</v>
      </c>
      <c r="Z1382">
        <v>0.10003099999999999</v>
      </c>
      <c r="AA1382">
        <v>0.97649169999999996</v>
      </c>
      <c r="AB1382">
        <v>27</v>
      </c>
      <c r="AC1382">
        <v>-0.20400000000000701</v>
      </c>
      <c r="AD1382">
        <v>-9.7825999999999899E-2</v>
      </c>
      <c r="AE1382">
        <v>-0.71929999999997496</v>
      </c>
      <c r="AF1382">
        <v>0.185771229892296</v>
      </c>
      <c r="AG1382">
        <v>-9.7825999999999899E-2</v>
      </c>
      <c r="AH1382">
        <v>0.71122303113777097</v>
      </c>
      <c r="AI1382">
        <v>97.580455123352905</v>
      </c>
      <c r="AJ1382">
        <v>75.361418275417194</v>
      </c>
      <c r="AK1382">
        <v>0.74156528785569198</v>
      </c>
      <c r="AL1382">
        <v>84.975585891711603</v>
      </c>
      <c r="AM1382">
        <v>88.193005502832904</v>
      </c>
      <c r="AN1382">
        <v>1.0000000007772201</v>
      </c>
    </row>
    <row r="1383" spans="1:40" x14ac:dyDescent="0.25">
      <c r="A1383" t="str">
        <f>"20190312151251670"</f>
        <v>20190312151251670</v>
      </c>
      <c r="B1383" t="str">
        <f>"1552374771661374"</f>
        <v>1552374771661374</v>
      </c>
      <c r="C1383" t="s">
        <v>40</v>
      </c>
      <c r="D1383">
        <v>4.3615870000000001</v>
      </c>
      <c r="E1383">
        <v>0.56379599999999996</v>
      </c>
      <c r="F1383" t="s">
        <v>41</v>
      </c>
      <c r="G1383">
        <v>-190.86689999999999</v>
      </c>
      <c r="H1383">
        <v>1.037086</v>
      </c>
      <c r="I1383">
        <v>321.28160000000003</v>
      </c>
      <c r="J1383">
        <v>-190.70910000000001</v>
      </c>
      <c r="K1383">
        <v>1.111226</v>
      </c>
      <c r="L1383">
        <v>321.72640000000001</v>
      </c>
      <c r="M1383">
        <v>-1.907466E-2</v>
      </c>
      <c r="N1383">
        <v>0</v>
      </c>
      <c r="O1383">
        <v>-0.99975380000000003</v>
      </c>
      <c r="P1383">
        <v>-5.4204849999999999E-2</v>
      </c>
      <c r="Q1383">
        <v>7.5956819999999994E-2</v>
      </c>
      <c r="R1383">
        <v>-0.99563679999999999</v>
      </c>
      <c r="S1383">
        <v>-0.66415409999999997</v>
      </c>
      <c r="T1383">
        <v>-0.30548720000000001</v>
      </c>
      <c r="U1383">
        <v>-3.001312</v>
      </c>
      <c r="V1383">
        <v>3.4946999999999999E-2</v>
      </c>
      <c r="W1383">
        <v>8.7359350000000002E-2</v>
      </c>
      <c r="X1383">
        <v>0.99556369999999905</v>
      </c>
      <c r="Y1383">
        <v>0.19633439999999999</v>
      </c>
      <c r="Z1383">
        <v>9.9062789999999998E-2</v>
      </c>
      <c r="AA1383">
        <v>0.9755201</v>
      </c>
      <c r="AB1383">
        <v>27</v>
      </c>
      <c r="AC1383">
        <v>-0.15779999999998001</v>
      </c>
      <c r="AD1383">
        <v>-7.4140000000000095E-2</v>
      </c>
      <c r="AE1383">
        <v>-0.44479999999998598</v>
      </c>
      <c r="AF1383">
        <v>0.14569111926544701</v>
      </c>
      <c r="AG1383">
        <v>-7.4140000000000095E-2</v>
      </c>
      <c r="AH1383">
        <v>0.43694672338311402</v>
      </c>
      <c r="AI1383">
        <v>99.144206177540696</v>
      </c>
      <c r="AJ1383">
        <v>71.560069741077598</v>
      </c>
      <c r="AK1383">
        <v>0.466524469784875</v>
      </c>
      <c r="AL1383">
        <v>84.988289571741703</v>
      </c>
      <c r="AM1383">
        <v>87.989587411182001</v>
      </c>
      <c r="AN1383">
        <v>1.00000001479955</v>
      </c>
    </row>
    <row r="1384" spans="1:40" x14ac:dyDescent="0.25">
      <c r="A1384" t="str">
        <f>"20190312151251690"</f>
        <v>20190312151251690</v>
      </c>
      <c r="B1384" t="str">
        <f>"1552374771680892"</f>
        <v>1552374771680892</v>
      </c>
      <c r="C1384" t="s">
        <v>40</v>
      </c>
      <c r="D1384">
        <v>4.6538570000000004</v>
      </c>
      <c r="E1384">
        <v>0.56465639999999995</v>
      </c>
      <c r="F1384" t="s">
        <v>42</v>
      </c>
      <c r="G1384">
        <v>-193.20830000000001</v>
      </c>
      <c r="H1384" s="1">
        <v>-1.334618E-6</v>
      </c>
      <c r="I1384">
        <v>310.60910000000001</v>
      </c>
      <c r="J1384">
        <v>-190.7122</v>
      </c>
      <c r="K1384">
        <v>1.1111770000000001</v>
      </c>
      <c r="L1384">
        <v>321.476</v>
      </c>
      <c r="M1384">
        <v>-1.7578719999999999E-2</v>
      </c>
      <c r="N1384">
        <v>0</v>
      </c>
      <c r="O1384">
        <v>-0.99978129999999998</v>
      </c>
      <c r="P1384">
        <v>-5.7121129999999999E-2</v>
      </c>
      <c r="Q1384">
        <v>7.5740340000000003E-2</v>
      </c>
      <c r="R1384">
        <v>-0.99549049999999994</v>
      </c>
      <c r="S1384">
        <v>-0.67425539999999995</v>
      </c>
      <c r="T1384">
        <v>-0.29979689999999998</v>
      </c>
      <c r="U1384">
        <v>-2.9993289999999999</v>
      </c>
      <c r="V1384">
        <v>3.9367739999999998E-2</v>
      </c>
      <c r="W1384">
        <v>8.7151770000000003E-2</v>
      </c>
      <c r="X1384">
        <v>0.99541690000000005</v>
      </c>
      <c r="Y1384">
        <v>0.20110449999999999</v>
      </c>
      <c r="Z1384">
        <v>9.7219299999999995E-2</v>
      </c>
      <c r="AA1384">
        <v>0.97473350000000003</v>
      </c>
      <c r="AB1384">
        <v>27</v>
      </c>
      <c r="AC1384">
        <v>-2.49610000000001</v>
      </c>
      <c r="AD1384">
        <v>-1.111178334618</v>
      </c>
      <c r="AE1384">
        <v>-10.8668999999999</v>
      </c>
      <c r="AF1384">
        <v>2.2820114069505499</v>
      </c>
      <c r="AG1384">
        <v>-1.111178334618</v>
      </c>
      <c r="AH1384">
        <v>10.8018205756096</v>
      </c>
      <c r="AI1384">
        <v>95.7473520631914</v>
      </c>
      <c r="AJ1384">
        <v>78.070999555044096</v>
      </c>
      <c r="AK1384">
        <v>11.0960182543307</v>
      </c>
      <c r="AL1384">
        <v>85.000228628385301</v>
      </c>
      <c r="AM1384">
        <v>87.735189709420794</v>
      </c>
      <c r="AN1384">
        <v>1.00000002738622</v>
      </c>
    </row>
    <row r="1385" spans="1:40" x14ac:dyDescent="0.25">
      <c r="A1385" t="str">
        <f>"20190312151251713"</f>
        <v>20190312151251713</v>
      </c>
      <c r="B1385" t="str">
        <f>"1552374771701388"</f>
        <v>1552374771701388</v>
      </c>
      <c r="C1385" t="s">
        <v>40</v>
      </c>
      <c r="D1385">
        <v>4.2527359999999996</v>
      </c>
      <c r="E1385">
        <v>0.56470259999999906</v>
      </c>
      <c r="F1385" t="s">
        <v>42</v>
      </c>
      <c r="G1385">
        <v>-193.3091</v>
      </c>
      <c r="H1385" s="1">
        <v>-1.170668E-6</v>
      </c>
      <c r="I1385">
        <v>310.2056</v>
      </c>
      <c r="J1385">
        <v>-190.71530000000001</v>
      </c>
      <c r="K1385">
        <v>1.1111260000000001</v>
      </c>
      <c r="L1385">
        <v>321.19929999999999</v>
      </c>
      <c r="M1385">
        <v>-1.6000110000000001E-2</v>
      </c>
      <c r="N1385">
        <v>0</v>
      </c>
      <c r="O1385">
        <v>-0.99980760000000002</v>
      </c>
      <c r="P1385">
        <v>-5.9421990000000001E-2</v>
      </c>
      <c r="Q1385">
        <v>7.5836490000000006E-2</v>
      </c>
      <c r="R1385">
        <v>-0.99534820000000002</v>
      </c>
      <c r="S1385">
        <v>-0.69041439999999998</v>
      </c>
      <c r="T1385">
        <v>-0.29542740000000001</v>
      </c>
      <c r="U1385">
        <v>-2.9964599999999999</v>
      </c>
      <c r="V1385">
        <v>4.3254300000000002E-2</v>
      </c>
      <c r="W1385">
        <v>8.7252940000000001E-2</v>
      </c>
      <c r="X1385">
        <v>0.99524670000000004</v>
      </c>
      <c r="Y1385">
        <v>0.20787420000000001</v>
      </c>
      <c r="Z1385">
        <v>9.578354E-2</v>
      </c>
      <c r="AA1385">
        <v>0.97345459999999995</v>
      </c>
      <c r="AB1385">
        <v>27</v>
      </c>
      <c r="AC1385">
        <v>-2.5937999999999799</v>
      </c>
      <c r="AD1385">
        <v>-1.1111271706679999</v>
      </c>
      <c r="AE1385">
        <v>-10.993699999999899</v>
      </c>
      <c r="AF1385">
        <v>2.3943871594519499</v>
      </c>
      <c r="AG1385">
        <v>-1.1111271706679999</v>
      </c>
      <c r="AH1385">
        <v>10.9280521476636</v>
      </c>
      <c r="AI1385">
        <v>95.672044193184107</v>
      </c>
      <c r="AJ1385">
        <v>77.641521555199603</v>
      </c>
      <c r="AK1385">
        <v>11.2423314842073</v>
      </c>
      <c r="AL1385">
        <v>84.994409720851394</v>
      </c>
      <c r="AM1385">
        <v>87.511440900807401</v>
      </c>
      <c r="AN1385">
        <v>1.0000000019340101</v>
      </c>
    </row>
    <row r="1386" spans="1:40" x14ac:dyDescent="0.25">
      <c r="A1386" t="str">
        <f>"20190312151251735"</f>
        <v>20190312151251735</v>
      </c>
      <c r="B1386" t="str">
        <f>"1552374771730668"</f>
        <v>1552374771730668</v>
      </c>
      <c r="C1386" t="s">
        <v>40</v>
      </c>
      <c r="D1386">
        <v>4.1599659999999998</v>
      </c>
      <c r="E1386">
        <v>0.56484499999999904</v>
      </c>
      <c r="F1386" t="s">
        <v>42</v>
      </c>
      <c r="G1386">
        <v>-193.38679999999999</v>
      </c>
      <c r="H1386" s="1">
        <v>-9.6974049999999996E-7</v>
      </c>
      <c r="I1386">
        <v>309.73680000000002</v>
      </c>
      <c r="J1386">
        <v>-190.71799999999999</v>
      </c>
      <c r="K1386">
        <v>1.111084</v>
      </c>
      <c r="L1386">
        <v>320.93669999999997</v>
      </c>
      <c r="M1386">
        <v>-1.457139E-2</v>
      </c>
      <c r="N1386">
        <v>0</v>
      </c>
      <c r="O1386">
        <v>-0.99982969999999904</v>
      </c>
      <c r="P1386">
        <v>-6.1786729999999998E-2</v>
      </c>
      <c r="Q1386">
        <v>7.626703E-2</v>
      </c>
      <c r="R1386">
        <v>-0.99517169999999999</v>
      </c>
      <c r="S1386">
        <v>-0.69787600000000005</v>
      </c>
      <c r="T1386">
        <v>-0.29026459999999998</v>
      </c>
      <c r="U1386">
        <v>-2.994415</v>
      </c>
      <c r="V1386">
        <v>4.7053379999999999E-2</v>
      </c>
      <c r="W1386">
        <v>8.7687559999999998E-2</v>
      </c>
      <c r="X1386">
        <v>0.99503609999999998</v>
      </c>
      <c r="Y1386">
        <v>0.21175330000000001</v>
      </c>
      <c r="Z1386">
        <v>9.4124529999999998E-2</v>
      </c>
      <c r="AA1386">
        <v>0.97278010000000004</v>
      </c>
      <c r="AB1386">
        <v>27</v>
      </c>
      <c r="AC1386">
        <v>-2.6688000000000001</v>
      </c>
      <c r="AD1386">
        <v>-1.1110849697405001</v>
      </c>
      <c r="AE1386">
        <v>-11.1998999999999</v>
      </c>
      <c r="AF1386">
        <v>2.4821918386369601</v>
      </c>
      <c r="AG1386">
        <v>-1.1110849697405001</v>
      </c>
      <c r="AH1386">
        <v>11.133913259545301</v>
      </c>
      <c r="AI1386">
        <v>95.563156137312902</v>
      </c>
      <c r="AJ1386">
        <v>77.432021585357305</v>
      </c>
      <c r="AK1386">
        <v>11.4612307630925</v>
      </c>
      <c r="AL1386">
        <v>84.969411928309597</v>
      </c>
      <c r="AM1386">
        <v>87.292607534621098</v>
      </c>
      <c r="AN1386">
        <v>0.99999998452569305</v>
      </c>
    </row>
    <row r="1387" spans="1:40" x14ac:dyDescent="0.25">
      <c r="A1387" t="str">
        <f>"20190312151251758"</f>
        <v>20190312151251758</v>
      </c>
      <c r="B1387" t="str">
        <f>"1552374771751166"</f>
        <v>1552374771751166</v>
      </c>
      <c r="C1387" t="s">
        <v>40</v>
      </c>
      <c r="D1387">
        <v>4.0882969999999998</v>
      </c>
      <c r="E1387">
        <v>0.56472409999999995</v>
      </c>
      <c r="F1387" t="s">
        <v>42</v>
      </c>
      <c r="G1387">
        <v>-193.5043</v>
      </c>
      <c r="H1387" s="1">
        <v>-4.7532259999999999E-6</v>
      </c>
      <c r="I1387">
        <v>309.1277</v>
      </c>
      <c r="J1387">
        <v>-190.72040000000001</v>
      </c>
      <c r="K1387">
        <v>1.1110390000000001</v>
      </c>
      <c r="L1387">
        <v>320.65320000000003</v>
      </c>
      <c r="M1387">
        <v>-1.3105179999999999E-2</v>
      </c>
      <c r="N1387">
        <v>0</v>
      </c>
      <c r="O1387">
        <v>-0.99984989999999996</v>
      </c>
      <c r="P1387">
        <v>-6.3834440000000006E-2</v>
      </c>
      <c r="Q1387">
        <v>7.6454510000000003E-2</v>
      </c>
      <c r="R1387">
        <v>-0.99502780000000002</v>
      </c>
      <c r="S1387">
        <v>-0.70603939999999998</v>
      </c>
      <c r="T1387">
        <v>-0.28154230000000002</v>
      </c>
      <c r="U1387">
        <v>-2.9923099999999998</v>
      </c>
      <c r="V1387">
        <v>5.0573239999999998E-2</v>
      </c>
      <c r="W1387">
        <v>8.7877559999999993E-2</v>
      </c>
      <c r="X1387">
        <v>0.99484660000000003</v>
      </c>
      <c r="Y1387">
        <v>0.21591099999999999</v>
      </c>
      <c r="Z1387">
        <v>9.1315530000000006E-2</v>
      </c>
      <c r="AA1387">
        <v>0.97213369999999999</v>
      </c>
      <c r="AB1387">
        <v>27</v>
      </c>
      <c r="AC1387">
        <v>-2.7838999999999801</v>
      </c>
      <c r="AD1387">
        <v>-1.11104375322599</v>
      </c>
      <c r="AE1387">
        <v>-11.525499999999999</v>
      </c>
      <c r="AF1387">
        <v>2.6096931848717899</v>
      </c>
      <c r="AG1387">
        <v>-1.11104375322599</v>
      </c>
      <c r="AH1387">
        <v>11.4603688496576</v>
      </c>
      <c r="AI1387">
        <v>95.399940112574598</v>
      </c>
      <c r="AJ1387">
        <v>77.1716628691414</v>
      </c>
      <c r="AK1387">
        <v>11.806141237125299</v>
      </c>
      <c r="AL1387">
        <v>84.958483306773303</v>
      </c>
      <c r="AM1387">
        <v>87.089861862360294</v>
      </c>
      <c r="AN1387">
        <v>0.99999993784360297</v>
      </c>
    </row>
    <row r="1388" spans="1:40" x14ac:dyDescent="0.25">
      <c r="A1388" t="str">
        <f>"20190312151251782"</f>
        <v>20190312151251782</v>
      </c>
      <c r="B1388" t="str">
        <f>"1552374771771660"</f>
        <v>1552374771771660</v>
      </c>
      <c r="C1388" t="s">
        <v>40</v>
      </c>
      <c r="D1388">
        <v>4.1624309999999998</v>
      </c>
      <c r="E1388">
        <v>0.56480699999999995</v>
      </c>
      <c r="F1388" t="s">
        <v>42</v>
      </c>
      <c r="G1388">
        <v>-193.5812</v>
      </c>
      <c r="H1388" s="1">
        <v>-4.5950019999999997E-6</v>
      </c>
      <c r="I1388">
        <v>308.62270000000001</v>
      </c>
      <c r="J1388">
        <v>-190.7225</v>
      </c>
      <c r="K1388">
        <v>1.110992</v>
      </c>
      <c r="L1388">
        <v>320.37650000000002</v>
      </c>
      <c r="M1388">
        <v>-1.174963E-2</v>
      </c>
      <c r="N1388">
        <v>0</v>
      </c>
      <c r="O1388">
        <v>-0.9998667</v>
      </c>
      <c r="P1388">
        <v>-6.5463779999999999E-2</v>
      </c>
      <c r="Q1388">
        <v>7.673431E-2</v>
      </c>
      <c r="R1388">
        <v>-0.99490060000000002</v>
      </c>
      <c r="S1388">
        <v>-0.71115109999999904</v>
      </c>
      <c r="T1388">
        <v>-0.27618870000000001</v>
      </c>
      <c r="U1388">
        <v>-2.9906009999999998</v>
      </c>
      <c r="V1388">
        <v>5.3563920000000001E-2</v>
      </c>
      <c r="W1388">
        <v>8.8156860000000004E-2</v>
      </c>
      <c r="X1388">
        <v>0.99466540000000003</v>
      </c>
      <c r="Y1388">
        <v>0.21896699999999999</v>
      </c>
      <c r="Z1388">
        <v>8.9597090000000004E-2</v>
      </c>
      <c r="AA1388">
        <v>0.97160990000000003</v>
      </c>
      <c r="AB1388">
        <v>27</v>
      </c>
      <c r="AC1388">
        <v>-2.85869999999999</v>
      </c>
      <c r="AD1388">
        <v>-1.110996595002</v>
      </c>
      <c r="AE1388">
        <v>-11.7538</v>
      </c>
      <c r="AF1388">
        <v>2.6976351087336599</v>
      </c>
      <c r="AG1388">
        <v>-1.110996595002</v>
      </c>
      <c r="AH1388">
        <v>11.6879855628287</v>
      </c>
      <c r="AI1388">
        <v>95.291617788767894</v>
      </c>
      <c r="AJ1388">
        <v>77.003485819269301</v>
      </c>
      <c r="AK1388">
        <v>12.046599318100901</v>
      </c>
      <c r="AL1388">
        <v>84.942418518472707</v>
      </c>
      <c r="AM1388">
        <v>86.917531197590193</v>
      </c>
      <c r="AN1388">
        <v>0.99999999172399201</v>
      </c>
    </row>
    <row r="1389" spans="1:40" x14ac:dyDescent="0.25">
      <c r="A1389" t="str">
        <f>"20190312151251804"</f>
        <v>20190312151251804</v>
      </c>
      <c r="B1389" t="str">
        <f>"1552374771800941"</f>
        <v>1552374771800941</v>
      </c>
      <c r="C1389" t="s">
        <v>40</v>
      </c>
      <c r="D1389">
        <v>4.1165909999999997</v>
      </c>
      <c r="E1389">
        <v>0.56472880000000003</v>
      </c>
      <c r="F1389" t="s">
        <v>42</v>
      </c>
      <c r="G1389">
        <v>-193.66480000000001</v>
      </c>
      <c r="H1389" s="1">
        <v>-4.4325009999999997E-6</v>
      </c>
      <c r="I1389">
        <v>308.10169999999999</v>
      </c>
      <c r="J1389">
        <v>-190.7243</v>
      </c>
      <c r="K1389">
        <v>1.1109370000000001</v>
      </c>
      <c r="L1389">
        <v>320.10300000000001</v>
      </c>
      <c r="M1389">
        <v>-1.048428E-2</v>
      </c>
      <c r="N1389">
        <v>0</v>
      </c>
      <c r="O1389">
        <v>-0.99988069999999896</v>
      </c>
      <c r="P1389">
        <v>-6.6747260000000003E-2</v>
      </c>
      <c r="Q1389">
        <v>7.673468E-2</v>
      </c>
      <c r="R1389">
        <v>-0.99481520000000001</v>
      </c>
      <c r="S1389">
        <v>-0.71647640000000001</v>
      </c>
      <c r="T1389">
        <v>-0.27054460000000002</v>
      </c>
      <c r="U1389">
        <v>-2.9891049999999999</v>
      </c>
      <c r="V1389">
        <v>5.6119410000000002E-2</v>
      </c>
      <c r="W1389">
        <v>8.8155919999999999E-2</v>
      </c>
      <c r="X1389">
        <v>0.99452459999999998</v>
      </c>
      <c r="Y1389">
        <v>0.22198519999999999</v>
      </c>
      <c r="Z1389">
        <v>8.7776850000000003E-2</v>
      </c>
      <c r="AA1389">
        <v>0.97109100000000004</v>
      </c>
      <c r="AB1389">
        <v>27</v>
      </c>
      <c r="AC1389">
        <v>-2.9405000000000099</v>
      </c>
      <c r="AD1389">
        <v>-1.1109414325010001</v>
      </c>
      <c r="AE1389">
        <v>-12.001300000000001</v>
      </c>
      <c r="AF1389">
        <v>2.7919362907294598</v>
      </c>
      <c r="AG1389">
        <v>-1.1109414325010001</v>
      </c>
      <c r="AH1389">
        <v>11.934993206088301</v>
      </c>
      <c r="AI1389">
        <v>95.178899540497994</v>
      </c>
      <c r="AJ1389">
        <v>76.833636530924096</v>
      </c>
      <c r="AK1389">
        <v>12.307443355437901</v>
      </c>
      <c r="AL1389">
        <v>84.942472716233098</v>
      </c>
      <c r="AM1389">
        <v>86.7703171376847</v>
      </c>
      <c r="AN1389">
        <v>1.0000000172074699</v>
      </c>
    </row>
    <row r="1390" spans="1:40" x14ac:dyDescent="0.25">
      <c r="A1390" t="str">
        <f>"20190312151251848"</f>
        <v>20190312151251848</v>
      </c>
      <c r="B1390" t="str">
        <f>"1552374771840956"</f>
        <v>1552374771840956</v>
      </c>
      <c r="C1390" t="s">
        <v>40</v>
      </c>
      <c r="D1390">
        <v>4.1180370000000002</v>
      </c>
      <c r="E1390">
        <v>0.5646255</v>
      </c>
      <c r="F1390" t="s">
        <v>42</v>
      </c>
      <c r="G1390">
        <v>-193.73419999999999</v>
      </c>
      <c r="H1390" s="1">
        <v>-4.2752129999999999E-6</v>
      </c>
      <c r="I1390">
        <v>307.60329999999999</v>
      </c>
      <c r="J1390">
        <v>-190.727</v>
      </c>
      <c r="K1390">
        <v>1.1108260000000001</v>
      </c>
      <c r="L1390">
        <v>319.59120000000001</v>
      </c>
      <c r="M1390">
        <v>-8.3320730000000006E-3</v>
      </c>
      <c r="N1390">
        <v>0</v>
      </c>
      <c r="O1390">
        <v>-0.99990109999999999</v>
      </c>
      <c r="P1390">
        <v>-6.9451219999999994E-2</v>
      </c>
      <c r="Q1390">
        <v>7.7072399999999999E-2</v>
      </c>
      <c r="R1390">
        <v>-0.99460400000000004</v>
      </c>
      <c r="S1390">
        <v>-0.71945190000000003</v>
      </c>
      <c r="T1390">
        <v>-0.26555230000000002</v>
      </c>
      <c r="U1390">
        <v>-2.987854</v>
      </c>
      <c r="V1390">
        <v>6.0989979999999999E-2</v>
      </c>
      <c r="W1390">
        <v>8.8487910000000003E-2</v>
      </c>
      <c r="X1390">
        <v>0.99420830000000004</v>
      </c>
      <c r="Y1390">
        <v>0.22512160000000001</v>
      </c>
      <c r="Z1390">
        <v>8.6165779999999997E-2</v>
      </c>
      <c r="AA1390">
        <v>0.97051310000000002</v>
      </c>
      <c r="AB1390">
        <v>27</v>
      </c>
      <c r="AC1390">
        <v>-3.0071999999999801</v>
      </c>
      <c r="AD1390">
        <v>-1.1108302752129999</v>
      </c>
      <c r="AE1390">
        <v>-11.9879</v>
      </c>
      <c r="AF1390">
        <v>2.8839088170410601</v>
      </c>
      <c r="AG1390">
        <v>-1.1108302752129999</v>
      </c>
      <c r="AH1390">
        <v>11.916281510821401</v>
      </c>
      <c r="AI1390">
        <v>95.177086741792607</v>
      </c>
      <c r="AJ1390">
        <v>76.395199210166197</v>
      </c>
      <c r="AK1390">
        <v>12.310509291271501</v>
      </c>
      <c r="AL1390">
        <v>84.923376455156401</v>
      </c>
      <c r="AM1390">
        <v>86.489573857931802</v>
      </c>
      <c r="AN1390">
        <v>1.00000001583272</v>
      </c>
    </row>
    <row r="1391" spans="1:40" x14ac:dyDescent="0.25">
      <c r="A1391" t="str">
        <f>"20190312151251869"</f>
        <v>20190312151251869</v>
      </c>
      <c r="B1391" t="str">
        <f>"1552374771861452"</f>
        <v>1552374771861452</v>
      </c>
      <c r="C1391" t="s">
        <v>40</v>
      </c>
      <c r="D1391">
        <v>4.0748930000000003</v>
      </c>
      <c r="E1391">
        <v>0.56456300000000004</v>
      </c>
      <c r="F1391" t="s">
        <v>42</v>
      </c>
      <c r="G1391">
        <v>-193.8142</v>
      </c>
      <c r="H1391" s="1">
        <v>-4.0483559999999997E-6</v>
      </c>
      <c r="I1391">
        <v>306.89499999999998</v>
      </c>
      <c r="J1391">
        <v>-190.72810000000001</v>
      </c>
      <c r="K1391">
        <v>1.1107720000000001</v>
      </c>
      <c r="L1391">
        <v>319.31909999999999</v>
      </c>
      <c r="M1391">
        <v>-7.2883519999999997E-3</v>
      </c>
      <c r="N1391">
        <v>0</v>
      </c>
      <c r="O1391">
        <v>-0.99990900000000005</v>
      </c>
      <c r="P1391">
        <v>-7.0946099999999998E-2</v>
      </c>
      <c r="Q1391">
        <v>7.7027090000000006E-2</v>
      </c>
      <c r="R1391">
        <v>-0.99450190000000005</v>
      </c>
      <c r="S1391">
        <v>-0.72602840000000002</v>
      </c>
      <c r="T1391">
        <v>-0.26124160000000002</v>
      </c>
      <c r="U1391">
        <v>-2.9858699999999998</v>
      </c>
      <c r="V1391">
        <v>6.3535380000000002E-2</v>
      </c>
      <c r="W1391">
        <v>8.8439480000000001E-2</v>
      </c>
      <c r="X1391">
        <v>0.99405319999999997</v>
      </c>
      <c r="Y1391">
        <v>0.22833129999999999</v>
      </c>
      <c r="Z1391">
        <v>8.4779199999999902E-2</v>
      </c>
      <c r="AA1391">
        <v>0.9698852</v>
      </c>
      <c r="AB1391">
        <v>27</v>
      </c>
      <c r="AC1391">
        <v>-3.0860999999999801</v>
      </c>
      <c r="AD1391">
        <v>-1.1107760483560001</v>
      </c>
      <c r="AE1391">
        <v>-12.424099999999999</v>
      </c>
      <c r="AF1391">
        <v>2.97307750980249</v>
      </c>
      <c r="AG1391">
        <v>-1.1107760483560001</v>
      </c>
      <c r="AH1391">
        <v>12.3532597914995</v>
      </c>
      <c r="AI1391">
        <v>94.996177538690702</v>
      </c>
      <c r="AJ1391">
        <v>76.467893801279203</v>
      </c>
      <c r="AK1391">
        <v>12.754451802612801</v>
      </c>
      <c r="AL1391">
        <v>84.926162259617101</v>
      </c>
      <c r="AM1391">
        <v>86.342887761340293</v>
      </c>
      <c r="AN1391">
        <v>1.00000002528232</v>
      </c>
    </row>
    <row r="1392" spans="1:40" x14ac:dyDescent="0.25">
      <c r="A1392" t="str">
        <f>"20190312151251890"</f>
        <v>20190312151251890</v>
      </c>
      <c r="B1392" t="str">
        <f>"1552374771880972"</f>
        <v>1552374771880972</v>
      </c>
      <c r="C1392" t="s">
        <v>40</v>
      </c>
      <c r="D1392">
        <v>4.0713860000000004</v>
      </c>
      <c r="E1392">
        <v>0.56454680000000002</v>
      </c>
      <c r="F1392" t="s">
        <v>42</v>
      </c>
      <c r="G1392">
        <v>-193.85650000000001</v>
      </c>
      <c r="H1392" s="1">
        <v>-3.9302110000000002E-6</v>
      </c>
      <c r="I1392">
        <v>306.52569999999997</v>
      </c>
      <c r="J1392">
        <v>-190.72890000000001</v>
      </c>
      <c r="K1392">
        <v>1.1107290000000001</v>
      </c>
      <c r="L1392">
        <v>319.05970000000002</v>
      </c>
      <c r="M1392">
        <v>-6.3410769999999997E-3</v>
      </c>
      <c r="N1392">
        <v>0</v>
      </c>
      <c r="O1392">
        <v>-0.99991549999999996</v>
      </c>
      <c r="P1392">
        <v>-7.2838230000000004E-2</v>
      </c>
      <c r="Q1392">
        <v>7.6882409999999998E-2</v>
      </c>
      <c r="R1392">
        <v>-0.99437640000000005</v>
      </c>
      <c r="S1392">
        <v>-0.72984309999999997</v>
      </c>
      <c r="T1392">
        <v>-0.25913720000000001</v>
      </c>
      <c r="U1392">
        <v>-2.9846189999999999</v>
      </c>
      <c r="V1392">
        <v>6.6379450000000007E-2</v>
      </c>
      <c r="W1392">
        <v>8.8293179999999999E-2</v>
      </c>
      <c r="X1392">
        <v>0.99388030000000005</v>
      </c>
      <c r="Y1392">
        <v>0.23052980000000001</v>
      </c>
      <c r="Z1392">
        <v>8.4101510000000004E-2</v>
      </c>
      <c r="AA1392">
        <v>0.96942399999999995</v>
      </c>
      <c r="AB1392">
        <v>27</v>
      </c>
      <c r="AC1392">
        <v>-3.1276000000000002</v>
      </c>
      <c r="AD1392">
        <v>-1.1107329302110001</v>
      </c>
      <c r="AE1392">
        <v>-12.534000000000001</v>
      </c>
      <c r="AF1392">
        <v>3.0256847481305198</v>
      </c>
      <c r="AG1392">
        <v>-1.1107329302110001</v>
      </c>
      <c r="AH1392">
        <v>12.4614569385416</v>
      </c>
      <c r="AI1392">
        <v>94.950424376827996</v>
      </c>
      <c r="AJ1392">
        <v>76.352485887652804</v>
      </c>
      <c r="AK1392">
        <v>12.8715346741735</v>
      </c>
      <c r="AL1392">
        <v>84.934577341900294</v>
      </c>
      <c r="AM1392">
        <v>86.178994192559401</v>
      </c>
      <c r="AN1392">
        <v>0.99999998387245204</v>
      </c>
    </row>
    <row r="1393" spans="1:40" x14ac:dyDescent="0.25">
      <c r="A1393" t="str">
        <f>"20190312151251914"</f>
        <v>20190312151251914</v>
      </c>
      <c r="B1393" t="str">
        <f>"1552374771911228"</f>
        <v>1552374771911228</v>
      </c>
      <c r="C1393" t="s">
        <v>40</v>
      </c>
      <c r="D1393">
        <v>4.0940190000000003</v>
      </c>
      <c r="E1393">
        <v>0.56445019999999901</v>
      </c>
      <c r="F1393" t="s">
        <v>42</v>
      </c>
      <c r="G1393">
        <v>-193.89859999999999</v>
      </c>
      <c r="H1393" s="1">
        <v>-3.825935E-6</v>
      </c>
      <c r="I1393">
        <v>306.19740000000002</v>
      </c>
      <c r="J1393">
        <v>-190.7296</v>
      </c>
      <c r="K1393">
        <v>1.1106879999999999</v>
      </c>
      <c r="L1393">
        <v>318.77969999999999</v>
      </c>
      <c r="M1393">
        <v>-5.3936380000000001E-3</v>
      </c>
      <c r="N1393">
        <v>0</v>
      </c>
      <c r="O1393">
        <v>-0.99992130000000001</v>
      </c>
      <c r="P1393">
        <v>-7.4260729999999997E-2</v>
      </c>
      <c r="Q1393">
        <v>7.7038369999999995E-2</v>
      </c>
      <c r="R1393">
        <v>-0.99425909999999995</v>
      </c>
      <c r="S1393">
        <v>-0.73509219999999997</v>
      </c>
      <c r="T1393">
        <v>-0.25759589999999999</v>
      </c>
      <c r="U1393">
        <v>-2.982971</v>
      </c>
      <c r="V1393">
        <v>6.8754209999999996E-2</v>
      </c>
      <c r="W1393">
        <v>8.8445629999999997E-2</v>
      </c>
      <c r="X1393">
        <v>0.99370530000000001</v>
      </c>
      <c r="Y1393">
        <v>0.23319319999999999</v>
      </c>
      <c r="Z1393">
        <v>8.3606070000000005E-2</v>
      </c>
      <c r="AA1393">
        <v>0.96882970000000002</v>
      </c>
      <c r="AB1393">
        <v>27</v>
      </c>
      <c r="AC1393">
        <v>-3.1689999999999801</v>
      </c>
      <c r="AD1393">
        <v>-1.1106918259349901</v>
      </c>
      <c r="AE1393">
        <v>-12.582299999999901</v>
      </c>
      <c r="AF1393">
        <v>3.0785272350252</v>
      </c>
      <c r="AG1393">
        <v>-1.1106918259349901</v>
      </c>
      <c r="AH1393">
        <v>12.5075612168527</v>
      </c>
      <c r="AI1393">
        <v>94.928316733401402</v>
      </c>
      <c r="AJ1393">
        <v>76.172459342075598</v>
      </c>
      <c r="AK1393">
        <v>12.9286524379886</v>
      </c>
      <c r="AL1393">
        <v>84.925808360699406</v>
      </c>
      <c r="AM1393">
        <v>86.042027841604707</v>
      </c>
      <c r="AN1393">
        <v>0.99999999705345499</v>
      </c>
    </row>
    <row r="1394" spans="1:40" x14ac:dyDescent="0.25">
      <c r="A1394" t="str">
        <f>"20190312151251935"</f>
        <v>20190312151251935</v>
      </c>
      <c r="B1394" t="str">
        <f>"1552374771930749"</f>
        <v>1552374771930749</v>
      </c>
      <c r="C1394" t="s">
        <v>40</v>
      </c>
      <c r="D1394">
        <v>4.0953189999999999</v>
      </c>
      <c r="E1394">
        <v>0.56442990000000004</v>
      </c>
      <c r="F1394" t="s">
        <v>42</v>
      </c>
      <c r="G1394">
        <v>-193.94159999999999</v>
      </c>
      <c r="H1394" s="1">
        <v>-3.7023530000000001E-6</v>
      </c>
      <c r="I1394">
        <v>305.81180000000001</v>
      </c>
      <c r="J1394">
        <v>-190.73009999999999</v>
      </c>
      <c r="K1394">
        <v>1.110641</v>
      </c>
      <c r="L1394">
        <v>318.51889999999997</v>
      </c>
      <c r="M1394">
        <v>-4.5863090000000002E-3</v>
      </c>
      <c r="N1394">
        <v>0</v>
      </c>
      <c r="O1394">
        <v>-0.99992510000000001</v>
      </c>
      <c r="P1394">
        <v>-7.5747430000000004E-2</v>
      </c>
      <c r="Q1394">
        <v>7.7088829999999997E-2</v>
      </c>
      <c r="R1394">
        <v>-0.994143</v>
      </c>
      <c r="S1394">
        <v>-0.73858639999999998</v>
      </c>
      <c r="T1394">
        <v>-0.25540010000000002</v>
      </c>
      <c r="U1394">
        <v>-2.9819339999999999</v>
      </c>
      <c r="V1394">
        <v>7.1054499999999896E-2</v>
      </c>
      <c r="W1394">
        <v>8.8491239999999999E-2</v>
      </c>
      <c r="X1394">
        <v>0.99353939999999996</v>
      </c>
      <c r="Y1394">
        <v>0.23514019999999999</v>
      </c>
      <c r="Z1394">
        <v>8.2895620000000003E-2</v>
      </c>
      <c r="AA1394">
        <v>0.96841999999999995</v>
      </c>
      <c r="AB1394">
        <v>27</v>
      </c>
      <c r="AC1394">
        <v>-3.2115</v>
      </c>
      <c r="AD1394">
        <v>-1.1106447023529999</v>
      </c>
      <c r="AE1394">
        <v>-12.707099999999899</v>
      </c>
      <c r="AF1394">
        <v>3.1307031148473001</v>
      </c>
      <c r="AG1394">
        <v>-1.1106447023529999</v>
      </c>
      <c r="AH1394">
        <v>12.630996718285401</v>
      </c>
      <c r="AI1394">
        <v>94.878232407911895</v>
      </c>
      <c r="AJ1394">
        <v>76.079282184088896</v>
      </c>
      <c r="AK1394">
        <v>13.0605096280932</v>
      </c>
      <c r="AL1394">
        <v>84.923184779542694</v>
      </c>
      <c r="AM1394">
        <v>85.909368622293599</v>
      </c>
      <c r="AN1394">
        <v>0.99999999043967303</v>
      </c>
    </row>
    <row r="1395" spans="1:40" x14ac:dyDescent="0.25">
      <c r="A1395" t="str">
        <f>"20190312151251959"</f>
        <v>20190312151251959</v>
      </c>
      <c r="B1395" t="str">
        <f>"1552374771951245"</f>
        <v>1552374771951245</v>
      </c>
      <c r="C1395" t="s">
        <v>40</v>
      </c>
      <c r="D1395">
        <v>4.1195760000000003</v>
      </c>
      <c r="E1395">
        <v>0.56439969999999995</v>
      </c>
      <c r="F1395" t="s">
        <v>42</v>
      </c>
      <c r="G1395">
        <v>-193.97900000000001</v>
      </c>
      <c r="H1395" s="1">
        <v>-3.5887509999999898E-6</v>
      </c>
      <c r="I1395">
        <v>305.48669999999998</v>
      </c>
      <c r="J1395">
        <v>-190.73050000000001</v>
      </c>
      <c r="K1395">
        <v>1.1105860000000001</v>
      </c>
      <c r="L1395">
        <v>318.24380000000002</v>
      </c>
      <c r="M1395">
        <v>-3.809963E-3</v>
      </c>
      <c r="N1395">
        <v>0</v>
      </c>
      <c r="O1395">
        <v>-0.99992820000000004</v>
      </c>
      <c r="P1395">
        <v>-7.6781650000000007E-2</v>
      </c>
      <c r="Q1395">
        <v>7.7605199999999999E-2</v>
      </c>
      <c r="R1395">
        <v>-0.99402330000000005</v>
      </c>
      <c r="S1395">
        <v>-0.74310299999999996</v>
      </c>
      <c r="T1395">
        <v>-0.25403120000000001</v>
      </c>
      <c r="U1395">
        <v>-2.9807739999999998</v>
      </c>
      <c r="V1395">
        <v>7.2872800000000001E-2</v>
      </c>
      <c r="W1395">
        <v>8.8999449999999994E-2</v>
      </c>
      <c r="X1395">
        <v>0.99336230000000003</v>
      </c>
      <c r="Y1395">
        <v>0.2373729</v>
      </c>
      <c r="Z1395">
        <v>8.2448300000000002E-2</v>
      </c>
      <c r="AA1395">
        <v>0.96791340000000003</v>
      </c>
      <c r="AB1395">
        <v>27</v>
      </c>
      <c r="AC1395">
        <v>-3.2484999999999999</v>
      </c>
      <c r="AD1395">
        <v>-1.110589588751</v>
      </c>
      <c r="AE1395">
        <v>-12.757099999999999</v>
      </c>
      <c r="AF1395">
        <v>3.1772555919105501</v>
      </c>
      <c r="AG1395">
        <v>-1.110589588751</v>
      </c>
      <c r="AH1395">
        <v>12.679143076736301</v>
      </c>
      <c r="AI1395">
        <v>94.856459691182806</v>
      </c>
      <c r="AJ1395">
        <v>75.931991167557896</v>
      </c>
      <c r="AK1395">
        <v>13.118270903259999</v>
      </c>
      <c r="AL1395">
        <v>84.893951209743804</v>
      </c>
      <c r="AM1395">
        <v>85.804312320048297</v>
      </c>
      <c r="AN1395">
        <v>1.0000000030707099</v>
      </c>
    </row>
    <row r="1396" spans="1:40" x14ac:dyDescent="0.25">
      <c r="A1396" t="str">
        <f>"20190312151251983"</f>
        <v>20190312151251983</v>
      </c>
      <c r="B1396" t="str">
        <f>"1552374771970765"</f>
        <v>1552374771970765</v>
      </c>
      <c r="C1396" t="s">
        <v>40</v>
      </c>
      <c r="D1396">
        <v>4.2167500000000002</v>
      </c>
      <c r="E1396">
        <v>0.56428599999999995</v>
      </c>
      <c r="F1396" t="s">
        <v>42</v>
      </c>
      <c r="G1396">
        <v>-194.0155</v>
      </c>
      <c r="H1396" s="1">
        <v>-3.441746E-6</v>
      </c>
      <c r="I1396">
        <v>305.12139999999999</v>
      </c>
      <c r="J1396">
        <v>-190.73070000000001</v>
      </c>
      <c r="K1396">
        <v>1.1105259999999999</v>
      </c>
      <c r="L1396">
        <v>317.95499999999998</v>
      </c>
      <c r="M1396">
        <v>-3.0724239999999998E-3</v>
      </c>
      <c r="N1396">
        <v>0</v>
      </c>
      <c r="O1396">
        <v>-0.99993089999999996</v>
      </c>
      <c r="P1396">
        <v>-7.7611910000000006E-2</v>
      </c>
      <c r="Q1396">
        <v>7.8276189999999995E-2</v>
      </c>
      <c r="R1396">
        <v>-0.99390639999999997</v>
      </c>
      <c r="S1396">
        <v>-0.7460175</v>
      </c>
      <c r="T1396">
        <v>-0.25221310000000002</v>
      </c>
      <c r="U1396">
        <v>-2.9800719999999998</v>
      </c>
      <c r="V1396">
        <v>7.444974E-2</v>
      </c>
      <c r="W1396">
        <v>8.9661009999999999E-2</v>
      </c>
      <c r="X1396">
        <v>0.99318589999999995</v>
      </c>
      <c r="Y1396">
        <v>0.23904529999999999</v>
      </c>
      <c r="Z1396">
        <v>8.1854679999999999E-2</v>
      </c>
      <c r="AA1396">
        <v>0.96755210000000003</v>
      </c>
      <c r="AB1396">
        <v>27</v>
      </c>
      <c r="AC1396">
        <v>-3.28479999999999</v>
      </c>
      <c r="AD1396">
        <v>-1.1105294417460001</v>
      </c>
      <c r="AE1396">
        <v>-12.833599999999899</v>
      </c>
      <c r="AF1396">
        <v>3.2227039365398098</v>
      </c>
      <c r="AG1396">
        <v>-1.1105294417460001</v>
      </c>
      <c r="AH1396">
        <v>12.7540027959372</v>
      </c>
      <c r="AI1396">
        <v>94.825450606074497</v>
      </c>
      <c r="AJ1396">
        <v>75.819232680650501</v>
      </c>
      <c r="AK1396">
        <v>13.201654578966499</v>
      </c>
      <c r="AL1396">
        <v>84.855894687405893</v>
      </c>
      <c r="AM1396">
        <v>85.713095575959997</v>
      </c>
      <c r="AN1396">
        <v>1.00000004622954</v>
      </c>
    </row>
    <row r="1397" spans="1:40" x14ac:dyDescent="0.25">
      <c r="A1397" t="str">
        <f>"20190312151252006"</f>
        <v>20190312151252006</v>
      </c>
      <c r="B1397" t="str">
        <f>"1552374772001020"</f>
        <v>1552374772001020</v>
      </c>
      <c r="C1397" t="s">
        <v>40</v>
      </c>
      <c r="D1397">
        <v>4.1466820000000002</v>
      </c>
      <c r="E1397">
        <v>0.56422329999999998</v>
      </c>
      <c r="F1397" t="s">
        <v>42</v>
      </c>
      <c r="G1397">
        <v>-194.042</v>
      </c>
      <c r="H1397" s="1">
        <v>-3.2926929999999999E-6</v>
      </c>
      <c r="I1397">
        <v>304.75749999999999</v>
      </c>
      <c r="J1397">
        <v>-190.73079999999999</v>
      </c>
      <c r="K1397">
        <v>1.110473</v>
      </c>
      <c r="L1397">
        <v>317.66849999999999</v>
      </c>
      <c r="M1397">
        <v>-2.420607E-3</v>
      </c>
      <c r="N1397">
        <v>0</v>
      </c>
      <c r="O1397">
        <v>-0.99993259999999995</v>
      </c>
      <c r="P1397">
        <v>-7.8302499999999997E-2</v>
      </c>
      <c r="Q1397">
        <v>7.8678559999999995E-2</v>
      </c>
      <c r="R1397">
        <v>-0.99382009999999998</v>
      </c>
      <c r="S1397">
        <v>-0.74763489999999999</v>
      </c>
      <c r="T1397">
        <v>-0.25073980000000001</v>
      </c>
      <c r="U1397">
        <v>-2.9797669999999998</v>
      </c>
      <c r="V1397">
        <v>7.5801450000000006E-2</v>
      </c>
      <c r="W1397">
        <v>9.0053770000000005E-2</v>
      </c>
      <c r="X1397">
        <v>0.99304809999999999</v>
      </c>
      <c r="Y1397">
        <v>0.240205</v>
      </c>
      <c r="Z1397">
        <v>8.1370949999999997E-2</v>
      </c>
      <c r="AA1397">
        <v>0.96730570000000005</v>
      </c>
      <c r="AB1397">
        <v>27</v>
      </c>
      <c r="AC1397">
        <v>-3.3112000000000101</v>
      </c>
      <c r="AD1397">
        <v>-1.1104762926930001</v>
      </c>
      <c r="AE1397">
        <v>-12.911</v>
      </c>
      <c r="AF1397">
        <v>3.25732610854255</v>
      </c>
      <c r="AG1397">
        <v>-1.1104762926930001</v>
      </c>
      <c r="AH1397">
        <v>12.829922875879401</v>
      </c>
      <c r="AI1397">
        <v>94.795434268496706</v>
      </c>
      <c r="AJ1397">
        <v>75.754443684234005</v>
      </c>
      <c r="AK1397">
        <v>13.283457832019501</v>
      </c>
      <c r="AL1397">
        <v>84.833299735925394</v>
      </c>
      <c r="AM1397">
        <v>85.634957287285602</v>
      </c>
      <c r="AN1397">
        <v>1.0000000351134599</v>
      </c>
    </row>
    <row r="1398" spans="1:40" x14ac:dyDescent="0.25">
      <c r="A1398" t="str">
        <f>"20190312151252028"</f>
        <v>20190312151252028</v>
      </c>
      <c r="B1398" t="str">
        <f>"1552374772021516"</f>
        <v>1552374772021516</v>
      </c>
      <c r="C1398" t="s">
        <v>40</v>
      </c>
      <c r="D1398">
        <v>4.2255880000000001</v>
      </c>
      <c r="E1398">
        <v>0.56404560000000004</v>
      </c>
      <c r="F1398" t="s">
        <v>42</v>
      </c>
      <c r="G1398">
        <v>-194.05879999999999</v>
      </c>
      <c r="H1398" s="1">
        <v>-3.162885E-6</v>
      </c>
      <c r="I1398">
        <v>304.44450000000001</v>
      </c>
      <c r="J1398">
        <v>-190.73079999999999</v>
      </c>
      <c r="K1398">
        <v>1.1104210000000001</v>
      </c>
      <c r="L1398">
        <v>317.40890000000002</v>
      </c>
      <c r="M1398">
        <v>-1.904403E-3</v>
      </c>
      <c r="N1398">
        <v>0</v>
      </c>
      <c r="O1398">
        <v>-0.99993370000000004</v>
      </c>
      <c r="P1398">
        <v>-7.8630790000000006E-2</v>
      </c>
      <c r="Q1398">
        <v>7.8826919999999995E-2</v>
      </c>
      <c r="R1398">
        <v>-0.99378259999999996</v>
      </c>
      <c r="S1398">
        <v>-0.74981690000000001</v>
      </c>
      <c r="T1398">
        <v>-0.25019649999999999</v>
      </c>
      <c r="U1398">
        <v>-2.9794309999999999</v>
      </c>
      <c r="V1398">
        <v>7.6653669999999993E-2</v>
      </c>
      <c r="W1398">
        <v>9.0194819999999995E-2</v>
      </c>
      <c r="X1398">
        <v>0.99296989999999996</v>
      </c>
      <c r="Y1398">
        <v>0.24140159999999999</v>
      </c>
      <c r="Z1398">
        <v>8.1185450000000006E-2</v>
      </c>
      <c r="AA1398">
        <v>0.96702339999999998</v>
      </c>
      <c r="AB1398">
        <v>27</v>
      </c>
      <c r="AC1398">
        <v>-3.3279999999999998</v>
      </c>
      <c r="AD1398">
        <v>-1.11042416288499</v>
      </c>
      <c r="AE1398">
        <v>-12.964399999999999</v>
      </c>
      <c r="AF1398">
        <v>3.2807227450856402</v>
      </c>
      <c r="AG1398">
        <v>-1.11042416288499</v>
      </c>
      <c r="AH1398">
        <v>12.8820516322623</v>
      </c>
      <c r="AI1398">
        <v>94.775000195615704</v>
      </c>
      <c r="AJ1398">
        <v>75.711991180049097</v>
      </c>
      <c r="AK1398">
        <v>13.339544137934899</v>
      </c>
      <c r="AL1398">
        <v>84.825185255315404</v>
      </c>
      <c r="AM1398">
        <v>85.585728643086895</v>
      </c>
      <c r="AN1398">
        <v>1.0000000564926499</v>
      </c>
    </row>
    <row r="1399" spans="1:40" x14ac:dyDescent="0.25">
      <c r="A1399" t="str">
        <f>"20190312151252048"</f>
        <v>20190312151252048</v>
      </c>
      <c r="B1399" t="str">
        <f>"1552374772041038"</f>
        <v>1552374772041038</v>
      </c>
      <c r="C1399" t="s">
        <v>40</v>
      </c>
      <c r="D1399">
        <v>4.2577470000000002</v>
      </c>
      <c r="E1399">
        <v>0.51939369999999996</v>
      </c>
      <c r="F1399" t="s">
        <v>42</v>
      </c>
      <c r="G1399">
        <v>-194.0684</v>
      </c>
      <c r="H1399" s="1">
        <v>-3.035532E-6</v>
      </c>
      <c r="I1399">
        <v>304.14170000000001</v>
      </c>
      <c r="J1399">
        <v>-190.73079999999999</v>
      </c>
      <c r="K1399">
        <v>1.11039</v>
      </c>
      <c r="L1399">
        <v>317.15839999999997</v>
      </c>
      <c r="M1399">
        <v>-1.4559389999999901E-3</v>
      </c>
      <c r="N1399">
        <v>0</v>
      </c>
      <c r="O1399">
        <v>-0.99993460000000001</v>
      </c>
      <c r="P1399">
        <v>-7.9208509999999996E-2</v>
      </c>
      <c r="Q1399">
        <v>7.8948099999999993E-2</v>
      </c>
      <c r="R1399">
        <v>-0.99372709999999997</v>
      </c>
      <c r="S1399">
        <v>-0.74946590000000002</v>
      </c>
      <c r="T1399">
        <v>-0.24935350000000001</v>
      </c>
      <c r="U1399">
        <v>-2.9792480000000001</v>
      </c>
      <c r="V1399">
        <v>7.7685799999999999E-2</v>
      </c>
      <c r="W1399">
        <v>9.0309739999999999E-2</v>
      </c>
      <c r="X1399">
        <v>0.99287919999999996</v>
      </c>
      <c r="Y1399">
        <v>0.24174899999999999</v>
      </c>
      <c r="Z1399">
        <v>8.0916230000000006E-2</v>
      </c>
      <c r="AA1399">
        <v>0.96695920000000002</v>
      </c>
      <c r="AB1399">
        <v>27</v>
      </c>
      <c r="AC1399">
        <v>-3.3376000000000001</v>
      </c>
      <c r="AD1399">
        <v>-1.110393035532</v>
      </c>
      <c r="AE1399">
        <v>-13.016699999999901</v>
      </c>
      <c r="AF1399">
        <v>3.2961374565086299</v>
      </c>
      <c r="AG1399">
        <v>-1.110393035532</v>
      </c>
      <c r="AH1399">
        <v>12.933236780498801</v>
      </c>
      <c r="AI1399">
        <v>94.755848246905799</v>
      </c>
      <c r="AJ1399">
        <v>75.702093506949495</v>
      </c>
      <c r="AK1399">
        <v>13.3927632864172</v>
      </c>
      <c r="AL1399">
        <v>84.818573649485401</v>
      </c>
      <c r="AM1399">
        <v>85.526123822965403</v>
      </c>
      <c r="AN1399">
        <v>1.0000000192265699</v>
      </c>
    </row>
    <row r="1400" spans="1:40" x14ac:dyDescent="0.25">
      <c r="A1400" t="str">
        <f>"20190312151252070"</f>
        <v>20190312151252070</v>
      </c>
      <c r="B1400" t="str">
        <f>"1552374772061533"</f>
        <v>1552374772061533</v>
      </c>
      <c r="C1400" t="s">
        <v>40</v>
      </c>
      <c r="D1400">
        <v>4.2986339999999998</v>
      </c>
      <c r="E1400">
        <v>0.51162169999999996</v>
      </c>
      <c r="F1400" t="s">
        <v>53</v>
      </c>
      <c r="G1400">
        <v>-194.17910000000001</v>
      </c>
      <c r="H1400" s="1">
        <v>2.3027640000000001E-6</v>
      </c>
      <c r="I1400">
        <v>290.98390000000001</v>
      </c>
      <c r="J1400">
        <v>-190.73070000000001</v>
      </c>
      <c r="K1400">
        <v>1.1103559999999999</v>
      </c>
      <c r="L1400">
        <v>316.89299999999997</v>
      </c>
      <c r="M1400">
        <v>-1.0352810000000001E-3</v>
      </c>
      <c r="N1400">
        <v>0</v>
      </c>
      <c r="O1400">
        <v>-0.99993500000000002</v>
      </c>
      <c r="P1400">
        <v>-7.9149010000000006E-2</v>
      </c>
      <c r="Q1400">
        <v>7.8829040000000003E-2</v>
      </c>
      <c r="R1400">
        <v>-0.99374130000000005</v>
      </c>
      <c r="S1400">
        <v>-0.39491270000000001</v>
      </c>
      <c r="T1400">
        <v>-0.12716649999999999</v>
      </c>
      <c r="U1400">
        <v>-2.99762</v>
      </c>
      <c r="V1400">
        <v>7.8052529999999995E-2</v>
      </c>
      <c r="W1400">
        <v>9.0185310000000005E-2</v>
      </c>
      <c r="X1400">
        <v>0.99286169999999996</v>
      </c>
      <c r="Y1400">
        <v>0.12947159999999999</v>
      </c>
      <c r="Z1400">
        <v>4.2024739999999998E-2</v>
      </c>
      <c r="AA1400">
        <v>0.99069220000000002</v>
      </c>
      <c r="AB1400">
        <v>27</v>
      </c>
      <c r="AC1400">
        <v>-3.4483999999999901</v>
      </c>
      <c r="AD1400">
        <v>-1.110353697236</v>
      </c>
      <c r="AE1400">
        <v>-25.909099999999899</v>
      </c>
      <c r="AF1400">
        <v>3.4154096180161502</v>
      </c>
      <c r="AG1400">
        <v>-1.110353697236</v>
      </c>
      <c r="AH1400">
        <v>25.8659774720693</v>
      </c>
      <c r="AI1400">
        <v>92.436911211924595</v>
      </c>
      <c r="AJ1400">
        <v>82.478033516012403</v>
      </c>
      <c r="AK1400">
        <v>26.114109189811501</v>
      </c>
      <c r="AL1400">
        <v>84.825731926647705</v>
      </c>
      <c r="AM1400">
        <v>85.505011518512902</v>
      </c>
      <c r="AN1400">
        <v>0.99999997145304298</v>
      </c>
    </row>
    <row r="1401" spans="1:40" x14ac:dyDescent="0.25">
      <c r="A1401" t="str">
        <f>"20190312151252091"</f>
        <v>20190312151252091</v>
      </c>
      <c r="B1401" t="str">
        <f>"1552374772081053"</f>
        <v>1552374772081053</v>
      </c>
      <c r="C1401" t="s">
        <v>40</v>
      </c>
      <c r="D1401">
        <v>4.2920429999999996</v>
      </c>
      <c r="E1401">
        <v>0.50897749999999997</v>
      </c>
      <c r="F1401" t="s">
        <v>53</v>
      </c>
      <c r="G1401">
        <v>-193.2816</v>
      </c>
      <c r="H1401" s="1">
        <v>1.603708E-6</v>
      </c>
      <c r="I1401">
        <v>293.87240000000003</v>
      </c>
      <c r="J1401">
        <v>-190.73050000000001</v>
      </c>
      <c r="K1401">
        <v>1.11032</v>
      </c>
      <c r="L1401">
        <v>316.63209999999998</v>
      </c>
      <c r="M1401">
        <v>-6.7974270000000002E-4</v>
      </c>
      <c r="N1401">
        <v>0</v>
      </c>
      <c r="O1401">
        <v>-0.99993520000000002</v>
      </c>
      <c r="P1401">
        <v>-7.8639689999999998E-2</v>
      </c>
      <c r="Q1401">
        <v>7.9031900000000002E-2</v>
      </c>
      <c r="R1401">
        <v>-0.99376549999999997</v>
      </c>
      <c r="S1401">
        <v>-0.33285520000000002</v>
      </c>
      <c r="T1401">
        <v>-0.14488609999999999</v>
      </c>
      <c r="U1401">
        <v>-3.003876</v>
      </c>
      <c r="V1401">
        <v>7.7904600000000004E-2</v>
      </c>
      <c r="W1401">
        <v>9.0382400000000002E-2</v>
      </c>
      <c r="X1401">
        <v>0.99285540000000005</v>
      </c>
      <c r="Y1401">
        <v>0.1093325</v>
      </c>
      <c r="Z1401">
        <v>4.7886430000000001E-2</v>
      </c>
      <c r="AA1401">
        <v>0.99285109999999999</v>
      </c>
      <c r="AB1401">
        <v>27</v>
      </c>
      <c r="AC1401">
        <v>-2.5510999999999902</v>
      </c>
      <c r="AD1401">
        <v>-1.110318396292</v>
      </c>
      <c r="AE1401">
        <v>-22.759699999999899</v>
      </c>
      <c r="AF1401">
        <v>2.5296819370789798</v>
      </c>
      <c r="AG1401">
        <v>-1.110318396292</v>
      </c>
      <c r="AH1401">
        <v>22.708056197694699</v>
      </c>
      <c r="AI1401">
        <v>92.782085597892404</v>
      </c>
      <c r="AJ1401">
        <v>83.643447357100499</v>
      </c>
      <c r="AK1401">
        <v>22.875487184354999</v>
      </c>
      <c r="AL1401">
        <v>84.814393213639306</v>
      </c>
      <c r="AM1401">
        <v>85.513467533537394</v>
      </c>
      <c r="AN1401">
        <v>0.99999997512003902</v>
      </c>
    </row>
    <row r="1402" spans="1:40" x14ac:dyDescent="0.25">
      <c r="A1402" t="str">
        <f>"20190312151252114"</f>
        <v>20190312151252114</v>
      </c>
      <c r="B1402" t="str">
        <f>"1552374772111309"</f>
        <v>1552374772111309</v>
      </c>
      <c r="C1402" t="s">
        <v>40</v>
      </c>
      <c r="D1402">
        <v>4.3381309999999997</v>
      </c>
      <c r="E1402">
        <v>0.50764790000000004</v>
      </c>
      <c r="F1402" t="s">
        <v>53</v>
      </c>
      <c r="G1402">
        <v>-193.0111</v>
      </c>
      <c r="H1402" s="1">
        <v>1.5025039999999999E-6</v>
      </c>
      <c r="I1402">
        <v>294.58330000000001</v>
      </c>
      <c r="J1402">
        <v>-190.7303</v>
      </c>
      <c r="K1402">
        <v>1.1102639999999999</v>
      </c>
      <c r="L1402">
        <v>316.3596</v>
      </c>
      <c r="M1402">
        <v>-3.8106359999999999E-4</v>
      </c>
      <c r="N1402">
        <v>0</v>
      </c>
      <c r="O1402">
        <v>-0.99993549999999998</v>
      </c>
      <c r="P1402">
        <v>-7.8088279999999996E-2</v>
      </c>
      <c r="Q1402">
        <v>7.9127180000000005E-2</v>
      </c>
      <c r="R1402">
        <v>-0.99380179999999996</v>
      </c>
      <c r="S1402">
        <v>-0.31094359999999999</v>
      </c>
      <c r="T1402">
        <v>-0.151388299999999</v>
      </c>
      <c r="U1402">
        <v>-3.0062869999999999</v>
      </c>
      <c r="V1402">
        <v>7.7660709999999994E-2</v>
      </c>
      <c r="W1402">
        <v>9.0469770000000005E-2</v>
      </c>
      <c r="X1402">
        <v>0.99286660000000004</v>
      </c>
      <c r="Y1402">
        <v>0.1023744</v>
      </c>
      <c r="Z1402">
        <v>5.0028280000000001E-2</v>
      </c>
      <c r="AA1402">
        <v>0.99348709999999996</v>
      </c>
      <c r="AB1402">
        <v>27</v>
      </c>
      <c r="AC1402">
        <v>-2.2808000000000002</v>
      </c>
      <c r="AD1402">
        <v>-1.11026249749599</v>
      </c>
      <c r="AE1402">
        <v>-21.7762999999999</v>
      </c>
      <c r="AF1402">
        <v>2.2666729536917201</v>
      </c>
      <c r="AG1402">
        <v>-1.11026249749599</v>
      </c>
      <c r="AH1402">
        <v>21.721316593383001</v>
      </c>
      <c r="AI1402">
        <v>92.910292248705503</v>
      </c>
      <c r="AJ1402">
        <v>84.042605895198705</v>
      </c>
      <c r="AK1402">
        <v>21.8674663288255</v>
      </c>
      <c r="AL1402">
        <v>84.809366949503698</v>
      </c>
      <c r="AM1402">
        <v>85.527506349713406</v>
      </c>
      <c r="AN1402">
        <v>1.0000000252785499</v>
      </c>
    </row>
    <row r="1403" spans="1:40" x14ac:dyDescent="0.25">
      <c r="A1403" t="str">
        <f>"20190312151252136"</f>
        <v>20190312151252136</v>
      </c>
      <c r="B1403" t="str">
        <f>"1552374772130828"</f>
        <v>1552374772130828</v>
      </c>
      <c r="C1403" t="s">
        <v>40</v>
      </c>
      <c r="D1403">
        <v>4.3189710000000003</v>
      </c>
      <c r="E1403">
        <v>0.50732670000000002</v>
      </c>
      <c r="F1403" t="s">
        <v>53</v>
      </c>
      <c r="G1403">
        <v>-192.8425</v>
      </c>
      <c r="H1403" s="1">
        <v>1.33201E-6</v>
      </c>
      <c r="I1403">
        <v>295.12450000000001</v>
      </c>
      <c r="J1403">
        <v>-190.73009999999999</v>
      </c>
      <c r="K1403">
        <v>1.110201</v>
      </c>
      <c r="L1403">
        <v>316.08949999999999</v>
      </c>
      <c r="M1403">
        <v>-1.6978119999999999E-4</v>
      </c>
      <c r="N1403">
        <v>0</v>
      </c>
      <c r="O1403">
        <v>-0.99993520000000002</v>
      </c>
      <c r="P1403">
        <v>-7.7965030000000005E-2</v>
      </c>
      <c r="Q1403">
        <v>7.8816800000000006E-2</v>
      </c>
      <c r="R1403">
        <v>-0.99383569999999999</v>
      </c>
      <c r="S1403">
        <v>-0.29916379999999998</v>
      </c>
      <c r="T1403">
        <v>-0.15725510000000001</v>
      </c>
      <c r="U1403">
        <v>-3.0076900000000002</v>
      </c>
      <c r="V1403">
        <v>7.7761230000000001E-2</v>
      </c>
      <c r="W1403">
        <v>9.0149720000000003E-2</v>
      </c>
      <c r="X1403">
        <v>0.99288779999999999</v>
      </c>
      <c r="Y1403">
        <v>9.8675230000000003E-2</v>
      </c>
      <c r="Z1403">
        <v>5.1957749999999997E-2</v>
      </c>
      <c r="AA1403">
        <v>0.99376229999999999</v>
      </c>
      <c r="AB1403">
        <v>27</v>
      </c>
      <c r="AC1403">
        <v>-2.1124000000000001</v>
      </c>
      <c r="AD1403">
        <v>-1.1101996679899999</v>
      </c>
      <c r="AE1403">
        <v>-20.9649999999999</v>
      </c>
      <c r="AF1403">
        <v>2.1030022590978601</v>
      </c>
      <c r="AG1403">
        <v>-1.1101996679899999</v>
      </c>
      <c r="AH1403">
        <v>20.9073188275351</v>
      </c>
      <c r="AI1403">
        <v>93.024375899773801</v>
      </c>
      <c r="AJ1403">
        <v>84.256115197532395</v>
      </c>
      <c r="AK1403">
        <v>21.042127800219799</v>
      </c>
      <c r="AL1403">
        <v>84.8277794792142</v>
      </c>
      <c r="AM1403">
        <v>85.521836148610106</v>
      </c>
      <c r="AN1403">
        <v>0.999999982148015</v>
      </c>
    </row>
    <row r="1404" spans="1:40" x14ac:dyDescent="0.25">
      <c r="A1404" t="str">
        <f>"20190312151252159"</f>
        <v>20190312151252159</v>
      </c>
      <c r="B1404" t="str">
        <f>"1552374772151326"</f>
        <v>1552374772151326</v>
      </c>
      <c r="C1404" t="s">
        <v>40</v>
      </c>
      <c r="D1404">
        <v>4.6206620000000003</v>
      </c>
      <c r="E1404">
        <v>0.50681750000000003</v>
      </c>
      <c r="F1404" t="s">
        <v>53</v>
      </c>
      <c r="G1404">
        <v>-192.76990000000001</v>
      </c>
      <c r="H1404" s="1">
        <v>1.247619E-6</v>
      </c>
      <c r="I1404">
        <v>295.38139999999999</v>
      </c>
      <c r="J1404">
        <v>-190.73</v>
      </c>
      <c r="K1404">
        <v>1.1101289999999999</v>
      </c>
      <c r="L1404">
        <v>315.81799999999998</v>
      </c>
      <c r="M1404" s="1">
        <v>-4.2985789999999997E-5</v>
      </c>
      <c r="N1404">
        <v>0</v>
      </c>
      <c r="O1404">
        <v>-0.99993540000000003</v>
      </c>
      <c r="P1404">
        <v>-7.8120319999999993E-2</v>
      </c>
      <c r="Q1404">
        <v>7.8635570000000002E-2</v>
      </c>
      <c r="R1404">
        <v>-0.993838</v>
      </c>
      <c r="S1404">
        <v>-0.29631039999999997</v>
      </c>
      <c r="T1404">
        <v>-0.16127420000000001</v>
      </c>
      <c r="U1404">
        <v>-3.0081790000000002</v>
      </c>
      <c r="V1404">
        <v>7.8058039999999995E-2</v>
      </c>
      <c r="W1404">
        <v>8.9956889999999998E-2</v>
      </c>
      <c r="X1404">
        <v>0.99288200000000004</v>
      </c>
      <c r="Y1404">
        <v>9.7845180000000004E-2</v>
      </c>
      <c r="Z1404">
        <v>5.3278029999999997E-2</v>
      </c>
      <c r="AA1404">
        <v>0.99377450000000001</v>
      </c>
      <c r="AB1404">
        <v>27</v>
      </c>
      <c r="AC1404">
        <v>-2.03990000000001</v>
      </c>
      <c r="AD1404">
        <v>-1.110127752381</v>
      </c>
      <c r="AE1404">
        <v>-20.436599999999999</v>
      </c>
      <c r="AF1404">
        <v>2.0330815752588101</v>
      </c>
      <c r="AG1404">
        <v>-1.110127752381</v>
      </c>
      <c r="AH1404">
        <v>20.377153465437399</v>
      </c>
      <c r="AI1404">
        <v>93.102960698416098</v>
      </c>
      <c r="AJ1404">
        <v>84.302307230734698</v>
      </c>
      <c r="AK1404">
        <v>20.508393103123701</v>
      </c>
      <c r="AL1404">
        <v>84.838872901093595</v>
      </c>
      <c r="AM1404">
        <v>85.504787034353399</v>
      </c>
      <c r="AN1404">
        <v>0.99999998279555602</v>
      </c>
    </row>
    <row r="1405" spans="1:40" x14ac:dyDescent="0.25">
      <c r="A1405" t="str">
        <f>"20190312151252183"</f>
        <v>20190312151252183</v>
      </c>
      <c r="B1405" t="str">
        <f>"1552374772170845"</f>
        <v>1552374772170845</v>
      </c>
      <c r="C1405" t="s">
        <v>40</v>
      </c>
      <c r="D1405">
        <v>4.3873550000000003</v>
      </c>
      <c r="E1405">
        <v>0.50651800000000002</v>
      </c>
      <c r="F1405" t="s">
        <v>53</v>
      </c>
      <c r="G1405">
        <v>-192.6995</v>
      </c>
      <c r="H1405" s="1">
        <v>1.1829890000000001E-6</v>
      </c>
      <c r="I1405">
        <v>295.58190000000002</v>
      </c>
      <c r="J1405">
        <v>-190.72989999999999</v>
      </c>
      <c r="K1405">
        <v>1.1100540000000001</v>
      </c>
      <c r="L1405">
        <v>315.52659999999997</v>
      </c>
      <c r="M1405" s="1">
        <v>-9.8034989999999992E-6</v>
      </c>
      <c r="N1405">
        <v>0</v>
      </c>
      <c r="O1405">
        <v>-0.99993540000000003</v>
      </c>
      <c r="P1405">
        <v>-7.8828789999999996E-2</v>
      </c>
      <c r="Q1405">
        <v>7.8648469999999998E-2</v>
      </c>
      <c r="R1405">
        <v>-0.99378109999999997</v>
      </c>
      <c r="S1405">
        <v>-0.29283140000000002</v>
      </c>
      <c r="T1405">
        <v>-0.16505339999999999</v>
      </c>
      <c r="U1405">
        <v>-3.0086979999999999</v>
      </c>
      <c r="V1405">
        <v>7.8817079999999998E-2</v>
      </c>
      <c r="W1405">
        <v>8.9955950000000007E-2</v>
      </c>
      <c r="X1405">
        <v>0.99282210000000004</v>
      </c>
      <c r="Y1405">
        <v>9.6716750000000004E-2</v>
      </c>
      <c r="Z1405">
        <v>5.4519570000000003E-2</v>
      </c>
      <c r="AA1405">
        <v>0.99381759999999997</v>
      </c>
      <c r="AB1405">
        <v>27</v>
      </c>
      <c r="AC1405">
        <v>-1.96960000000001</v>
      </c>
      <c r="AD1405">
        <v>-1.110052817011</v>
      </c>
      <c r="AE1405">
        <v>-19.944699999999902</v>
      </c>
      <c r="AF1405">
        <v>1.9633813308519099</v>
      </c>
      <c r="AG1405">
        <v>-1.110052817011</v>
      </c>
      <c r="AH1405">
        <v>19.8837213724387</v>
      </c>
      <c r="AI1405">
        <v>93.179914174526203</v>
      </c>
      <c r="AJ1405">
        <v>84.360714768396207</v>
      </c>
      <c r="AK1405">
        <v>20.011233323402799</v>
      </c>
      <c r="AL1405">
        <v>84.838926879263198</v>
      </c>
      <c r="AM1405">
        <v>85.460984445625598</v>
      </c>
      <c r="AN1405">
        <v>0.99999996364426802</v>
      </c>
    </row>
    <row r="1406" spans="1:40" x14ac:dyDescent="0.25">
      <c r="A1406" t="str">
        <f>"20190312151252206"</f>
        <v>20190312151252206</v>
      </c>
      <c r="B1406" t="str">
        <f>"1552374772201101"</f>
        <v>1552374772201101</v>
      </c>
      <c r="C1406" t="s">
        <v>40</v>
      </c>
      <c r="D1406">
        <v>4.4157149999999996</v>
      </c>
      <c r="E1406">
        <v>0.50594439999999996</v>
      </c>
      <c r="F1406" t="s">
        <v>53</v>
      </c>
      <c r="G1406">
        <v>-192.7166</v>
      </c>
      <c r="H1406" s="1">
        <v>1.354749E-6</v>
      </c>
      <c r="I1406">
        <v>295.0917</v>
      </c>
      <c r="J1406">
        <v>-190.73</v>
      </c>
      <c r="K1406">
        <v>1.10997099999999</v>
      </c>
      <c r="L1406">
        <v>315.24529999999999</v>
      </c>
      <c r="M1406">
        <v>-1.11082E-4</v>
      </c>
      <c r="N1406">
        <v>0</v>
      </c>
      <c r="O1406">
        <v>-0.99993520000000002</v>
      </c>
      <c r="P1406">
        <v>-7.9886570000000004E-2</v>
      </c>
      <c r="Q1406">
        <v>7.8851359999999995E-2</v>
      </c>
      <c r="R1406">
        <v>-0.99368020000000001</v>
      </c>
      <c r="S1406">
        <v>-0.29249570000000003</v>
      </c>
      <c r="T1406">
        <v>-0.16342690000000001</v>
      </c>
      <c r="U1406">
        <v>-3.0085139999999999</v>
      </c>
      <c r="V1406">
        <v>7.9793240000000001E-2</v>
      </c>
      <c r="W1406">
        <v>9.0142589999999995E-2</v>
      </c>
      <c r="X1406">
        <v>0.99272720000000003</v>
      </c>
      <c r="Y1406">
        <v>9.651469E-2</v>
      </c>
      <c r="Z1406">
        <v>5.3987970000000003E-2</v>
      </c>
      <c r="AA1406">
        <v>0.99386629999999998</v>
      </c>
      <c r="AB1406">
        <v>27</v>
      </c>
      <c r="AC1406">
        <v>-1.9866000000000099</v>
      </c>
      <c r="AD1406">
        <v>-1.10996964525099</v>
      </c>
      <c r="AE1406">
        <v>-20.153599999999901</v>
      </c>
      <c r="AF1406">
        <v>1.9784177341473901</v>
      </c>
      <c r="AG1406">
        <v>-1.10996964525099</v>
      </c>
      <c r="AH1406">
        <v>20.093457387394199</v>
      </c>
      <c r="AI1406">
        <v>93.146640492724799</v>
      </c>
      <c r="AJ1406">
        <v>84.376737040108907</v>
      </c>
      <c r="AK1406">
        <v>20.221107762019301</v>
      </c>
      <c r="AL1406">
        <v>84.828189608570796</v>
      </c>
      <c r="AM1406">
        <v>85.404570028286301</v>
      </c>
      <c r="AN1406">
        <v>0.99999997065072199</v>
      </c>
    </row>
    <row r="1407" spans="1:40" x14ac:dyDescent="0.25">
      <c r="A1407" t="str">
        <f>"20190312151252229"</f>
        <v>20190312151252229</v>
      </c>
      <c r="B1407" t="str">
        <f>"1552374772221596"</f>
        <v>1552374772221596</v>
      </c>
      <c r="C1407" t="s">
        <v>40</v>
      </c>
      <c r="D1407">
        <v>4.4147210000000001</v>
      </c>
      <c r="E1407">
        <v>0.50579819999999998</v>
      </c>
      <c r="F1407" t="s">
        <v>53</v>
      </c>
      <c r="G1407">
        <v>-192.59989999999999</v>
      </c>
      <c r="H1407" s="1">
        <v>1.0769720000000001E-6</v>
      </c>
      <c r="I1407">
        <v>295.90679999999998</v>
      </c>
      <c r="J1407">
        <v>-190.7302</v>
      </c>
      <c r="K1407">
        <v>1.10988</v>
      </c>
      <c r="L1407">
        <v>314.97019999999998</v>
      </c>
      <c r="M1407">
        <v>-3.7069730000000001E-4</v>
      </c>
      <c r="N1407">
        <v>0</v>
      </c>
      <c r="O1407">
        <v>-0.99993529999999997</v>
      </c>
      <c r="P1407">
        <v>-8.1613519999999995E-2</v>
      </c>
      <c r="Q1407">
        <v>7.9118709999999995E-2</v>
      </c>
      <c r="R1407">
        <v>-0.99351900000000004</v>
      </c>
      <c r="S1407">
        <v>-0.29100039999999999</v>
      </c>
      <c r="T1407">
        <v>-0.17273039999999901</v>
      </c>
      <c r="U1407">
        <v>-3.0093990000000002</v>
      </c>
      <c r="V1407">
        <v>8.1284079999999995E-2</v>
      </c>
      <c r="W1407">
        <v>9.0390949999999998E-2</v>
      </c>
      <c r="X1407">
        <v>0.99258369999999996</v>
      </c>
      <c r="Y1407">
        <v>9.5722509999999997E-2</v>
      </c>
      <c r="Z1407">
        <v>5.7038510000000001E-2</v>
      </c>
      <c r="AA1407">
        <v>0.99377249999999995</v>
      </c>
      <c r="AB1407">
        <v>27</v>
      </c>
      <c r="AC1407">
        <v>-1.8696999999999899</v>
      </c>
      <c r="AD1407">
        <v>-1.109878923028</v>
      </c>
      <c r="AE1407">
        <v>-19.063400000000001</v>
      </c>
      <c r="AF1407">
        <v>1.8564001329962201</v>
      </c>
      <c r="AG1407">
        <v>-1.109878923028</v>
      </c>
      <c r="AH1407">
        <v>19.000301718652999</v>
      </c>
      <c r="AI1407">
        <v>93.327255131188906</v>
      </c>
      <c r="AJ1407">
        <v>84.419700846135598</v>
      </c>
      <c r="AK1407">
        <v>19.1230101730198</v>
      </c>
      <c r="AL1407">
        <v>84.813901520883505</v>
      </c>
      <c r="AM1407">
        <v>85.318414327614605</v>
      </c>
      <c r="AN1407">
        <v>1.00000001350451</v>
      </c>
    </row>
    <row r="1408" spans="1:40" x14ac:dyDescent="0.25">
      <c r="A1408" t="str">
        <f>"20190312151252248"</f>
        <v>20190312151252248</v>
      </c>
      <c r="B1408" t="str">
        <f>"1552374772241117"</f>
        <v>1552374772241117</v>
      </c>
      <c r="C1408" t="s">
        <v>40</v>
      </c>
      <c r="D1408">
        <v>4.4476139999999997</v>
      </c>
      <c r="E1408">
        <v>0.5057393</v>
      </c>
      <c r="F1408" t="s">
        <v>53</v>
      </c>
      <c r="G1408">
        <v>-192.5848</v>
      </c>
      <c r="H1408" s="1">
        <v>1.0256279999999999E-6</v>
      </c>
      <c r="I1408">
        <v>296.05579999999998</v>
      </c>
      <c r="J1408">
        <v>-190.73060000000001</v>
      </c>
      <c r="K1408">
        <v>1.1098030000000001</v>
      </c>
      <c r="L1408">
        <v>314.72919999999999</v>
      </c>
      <c r="M1408">
        <v>-6.9821879999999996E-4</v>
      </c>
      <c r="N1408">
        <v>0</v>
      </c>
      <c r="O1408">
        <v>-0.99993509999999997</v>
      </c>
      <c r="P1408">
        <v>-8.3961759999999996E-2</v>
      </c>
      <c r="Q1408">
        <v>8.0176199999999906E-2</v>
      </c>
      <c r="R1408">
        <v>-0.99323859999999997</v>
      </c>
      <c r="S1408">
        <v>-0.29507450000000002</v>
      </c>
      <c r="T1408">
        <v>-0.17658750000000001</v>
      </c>
      <c r="U1408">
        <v>-3.009369</v>
      </c>
      <c r="V1408">
        <v>8.332676E-2</v>
      </c>
      <c r="W1408">
        <v>9.1429469999999999E-2</v>
      </c>
      <c r="X1408">
        <v>0.99231919999999996</v>
      </c>
      <c r="Y1408">
        <v>9.6723030000000002E-2</v>
      </c>
      <c r="Z1408">
        <v>5.8301810000000003E-2</v>
      </c>
      <c r="AA1408">
        <v>0.99360230000000005</v>
      </c>
      <c r="AB1408">
        <v>27</v>
      </c>
      <c r="AC1408">
        <v>-1.8541999999999901</v>
      </c>
      <c r="AD1408">
        <v>-1.109801974372</v>
      </c>
      <c r="AE1408">
        <v>-18.673400000000001</v>
      </c>
      <c r="AF1408">
        <v>1.8347431964076599</v>
      </c>
      <c r="AG1408">
        <v>-1.109801974372</v>
      </c>
      <c r="AH1408">
        <v>18.609599289116101</v>
      </c>
      <c r="AI1408">
        <v>93.396420540575605</v>
      </c>
      <c r="AJ1408">
        <v>84.369335626786693</v>
      </c>
      <c r="AK1408">
        <v>18.732728811375999</v>
      </c>
      <c r="AL1408">
        <v>84.754151455747703</v>
      </c>
      <c r="AM1408">
        <v>85.200035053058102</v>
      </c>
      <c r="AN1408">
        <v>1.0000000458025999</v>
      </c>
    </row>
    <row r="1409" spans="1:40" x14ac:dyDescent="0.25">
      <c r="A1409" t="str">
        <f>"20190312151252271"</f>
        <v>20190312151252271</v>
      </c>
      <c r="B1409" t="str">
        <f>"1552374772261613"</f>
        <v>1552374772261613</v>
      </c>
      <c r="C1409" t="s">
        <v>40</v>
      </c>
      <c r="D1409">
        <v>4.4739779999999998</v>
      </c>
      <c r="E1409">
        <v>0.50564030000000004</v>
      </c>
      <c r="F1409" t="s">
        <v>53</v>
      </c>
      <c r="G1409">
        <v>-192.62950000000001</v>
      </c>
      <c r="H1409" s="1">
        <v>1.1212979999999999E-6</v>
      </c>
      <c r="I1409">
        <v>295.774</v>
      </c>
      <c r="J1409">
        <v>-190.73140000000001</v>
      </c>
      <c r="K1409">
        <v>1.109701</v>
      </c>
      <c r="L1409">
        <v>314.45549999999997</v>
      </c>
      <c r="M1409">
        <v>-1.2046190000000001E-3</v>
      </c>
      <c r="N1409">
        <v>0</v>
      </c>
      <c r="O1409">
        <v>-0.99993460000000001</v>
      </c>
      <c r="P1409">
        <v>-8.6441320000000002E-2</v>
      </c>
      <c r="Q1409">
        <v>8.0737059999999999E-2</v>
      </c>
      <c r="R1409">
        <v>-0.99298030000000004</v>
      </c>
      <c r="S1409">
        <v>-0.30145260000000001</v>
      </c>
      <c r="T1409">
        <v>-0.1761817</v>
      </c>
      <c r="U1409">
        <v>-3.0091549999999998</v>
      </c>
      <c r="V1409">
        <v>8.5326760000000001E-2</v>
      </c>
      <c r="W1409">
        <v>9.1968389999999997E-2</v>
      </c>
      <c r="X1409">
        <v>0.99209930000000002</v>
      </c>
      <c r="Y1409">
        <v>9.8312049999999998E-2</v>
      </c>
      <c r="Z1409">
        <v>5.816176E-2</v>
      </c>
      <c r="AA1409">
        <v>0.99345459999999997</v>
      </c>
      <c r="AB1409">
        <v>27</v>
      </c>
      <c r="AC1409">
        <v>-1.8980999999999999</v>
      </c>
      <c r="AD1409">
        <v>-1.109699878702</v>
      </c>
      <c r="AE1409">
        <v>-18.6814999999999</v>
      </c>
      <c r="AF1409">
        <v>1.86906550360715</v>
      </c>
      <c r="AG1409">
        <v>-1.109699878702</v>
      </c>
      <c r="AH1409">
        <v>18.618748470809901</v>
      </c>
      <c r="AI1409">
        <v>93.393845105367205</v>
      </c>
      <c r="AJ1409">
        <v>84.267498864595694</v>
      </c>
      <c r="AK1409">
        <v>18.745202967608801</v>
      </c>
      <c r="AL1409">
        <v>84.723142361574304</v>
      </c>
      <c r="AM1409">
        <v>85.084300521016203</v>
      </c>
      <c r="AN1409">
        <v>0.99999993089588701</v>
      </c>
    </row>
    <row r="1410" spans="1:40" x14ac:dyDescent="0.25">
      <c r="A1410" t="str">
        <f>"20190312151252294"</f>
        <v>20190312151252294</v>
      </c>
      <c r="B1410" t="str">
        <f>"1552374772290892"</f>
        <v>1552374772290892</v>
      </c>
      <c r="C1410" t="s">
        <v>40</v>
      </c>
      <c r="D1410">
        <v>4.5894139999999997</v>
      </c>
      <c r="E1410">
        <v>0.5055674</v>
      </c>
      <c r="F1410" t="s">
        <v>53</v>
      </c>
      <c r="G1410">
        <v>-192.65440000000001</v>
      </c>
      <c r="H1410" s="1">
        <v>1.145981E-6</v>
      </c>
      <c r="I1410">
        <v>295.6979</v>
      </c>
      <c r="J1410">
        <v>-190.73240000000001</v>
      </c>
      <c r="K1410">
        <v>1.109586</v>
      </c>
      <c r="L1410">
        <v>314.16989999999998</v>
      </c>
      <c r="M1410">
        <v>-1.8998960000000001E-3</v>
      </c>
      <c r="N1410">
        <v>0</v>
      </c>
      <c r="O1410">
        <v>-0.99993319999999997</v>
      </c>
      <c r="P1410">
        <v>-8.9247789999999994E-2</v>
      </c>
      <c r="Q1410">
        <v>8.0875509999999998E-2</v>
      </c>
      <c r="R1410">
        <v>-0.99272050000000001</v>
      </c>
      <c r="S1410">
        <v>-0.30845640000000002</v>
      </c>
      <c r="T1410">
        <v>-0.17800060000000001</v>
      </c>
      <c r="U1410">
        <v>-3.0087890000000002</v>
      </c>
      <c r="V1410">
        <v>8.7469350000000001E-2</v>
      </c>
      <c r="W1410">
        <v>9.2080930000000005E-2</v>
      </c>
      <c r="X1410">
        <v>0.99190239999999996</v>
      </c>
      <c r="Y1410">
        <v>9.991746E-2</v>
      </c>
      <c r="Z1410">
        <v>5.8755580000000002E-2</v>
      </c>
      <c r="AA1410">
        <v>0.99325940000000001</v>
      </c>
      <c r="AB1410">
        <v>27</v>
      </c>
      <c r="AC1410">
        <v>-1.9219999999999899</v>
      </c>
      <c r="AD1410">
        <v>-1.1095848540190001</v>
      </c>
      <c r="AE1410">
        <v>-18.471999999999898</v>
      </c>
      <c r="AF1410">
        <v>1.88018789635728</v>
      </c>
      <c r="AG1410">
        <v>-1.1095848540190001</v>
      </c>
      <c r="AH1410">
        <v>18.409902940106601</v>
      </c>
      <c r="AI1410">
        <v>93.431301050075902</v>
      </c>
      <c r="AJ1410">
        <v>84.168648538603506</v>
      </c>
      <c r="AK1410">
        <v>18.538899949512199</v>
      </c>
      <c r="AL1410">
        <v>84.716667595968403</v>
      </c>
      <c r="AM1410">
        <v>84.960497918460703</v>
      </c>
      <c r="AN1410">
        <v>1.0000000779924201</v>
      </c>
    </row>
    <row r="1411" spans="1:40" x14ac:dyDescent="0.25">
      <c r="A1411" t="str">
        <f>"20190312151252316"</f>
        <v>20190312151252316</v>
      </c>
      <c r="B1411" t="str">
        <f>"1552374772311389"</f>
        <v>1552374772311389</v>
      </c>
      <c r="C1411" t="s">
        <v>40</v>
      </c>
      <c r="D1411">
        <v>4.5421129999999996</v>
      </c>
      <c r="E1411">
        <v>0.50547810000000004</v>
      </c>
      <c r="F1411" t="s">
        <v>53</v>
      </c>
      <c r="G1411">
        <v>-192.67619999999999</v>
      </c>
      <c r="H1411" s="1">
        <v>1.1452010000000001E-6</v>
      </c>
      <c r="I1411">
        <v>295.69470000000001</v>
      </c>
      <c r="J1411">
        <v>-190.7337</v>
      </c>
      <c r="K1411">
        <v>1.10947</v>
      </c>
      <c r="L1411">
        <v>313.91250000000002</v>
      </c>
      <c r="M1411">
        <v>-2.681288E-3</v>
      </c>
      <c r="N1411">
        <v>0</v>
      </c>
      <c r="O1411">
        <v>-0.99993160000000003</v>
      </c>
      <c r="P1411">
        <v>-9.2752760000000004E-2</v>
      </c>
      <c r="Q1411">
        <v>8.0369720000000006E-2</v>
      </c>
      <c r="R1411">
        <v>-0.99244060000000001</v>
      </c>
      <c r="S1411">
        <v>-0.3164978</v>
      </c>
      <c r="T1411">
        <v>-0.18067220000000001</v>
      </c>
      <c r="U1411">
        <v>-3.0083009999999999</v>
      </c>
      <c r="V1411">
        <v>9.0224200000000004E-2</v>
      </c>
      <c r="W1411">
        <v>9.1547710000000004E-2</v>
      </c>
      <c r="X1411">
        <v>0.9917049</v>
      </c>
      <c r="Y1411">
        <v>0.1017774</v>
      </c>
      <c r="Z1411">
        <v>5.9629939999999999E-2</v>
      </c>
      <c r="AA1411">
        <v>0.99301839999999997</v>
      </c>
      <c r="AB1411">
        <v>27</v>
      </c>
      <c r="AC1411">
        <v>-1.9424999999999899</v>
      </c>
      <c r="AD1411">
        <v>-1.1094688547989999</v>
      </c>
      <c r="AE1411">
        <v>-18.2178</v>
      </c>
      <c r="AF1411">
        <v>1.88672378356353</v>
      </c>
      <c r="AG1411">
        <v>-1.1094688547989999</v>
      </c>
      <c r="AH1411">
        <v>18.156361149193501</v>
      </c>
      <c r="AI1411">
        <v>93.478105435463405</v>
      </c>
      <c r="AJ1411">
        <v>84.067384755204003</v>
      </c>
      <c r="AK1411">
        <v>18.287812825900701</v>
      </c>
      <c r="AL1411">
        <v>84.747348025261502</v>
      </c>
      <c r="AM1411">
        <v>84.801605335039596</v>
      </c>
      <c r="AN1411">
        <v>0.99999999907794701</v>
      </c>
    </row>
    <row r="1412" spans="1:40" x14ac:dyDescent="0.25">
      <c r="A1412" t="str">
        <f>"20190312151252338"</f>
        <v>20190312151252338</v>
      </c>
      <c r="B1412" t="str">
        <f>"1552374772330909"</f>
        <v>1552374772330909</v>
      </c>
      <c r="C1412" t="s">
        <v>40</v>
      </c>
      <c r="D1412">
        <v>4.5495939999999999</v>
      </c>
      <c r="E1412">
        <v>0.50540320000000005</v>
      </c>
      <c r="F1412" t="s">
        <v>53</v>
      </c>
      <c r="G1412">
        <v>-192.67959999999999</v>
      </c>
      <c r="H1412" s="1">
        <v>1.045315E-6</v>
      </c>
      <c r="I1412">
        <v>295.97629999999998</v>
      </c>
      <c r="J1412">
        <v>-190.7355</v>
      </c>
      <c r="K1412">
        <v>1.1093309999999901</v>
      </c>
      <c r="L1412">
        <v>313.63350000000003</v>
      </c>
      <c r="M1412">
        <v>-3.7039500000000001E-3</v>
      </c>
      <c r="N1412">
        <v>0</v>
      </c>
      <c r="O1412">
        <v>-0.99992809999999999</v>
      </c>
      <c r="P1412">
        <v>-9.6462790000000007E-2</v>
      </c>
      <c r="Q1412">
        <v>7.9623349999999996E-2</v>
      </c>
      <c r="R1412">
        <v>-0.9921468</v>
      </c>
      <c r="S1412">
        <v>-0.32627869999999998</v>
      </c>
      <c r="T1412">
        <v>-0.18602659999999999</v>
      </c>
      <c r="U1412">
        <v>-3.0073850000000002</v>
      </c>
      <c r="V1412">
        <v>9.2948840000000005E-2</v>
      </c>
      <c r="W1412">
        <v>9.0768940000000006E-2</v>
      </c>
      <c r="X1412">
        <v>0.99152479999999998</v>
      </c>
      <c r="Y1412">
        <v>0.1039728</v>
      </c>
      <c r="Z1412">
        <v>6.1391210000000002E-2</v>
      </c>
      <c r="AA1412">
        <v>0.9926836</v>
      </c>
      <c r="AB1412">
        <v>27</v>
      </c>
      <c r="AC1412">
        <v>-1.9440999999999899</v>
      </c>
      <c r="AD1412">
        <v>-1.109329954685</v>
      </c>
      <c r="AE1412">
        <v>-17.6572</v>
      </c>
      <c r="AF1412">
        <v>1.8713829632783501</v>
      </c>
      <c r="AG1412">
        <v>-1.109329954685</v>
      </c>
      <c r="AH1412">
        <v>17.595660248185698</v>
      </c>
      <c r="AI1412">
        <v>93.587297239700504</v>
      </c>
      <c r="AJ1412">
        <v>83.929139933619297</v>
      </c>
      <c r="AK1412">
        <v>17.729634703320698</v>
      </c>
      <c r="AL1412">
        <v>84.792154604068102</v>
      </c>
      <c r="AM1412">
        <v>84.644553591846901</v>
      </c>
      <c r="AN1412">
        <v>0.99999995817055298</v>
      </c>
    </row>
    <row r="1413" spans="1:40" x14ac:dyDescent="0.25">
      <c r="A1413" t="str">
        <f>"20190312151252361"</f>
        <v>20190312151252361</v>
      </c>
      <c r="B1413" t="str">
        <f>"1552374772351405"</f>
        <v>1552374772351405</v>
      </c>
      <c r="C1413" t="s">
        <v>40</v>
      </c>
      <c r="D1413">
        <v>4.5767620000000004</v>
      </c>
      <c r="E1413">
        <v>0.50523830000000003</v>
      </c>
      <c r="F1413" t="s">
        <v>53</v>
      </c>
      <c r="G1413">
        <v>-192.69280000000001</v>
      </c>
      <c r="H1413" s="1">
        <v>9.6929320000000009E-7</v>
      </c>
      <c r="I1413">
        <v>296.18810000000002</v>
      </c>
      <c r="J1413">
        <v>-190.73779999999999</v>
      </c>
      <c r="K1413">
        <v>1.1091959999999901</v>
      </c>
      <c r="L1413">
        <v>313.36149999999998</v>
      </c>
      <c r="M1413">
        <v>-4.8838049999999997E-3</v>
      </c>
      <c r="N1413">
        <v>0</v>
      </c>
      <c r="O1413">
        <v>-0.99992329999999996</v>
      </c>
      <c r="P1413">
        <v>-9.9506650000000002E-2</v>
      </c>
      <c r="Q1413">
        <v>7.9729289999999994E-2</v>
      </c>
      <c r="R1413">
        <v>-0.99183809999999994</v>
      </c>
      <c r="S1413">
        <v>-0.33728029999999998</v>
      </c>
      <c r="T1413">
        <v>-0.1911659</v>
      </c>
      <c r="U1413">
        <v>-3.0062869999999999</v>
      </c>
      <c r="V1413">
        <v>9.4853629999999994E-2</v>
      </c>
      <c r="W1413">
        <v>9.0842539999999999E-2</v>
      </c>
      <c r="X1413">
        <v>0.99133769999999999</v>
      </c>
      <c r="Y1413">
        <v>0.1064152</v>
      </c>
      <c r="Z1413">
        <v>6.3082170000000007E-2</v>
      </c>
      <c r="AA1413">
        <v>0.9923187</v>
      </c>
      <c r="AB1413">
        <v>27</v>
      </c>
      <c r="AC1413">
        <v>-1.9550000000000101</v>
      </c>
      <c r="AD1413">
        <v>-1.1091950307067999</v>
      </c>
      <c r="AE1413">
        <v>-17.173399999999901</v>
      </c>
      <c r="AF1413">
        <v>1.8634256847195101</v>
      </c>
      <c r="AG1413">
        <v>-1.1091950307067999</v>
      </c>
      <c r="AH1413">
        <v>17.112271245390499</v>
      </c>
      <c r="AI1413">
        <v>93.686914827825206</v>
      </c>
      <c r="AJ1413">
        <v>83.785313861977698</v>
      </c>
      <c r="AK1413">
        <v>17.2491302990741</v>
      </c>
      <c r="AL1413">
        <v>84.787920394622404</v>
      </c>
      <c r="AM1413">
        <v>84.534437649400203</v>
      </c>
      <c r="AN1413">
        <v>1.00000000681955</v>
      </c>
    </row>
    <row r="1414" spans="1:40" x14ac:dyDescent="0.25">
      <c r="A1414" t="str">
        <f>"20190312151252383"</f>
        <v>20190312151252383</v>
      </c>
      <c r="B1414" t="str">
        <f>"1552374772371901"</f>
        <v>1552374772371901</v>
      </c>
      <c r="C1414" t="s">
        <v>40</v>
      </c>
      <c r="D1414">
        <v>4.5809870000000004</v>
      </c>
      <c r="E1414">
        <v>0.50506149999999905</v>
      </c>
      <c r="F1414" t="s">
        <v>53</v>
      </c>
      <c r="G1414">
        <v>-192.7492</v>
      </c>
      <c r="H1414" s="1">
        <v>1.0777760000000001E-6</v>
      </c>
      <c r="I1414">
        <v>295.86709999999999</v>
      </c>
      <c r="J1414">
        <v>-190.7406</v>
      </c>
      <c r="K1414">
        <v>1.109056</v>
      </c>
      <c r="L1414">
        <v>313.08600000000001</v>
      </c>
      <c r="M1414">
        <v>-6.2662969999999997E-3</v>
      </c>
      <c r="N1414">
        <v>0</v>
      </c>
      <c r="O1414">
        <v>-0.99991540000000001</v>
      </c>
      <c r="P1414">
        <v>-0.10306659999999999</v>
      </c>
      <c r="Q1414">
        <v>7.9708609999999999E-2</v>
      </c>
      <c r="R1414">
        <v>-0.99147580000000002</v>
      </c>
      <c r="S1414">
        <v>-0.34553529999999999</v>
      </c>
      <c r="T1414">
        <v>-0.19054879999999999</v>
      </c>
      <c r="U1414">
        <v>-3.0053709999999998</v>
      </c>
      <c r="V1414">
        <v>9.7074610000000006E-2</v>
      </c>
      <c r="W1414">
        <v>9.0786519999999996E-2</v>
      </c>
      <c r="X1414">
        <v>0.9911278</v>
      </c>
      <c r="Y1414">
        <v>0.10776620000000001</v>
      </c>
      <c r="Z1414">
        <v>6.2883320000000006E-2</v>
      </c>
      <c r="AA1414">
        <v>0.99218550000000005</v>
      </c>
      <c r="AB1414">
        <v>27</v>
      </c>
      <c r="AC1414">
        <v>-2.0085999999999999</v>
      </c>
      <c r="AD1414">
        <v>-1.109054922224</v>
      </c>
      <c r="AE1414">
        <v>-17.218900000000001</v>
      </c>
      <c r="AF1414">
        <v>1.8929074270628901</v>
      </c>
      <c r="AG1414">
        <v>-1.109054922224</v>
      </c>
      <c r="AH1414">
        <v>17.160912203151899</v>
      </c>
      <c r="AI1414">
        <v>93.675470725388607</v>
      </c>
      <c r="AJ1414">
        <v>83.705524833495303</v>
      </c>
      <c r="AK1414">
        <v>17.3005782849079</v>
      </c>
      <c r="AL1414">
        <v>84.791143355468606</v>
      </c>
      <c r="AM1414">
        <v>84.406087780975398</v>
      </c>
      <c r="AN1414">
        <v>0.999999994026601</v>
      </c>
    </row>
    <row r="1415" spans="1:40" x14ac:dyDescent="0.25">
      <c r="A1415" t="str">
        <f>"20190312151252408"</f>
        <v>20190312151252408</v>
      </c>
      <c r="B1415" t="str">
        <f>"1552374772401180"</f>
        <v>1552374772401180</v>
      </c>
      <c r="C1415" t="s">
        <v>40</v>
      </c>
      <c r="D1415">
        <v>4.5728030000000004</v>
      </c>
      <c r="E1415">
        <v>0.50473919999999906</v>
      </c>
      <c r="F1415" t="s">
        <v>53</v>
      </c>
      <c r="G1415">
        <v>-192.81049999999999</v>
      </c>
      <c r="H1415" s="1">
        <v>1.172708E-6</v>
      </c>
      <c r="I1415">
        <v>295.58319999999998</v>
      </c>
      <c r="J1415">
        <v>-190.74420000000001</v>
      </c>
      <c r="K1415">
        <v>1.108905</v>
      </c>
      <c r="L1415">
        <v>312.79860000000002</v>
      </c>
      <c r="M1415">
        <v>-7.9166489999999996E-3</v>
      </c>
      <c r="N1415">
        <v>0</v>
      </c>
      <c r="O1415">
        <v>-0.9999034</v>
      </c>
      <c r="P1415">
        <v>-0.1065912</v>
      </c>
      <c r="Q1415">
        <v>7.9724879999999998E-2</v>
      </c>
      <c r="R1415">
        <v>-0.99110160000000003</v>
      </c>
      <c r="S1415">
        <v>-0.35527039999999999</v>
      </c>
      <c r="T1415">
        <v>-0.19035779999999999</v>
      </c>
      <c r="U1415">
        <v>-3.004181</v>
      </c>
      <c r="V1415">
        <v>9.8995819999999998E-2</v>
      </c>
      <c r="W1415">
        <v>9.0767520000000004E-2</v>
      </c>
      <c r="X1415">
        <v>0.99093949999999997</v>
      </c>
      <c r="Y1415">
        <v>0.1093423</v>
      </c>
      <c r="Z1415">
        <v>6.2826939999999998E-2</v>
      </c>
      <c r="AA1415">
        <v>0.99201669999999997</v>
      </c>
      <c r="AB1415">
        <v>27</v>
      </c>
      <c r="AC1415">
        <v>-2.06629999999998</v>
      </c>
      <c r="AD1415">
        <v>-1.108903827292</v>
      </c>
      <c r="AE1415">
        <v>-17.215399999999999</v>
      </c>
      <c r="AF1415">
        <v>1.9220764419374701</v>
      </c>
      <c r="AG1415">
        <v>-1.108903827292</v>
      </c>
      <c r="AH1415">
        <v>17.161028127548601</v>
      </c>
      <c r="AI1415">
        <v>93.674263015098205</v>
      </c>
      <c r="AJ1415">
        <v>83.609368532242399</v>
      </c>
      <c r="AK1415">
        <v>17.303899327647201</v>
      </c>
      <c r="AL1415">
        <v>84.792236539930499</v>
      </c>
      <c r="AM1415">
        <v>84.295024583597296</v>
      </c>
      <c r="AN1415">
        <v>1.00000000386233</v>
      </c>
    </row>
    <row r="1416" spans="1:40" x14ac:dyDescent="0.25">
      <c r="A1416" t="str">
        <f>"20190312151252430"</f>
        <v>20190312151252430</v>
      </c>
      <c r="B1416" t="str">
        <f>"1552374772421676"</f>
        <v>1552374772421676</v>
      </c>
      <c r="C1416" t="s">
        <v>40</v>
      </c>
      <c r="D1416">
        <v>4.5983689999999999</v>
      </c>
      <c r="E1416">
        <v>0.50458820000000004</v>
      </c>
      <c r="F1416" t="s">
        <v>41</v>
      </c>
      <c r="G1416">
        <v>-190.86070000000001</v>
      </c>
      <c r="H1416">
        <v>1.046249</v>
      </c>
      <c r="I1416">
        <v>311.83699999999999</v>
      </c>
      <c r="J1416">
        <v>-190.7484</v>
      </c>
      <c r="K1416">
        <v>1.1087689999999999</v>
      </c>
      <c r="L1416">
        <v>312.5136</v>
      </c>
      <c r="M1416">
        <v>-9.7541199999999998E-3</v>
      </c>
      <c r="N1416">
        <v>0</v>
      </c>
      <c r="O1416">
        <v>-0.99988719999999998</v>
      </c>
      <c r="P1416">
        <v>-0.1108259</v>
      </c>
      <c r="Q1416">
        <v>7.9534629999999995E-2</v>
      </c>
      <c r="R1416">
        <v>-0.99065219999999998</v>
      </c>
      <c r="S1416">
        <v>-0.36331180000000002</v>
      </c>
      <c r="T1416">
        <v>-0.19585730000000001</v>
      </c>
      <c r="U1416">
        <v>-3.003571</v>
      </c>
      <c r="V1416">
        <v>0.1014399</v>
      </c>
      <c r="W1416">
        <v>9.0541940000000001E-2</v>
      </c>
      <c r="X1416">
        <v>0.99071290000000001</v>
      </c>
      <c r="Y1416">
        <v>0.110143699999999</v>
      </c>
      <c r="Z1416">
        <v>6.4632850000000006E-2</v>
      </c>
      <c r="AA1416">
        <v>0.99181189999999997</v>
      </c>
      <c r="AB1416">
        <v>27</v>
      </c>
      <c r="AC1416">
        <v>-0.11230000000000399</v>
      </c>
      <c r="AD1416">
        <v>-6.2520000000000103E-2</v>
      </c>
      <c r="AE1416">
        <v>-0.67660000000000697</v>
      </c>
      <c r="AF1416">
        <v>0.10482356385123801</v>
      </c>
      <c r="AG1416">
        <v>-6.2520000000000103E-2</v>
      </c>
      <c r="AH1416">
        <v>0.67207867082862005</v>
      </c>
      <c r="AI1416">
        <v>95.251504889877694</v>
      </c>
      <c r="AJ1416">
        <v>81.135047478579594</v>
      </c>
      <c r="AK1416">
        <v>0.68307135038825895</v>
      </c>
      <c r="AL1416">
        <v>84.805214601576296</v>
      </c>
      <c r="AM1416">
        <v>84.153811949472001</v>
      </c>
      <c r="AN1416">
        <v>0.99999997321869105</v>
      </c>
    </row>
    <row r="1417" spans="1:40" x14ac:dyDescent="0.25">
      <c r="A1417" t="str">
        <f>"20190312151252449"</f>
        <v>20190312151252449</v>
      </c>
      <c r="B1417" t="str">
        <f>"1552374772441197"</f>
        <v>1552374772441197</v>
      </c>
      <c r="C1417" t="s">
        <v>40</v>
      </c>
      <c r="D1417">
        <v>4.6139429999999999</v>
      </c>
      <c r="E1417">
        <v>0.50432390000000005</v>
      </c>
      <c r="F1417" t="s">
        <v>41</v>
      </c>
      <c r="G1417">
        <v>-190.8639</v>
      </c>
      <c r="H1417">
        <v>1.04854</v>
      </c>
      <c r="I1417">
        <v>311.5908</v>
      </c>
      <c r="J1417">
        <v>-190.7526</v>
      </c>
      <c r="K1417">
        <v>1.108671</v>
      </c>
      <c r="L1417">
        <v>312.2706</v>
      </c>
      <c r="M1417">
        <v>-1.143304E-2</v>
      </c>
      <c r="N1417">
        <v>0</v>
      </c>
      <c r="O1417">
        <v>-0.99986920000000001</v>
      </c>
      <c r="P1417">
        <v>-0.1151809</v>
      </c>
      <c r="Q1417">
        <v>7.9331349999999995E-2</v>
      </c>
      <c r="R1417">
        <v>-0.99017160000000004</v>
      </c>
      <c r="S1417">
        <v>-0.37492370000000003</v>
      </c>
      <c r="T1417">
        <v>-0.19606970000000001</v>
      </c>
      <c r="U1417">
        <v>-3.0021360000000001</v>
      </c>
      <c r="V1417">
        <v>0.104155</v>
      </c>
      <c r="W1417">
        <v>9.0308310000000003E-2</v>
      </c>
      <c r="X1417">
        <v>0.99045249999999996</v>
      </c>
      <c r="Y1417">
        <v>0.1123096</v>
      </c>
      <c r="Z1417">
        <v>6.4708459999999995E-2</v>
      </c>
      <c r="AA1417">
        <v>0.99156409999999995</v>
      </c>
      <c r="AB1417">
        <v>27</v>
      </c>
      <c r="AC1417">
        <v>-0.111299999999999</v>
      </c>
      <c r="AD1417">
        <v>-6.01309999999999E-2</v>
      </c>
      <c r="AE1417">
        <v>-0.67979999999999996</v>
      </c>
      <c r="AF1417">
        <v>0.102737193669697</v>
      </c>
      <c r="AG1417">
        <v>-6.01309999999999E-2</v>
      </c>
      <c r="AH1417">
        <v>0.67587805629546704</v>
      </c>
      <c r="AI1417">
        <v>95.026622158577197</v>
      </c>
      <c r="AJ1417">
        <v>81.356888433380803</v>
      </c>
      <c r="AK1417">
        <v>0.68628114873269197</v>
      </c>
      <c r="AL1417">
        <v>84.818655843758194</v>
      </c>
      <c r="AM1417">
        <v>83.996896195939897</v>
      </c>
      <c r="AN1417">
        <v>1.0000000048181501</v>
      </c>
    </row>
    <row r="1418" spans="1:40" x14ac:dyDescent="0.25">
      <c r="A1418" t="str">
        <f>"20190312151252473"</f>
        <v>20190312151252473</v>
      </c>
      <c r="B1418" t="str">
        <f>"1552374772461693"</f>
        <v>1552374772461693</v>
      </c>
      <c r="C1418" t="s">
        <v>40</v>
      </c>
      <c r="D1418">
        <v>4.6012629999999897</v>
      </c>
      <c r="E1418">
        <v>0.50413999999999903</v>
      </c>
      <c r="F1418" t="s">
        <v>41</v>
      </c>
      <c r="G1418">
        <v>-190.8716</v>
      </c>
      <c r="H1418">
        <v>1.048009</v>
      </c>
      <c r="I1418">
        <v>311.34660000000002</v>
      </c>
      <c r="J1418">
        <v>-190.75800000000001</v>
      </c>
      <c r="K1418">
        <v>1.1085799999999999</v>
      </c>
      <c r="L1418">
        <v>311.99340000000001</v>
      </c>
      <c r="M1418">
        <v>-1.3470599999999999E-2</v>
      </c>
      <c r="N1418">
        <v>0</v>
      </c>
      <c r="O1418">
        <v>-0.99984399999999996</v>
      </c>
      <c r="P1418">
        <v>-0.1194592</v>
      </c>
      <c r="Q1418">
        <v>7.9230099999999998E-2</v>
      </c>
      <c r="R1418">
        <v>-0.98967300000000002</v>
      </c>
      <c r="S1418">
        <v>-0.385849</v>
      </c>
      <c r="T1418">
        <v>-0.1971812</v>
      </c>
      <c r="U1418">
        <v>-3.000702</v>
      </c>
      <c r="V1418">
        <v>0.10643859999999999</v>
      </c>
      <c r="W1418">
        <v>9.01782E-2</v>
      </c>
      <c r="X1418">
        <v>0.99022160000000004</v>
      </c>
      <c r="Y1418">
        <v>0.1138928</v>
      </c>
      <c r="Z1418">
        <v>6.5081330000000007E-2</v>
      </c>
      <c r="AA1418">
        <v>0.99135910000000005</v>
      </c>
      <c r="AB1418">
        <v>27</v>
      </c>
      <c r="AC1418">
        <v>-0.11360000000001901</v>
      </c>
      <c r="AD1418">
        <v>-6.0570999999999903E-2</v>
      </c>
      <c r="AE1418">
        <v>-0.64679999999998405</v>
      </c>
      <c r="AF1418">
        <v>0.103991643674217</v>
      </c>
      <c r="AG1418">
        <v>-6.0570999999999903E-2</v>
      </c>
      <c r="AH1418">
        <v>0.64280310489550296</v>
      </c>
      <c r="AI1418">
        <v>95.314364509433503</v>
      </c>
      <c r="AJ1418">
        <v>80.810400546398299</v>
      </c>
      <c r="AK1418">
        <v>0.65397166579169497</v>
      </c>
      <c r="AL1418">
        <v>84.826141374975094</v>
      </c>
      <c r="AM1418">
        <v>83.864851364469303</v>
      </c>
      <c r="AN1418">
        <v>1.0000000502158699</v>
      </c>
    </row>
    <row r="1419" spans="1:40" x14ac:dyDescent="0.25">
      <c r="A1419" t="str">
        <f>"20190312151252495"</f>
        <v>20190312151252495</v>
      </c>
      <c r="B1419" t="str">
        <f>"1552374772490973"</f>
        <v>1552374772490973</v>
      </c>
      <c r="C1419" t="s">
        <v>40</v>
      </c>
      <c r="D1419">
        <v>4.6063099999999997</v>
      </c>
      <c r="E1419">
        <v>0.50376049999999895</v>
      </c>
      <c r="F1419" t="s">
        <v>41</v>
      </c>
      <c r="G1419">
        <v>-190.87649999999999</v>
      </c>
      <c r="H1419">
        <v>1.0498879999999999</v>
      </c>
      <c r="I1419">
        <v>311.10039999999998</v>
      </c>
      <c r="J1419">
        <v>-190.76410000000001</v>
      </c>
      <c r="K1419">
        <v>1.1084969999999901</v>
      </c>
      <c r="L1419">
        <v>311.71620000000001</v>
      </c>
      <c r="M1419">
        <v>-1.562653E-2</v>
      </c>
      <c r="N1419">
        <v>0</v>
      </c>
      <c r="O1419">
        <v>-0.9998127</v>
      </c>
      <c r="P1419">
        <v>-0.1240219</v>
      </c>
      <c r="Q1419">
        <v>7.9294489999999995E-2</v>
      </c>
      <c r="R1419">
        <v>-0.98910629999999999</v>
      </c>
      <c r="S1419">
        <v>-0.39804079999999997</v>
      </c>
      <c r="T1419">
        <v>-0.1971716</v>
      </c>
      <c r="U1419">
        <v>-2.9990540000000001</v>
      </c>
      <c r="V1419">
        <v>0.10888979999999999</v>
      </c>
      <c r="W1419">
        <v>9.0214279999999994E-2</v>
      </c>
      <c r="X1419">
        <v>0.98995169999999999</v>
      </c>
      <c r="Y1419">
        <v>0.1157817</v>
      </c>
      <c r="Z1419">
        <v>6.5086279999999996E-2</v>
      </c>
      <c r="AA1419">
        <v>0.99113989999999996</v>
      </c>
      <c r="AB1419">
        <v>27</v>
      </c>
      <c r="AC1419">
        <v>-0.112399999999979</v>
      </c>
      <c r="AD1419">
        <v>-5.8608999999999897E-2</v>
      </c>
      <c r="AE1419">
        <v>-0.61580000000003499</v>
      </c>
      <c r="AF1419">
        <v>0.101869808646951</v>
      </c>
      <c r="AG1419">
        <v>-5.8608999999999897E-2</v>
      </c>
      <c r="AH1419">
        <v>0.61211535264316996</v>
      </c>
      <c r="AI1419">
        <v>95.395538618874994</v>
      </c>
      <c r="AJ1419">
        <v>80.551286181510207</v>
      </c>
      <c r="AK1419">
        <v>0.62329581880214702</v>
      </c>
      <c r="AL1419">
        <v>84.824065352670502</v>
      </c>
      <c r="AM1419">
        <v>83.722980975626896</v>
      </c>
      <c r="AN1419">
        <v>0.99999998659642397</v>
      </c>
    </row>
    <row r="1420" spans="1:40" x14ac:dyDescent="0.25">
      <c r="A1420" t="str">
        <f>"20190312151252517"</f>
        <v>20190312151252517</v>
      </c>
      <c r="B1420" t="str">
        <f>"1552374772511469"</f>
        <v>1552374772511469</v>
      </c>
      <c r="C1420" t="s">
        <v>40</v>
      </c>
      <c r="D1420">
        <v>4.6449319999999998</v>
      </c>
      <c r="E1420">
        <v>0.50373800000000002</v>
      </c>
      <c r="F1420" t="s">
        <v>41</v>
      </c>
      <c r="G1420">
        <v>-190.88239999999999</v>
      </c>
      <c r="H1420">
        <v>1.0515600000000001</v>
      </c>
      <c r="I1420">
        <v>310.85070000000002</v>
      </c>
      <c r="J1420">
        <v>-190.7705</v>
      </c>
      <c r="K1420">
        <v>1.1084229999999999</v>
      </c>
      <c r="L1420">
        <v>311.4513</v>
      </c>
      <c r="M1420">
        <v>-1.7786340000000001E-2</v>
      </c>
      <c r="N1420">
        <v>0</v>
      </c>
      <c r="O1420">
        <v>-0.99977640000000001</v>
      </c>
      <c r="P1420">
        <v>-0.1291195</v>
      </c>
      <c r="Q1420">
        <v>7.9250440000000005E-2</v>
      </c>
      <c r="R1420">
        <v>-0.98845740000000004</v>
      </c>
      <c r="S1420">
        <v>-0.40884399999999999</v>
      </c>
      <c r="T1420">
        <v>-0.1974021</v>
      </c>
      <c r="U1420">
        <v>-2.9975589999999999</v>
      </c>
      <c r="V1420">
        <v>0.1118729</v>
      </c>
      <c r="W1420">
        <v>9.0140670000000006E-2</v>
      </c>
      <c r="X1420">
        <v>0.9896258</v>
      </c>
      <c r="Y1420">
        <v>0.117208199999999</v>
      </c>
      <c r="Z1420">
        <v>6.5169619999999998E-2</v>
      </c>
      <c r="AA1420">
        <v>0.99096680000000004</v>
      </c>
      <c r="AB1420">
        <v>27</v>
      </c>
      <c r="AC1420">
        <v>-0.11189999999999101</v>
      </c>
      <c r="AD1420">
        <v>-5.6862999999999803E-2</v>
      </c>
      <c r="AE1420">
        <v>-0.60059999999998503</v>
      </c>
      <c r="AF1420">
        <v>0.100329961838149</v>
      </c>
      <c r="AG1420">
        <v>-5.6862999999999803E-2</v>
      </c>
      <c r="AH1420">
        <v>0.59732080156398704</v>
      </c>
      <c r="AI1420">
        <v>95.363301178295202</v>
      </c>
      <c r="AJ1420">
        <v>80.465223751332005</v>
      </c>
      <c r="AK1420">
        <v>0.60835157761979097</v>
      </c>
      <c r="AL1420">
        <v>84.828300504001902</v>
      </c>
      <c r="AM1420">
        <v>83.550341966982302</v>
      </c>
      <c r="AN1420">
        <v>1.00000005508404</v>
      </c>
    </row>
    <row r="1421" spans="1:40" x14ac:dyDescent="0.25">
      <c r="A1421" t="str">
        <f>"20190312151252540"</f>
        <v>20190312151252540</v>
      </c>
      <c r="B1421" t="str">
        <f>"1552374772530989"</f>
        <v>1552374772530989</v>
      </c>
      <c r="C1421" t="s">
        <v>40</v>
      </c>
      <c r="D1421">
        <v>4.5295300000000003</v>
      </c>
      <c r="E1421">
        <v>0.54061719999999902</v>
      </c>
      <c r="F1421" t="s">
        <v>53</v>
      </c>
      <c r="G1421">
        <v>-193.13200000000001</v>
      </c>
      <c r="H1421" s="1">
        <v>1.4264039999999999E-6</v>
      </c>
      <c r="I1421">
        <v>294.78480000000002</v>
      </c>
      <c r="J1421">
        <v>-190.7782</v>
      </c>
      <c r="K1421">
        <v>1.1083430000000001</v>
      </c>
      <c r="L1421">
        <v>311.16669999999999</v>
      </c>
      <c r="M1421">
        <v>-2.0203470000000001E-2</v>
      </c>
      <c r="N1421">
        <v>0</v>
      </c>
      <c r="O1421">
        <v>-0.99973029999999996</v>
      </c>
      <c r="P1421">
        <v>-0.13435339999999901</v>
      </c>
      <c r="Q1421">
        <v>7.8610230000000003E-2</v>
      </c>
      <c r="R1421">
        <v>-0.98781030000000003</v>
      </c>
      <c r="S1421">
        <v>-0.4244385</v>
      </c>
      <c r="T1421">
        <v>-0.1992217</v>
      </c>
      <c r="U1421">
        <v>-2.9955440000000002</v>
      </c>
      <c r="V1421">
        <v>0.1147376</v>
      </c>
      <c r="W1421">
        <v>8.9470110000000005E-2</v>
      </c>
      <c r="X1421">
        <v>0.98935850000000003</v>
      </c>
      <c r="Y1421">
        <v>0.1199514</v>
      </c>
      <c r="Z1421">
        <v>6.5772639999999993E-2</v>
      </c>
      <c r="AA1421">
        <v>0.9905986</v>
      </c>
      <c r="AB1421">
        <v>27</v>
      </c>
      <c r="AC1421">
        <v>-2.3538000000000001</v>
      </c>
      <c r="AD1421">
        <v>-1.1083415735959901</v>
      </c>
      <c r="AE1421">
        <v>-16.381899999999899</v>
      </c>
      <c r="AF1421">
        <v>2.0132973137855599</v>
      </c>
      <c r="AG1421">
        <v>-1.1083415735959901</v>
      </c>
      <c r="AH1421">
        <v>16.352774789452202</v>
      </c>
      <c r="AI1421">
        <v>93.8484358226968</v>
      </c>
      <c r="AJ1421">
        <v>82.981261349134499</v>
      </c>
      <c r="AK1421">
        <v>16.513480264075199</v>
      </c>
      <c r="AL1421">
        <v>84.866875987364295</v>
      </c>
      <c r="AM1421">
        <v>83.384861314975694</v>
      </c>
      <c r="AN1421">
        <v>0.99999992947970795</v>
      </c>
    </row>
    <row r="1422" spans="1:40" x14ac:dyDescent="0.25">
      <c r="A1422" t="str">
        <f>"20190312151252561"</f>
        <v>20190312151252561</v>
      </c>
      <c r="B1422" t="str">
        <f>"1552374772550832"</f>
        <v>1552374772550832</v>
      </c>
      <c r="C1422" t="s">
        <v>40</v>
      </c>
      <c r="D1422">
        <v>4.6155160000000004</v>
      </c>
      <c r="E1422">
        <v>0.54748030000000003</v>
      </c>
      <c r="F1422" t="s">
        <v>53</v>
      </c>
      <c r="G1422">
        <v>-194.68260000000001</v>
      </c>
      <c r="H1422" s="1">
        <v>1.066949E-6</v>
      </c>
      <c r="I1422">
        <v>295.4126</v>
      </c>
      <c r="J1422">
        <v>-190.786</v>
      </c>
      <c r="K1422">
        <v>1.1082669999999999</v>
      </c>
      <c r="L1422">
        <v>310.90309999999999</v>
      </c>
      <c r="M1422">
        <v>-2.2527370000000001E-2</v>
      </c>
      <c r="N1422">
        <v>0</v>
      </c>
      <c r="O1422">
        <v>-0.99968060000000003</v>
      </c>
      <c r="P1422">
        <v>-0.1396714</v>
      </c>
      <c r="Q1422">
        <v>7.7834349999999997E-2</v>
      </c>
      <c r="R1422">
        <v>-0.98713450000000003</v>
      </c>
      <c r="S1422">
        <v>-0.73208619999999902</v>
      </c>
      <c r="T1422">
        <v>-0.207818</v>
      </c>
      <c r="U1422">
        <v>-2.9539490000000002</v>
      </c>
      <c r="V1422">
        <v>0.1177788</v>
      </c>
      <c r="W1422">
        <v>8.8663179999999994E-2</v>
      </c>
      <c r="X1422">
        <v>0.9890738</v>
      </c>
      <c r="Y1422">
        <v>0.21806619999999999</v>
      </c>
      <c r="Z1422">
        <v>6.828041E-2</v>
      </c>
      <c r="AA1422">
        <v>0.97354249999999998</v>
      </c>
      <c r="AB1422">
        <v>27</v>
      </c>
      <c r="AC1422">
        <v>-3.89660000000003</v>
      </c>
      <c r="AD1422">
        <v>-1.1082659330509901</v>
      </c>
      <c r="AE1422">
        <v>-15.4904999999999</v>
      </c>
      <c r="AF1422">
        <v>3.5296360357143199</v>
      </c>
      <c r="AG1422">
        <v>-1.1082659330509901</v>
      </c>
      <c r="AH1422">
        <v>15.499737738599499</v>
      </c>
      <c r="AI1422">
        <v>93.988059862777305</v>
      </c>
      <c r="AJ1422">
        <v>77.171242472732104</v>
      </c>
      <c r="AK1422">
        <v>15.9351326912687</v>
      </c>
      <c r="AL1422">
        <v>84.913294483162304</v>
      </c>
      <c r="AM1422">
        <v>83.209202241757296</v>
      </c>
      <c r="AN1422">
        <v>0.99999999353179603</v>
      </c>
    </row>
    <row r="1423" spans="1:40" x14ac:dyDescent="0.25">
      <c r="A1423" t="str">
        <f>"20190312151252585"</f>
        <v>20190312151252585</v>
      </c>
      <c r="B1423" t="str">
        <f>"1552374772581087"</f>
        <v>1552374772581087</v>
      </c>
      <c r="C1423" t="s">
        <v>40</v>
      </c>
      <c r="D1423">
        <v>4.4967870000000003</v>
      </c>
      <c r="E1423">
        <v>0.55142209999999903</v>
      </c>
      <c r="F1423" t="s">
        <v>53</v>
      </c>
      <c r="G1423">
        <v>-194.00139999999999</v>
      </c>
      <c r="H1423" s="1">
        <v>8.8423429999999995E-8</v>
      </c>
      <c r="I1423">
        <v>299.11430000000001</v>
      </c>
      <c r="J1423">
        <v>-190.7955</v>
      </c>
      <c r="K1423">
        <v>1.108185</v>
      </c>
      <c r="L1423">
        <v>310.61099999999999</v>
      </c>
      <c r="M1423">
        <v>-2.5188599999999998E-2</v>
      </c>
      <c r="N1423">
        <v>0</v>
      </c>
      <c r="O1423">
        <v>-0.99961719999999998</v>
      </c>
      <c r="P1423">
        <v>-0.14592820000000001</v>
      </c>
      <c r="Q1423">
        <v>7.7111410000000005E-2</v>
      </c>
      <c r="R1423">
        <v>-0.98628570000000004</v>
      </c>
      <c r="S1423">
        <v>-0.80386349999999995</v>
      </c>
      <c r="T1423">
        <v>-0.27706960000000003</v>
      </c>
      <c r="U1423">
        <v>-2.947235</v>
      </c>
      <c r="V1423">
        <v>0.1214317</v>
      </c>
      <c r="W1423">
        <v>8.7903220000000004E-2</v>
      </c>
      <c r="X1423">
        <v>0.98869989999999996</v>
      </c>
      <c r="Y1423">
        <v>0.237673</v>
      </c>
      <c r="Z1423">
        <v>9.0572509999999995E-2</v>
      </c>
      <c r="AA1423">
        <v>0.96711329999999995</v>
      </c>
      <c r="AB1423">
        <v>27</v>
      </c>
      <c r="AC1423">
        <v>-3.2058999999999802</v>
      </c>
      <c r="AD1423">
        <v>-1.1081849115765701</v>
      </c>
      <c r="AE1423">
        <v>-11.496699999999899</v>
      </c>
      <c r="AF1423">
        <v>2.8903602304253901</v>
      </c>
      <c r="AG1423">
        <v>-1.1081849115765701</v>
      </c>
      <c r="AH1423">
        <v>11.4748845839745</v>
      </c>
      <c r="AI1423">
        <v>95.3501246702819</v>
      </c>
      <c r="AJ1423">
        <v>75.862110335118899</v>
      </c>
      <c r="AK1423">
        <v>11.885084445446999</v>
      </c>
      <c r="AL1423">
        <v>84.957008018466098</v>
      </c>
      <c r="AM1423">
        <v>82.998023730953904</v>
      </c>
      <c r="AN1423">
        <v>1.0000000630556301</v>
      </c>
    </row>
    <row r="1424" spans="1:40" x14ac:dyDescent="0.25">
      <c r="A1424" t="str">
        <f>"20190312151252610"</f>
        <v>20190312151252610</v>
      </c>
      <c r="B1424" t="str">
        <f>"1552374772601583"</f>
        <v>1552374772601583</v>
      </c>
      <c r="C1424" t="s">
        <v>40</v>
      </c>
      <c r="D1424">
        <v>4.5676509999999997</v>
      </c>
      <c r="E1424">
        <v>0.55142159999999996</v>
      </c>
      <c r="F1424" t="s">
        <v>53</v>
      </c>
      <c r="G1424">
        <v>-194.08779999999999</v>
      </c>
      <c r="H1424" s="1">
        <v>5.718897E-8</v>
      </c>
      <c r="I1424">
        <v>299.29160000000002</v>
      </c>
      <c r="J1424">
        <v>-190.80590000000001</v>
      </c>
      <c r="K1424">
        <v>1.1081099999999999</v>
      </c>
      <c r="L1424">
        <v>310.32</v>
      </c>
      <c r="M1424">
        <v>-2.7940059999999999E-2</v>
      </c>
      <c r="N1424">
        <v>0</v>
      </c>
      <c r="O1424">
        <v>-0.99954410000000005</v>
      </c>
      <c r="P1424">
        <v>-0.15206700000000001</v>
      </c>
      <c r="Q1424">
        <v>7.625237E-2</v>
      </c>
      <c r="R1424">
        <v>-0.98542479999999999</v>
      </c>
      <c r="S1424">
        <v>-0.85447689999999998</v>
      </c>
      <c r="T1424">
        <v>-0.28761239999999999</v>
      </c>
      <c r="U1424">
        <v>-2.9377749999999998</v>
      </c>
      <c r="V1424">
        <v>0.12487819999999999</v>
      </c>
      <c r="W1424">
        <v>8.7009240000000002E-2</v>
      </c>
      <c r="X1424">
        <v>0.98834960000000005</v>
      </c>
      <c r="Y1424">
        <v>0.25111349999999999</v>
      </c>
      <c r="Z1424">
        <v>9.3891290000000002E-2</v>
      </c>
      <c r="AA1424">
        <v>0.96339319999999895</v>
      </c>
      <c r="AB1424">
        <v>27</v>
      </c>
      <c r="AC1424">
        <v>-3.2818999999999701</v>
      </c>
      <c r="AD1424">
        <v>-1.1081099428110299</v>
      </c>
      <c r="AE1424">
        <v>-11.0283999999999</v>
      </c>
      <c r="AF1424">
        <v>2.9451495329217598</v>
      </c>
      <c r="AG1424">
        <v>-1.1081099428110299</v>
      </c>
      <c r="AH1424">
        <v>11.013650623931101</v>
      </c>
      <c r="AI1424">
        <v>95.551553036213505</v>
      </c>
      <c r="AJ1424">
        <v>75.028880205139899</v>
      </c>
      <c r="AK1424">
        <v>11.4543578380738</v>
      </c>
      <c r="AL1424">
        <v>85.008426260101203</v>
      </c>
      <c r="AM1424">
        <v>82.798824022898202</v>
      </c>
      <c r="AN1424">
        <v>1.00000005225038</v>
      </c>
    </row>
    <row r="1425" spans="1:40" x14ac:dyDescent="0.25">
      <c r="A1425" t="str">
        <f>"20190312151252632"</f>
        <v>20190312151252632</v>
      </c>
      <c r="B1425" t="str">
        <f>"1552374772621103"</f>
        <v>1552374772621103</v>
      </c>
      <c r="C1425" t="s">
        <v>40</v>
      </c>
      <c r="D1425">
        <v>4.5839759999999998</v>
      </c>
      <c r="E1425">
        <v>0.55087169999999996</v>
      </c>
      <c r="F1425" t="s">
        <v>53</v>
      </c>
      <c r="G1425">
        <v>-193.99879999999999</v>
      </c>
      <c r="H1425" s="1">
        <v>2.756807E-9</v>
      </c>
      <c r="I1425">
        <v>299.60070000000002</v>
      </c>
      <c r="J1425">
        <v>-190.8168</v>
      </c>
      <c r="K1425">
        <v>1.108044</v>
      </c>
      <c r="L1425">
        <v>310.03789999999998</v>
      </c>
      <c r="M1425">
        <v>-3.068659E-2</v>
      </c>
      <c r="N1425">
        <v>0</v>
      </c>
      <c r="O1425">
        <v>-0.9994632</v>
      </c>
      <c r="P1425">
        <v>-0.1584884</v>
      </c>
      <c r="Q1425">
        <v>7.5441820000000007E-2</v>
      </c>
      <c r="R1425">
        <v>-0.98447470000000004</v>
      </c>
      <c r="S1425">
        <v>-0.87365720000000002</v>
      </c>
      <c r="T1425">
        <v>-0.30320239999999998</v>
      </c>
      <c r="U1425">
        <v>-2.9330440000000002</v>
      </c>
      <c r="V1425">
        <v>0.1286156</v>
      </c>
      <c r="W1425">
        <v>8.6163660000000003E-2</v>
      </c>
      <c r="X1425">
        <v>0.98794420000000005</v>
      </c>
      <c r="Y1425">
        <v>0.25452710000000001</v>
      </c>
      <c r="Z1425">
        <v>9.8936540000000003E-2</v>
      </c>
      <c r="AA1425">
        <v>0.96199140000000005</v>
      </c>
      <c r="AB1425">
        <v>27</v>
      </c>
      <c r="AC1425">
        <v>-3.18199999999998</v>
      </c>
      <c r="AD1425">
        <v>-1.1080439972431899</v>
      </c>
      <c r="AE1425">
        <v>-10.437199999999899</v>
      </c>
      <c r="AF1425">
        <v>2.8310044928053499</v>
      </c>
      <c r="AG1425">
        <v>-1.1080439972431899</v>
      </c>
      <c r="AH1425">
        <v>10.422457733912699</v>
      </c>
      <c r="AI1425">
        <v>95.857804778343095</v>
      </c>
      <c r="AJ1425">
        <v>74.803658413263705</v>
      </c>
      <c r="AK1425">
        <v>10.8567938708123</v>
      </c>
      <c r="AL1425">
        <v>85.057056536481795</v>
      </c>
      <c r="AM1425">
        <v>82.582659748297601</v>
      </c>
      <c r="AN1425">
        <v>0.99999994559079597</v>
      </c>
    </row>
    <row r="1426" spans="1:40" x14ac:dyDescent="0.25">
      <c r="A1426" t="str">
        <f>"20190312151252653"</f>
        <v>20190312151252653</v>
      </c>
      <c r="B1426" t="str">
        <f>"1552374772651362"</f>
        <v>1552374772651362</v>
      </c>
      <c r="C1426" t="s">
        <v>40</v>
      </c>
      <c r="D1426">
        <v>4.6240399999999999</v>
      </c>
      <c r="E1426">
        <v>0.55027109999999901</v>
      </c>
      <c r="F1426" t="s">
        <v>42</v>
      </c>
      <c r="G1426">
        <v>-193.9265</v>
      </c>
      <c r="H1426" s="1">
        <v>-1.133337E-6</v>
      </c>
      <c r="I1426">
        <v>299.79570000000001</v>
      </c>
      <c r="J1426">
        <v>-190.82769999999999</v>
      </c>
      <c r="K1426">
        <v>1.1079909999999999</v>
      </c>
      <c r="L1426">
        <v>309.77600000000001</v>
      </c>
      <c r="M1426">
        <v>-3.3295770000000002E-2</v>
      </c>
      <c r="N1426">
        <v>0</v>
      </c>
      <c r="O1426">
        <v>-0.99937980000000004</v>
      </c>
      <c r="P1426">
        <v>-0.164742</v>
      </c>
      <c r="Q1426">
        <v>7.4683040000000006E-2</v>
      </c>
      <c r="R1426">
        <v>-0.98350530000000003</v>
      </c>
      <c r="S1426">
        <v>-0.88911439999999997</v>
      </c>
      <c r="T1426">
        <v>-0.31680789999999998</v>
      </c>
      <c r="U1426">
        <v>-2.928436</v>
      </c>
      <c r="V1426">
        <v>0.1323223</v>
      </c>
      <c r="W1426">
        <v>8.5371240000000001E-2</v>
      </c>
      <c r="X1426">
        <v>0.98752340000000005</v>
      </c>
      <c r="Y1426">
        <v>0.25694210000000001</v>
      </c>
      <c r="Z1426">
        <v>0.10335950000000001</v>
      </c>
      <c r="AA1426">
        <v>0.96088370000000001</v>
      </c>
      <c r="AB1426">
        <v>27</v>
      </c>
      <c r="AC1426">
        <v>-3.09880000000001</v>
      </c>
      <c r="AD1426">
        <v>-1.107992133337</v>
      </c>
      <c r="AE1426">
        <v>-9.9802999999999997</v>
      </c>
      <c r="AF1426">
        <v>2.73402412588023</v>
      </c>
      <c r="AG1426">
        <v>-1.107992133337</v>
      </c>
      <c r="AH1426">
        <v>9.9659197990706598</v>
      </c>
      <c r="AI1426">
        <v>96.119685122154095</v>
      </c>
      <c r="AJ1426">
        <v>74.659051866894202</v>
      </c>
      <c r="AK1426">
        <v>10.3933676895383</v>
      </c>
      <c r="AL1426">
        <v>85.102626814306504</v>
      </c>
      <c r="AM1426">
        <v>82.368162535171095</v>
      </c>
      <c r="AN1426">
        <v>0.99999995262199204</v>
      </c>
    </row>
    <row r="1427" spans="1:40" x14ac:dyDescent="0.25">
      <c r="A1427" t="str">
        <f>"20190312151252674"</f>
        <v>20190312151252674</v>
      </c>
      <c r="B1427" t="str">
        <f>"1552374772670879"</f>
        <v>1552374772670879</v>
      </c>
      <c r="C1427" t="s">
        <v>40</v>
      </c>
      <c r="D1427">
        <v>4.4769540000000001</v>
      </c>
      <c r="E1427">
        <v>0.55045529999999998</v>
      </c>
      <c r="F1427" t="s">
        <v>42</v>
      </c>
      <c r="G1427">
        <v>-193.85489999999999</v>
      </c>
      <c r="H1427" s="1">
        <v>-1.193073E-6</v>
      </c>
      <c r="I1427">
        <v>299.97930000000002</v>
      </c>
      <c r="J1427">
        <v>-190.839</v>
      </c>
      <c r="K1427">
        <v>1.1079460000000001</v>
      </c>
      <c r="L1427">
        <v>309.52140000000003</v>
      </c>
      <c r="M1427">
        <v>-3.5889339999999999E-2</v>
      </c>
      <c r="N1427">
        <v>0</v>
      </c>
      <c r="O1427">
        <v>-0.99929000000000001</v>
      </c>
      <c r="P1427">
        <v>-0.17100190000000001</v>
      </c>
      <c r="Q1427">
        <v>7.431277E-2</v>
      </c>
      <c r="R1427">
        <v>-0.98246429999999996</v>
      </c>
      <c r="S1427">
        <v>-0.90356449999999999</v>
      </c>
      <c r="T1427">
        <v>-0.33071149999999999</v>
      </c>
      <c r="U1427">
        <v>-2.9241030000000001</v>
      </c>
      <c r="V1427">
        <v>0.13605699999999901</v>
      </c>
      <c r="W1427">
        <v>8.4967390000000004E-2</v>
      </c>
      <c r="X1427">
        <v>0.98705069999999995</v>
      </c>
      <c r="Y1427">
        <v>0.25902960000000003</v>
      </c>
      <c r="Z1427">
        <v>0.1078726</v>
      </c>
      <c r="AA1427">
        <v>0.95982659999999997</v>
      </c>
      <c r="AB1427">
        <v>27</v>
      </c>
      <c r="AC1427">
        <v>-3.0158999999999501</v>
      </c>
      <c r="AD1427">
        <v>-1.1079471930729901</v>
      </c>
      <c r="AE1427">
        <v>-9.5420999999999996</v>
      </c>
      <c r="AF1427">
        <v>2.6391257789434399</v>
      </c>
      <c r="AG1427">
        <v>-1.1079471930729901</v>
      </c>
      <c r="AH1427">
        <v>9.5274161993587807</v>
      </c>
      <c r="AI1427">
        <v>96.394470577486999</v>
      </c>
      <c r="AJ1427">
        <v>74.517092571869398</v>
      </c>
      <c r="AK1427">
        <v>9.9480747532136302</v>
      </c>
      <c r="AL1427">
        <v>85.125850449250095</v>
      </c>
      <c r="AM1427">
        <v>82.151695244400102</v>
      </c>
      <c r="AN1427">
        <v>1.00000002449145</v>
      </c>
    </row>
    <row r="1428" spans="1:40" x14ac:dyDescent="0.25">
      <c r="A1428" t="str">
        <f>"20190312151252696"</f>
        <v>20190312151252696</v>
      </c>
      <c r="B1428" t="str">
        <f>"1552374772691376"</f>
        <v>1552374772691376</v>
      </c>
      <c r="C1428" t="s">
        <v>40</v>
      </c>
      <c r="D1428">
        <v>4.5128050000000002</v>
      </c>
      <c r="E1428">
        <v>0.55048549999999996</v>
      </c>
      <c r="F1428" t="s">
        <v>53</v>
      </c>
      <c r="G1428">
        <v>-193.97569999999999</v>
      </c>
      <c r="H1428" s="1">
        <v>2.781102E-10</v>
      </c>
      <c r="I1428">
        <v>299.61470000000003</v>
      </c>
      <c r="J1428">
        <v>-190.85149999999999</v>
      </c>
      <c r="K1428">
        <v>1.107893</v>
      </c>
      <c r="L1428">
        <v>309.25670000000002</v>
      </c>
      <c r="M1428">
        <v>-3.8652930000000002E-2</v>
      </c>
      <c r="N1428">
        <v>0</v>
      </c>
      <c r="O1428">
        <v>-0.99918680000000004</v>
      </c>
      <c r="P1428">
        <v>-0.17745339999999901</v>
      </c>
      <c r="Q1428">
        <v>7.3355820000000002E-2</v>
      </c>
      <c r="R1428">
        <v>-0.98139149999999997</v>
      </c>
      <c r="S1428">
        <v>-0.92373660000000002</v>
      </c>
      <c r="T1428">
        <v>-0.32628499999999999</v>
      </c>
      <c r="U1428">
        <v>-2.9174500000000001</v>
      </c>
      <c r="V1428">
        <v>0.13981740000000001</v>
      </c>
      <c r="W1428">
        <v>8.3974839999999995E-2</v>
      </c>
      <c r="X1428">
        <v>0.98660999999999999</v>
      </c>
      <c r="Y1428">
        <v>0.2630634</v>
      </c>
      <c r="Z1428">
        <v>0.1064929</v>
      </c>
      <c r="AA1428">
        <v>0.95888320000000005</v>
      </c>
      <c r="AB1428">
        <v>27</v>
      </c>
      <c r="AC1428">
        <v>-3.1242000000000001</v>
      </c>
      <c r="AD1428">
        <v>-1.10789299972188</v>
      </c>
      <c r="AE1428">
        <v>-9.6419999999999906</v>
      </c>
      <c r="AF1428">
        <v>2.7166892528640401</v>
      </c>
      <c r="AG1428">
        <v>-1.10789299972188</v>
      </c>
      <c r="AH1428">
        <v>9.6403755881788609</v>
      </c>
      <c r="AI1428">
        <v>96.312054166729197</v>
      </c>
      <c r="AJ1428">
        <v>74.261990702341706</v>
      </c>
      <c r="AK1428">
        <v>10.0769374750771</v>
      </c>
      <c r="AL1428">
        <v>85.182923171075899</v>
      </c>
      <c r="AM1428">
        <v>81.934041099292898</v>
      </c>
      <c r="AN1428">
        <v>0.99999998559789205</v>
      </c>
    </row>
    <row r="1429" spans="1:40" x14ac:dyDescent="0.25">
      <c r="A1429" t="str">
        <f>"20190312151252720"</f>
        <v>20190312151252720</v>
      </c>
      <c r="B1429" t="str">
        <f>"1552374772710897"</f>
        <v>1552374772710897</v>
      </c>
      <c r="C1429" t="s">
        <v>40</v>
      </c>
      <c r="D1429">
        <v>4.7957029999999996</v>
      </c>
      <c r="E1429">
        <v>0.55096909999999999</v>
      </c>
      <c r="F1429" t="s">
        <v>53</v>
      </c>
      <c r="G1429">
        <v>-194.07509999999999</v>
      </c>
      <c r="H1429" s="1">
        <v>5.4769119999999997E-8</v>
      </c>
      <c r="I1429">
        <v>299.30540000000002</v>
      </c>
      <c r="J1429">
        <v>-190.8663</v>
      </c>
      <c r="K1429">
        <v>1.1078319999999999</v>
      </c>
      <c r="L1429">
        <v>308.96230000000003</v>
      </c>
      <c r="M1429">
        <v>-4.1813250000000003E-2</v>
      </c>
      <c r="N1429">
        <v>0</v>
      </c>
      <c r="O1429">
        <v>-0.99905940000000004</v>
      </c>
      <c r="P1429">
        <v>-0.18408060000000001</v>
      </c>
      <c r="Q1429">
        <v>7.2819969999999998E-2</v>
      </c>
      <c r="R1429">
        <v>-0.98021020000000003</v>
      </c>
      <c r="S1429">
        <v>-0.94288640000000001</v>
      </c>
      <c r="T1429">
        <v>-0.32404850000000002</v>
      </c>
      <c r="U1429">
        <v>-2.9106749999999999</v>
      </c>
      <c r="V1429">
        <v>0.143374</v>
      </c>
      <c r="W1429">
        <v>8.3401799999999998E-2</v>
      </c>
      <c r="X1429">
        <v>0.98614809999999997</v>
      </c>
      <c r="Y1429">
        <v>0.26639620000000003</v>
      </c>
      <c r="Z1429">
        <v>0.1058311</v>
      </c>
      <c r="AA1429">
        <v>0.95803590000000005</v>
      </c>
      <c r="AB1429">
        <v>27</v>
      </c>
      <c r="AC1429">
        <v>-3.2087999999999899</v>
      </c>
      <c r="AD1429">
        <v>-1.10783194523088</v>
      </c>
      <c r="AE1429">
        <v>-9.6569000000000091</v>
      </c>
      <c r="AF1429">
        <v>2.76935811597723</v>
      </c>
      <c r="AG1429">
        <v>-1.10783194523088</v>
      </c>
      <c r="AH1429">
        <v>9.6680476428289399</v>
      </c>
      <c r="AI1429">
        <v>96.2861755850723</v>
      </c>
      <c r="AJ1429">
        <v>74.015936209208505</v>
      </c>
      <c r="AK1429">
        <v>10.117696438291301</v>
      </c>
      <c r="AL1429">
        <v>85.215871692199499</v>
      </c>
      <c r="AM1429">
        <v>81.727846674040705</v>
      </c>
      <c r="AN1429">
        <v>1.00000001962642</v>
      </c>
    </row>
    <row r="1430" spans="1:40" x14ac:dyDescent="0.25">
      <c r="A1430" t="str">
        <f>"20190312151252740"</f>
        <v>20190312151252740</v>
      </c>
      <c r="B1430" t="str">
        <f>"1552374772731392"</f>
        <v>1552374772731392</v>
      </c>
      <c r="C1430" t="s">
        <v>40</v>
      </c>
      <c r="D1430">
        <v>4.7238870000000004</v>
      </c>
      <c r="E1430">
        <v>0.59047780000000005</v>
      </c>
      <c r="F1430" t="s">
        <v>53</v>
      </c>
      <c r="G1430">
        <v>-194.14169999999999</v>
      </c>
      <c r="H1430" s="1">
        <v>8.7608179999999898E-8</v>
      </c>
      <c r="I1430">
        <v>299.1189</v>
      </c>
      <c r="J1430">
        <v>-190.87979999999999</v>
      </c>
      <c r="K1430">
        <v>1.1077669999999999</v>
      </c>
      <c r="L1430">
        <v>308.7115</v>
      </c>
      <c r="M1430">
        <v>-4.4587359999999999E-2</v>
      </c>
      <c r="N1430">
        <v>0</v>
      </c>
      <c r="O1430">
        <v>-0.99893920000000003</v>
      </c>
      <c r="P1430">
        <v>-0.1904285</v>
      </c>
      <c r="Q1430">
        <v>7.3160370000000002E-2</v>
      </c>
      <c r="R1430">
        <v>-0.97897120000000004</v>
      </c>
      <c r="S1430">
        <v>-0.96609500000000004</v>
      </c>
      <c r="T1430">
        <v>-0.32676450000000001</v>
      </c>
      <c r="U1430">
        <v>-2.9034119999999999</v>
      </c>
      <c r="V1430">
        <v>0.14704389999999901</v>
      </c>
      <c r="W1430">
        <v>8.370495E-2</v>
      </c>
      <c r="X1430">
        <v>0.98558179999999995</v>
      </c>
      <c r="Y1430">
        <v>0.27130080000000001</v>
      </c>
      <c r="Z1430">
        <v>0.1067362</v>
      </c>
      <c r="AA1430">
        <v>0.95655800000000002</v>
      </c>
      <c r="AB1430">
        <v>27</v>
      </c>
      <c r="AC1430">
        <v>-3.26189999999999</v>
      </c>
      <c r="AD1430">
        <v>-1.1077669123918199</v>
      </c>
      <c r="AE1430">
        <v>-9.5925999999999991</v>
      </c>
      <c r="AF1430">
        <v>2.7974781881933399</v>
      </c>
      <c r="AG1430">
        <v>-1.1077669123918199</v>
      </c>
      <c r="AH1430">
        <v>9.6135894995174702</v>
      </c>
      <c r="AI1430">
        <v>96.313534905303001</v>
      </c>
      <c r="AJ1430">
        <v>73.775423670077302</v>
      </c>
      <c r="AK1430">
        <v>10.0734370902309</v>
      </c>
      <c r="AL1430">
        <v>85.198441221910699</v>
      </c>
      <c r="AM1430">
        <v>81.514346549210998</v>
      </c>
      <c r="AN1430">
        <v>0.99999995583647505</v>
      </c>
    </row>
    <row r="1431" spans="1:40" x14ac:dyDescent="0.25">
      <c r="A1431" t="str">
        <f>"20190312151252764"</f>
        <v>20190312151252764</v>
      </c>
      <c r="B1431" t="str">
        <f>"1552374772751889"</f>
        <v>1552374772751889</v>
      </c>
      <c r="C1431" t="s">
        <v>40</v>
      </c>
      <c r="D1431">
        <v>4.976375</v>
      </c>
      <c r="E1431">
        <v>0.59465080000000003</v>
      </c>
      <c r="F1431" t="s">
        <v>53</v>
      </c>
      <c r="G1431">
        <v>-196.50219999999999</v>
      </c>
      <c r="H1431" s="1">
        <v>5.6674409999999905E-7</v>
      </c>
      <c r="I1431">
        <v>296.39830000000001</v>
      </c>
      <c r="J1431">
        <v>-190.89670000000001</v>
      </c>
      <c r="K1431">
        <v>1.1076839999999999</v>
      </c>
      <c r="L1431">
        <v>308.41649999999998</v>
      </c>
      <c r="M1431">
        <v>-4.7953099999999999E-2</v>
      </c>
      <c r="N1431">
        <v>0</v>
      </c>
      <c r="O1431">
        <v>-0.99878319999999998</v>
      </c>
      <c r="P1431">
        <v>-0.19744970000000001</v>
      </c>
      <c r="Q1431">
        <v>7.3131299999999996E-2</v>
      </c>
      <c r="R1431">
        <v>-0.9775817</v>
      </c>
      <c r="S1431">
        <v>-1.2931060000000001</v>
      </c>
      <c r="T1431">
        <v>-0.25477909999999998</v>
      </c>
      <c r="U1431">
        <v>-2.8319700000000001</v>
      </c>
      <c r="V1431">
        <v>0.1508158</v>
      </c>
      <c r="W1431">
        <v>8.3634620000000007E-2</v>
      </c>
      <c r="X1431">
        <v>0.9850177</v>
      </c>
      <c r="Y1431">
        <v>0.36985469999999998</v>
      </c>
      <c r="Z1431">
        <v>8.2222829999999997E-2</v>
      </c>
      <c r="AA1431">
        <v>0.92544420000000005</v>
      </c>
      <c r="AB1431">
        <v>27</v>
      </c>
      <c r="AC1431">
        <v>-5.60549999999997</v>
      </c>
      <c r="AD1431">
        <v>-1.10768343325589</v>
      </c>
      <c r="AE1431">
        <v>-12.018199999999901</v>
      </c>
      <c r="AF1431">
        <v>4.9879018684562997</v>
      </c>
      <c r="AG1431">
        <v>-1.10768343325589</v>
      </c>
      <c r="AH1431">
        <v>12.1881547370921</v>
      </c>
      <c r="AI1431">
        <v>94.807892971977395</v>
      </c>
      <c r="AJ1431">
        <v>67.7435728259521</v>
      </c>
      <c r="AK1431">
        <v>13.2157952289281</v>
      </c>
      <c r="AL1431">
        <v>85.202485284966798</v>
      </c>
      <c r="AM1431">
        <v>81.295060351976602</v>
      </c>
      <c r="AN1431">
        <v>1.0000000122527299</v>
      </c>
    </row>
    <row r="1432" spans="1:40" x14ac:dyDescent="0.25">
      <c r="A1432" t="str">
        <f>"20190312151252788"</f>
        <v>20190312151252788</v>
      </c>
      <c r="B1432" t="str">
        <f>"1552374772781168"</f>
        <v>1552374772781168</v>
      </c>
      <c r="C1432" t="s">
        <v>40</v>
      </c>
      <c r="D1432">
        <v>4.6580199999999996</v>
      </c>
      <c r="E1432">
        <v>0.59570500000000004</v>
      </c>
      <c r="F1432" t="s">
        <v>53</v>
      </c>
      <c r="G1432">
        <v>-195.4282</v>
      </c>
      <c r="H1432" s="1">
        <v>1.1976100000000001E-7</v>
      </c>
      <c r="I1432">
        <v>298.93630000000002</v>
      </c>
      <c r="J1432">
        <v>-190.91399999999999</v>
      </c>
      <c r="K1432">
        <v>1.1075999999999999</v>
      </c>
      <c r="L1432">
        <v>308.13170000000002</v>
      </c>
      <c r="M1432">
        <v>-5.1329050000000001E-2</v>
      </c>
      <c r="N1432">
        <v>0</v>
      </c>
      <c r="O1432">
        <v>-0.99861529999999998</v>
      </c>
      <c r="P1432">
        <v>-0.2048886</v>
      </c>
      <c r="Q1432">
        <v>7.2078000000000003E-2</v>
      </c>
      <c r="R1432">
        <v>-0.976128</v>
      </c>
      <c r="S1432">
        <v>-1.348465</v>
      </c>
      <c r="T1432">
        <v>-0.32961889999999999</v>
      </c>
      <c r="U1432">
        <v>-2.821075</v>
      </c>
      <c r="V1432">
        <v>0.154998</v>
      </c>
      <c r="W1432">
        <v>8.2535520000000001E-2</v>
      </c>
      <c r="X1432">
        <v>0.98446100000000003</v>
      </c>
      <c r="Y1432">
        <v>0.38196760000000002</v>
      </c>
      <c r="Z1432">
        <v>0.105771</v>
      </c>
      <c r="AA1432">
        <v>0.918103</v>
      </c>
      <c r="AB1432">
        <v>27</v>
      </c>
      <c r="AC1432">
        <v>-4.5141999999999802</v>
      </c>
      <c r="AD1432">
        <v>-1.1075998802389999</v>
      </c>
      <c r="AE1432">
        <v>-9.1953999999999994</v>
      </c>
      <c r="AF1432">
        <v>3.98958380357195</v>
      </c>
      <c r="AG1432">
        <v>-1.1075998802389999</v>
      </c>
      <c r="AH1432">
        <v>9.3062030206340296</v>
      </c>
      <c r="AI1432">
        <v>96.242711325875007</v>
      </c>
      <c r="AJ1432">
        <v>66.795110499198103</v>
      </c>
      <c r="AK1432">
        <v>10.1857238859929</v>
      </c>
      <c r="AL1432">
        <v>85.265677398036701</v>
      </c>
      <c r="AM1432">
        <v>81.052542604980502</v>
      </c>
      <c r="AN1432">
        <v>0.99999997629333404</v>
      </c>
    </row>
    <row r="1433" spans="1:40" x14ac:dyDescent="0.25">
      <c r="A1433" t="str">
        <f>"20190312151252812"</f>
        <v>20190312151252812</v>
      </c>
      <c r="B1433" t="str">
        <f>"1552374772801664"</f>
        <v>1552374772801664</v>
      </c>
      <c r="C1433" t="s">
        <v>40</v>
      </c>
      <c r="D1433">
        <v>4.8338400000000004</v>
      </c>
      <c r="E1433">
        <v>0.5957209</v>
      </c>
      <c r="F1433" t="s">
        <v>42</v>
      </c>
      <c r="G1433">
        <v>-194.952</v>
      </c>
      <c r="H1433" s="1">
        <v>-1.45155399999999E-6</v>
      </c>
      <c r="I1433">
        <v>299.90140000000002</v>
      </c>
      <c r="J1433">
        <v>-190.93350000000001</v>
      </c>
      <c r="K1433">
        <v>1.107504</v>
      </c>
      <c r="L1433">
        <v>307.83330000000001</v>
      </c>
      <c r="M1433">
        <v>-5.5007130000000001E-2</v>
      </c>
      <c r="N1433">
        <v>0</v>
      </c>
      <c r="O1433">
        <v>-0.99841919999999995</v>
      </c>
      <c r="P1433">
        <v>-0.21292459999999999</v>
      </c>
      <c r="Q1433">
        <v>7.0966349999999997E-2</v>
      </c>
      <c r="R1433">
        <v>-0.97448800000000002</v>
      </c>
      <c r="S1433">
        <v>-1.379486</v>
      </c>
      <c r="T1433">
        <v>-0.37839410000000001</v>
      </c>
      <c r="U1433">
        <v>-2.8117679999999998</v>
      </c>
      <c r="V1433">
        <v>0.1594941</v>
      </c>
      <c r="W1433">
        <v>8.1371200000000005E-2</v>
      </c>
      <c r="X1433">
        <v>0.98383960000000004</v>
      </c>
      <c r="Y1433">
        <v>0.38717249999999998</v>
      </c>
      <c r="Z1433">
        <v>0.12110029999999999</v>
      </c>
      <c r="AA1433">
        <v>0.91401980000000005</v>
      </c>
      <c r="AB1433">
        <v>27</v>
      </c>
      <c r="AC1433">
        <v>-4.01849999999998</v>
      </c>
      <c r="AD1433">
        <v>-1.1075054515539999</v>
      </c>
      <c r="AE1433">
        <v>-7.9318999999999802</v>
      </c>
      <c r="AF1433">
        <v>3.52144413280933</v>
      </c>
      <c r="AG1433">
        <v>-1.1075054515539999</v>
      </c>
      <c r="AH1433">
        <v>8.0165829413097498</v>
      </c>
      <c r="AI1433">
        <v>97.208857710666294</v>
      </c>
      <c r="AJ1433">
        <v>66.285558290022294</v>
      </c>
      <c r="AK1433">
        <v>8.8256863280210496</v>
      </c>
      <c r="AL1433">
        <v>85.332613294144593</v>
      </c>
      <c r="AM1433">
        <v>80.791666400078995</v>
      </c>
      <c r="AN1433">
        <v>0.99999999932620498</v>
      </c>
    </row>
    <row r="1434" spans="1:40" x14ac:dyDescent="0.25">
      <c r="A1434" t="str">
        <f>"20190312151252853"</f>
        <v>20190312151252853</v>
      </c>
      <c r="B1434" t="str">
        <f>"1552374772841680"</f>
        <v>1552374772841680</v>
      </c>
      <c r="C1434" t="s">
        <v>40</v>
      </c>
      <c r="D1434">
        <v>4.6814220000000004</v>
      </c>
      <c r="E1434">
        <v>0.59458120000000003</v>
      </c>
      <c r="F1434" t="s">
        <v>42</v>
      </c>
      <c r="G1434">
        <v>-194.81209999999999</v>
      </c>
      <c r="H1434" s="1">
        <v>-1.493878E-6</v>
      </c>
      <c r="I1434">
        <v>300.08679999999998</v>
      </c>
      <c r="J1434">
        <v>-190.9691</v>
      </c>
      <c r="K1434">
        <v>1.107362</v>
      </c>
      <c r="L1434">
        <v>307.32859999999999</v>
      </c>
      <c r="M1434">
        <v>-6.1500609999999997E-2</v>
      </c>
      <c r="N1434">
        <v>0</v>
      </c>
      <c r="O1434">
        <v>-0.99804000000000004</v>
      </c>
      <c r="P1434">
        <v>-0.2271859</v>
      </c>
      <c r="Q1434">
        <v>7.1779430000000005E-2</v>
      </c>
      <c r="R1434">
        <v>-0.97120280000000003</v>
      </c>
      <c r="S1434">
        <v>-1.402542</v>
      </c>
      <c r="T1434">
        <v>-0.40047749999999999</v>
      </c>
      <c r="U1434">
        <v>-2.8011780000000002</v>
      </c>
      <c r="V1434">
        <v>0.1675556</v>
      </c>
      <c r="W1434">
        <v>8.2090239999999995E-2</v>
      </c>
      <c r="X1434">
        <v>0.98243899999999995</v>
      </c>
      <c r="Y1434">
        <v>0.38818900000000001</v>
      </c>
      <c r="Z1434">
        <v>0.1281514</v>
      </c>
      <c r="AA1434">
        <v>0.9126261</v>
      </c>
      <c r="AB1434">
        <v>27</v>
      </c>
      <c r="AC1434">
        <v>-3.84299999999998</v>
      </c>
      <c r="AD1434">
        <v>-1.1073634938779999</v>
      </c>
      <c r="AE1434">
        <v>-7.2418000000000102</v>
      </c>
      <c r="AF1434">
        <v>3.32957314111108</v>
      </c>
      <c r="AG1434">
        <v>-1.1073634938779999</v>
      </c>
      <c r="AH1434">
        <v>7.3307074674172101</v>
      </c>
      <c r="AI1434">
        <v>97.831126642792498</v>
      </c>
      <c r="AJ1434">
        <v>65.572672742830704</v>
      </c>
      <c r="AK1434">
        <v>8.1272125099832699</v>
      </c>
      <c r="AL1434">
        <v>85.291277224242094</v>
      </c>
      <c r="AM1434">
        <v>80.3212943061815</v>
      </c>
      <c r="AN1434">
        <v>1.0000000376578</v>
      </c>
    </row>
    <row r="1435" spans="1:40" x14ac:dyDescent="0.25">
      <c r="A1435" t="str">
        <f>"20190312151252874"</f>
        <v>20190312151252874</v>
      </c>
      <c r="B1435" t="str">
        <f>"1552374772870960"</f>
        <v>1552374772870960</v>
      </c>
      <c r="C1435" t="s">
        <v>40</v>
      </c>
      <c r="D1435">
        <v>4.7987880000000001</v>
      </c>
      <c r="E1435">
        <v>0.59416910000000001</v>
      </c>
      <c r="F1435" t="s">
        <v>42</v>
      </c>
      <c r="G1435">
        <v>-194.8372</v>
      </c>
      <c r="H1435" s="1">
        <v>-1.390673E-6</v>
      </c>
      <c r="I1435">
        <v>299.83069999999998</v>
      </c>
      <c r="J1435">
        <v>-190.99010000000001</v>
      </c>
      <c r="K1435">
        <v>1.1072979999999999</v>
      </c>
      <c r="L1435">
        <v>307.05439999999999</v>
      </c>
      <c r="M1435">
        <v>-6.5176890000000001E-2</v>
      </c>
      <c r="N1435">
        <v>0</v>
      </c>
      <c r="O1435">
        <v>-0.99780639999999998</v>
      </c>
      <c r="P1435">
        <v>-0.2342804</v>
      </c>
      <c r="Q1435">
        <v>7.2782180000000002E-2</v>
      </c>
      <c r="R1435">
        <v>-0.9694412</v>
      </c>
      <c r="S1435">
        <v>-1.4359280000000001</v>
      </c>
      <c r="T1435">
        <v>-0.41108810000000001</v>
      </c>
      <c r="U1435">
        <v>-2.7834469999999998</v>
      </c>
      <c r="V1435">
        <v>0.1711473</v>
      </c>
      <c r="W1435">
        <v>8.304636E-2</v>
      </c>
      <c r="X1435">
        <v>0.98173920000000003</v>
      </c>
      <c r="Y1435">
        <v>0.39559179999999999</v>
      </c>
      <c r="Z1435">
        <v>0.1316214</v>
      </c>
      <c r="AA1435">
        <v>0.90894600000000003</v>
      </c>
      <c r="AB1435">
        <v>27</v>
      </c>
      <c r="AC1435">
        <v>-3.8470999999999802</v>
      </c>
      <c r="AD1435">
        <v>-1.107299390673</v>
      </c>
      <c r="AE1435">
        <v>-7.2237</v>
      </c>
      <c r="AF1435">
        <v>3.3075244432203501</v>
      </c>
      <c r="AG1435">
        <v>-1.107299390673</v>
      </c>
      <c r="AH1435">
        <v>7.3250122167677798</v>
      </c>
      <c r="AI1435">
        <v>97.844422812669904</v>
      </c>
      <c r="AJ1435">
        <v>65.6989954624989</v>
      </c>
      <c r="AK1435">
        <v>8.1130533006311598</v>
      </c>
      <c r="AL1435">
        <v>85.236307593659205</v>
      </c>
      <c r="AM1435">
        <v>80.110966248362999</v>
      </c>
      <c r="AN1435">
        <v>0.99999997651158901</v>
      </c>
    </row>
    <row r="1436" spans="1:40" x14ac:dyDescent="0.25">
      <c r="A1436" t="str">
        <f>"20190312151252897"</f>
        <v>20190312151252897</v>
      </c>
      <c r="B1436" t="str">
        <f>"1552374772891457"</f>
        <v>1552374772891457</v>
      </c>
      <c r="C1436" t="s">
        <v>40</v>
      </c>
      <c r="D1436">
        <v>4.5251349999999997</v>
      </c>
      <c r="E1436">
        <v>0.59397060000000002</v>
      </c>
      <c r="F1436" t="s">
        <v>42</v>
      </c>
      <c r="G1436">
        <v>-194.8784</v>
      </c>
      <c r="H1436" s="1">
        <v>-1.3162720000000001E-6</v>
      </c>
      <c r="I1436">
        <v>299.63170000000002</v>
      </c>
      <c r="J1436">
        <v>-191.01159999999999</v>
      </c>
      <c r="K1436">
        <v>1.1072310000000001</v>
      </c>
      <c r="L1436">
        <v>306.78539999999998</v>
      </c>
      <c r="M1436">
        <v>-6.8879930000000006E-2</v>
      </c>
      <c r="N1436">
        <v>0</v>
      </c>
      <c r="O1436">
        <v>-0.99755729999999998</v>
      </c>
      <c r="P1436">
        <v>-0.2414792</v>
      </c>
      <c r="Q1436">
        <v>7.3603470000000004E-2</v>
      </c>
      <c r="R1436">
        <v>-0.96761070000000005</v>
      </c>
      <c r="S1436">
        <v>-1.453354</v>
      </c>
      <c r="T1436">
        <v>-0.41387760000000001</v>
      </c>
      <c r="U1436">
        <v>-2.7744140000000002</v>
      </c>
      <c r="V1436">
        <v>0.17482619999999999</v>
      </c>
      <c r="W1436">
        <v>8.3819939999999996E-2</v>
      </c>
      <c r="X1436">
        <v>0.98102500000000004</v>
      </c>
      <c r="Y1436">
        <v>0.39782590000000001</v>
      </c>
      <c r="Z1436">
        <v>0.13257829999999901</v>
      </c>
      <c r="AA1436">
        <v>0.90783130000000001</v>
      </c>
      <c r="AB1436">
        <v>27</v>
      </c>
      <c r="AC1436">
        <v>-3.8668000000000098</v>
      </c>
      <c r="AD1436">
        <v>-1.1072323162719999</v>
      </c>
      <c r="AE1436">
        <v>-7.15369999999995</v>
      </c>
      <c r="AF1436">
        <v>3.3035888711121402</v>
      </c>
      <c r="AG1436">
        <v>-1.1072323162719999</v>
      </c>
      <c r="AH1436">
        <v>7.26832017578079</v>
      </c>
      <c r="AI1436">
        <v>97.895626349591893</v>
      </c>
      <c r="AJ1436">
        <v>65.557306301898194</v>
      </c>
      <c r="AK1436">
        <v>8.0602816953996808</v>
      </c>
      <c r="AL1436">
        <v>85.191829837635296</v>
      </c>
      <c r="AM1436">
        <v>79.895526222072903</v>
      </c>
      <c r="AN1436">
        <v>1.0000000165865199</v>
      </c>
    </row>
    <row r="1437" spans="1:40" x14ac:dyDescent="0.25">
      <c r="A1437" t="str">
        <f>"20190312151252919"</f>
        <v>20190312151252919</v>
      </c>
      <c r="B1437" t="str">
        <f>"1552374772910976"</f>
        <v>1552374772910976</v>
      </c>
      <c r="C1437" t="s">
        <v>40</v>
      </c>
      <c r="D1437">
        <v>4.5295540000000001</v>
      </c>
      <c r="E1437">
        <v>0.59356450000000005</v>
      </c>
      <c r="F1437" t="s">
        <v>53</v>
      </c>
      <c r="G1437">
        <v>-195.03309999999999</v>
      </c>
      <c r="H1437" s="1">
        <v>6.6660070000000005E-8</v>
      </c>
      <c r="I1437">
        <v>299.23779999999999</v>
      </c>
      <c r="J1437">
        <v>-191.03579999999999</v>
      </c>
      <c r="K1437">
        <v>1.107151</v>
      </c>
      <c r="L1437">
        <v>306.49900000000002</v>
      </c>
      <c r="M1437">
        <v>-7.2932949999999996E-2</v>
      </c>
      <c r="N1437">
        <v>0</v>
      </c>
      <c r="O1437">
        <v>-0.99726899999999996</v>
      </c>
      <c r="P1437">
        <v>-0.2479845</v>
      </c>
      <c r="Q1437">
        <v>7.3133240000000002E-2</v>
      </c>
      <c r="R1437">
        <v>-0.96599939999999995</v>
      </c>
      <c r="S1437">
        <v>-1.4725490000000001</v>
      </c>
      <c r="T1437">
        <v>-0.40544210000000003</v>
      </c>
      <c r="U1437">
        <v>-2.7637330000000002</v>
      </c>
      <c r="V1437">
        <v>0.177453</v>
      </c>
      <c r="W1437">
        <v>8.3307240000000005E-2</v>
      </c>
      <c r="X1437">
        <v>0.98059700000000005</v>
      </c>
      <c r="Y1437">
        <v>0.4006285</v>
      </c>
      <c r="Z1437">
        <v>0.130027</v>
      </c>
      <c r="AA1437">
        <v>0.90696730000000003</v>
      </c>
      <c r="AB1437">
        <v>27</v>
      </c>
      <c r="AC1437">
        <v>-3.9972999999999899</v>
      </c>
      <c r="AD1437">
        <v>-1.1071509333399201</v>
      </c>
      <c r="AE1437">
        <v>-7.2612000000000299</v>
      </c>
      <c r="AF1437">
        <v>3.3964384638864198</v>
      </c>
      <c r="AG1437">
        <v>-1.1071509333399201</v>
      </c>
      <c r="AH1437">
        <v>7.4013617272885499</v>
      </c>
      <c r="AI1437">
        <v>97.742225706927002</v>
      </c>
      <c r="AJ1437">
        <v>65.349906699376803</v>
      </c>
      <c r="AK1437">
        <v>8.2183777502822597</v>
      </c>
      <c r="AL1437">
        <v>85.221308742267595</v>
      </c>
      <c r="AM1437">
        <v>79.742521711801999</v>
      </c>
      <c r="AN1437">
        <v>1.0000000699272</v>
      </c>
    </row>
    <row r="1438" spans="1:40" x14ac:dyDescent="0.25">
      <c r="A1438" t="str">
        <f>"20190312151252953"</f>
        <v>20190312151252953</v>
      </c>
      <c r="B1438" t="str">
        <f>"1552374772950992"</f>
        <v>1552374772950992</v>
      </c>
      <c r="C1438" t="s">
        <v>40</v>
      </c>
      <c r="D1438">
        <v>4.5672969999999999</v>
      </c>
      <c r="E1438">
        <v>0.59287909999999999</v>
      </c>
      <c r="F1438" t="s">
        <v>53</v>
      </c>
      <c r="G1438">
        <v>-195.14160000000001</v>
      </c>
      <c r="H1438" s="1">
        <v>1.264821E-7</v>
      </c>
      <c r="I1438">
        <v>298.89819999999997</v>
      </c>
      <c r="J1438">
        <v>-191.07339999999999</v>
      </c>
      <c r="K1438">
        <v>1.1070279999999999</v>
      </c>
      <c r="L1438">
        <v>306.08199999999999</v>
      </c>
      <c r="M1438">
        <v>-7.9044929999999999E-2</v>
      </c>
      <c r="N1438">
        <v>0</v>
      </c>
      <c r="O1438">
        <v>-0.99680310000000005</v>
      </c>
      <c r="P1438">
        <v>-0.25630589999999998</v>
      </c>
      <c r="Q1438">
        <v>7.2990520000000003E-2</v>
      </c>
      <c r="R1438">
        <v>-0.96383640000000004</v>
      </c>
      <c r="S1438">
        <v>-1.487671</v>
      </c>
      <c r="T1438">
        <v>-0.40116370000000001</v>
      </c>
      <c r="U1438">
        <v>-2.754089</v>
      </c>
      <c r="V1438">
        <v>0.17992339999999901</v>
      </c>
      <c r="W1438">
        <v>8.3108119999999994E-2</v>
      </c>
      <c r="X1438">
        <v>0.98016360000000002</v>
      </c>
      <c r="Y1438">
        <v>0.4002773</v>
      </c>
      <c r="Z1438">
        <v>0.128834</v>
      </c>
      <c r="AA1438">
        <v>0.90729269999999995</v>
      </c>
      <c r="AB1438">
        <v>27</v>
      </c>
      <c r="AC1438">
        <v>-4.0682000000000098</v>
      </c>
      <c r="AD1438">
        <v>-1.1070278735179</v>
      </c>
      <c r="AE1438">
        <v>-7.1838000000000104</v>
      </c>
      <c r="AF1438">
        <v>3.4259862318923999</v>
      </c>
      <c r="AG1438">
        <v>-1.1070278735179</v>
      </c>
      <c r="AH1438">
        <v>7.3507405760592599</v>
      </c>
      <c r="AI1438">
        <v>97.773003299982307</v>
      </c>
      <c r="AJ1438">
        <v>65.011015627978196</v>
      </c>
      <c r="AK1438">
        <v>8.1851254963125601</v>
      </c>
      <c r="AL1438">
        <v>85.232757016126598</v>
      </c>
      <c r="AM1438">
        <v>79.598319551638298</v>
      </c>
      <c r="AN1438">
        <v>1.00000003612122</v>
      </c>
    </row>
    <row r="1439" spans="1:40" x14ac:dyDescent="0.25">
      <c r="A1439" t="str">
        <f>"20190312151252988"</f>
        <v>20190312151252988</v>
      </c>
      <c r="B1439" t="str">
        <f>"1552374772981249"</f>
        <v>1552374772981249</v>
      </c>
      <c r="C1439" t="s">
        <v>40</v>
      </c>
      <c r="D1439">
        <v>4.7873109999999999</v>
      </c>
      <c r="E1439">
        <v>0.5922885</v>
      </c>
      <c r="F1439" t="s">
        <v>53</v>
      </c>
      <c r="G1439">
        <v>-195.3922</v>
      </c>
      <c r="H1439" s="1">
        <v>2.4602119999999999E-7</v>
      </c>
      <c r="I1439">
        <v>298.21940000000001</v>
      </c>
      <c r="J1439">
        <v>-191.1131</v>
      </c>
      <c r="K1439">
        <v>1.1069169999999999</v>
      </c>
      <c r="L1439">
        <v>305.67140000000001</v>
      </c>
      <c r="M1439">
        <v>-8.5265960000000002E-2</v>
      </c>
      <c r="N1439">
        <v>0</v>
      </c>
      <c r="O1439">
        <v>-0.99629000000000001</v>
      </c>
      <c r="P1439">
        <v>-0.26742670000000002</v>
      </c>
      <c r="Q1439">
        <v>7.3142369999999998E-2</v>
      </c>
      <c r="R1439">
        <v>-0.96079840000000005</v>
      </c>
      <c r="S1439">
        <v>-1.505814</v>
      </c>
      <c r="T1439">
        <v>-0.38598159999999998</v>
      </c>
      <c r="U1439">
        <v>-2.741425</v>
      </c>
      <c r="V1439">
        <v>0.1851592</v>
      </c>
      <c r="W1439">
        <v>8.3177029999999999E-2</v>
      </c>
      <c r="X1439">
        <v>0.97918210000000006</v>
      </c>
      <c r="Y1439">
        <v>0.40122570000000002</v>
      </c>
      <c r="Z1439">
        <v>0.1242304</v>
      </c>
      <c r="AA1439">
        <v>0.90751570000000004</v>
      </c>
      <c r="AB1439">
        <v>27</v>
      </c>
      <c r="AC1439">
        <v>-4.2790999999999997</v>
      </c>
      <c r="AD1439">
        <v>-1.1069167539787901</v>
      </c>
      <c r="AE1439">
        <v>-7.4519999999999902</v>
      </c>
      <c r="AF1439">
        <v>3.56885186623655</v>
      </c>
      <c r="AG1439">
        <v>-1.1069167539787901</v>
      </c>
      <c r="AH1439">
        <v>7.6625999295640197</v>
      </c>
      <c r="AI1439">
        <v>97.460463154685101</v>
      </c>
      <c r="AJ1439">
        <v>65.026275226274905</v>
      </c>
      <c r="AK1439">
        <v>8.5251044582417599</v>
      </c>
      <c r="AL1439">
        <v>85.228794712581106</v>
      </c>
      <c r="AM1439">
        <v>79.292044244445506</v>
      </c>
      <c r="AN1439">
        <v>0.99999996631233401</v>
      </c>
    </row>
    <row r="1440" spans="1:40" x14ac:dyDescent="0.25">
      <c r="A1440" t="str">
        <f>"20190312151253011"</f>
        <v>20190312151253011</v>
      </c>
      <c r="B1440" t="str">
        <f>"1552374773001746"</f>
        <v>1552374773001746</v>
      </c>
      <c r="C1440" t="s">
        <v>40</v>
      </c>
      <c r="D1440">
        <v>4.7737819999999997</v>
      </c>
      <c r="E1440">
        <v>0.59214889999999998</v>
      </c>
      <c r="F1440" t="s">
        <v>53</v>
      </c>
      <c r="G1440">
        <v>-195.59110000000001</v>
      </c>
      <c r="H1440" s="1">
        <v>3.3605640000000002E-7</v>
      </c>
      <c r="I1440">
        <v>297.70819999999998</v>
      </c>
      <c r="J1440">
        <v>-191.14359999999999</v>
      </c>
      <c r="K1440">
        <v>1.106851</v>
      </c>
      <c r="L1440">
        <v>305.37560000000002</v>
      </c>
      <c r="M1440">
        <v>-8.9865639999999997E-2</v>
      </c>
      <c r="N1440">
        <v>0</v>
      </c>
      <c r="O1440">
        <v>-0.99588529999999997</v>
      </c>
      <c r="P1440">
        <v>-0.27422069999999998</v>
      </c>
      <c r="Q1440">
        <v>7.2281059999999994E-2</v>
      </c>
      <c r="R1440">
        <v>-0.95894650000000003</v>
      </c>
      <c r="S1440">
        <v>-1.5322420000000001</v>
      </c>
      <c r="T1440">
        <v>-0.37875750000000002</v>
      </c>
      <c r="U1440">
        <v>-2.7247919999999999</v>
      </c>
      <c r="V1440">
        <v>0.18757109999999999</v>
      </c>
      <c r="W1440">
        <v>8.2274150000000004E-2</v>
      </c>
      <c r="X1440">
        <v>0.97879930000000004</v>
      </c>
      <c r="Y1440">
        <v>0.4061768</v>
      </c>
      <c r="Z1440">
        <v>0.1221029</v>
      </c>
      <c r="AA1440">
        <v>0.90559999999999996</v>
      </c>
      <c r="AB1440">
        <v>27</v>
      </c>
      <c r="AC1440">
        <v>-4.4475000000000096</v>
      </c>
      <c r="AD1440">
        <v>-1.1068506639436</v>
      </c>
      <c r="AE1440">
        <v>-7.6674000000000397</v>
      </c>
      <c r="AF1440">
        <v>3.6829913069671498</v>
      </c>
      <c r="AG1440">
        <v>-1.1068506639436</v>
      </c>
      <c r="AH1440">
        <v>7.9126959883471999</v>
      </c>
      <c r="AI1440">
        <v>97.227577188810002</v>
      </c>
      <c r="AJ1440">
        <v>65.040216256396107</v>
      </c>
      <c r="AK1440">
        <v>8.7977440951344903</v>
      </c>
      <c r="AL1440">
        <v>85.280704068915696</v>
      </c>
      <c r="AM1440">
        <v>79.151707783112599</v>
      </c>
      <c r="AN1440">
        <v>1.0000000114969601</v>
      </c>
    </row>
    <row r="1441" spans="1:40" x14ac:dyDescent="0.25">
      <c r="A1441" t="str">
        <f>"20190312151253032"</f>
        <v>20190312151253032</v>
      </c>
      <c r="B1441" t="str">
        <f>"1552374773021264"</f>
        <v>1552374773021264</v>
      </c>
      <c r="C1441" t="s">
        <v>40</v>
      </c>
      <c r="D1441">
        <v>4.6594790000000001</v>
      </c>
      <c r="E1441">
        <v>0.59183419999999998</v>
      </c>
      <c r="F1441" t="s">
        <v>53</v>
      </c>
      <c r="G1441">
        <v>-195.661</v>
      </c>
      <c r="H1441" s="1">
        <v>3.781998E-7</v>
      </c>
      <c r="I1441">
        <v>297.46890000000002</v>
      </c>
      <c r="J1441">
        <v>-191.17230000000001</v>
      </c>
      <c r="K1441">
        <v>1.1067959999999999</v>
      </c>
      <c r="L1441">
        <v>305.10789999999997</v>
      </c>
      <c r="M1441">
        <v>-9.4093739999999995E-2</v>
      </c>
      <c r="N1441">
        <v>0</v>
      </c>
      <c r="O1441">
        <v>-0.99549480000000001</v>
      </c>
      <c r="P1441">
        <v>-0.28031329999999999</v>
      </c>
      <c r="Q1441">
        <v>7.1959499999999996E-2</v>
      </c>
      <c r="R1441">
        <v>-0.95720740000000004</v>
      </c>
      <c r="S1441">
        <v>-1.5504610000000001</v>
      </c>
      <c r="T1441">
        <v>-0.37988939999999999</v>
      </c>
      <c r="U1441">
        <v>-2.7137150000000001</v>
      </c>
      <c r="V1441">
        <v>0.1896457</v>
      </c>
      <c r="W1441">
        <v>8.1919140000000001E-2</v>
      </c>
      <c r="X1441">
        <v>0.97842929999999995</v>
      </c>
      <c r="Y1441">
        <v>0.40844900000000001</v>
      </c>
      <c r="Z1441">
        <v>0.1225647</v>
      </c>
      <c r="AA1441">
        <v>0.90451499999999996</v>
      </c>
      <c r="AB1441">
        <v>27</v>
      </c>
      <c r="AC1441">
        <v>-4.4886999999999597</v>
      </c>
      <c r="AD1441">
        <v>-1.1067956218002</v>
      </c>
      <c r="AE1441">
        <v>-7.6389999999999496</v>
      </c>
      <c r="AF1441">
        <v>3.6923342687162801</v>
      </c>
      <c r="AG1441">
        <v>-1.1067956218002</v>
      </c>
      <c r="AH1441">
        <v>7.9041507660077599</v>
      </c>
      <c r="AI1441">
        <v>97.230333179100995</v>
      </c>
      <c r="AJ1441">
        <v>64.960904275273506</v>
      </c>
      <c r="AK1441">
        <v>8.7939711298226193</v>
      </c>
      <c r="AL1441">
        <v>85.301113795204799</v>
      </c>
      <c r="AM1441">
        <v>79.030569053542195</v>
      </c>
      <c r="AN1441">
        <v>1.00000006606265</v>
      </c>
    </row>
    <row r="1442" spans="1:40" x14ac:dyDescent="0.25">
      <c r="A1442" t="str">
        <f>"20190312151253055"</f>
        <v>20190312151253055</v>
      </c>
      <c r="B1442" t="str">
        <f>"1552374773051520"</f>
        <v>1552374773051520</v>
      </c>
      <c r="C1442" t="s">
        <v>40</v>
      </c>
      <c r="D1442">
        <v>4.6751509999999996</v>
      </c>
      <c r="E1442">
        <v>0.59139090000000005</v>
      </c>
      <c r="F1442" t="s">
        <v>53</v>
      </c>
      <c r="G1442">
        <v>-195.68289999999999</v>
      </c>
      <c r="H1442" s="1">
        <v>4.0485389999999999E-7</v>
      </c>
      <c r="I1442">
        <v>297.3175</v>
      </c>
      <c r="J1442">
        <v>-191.20259999999999</v>
      </c>
      <c r="K1442">
        <v>1.106754</v>
      </c>
      <c r="L1442">
        <v>304.83800000000002</v>
      </c>
      <c r="M1442">
        <v>-9.8423990000000003E-2</v>
      </c>
      <c r="N1442">
        <v>0</v>
      </c>
      <c r="O1442">
        <v>-0.99507579999999995</v>
      </c>
      <c r="P1442">
        <v>-0.28653479999999998</v>
      </c>
      <c r="Q1442">
        <v>7.2366890000000003E-2</v>
      </c>
      <c r="R1442">
        <v>-0.95533290000000004</v>
      </c>
      <c r="S1442">
        <v>-1.5658259999999999</v>
      </c>
      <c r="T1442">
        <v>-0.38422050000000002</v>
      </c>
      <c r="U1442">
        <v>-2.7044069999999998</v>
      </c>
      <c r="V1442">
        <v>0.1917711</v>
      </c>
      <c r="W1442">
        <v>8.2291710000000004E-2</v>
      </c>
      <c r="X1442">
        <v>0.97798359999999995</v>
      </c>
      <c r="Y1442">
        <v>0.40959190000000001</v>
      </c>
      <c r="Z1442">
        <v>0.12402820000000001</v>
      </c>
      <c r="AA1442">
        <v>0.90379830000000005</v>
      </c>
      <c r="AB1442">
        <v>28</v>
      </c>
      <c r="AC1442">
        <v>-4.4802999999999997</v>
      </c>
      <c r="AD1442">
        <v>-1.1067535951461001</v>
      </c>
      <c r="AE1442">
        <v>-7.52049999999997</v>
      </c>
      <c r="AF1442">
        <v>3.6597951954878201</v>
      </c>
      <c r="AG1442">
        <v>-1.1067535951461001</v>
      </c>
      <c r="AH1442">
        <v>7.8002955896030803</v>
      </c>
      <c r="AI1442">
        <v>97.319589324671497</v>
      </c>
      <c r="AJ1442">
        <v>64.864653390288694</v>
      </c>
      <c r="AK1442">
        <v>8.6869796637534407</v>
      </c>
      <c r="AL1442">
        <v>85.279694482518096</v>
      </c>
      <c r="AM1442">
        <v>78.905734837085305</v>
      </c>
      <c r="AN1442">
        <v>1.0000000010994401</v>
      </c>
    </row>
    <row r="1443" spans="1:40" x14ac:dyDescent="0.25">
      <c r="A1443" t="str">
        <f>"20190312151253076"</f>
        <v>20190312151253076</v>
      </c>
      <c r="B1443" t="str">
        <f>"1552374773071040"</f>
        <v>1552374773071040</v>
      </c>
      <c r="C1443" t="s">
        <v>40</v>
      </c>
      <c r="D1443">
        <v>4.6895829999999998</v>
      </c>
      <c r="E1443">
        <v>0.59114180000000005</v>
      </c>
      <c r="F1443" t="s">
        <v>53</v>
      </c>
      <c r="G1443">
        <v>-195.72290000000001</v>
      </c>
      <c r="H1443" s="1">
        <v>4.3791640000000001E-7</v>
      </c>
      <c r="I1443">
        <v>297.12979999999999</v>
      </c>
      <c r="J1443">
        <v>-191.23320000000001</v>
      </c>
      <c r="K1443">
        <v>1.1067039999999999</v>
      </c>
      <c r="L1443">
        <v>304.57549999999998</v>
      </c>
      <c r="M1443">
        <v>-0.1027015</v>
      </c>
      <c r="N1443">
        <v>0</v>
      </c>
      <c r="O1443">
        <v>-0.99464339999999996</v>
      </c>
      <c r="P1443">
        <v>-0.29304269999999999</v>
      </c>
      <c r="Q1443">
        <v>7.2404449999999995E-2</v>
      </c>
      <c r="R1443">
        <v>-0.95335420000000004</v>
      </c>
      <c r="S1443">
        <v>-1.580673</v>
      </c>
      <c r="T1443">
        <v>-0.38701570000000002</v>
      </c>
      <c r="U1443">
        <v>-2.695465</v>
      </c>
      <c r="V1443">
        <v>0.1942469</v>
      </c>
      <c r="W1443">
        <v>8.2290299999999997E-2</v>
      </c>
      <c r="X1443">
        <v>0.977495</v>
      </c>
      <c r="Y1443">
        <v>0.41062779999999999</v>
      </c>
      <c r="Z1443">
        <v>0.1249951</v>
      </c>
      <c r="AA1443">
        <v>0.90319490000000002</v>
      </c>
      <c r="AB1443">
        <v>28</v>
      </c>
      <c r="AC1443">
        <v>-4.4896999999999903</v>
      </c>
      <c r="AD1443">
        <v>-1.1067035620836001</v>
      </c>
      <c r="AE1443">
        <v>-7.44569999999998</v>
      </c>
      <c r="AF1443">
        <v>3.6422087639162299</v>
      </c>
      <c r="AG1443">
        <v>-1.1067035620836001</v>
      </c>
      <c r="AH1443">
        <v>7.74201883215619</v>
      </c>
      <c r="AI1443">
        <v>97.370216380982001</v>
      </c>
      <c r="AJ1443">
        <v>64.805506426196303</v>
      </c>
      <c r="AK1443">
        <v>8.6272436532033705</v>
      </c>
      <c r="AL1443">
        <v>85.279775602360303</v>
      </c>
      <c r="AM1443">
        <v>78.760653845583604</v>
      </c>
      <c r="AN1443">
        <v>1.0000000133293501</v>
      </c>
    </row>
    <row r="1444" spans="1:40" x14ac:dyDescent="0.25">
      <c r="A1444" t="str">
        <f>"20190312151253099"</f>
        <v>20190312151253099</v>
      </c>
      <c r="B1444" t="str">
        <f>"1552374773091536"</f>
        <v>1552374773091536</v>
      </c>
      <c r="C1444" t="s">
        <v>40</v>
      </c>
      <c r="D1444">
        <v>4.6504649999999996</v>
      </c>
      <c r="E1444">
        <v>0.59079479999999995</v>
      </c>
      <c r="F1444" t="s">
        <v>53</v>
      </c>
      <c r="G1444">
        <v>-195.77780000000001</v>
      </c>
      <c r="H1444" s="1">
        <v>4.725578E-7</v>
      </c>
      <c r="I1444">
        <v>296.93310000000002</v>
      </c>
      <c r="J1444">
        <v>-191.2664</v>
      </c>
      <c r="K1444">
        <v>1.1066499999999999</v>
      </c>
      <c r="L1444">
        <v>304.30160000000001</v>
      </c>
      <c r="M1444">
        <v>-0.1072318</v>
      </c>
      <c r="N1444">
        <v>0</v>
      </c>
      <c r="O1444">
        <v>-0.99416499999999997</v>
      </c>
      <c r="P1444">
        <v>-0.29927290000000001</v>
      </c>
      <c r="Q1444">
        <v>7.2209300000000004E-2</v>
      </c>
      <c r="R1444">
        <v>-0.95143140000000004</v>
      </c>
      <c r="S1444">
        <v>-1.596924</v>
      </c>
      <c r="T1444">
        <v>-0.38887880000000002</v>
      </c>
      <c r="U1444">
        <v>-2.685425</v>
      </c>
      <c r="V1444">
        <v>0.19619719999999999</v>
      </c>
      <c r="W1444">
        <v>8.2057439999999995E-2</v>
      </c>
      <c r="X1444">
        <v>0.97712500000000002</v>
      </c>
      <c r="Y1444">
        <v>0.41195809999999999</v>
      </c>
      <c r="Z1444">
        <v>0.12567529999999999</v>
      </c>
      <c r="AA1444">
        <v>0.90249440000000003</v>
      </c>
      <c r="AB1444">
        <v>28</v>
      </c>
      <c r="AC1444">
        <v>-4.5114000000000001</v>
      </c>
      <c r="AD1444">
        <v>-1.1066495274421999</v>
      </c>
      <c r="AE1444">
        <v>-7.3684999999999796</v>
      </c>
      <c r="AF1444">
        <v>3.6355470612146901</v>
      </c>
      <c r="AG1444">
        <v>-1.1066495274421999</v>
      </c>
      <c r="AH1444">
        <v>7.6837463301952402</v>
      </c>
      <c r="AI1444">
        <v>97.417482565971397</v>
      </c>
      <c r="AJ1444">
        <v>64.678934787009098</v>
      </c>
      <c r="AK1444">
        <v>8.5721545295032904</v>
      </c>
      <c r="AL1444">
        <v>85.293162781483701</v>
      </c>
      <c r="AM1444">
        <v>78.646536100945994</v>
      </c>
      <c r="AN1444">
        <v>1.0000000151860899</v>
      </c>
    </row>
    <row r="1445" spans="1:40" x14ac:dyDescent="0.25">
      <c r="A1445" t="str">
        <f>"20190312151253121"</f>
        <v>20190312151253121</v>
      </c>
      <c r="B1445" t="str">
        <f>"1552374773111057"</f>
        <v>1552374773111057</v>
      </c>
      <c r="C1445" t="s">
        <v>40</v>
      </c>
      <c r="D1445">
        <v>4.7056570000000004</v>
      </c>
      <c r="E1445">
        <v>0.59044810000000003</v>
      </c>
      <c r="F1445" t="s">
        <v>53</v>
      </c>
      <c r="G1445">
        <v>-195.84280000000001</v>
      </c>
      <c r="H1445" s="1">
        <v>5.1251149999999996E-7</v>
      </c>
      <c r="I1445">
        <v>296.70620000000002</v>
      </c>
      <c r="J1445">
        <v>-191.3023</v>
      </c>
      <c r="K1445">
        <v>1.106595</v>
      </c>
      <c r="L1445">
        <v>304.017</v>
      </c>
      <c r="M1445">
        <v>-0.11201849999999999</v>
      </c>
      <c r="N1445">
        <v>0</v>
      </c>
      <c r="O1445">
        <v>-0.99363710000000005</v>
      </c>
      <c r="P1445">
        <v>-0.30595549999999999</v>
      </c>
      <c r="Q1445">
        <v>7.2346359999999998E-2</v>
      </c>
      <c r="R1445">
        <v>-0.9492931</v>
      </c>
      <c r="S1445">
        <v>-1.612152</v>
      </c>
      <c r="T1445">
        <v>-0.38984479999999999</v>
      </c>
      <c r="U1445">
        <v>-2.675659</v>
      </c>
      <c r="V1445">
        <v>0.19837869999999999</v>
      </c>
      <c r="W1445">
        <v>8.2150119999999993E-2</v>
      </c>
      <c r="X1445">
        <v>0.97667660000000001</v>
      </c>
      <c r="Y1445">
        <v>0.41277560000000002</v>
      </c>
      <c r="Z1445">
        <v>0.1260751</v>
      </c>
      <c r="AA1445">
        <v>0.90206509999999995</v>
      </c>
      <c r="AB1445">
        <v>28</v>
      </c>
      <c r="AC1445">
        <v>-4.5404999999999998</v>
      </c>
      <c r="AD1445">
        <v>-1.1065944874885001</v>
      </c>
      <c r="AE1445">
        <v>-7.3107999999999702</v>
      </c>
      <c r="AF1445">
        <v>3.63285316242054</v>
      </c>
      <c r="AG1445">
        <v>-1.1065944874885001</v>
      </c>
      <c r="AH1445">
        <v>7.64700198323332</v>
      </c>
      <c r="AI1445">
        <v>97.446879783124601</v>
      </c>
      <c r="AJ1445">
        <v>64.589058934820997</v>
      </c>
      <c r="AK1445">
        <v>8.5380801583859203</v>
      </c>
      <c r="AL1445">
        <v>85.287834386970601</v>
      </c>
      <c r="AM1445">
        <v>78.518500736174303</v>
      </c>
      <c r="AN1445">
        <v>0.99999996590863105</v>
      </c>
    </row>
    <row r="1446" spans="1:40" x14ac:dyDescent="0.25">
      <c r="A1446" t="str">
        <f>"20190312151253143"</f>
        <v>20190312151253143</v>
      </c>
      <c r="B1446" t="str">
        <f>"1552374773131552"</f>
        <v>1552374773131552</v>
      </c>
      <c r="C1446" t="s">
        <v>40</v>
      </c>
      <c r="D1446">
        <v>4.7749810000000004</v>
      </c>
      <c r="E1446">
        <v>0.59013890000000002</v>
      </c>
      <c r="F1446" t="s">
        <v>53</v>
      </c>
      <c r="G1446">
        <v>-195.93219999999999</v>
      </c>
      <c r="H1446" s="1">
        <v>5.9185310000000002E-7</v>
      </c>
      <c r="I1446">
        <v>296.44310000000002</v>
      </c>
      <c r="J1446">
        <v>-191.33699999999999</v>
      </c>
      <c r="K1446">
        <v>1.1065259999999999</v>
      </c>
      <c r="L1446">
        <v>303.7527</v>
      </c>
      <c r="M1446">
        <v>-0.11654489999999899</v>
      </c>
      <c r="N1446">
        <v>0</v>
      </c>
      <c r="O1446">
        <v>-0.99311609999999995</v>
      </c>
      <c r="P1446">
        <v>-0.3124825</v>
      </c>
      <c r="Q1446">
        <v>7.3015709999999998E-2</v>
      </c>
      <c r="R1446">
        <v>-0.94711350000000005</v>
      </c>
      <c r="S1446">
        <v>-1.6290279999999999</v>
      </c>
      <c r="T1446">
        <v>-0.38935579999999997</v>
      </c>
      <c r="U1446">
        <v>-2.6648860000000001</v>
      </c>
      <c r="V1446">
        <v>0.20067779999999999</v>
      </c>
      <c r="W1446">
        <v>8.2770270000000007E-2</v>
      </c>
      <c r="X1446">
        <v>0.97615439999999998</v>
      </c>
      <c r="Y1446">
        <v>0.4144177</v>
      </c>
      <c r="Z1446">
        <v>0.1260087</v>
      </c>
      <c r="AA1446">
        <v>0.90132109999999999</v>
      </c>
      <c r="AB1446">
        <v>28</v>
      </c>
      <c r="AC1446">
        <v>-4.59519999999997</v>
      </c>
      <c r="AD1446">
        <v>-1.1065254081469</v>
      </c>
      <c r="AE1446">
        <v>-7.3095999999999801</v>
      </c>
      <c r="AF1446">
        <v>3.6519439454191098</v>
      </c>
      <c r="AG1446">
        <v>-1.1065254081469</v>
      </c>
      <c r="AH1446">
        <v>7.6693976432986402</v>
      </c>
      <c r="AI1446">
        <v>97.421781059836604</v>
      </c>
      <c r="AJ1446">
        <v>64.537569452316404</v>
      </c>
      <c r="AK1446">
        <v>8.5662566661519506</v>
      </c>
      <c r="AL1446">
        <v>85.252180932061606</v>
      </c>
      <c r="AM1446">
        <v>78.382987311262298</v>
      </c>
      <c r="AN1446">
        <v>0.99999995482403503</v>
      </c>
    </row>
    <row r="1447" spans="1:40" x14ac:dyDescent="0.25">
      <c r="A1447" t="str">
        <f>"20190312151253164"</f>
        <v>20190312151253164</v>
      </c>
      <c r="B1447" t="str">
        <f>"1552374773160833"</f>
        <v>1552374773160833</v>
      </c>
      <c r="C1447" t="s">
        <v>40</v>
      </c>
      <c r="D1447">
        <v>4.7104100000000004</v>
      </c>
      <c r="E1447">
        <v>0.58988689999999999</v>
      </c>
      <c r="F1447" t="s">
        <v>53</v>
      </c>
      <c r="G1447">
        <v>-196.0334</v>
      </c>
      <c r="H1447" s="1">
        <v>6.7719819999999998E-7</v>
      </c>
      <c r="I1447">
        <v>296.17619999999999</v>
      </c>
      <c r="J1447">
        <v>-191.37309999999999</v>
      </c>
      <c r="K1447">
        <v>1.1064560000000001</v>
      </c>
      <c r="L1447">
        <v>303.48779999999999</v>
      </c>
      <c r="M1447">
        <v>-0.1211691</v>
      </c>
      <c r="N1447">
        <v>0</v>
      </c>
      <c r="O1447">
        <v>-0.99256259999999996</v>
      </c>
      <c r="P1447">
        <v>-0.31928329999999999</v>
      </c>
      <c r="Q1447">
        <v>7.2744100000000006E-2</v>
      </c>
      <c r="R1447">
        <v>-0.94486329999999996</v>
      </c>
      <c r="S1447">
        <v>-1.6454470000000001</v>
      </c>
      <c r="T1447">
        <v>-0.38768360000000002</v>
      </c>
      <c r="U1447">
        <v>-2.6545100000000001</v>
      </c>
      <c r="V1447">
        <v>0.20316039999999999</v>
      </c>
      <c r="W1447">
        <v>8.2448090000000002E-2</v>
      </c>
      <c r="X1447">
        <v>0.97566810000000004</v>
      </c>
      <c r="Y1447">
        <v>0.41582190000000002</v>
      </c>
      <c r="Z1447">
        <v>0.12555339999999901</v>
      </c>
      <c r="AA1447">
        <v>0.90073780000000003</v>
      </c>
      <c r="AB1447">
        <v>28</v>
      </c>
      <c r="AC1447">
        <v>-4.6603000000000003</v>
      </c>
      <c r="AD1447">
        <v>-1.1064553228017999</v>
      </c>
      <c r="AE1447">
        <v>-7.3115999999999897</v>
      </c>
      <c r="AF1447">
        <v>3.6800288173351601</v>
      </c>
      <c r="AG1447">
        <v>-1.1064553228017999</v>
      </c>
      <c r="AH1447">
        <v>7.6970986813462501</v>
      </c>
      <c r="AI1447">
        <v>97.389405845752506</v>
      </c>
      <c r="AJ1447">
        <v>64.4472583067882</v>
      </c>
      <c r="AK1447">
        <v>8.6030333945740196</v>
      </c>
      <c r="AL1447">
        <v>85.270704194706497</v>
      </c>
      <c r="AM1447">
        <v>78.237552546874198</v>
      </c>
      <c r="AN1447">
        <v>1.0000000385151999</v>
      </c>
    </row>
    <row r="1448" spans="1:40" x14ac:dyDescent="0.25">
      <c r="A1448" t="str">
        <f>"20190312151253188"</f>
        <v>20190312151253188</v>
      </c>
      <c r="B1448" t="str">
        <f>"1552374773181328"</f>
        <v>1552374773181328</v>
      </c>
      <c r="C1448" t="s">
        <v>40</v>
      </c>
      <c r="D1448">
        <v>4.7472969999999997</v>
      </c>
      <c r="E1448">
        <v>0.58950740000000001</v>
      </c>
      <c r="F1448" t="s">
        <v>53</v>
      </c>
      <c r="G1448">
        <v>-196.06100000000001</v>
      </c>
      <c r="H1448" s="1">
        <v>7.2514489999999998E-7</v>
      </c>
      <c r="I1448">
        <v>296.03370000000001</v>
      </c>
      <c r="J1448">
        <v>-191.4127</v>
      </c>
      <c r="K1448">
        <v>1.1063780000000001</v>
      </c>
      <c r="L1448">
        <v>303.2088</v>
      </c>
      <c r="M1448">
        <v>-0.12615000000000001</v>
      </c>
      <c r="N1448">
        <v>0</v>
      </c>
      <c r="O1448">
        <v>-0.99194159999999998</v>
      </c>
      <c r="P1448">
        <v>-0.32650689999999999</v>
      </c>
      <c r="Q1448">
        <v>7.2385039999999998E-2</v>
      </c>
      <c r="R1448">
        <v>-0.94241940000000002</v>
      </c>
      <c r="S1448">
        <v>-1.6624759999999901</v>
      </c>
      <c r="T1448">
        <v>-0.39238319999999999</v>
      </c>
      <c r="U1448">
        <v>-2.6434630000000001</v>
      </c>
      <c r="V1448">
        <v>0.20574290000000001</v>
      </c>
      <c r="W1448">
        <v>8.2037490000000005E-2</v>
      </c>
      <c r="X1448">
        <v>0.97516139999999996</v>
      </c>
      <c r="Y1448">
        <v>0.41701189999999999</v>
      </c>
      <c r="Z1448">
        <v>0.12713650000000001</v>
      </c>
      <c r="AA1448">
        <v>0.89996520000000002</v>
      </c>
      <c r="AB1448">
        <v>28</v>
      </c>
      <c r="AC1448">
        <v>-4.6482999999999697</v>
      </c>
      <c r="AD1448">
        <v>-1.1063772748551</v>
      </c>
      <c r="AE1448">
        <v>-7.17509999999998</v>
      </c>
      <c r="AF1448">
        <v>3.6449150165186999</v>
      </c>
      <c r="AG1448">
        <v>-1.1063772748551</v>
      </c>
      <c r="AH1448">
        <v>7.5772925330009997</v>
      </c>
      <c r="AI1448">
        <v>97.495939110119096</v>
      </c>
      <c r="AJ1448">
        <v>64.310988316364501</v>
      </c>
      <c r="AK1448">
        <v>8.4808512711066992</v>
      </c>
      <c r="AL1448">
        <v>85.294309737729705</v>
      </c>
      <c r="AM1448">
        <v>78.086264929951994</v>
      </c>
      <c r="AN1448">
        <v>1.00000002335793</v>
      </c>
    </row>
    <row r="1449" spans="1:40" x14ac:dyDescent="0.25">
      <c r="A1449" t="str">
        <f>"20190312151253212"</f>
        <v>20190312151253212</v>
      </c>
      <c r="B1449" t="str">
        <f>"1552374773201824"</f>
        <v>1552374773201824</v>
      </c>
      <c r="C1449" t="s">
        <v>40</v>
      </c>
      <c r="D1449">
        <v>4.7516230000000004</v>
      </c>
      <c r="E1449">
        <v>0.58909590000000001</v>
      </c>
      <c r="F1449" t="s">
        <v>53</v>
      </c>
      <c r="G1449">
        <v>-196.20859999999999</v>
      </c>
      <c r="H1449" s="1">
        <v>8.3180940000000003E-7</v>
      </c>
      <c r="I1449">
        <v>295.69490000000002</v>
      </c>
      <c r="J1449">
        <v>-191.45769999999999</v>
      </c>
      <c r="K1449">
        <v>1.106293</v>
      </c>
      <c r="L1449">
        <v>302.90440000000001</v>
      </c>
      <c r="M1449">
        <v>-0.131711299999999</v>
      </c>
      <c r="N1449">
        <v>0</v>
      </c>
      <c r="O1449">
        <v>-0.99121800000000004</v>
      </c>
      <c r="P1449">
        <v>-0.33398119999999998</v>
      </c>
      <c r="Q1449">
        <v>7.2009299999999998E-2</v>
      </c>
      <c r="R1449">
        <v>-0.93982520000000003</v>
      </c>
      <c r="S1449">
        <v>-1.6794279999999999</v>
      </c>
      <c r="T1449">
        <v>-0.38742599999999999</v>
      </c>
      <c r="U1449">
        <v>-2.6311650000000002</v>
      </c>
      <c r="V1449">
        <v>0.20803060000000001</v>
      </c>
      <c r="W1449">
        <v>8.1612149999999994E-2</v>
      </c>
      <c r="X1449">
        <v>0.97471160000000001</v>
      </c>
      <c r="Y1449">
        <v>0.41804940000000002</v>
      </c>
      <c r="Z1449">
        <v>0.12567819999999999</v>
      </c>
      <c r="AA1449">
        <v>0.89968869999999901</v>
      </c>
      <c r="AB1449">
        <v>28</v>
      </c>
      <c r="AC1449">
        <v>-4.7508999999999997</v>
      </c>
      <c r="AD1449">
        <v>-1.1062921681905999</v>
      </c>
      <c r="AE1449">
        <v>-7.2094999999999896</v>
      </c>
      <c r="AF1449">
        <v>3.6991361690901599</v>
      </c>
      <c r="AG1449">
        <v>-1.1062921681905999</v>
      </c>
      <c r="AH1449">
        <v>7.6469310085164199</v>
      </c>
      <c r="AI1449">
        <v>97.420091348390201</v>
      </c>
      <c r="AJ1449">
        <v>64.185029367989202</v>
      </c>
      <c r="AK1449">
        <v>8.56639040715989</v>
      </c>
      <c r="AL1449">
        <v>85.318761754882303</v>
      </c>
      <c r="AM1449">
        <v>77.952245348727203</v>
      </c>
      <c r="AN1449">
        <v>0.99999998836927095</v>
      </c>
    </row>
    <row r="1450" spans="1:40" x14ac:dyDescent="0.25">
      <c r="A1450" t="str">
        <f>"20190312151253235"</f>
        <v>20190312151253235</v>
      </c>
      <c r="B1450" t="str">
        <f>"1552374773231104"</f>
        <v>1552374773231104</v>
      </c>
      <c r="C1450" t="s">
        <v>40</v>
      </c>
      <c r="D1450">
        <v>4.9527979999999996</v>
      </c>
      <c r="E1450">
        <v>0.60468880000000003</v>
      </c>
      <c r="F1450" t="s">
        <v>53</v>
      </c>
      <c r="G1450">
        <v>-196.34809999999999</v>
      </c>
      <c r="H1450" s="1">
        <v>9.3871819999999996E-7</v>
      </c>
      <c r="I1450">
        <v>295.35750000000002</v>
      </c>
      <c r="J1450">
        <v>-191.5018</v>
      </c>
      <c r="K1450">
        <v>1.1062160000000001</v>
      </c>
      <c r="L1450">
        <v>302.6173</v>
      </c>
      <c r="M1450">
        <v>-0.1370586</v>
      </c>
      <c r="N1450">
        <v>0</v>
      </c>
      <c r="O1450">
        <v>-0.99049259999999995</v>
      </c>
      <c r="P1450">
        <v>-0.34138800000000002</v>
      </c>
      <c r="Q1450">
        <v>7.1350479999999994E-2</v>
      </c>
      <c r="R1450">
        <v>-0.93721049999999995</v>
      </c>
      <c r="S1450">
        <v>-1.6968080000000001</v>
      </c>
      <c r="T1450">
        <v>-0.38384020000000002</v>
      </c>
      <c r="U1450">
        <v>-2.6185</v>
      </c>
      <c r="V1450">
        <v>0.21046709999999999</v>
      </c>
      <c r="W1450">
        <v>8.0907320000000005E-2</v>
      </c>
      <c r="X1450">
        <v>0.97424719999999998</v>
      </c>
      <c r="Y1450">
        <v>0.4194157</v>
      </c>
      <c r="Z1450">
        <v>0.12465030000000001</v>
      </c>
      <c r="AA1450">
        <v>0.89919559999999998</v>
      </c>
      <c r="AB1450">
        <v>28</v>
      </c>
      <c r="AC1450">
        <v>-4.8462999999999798</v>
      </c>
      <c r="AD1450">
        <v>-1.1062150612818</v>
      </c>
      <c r="AE1450">
        <v>-7.2597999999999798</v>
      </c>
      <c r="AF1450">
        <v>3.7453177234011998</v>
      </c>
      <c r="AG1450">
        <v>-1.1062150612818</v>
      </c>
      <c r="AH1450">
        <v>7.73137864901061</v>
      </c>
      <c r="AI1450">
        <v>97.337463675579201</v>
      </c>
      <c r="AJ1450">
        <v>64.153024279310898</v>
      </c>
      <c r="AK1450">
        <v>8.6617164826266908</v>
      </c>
      <c r="AL1450">
        <v>85.359279591589001</v>
      </c>
      <c r="AM1450">
        <v>77.809697732497796</v>
      </c>
      <c r="AN1450">
        <v>1.0000000006599099</v>
      </c>
    </row>
    <row r="1451" spans="1:40" x14ac:dyDescent="0.25">
      <c r="A1451" t="str">
        <f>"20190312151253276"</f>
        <v>20190312151253276</v>
      </c>
      <c r="B1451" t="str">
        <f>"1552374773271121"</f>
        <v>1552374773271121</v>
      </c>
      <c r="C1451" t="s">
        <v>40</v>
      </c>
      <c r="D1451">
        <v>4.9993699999999999</v>
      </c>
      <c r="E1451">
        <v>0.60891079999999997</v>
      </c>
      <c r="F1451" t="s">
        <v>53</v>
      </c>
      <c r="G1451">
        <v>-199.51060000000001</v>
      </c>
      <c r="H1451" s="1">
        <v>1.481771E-6</v>
      </c>
      <c r="I1451">
        <v>291.42790000000002</v>
      </c>
      <c r="J1451">
        <v>-191.58359999999999</v>
      </c>
      <c r="K1451">
        <v>1.1060779999999999</v>
      </c>
      <c r="L1451">
        <v>302.11149999999998</v>
      </c>
      <c r="M1451">
        <v>-0.14674719999999999</v>
      </c>
      <c r="N1451">
        <v>0</v>
      </c>
      <c r="O1451">
        <v>-0.98910310000000001</v>
      </c>
      <c r="P1451">
        <v>-0.35424509999999998</v>
      </c>
      <c r="Q1451">
        <v>7.0517350000000006E-2</v>
      </c>
      <c r="R1451">
        <v>-0.93249020000000005</v>
      </c>
      <c r="S1451">
        <v>-1.828201</v>
      </c>
      <c r="T1451">
        <v>-0.25252029999999998</v>
      </c>
      <c r="U1451">
        <v>-2.5542600000000002</v>
      </c>
      <c r="V1451">
        <v>0.2143408</v>
      </c>
      <c r="W1451">
        <v>7.9994780000000001E-2</v>
      </c>
      <c r="X1451">
        <v>0.9734777</v>
      </c>
      <c r="Y1451">
        <v>0.45442159999999898</v>
      </c>
      <c r="Z1451">
        <v>8.2101170000000001E-2</v>
      </c>
      <c r="AA1451">
        <v>0.88699519999999998</v>
      </c>
      <c r="AB1451">
        <v>28</v>
      </c>
      <c r="AC1451">
        <v>-7.92700000000002</v>
      </c>
      <c r="AD1451">
        <v>-1.106076518229</v>
      </c>
      <c r="AE1451">
        <v>-10.683599999999901</v>
      </c>
      <c r="AF1451">
        <v>6.2302038322118403</v>
      </c>
      <c r="AG1451">
        <v>-1.106076518229</v>
      </c>
      <c r="AH1451">
        <v>11.650730761874</v>
      </c>
      <c r="AI1451">
        <v>94.785531206908303</v>
      </c>
      <c r="AJ1451">
        <v>61.864449840613702</v>
      </c>
      <c r="AK1451">
        <v>13.258143623477601</v>
      </c>
      <c r="AL1451">
        <v>85.4117342540995</v>
      </c>
      <c r="AM1451">
        <v>77.5827177749415</v>
      </c>
      <c r="AN1451">
        <v>0.99999998788458899</v>
      </c>
    </row>
    <row r="1452" spans="1:40" x14ac:dyDescent="0.25">
      <c r="A1452" t="str">
        <f>"20190312151253298"</f>
        <v>20190312151253298</v>
      </c>
      <c r="B1452" t="str">
        <f>"1552374773291617"</f>
        <v>1552374773291617</v>
      </c>
      <c r="C1452" t="s">
        <v>40</v>
      </c>
      <c r="D1452">
        <v>5.0773929999999998</v>
      </c>
      <c r="E1452">
        <v>0.60869259999999903</v>
      </c>
      <c r="F1452" t="s">
        <v>53</v>
      </c>
      <c r="G1452">
        <v>-195.6002</v>
      </c>
      <c r="H1452" s="1">
        <v>5.039055E-7</v>
      </c>
      <c r="I1452">
        <v>296.77519999999998</v>
      </c>
      <c r="J1452">
        <v>-191.6292</v>
      </c>
      <c r="K1452">
        <v>1.1060049999999999</v>
      </c>
      <c r="L1452">
        <v>301.84350000000001</v>
      </c>
      <c r="M1452">
        <v>-0.15201899999999999</v>
      </c>
      <c r="N1452">
        <v>0</v>
      </c>
      <c r="O1452">
        <v>-0.98830629999999997</v>
      </c>
      <c r="P1452">
        <v>-0.361122</v>
      </c>
      <c r="Q1452">
        <v>7.0049749999999994E-2</v>
      </c>
      <c r="R1452">
        <v>-0.92988369999999998</v>
      </c>
      <c r="S1452">
        <v>-1.9063110000000001</v>
      </c>
      <c r="T1452">
        <v>-0.52494629999999998</v>
      </c>
      <c r="U1452">
        <v>-2.532654</v>
      </c>
      <c r="V1452">
        <v>0.21634490000000001</v>
      </c>
      <c r="W1452">
        <v>7.948334E-2</v>
      </c>
      <c r="X1452">
        <v>0.97307619999999895</v>
      </c>
      <c r="Y1452">
        <v>0.46441919999999998</v>
      </c>
      <c r="Z1452">
        <v>0.1676781</v>
      </c>
      <c r="AA1452">
        <v>0.86959699999999995</v>
      </c>
      <c r="AB1452">
        <v>28</v>
      </c>
      <c r="AC1452">
        <v>-3.9710000000000001</v>
      </c>
      <c r="AD1452">
        <v>-1.1060044960944999</v>
      </c>
      <c r="AE1452">
        <v>-5.0683000000000202</v>
      </c>
      <c r="AF1452">
        <v>3.0639028625907101</v>
      </c>
      <c r="AG1452">
        <v>-1.1060044960944999</v>
      </c>
      <c r="AH1452">
        <v>5.4522185299292696</v>
      </c>
      <c r="AI1452">
        <v>100.02871378603299</v>
      </c>
      <c r="AJ1452">
        <v>60.665961603865597</v>
      </c>
      <c r="AK1452">
        <v>6.3511757647601703</v>
      </c>
      <c r="AL1452">
        <v>85.441131288750896</v>
      </c>
      <c r="AM1452">
        <v>77.465259084683595</v>
      </c>
      <c r="AN1452">
        <v>1.0000000040499999</v>
      </c>
    </row>
    <row r="1453" spans="1:40" x14ac:dyDescent="0.25">
      <c r="A1453" t="str">
        <f>"20190312151253320"</f>
        <v>20190312151253320</v>
      </c>
      <c r="B1453" t="str">
        <f>"1552374773311137"</f>
        <v>1552374773311137</v>
      </c>
      <c r="C1453" t="s">
        <v>40</v>
      </c>
      <c r="D1453">
        <v>4.950812</v>
      </c>
      <c r="E1453">
        <v>0.60844390000000004</v>
      </c>
      <c r="F1453" t="s">
        <v>53</v>
      </c>
      <c r="G1453">
        <v>-195.67339999999999</v>
      </c>
      <c r="H1453" s="1">
        <v>5.7819659999999998E-7</v>
      </c>
      <c r="I1453">
        <v>296.54660000000001</v>
      </c>
      <c r="J1453">
        <v>-191.67750000000001</v>
      </c>
      <c r="K1453">
        <v>1.1059270000000001</v>
      </c>
      <c r="L1453">
        <v>301.56880000000001</v>
      </c>
      <c r="M1453">
        <v>-0.15751989999999999</v>
      </c>
      <c r="N1453">
        <v>0</v>
      </c>
      <c r="O1453">
        <v>-0.98744430000000005</v>
      </c>
      <c r="P1453">
        <v>-0.3687397</v>
      </c>
      <c r="Q1453">
        <v>6.9063600000000003E-2</v>
      </c>
      <c r="R1453">
        <v>-0.9269638</v>
      </c>
      <c r="S1453">
        <v>-1.9232640000000001</v>
      </c>
      <c r="T1453">
        <v>-0.52595970000000003</v>
      </c>
      <c r="U1453">
        <v>-2.5189210000000002</v>
      </c>
      <c r="V1453">
        <v>0.2189055</v>
      </c>
      <c r="W1453">
        <v>7.8443750000000007E-2</v>
      </c>
      <c r="X1453">
        <v>0.9725878</v>
      </c>
      <c r="Y1453">
        <v>0.46544590000000002</v>
      </c>
      <c r="Z1453">
        <v>0.16813059999999999</v>
      </c>
      <c r="AA1453">
        <v>0.86896039999999997</v>
      </c>
      <c r="AB1453">
        <v>28</v>
      </c>
      <c r="AC1453">
        <v>-3.99589999999997</v>
      </c>
      <c r="AD1453">
        <v>-1.1059264218034</v>
      </c>
      <c r="AE1453">
        <v>-5.02219999999999</v>
      </c>
      <c r="AF1453">
        <v>3.0638773011273801</v>
      </c>
      <c r="AG1453">
        <v>-1.1059264218034</v>
      </c>
      <c r="AH1453">
        <v>5.4277999771277896</v>
      </c>
      <c r="AI1453">
        <v>100.06157283501599</v>
      </c>
      <c r="AJ1453">
        <v>60.556198956372</v>
      </c>
      <c r="AK1453">
        <v>6.3301998355908902</v>
      </c>
      <c r="AL1453">
        <v>85.500882118238295</v>
      </c>
      <c r="AM1453">
        <v>77.3155095804333</v>
      </c>
      <c r="AN1453">
        <v>1.00000003427657</v>
      </c>
    </row>
    <row r="1454" spans="1:40" x14ac:dyDescent="0.25">
      <c r="A1454" t="str">
        <f>"20190312151253345"</f>
        <v>20190312151253345</v>
      </c>
      <c r="B1454" t="str">
        <f>"1552374773341392"</f>
        <v>1552374773341392</v>
      </c>
      <c r="C1454" t="s">
        <v>40</v>
      </c>
      <c r="D1454">
        <v>5.0322639999999996</v>
      </c>
      <c r="E1454">
        <v>0.60870939999999996</v>
      </c>
      <c r="F1454" t="s">
        <v>53</v>
      </c>
      <c r="G1454">
        <v>-195.77670000000001</v>
      </c>
      <c r="H1454" s="1">
        <v>6.6141769999999997E-7</v>
      </c>
      <c r="I1454">
        <v>296.28530000000001</v>
      </c>
      <c r="J1454">
        <v>-191.73009999999999</v>
      </c>
      <c r="K1454">
        <v>1.1058410000000001</v>
      </c>
      <c r="L1454">
        <v>301.27949999999998</v>
      </c>
      <c r="M1454">
        <v>-0.16343460000000001</v>
      </c>
      <c r="N1454">
        <v>0</v>
      </c>
      <c r="O1454">
        <v>-0.98648239999999998</v>
      </c>
      <c r="P1454">
        <v>-0.37732480000000002</v>
      </c>
      <c r="Q1454">
        <v>6.8598729999999997E-2</v>
      </c>
      <c r="R1454">
        <v>-0.92353680000000005</v>
      </c>
      <c r="S1454">
        <v>-1.941956</v>
      </c>
      <c r="T1454">
        <v>-0.5239104</v>
      </c>
      <c r="U1454">
        <v>-2.5029599999999999</v>
      </c>
      <c r="V1454">
        <v>0.22210940000000001</v>
      </c>
      <c r="W1454">
        <v>7.7909419999999993E-2</v>
      </c>
      <c r="X1454">
        <v>0.97190410000000005</v>
      </c>
      <c r="Y1454">
        <v>0.46694629999999998</v>
      </c>
      <c r="Z1454">
        <v>0.16766689999999901</v>
      </c>
      <c r="AA1454">
        <v>0.86824480000000004</v>
      </c>
      <c r="AB1454">
        <v>28</v>
      </c>
      <c r="AC1454">
        <v>-4.0466000000000104</v>
      </c>
      <c r="AD1454">
        <v>-1.1058403385822999</v>
      </c>
      <c r="AE1454">
        <v>-4.99419999999997</v>
      </c>
      <c r="AF1454">
        <v>3.0846027337799899</v>
      </c>
      <c r="AG1454">
        <v>-1.1058403385822999</v>
      </c>
      <c r="AH1454">
        <v>5.4277911318962797</v>
      </c>
      <c r="AI1454">
        <v>100.044693062346</v>
      </c>
      <c r="AJ1454">
        <v>60.390518205216601</v>
      </c>
      <c r="AK1454">
        <v>6.3402344949670999</v>
      </c>
      <c r="AL1454">
        <v>85.531590897518797</v>
      </c>
      <c r="AM1454">
        <v>77.127245545957393</v>
      </c>
      <c r="AN1454">
        <v>1.00000002144495</v>
      </c>
    </row>
    <row r="1455" spans="1:40" x14ac:dyDescent="0.25">
      <c r="A1455" t="str">
        <f>"20190312151253367"</f>
        <v>20190312151253367</v>
      </c>
      <c r="B1455" t="str">
        <f>"1552374773360913"</f>
        <v>1552374773360913</v>
      </c>
      <c r="C1455" t="s">
        <v>40</v>
      </c>
      <c r="D1455">
        <v>5.3129350000000004</v>
      </c>
      <c r="E1455">
        <v>0.60839600000000005</v>
      </c>
      <c r="F1455" t="s">
        <v>53</v>
      </c>
      <c r="G1455">
        <v>-195.8459</v>
      </c>
      <c r="H1455" s="1">
        <v>7.2732789999999999E-7</v>
      </c>
      <c r="I1455">
        <v>296.08150000000001</v>
      </c>
      <c r="J1455">
        <v>-191.7809</v>
      </c>
      <c r="K1455">
        <v>1.10575</v>
      </c>
      <c r="L1455">
        <v>301.01029999999997</v>
      </c>
      <c r="M1455">
        <v>-0.16906550000000001</v>
      </c>
      <c r="N1455">
        <v>0</v>
      </c>
      <c r="O1455">
        <v>-0.98553290000000005</v>
      </c>
      <c r="P1455">
        <v>-0.3850981</v>
      </c>
      <c r="Q1455">
        <v>6.8551310000000004E-2</v>
      </c>
      <c r="R1455">
        <v>-0.92032630000000004</v>
      </c>
      <c r="S1455">
        <v>-1.9668730000000001</v>
      </c>
      <c r="T1455">
        <v>-0.52846150000000003</v>
      </c>
      <c r="U1455">
        <v>-2.4840390000000001</v>
      </c>
      <c r="V1455">
        <v>0.2247712</v>
      </c>
      <c r="W1455">
        <v>7.7795799999999998E-2</v>
      </c>
      <c r="X1455">
        <v>0.97130110000000003</v>
      </c>
      <c r="Y1455">
        <v>0.47032849999999998</v>
      </c>
      <c r="Z1455">
        <v>0.16919600000000001</v>
      </c>
      <c r="AA1455">
        <v>0.86612</v>
      </c>
      <c r="AB1455">
        <v>28</v>
      </c>
      <c r="AC1455">
        <v>-4.0649999999999897</v>
      </c>
      <c r="AD1455">
        <v>-1.1057492726721001</v>
      </c>
      <c r="AE1455">
        <v>-4.9287999999999599</v>
      </c>
      <c r="AF1455">
        <v>3.0808396154939799</v>
      </c>
      <c r="AG1455">
        <v>-1.1057492726721001</v>
      </c>
      <c r="AH1455">
        <v>5.38386526294983</v>
      </c>
      <c r="AI1455">
        <v>100.10735344994001</v>
      </c>
      <c r="AJ1455">
        <v>60.2202715035355</v>
      </c>
      <c r="AK1455">
        <v>6.3008141823108703</v>
      </c>
      <c r="AL1455">
        <v>85.538120802901204</v>
      </c>
      <c r="AM1455">
        <v>76.970395953102596</v>
      </c>
      <c r="AN1455">
        <v>1.00000005285414</v>
      </c>
    </row>
    <row r="1456" spans="1:40" x14ac:dyDescent="0.25">
      <c r="A1456" t="str">
        <f>"20190312151253389"</f>
        <v>20190312151253389</v>
      </c>
      <c r="B1456" t="str">
        <f>"1552374773381409"</f>
        <v>1552374773381409</v>
      </c>
      <c r="C1456" t="s">
        <v>40</v>
      </c>
      <c r="D1456">
        <v>5.0048560000000002</v>
      </c>
      <c r="E1456">
        <v>0.60820169999999996</v>
      </c>
      <c r="F1456" t="s">
        <v>53</v>
      </c>
      <c r="G1456">
        <v>-195.9418</v>
      </c>
      <c r="H1456" s="1">
        <v>8.0514559999999995E-7</v>
      </c>
      <c r="I1456">
        <v>295.83730000000003</v>
      </c>
      <c r="J1456">
        <v>-191.833</v>
      </c>
      <c r="K1456">
        <v>1.105656</v>
      </c>
      <c r="L1456">
        <v>300.74360000000001</v>
      </c>
      <c r="M1456">
        <v>-0.17475959999999999</v>
      </c>
      <c r="N1456">
        <v>0</v>
      </c>
      <c r="O1456">
        <v>-0.98453889999999999</v>
      </c>
      <c r="P1456">
        <v>-0.3932213</v>
      </c>
      <c r="Q1456">
        <v>6.8663009999999997E-2</v>
      </c>
      <c r="R1456">
        <v>-0.91687640000000004</v>
      </c>
      <c r="S1456">
        <v>-1.9853209999999999</v>
      </c>
      <c r="T1456">
        <v>-0.52759519999999904</v>
      </c>
      <c r="U1456">
        <v>-2.4682620000000002</v>
      </c>
      <c r="V1456">
        <v>0.2277672</v>
      </c>
      <c r="W1456">
        <v>7.7834790000000001E-2</v>
      </c>
      <c r="X1456">
        <v>0.97059980000000001</v>
      </c>
      <c r="Y1456">
        <v>0.47189720000000002</v>
      </c>
      <c r="Z1456">
        <v>0.16907130000000001</v>
      </c>
      <c r="AA1456">
        <v>0.86529069999999997</v>
      </c>
      <c r="AB1456">
        <v>28</v>
      </c>
      <c r="AC1456">
        <v>-4.1087999999999996</v>
      </c>
      <c r="AD1456">
        <v>-1.10565519485439</v>
      </c>
      <c r="AE1456">
        <v>-4.9062999999999803</v>
      </c>
      <c r="AF1456">
        <v>3.0956716492543102</v>
      </c>
      <c r="AG1456">
        <v>-1.10565519485439</v>
      </c>
      <c r="AH1456">
        <v>5.3880571128225299</v>
      </c>
      <c r="AI1456">
        <v>100.088966024697</v>
      </c>
      <c r="AJ1456">
        <v>60.1207709411864</v>
      </c>
      <c r="AK1456">
        <v>6.3116412937478401</v>
      </c>
      <c r="AL1456">
        <v>85.535880086355903</v>
      </c>
      <c r="AM1456">
        <v>76.793561516899501</v>
      </c>
      <c r="AN1456">
        <v>1.0000000618451099</v>
      </c>
    </row>
    <row r="1457" spans="1:40" x14ac:dyDescent="0.25">
      <c r="A1457" t="str">
        <f>"20190312151253411"</f>
        <v>20190312151253411</v>
      </c>
      <c r="B1457" t="str">
        <f>"1552374773400929"</f>
        <v>1552374773400929</v>
      </c>
      <c r="C1457" t="s">
        <v>40</v>
      </c>
      <c r="D1457">
        <v>5.0360870000000002</v>
      </c>
      <c r="E1457">
        <v>0.60802100000000003</v>
      </c>
      <c r="F1457" t="s">
        <v>53</v>
      </c>
      <c r="G1457">
        <v>-196.0265</v>
      </c>
      <c r="H1457" s="1">
        <v>8.7560260000000004E-7</v>
      </c>
      <c r="I1457">
        <v>295.61669999999998</v>
      </c>
      <c r="J1457">
        <v>-191.8879</v>
      </c>
      <c r="K1457">
        <v>1.105564</v>
      </c>
      <c r="L1457">
        <v>300.47179999999997</v>
      </c>
      <c r="M1457">
        <v>-0.1806604</v>
      </c>
      <c r="N1457">
        <v>0</v>
      </c>
      <c r="O1457">
        <v>-0.98347309999999999</v>
      </c>
      <c r="P1457">
        <v>-0.40086110000000003</v>
      </c>
      <c r="Q1457">
        <v>6.828004E-2</v>
      </c>
      <c r="R1457">
        <v>-0.91359089999999998</v>
      </c>
      <c r="S1457">
        <v>-2.0052189999999999</v>
      </c>
      <c r="T1457">
        <v>-0.52869690000000003</v>
      </c>
      <c r="U1457">
        <v>-2.4515380000000002</v>
      </c>
      <c r="V1457">
        <v>0.23005690000000001</v>
      </c>
      <c r="W1457">
        <v>7.7389810000000003E-2</v>
      </c>
      <c r="X1457">
        <v>0.97009520000000005</v>
      </c>
      <c r="Y1457">
        <v>0.47368300000000002</v>
      </c>
      <c r="Z1457">
        <v>0.16954459999999999</v>
      </c>
      <c r="AA1457">
        <v>0.86422160000000003</v>
      </c>
      <c r="AB1457">
        <v>28</v>
      </c>
      <c r="AC1457">
        <v>-4.1385999999999896</v>
      </c>
      <c r="AD1457">
        <v>-1.10556312439739</v>
      </c>
      <c r="AE1457">
        <v>-4.8550999999999904</v>
      </c>
      <c r="AF1457">
        <v>3.1002021881547002</v>
      </c>
      <c r="AG1457">
        <v>-1.10556312439739</v>
      </c>
      <c r="AH1457">
        <v>5.3619102772143901</v>
      </c>
      <c r="AI1457">
        <v>100.120670498428</v>
      </c>
      <c r="AJ1457">
        <v>59.963934073672597</v>
      </c>
      <c r="AK1457">
        <v>6.2915503057961697</v>
      </c>
      <c r="AL1457">
        <v>85.561452549447296</v>
      </c>
      <c r="AM1457">
        <v>76.658831620688204</v>
      </c>
      <c r="AN1457">
        <v>1.00000002849624</v>
      </c>
    </row>
    <row r="1458" spans="1:40" x14ac:dyDescent="0.25">
      <c r="A1458" t="str">
        <f>"20190312151253438"</f>
        <v>20190312151253438</v>
      </c>
      <c r="B1458" t="str">
        <f>"1552374773431185"</f>
        <v>1552374773431185</v>
      </c>
      <c r="C1458" t="s">
        <v>40</v>
      </c>
      <c r="D1458">
        <v>5.003781</v>
      </c>
      <c r="E1458">
        <v>0.60775319999999899</v>
      </c>
      <c r="F1458" t="s">
        <v>53</v>
      </c>
      <c r="G1458">
        <v>-196.0814</v>
      </c>
      <c r="H1458" s="1">
        <v>9.3791719999999998E-7</v>
      </c>
      <c r="I1458">
        <v>295.42669999999998</v>
      </c>
      <c r="J1458">
        <v>-191.9538</v>
      </c>
      <c r="K1458">
        <v>1.1054740000000001</v>
      </c>
      <c r="L1458">
        <v>300.15660000000003</v>
      </c>
      <c r="M1458">
        <v>-0.18763340000000001</v>
      </c>
      <c r="N1458">
        <v>0</v>
      </c>
      <c r="O1458">
        <v>-0.98216630000000005</v>
      </c>
      <c r="P1458">
        <v>-0.40970469999999998</v>
      </c>
      <c r="Q1458">
        <v>6.7967589999999994E-2</v>
      </c>
      <c r="R1458">
        <v>-0.90968300000000002</v>
      </c>
      <c r="S1458">
        <v>-2.0243380000000002</v>
      </c>
      <c r="T1458">
        <v>-0.53369009999999995</v>
      </c>
      <c r="U1458">
        <v>-2.4354550000000001</v>
      </c>
      <c r="V1458">
        <v>0.23259540000000001</v>
      </c>
      <c r="W1458">
        <v>7.7009010000000003E-2</v>
      </c>
      <c r="X1458">
        <v>0.96952000000000005</v>
      </c>
      <c r="Y1458">
        <v>0.47409750000000001</v>
      </c>
      <c r="Z1458">
        <v>0.17120569999999999</v>
      </c>
      <c r="AA1458">
        <v>0.86366669999999901</v>
      </c>
      <c r="AB1458">
        <v>28</v>
      </c>
      <c r="AC1458">
        <v>-4.1276000000000002</v>
      </c>
      <c r="AD1458">
        <v>-1.1054730620827999</v>
      </c>
      <c r="AE1458">
        <v>-4.7299000000000397</v>
      </c>
      <c r="AF1458">
        <v>3.07148253549687</v>
      </c>
      <c r="AG1458">
        <v>-1.1054730620827999</v>
      </c>
      <c r="AH1458">
        <v>5.2573808453424897</v>
      </c>
      <c r="AI1458">
        <v>100.290362418149</v>
      </c>
      <c r="AJ1458">
        <v>59.705547267341899</v>
      </c>
      <c r="AK1458">
        <v>6.1883866241393797</v>
      </c>
      <c r="AL1458">
        <v>85.583336047692598</v>
      </c>
      <c r="AM1458">
        <v>76.509262357927</v>
      </c>
      <c r="AN1458">
        <v>1.00000001906117</v>
      </c>
    </row>
    <row r="1459" spans="1:40" x14ac:dyDescent="0.25">
      <c r="A1459" t="str">
        <f>"20190312151253479"</f>
        <v>20190312151253479</v>
      </c>
      <c r="B1459" t="str">
        <f>"1552374773471201"</f>
        <v>1552374773471201</v>
      </c>
      <c r="C1459" t="s">
        <v>40</v>
      </c>
      <c r="D1459">
        <v>5.0122410000000004</v>
      </c>
      <c r="E1459">
        <v>0.60746029999999995</v>
      </c>
      <c r="F1459" t="s">
        <v>53</v>
      </c>
      <c r="G1459">
        <v>-196.1788</v>
      </c>
      <c r="H1459" s="1">
        <v>1.021826E-6</v>
      </c>
      <c r="I1459">
        <v>295.16489999999999</v>
      </c>
      <c r="J1459">
        <v>-192.0641</v>
      </c>
      <c r="K1459">
        <v>1.1053280000000001</v>
      </c>
      <c r="L1459">
        <v>299.65309999999999</v>
      </c>
      <c r="M1459">
        <v>-0.19908729999999999</v>
      </c>
      <c r="N1459">
        <v>0</v>
      </c>
      <c r="O1459">
        <v>-0.97990829999999995</v>
      </c>
      <c r="P1459">
        <v>-0.42437989999999998</v>
      </c>
      <c r="Q1459">
        <v>6.7275050000000003E-2</v>
      </c>
      <c r="R1459">
        <v>-0.90298179999999995</v>
      </c>
      <c r="S1459">
        <v>-2.0454249999999998</v>
      </c>
      <c r="T1459">
        <v>-0.53518219999999905</v>
      </c>
      <c r="U1459">
        <v>-2.416595</v>
      </c>
      <c r="V1459">
        <v>0.23698569999999999</v>
      </c>
      <c r="W1459">
        <v>7.6196479999999997E-2</v>
      </c>
      <c r="X1459">
        <v>0.96852050000000001</v>
      </c>
      <c r="Y1459">
        <v>0.4715104</v>
      </c>
      <c r="Z1459">
        <v>0.1717822</v>
      </c>
      <c r="AA1459">
        <v>0.864967499999999</v>
      </c>
      <c r="AB1459">
        <v>28</v>
      </c>
      <c r="AC1459">
        <v>-4.1146999999999903</v>
      </c>
      <c r="AD1459">
        <v>-1.1053269781739901</v>
      </c>
      <c r="AE1459">
        <v>-4.4882</v>
      </c>
      <c r="AF1459">
        <v>3.03857865583395</v>
      </c>
      <c r="AG1459">
        <v>-1.1053269781739901</v>
      </c>
      <c r="AH1459">
        <v>5.05113117650696</v>
      </c>
      <c r="AI1459">
        <v>100.62040925509601</v>
      </c>
      <c r="AJ1459">
        <v>58.970398943495198</v>
      </c>
      <c r="AK1459">
        <v>5.9973856086339401</v>
      </c>
      <c r="AL1459">
        <v>85.630027884002104</v>
      </c>
      <c r="AM1459">
        <v>76.250544685846293</v>
      </c>
      <c r="AN1459">
        <v>1.0000000422445601</v>
      </c>
    </row>
    <row r="1460" spans="1:40" x14ac:dyDescent="0.25">
      <c r="A1460" t="str">
        <f>"20190312151253499"</f>
        <v>20190312151253499</v>
      </c>
      <c r="B1460" t="str">
        <f>"1552374773491696"</f>
        <v>1552374773491696</v>
      </c>
      <c r="C1460" t="s">
        <v>40</v>
      </c>
      <c r="D1460">
        <v>5.0242310000000003</v>
      </c>
      <c r="E1460">
        <v>0.60738040000000004</v>
      </c>
      <c r="F1460" t="s">
        <v>53</v>
      </c>
      <c r="G1460">
        <v>-196.3185</v>
      </c>
      <c r="H1460" s="1">
        <v>1.1447809999999999E-6</v>
      </c>
      <c r="I1460">
        <v>294.78199999999998</v>
      </c>
      <c r="J1460">
        <v>-192.12299999999999</v>
      </c>
      <c r="K1460">
        <v>1.1052439999999999</v>
      </c>
      <c r="L1460">
        <v>299.39620000000002</v>
      </c>
      <c r="M1460">
        <v>-0.20508419999999999</v>
      </c>
      <c r="N1460">
        <v>0</v>
      </c>
      <c r="O1460">
        <v>-0.9786707</v>
      </c>
      <c r="P1460">
        <v>-0.43174210000000002</v>
      </c>
      <c r="Q1460">
        <v>6.6928000000000001E-2</v>
      </c>
      <c r="R1460">
        <v>-0.89951109999999901</v>
      </c>
      <c r="S1460">
        <v>-2.0821990000000001</v>
      </c>
      <c r="T1460">
        <v>-0.5409851</v>
      </c>
      <c r="U1460">
        <v>-2.384064</v>
      </c>
      <c r="V1460">
        <v>0.23897399999999999</v>
      </c>
      <c r="W1460">
        <v>7.5787590000000002E-2</v>
      </c>
      <c r="X1460">
        <v>0.96806389999999998</v>
      </c>
      <c r="Y1460">
        <v>0.47929569999999999</v>
      </c>
      <c r="Z1460">
        <v>0.1738478</v>
      </c>
      <c r="AA1460">
        <v>0.86026309999999995</v>
      </c>
      <c r="AB1460">
        <v>28</v>
      </c>
      <c r="AC1460">
        <v>-4.1955000000000098</v>
      </c>
      <c r="AD1460">
        <v>-1.1052428552189999</v>
      </c>
      <c r="AE1460">
        <v>-4.6142000000000296</v>
      </c>
      <c r="AF1460">
        <v>3.0637153002945499</v>
      </c>
      <c r="AG1460">
        <v>-1.1052428552189999</v>
      </c>
      <c r="AH1460">
        <v>5.2128735204855303</v>
      </c>
      <c r="AI1460">
        <v>100.358731932971</v>
      </c>
      <c r="AJ1460">
        <v>59.5563513430562</v>
      </c>
      <c r="AK1460">
        <v>6.1467034702229499</v>
      </c>
      <c r="AL1460">
        <v>85.653523409883604</v>
      </c>
      <c r="AM1460">
        <v>76.133332874851803</v>
      </c>
      <c r="AN1460">
        <v>1.0000000229785999</v>
      </c>
    </row>
    <row r="1461" spans="1:40" x14ac:dyDescent="0.25">
      <c r="A1461" t="str">
        <f>"20190312151253523"</f>
        <v>20190312151253523</v>
      </c>
      <c r="B1461" t="str">
        <f>"1552374773511217"</f>
        <v>1552374773511217</v>
      </c>
      <c r="C1461" t="s">
        <v>40</v>
      </c>
      <c r="D1461">
        <v>5.0447989999999896</v>
      </c>
      <c r="E1461">
        <v>0.60737129999999995</v>
      </c>
      <c r="F1461" t="s">
        <v>53</v>
      </c>
      <c r="G1461">
        <v>-196.38149999999999</v>
      </c>
      <c r="H1461" s="1">
        <v>1.2011400000000001E-6</v>
      </c>
      <c r="I1461">
        <v>294.59710000000001</v>
      </c>
      <c r="J1461">
        <v>-192.19149999999999</v>
      </c>
      <c r="K1461">
        <v>1.1051420000000001</v>
      </c>
      <c r="L1461">
        <v>299.1062</v>
      </c>
      <c r="M1461">
        <v>-0.2119781</v>
      </c>
      <c r="N1461">
        <v>0</v>
      </c>
      <c r="O1461">
        <v>-0.97720039999999997</v>
      </c>
      <c r="P1461">
        <v>-0.43948520000000002</v>
      </c>
      <c r="Q1461">
        <v>6.6734950000000001E-2</v>
      </c>
      <c r="R1461">
        <v>-0.89576749999999905</v>
      </c>
      <c r="S1461">
        <v>-2.1007539999999998</v>
      </c>
      <c r="T1461">
        <v>-0.54522179999999998</v>
      </c>
      <c r="U1461">
        <v>-2.3674010000000001</v>
      </c>
      <c r="V1461">
        <v>0.2405147</v>
      </c>
      <c r="W1461">
        <v>7.5529399999999997E-2</v>
      </c>
      <c r="X1461">
        <v>0.96770239999999996</v>
      </c>
      <c r="Y1461">
        <v>0.47975129999999999</v>
      </c>
      <c r="Z1461">
        <v>0.17525209999999999</v>
      </c>
      <c r="AA1461">
        <v>0.85972399999999904</v>
      </c>
      <c r="AB1461">
        <v>28</v>
      </c>
      <c r="AC1461">
        <v>-4.1899999999999897</v>
      </c>
      <c r="AD1461">
        <v>-1.1051407988599999</v>
      </c>
      <c r="AE1461">
        <v>-4.5090999999999797</v>
      </c>
      <c r="AF1461">
        <v>3.0408435700409702</v>
      </c>
      <c r="AG1461">
        <v>-1.1051407988599999</v>
      </c>
      <c r="AH1461">
        <v>5.1295138120916999</v>
      </c>
      <c r="AI1461">
        <v>100.49948256249399</v>
      </c>
      <c r="AJ1461">
        <v>59.339977558047799</v>
      </c>
      <c r="AK1461">
        <v>6.0646498457210196</v>
      </c>
      <c r="AL1461">
        <v>85.668358912620306</v>
      </c>
      <c r="AM1461">
        <v>76.042406192029006</v>
      </c>
      <c r="AN1461">
        <v>0.99999997307310395</v>
      </c>
    </row>
    <row r="1462" spans="1:40" x14ac:dyDescent="0.25">
      <c r="A1462" t="str">
        <f>"20190312151253545"</f>
        <v>20190312151253545</v>
      </c>
      <c r="B1462" t="str">
        <f>"1552374773541473"</f>
        <v>1552374773541473</v>
      </c>
      <c r="C1462" t="s">
        <v>40</v>
      </c>
      <c r="D1462">
        <v>5.0537700000000001</v>
      </c>
      <c r="E1462">
        <v>0.6072516</v>
      </c>
      <c r="F1462" t="s">
        <v>53</v>
      </c>
      <c r="G1462">
        <v>-196.47219999999999</v>
      </c>
      <c r="H1462" s="1">
        <v>1.234003E-6</v>
      </c>
      <c r="I1462">
        <v>294.3648</v>
      </c>
      <c r="J1462">
        <v>-192.2567</v>
      </c>
      <c r="K1462">
        <v>1.1050340000000001</v>
      </c>
      <c r="L1462">
        <v>298.83870000000002</v>
      </c>
      <c r="M1462">
        <v>-0.21848590000000001</v>
      </c>
      <c r="N1462">
        <v>0</v>
      </c>
      <c r="O1462">
        <v>-0.97576589999999996</v>
      </c>
      <c r="P1462">
        <v>-0.44633339999999999</v>
      </c>
      <c r="Q1462">
        <v>6.6032919999999995E-2</v>
      </c>
      <c r="R1462">
        <v>-0.89242719999999898</v>
      </c>
      <c r="S1462">
        <v>-2.1210330000000002</v>
      </c>
      <c r="T1462">
        <v>-0.54757299999999998</v>
      </c>
      <c r="U1462">
        <v>-2.349243</v>
      </c>
      <c r="V1462">
        <v>0.24147779999999999</v>
      </c>
      <c r="W1462">
        <v>7.4767200000000006E-2</v>
      </c>
      <c r="X1462">
        <v>0.96752169999999904</v>
      </c>
      <c r="Y1462">
        <v>0.48122949999999998</v>
      </c>
      <c r="Z1462">
        <v>0.17606740000000001</v>
      </c>
      <c r="AA1462">
        <v>0.85873069999999896</v>
      </c>
      <c r="AB1462">
        <v>28</v>
      </c>
      <c r="AC1462">
        <v>-4.2154999999999898</v>
      </c>
      <c r="AD1462">
        <v>-1.1050327659970001</v>
      </c>
      <c r="AE1462">
        <v>-4.4739000000000102</v>
      </c>
      <c r="AF1462">
        <v>3.03791120713205</v>
      </c>
      <c r="AG1462">
        <v>-1.1050327659970001</v>
      </c>
      <c r="AH1462">
        <v>5.1213867612920199</v>
      </c>
      <c r="AI1462">
        <v>100.51310730707399</v>
      </c>
      <c r="AJ1462">
        <v>59.324371632467603</v>
      </c>
      <c r="AK1462">
        <v>6.0562863435510303</v>
      </c>
      <c r="AL1462">
        <v>85.712153498540999</v>
      </c>
      <c r="AM1462">
        <v>75.986199289797995</v>
      </c>
      <c r="AN1462">
        <v>0.99999995102978301</v>
      </c>
    </row>
    <row r="1463" spans="1:40" x14ac:dyDescent="0.25">
      <c r="A1463" t="str">
        <f>"20190312151253567"</f>
        <v>20190312151253567</v>
      </c>
      <c r="B1463" t="str">
        <f>"1552374773560993"</f>
        <v>1552374773560993</v>
      </c>
      <c r="C1463" t="s">
        <v>40</v>
      </c>
      <c r="D1463">
        <v>5.0041140000000004</v>
      </c>
      <c r="E1463">
        <v>0.60706749999999998</v>
      </c>
      <c r="F1463" t="s">
        <v>53</v>
      </c>
      <c r="G1463">
        <v>-196.52860000000001</v>
      </c>
      <c r="H1463" s="1">
        <v>1.2620529999999999E-6</v>
      </c>
      <c r="I1463">
        <v>294.17720000000003</v>
      </c>
      <c r="J1463">
        <v>-192.3235</v>
      </c>
      <c r="K1463">
        <v>1.104922</v>
      </c>
      <c r="L1463">
        <v>298.57369999999997</v>
      </c>
      <c r="M1463">
        <v>-0.22508790000000001</v>
      </c>
      <c r="N1463">
        <v>0</v>
      </c>
      <c r="O1463">
        <v>-0.97426369999999896</v>
      </c>
      <c r="P1463">
        <v>-0.45384190000000002</v>
      </c>
      <c r="Q1463">
        <v>6.5832639999999998E-2</v>
      </c>
      <c r="R1463">
        <v>-0.88864690000000002</v>
      </c>
      <c r="S1463">
        <v>-2.138153</v>
      </c>
      <c r="T1463">
        <v>-0.55308869999999999</v>
      </c>
      <c r="U1463">
        <v>-2.3331599999999999</v>
      </c>
      <c r="V1463">
        <v>0.24310029999999999</v>
      </c>
      <c r="W1463">
        <v>7.4490929999999997E-2</v>
      </c>
      <c r="X1463">
        <v>0.96713669999999996</v>
      </c>
      <c r="Y1463">
        <v>0.48147780000000001</v>
      </c>
      <c r="Z1463">
        <v>0.17785889999999999</v>
      </c>
      <c r="AA1463">
        <v>0.85822219999999905</v>
      </c>
      <c r="AB1463">
        <v>28</v>
      </c>
      <c r="AC1463">
        <v>-4.2051000000000096</v>
      </c>
      <c r="AD1463">
        <v>-1.1049207379470001</v>
      </c>
      <c r="AE1463">
        <v>-4.3964999999999401</v>
      </c>
      <c r="AF1463">
        <v>3.0082752106362198</v>
      </c>
      <c r="AG1463">
        <v>-1.1049207379470001</v>
      </c>
      <c r="AH1463">
        <v>5.0632367270227103</v>
      </c>
      <c r="AI1463">
        <v>100.625683718505</v>
      </c>
      <c r="AJ1463">
        <v>59.283727942353899</v>
      </c>
      <c r="AK1463">
        <v>5.9922396258782404</v>
      </c>
      <c r="AL1463">
        <v>85.728027188170202</v>
      </c>
      <c r="AM1463">
        <v>75.890395793887805</v>
      </c>
      <c r="AN1463">
        <v>1.00000002549962</v>
      </c>
    </row>
    <row r="1464" spans="1:40" x14ac:dyDescent="0.25">
      <c r="A1464" t="str">
        <f>"20190312151253590"</f>
        <v>20190312151253590</v>
      </c>
      <c r="B1464" t="str">
        <f>"1552374773581488"</f>
        <v>1552374773581488</v>
      </c>
      <c r="C1464" t="s">
        <v>40</v>
      </c>
      <c r="D1464">
        <v>5.0961410000000003</v>
      </c>
      <c r="E1464">
        <v>0.60698730000000001</v>
      </c>
      <c r="F1464" t="s">
        <v>53</v>
      </c>
      <c r="G1464">
        <v>-196.61109999999999</v>
      </c>
      <c r="H1464" s="1">
        <v>1.2912640000000001E-6</v>
      </c>
      <c r="I1464">
        <v>293.96980000000002</v>
      </c>
      <c r="J1464">
        <v>-192.39500000000001</v>
      </c>
      <c r="K1464">
        <v>1.104789</v>
      </c>
      <c r="L1464">
        <v>298.29880000000003</v>
      </c>
      <c r="M1464">
        <v>-0.23209479999999999</v>
      </c>
      <c r="N1464">
        <v>0</v>
      </c>
      <c r="O1464">
        <v>-0.97261830000000005</v>
      </c>
      <c r="P1464">
        <v>-0.46117540000000001</v>
      </c>
      <c r="Q1464">
        <v>6.5116830000000001E-2</v>
      </c>
      <c r="R1464">
        <v>-0.88491679999999995</v>
      </c>
      <c r="S1464">
        <v>-2.1566160000000001</v>
      </c>
      <c r="T1464">
        <v>-0.55576190000000003</v>
      </c>
      <c r="U1464">
        <v>-2.3157350000000001</v>
      </c>
      <c r="V1464">
        <v>0.24413879999999999</v>
      </c>
      <c r="W1464">
        <v>7.3705350000000003E-2</v>
      </c>
      <c r="X1464">
        <v>0.96693530000000005</v>
      </c>
      <c r="Y1464">
        <v>0.48197479999999998</v>
      </c>
      <c r="Z1464">
        <v>0.1787562</v>
      </c>
      <c r="AA1464">
        <v>0.85775669999999904</v>
      </c>
      <c r="AB1464">
        <v>28</v>
      </c>
      <c r="AC1464">
        <v>-4.2160999999999804</v>
      </c>
      <c r="AD1464">
        <v>-1.1047877087360001</v>
      </c>
      <c r="AE1464">
        <v>-4.3289999999999997</v>
      </c>
      <c r="AF1464">
        <v>2.9960003754849902</v>
      </c>
      <c r="AG1464">
        <v>-1.1047877087360001</v>
      </c>
      <c r="AH1464">
        <v>5.0215303997774798</v>
      </c>
      <c r="AI1464">
        <v>100.699194612444</v>
      </c>
      <c r="AJ1464">
        <v>59.178390655300902</v>
      </c>
      <c r="AK1464">
        <v>5.9508269750657101</v>
      </c>
      <c r="AL1464">
        <v>85.773161801333799</v>
      </c>
      <c r="AM1464">
        <v>75.829711116418096</v>
      </c>
      <c r="AN1464">
        <v>1.0000000533350699</v>
      </c>
    </row>
    <row r="1465" spans="1:40" x14ac:dyDescent="0.25">
      <c r="A1465" t="str">
        <f>"20190312151253611"</f>
        <v>20190312151253611</v>
      </c>
      <c r="B1465" t="str">
        <f>"1552374773601009"</f>
        <v>1552374773601009</v>
      </c>
      <c r="C1465" t="s">
        <v>40</v>
      </c>
      <c r="D1465">
        <v>4.9991430000000001</v>
      </c>
      <c r="E1465">
        <v>0.60675979999999996</v>
      </c>
      <c r="F1465" t="s">
        <v>53</v>
      </c>
      <c r="G1465">
        <v>-196.6816</v>
      </c>
      <c r="H1465" s="1">
        <v>1.3204619999999999E-6</v>
      </c>
      <c r="I1465">
        <v>293.76850000000002</v>
      </c>
      <c r="J1465">
        <v>-192.46559999999999</v>
      </c>
      <c r="K1465">
        <v>1.104684</v>
      </c>
      <c r="L1465">
        <v>298.03579999999999</v>
      </c>
      <c r="M1465">
        <v>-0.2389231</v>
      </c>
      <c r="N1465">
        <v>0</v>
      </c>
      <c r="O1465">
        <v>-0.97096320000000003</v>
      </c>
      <c r="P1465">
        <v>-0.46808</v>
      </c>
      <c r="Q1465">
        <v>6.4473660000000002E-2</v>
      </c>
      <c r="R1465">
        <v>-0.88133130000000004</v>
      </c>
      <c r="S1465">
        <v>-2.1745000000000001</v>
      </c>
      <c r="T1465">
        <v>-0.56043989999999999</v>
      </c>
      <c r="U1465">
        <v>-2.2981569999999998</v>
      </c>
      <c r="V1465">
        <v>0.24490500000000001</v>
      </c>
      <c r="W1465">
        <v>7.3004390000000002E-2</v>
      </c>
      <c r="X1465">
        <v>0.96679470000000001</v>
      </c>
      <c r="Y1465">
        <v>0.4824523</v>
      </c>
      <c r="Z1465">
        <v>0.18028820000000001</v>
      </c>
      <c r="AA1465">
        <v>0.85716740000000002</v>
      </c>
      <c r="AB1465">
        <v>28</v>
      </c>
      <c r="AC1465">
        <v>-4.2160000000000002</v>
      </c>
      <c r="AD1465">
        <v>-1.104682679538</v>
      </c>
      <c r="AE1465">
        <v>-4.2672999999999703</v>
      </c>
      <c r="AF1465">
        <v>2.97341324989792</v>
      </c>
      <c r="AG1465">
        <v>-1.104682679538</v>
      </c>
      <c r="AH1465">
        <v>4.98211188189675</v>
      </c>
      <c r="AI1465">
        <v>100.78000307974401</v>
      </c>
      <c r="AJ1465">
        <v>59.170493726506997</v>
      </c>
      <c r="AK1465">
        <v>5.9061788815507903</v>
      </c>
      <c r="AL1465">
        <v>85.813432311488597</v>
      </c>
      <c r="AM1465">
        <v>75.785055607193399</v>
      </c>
      <c r="AN1465">
        <v>1.00000004596618</v>
      </c>
    </row>
    <row r="1466" spans="1:40" x14ac:dyDescent="0.25">
      <c r="A1466" t="str">
        <f>"20190312151253638"</f>
        <v>20190312151253638</v>
      </c>
      <c r="B1466" t="str">
        <f>"1552374773631264"</f>
        <v>1552374773631264</v>
      </c>
      <c r="C1466" t="s">
        <v>40</v>
      </c>
      <c r="D1466">
        <v>5.0224080000000004</v>
      </c>
      <c r="E1466">
        <v>0.60646580000000005</v>
      </c>
      <c r="F1466" t="s">
        <v>53</v>
      </c>
      <c r="G1466">
        <v>-196.76390000000001</v>
      </c>
      <c r="H1466" s="1">
        <v>1.349793E-6</v>
      </c>
      <c r="I1466">
        <v>293.56049999999999</v>
      </c>
      <c r="J1466">
        <v>-192.5504</v>
      </c>
      <c r="K1466">
        <v>1.1045689999999999</v>
      </c>
      <c r="L1466">
        <v>297.7296</v>
      </c>
      <c r="M1466">
        <v>-0.24703520000000001</v>
      </c>
      <c r="N1466">
        <v>0</v>
      </c>
      <c r="O1466">
        <v>-0.96893079999999998</v>
      </c>
      <c r="P1466">
        <v>-0.47587059999999998</v>
      </c>
      <c r="Q1466">
        <v>6.3914319999999997E-2</v>
      </c>
      <c r="R1466">
        <v>-0.87719020000000003</v>
      </c>
      <c r="S1466">
        <v>-2.1911930000000002</v>
      </c>
      <c r="T1466">
        <v>-0.56314209999999998</v>
      </c>
      <c r="U1466">
        <v>-2.2814329999999998</v>
      </c>
      <c r="V1466">
        <v>0.2453891</v>
      </c>
      <c r="W1466">
        <v>7.2387580000000007E-2</v>
      </c>
      <c r="X1466">
        <v>0.96671830000000003</v>
      </c>
      <c r="Y1466">
        <v>0.48145199999999999</v>
      </c>
      <c r="Z1466">
        <v>0.18115819999999999</v>
      </c>
      <c r="AA1466">
        <v>0.85754629999999998</v>
      </c>
      <c r="AB1466">
        <v>28</v>
      </c>
      <c r="AC1466">
        <v>-4.2135000000000096</v>
      </c>
      <c r="AD1466">
        <v>-1.1045676502069901</v>
      </c>
      <c r="AE1466">
        <v>-4.16910000000001</v>
      </c>
      <c r="AF1466">
        <v>2.9504446059690701</v>
      </c>
      <c r="AG1466">
        <v>-1.1045676502069901</v>
      </c>
      <c r="AH1466">
        <v>4.9103132512339496</v>
      </c>
      <c r="AI1466">
        <v>100.913718695817</v>
      </c>
      <c r="AJ1466">
        <v>58.999736406278899</v>
      </c>
      <c r="AK1466">
        <v>5.83406970236212</v>
      </c>
      <c r="AL1466">
        <v>85.848866574016299</v>
      </c>
      <c r="AM1466">
        <v>75.757019521046402</v>
      </c>
      <c r="AN1466">
        <v>1.0000000218459699</v>
      </c>
    </row>
    <row r="1467" spans="1:40" x14ac:dyDescent="0.25">
      <c r="A1467" t="str">
        <f>"20190312151253659"</f>
        <v>20190312151253659</v>
      </c>
      <c r="B1467" t="str">
        <f>"1552374773650785"</f>
        <v>1552374773650785</v>
      </c>
      <c r="C1467" t="s">
        <v>40</v>
      </c>
      <c r="D1467">
        <v>5.0391079999999997</v>
      </c>
      <c r="E1467">
        <v>0.60636769999999995</v>
      </c>
      <c r="F1467" t="s">
        <v>53</v>
      </c>
      <c r="G1467">
        <v>-196.88669999999999</v>
      </c>
      <c r="H1467" s="1">
        <v>1.386585E-6</v>
      </c>
      <c r="I1467">
        <v>293.28969999999998</v>
      </c>
      <c r="J1467">
        <v>-192.62430000000001</v>
      </c>
      <c r="K1467">
        <v>1.104471</v>
      </c>
      <c r="L1467">
        <v>297.47050000000002</v>
      </c>
      <c r="M1467">
        <v>-0.25404169999999998</v>
      </c>
      <c r="N1467">
        <v>0</v>
      </c>
      <c r="O1467">
        <v>-0.96711729999999996</v>
      </c>
      <c r="P1467">
        <v>-0.48284779999999999</v>
      </c>
      <c r="Q1467">
        <v>6.3581369999999998E-2</v>
      </c>
      <c r="R1467">
        <v>-0.87339359999999999</v>
      </c>
      <c r="S1467">
        <v>-2.2095790000000002</v>
      </c>
      <c r="T1467">
        <v>-0.5628263</v>
      </c>
      <c r="U1467">
        <v>-2.2623289999999998</v>
      </c>
      <c r="V1467">
        <v>0.24610489999999999</v>
      </c>
      <c r="W1467">
        <v>7.2001869999999996E-2</v>
      </c>
      <c r="X1467">
        <v>0.96656509999999995</v>
      </c>
      <c r="Y1467">
        <v>0.48232849999999999</v>
      </c>
      <c r="Z1467">
        <v>0.18114160000000001</v>
      </c>
      <c r="AA1467">
        <v>0.85705719999999996</v>
      </c>
      <c r="AB1467">
        <v>28</v>
      </c>
      <c r="AC1467">
        <v>-4.26239999999998</v>
      </c>
      <c r="AD1467">
        <v>-1.1044696134150001</v>
      </c>
      <c r="AE1467">
        <v>-4.1808000000000298</v>
      </c>
      <c r="AF1467">
        <v>2.9591068059475898</v>
      </c>
      <c r="AG1467">
        <v>-1.1044696134150001</v>
      </c>
      <c r="AH1467">
        <v>4.9569017387149499</v>
      </c>
      <c r="AI1467">
        <v>100.830800156574</v>
      </c>
      <c r="AJ1467">
        <v>59.164192087367603</v>
      </c>
      <c r="AK1467">
        <v>5.8776730993853201</v>
      </c>
      <c r="AL1467">
        <v>85.871023822984498</v>
      </c>
      <c r="AM1467">
        <v>75.714999188554501</v>
      </c>
      <c r="AN1467">
        <v>0.999999991812758</v>
      </c>
    </row>
    <row r="1468" spans="1:40" x14ac:dyDescent="0.25">
      <c r="A1468" t="str">
        <f>"20190312151253702"</f>
        <v>20190312151253702</v>
      </c>
      <c r="B1468" t="str">
        <f>"1552374773690801"</f>
        <v>1552374773690801</v>
      </c>
      <c r="C1468" t="s">
        <v>40</v>
      </c>
      <c r="D1468">
        <v>5.0908939999999996</v>
      </c>
      <c r="E1468">
        <v>0.60596099999999997</v>
      </c>
      <c r="F1468" t="s">
        <v>53</v>
      </c>
      <c r="G1468">
        <v>-196.9796</v>
      </c>
      <c r="H1468" s="1">
        <v>1.415054E-6</v>
      </c>
      <c r="I1468">
        <v>293.0813</v>
      </c>
      <c r="J1468">
        <v>-192.7775</v>
      </c>
      <c r="K1468">
        <v>1.1042620000000001</v>
      </c>
      <c r="L1468">
        <v>296.95679999999999</v>
      </c>
      <c r="M1468">
        <v>-0.26834089999999999</v>
      </c>
      <c r="N1468">
        <v>0</v>
      </c>
      <c r="O1468">
        <v>-0.96324710000000002</v>
      </c>
      <c r="P1468">
        <v>-0.49684410000000001</v>
      </c>
      <c r="Q1468">
        <v>6.3373440000000003E-2</v>
      </c>
      <c r="R1468">
        <v>-0.86552269999999898</v>
      </c>
      <c r="S1468">
        <v>-2.2272639999999999</v>
      </c>
      <c r="T1468">
        <v>-0.56481749999999997</v>
      </c>
      <c r="U1468">
        <v>-2.2446290000000002</v>
      </c>
      <c r="V1468">
        <v>0.24737500000000001</v>
      </c>
      <c r="W1468">
        <v>7.1683209999999997E-2</v>
      </c>
      <c r="X1468">
        <v>0.96626449999999997</v>
      </c>
      <c r="Y1468">
        <v>0.47612100000000002</v>
      </c>
      <c r="Z1468">
        <v>0.1815795</v>
      </c>
      <c r="AA1468">
        <v>0.86042879999999999</v>
      </c>
      <c r="AB1468">
        <v>28</v>
      </c>
      <c r="AC1468">
        <v>-4.2020999999999997</v>
      </c>
      <c r="AD1468">
        <v>-1.1042605849459901</v>
      </c>
      <c r="AE1468">
        <v>-3.8754999999999802</v>
      </c>
      <c r="AF1468">
        <v>2.8997213668920598</v>
      </c>
      <c r="AG1468">
        <v>-1.1042605849459901</v>
      </c>
      <c r="AH1468">
        <v>4.6861496583379303</v>
      </c>
      <c r="AI1468">
        <v>101.331027767812</v>
      </c>
      <c r="AJ1468">
        <v>58.251379510119499</v>
      </c>
      <c r="AK1468">
        <v>5.6203001757394002</v>
      </c>
      <c r="AL1468">
        <v>85.889328942691094</v>
      </c>
      <c r="AM1468">
        <v>75.640035289991602</v>
      </c>
      <c r="AN1468">
        <v>0.99999997859057599</v>
      </c>
    </row>
    <row r="1469" spans="1:40" x14ac:dyDescent="0.25">
      <c r="A1469" t="str">
        <f>"20190312151253725"</f>
        <v>20190312151253725</v>
      </c>
      <c r="B1469" t="str">
        <f>"1552374773721057"</f>
        <v>1552374773721057</v>
      </c>
      <c r="C1469" t="s">
        <v>40</v>
      </c>
      <c r="D1469">
        <v>4.9728409999999998</v>
      </c>
      <c r="E1469">
        <v>0.6056821</v>
      </c>
      <c r="F1469" t="s">
        <v>53</v>
      </c>
      <c r="G1469">
        <v>-197.19239999999999</v>
      </c>
      <c r="H1469" s="1">
        <v>1.473702E-6</v>
      </c>
      <c r="I1469">
        <v>292.64109999999999</v>
      </c>
      <c r="J1469">
        <v>-192.86490000000001</v>
      </c>
      <c r="K1469">
        <v>1.10415</v>
      </c>
      <c r="L1469">
        <v>296.67610000000002</v>
      </c>
      <c r="M1469">
        <v>-0.27635120000000002</v>
      </c>
      <c r="N1469">
        <v>0</v>
      </c>
      <c r="O1469">
        <v>-0.96097949999999999</v>
      </c>
      <c r="P1469">
        <v>-0.50423309999999999</v>
      </c>
      <c r="Q1469">
        <v>6.3069860000000005E-2</v>
      </c>
      <c r="R1469">
        <v>-0.86126139999999995</v>
      </c>
      <c r="S1469">
        <v>-2.2606199999999999</v>
      </c>
      <c r="T1469">
        <v>-0.56542630000000005</v>
      </c>
      <c r="U1469">
        <v>-2.2098080000000002</v>
      </c>
      <c r="V1469">
        <v>0.2476092</v>
      </c>
      <c r="W1469">
        <v>7.1327450000000001E-2</v>
      </c>
      <c r="X1469">
        <v>0.9662309</v>
      </c>
      <c r="Y1469">
        <v>0.4819001</v>
      </c>
      <c r="Z1469">
        <v>0.18196010000000001</v>
      </c>
      <c r="AA1469">
        <v>0.85712469999999996</v>
      </c>
      <c r="AB1469">
        <v>28</v>
      </c>
      <c r="AC1469">
        <v>-4.3274999999999801</v>
      </c>
      <c r="AD1469">
        <v>-1.104148526298</v>
      </c>
      <c r="AE1469">
        <v>-4.0350000000000197</v>
      </c>
      <c r="AF1469">
        <v>2.9413570329433401</v>
      </c>
      <c r="AG1469">
        <v>-1.104148526298</v>
      </c>
      <c r="AH1469">
        <v>4.9030921432840104</v>
      </c>
      <c r="AI1469">
        <v>100.92991605608999</v>
      </c>
      <c r="AJ1469">
        <v>59.040524841115101</v>
      </c>
      <c r="AK1469">
        <v>5.82331844646201</v>
      </c>
      <c r="AL1469">
        <v>85.909765038708997</v>
      </c>
      <c r="AM1469">
        <v>75.626523989166202</v>
      </c>
      <c r="AN1469">
        <v>1.0000000365814701</v>
      </c>
    </row>
    <row r="1470" spans="1:40" x14ac:dyDescent="0.25">
      <c r="A1470" t="str">
        <f>"20190312151253747"</f>
        <v>20190312151253747</v>
      </c>
      <c r="B1470" t="str">
        <f>"1552374773741553"</f>
        <v>1552374773741553</v>
      </c>
      <c r="C1470" t="s">
        <v>40</v>
      </c>
      <c r="D1470">
        <v>4.9793529999999997</v>
      </c>
      <c r="E1470">
        <v>0.60538049999999999</v>
      </c>
      <c r="F1470" t="s">
        <v>53</v>
      </c>
      <c r="G1470">
        <v>-197.29060000000001</v>
      </c>
      <c r="H1470" s="1">
        <v>1.5042590000000001E-6</v>
      </c>
      <c r="I1470">
        <v>292.41820000000001</v>
      </c>
      <c r="J1470">
        <v>-192.94710000000001</v>
      </c>
      <c r="K1470">
        <v>1.1040490000000001</v>
      </c>
      <c r="L1470">
        <v>296.42009999999999</v>
      </c>
      <c r="M1470">
        <v>-0.2838097</v>
      </c>
      <c r="N1470">
        <v>0</v>
      </c>
      <c r="O1470">
        <v>-0.95880299999999996</v>
      </c>
      <c r="P1470">
        <v>-0.5111308</v>
      </c>
      <c r="Q1470">
        <v>6.315954E-2</v>
      </c>
      <c r="R1470">
        <v>-0.85717960000000004</v>
      </c>
      <c r="S1470">
        <v>-2.2777400000000001</v>
      </c>
      <c r="T1470">
        <v>-0.5682585</v>
      </c>
      <c r="U1470">
        <v>-2.1914060000000002</v>
      </c>
      <c r="V1470">
        <v>0.24787980000000001</v>
      </c>
      <c r="W1470">
        <v>7.1366940000000004E-2</v>
      </c>
      <c r="X1470">
        <v>0.96615859999999998</v>
      </c>
      <c r="Y1470">
        <v>0.48181990000000002</v>
      </c>
      <c r="Z1470">
        <v>0.18283669999999999</v>
      </c>
      <c r="AA1470">
        <v>0.8569833</v>
      </c>
      <c r="AB1470">
        <v>28</v>
      </c>
      <c r="AC1470">
        <v>-4.3434999999999997</v>
      </c>
      <c r="AD1470">
        <v>-1.104047495741</v>
      </c>
      <c r="AE1470">
        <v>-4.0018999999999698</v>
      </c>
      <c r="AF1470">
        <v>2.9267337518198802</v>
      </c>
      <c r="AG1470">
        <v>-1.104047495741</v>
      </c>
      <c r="AH1470">
        <v>4.8989452570214702</v>
      </c>
      <c r="AI1470">
        <v>100.949627287506</v>
      </c>
      <c r="AJ1470">
        <v>59.145010011088999</v>
      </c>
      <c r="AK1470">
        <v>5.8124311572857996</v>
      </c>
      <c r="AL1470">
        <v>85.907496652814004</v>
      </c>
      <c r="AM1470">
        <v>75.610435702839894</v>
      </c>
      <c r="AN1470">
        <v>1.0000000378634799</v>
      </c>
    </row>
    <row r="1471" spans="1:40" x14ac:dyDescent="0.25">
      <c r="A1471" t="str">
        <f>"20190312151253771"</f>
        <v>20190312151253771</v>
      </c>
      <c r="B1471" t="str">
        <f>"1552374773761074"</f>
        <v>1552374773761074</v>
      </c>
      <c r="C1471" t="s">
        <v>40</v>
      </c>
      <c r="D1471">
        <v>4.8954599999999999</v>
      </c>
      <c r="E1471">
        <v>0.60524429999999996</v>
      </c>
      <c r="F1471" t="s">
        <v>53</v>
      </c>
      <c r="G1471">
        <v>-197.4196</v>
      </c>
      <c r="H1471" s="1">
        <v>1.5346080000000001E-6</v>
      </c>
      <c r="I1471">
        <v>292.18079999999998</v>
      </c>
      <c r="J1471">
        <v>-193.04320000000001</v>
      </c>
      <c r="K1471">
        <v>1.103925</v>
      </c>
      <c r="L1471">
        <v>296.1302</v>
      </c>
      <c r="M1471">
        <v>-0.2924255</v>
      </c>
      <c r="N1471">
        <v>0</v>
      </c>
      <c r="O1471">
        <v>-0.95621029999999996</v>
      </c>
      <c r="P1471">
        <v>-0.51939609999999903</v>
      </c>
      <c r="Q1471">
        <v>6.2780900000000001E-2</v>
      </c>
      <c r="R1471">
        <v>-0.85222450000000005</v>
      </c>
      <c r="S1471">
        <v>-2.2935490000000001</v>
      </c>
      <c r="T1471">
        <v>-0.56617280000000003</v>
      </c>
      <c r="U1471">
        <v>-2.17395</v>
      </c>
      <c r="V1471">
        <v>0.2485377</v>
      </c>
      <c r="W1471">
        <v>7.0923650000000005E-2</v>
      </c>
      <c r="X1471">
        <v>0.96602220000000005</v>
      </c>
      <c r="Y1471">
        <v>0.48045369999999998</v>
      </c>
      <c r="Z1471">
        <v>0.1821208</v>
      </c>
      <c r="AA1471">
        <v>0.85790230000000001</v>
      </c>
      <c r="AB1471">
        <v>28</v>
      </c>
      <c r="AC1471">
        <v>-4.3763999999999896</v>
      </c>
      <c r="AD1471">
        <v>-1.103923465392</v>
      </c>
      <c r="AE1471">
        <v>-3.9494000000000198</v>
      </c>
      <c r="AF1471">
        <v>2.92741978323361</v>
      </c>
      <c r="AG1471">
        <v>-1.103923465392</v>
      </c>
      <c r="AH1471">
        <v>4.88528626722597</v>
      </c>
      <c r="AI1471">
        <v>100.969752589539</v>
      </c>
      <c r="AJ1471">
        <v>59.068610361270501</v>
      </c>
      <c r="AK1471">
        <v>5.8012460314537</v>
      </c>
      <c r="AL1471">
        <v>85.932959756815904</v>
      </c>
      <c r="AM1471">
        <v>75.571884103719896</v>
      </c>
      <c r="AN1471">
        <v>1.00000002167172</v>
      </c>
    </row>
    <row r="1472" spans="1:40" x14ac:dyDescent="0.25">
      <c r="A1472" t="str">
        <f>"20190312151253793"</f>
        <v>20190312151253793</v>
      </c>
      <c r="B1472" t="str">
        <f>"1552374773781569"</f>
        <v>1552374773781569</v>
      </c>
      <c r="C1472" t="s">
        <v>40</v>
      </c>
      <c r="D1472">
        <v>5.1950960000000004</v>
      </c>
      <c r="E1472">
        <v>0.60509250000000003</v>
      </c>
      <c r="F1472" t="s">
        <v>53</v>
      </c>
      <c r="G1472">
        <v>-197.56270000000001</v>
      </c>
      <c r="H1472" s="1">
        <v>1.566764E-6</v>
      </c>
      <c r="I1472">
        <v>291.92619999999999</v>
      </c>
      <c r="J1472">
        <v>-193.13130000000001</v>
      </c>
      <c r="K1472">
        <v>1.103818</v>
      </c>
      <c r="L1472">
        <v>295.87180000000001</v>
      </c>
      <c r="M1472">
        <v>-0.30022490000000002</v>
      </c>
      <c r="N1472">
        <v>0</v>
      </c>
      <c r="O1472">
        <v>-0.95378989999999997</v>
      </c>
      <c r="P1472">
        <v>-0.52705409999999997</v>
      </c>
      <c r="Q1472">
        <v>6.2563919999999995E-2</v>
      </c>
      <c r="R1472">
        <v>-0.84752590000000005</v>
      </c>
      <c r="S1472">
        <v>-2.3133699999999999</v>
      </c>
      <c r="T1472">
        <v>-0.56506679999999998</v>
      </c>
      <c r="U1472">
        <v>-2.1518860000000002</v>
      </c>
      <c r="V1472">
        <v>0.2493628</v>
      </c>
      <c r="W1472">
        <v>7.0649199999999995E-2</v>
      </c>
      <c r="X1472">
        <v>0.96582959999999995</v>
      </c>
      <c r="Y1472">
        <v>0.48142439999999997</v>
      </c>
      <c r="Z1472">
        <v>0.18177979999999999</v>
      </c>
      <c r="AA1472">
        <v>0.85743019999999903</v>
      </c>
      <c r="AB1472">
        <v>28</v>
      </c>
      <c r="AC1472">
        <v>-4.4313999999999902</v>
      </c>
      <c r="AD1472">
        <v>-1.1038164332360001</v>
      </c>
      <c r="AE1472">
        <v>-3.94560000000001</v>
      </c>
      <c r="AF1472">
        <v>2.9405168946679301</v>
      </c>
      <c r="AG1472">
        <v>-1.1038164332360001</v>
      </c>
      <c r="AH1472">
        <v>4.9236686492130302</v>
      </c>
      <c r="AI1472">
        <v>100.89467751775901</v>
      </c>
      <c r="AJ1472">
        <v>59.153476382685596</v>
      </c>
      <c r="AK1472">
        <v>5.8401680877653401</v>
      </c>
      <c r="AL1472">
        <v>85.948723901734994</v>
      </c>
      <c r="AM1472">
        <v>75.523229189503496</v>
      </c>
      <c r="AN1472">
        <v>0.99999996586031903</v>
      </c>
    </row>
    <row r="1473" spans="1:40" x14ac:dyDescent="0.25">
      <c r="A1473" t="str">
        <f>"20190312151253814"</f>
        <v>20190312151253814</v>
      </c>
      <c r="B1473" t="str">
        <f>"1552374773810848"</f>
        <v>1552374773810848</v>
      </c>
      <c r="C1473" t="s">
        <v>40</v>
      </c>
      <c r="D1473">
        <v>5.1984830000000004</v>
      </c>
      <c r="E1473">
        <v>0.60479939999999999</v>
      </c>
      <c r="F1473" t="s">
        <v>53</v>
      </c>
      <c r="G1473">
        <v>-197.66650000000001</v>
      </c>
      <c r="H1473" s="1">
        <v>1.5929429999999999E-6</v>
      </c>
      <c r="I1473">
        <v>291.7253</v>
      </c>
      <c r="J1473">
        <v>-193.22069999999999</v>
      </c>
      <c r="K1473">
        <v>1.1037239999999999</v>
      </c>
      <c r="L1473">
        <v>295.61689999999999</v>
      </c>
      <c r="M1473">
        <v>-0.3080348</v>
      </c>
      <c r="N1473">
        <v>0</v>
      </c>
      <c r="O1473">
        <v>-0.95129589999999997</v>
      </c>
      <c r="P1473">
        <v>-0.53433109999999995</v>
      </c>
      <c r="Q1473">
        <v>6.2545000000000003E-2</v>
      </c>
      <c r="R1473">
        <v>-0.84295830000000005</v>
      </c>
      <c r="S1473">
        <v>-2.331467</v>
      </c>
      <c r="T1473">
        <v>-0.56745800000000002</v>
      </c>
      <c r="U1473">
        <v>-2.1316830000000002</v>
      </c>
      <c r="V1473">
        <v>0.24977489999999999</v>
      </c>
      <c r="W1473">
        <v>7.0583560000000004E-2</v>
      </c>
      <c r="X1473">
        <v>0.96572789999999997</v>
      </c>
      <c r="Y1473">
        <v>0.48153449999999998</v>
      </c>
      <c r="Z1473">
        <v>0.182478</v>
      </c>
      <c r="AA1473">
        <v>0.85722009999999904</v>
      </c>
      <c r="AB1473">
        <v>28</v>
      </c>
      <c r="AC1473">
        <v>-4.4458000000000197</v>
      </c>
      <c r="AD1473">
        <v>-1.103722407057</v>
      </c>
      <c r="AE1473">
        <v>-3.89159999999998</v>
      </c>
      <c r="AF1473">
        <v>2.9285569426462699</v>
      </c>
      <c r="AG1473">
        <v>-1.103722407057</v>
      </c>
      <c r="AH1473">
        <v>4.9008857888531798</v>
      </c>
      <c r="AI1473">
        <v>100.941614507859</v>
      </c>
      <c r="AJ1473">
        <v>59.139290520013098</v>
      </c>
      <c r="AK1473">
        <v>5.8149230806214902</v>
      </c>
      <c r="AL1473">
        <v>85.952494178272204</v>
      </c>
      <c r="AM1473">
        <v>75.498849809415603</v>
      </c>
      <c r="AN1473">
        <v>0.99999995822534504</v>
      </c>
    </row>
    <row r="1474" spans="1:40" x14ac:dyDescent="0.25">
      <c r="A1474" t="str">
        <f>"20190312151253839"</f>
        <v>20190312151253839</v>
      </c>
      <c r="B1474" t="str">
        <f>"1552374773831345"</f>
        <v>1552374773831345</v>
      </c>
      <c r="C1474" t="s">
        <v>40</v>
      </c>
      <c r="D1474">
        <v>5.0586760000000002</v>
      </c>
      <c r="E1474">
        <v>0.60473250000000001</v>
      </c>
      <c r="F1474" t="s">
        <v>53</v>
      </c>
      <c r="G1474">
        <v>-197.76929999999999</v>
      </c>
      <c r="H1474" s="1">
        <v>1.619236E-6</v>
      </c>
      <c r="I1474">
        <v>291.52420000000001</v>
      </c>
      <c r="J1474">
        <v>-193.3244</v>
      </c>
      <c r="K1474">
        <v>1.103623</v>
      </c>
      <c r="L1474">
        <v>295.32979999999998</v>
      </c>
      <c r="M1474">
        <v>-0.3169672</v>
      </c>
      <c r="N1474">
        <v>0</v>
      </c>
      <c r="O1474">
        <v>-0.94835709999999995</v>
      </c>
      <c r="P1474">
        <v>-0.54319910000000005</v>
      </c>
      <c r="Q1474">
        <v>6.2892480000000001E-2</v>
      </c>
      <c r="R1474">
        <v>-0.83724529999999997</v>
      </c>
      <c r="S1474">
        <v>-2.3481139999999998</v>
      </c>
      <c r="T1474">
        <v>-0.56977630000000001</v>
      </c>
      <c r="U1474">
        <v>-2.112762</v>
      </c>
      <c r="V1474">
        <v>0.2509188</v>
      </c>
      <c r="W1474">
        <v>7.0867050000000001E-2</v>
      </c>
      <c r="X1474">
        <v>0.96541060000000001</v>
      </c>
      <c r="Y1474">
        <v>0.4800817</v>
      </c>
      <c r="Z1474">
        <v>0.18307180000000001</v>
      </c>
      <c r="AA1474">
        <v>0.85790809999999995</v>
      </c>
      <c r="AB1474">
        <v>28</v>
      </c>
      <c r="AC1474">
        <v>-4.4448999999999899</v>
      </c>
      <c r="AD1474">
        <v>-1.1036213807640001</v>
      </c>
      <c r="AE1474">
        <v>-3.8055999999999601</v>
      </c>
      <c r="AF1474">
        <v>2.9059576042203101</v>
      </c>
      <c r="AG1474">
        <v>-1.1036213807640001</v>
      </c>
      <c r="AH1474">
        <v>4.8459523311859698</v>
      </c>
      <c r="AI1474">
        <v>101.05158790387</v>
      </c>
      <c r="AJ1474">
        <v>59.050275372339897</v>
      </c>
      <c r="AK1474">
        <v>5.7572409838161196</v>
      </c>
      <c r="AL1474">
        <v>85.936210809715206</v>
      </c>
      <c r="AM1474">
        <v>75.430673444491802</v>
      </c>
      <c r="AN1474">
        <v>1.00000000478075</v>
      </c>
    </row>
    <row r="1475" spans="1:40" x14ac:dyDescent="0.25">
      <c r="A1475" t="str">
        <f>"20190312151253882"</f>
        <v>20190312151253882</v>
      </c>
      <c r="B1475" t="str">
        <f>"1552374773871360"</f>
        <v>1552374773871360</v>
      </c>
      <c r="C1475" t="s">
        <v>40</v>
      </c>
      <c r="D1475">
        <v>5.210216</v>
      </c>
      <c r="E1475">
        <v>0.60442890000000005</v>
      </c>
      <c r="F1475" t="s">
        <v>53</v>
      </c>
      <c r="G1475">
        <v>-197.93709999999999</v>
      </c>
      <c r="H1475" s="1">
        <v>1.6499399999999999E-6</v>
      </c>
      <c r="I1475">
        <v>291.2654</v>
      </c>
      <c r="J1475">
        <v>-193.51179999999999</v>
      </c>
      <c r="K1475">
        <v>1.1034409999999999</v>
      </c>
      <c r="L1475">
        <v>294.83179999999999</v>
      </c>
      <c r="M1475">
        <v>-0.33281630000000001</v>
      </c>
      <c r="N1475">
        <v>0</v>
      </c>
      <c r="O1475">
        <v>-0.94291139999999996</v>
      </c>
      <c r="P1475">
        <v>-0.55890269999999898</v>
      </c>
      <c r="Q1475">
        <v>6.193804E-2</v>
      </c>
      <c r="R1475">
        <v>-0.82691729999999997</v>
      </c>
      <c r="S1475">
        <v>-2.369904</v>
      </c>
      <c r="T1475">
        <v>-0.56700399999999995</v>
      </c>
      <c r="U1475">
        <v>-2.0881959999999999</v>
      </c>
      <c r="V1475">
        <v>0.2529517</v>
      </c>
      <c r="W1475">
        <v>6.9799669999999994E-2</v>
      </c>
      <c r="X1475">
        <v>0.96495779999999998</v>
      </c>
      <c r="Y1475">
        <v>0.47453070000000003</v>
      </c>
      <c r="Z1475">
        <v>0.18178549999999999</v>
      </c>
      <c r="AA1475">
        <v>0.86126340000000001</v>
      </c>
      <c r="AB1475">
        <v>28</v>
      </c>
      <c r="AC1475">
        <v>-4.4252999999999902</v>
      </c>
      <c r="AD1475">
        <v>-1.1034393500599999</v>
      </c>
      <c r="AE1475">
        <v>-3.5663999999999798</v>
      </c>
      <c r="AF1475">
        <v>2.8774750844028798</v>
      </c>
      <c r="AG1475">
        <v>-1.1034393500599999</v>
      </c>
      <c r="AH1475">
        <v>4.6603159065221504</v>
      </c>
      <c r="AI1475">
        <v>101.39061350883701</v>
      </c>
      <c r="AJ1475">
        <v>58.307072949238901</v>
      </c>
      <c r="AK1475">
        <v>5.5871267758306304</v>
      </c>
      <c r="AL1475">
        <v>85.997519214479794</v>
      </c>
      <c r="AM1475">
        <v>75.311124494571501</v>
      </c>
      <c r="AN1475">
        <v>1.0000000561229101</v>
      </c>
    </row>
    <row r="1476" spans="1:40" x14ac:dyDescent="0.25">
      <c r="A1476" t="str">
        <f>"20190312151253926"</f>
        <v>20190312151253926</v>
      </c>
      <c r="B1476" t="str">
        <f>"1552374773921136"</f>
        <v>1552374773921136</v>
      </c>
      <c r="C1476" t="s">
        <v>40</v>
      </c>
      <c r="D1476">
        <v>4.9681389999999999</v>
      </c>
      <c r="E1476">
        <v>0.586399</v>
      </c>
      <c r="F1476" t="s">
        <v>53</v>
      </c>
      <c r="G1476">
        <v>-198.1567</v>
      </c>
      <c r="H1476" s="1">
        <v>1.6975479999999999E-6</v>
      </c>
      <c r="I1476">
        <v>290.8845</v>
      </c>
      <c r="J1476">
        <v>-193.7166</v>
      </c>
      <c r="K1476">
        <v>1.1032580000000001</v>
      </c>
      <c r="L1476">
        <v>294.31569999999999</v>
      </c>
      <c r="M1476">
        <v>-0.3496763</v>
      </c>
      <c r="N1476">
        <v>0</v>
      </c>
      <c r="O1476">
        <v>-0.93678939999999999</v>
      </c>
      <c r="P1476">
        <v>-0.57465630000000001</v>
      </c>
      <c r="Q1476">
        <v>6.0549369999999998E-2</v>
      </c>
      <c r="R1476">
        <v>-0.81615219999999999</v>
      </c>
      <c r="S1476">
        <v>-2.4059140000000001</v>
      </c>
      <c r="T1476">
        <v>-0.57155419999999901</v>
      </c>
      <c r="U1476">
        <v>-2.0446170000000001</v>
      </c>
      <c r="V1476">
        <v>0.25411889999999998</v>
      </c>
      <c r="W1476">
        <v>6.8312639999999994E-2</v>
      </c>
      <c r="X1476">
        <v>0.96475739999999999</v>
      </c>
      <c r="Y1476">
        <v>0.47404629999999998</v>
      </c>
      <c r="Z1476">
        <v>0.18295139999999999</v>
      </c>
      <c r="AA1476">
        <v>0.86128329999999997</v>
      </c>
      <c r="AB1476">
        <v>28</v>
      </c>
      <c r="AC1476">
        <v>-4.4401000000000002</v>
      </c>
      <c r="AD1476">
        <v>-1.1032563024519999</v>
      </c>
      <c r="AE1476">
        <v>-3.4311999999999898</v>
      </c>
      <c r="AF1476">
        <v>2.8496974990049999</v>
      </c>
      <c r="AG1476">
        <v>-1.1032563024519999</v>
      </c>
      <c r="AH1476">
        <v>4.5898485287711104</v>
      </c>
      <c r="AI1476">
        <v>101.541709023211</v>
      </c>
      <c r="AJ1476">
        <v>58.1651105859682</v>
      </c>
      <c r="AK1476">
        <v>5.5140420583994203</v>
      </c>
      <c r="AL1476">
        <v>86.082923170974297</v>
      </c>
      <c r="AM1476">
        <v>75.243364736311506</v>
      </c>
      <c r="AN1476">
        <v>0.999999936487867</v>
      </c>
    </row>
    <row r="1477" spans="1:40" x14ac:dyDescent="0.25">
      <c r="A1477" t="str">
        <f>"20190312151253947"</f>
        <v>20190312151253947</v>
      </c>
      <c r="B1477" t="str">
        <f>"1552374773941632"</f>
        <v>1552374773941632</v>
      </c>
      <c r="C1477" t="s">
        <v>40</v>
      </c>
      <c r="D1477">
        <v>5.0690410000000004</v>
      </c>
      <c r="E1477">
        <v>0.58527299999999904</v>
      </c>
      <c r="F1477" t="s">
        <v>53</v>
      </c>
      <c r="G1477">
        <v>-199.46430000000001</v>
      </c>
      <c r="H1477" s="1">
        <v>1.8872060000000001E-6</v>
      </c>
      <c r="I1477">
        <v>289.17559999999997</v>
      </c>
      <c r="J1477">
        <v>-193.821</v>
      </c>
      <c r="K1477">
        <v>1.1031709999999999</v>
      </c>
      <c r="L1477">
        <v>294.06380000000001</v>
      </c>
      <c r="M1477">
        <v>-0.35807990000000001</v>
      </c>
      <c r="N1477">
        <v>0</v>
      </c>
      <c r="O1477">
        <v>-0.93360889999999996</v>
      </c>
      <c r="P1477">
        <v>-0.58250639999999998</v>
      </c>
      <c r="Q1477">
        <v>5.9964040000000003E-2</v>
      </c>
      <c r="R1477">
        <v>-0.81061149999999904</v>
      </c>
      <c r="S1477">
        <v>-2.3203580000000001</v>
      </c>
      <c r="T1477">
        <v>-0.44538820000000001</v>
      </c>
      <c r="U1477">
        <v>-2.0751040000000001</v>
      </c>
      <c r="V1477">
        <v>0.2547507</v>
      </c>
      <c r="W1477">
        <v>6.7679439999999993E-2</v>
      </c>
      <c r="X1477">
        <v>0.96463540000000003</v>
      </c>
      <c r="Y1477">
        <v>0.44907069999999999</v>
      </c>
      <c r="Z1477">
        <v>0.1444522</v>
      </c>
      <c r="AA1477">
        <v>0.88174209999999997</v>
      </c>
      <c r="AB1477">
        <v>28</v>
      </c>
      <c r="AC1477">
        <v>-5.6433000000000098</v>
      </c>
      <c r="AD1477">
        <v>-1.103169112794</v>
      </c>
      <c r="AE1477">
        <v>-4.8882000000000403</v>
      </c>
      <c r="AF1477">
        <v>3.4433607263766501</v>
      </c>
      <c r="AG1477">
        <v>-1.103169112794</v>
      </c>
      <c r="AH1477">
        <v>6.4442290532114601</v>
      </c>
      <c r="AI1477">
        <v>98.585940287822496</v>
      </c>
      <c r="AJ1477">
        <v>61.882963323565001</v>
      </c>
      <c r="AK1477">
        <v>7.3893033009635296</v>
      </c>
      <c r="AL1477">
        <v>86.119287037294598</v>
      </c>
      <c r="AM1477">
        <v>75.206494233490105</v>
      </c>
      <c r="AN1477">
        <v>0.99999994034118</v>
      </c>
    </row>
    <row r="1478" spans="1:40" x14ac:dyDescent="0.25">
      <c r="A1478" t="str">
        <f>"20190312151253970"</f>
        <v>20190312151253970</v>
      </c>
      <c r="B1478" t="str">
        <f>"1552374773961153"</f>
        <v>1552374773961153</v>
      </c>
      <c r="C1478" t="s">
        <v>40</v>
      </c>
      <c r="D1478">
        <v>5.3743930000000004</v>
      </c>
      <c r="E1478">
        <v>0.58462689999999995</v>
      </c>
      <c r="F1478" t="s">
        <v>53</v>
      </c>
      <c r="G1478">
        <v>-199.5197</v>
      </c>
      <c r="H1478" s="1">
        <v>1.8895000000000001E-6</v>
      </c>
      <c r="I1478">
        <v>289.03699999999998</v>
      </c>
      <c r="J1478">
        <v>-193.93520000000001</v>
      </c>
      <c r="K1478">
        <v>1.103084</v>
      </c>
      <c r="L1478">
        <v>293.79520000000002</v>
      </c>
      <c r="M1478">
        <v>-0.36713610000000002</v>
      </c>
      <c r="N1478">
        <v>0</v>
      </c>
      <c r="O1478">
        <v>-0.93008460000000004</v>
      </c>
      <c r="P1478">
        <v>-0.59087709999999904</v>
      </c>
      <c r="Q1478">
        <v>5.9783830000000003E-2</v>
      </c>
      <c r="R1478">
        <v>-0.80454359999999903</v>
      </c>
      <c r="S1478">
        <v>-2.332932</v>
      </c>
      <c r="T1478">
        <v>-0.45161289999999998</v>
      </c>
      <c r="U1478">
        <v>-2.0578609999999999</v>
      </c>
      <c r="V1478">
        <v>0.25538070000000002</v>
      </c>
      <c r="W1478">
        <v>6.7452970000000001E-2</v>
      </c>
      <c r="X1478">
        <v>0.96448480000000003</v>
      </c>
      <c r="Y1478">
        <v>0.44620939999999998</v>
      </c>
      <c r="Z1478">
        <v>0.14624879999999901</v>
      </c>
      <c r="AA1478">
        <v>0.88289779999999995</v>
      </c>
      <c r="AB1478">
        <v>28</v>
      </c>
      <c r="AC1478">
        <v>-5.5844999999999896</v>
      </c>
      <c r="AD1478">
        <v>-1.1030821104999999</v>
      </c>
      <c r="AE1478">
        <v>-4.75819999999998</v>
      </c>
      <c r="AF1478">
        <v>3.3712075146279199</v>
      </c>
      <c r="AG1478">
        <v>-1.1030821104999999</v>
      </c>
      <c r="AH1478">
        <v>6.3331340504896101</v>
      </c>
      <c r="AI1478">
        <v>98.740786921091001</v>
      </c>
      <c r="AJ1478">
        <v>61.973061405300797</v>
      </c>
      <c r="AK1478">
        <v>7.2588165117090497</v>
      </c>
      <c r="AL1478">
        <v>86.132293025181596</v>
      </c>
      <c r="AM1478">
        <v>75.169306474326106</v>
      </c>
      <c r="AN1478">
        <v>1.0000000672626701</v>
      </c>
    </row>
    <row r="1479" spans="1:40" x14ac:dyDescent="0.25">
      <c r="A1479" t="str">
        <f>"20190312151253994"</f>
        <v>20190312151253994</v>
      </c>
      <c r="B1479" t="str">
        <f>"1552374773991409"</f>
        <v>1552374773991409</v>
      </c>
      <c r="C1479" t="s">
        <v>40</v>
      </c>
      <c r="D1479">
        <v>4.9817030000000004</v>
      </c>
      <c r="E1479">
        <v>0.58386990000000005</v>
      </c>
      <c r="F1479" t="s">
        <v>53</v>
      </c>
      <c r="G1479">
        <v>-199.75210000000001</v>
      </c>
      <c r="H1479" s="1">
        <v>1.872982E-6</v>
      </c>
      <c r="I1479">
        <v>288.7543</v>
      </c>
      <c r="J1479">
        <v>-194.0531</v>
      </c>
      <c r="K1479">
        <v>1.102983</v>
      </c>
      <c r="L1479">
        <v>293.5256</v>
      </c>
      <c r="M1479">
        <v>-0.37635449999999998</v>
      </c>
      <c r="N1479">
        <v>0</v>
      </c>
      <c r="O1479">
        <v>-0.92639269999999996</v>
      </c>
      <c r="P1479">
        <v>-0.59889190000000003</v>
      </c>
      <c r="Q1479">
        <v>5.9374799999999998E-2</v>
      </c>
      <c r="R1479">
        <v>-0.7986259</v>
      </c>
      <c r="S1479">
        <v>-2.3497309999999998</v>
      </c>
      <c r="T1479">
        <v>-0.44558950000000003</v>
      </c>
      <c r="U1479">
        <v>-2.0362550000000001</v>
      </c>
      <c r="V1479">
        <v>0.25544289999999997</v>
      </c>
      <c r="W1479">
        <v>6.7004350000000004E-2</v>
      </c>
      <c r="X1479">
        <v>0.96449949999999995</v>
      </c>
      <c r="Y1479">
        <v>0.44533610000000001</v>
      </c>
      <c r="Z1479">
        <v>0.14416799999999999</v>
      </c>
      <c r="AA1479">
        <v>0.88368060000000004</v>
      </c>
      <c r="AB1479">
        <v>28</v>
      </c>
      <c r="AC1479">
        <v>-5.6990000000000096</v>
      </c>
      <c r="AD1479">
        <v>-1.1029811270180001</v>
      </c>
      <c r="AE1479">
        <v>-4.7712999999999903</v>
      </c>
      <c r="AF1479">
        <v>3.40900749930872</v>
      </c>
      <c r="AG1479">
        <v>-1.1029811270180001</v>
      </c>
      <c r="AH1479">
        <v>6.4239796079193496</v>
      </c>
      <c r="AI1479">
        <v>98.6240540289931</v>
      </c>
      <c r="AJ1479">
        <v>62.0464889864434</v>
      </c>
      <c r="AK1479">
        <v>7.3556382115941901</v>
      </c>
      <c r="AL1479">
        <v>86.158054973725001</v>
      </c>
      <c r="AM1479">
        <v>75.166069710476407</v>
      </c>
      <c r="AN1479">
        <v>0.99999997178979005</v>
      </c>
    </row>
    <row r="1480" spans="1:40" x14ac:dyDescent="0.25">
      <c r="A1480" t="str">
        <f>"20190312151254014"</f>
        <v>20190312151254014</v>
      </c>
      <c r="B1480" t="str">
        <f>"1552374774010930"</f>
        <v>1552374774010930</v>
      </c>
      <c r="C1480" t="s">
        <v>40</v>
      </c>
      <c r="D1480">
        <v>4.9053319999999996</v>
      </c>
      <c r="E1480">
        <v>0.58340570000000003</v>
      </c>
      <c r="F1480" t="s">
        <v>53</v>
      </c>
      <c r="G1480">
        <v>-199.97020000000001</v>
      </c>
      <c r="H1480" s="1">
        <v>1.865815E-6</v>
      </c>
      <c r="I1480">
        <v>288.48219999999998</v>
      </c>
      <c r="J1480">
        <v>-194.15729999999999</v>
      </c>
      <c r="K1480">
        <v>1.1028960000000001</v>
      </c>
      <c r="L1480">
        <v>293.29340000000002</v>
      </c>
      <c r="M1480">
        <v>-0.38441769999999997</v>
      </c>
      <c r="N1480">
        <v>0</v>
      </c>
      <c r="O1480">
        <v>-0.92307550000000005</v>
      </c>
      <c r="P1480">
        <v>-0.605908</v>
      </c>
      <c r="Q1480">
        <v>5.9610980000000001E-2</v>
      </c>
      <c r="R1480">
        <v>-0.79329819999999995</v>
      </c>
      <c r="S1480">
        <v>-2.3649749999999998</v>
      </c>
      <c r="T1480">
        <v>-0.44084380000000001</v>
      </c>
      <c r="U1480">
        <v>-2.0157780000000001</v>
      </c>
      <c r="V1480">
        <v>0.25556060000000003</v>
      </c>
      <c r="W1480">
        <v>6.7199399999999895E-2</v>
      </c>
      <c r="X1480">
        <v>0.96445479999999995</v>
      </c>
      <c r="Y1480">
        <v>0.44497100000000001</v>
      </c>
      <c r="Z1480">
        <v>0.14253399999999999</v>
      </c>
      <c r="AA1480">
        <v>0.88412950000000001</v>
      </c>
      <c r="AB1480">
        <v>28</v>
      </c>
      <c r="AC1480">
        <v>-5.8129000000000097</v>
      </c>
      <c r="AD1480">
        <v>-1.10289413418499</v>
      </c>
      <c r="AE1480">
        <v>-4.8112000000000403</v>
      </c>
      <c r="AF1480">
        <v>3.4429539887987799</v>
      </c>
      <c r="AG1480">
        <v>-1.10289413418499</v>
      </c>
      <c r="AH1480">
        <v>6.5365559421809696</v>
      </c>
      <c r="AI1480">
        <v>98.490675518395193</v>
      </c>
      <c r="AJ1480">
        <v>62.223194588159103</v>
      </c>
      <c r="AK1480">
        <v>7.4697303315090604</v>
      </c>
      <c r="AL1480">
        <v>86.146854374200302</v>
      </c>
      <c r="AM1480">
        <v>75.158878803793201</v>
      </c>
      <c r="AN1480">
        <v>1.0000000204378701</v>
      </c>
    </row>
    <row r="1481" spans="1:40" x14ac:dyDescent="0.25">
      <c r="A1481" t="str">
        <f>"20190312151254062"</f>
        <v>20190312151254062</v>
      </c>
      <c r="B1481" t="str">
        <f>"1552374774050945"</f>
        <v>1552374774050945</v>
      </c>
      <c r="C1481" t="s">
        <v>40</v>
      </c>
      <c r="D1481">
        <v>5.1300330000000001</v>
      </c>
      <c r="E1481">
        <v>0.58233849999999998</v>
      </c>
      <c r="F1481" t="s">
        <v>53</v>
      </c>
      <c r="G1481">
        <v>-200.0684</v>
      </c>
      <c r="H1481" s="1">
        <v>1.9221159999999998E-6</v>
      </c>
      <c r="I1481">
        <v>288.33640000000003</v>
      </c>
      <c r="J1481">
        <v>-194.40989999999999</v>
      </c>
      <c r="K1481">
        <v>1.1026400000000001</v>
      </c>
      <c r="L1481">
        <v>292.7527</v>
      </c>
      <c r="M1481">
        <v>-0.40365519999999999</v>
      </c>
      <c r="N1481">
        <v>0</v>
      </c>
      <c r="O1481">
        <v>-0.91482620000000003</v>
      </c>
      <c r="P1481">
        <v>-0.62289989999999995</v>
      </c>
      <c r="Q1481">
        <v>5.8876999999999999E-2</v>
      </c>
      <c r="R1481">
        <v>-0.78008299999999997</v>
      </c>
      <c r="S1481">
        <v>-2.3809200000000001</v>
      </c>
      <c r="T1481">
        <v>-0.44422980000000001</v>
      </c>
      <c r="U1481">
        <v>-1.9965820000000001</v>
      </c>
      <c r="V1481">
        <v>0.25620929999999997</v>
      </c>
      <c r="W1481">
        <v>6.6343959999999993E-2</v>
      </c>
      <c r="X1481">
        <v>0.96434189999999997</v>
      </c>
      <c r="Y1481">
        <v>0.4332801</v>
      </c>
      <c r="Z1481">
        <v>0.14271020000000001</v>
      </c>
      <c r="AA1481">
        <v>0.88988889999999998</v>
      </c>
      <c r="AB1481">
        <v>28</v>
      </c>
      <c r="AC1481">
        <v>-5.6585000000000001</v>
      </c>
      <c r="AD1481">
        <v>-1.1026380778839999</v>
      </c>
      <c r="AE1481">
        <v>-4.4162999999999704</v>
      </c>
      <c r="AF1481">
        <v>3.3158977946758901</v>
      </c>
      <c r="AG1481">
        <v>-1.1026380778839999</v>
      </c>
      <c r="AH1481">
        <v>6.17891325662477</v>
      </c>
      <c r="AI1481">
        <v>98.936052786055001</v>
      </c>
      <c r="AJ1481">
        <v>61.779884070934997</v>
      </c>
      <c r="AK1481">
        <v>7.0985884476020598</v>
      </c>
      <c r="AL1481">
        <v>86.195977077143297</v>
      </c>
      <c r="AM1481">
        <v>75.121211075985897</v>
      </c>
      <c r="AN1481">
        <v>1.00000001326529</v>
      </c>
    </row>
    <row r="1482" spans="1:40" x14ac:dyDescent="0.25">
      <c r="A1482" t="str">
        <f>"20190312151254105"</f>
        <v>20190312151254105</v>
      </c>
      <c r="B1482" t="str">
        <f>"1552374774101697"</f>
        <v>1552374774101697</v>
      </c>
      <c r="C1482" t="s">
        <v>40</v>
      </c>
      <c r="D1482">
        <v>5.0424100000000003</v>
      </c>
      <c r="E1482">
        <v>0.58103019999999905</v>
      </c>
      <c r="F1482" t="s">
        <v>53</v>
      </c>
      <c r="G1482">
        <v>-200.239</v>
      </c>
      <c r="H1482" s="1">
        <v>2.0226069999999999E-6</v>
      </c>
      <c r="I1482">
        <v>288.0523</v>
      </c>
      <c r="J1482">
        <v>-194.64500000000001</v>
      </c>
      <c r="K1482">
        <v>1.102406</v>
      </c>
      <c r="L1482">
        <v>292.27609999999999</v>
      </c>
      <c r="M1482">
        <v>-0.42116170000000003</v>
      </c>
      <c r="N1482">
        <v>0</v>
      </c>
      <c r="O1482">
        <v>-0.90689909999999996</v>
      </c>
      <c r="P1482">
        <v>-0.63786949999999998</v>
      </c>
      <c r="Q1482">
        <v>5.7921760000000003E-2</v>
      </c>
      <c r="R1482">
        <v>-0.76796319999999996</v>
      </c>
      <c r="S1482">
        <v>-2.4178310000000001</v>
      </c>
      <c r="T1482">
        <v>-0.45735700000000001</v>
      </c>
      <c r="U1482">
        <v>-1.949646</v>
      </c>
      <c r="V1482">
        <v>0.25631559999999998</v>
      </c>
      <c r="W1482">
        <v>6.5290059999999997E-2</v>
      </c>
      <c r="X1482">
        <v>0.96438559999999995</v>
      </c>
      <c r="Y1482">
        <v>0.43263400000000002</v>
      </c>
      <c r="Z1482">
        <v>0.14633060000000001</v>
      </c>
      <c r="AA1482">
        <v>0.88961520000000005</v>
      </c>
      <c r="AB1482">
        <v>28</v>
      </c>
      <c r="AC1482">
        <v>-5.5939999999999896</v>
      </c>
      <c r="AD1482">
        <v>-1.1024039773929999</v>
      </c>
      <c r="AE1482">
        <v>-4.2237999999999802</v>
      </c>
      <c r="AF1482">
        <v>3.2150266601922102</v>
      </c>
      <c r="AG1482">
        <v>-1.1024039773929999</v>
      </c>
      <c r="AH1482">
        <v>6.0376843042783701</v>
      </c>
      <c r="AI1482">
        <v>99.155211436609406</v>
      </c>
      <c r="AJ1482">
        <v>61.964996239461399</v>
      </c>
      <c r="AK1482">
        <v>6.9285873533677798</v>
      </c>
      <c r="AL1482">
        <v>86.256492386462696</v>
      </c>
      <c r="AM1482">
        <v>75.115956451514805</v>
      </c>
      <c r="AN1482">
        <v>1.00000003211276</v>
      </c>
    </row>
    <row r="1483" spans="1:40" x14ac:dyDescent="0.25">
      <c r="A1483" t="str">
        <f>"20190312151254127"</f>
        <v>20190312151254127</v>
      </c>
      <c r="B1483" t="str">
        <f>"1552374774121217"</f>
        <v>1552374774121217</v>
      </c>
      <c r="C1483" t="s">
        <v>40</v>
      </c>
      <c r="D1483">
        <v>4.9532179999999997</v>
      </c>
      <c r="E1483">
        <v>0.58056319999999995</v>
      </c>
      <c r="F1483" t="s">
        <v>53</v>
      </c>
      <c r="G1483">
        <v>-200.47049999999999</v>
      </c>
      <c r="H1483" s="1">
        <v>2.1528809999999999E-6</v>
      </c>
      <c r="I1483">
        <v>287.73630000000003</v>
      </c>
      <c r="J1483">
        <v>-194.7696</v>
      </c>
      <c r="K1483">
        <v>1.1022909999999999</v>
      </c>
      <c r="L1483">
        <v>292.03309999999999</v>
      </c>
      <c r="M1483">
        <v>-0.430309</v>
      </c>
      <c r="N1483">
        <v>0</v>
      </c>
      <c r="O1483">
        <v>-0.90259440000000002</v>
      </c>
      <c r="P1483">
        <v>-0.64515129999999998</v>
      </c>
      <c r="Q1483">
        <v>5.7615659999999999E-2</v>
      </c>
      <c r="R1483">
        <v>-0.76187959999999999</v>
      </c>
      <c r="S1483">
        <v>-2.4482270000000002</v>
      </c>
      <c r="T1483">
        <v>-0.4632945</v>
      </c>
      <c r="U1483">
        <v>-1.9078980000000001</v>
      </c>
      <c r="V1483">
        <v>0.25574849999999999</v>
      </c>
      <c r="W1483">
        <v>6.4948900000000004E-2</v>
      </c>
      <c r="X1483">
        <v>0.9645591</v>
      </c>
      <c r="Y1483">
        <v>0.43807439999999997</v>
      </c>
      <c r="Z1483">
        <v>0.14817949999999999</v>
      </c>
      <c r="AA1483">
        <v>0.88664179999999904</v>
      </c>
      <c r="AB1483">
        <v>28</v>
      </c>
      <c r="AC1483">
        <v>-5.7008999999999901</v>
      </c>
      <c r="AD1483">
        <v>-1.102288847119</v>
      </c>
      <c r="AE1483">
        <v>-4.2967999999999602</v>
      </c>
      <c r="AF1483">
        <v>3.2201347498106601</v>
      </c>
      <c r="AG1483">
        <v>-1.102288847119</v>
      </c>
      <c r="AH1483">
        <v>6.18446645075172</v>
      </c>
      <c r="AI1483">
        <v>98.983489269346606</v>
      </c>
      <c r="AJ1483">
        <v>62.494859257254902</v>
      </c>
      <c r="AK1483">
        <v>7.05917373280292</v>
      </c>
      <c r="AL1483">
        <v>86.2760807080289</v>
      </c>
      <c r="AM1483">
        <v>75.149983974800094</v>
      </c>
      <c r="AN1483">
        <v>0.99999995612813397</v>
      </c>
    </row>
    <row r="1484" spans="1:40" x14ac:dyDescent="0.25">
      <c r="A1484" t="str">
        <f>"20190312151254149"</f>
        <v>20190312151254149</v>
      </c>
      <c r="B1484" t="str">
        <f>"1552374774141714"</f>
        <v>1552374774141714</v>
      </c>
      <c r="C1484" t="s">
        <v>40</v>
      </c>
      <c r="D1484">
        <v>5.1485919999999998</v>
      </c>
      <c r="E1484">
        <v>0.5803798</v>
      </c>
      <c r="F1484" t="s">
        <v>53</v>
      </c>
      <c r="G1484">
        <v>-200.56270000000001</v>
      </c>
      <c r="H1484" s="1">
        <v>2.2058210000000001E-6</v>
      </c>
      <c r="I1484">
        <v>287.5985</v>
      </c>
      <c r="J1484">
        <v>-194.90039999999999</v>
      </c>
      <c r="K1484">
        <v>1.1021650000000001</v>
      </c>
      <c r="L1484">
        <v>291.78500000000003</v>
      </c>
      <c r="M1484">
        <v>-0.4398203</v>
      </c>
      <c r="N1484">
        <v>0</v>
      </c>
      <c r="O1484">
        <v>-0.89799769999999901</v>
      </c>
      <c r="P1484">
        <v>-0.65288649999999904</v>
      </c>
      <c r="Q1484">
        <v>5.7181129999999997E-2</v>
      </c>
      <c r="R1484">
        <v>-0.75529449999999998</v>
      </c>
      <c r="S1484">
        <v>-2.4642330000000001</v>
      </c>
      <c r="T1484">
        <v>-0.46888459999999899</v>
      </c>
      <c r="U1484">
        <v>-1.8863529999999999</v>
      </c>
      <c r="V1484">
        <v>0.25539079999999997</v>
      </c>
      <c r="W1484">
        <v>6.4472100000000004E-2</v>
      </c>
      <c r="X1484">
        <v>0.96468589999999999</v>
      </c>
      <c r="Y1484">
        <v>0.43607459999999998</v>
      </c>
      <c r="Z1484">
        <v>0.1495302</v>
      </c>
      <c r="AA1484">
        <v>0.88740049999999904</v>
      </c>
      <c r="AB1484">
        <v>28</v>
      </c>
      <c r="AC1484">
        <v>-5.6623000000000099</v>
      </c>
      <c r="AD1484">
        <v>-1.102162794179</v>
      </c>
      <c r="AE1484">
        <v>-4.1865000000000201</v>
      </c>
      <c r="AF1484">
        <v>3.1661211674390999</v>
      </c>
      <c r="AG1484">
        <v>-1.102162794179</v>
      </c>
      <c r="AH1484">
        <v>6.1009031507347897</v>
      </c>
      <c r="AI1484">
        <v>99.109772747679301</v>
      </c>
      <c r="AJ1484">
        <v>62.572519073951298</v>
      </c>
      <c r="AK1484">
        <v>6.9613292786955601</v>
      </c>
      <c r="AL1484">
        <v>86.303456873923906</v>
      </c>
      <c r="AM1484">
        <v>75.171701307126497</v>
      </c>
      <c r="AN1484">
        <v>0.99999999903092995</v>
      </c>
    </row>
    <row r="1485" spans="1:40" x14ac:dyDescent="0.25">
      <c r="A1485" t="str">
        <f>"20190312151254170"</f>
        <v>20190312151254170</v>
      </c>
      <c r="B1485" t="str">
        <f>"1552374774160801"</f>
        <v>1552374774160801</v>
      </c>
      <c r="C1485" t="s">
        <v>40</v>
      </c>
      <c r="D1485">
        <v>5.0568839999999904</v>
      </c>
      <c r="E1485">
        <v>0.5797428</v>
      </c>
      <c r="F1485" t="s">
        <v>53</v>
      </c>
      <c r="G1485">
        <v>-200.70310000000001</v>
      </c>
      <c r="H1485" s="1">
        <v>2.282508E-6</v>
      </c>
      <c r="I1485">
        <v>287.43349999999998</v>
      </c>
      <c r="J1485">
        <v>-195.03380000000001</v>
      </c>
      <c r="K1485">
        <v>1.102042</v>
      </c>
      <c r="L1485">
        <v>291.5385</v>
      </c>
      <c r="M1485">
        <v>-0.44941700000000001</v>
      </c>
      <c r="N1485">
        <v>0</v>
      </c>
      <c r="O1485">
        <v>-0.89323339999999996</v>
      </c>
      <c r="P1485">
        <v>-0.66050069999999905</v>
      </c>
      <c r="Q1485">
        <v>5.710469E-2</v>
      </c>
      <c r="R1485">
        <v>-0.74865099999999996</v>
      </c>
      <c r="S1485">
        <v>-2.4825740000000001</v>
      </c>
      <c r="T1485">
        <v>-0.4715374</v>
      </c>
      <c r="U1485">
        <v>-1.861694</v>
      </c>
      <c r="V1485">
        <v>0.25483689999999998</v>
      </c>
      <c r="W1485">
        <v>6.4360749999999994E-2</v>
      </c>
      <c r="X1485">
        <v>0.96483980000000003</v>
      </c>
      <c r="Y1485">
        <v>0.43516909999999998</v>
      </c>
      <c r="Z1485">
        <v>0.1499616</v>
      </c>
      <c r="AA1485">
        <v>0.88777209999999995</v>
      </c>
      <c r="AB1485">
        <v>28</v>
      </c>
      <c r="AC1485">
        <v>-5.66929999999999</v>
      </c>
      <c r="AD1485">
        <v>-1.102039717492</v>
      </c>
      <c r="AE1485">
        <v>-4.1050000000000102</v>
      </c>
      <c r="AF1485">
        <v>3.1415291660059901</v>
      </c>
      <c r="AG1485">
        <v>-1.102039717492</v>
      </c>
      <c r="AH1485">
        <v>6.0647525644039604</v>
      </c>
      <c r="AI1485">
        <v>99.165689029092505</v>
      </c>
      <c r="AJ1485">
        <v>62.6159376839204</v>
      </c>
      <c r="AK1485">
        <v>6.9184478539077396</v>
      </c>
      <c r="AL1485">
        <v>86.309850024610995</v>
      </c>
      <c r="AM1485">
        <v>75.204705649488304</v>
      </c>
      <c r="AN1485">
        <v>0.99999999570310605</v>
      </c>
    </row>
    <row r="1486" spans="1:40" x14ac:dyDescent="0.25">
      <c r="A1486" t="str">
        <f>"20190312151254215"</f>
        <v>20190312151254215</v>
      </c>
      <c r="B1486" t="str">
        <f>"1552374774211553"</f>
        <v>1552374774211553</v>
      </c>
      <c r="C1486" t="s">
        <v>40</v>
      </c>
      <c r="D1486">
        <v>4.982062</v>
      </c>
      <c r="E1486">
        <v>0.57808179999999998</v>
      </c>
      <c r="F1486" t="s">
        <v>53</v>
      </c>
      <c r="G1486">
        <v>-200.84469999999999</v>
      </c>
      <c r="H1486" s="1">
        <v>2.3605180000000002E-6</v>
      </c>
      <c r="I1486">
        <v>287.25940000000003</v>
      </c>
      <c r="J1486">
        <v>-195.304</v>
      </c>
      <c r="K1486">
        <v>1.1018030000000001</v>
      </c>
      <c r="L1486">
        <v>291.05869999999999</v>
      </c>
      <c r="M1486">
        <v>-0.46851549999999997</v>
      </c>
      <c r="N1486">
        <v>0</v>
      </c>
      <c r="O1486">
        <v>-0.88336460000000006</v>
      </c>
      <c r="P1486">
        <v>-0.67615599999999998</v>
      </c>
      <c r="Q1486">
        <v>5.688725E-2</v>
      </c>
      <c r="R1486">
        <v>-0.73455899999999996</v>
      </c>
      <c r="S1486">
        <v>-2.4979399999999998</v>
      </c>
      <c r="T1486">
        <v>-0.4737364</v>
      </c>
      <c r="U1486">
        <v>-1.8394470000000001</v>
      </c>
      <c r="V1486">
        <v>0.25448480000000001</v>
      </c>
      <c r="W1486">
        <v>6.4062869999999994E-2</v>
      </c>
      <c r="X1486">
        <v>0.96495249999999999</v>
      </c>
      <c r="Y1486">
        <v>0.42357869999999997</v>
      </c>
      <c r="Z1486">
        <v>0.14939820000000001</v>
      </c>
      <c r="AA1486">
        <v>0.89345469999999905</v>
      </c>
      <c r="AB1486">
        <v>28</v>
      </c>
      <c r="AC1486">
        <v>-5.5406999999999798</v>
      </c>
      <c r="AD1486">
        <v>-1.1018006394819999</v>
      </c>
      <c r="AE1486">
        <v>-3.7992999999999602</v>
      </c>
      <c r="AF1486">
        <v>3.0330960002389298</v>
      </c>
      <c r="AG1486">
        <v>-1.1018006394819999</v>
      </c>
      <c r="AH1486">
        <v>5.7966363858465098</v>
      </c>
      <c r="AI1486">
        <v>99.559694296443794</v>
      </c>
      <c r="AJ1486">
        <v>62.379139884431297</v>
      </c>
      <c r="AK1486">
        <v>6.6343522204920697</v>
      </c>
      <c r="AL1486">
        <v>86.326952403426105</v>
      </c>
      <c r="AM1486">
        <v>75.225903121336998</v>
      </c>
      <c r="AN1486">
        <v>0.999999945999962</v>
      </c>
    </row>
    <row r="1487" spans="1:40" x14ac:dyDescent="0.25">
      <c r="A1487" t="str">
        <f>"20190312151254240"</f>
        <v>20190312151254240</v>
      </c>
      <c r="B1487" t="str">
        <f>"1552374774231073"</f>
        <v>1552374774231073</v>
      </c>
      <c r="C1487" t="s">
        <v>40</v>
      </c>
      <c r="D1487">
        <v>4.9714159999999996</v>
      </c>
      <c r="E1487">
        <v>0.57744499999999999</v>
      </c>
      <c r="F1487" t="s">
        <v>53</v>
      </c>
      <c r="G1487">
        <v>-201.11949999999999</v>
      </c>
      <c r="H1487" s="1">
        <v>2.511339E-6</v>
      </c>
      <c r="I1487">
        <v>286.92809999999997</v>
      </c>
      <c r="J1487">
        <v>-195.46420000000001</v>
      </c>
      <c r="K1487">
        <v>1.1016709999999901</v>
      </c>
      <c r="L1487">
        <v>290.78539999999998</v>
      </c>
      <c r="M1487">
        <v>-0.47963050000000002</v>
      </c>
      <c r="N1487">
        <v>0</v>
      </c>
      <c r="O1487">
        <v>-0.87737880000000001</v>
      </c>
      <c r="P1487">
        <v>-0.68582609999999999</v>
      </c>
      <c r="Q1487">
        <v>5.6440839999999999E-2</v>
      </c>
      <c r="R1487">
        <v>-0.72557369999999899</v>
      </c>
      <c r="S1487">
        <v>-2.5271759999999999</v>
      </c>
      <c r="T1487">
        <v>-0.47879650000000001</v>
      </c>
      <c r="U1487">
        <v>-1.7949520000000001</v>
      </c>
      <c r="V1487">
        <v>0.25507809999999997</v>
      </c>
      <c r="W1487">
        <v>6.3554639999999996E-2</v>
      </c>
      <c r="X1487">
        <v>0.96482950000000001</v>
      </c>
      <c r="Y1487">
        <v>0.42728899999999997</v>
      </c>
      <c r="Z1487">
        <v>0.15071229999999999</v>
      </c>
      <c r="AA1487">
        <v>0.89146510000000001</v>
      </c>
      <c r="AB1487">
        <v>28</v>
      </c>
      <c r="AC1487">
        <v>-5.65529999999998</v>
      </c>
      <c r="AD1487">
        <v>-1.10166848866099</v>
      </c>
      <c r="AE1487">
        <v>-3.8573</v>
      </c>
      <c r="AF1487">
        <v>3.0334478811908299</v>
      </c>
      <c r="AG1487">
        <v>-1.10166848866099</v>
      </c>
      <c r="AH1487">
        <v>5.9433302327723796</v>
      </c>
      <c r="AI1487">
        <v>99.3750048432358</v>
      </c>
      <c r="AJ1487">
        <v>62.960446807362999</v>
      </c>
      <c r="AK1487">
        <v>6.7630358392216099</v>
      </c>
      <c r="AL1487">
        <v>86.356131486768504</v>
      </c>
      <c r="AM1487">
        <v>75.1911660338329</v>
      </c>
      <c r="AN1487">
        <v>0.99999999671769402</v>
      </c>
    </row>
    <row r="1488" spans="1:40" x14ac:dyDescent="0.25">
      <c r="A1488" t="str">
        <f>"20190312151254275"</f>
        <v>20190312151254275</v>
      </c>
      <c r="B1488" t="str">
        <f>"1552374774271089"</f>
        <v>1552374774271089</v>
      </c>
      <c r="C1488" t="s">
        <v>40</v>
      </c>
      <c r="D1488">
        <v>4.992445</v>
      </c>
      <c r="E1488">
        <v>0.57607940000000002</v>
      </c>
      <c r="F1488" t="s">
        <v>53</v>
      </c>
      <c r="G1488">
        <v>-201.3235</v>
      </c>
      <c r="H1488" s="1">
        <v>2.6196080000000001E-6</v>
      </c>
      <c r="I1488">
        <v>286.72469999999998</v>
      </c>
      <c r="J1488">
        <v>-195.69470000000001</v>
      </c>
      <c r="K1488">
        <v>1.10149599999999</v>
      </c>
      <c r="L1488">
        <v>290.4067</v>
      </c>
      <c r="M1488">
        <v>-0.49535390000000001</v>
      </c>
      <c r="N1488">
        <v>0</v>
      </c>
      <c r="O1488">
        <v>-0.86859789999999903</v>
      </c>
      <c r="P1488">
        <v>-0.69999119999999904</v>
      </c>
      <c r="Q1488">
        <v>5.5591260000000003E-2</v>
      </c>
      <c r="R1488">
        <v>-0.71198430000000001</v>
      </c>
      <c r="S1488">
        <v>-2.5465550000000001</v>
      </c>
      <c r="T1488">
        <v>-0.47880210000000001</v>
      </c>
      <c r="U1488">
        <v>-1.7648619999999999</v>
      </c>
      <c r="V1488">
        <v>0.25669350000000002</v>
      </c>
      <c r="W1488">
        <v>6.2598589999999996E-2</v>
      </c>
      <c r="X1488">
        <v>0.96446350000000003</v>
      </c>
      <c r="Y1488">
        <v>0.42141139999999999</v>
      </c>
      <c r="Z1488">
        <v>0.14973429999999999</v>
      </c>
      <c r="AA1488">
        <v>0.89442279999999996</v>
      </c>
      <c r="AB1488">
        <v>28</v>
      </c>
      <c r="AC1488">
        <v>-5.6287999999999796</v>
      </c>
      <c r="AD1488">
        <v>-1.10149338039199</v>
      </c>
      <c r="AE1488">
        <v>-3.6820000000000102</v>
      </c>
      <c r="AF1488">
        <v>2.9854537088639499</v>
      </c>
      <c r="AG1488">
        <v>-1.10149338039199</v>
      </c>
      <c r="AH1488">
        <v>5.8305439812377102</v>
      </c>
      <c r="AI1488">
        <v>99.545317371466794</v>
      </c>
      <c r="AJ1488">
        <v>62.8858781617406</v>
      </c>
      <c r="AK1488">
        <v>6.6423990118002001</v>
      </c>
      <c r="AL1488">
        <v>86.4110183905931</v>
      </c>
      <c r="AM1488">
        <v>75.096138456597799</v>
      </c>
      <c r="AN1488">
        <v>0.99999998962224401</v>
      </c>
    </row>
    <row r="1489" spans="1:40" x14ac:dyDescent="0.25">
      <c r="A1489" t="str">
        <f>"20190312151254294"</f>
        <v>20190312151254294</v>
      </c>
      <c r="B1489" t="str">
        <f>"1552374774291585"</f>
        <v>1552374774291585</v>
      </c>
      <c r="C1489" t="s">
        <v>40</v>
      </c>
      <c r="D1489">
        <v>5.0495380000000001</v>
      </c>
      <c r="E1489">
        <v>0.57553430000000005</v>
      </c>
      <c r="F1489" t="s">
        <v>53</v>
      </c>
      <c r="G1489">
        <v>-201.5463</v>
      </c>
      <c r="H1489" s="1">
        <v>2.7389659999999999E-6</v>
      </c>
      <c r="I1489">
        <v>286.48930000000001</v>
      </c>
      <c r="J1489">
        <v>-195.82169999999999</v>
      </c>
      <c r="K1489">
        <v>1.101394</v>
      </c>
      <c r="L1489">
        <v>290.2045</v>
      </c>
      <c r="M1489">
        <v>-0.50390020000000002</v>
      </c>
      <c r="N1489">
        <v>0</v>
      </c>
      <c r="O1489">
        <v>-0.86366779999999999</v>
      </c>
      <c r="P1489">
        <v>-0.70732729999999999</v>
      </c>
      <c r="Q1489">
        <v>5.4638609999999997E-2</v>
      </c>
      <c r="R1489">
        <v>-0.70477190000000001</v>
      </c>
      <c r="S1489">
        <v>-2.5725250000000002</v>
      </c>
      <c r="T1489">
        <v>-0.4842436</v>
      </c>
      <c r="U1489">
        <v>-1.7221679999999999</v>
      </c>
      <c r="V1489">
        <v>0.25712390000000002</v>
      </c>
      <c r="W1489">
        <v>6.1597260000000001E-2</v>
      </c>
      <c r="X1489">
        <v>0.96441330000000003</v>
      </c>
      <c r="Y1489">
        <v>0.42664980000000002</v>
      </c>
      <c r="Z1489">
        <v>0.1513061</v>
      </c>
      <c r="AA1489">
        <v>0.89167059999999998</v>
      </c>
      <c r="AB1489">
        <v>28</v>
      </c>
      <c r="AC1489">
        <v>-5.7245999999999997</v>
      </c>
      <c r="AD1489">
        <v>-1.101391261034</v>
      </c>
      <c r="AE1489">
        <v>-3.7151999999999799</v>
      </c>
      <c r="AF1489">
        <v>2.9943220477878101</v>
      </c>
      <c r="AG1489">
        <v>-1.101391261034</v>
      </c>
      <c r="AH1489">
        <v>5.9391299803703301</v>
      </c>
      <c r="AI1489">
        <v>99.402370139545098</v>
      </c>
      <c r="AJ1489">
        <v>63.244199204280299</v>
      </c>
      <c r="AK1489">
        <v>6.7418315137271101</v>
      </c>
      <c r="AL1489">
        <v>86.468501237882805</v>
      </c>
      <c r="AM1489">
        <v>75.071521437669006</v>
      </c>
      <c r="AN1489">
        <v>0.99999996780380296</v>
      </c>
    </row>
    <row r="1490" spans="1:40" x14ac:dyDescent="0.25">
      <c r="A1490" t="str">
        <f>"20190312151254317"</f>
        <v>20190312151254317</v>
      </c>
      <c r="B1490" t="str">
        <f>"1552374774311105"</f>
        <v>1552374774311105</v>
      </c>
      <c r="C1490" t="s">
        <v>40</v>
      </c>
      <c r="D1490">
        <v>5.2207460000000001</v>
      </c>
      <c r="E1490">
        <v>0.59180469999999996</v>
      </c>
      <c r="F1490" t="s">
        <v>53</v>
      </c>
      <c r="G1490">
        <v>-201.70079999999999</v>
      </c>
      <c r="H1490" s="1">
        <v>2.8199380000000001E-6</v>
      </c>
      <c r="I1490">
        <v>286.34690000000001</v>
      </c>
      <c r="J1490">
        <v>-195.9786</v>
      </c>
      <c r="K1490">
        <v>1.101275</v>
      </c>
      <c r="L1490">
        <v>289.96100000000001</v>
      </c>
      <c r="M1490">
        <v>-0.51432230000000001</v>
      </c>
      <c r="N1490">
        <v>0</v>
      </c>
      <c r="O1490">
        <v>-0.85750159999999997</v>
      </c>
      <c r="P1490">
        <v>-0.71646049999999994</v>
      </c>
      <c r="Q1490">
        <v>5.470854E-2</v>
      </c>
      <c r="R1490">
        <v>-0.69547930000000002</v>
      </c>
      <c r="S1490">
        <v>-2.587234</v>
      </c>
      <c r="T1490">
        <v>-0.4846935</v>
      </c>
      <c r="U1490">
        <v>-1.697632</v>
      </c>
      <c r="V1490">
        <v>0.25804829999999901</v>
      </c>
      <c r="W1490">
        <v>6.1598680000000003E-2</v>
      </c>
      <c r="X1490">
        <v>0.96416630000000003</v>
      </c>
      <c r="Y1490">
        <v>0.42399290000000001</v>
      </c>
      <c r="Z1490">
        <v>0.15079999999999999</v>
      </c>
      <c r="AA1490">
        <v>0.89302269999999995</v>
      </c>
      <c r="AB1490">
        <v>28</v>
      </c>
      <c r="AC1490">
        <v>-5.7221999999999804</v>
      </c>
      <c r="AD1490">
        <v>-1.101272180062</v>
      </c>
      <c r="AE1490">
        <v>-3.6141000000000001</v>
      </c>
      <c r="AF1490">
        <v>2.96960561619268</v>
      </c>
      <c r="AG1490">
        <v>-1.101272180062</v>
      </c>
      <c r="AH1490">
        <v>5.8867798083021299</v>
      </c>
      <c r="AI1490">
        <v>99.482398132048402</v>
      </c>
      <c r="AJ1490">
        <v>63.231187513746299</v>
      </c>
      <c r="AK1490">
        <v>6.6847239615211702</v>
      </c>
      <c r="AL1490">
        <v>86.468419795496303</v>
      </c>
      <c r="AM1490">
        <v>75.0165947890968</v>
      </c>
      <c r="AN1490">
        <v>0.99999998828316095</v>
      </c>
    </row>
    <row r="1491" spans="1:40" x14ac:dyDescent="0.25">
      <c r="A1491" t="str">
        <f>"20190312151254338"</f>
        <v>20190312151254338</v>
      </c>
      <c r="B1491" t="str">
        <f>"1552374774331601"</f>
        <v>1552374774331601</v>
      </c>
      <c r="C1491" t="s">
        <v>40</v>
      </c>
      <c r="D1491">
        <v>5.1118420000000002</v>
      </c>
      <c r="E1491">
        <v>0.60851239999999995</v>
      </c>
      <c r="F1491" t="s">
        <v>53</v>
      </c>
      <c r="G1491">
        <v>-209.24780000000001</v>
      </c>
      <c r="H1491" s="1">
        <v>6.5278289999999997E-6</v>
      </c>
      <c r="I1491">
        <v>282.21600000000001</v>
      </c>
      <c r="J1491">
        <v>-196.12549999999999</v>
      </c>
      <c r="K1491">
        <v>1.1011649999999999</v>
      </c>
      <c r="L1491">
        <v>289.7389</v>
      </c>
      <c r="M1491">
        <v>-0.52396489999999996</v>
      </c>
      <c r="N1491">
        <v>0</v>
      </c>
      <c r="O1491">
        <v>-0.8516435</v>
      </c>
      <c r="P1491">
        <v>-0.72478469999999995</v>
      </c>
      <c r="Q1491">
        <v>5.5504909999999998E-2</v>
      </c>
      <c r="R1491">
        <v>-0.68673619999999902</v>
      </c>
      <c r="S1491">
        <v>-2.6837010000000001</v>
      </c>
      <c r="T1491">
        <v>-0.22273229999999999</v>
      </c>
      <c r="U1491">
        <v>-1.5664370000000001</v>
      </c>
      <c r="V1491">
        <v>0.25884960000000001</v>
      </c>
      <c r="W1491">
        <v>6.233255E-2</v>
      </c>
      <c r="X1491">
        <v>0.96390430000000005</v>
      </c>
      <c r="Y1491">
        <v>0.46900809999999998</v>
      </c>
      <c r="Z1491">
        <v>7.0264889999999997E-2</v>
      </c>
      <c r="AA1491">
        <v>0.88039439999999902</v>
      </c>
      <c r="AB1491">
        <v>28</v>
      </c>
      <c r="AC1491">
        <v>-13.122299999999999</v>
      </c>
      <c r="AD1491">
        <v>-1.1011584721709999</v>
      </c>
      <c r="AE1491">
        <v>-7.5228999999999902</v>
      </c>
      <c r="AF1491">
        <v>7.1962405628354196</v>
      </c>
      <c r="AG1491">
        <v>-1.1011584721709999</v>
      </c>
      <c r="AH1491">
        <v>13.213513810507999</v>
      </c>
      <c r="AI1491">
        <v>94.185786996520307</v>
      </c>
      <c r="AJ1491">
        <v>61.4267505863235</v>
      </c>
      <c r="AK1491">
        <v>15.086264462732901</v>
      </c>
      <c r="AL1491">
        <v>86.426291154656596</v>
      </c>
      <c r="AM1491">
        <v>74.968269585432793</v>
      </c>
      <c r="AN1491">
        <v>0.99999998088407605</v>
      </c>
    </row>
    <row r="1492" spans="1:40" x14ac:dyDescent="0.25">
      <c r="A1492" t="str">
        <f>"20190312151254360"</f>
        <v>20190312151254360</v>
      </c>
      <c r="B1492" t="str">
        <f>"1552374774351121"</f>
        <v>1552374774351121</v>
      </c>
      <c r="C1492" t="s">
        <v>40</v>
      </c>
      <c r="D1492">
        <v>5.075882</v>
      </c>
      <c r="E1492">
        <v>0.61524979999999996</v>
      </c>
      <c r="F1492" t="s">
        <v>53</v>
      </c>
      <c r="G1492">
        <v>-208.52070000000001</v>
      </c>
      <c r="H1492" s="1">
        <v>6.104678E-6</v>
      </c>
      <c r="I1492">
        <v>283.36810000000003</v>
      </c>
      <c r="J1492">
        <v>-196.28450000000001</v>
      </c>
      <c r="K1492">
        <v>1.101043</v>
      </c>
      <c r="L1492">
        <v>289.50479999999999</v>
      </c>
      <c r="M1492">
        <v>-0.53426929999999995</v>
      </c>
      <c r="N1492">
        <v>0</v>
      </c>
      <c r="O1492">
        <v>-0.84521659999999899</v>
      </c>
      <c r="P1492">
        <v>-0.73330309999999999</v>
      </c>
      <c r="Q1492">
        <v>5.5942739999999998E-2</v>
      </c>
      <c r="R1492">
        <v>-0.67759639999999999</v>
      </c>
      <c r="S1492">
        <v>-2.7963710000000002</v>
      </c>
      <c r="T1492">
        <v>-0.2484238</v>
      </c>
      <c r="U1492">
        <v>-1.4372560000000001</v>
      </c>
      <c r="V1492">
        <v>0.25922669999999998</v>
      </c>
      <c r="W1492">
        <v>6.2714220000000001E-2</v>
      </c>
      <c r="X1492">
        <v>0.96377820000000003</v>
      </c>
      <c r="Y1492">
        <v>0.50446530000000001</v>
      </c>
      <c r="Z1492">
        <v>7.803591E-2</v>
      </c>
      <c r="AA1492">
        <v>0.8598983</v>
      </c>
      <c r="AB1492">
        <v>28</v>
      </c>
      <c r="AC1492">
        <v>-12.236199999999901</v>
      </c>
      <c r="AD1492">
        <v>-1.101036895322</v>
      </c>
      <c r="AE1492">
        <v>-6.1366999999999603</v>
      </c>
      <c r="AF1492">
        <v>7.0187644927401402</v>
      </c>
      <c r="AG1492">
        <v>-1.101036895322</v>
      </c>
      <c r="AH1492">
        <v>11.6498663148729</v>
      </c>
      <c r="AI1492">
        <v>94.628211742940707</v>
      </c>
      <c r="AJ1492">
        <v>58.932046699603902</v>
      </c>
      <c r="AK1492">
        <v>13.6453186992397</v>
      </c>
      <c r="AL1492">
        <v>86.404380227485902</v>
      </c>
      <c r="AM1492">
        <v>74.945483976423006</v>
      </c>
      <c r="AN1492">
        <v>0.99999998708916904</v>
      </c>
    </row>
    <row r="1493" spans="1:40" x14ac:dyDescent="0.25">
      <c r="A1493" t="str">
        <f>"20190312151254385"</f>
        <v>20190312151254385</v>
      </c>
      <c r="B1493" t="str">
        <f>"1552374774381378"</f>
        <v>1552374774381378</v>
      </c>
      <c r="C1493" t="s">
        <v>40</v>
      </c>
      <c r="D1493">
        <v>5.1852910000000003</v>
      </c>
      <c r="E1493">
        <v>0.6208051</v>
      </c>
      <c r="F1493" t="s">
        <v>53</v>
      </c>
      <c r="G1493">
        <v>-207.4545</v>
      </c>
      <c r="H1493" s="1">
        <v>5.5620439999999998E-6</v>
      </c>
      <c r="I1493">
        <v>284.1671</v>
      </c>
      <c r="J1493">
        <v>-196.45179999999999</v>
      </c>
      <c r="K1493">
        <v>1.100911</v>
      </c>
      <c r="L1493">
        <v>289.26510000000002</v>
      </c>
      <c r="M1493">
        <v>-0.54497259999999903</v>
      </c>
      <c r="N1493">
        <v>0</v>
      </c>
      <c r="O1493">
        <v>-0.83835490000000001</v>
      </c>
      <c r="P1493">
        <v>-0.74175349999999995</v>
      </c>
      <c r="Q1493">
        <v>5.5336969999999999E-2</v>
      </c>
      <c r="R1493">
        <v>-0.66838609999999998</v>
      </c>
      <c r="S1493">
        <v>-2.8528440000000002</v>
      </c>
      <c r="T1493">
        <v>-0.28120719999999999</v>
      </c>
      <c r="U1493">
        <v>-1.363251</v>
      </c>
      <c r="V1493">
        <v>0.25905319999999998</v>
      </c>
      <c r="W1493">
        <v>6.2065090000000003E-2</v>
      </c>
      <c r="X1493">
        <v>0.96386689999999997</v>
      </c>
      <c r="Y1493">
        <v>0.51751229999999904</v>
      </c>
      <c r="Z1493">
        <v>8.7832380000000002E-2</v>
      </c>
      <c r="AA1493">
        <v>0.85115599999999902</v>
      </c>
      <c r="AB1493">
        <v>28</v>
      </c>
      <c r="AC1493">
        <v>-11.002700000000001</v>
      </c>
      <c r="AD1493">
        <v>-1.1009054379559999</v>
      </c>
      <c r="AE1493">
        <v>-5.0980000000000096</v>
      </c>
      <c r="AF1493">
        <v>6.3937341818014</v>
      </c>
      <c r="AG1493">
        <v>-1.1009054379559999</v>
      </c>
      <c r="AH1493">
        <v>10.186993229722701</v>
      </c>
      <c r="AI1493">
        <v>95.229954235686293</v>
      </c>
      <c r="AJ1493">
        <v>57.886096028020901</v>
      </c>
      <c r="AK1493">
        <v>12.077527090976499</v>
      </c>
      <c r="AL1493">
        <v>86.441645346601604</v>
      </c>
      <c r="AM1493">
        <v>74.956424732831593</v>
      </c>
      <c r="AN1493">
        <v>1.0000000183712701</v>
      </c>
    </row>
    <row r="1494" spans="1:40" x14ac:dyDescent="0.25">
      <c r="A1494" t="str">
        <f>"20190312151254407"</f>
        <v>20190312151254407</v>
      </c>
      <c r="B1494" t="str">
        <f>"1552374774401874"</f>
        <v>1552374774401874</v>
      </c>
      <c r="C1494" t="s">
        <v>40</v>
      </c>
      <c r="D1494">
        <v>5.1215840000000004</v>
      </c>
      <c r="E1494">
        <v>0.62416289999999996</v>
      </c>
      <c r="F1494" t="s">
        <v>53</v>
      </c>
      <c r="G1494">
        <v>-207.749</v>
      </c>
      <c r="H1494" s="1">
        <v>5.6877959999999999E-6</v>
      </c>
      <c r="I1494">
        <v>284.22230000000002</v>
      </c>
      <c r="J1494">
        <v>-196.61969999999999</v>
      </c>
      <c r="K1494">
        <v>1.1007819999999999</v>
      </c>
      <c r="L1494">
        <v>289.03129999999999</v>
      </c>
      <c r="M1494">
        <v>-0.55558090000000004</v>
      </c>
      <c r="N1494">
        <v>0</v>
      </c>
      <c r="O1494">
        <v>-0.8313623</v>
      </c>
      <c r="P1494">
        <v>-0.75023090000000003</v>
      </c>
      <c r="Q1494">
        <v>5.5257960000000002E-2</v>
      </c>
      <c r="R1494">
        <v>-0.65886299999999998</v>
      </c>
      <c r="S1494">
        <v>-2.8993530000000001</v>
      </c>
      <c r="T1494">
        <v>-0.28253899999999998</v>
      </c>
      <c r="U1494">
        <v>-1.294189</v>
      </c>
      <c r="V1494">
        <v>0.25913269999999999</v>
      </c>
      <c r="W1494">
        <v>6.1936600000000001E-2</v>
      </c>
      <c r="X1494">
        <v>0.96385379999999998</v>
      </c>
      <c r="Y1494">
        <v>0.52868369999999998</v>
      </c>
      <c r="Z1494">
        <v>8.7875300000000003E-2</v>
      </c>
      <c r="AA1494">
        <v>0.84425799999999995</v>
      </c>
      <c r="AB1494">
        <v>28</v>
      </c>
      <c r="AC1494">
        <v>-11.129300000000001</v>
      </c>
      <c r="AD1494">
        <v>-1.100776312204</v>
      </c>
      <c r="AE1494">
        <v>-4.8089999999999602</v>
      </c>
      <c r="AF1494">
        <v>6.5274305827247101</v>
      </c>
      <c r="AG1494">
        <v>-1.100776312204</v>
      </c>
      <c r="AH1494">
        <v>10.0988451320209</v>
      </c>
      <c r="AI1494">
        <v>95.230434648253805</v>
      </c>
      <c r="AJ1494">
        <v>57.123225062240998</v>
      </c>
      <c r="AK1494">
        <v>12.075004410034101</v>
      </c>
      <c r="AL1494">
        <v>86.449021489305906</v>
      </c>
      <c r="AM1494">
        <v>74.951822173821</v>
      </c>
      <c r="AN1494">
        <v>1.0000000232016399</v>
      </c>
    </row>
    <row r="1495" spans="1:40" x14ac:dyDescent="0.25">
      <c r="A1495" t="str">
        <f>"20190312151254429"</f>
        <v>20190312151254429</v>
      </c>
      <c r="B1495" t="str">
        <f>"1552374774421393"</f>
        <v>1552374774421393</v>
      </c>
      <c r="C1495" t="s">
        <v>40</v>
      </c>
      <c r="D1495">
        <v>5.1545030000000001</v>
      </c>
      <c r="E1495">
        <v>0.62442229999999999</v>
      </c>
      <c r="F1495" t="s">
        <v>53</v>
      </c>
      <c r="G1495">
        <v>-208.28469999999999</v>
      </c>
      <c r="H1495" s="1">
        <v>5.9350409999999996E-6</v>
      </c>
      <c r="I1495">
        <v>284.11169999999998</v>
      </c>
      <c r="J1495">
        <v>-196.78569999999999</v>
      </c>
      <c r="K1495">
        <v>1.1006560000000001</v>
      </c>
      <c r="L1495">
        <v>288.80680000000001</v>
      </c>
      <c r="M1495">
        <v>-0.56592929999999997</v>
      </c>
      <c r="N1495">
        <v>0</v>
      </c>
      <c r="O1495">
        <v>-0.82435210000000003</v>
      </c>
      <c r="P1495">
        <v>-0.75832900000000003</v>
      </c>
      <c r="Q1495">
        <v>5.4819E-2</v>
      </c>
      <c r="R1495">
        <v>-0.6495628</v>
      </c>
      <c r="S1495">
        <v>-2.932877</v>
      </c>
      <c r="T1495">
        <v>-0.2767618</v>
      </c>
      <c r="U1495">
        <v>-1.2369079999999999</v>
      </c>
      <c r="V1495">
        <v>0.25900389999999901</v>
      </c>
      <c r="W1495">
        <v>6.1454950000000001E-2</v>
      </c>
      <c r="X1495">
        <v>0.96391919999999998</v>
      </c>
      <c r="Y1495">
        <v>0.53576140000000005</v>
      </c>
      <c r="Z1495">
        <v>8.5749259999999994E-2</v>
      </c>
      <c r="AA1495">
        <v>0.84000399999999997</v>
      </c>
      <c r="AB1495">
        <v>28</v>
      </c>
      <c r="AC1495">
        <v>-11.498999999999899</v>
      </c>
      <c r="AD1495">
        <v>-1.1006500649590001</v>
      </c>
      <c r="AE1495">
        <v>-4.6951000000000196</v>
      </c>
      <c r="AF1495">
        <v>6.7695434318506198</v>
      </c>
      <c r="AG1495">
        <v>-1.1006500649590001</v>
      </c>
      <c r="AH1495">
        <v>10.298040027090201</v>
      </c>
      <c r="AI1495">
        <v>95.103593678016495</v>
      </c>
      <c r="AJ1495">
        <v>56.680588327399803</v>
      </c>
      <c r="AK1495">
        <v>12.3728645527525</v>
      </c>
      <c r="AL1495">
        <v>86.476670511967598</v>
      </c>
      <c r="AM1495">
        <v>74.9599370183617</v>
      </c>
      <c r="AN1495">
        <v>0.99999997761167503</v>
      </c>
    </row>
    <row r="1496" spans="1:40" x14ac:dyDescent="0.25">
      <c r="A1496" t="str">
        <f>"20190312151254453"</f>
        <v>20190312151254453</v>
      </c>
      <c r="B1496" t="str">
        <f>"1552374774441890"</f>
        <v>1552374774441890</v>
      </c>
      <c r="C1496" t="s">
        <v>40</v>
      </c>
      <c r="D1496">
        <v>5.2602570000000002</v>
      </c>
      <c r="E1496">
        <v>0.62378389999999995</v>
      </c>
      <c r="F1496" t="s">
        <v>53</v>
      </c>
      <c r="G1496">
        <v>-208.3295</v>
      </c>
      <c r="H1496" s="1">
        <v>5.9547440000000003E-6</v>
      </c>
      <c r="I1496">
        <v>284.11320000000001</v>
      </c>
      <c r="J1496">
        <v>-196.96600000000001</v>
      </c>
      <c r="K1496">
        <v>1.10053</v>
      </c>
      <c r="L1496">
        <v>288.56950000000001</v>
      </c>
      <c r="M1496">
        <v>-0.57700819999999997</v>
      </c>
      <c r="N1496">
        <v>0</v>
      </c>
      <c r="O1496">
        <v>-0.81663529999999995</v>
      </c>
      <c r="P1496">
        <v>-0.76687399999999994</v>
      </c>
      <c r="Q1496">
        <v>5.439484E-2</v>
      </c>
      <c r="R1496">
        <v>-0.63948850000000002</v>
      </c>
      <c r="S1496">
        <v>-2.949265</v>
      </c>
      <c r="T1496">
        <v>-0.28119909999999998</v>
      </c>
      <c r="U1496">
        <v>-1.1991270000000001</v>
      </c>
      <c r="V1496">
        <v>0.2587565</v>
      </c>
      <c r="W1496">
        <v>6.0993289999999999E-2</v>
      </c>
      <c r="X1496">
        <v>0.96401499999999996</v>
      </c>
      <c r="Y1496">
        <v>0.53514099999999998</v>
      </c>
      <c r="Z1496">
        <v>8.6684430000000007E-2</v>
      </c>
      <c r="AA1496">
        <v>0.84030349999999998</v>
      </c>
      <c r="AB1496">
        <v>28</v>
      </c>
      <c r="AC1496">
        <v>-11.3635</v>
      </c>
      <c r="AD1496">
        <v>-1.1005240452559999</v>
      </c>
      <c r="AE1496">
        <v>-4.4562999999999899</v>
      </c>
      <c r="AF1496">
        <v>6.6549785211210404</v>
      </c>
      <c r="AG1496">
        <v>-1.1005240452559999</v>
      </c>
      <c r="AH1496">
        <v>10.1146387337054</v>
      </c>
      <c r="AI1496">
        <v>95.193633797596505</v>
      </c>
      <c r="AJ1496">
        <v>56.656877411753698</v>
      </c>
      <c r="AK1496">
        <v>12.157541240075799</v>
      </c>
      <c r="AL1496">
        <v>86.503171524166504</v>
      </c>
      <c r="AM1496">
        <v>74.975078964570898</v>
      </c>
      <c r="AN1496">
        <v>1.00000001397113</v>
      </c>
    </row>
    <row r="1497" spans="1:40" x14ac:dyDescent="0.25">
      <c r="A1497" t="str">
        <f>"20190312151254496"</f>
        <v>20190312151254496</v>
      </c>
      <c r="B1497" t="str">
        <f>"1552374774491665"</f>
        <v>1552374774491665</v>
      </c>
      <c r="C1497" t="s">
        <v>40</v>
      </c>
      <c r="D1497">
        <v>5.2769259999999996</v>
      </c>
      <c r="E1497">
        <v>0.62183359999999999</v>
      </c>
      <c r="F1497" t="s">
        <v>53</v>
      </c>
      <c r="G1497">
        <v>-208.12950000000001</v>
      </c>
      <c r="H1497" s="1">
        <v>5.8598119999999997E-6</v>
      </c>
      <c r="I1497">
        <v>284.185</v>
      </c>
      <c r="J1497">
        <v>-197.29910000000001</v>
      </c>
      <c r="K1497">
        <v>1.100301</v>
      </c>
      <c r="L1497">
        <v>288.14850000000001</v>
      </c>
      <c r="M1497">
        <v>-0.59704690000000005</v>
      </c>
      <c r="N1497">
        <v>0</v>
      </c>
      <c r="O1497">
        <v>-0.80210039999999905</v>
      </c>
      <c r="P1497">
        <v>-0.78230290000000002</v>
      </c>
      <c r="Q1497">
        <v>5.3349750000000001E-2</v>
      </c>
      <c r="R1497">
        <v>-0.62060959999999998</v>
      </c>
      <c r="S1497">
        <v>-2.9624480000000002</v>
      </c>
      <c r="T1497">
        <v>-0.29204419999999998</v>
      </c>
      <c r="U1497">
        <v>-1.163513</v>
      </c>
      <c r="V1497">
        <v>0.25845180000000001</v>
      </c>
      <c r="W1497">
        <v>5.988048E-2</v>
      </c>
      <c r="X1497">
        <v>0.96416650000000004</v>
      </c>
      <c r="Y1497">
        <v>0.52398800000000001</v>
      </c>
      <c r="Z1497">
        <v>8.8853269999999998E-2</v>
      </c>
      <c r="AA1497">
        <v>0.84707829999999995</v>
      </c>
      <c r="AB1497">
        <v>28</v>
      </c>
      <c r="AC1497">
        <v>-10.8303999999999</v>
      </c>
      <c r="AD1497">
        <v>-1.1002951401879999</v>
      </c>
      <c r="AE1497">
        <v>-3.96350000000001</v>
      </c>
      <c r="AF1497">
        <v>6.2641922942066799</v>
      </c>
      <c r="AG1497">
        <v>-1.1002951401879999</v>
      </c>
      <c r="AH1497">
        <v>9.5591921408519003</v>
      </c>
      <c r="AI1497">
        <v>95.499123474862103</v>
      </c>
      <c r="AJ1497">
        <v>56.762949451303101</v>
      </c>
      <c r="AK1497">
        <v>11.4816770935279</v>
      </c>
      <c r="AL1497">
        <v>86.567047635674797</v>
      </c>
      <c r="AM1497">
        <v>74.994224786370594</v>
      </c>
      <c r="AN1497">
        <v>1.0000000222652501</v>
      </c>
    </row>
    <row r="1498" spans="1:40" x14ac:dyDescent="0.25">
      <c r="A1498" t="str">
        <f>"20190312151254518"</f>
        <v>20190312151254518</v>
      </c>
      <c r="B1498" t="str">
        <f>"1552374774511185"</f>
        <v>1552374774511185</v>
      </c>
      <c r="C1498" t="s">
        <v>40</v>
      </c>
      <c r="D1498">
        <v>5.3281999999999998</v>
      </c>
      <c r="E1498">
        <v>0.62058690000000005</v>
      </c>
      <c r="F1498" t="s">
        <v>53</v>
      </c>
      <c r="G1498">
        <v>-207.76419999999999</v>
      </c>
      <c r="H1498" s="1">
        <v>5.6892999999999999E-6</v>
      </c>
      <c r="I1498">
        <v>284.28230000000002</v>
      </c>
      <c r="J1498">
        <v>-197.4796</v>
      </c>
      <c r="K1498">
        <v>1.1001829999999999</v>
      </c>
      <c r="L1498">
        <v>287.92939999999999</v>
      </c>
      <c r="M1498">
        <v>-0.60768389999999906</v>
      </c>
      <c r="N1498">
        <v>0</v>
      </c>
      <c r="O1498">
        <v>-0.79407139999999998</v>
      </c>
      <c r="P1498">
        <v>-0.79002720000000004</v>
      </c>
      <c r="Q1498">
        <v>5.3226500000000003E-2</v>
      </c>
      <c r="R1498">
        <v>-0.61075729999999995</v>
      </c>
      <c r="S1498">
        <v>-2.9821620000000002</v>
      </c>
      <c r="T1498">
        <v>-0.31354330000000002</v>
      </c>
      <c r="U1498">
        <v>-1.1017459999999999</v>
      </c>
      <c r="V1498">
        <v>0.25770520000000002</v>
      </c>
      <c r="W1498">
        <v>5.9738159999999998E-2</v>
      </c>
      <c r="X1498">
        <v>0.96437510000000004</v>
      </c>
      <c r="Y1498">
        <v>0.52921099999999999</v>
      </c>
      <c r="Z1498">
        <v>9.5169459999999997E-2</v>
      </c>
      <c r="AA1498">
        <v>0.84313609999999894</v>
      </c>
      <c r="AB1498">
        <v>28</v>
      </c>
      <c r="AC1498">
        <v>-10.2845999999999</v>
      </c>
      <c r="AD1498">
        <v>-1.1001773106999999</v>
      </c>
      <c r="AE1498">
        <v>-3.64709999999996</v>
      </c>
      <c r="AF1498">
        <v>5.8910487801487097</v>
      </c>
      <c r="AG1498">
        <v>-1.1001773106999999</v>
      </c>
      <c r="AH1498">
        <v>9.0545853829063194</v>
      </c>
      <c r="AI1498">
        <v>95.815320473624197</v>
      </c>
      <c r="AJ1498">
        <v>56.951369578402897</v>
      </c>
      <c r="AK1498">
        <v>10.858193325844301</v>
      </c>
      <c r="AL1498">
        <v>86.575216435022696</v>
      </c>
      <c r="AM1498">
        <v>75.0387171153738</v>
      </c>
      <c r="AN1498">
        <v>0.99999997568361698</v>
      </c>
    </row>
    <row r="1499" spans="1:40" x14ac:dyDescent="0.25">
      <c r="A1499" t="str">
        <f>"20190312151254540"</f>
        <v>20190312151254540</v>
      </c>
      <c r="B1499" t="str">
        <f>"1552374774531682"</f>
        <v>1552374774531682</v>
      </c>
      <c r="C1499" t="s">
        <v>40</v>
      </c>
      <c r="D1499">
        <v>5.2821309999999997</v>
      </c>
      <c r="E1499">
        <v>0.61969169999999996</v>
      </c>
      <c r="F1499" t="s">
        <v>53</v>
      </c>
      <c r="G1499">
        <v>-208.41849999999999</v>
      </c>
      <c r="H1499" s="1">
        <v>6.0032889999999997E-6</v>
      </c>
      <c r="I1499">
        <v>284.0095</v>
      </c>
      <c r="J1499">
        <v>-197.65860000000001</v>
      </c>
      <c r="K1499">
        <v>1.1000669999999999</v>
      </c>
      <c r="L1499">
        <v>287.71789999999999</v>
      </c>
      <c r="M1499">
        <v>-0.61808459999999998</v>
      </c>
      <c r="N1499">
        <v>0</v>
      </c>
      <c r="O1499">
        <v>-0.78600230000000004</v>
      </c>
      <c r="P1499">
        <v>-0.79762900000000003</v>
      </c>
      <c r="Q1499">
        <v>5.275262E-2</v>
      </c>
      <c r="R1499">
        <v>-0.60083710000000001</v>
      </c>
      <c r="S1499">
        <v>-2.9894560000000001</v>
      </c>
      <c r="T1499">
        <v>-0.30066559999999998</v>
      </c>
      <c r="U1499">
        <v>-1.071259</v>
      </c>
      <c r="V1499">
        <v>0.25709120000000002</v>
      </c>
      <c r="W1499">
        <v>5.9240279999999999E-2</v>
      </c>
      <c r="X1499">
        <v>0.96456969999999997</v>
      </c>
      <c r="Y1499">
        <v>0.52676149999999999</v>
      </c>
      <c r="Z1499">
        <v>9.0817980000000006E-2</v>
      </c>
      <c r="AA1499">
        <v>0.8451476</v>
      </c>
      <c r="AB1499">
        <v>28</v>
      </c>
      <c r="AC1499">
        <v>-10.759899999999901</v>
      </c>
      <c r="AD1499">
        <v>-1.100060996711</v>
      </c>
      <c r="AE1499">
        <v>-3.7083999999999802</v>
      </c>
      <c r="AF1499">
        <v>6.1086597276258203</v>
      </c>
      <c r="AG1499">
        <v>-1.100060996711</v>
      </c>
      <c r="AH1499">
        <v>9.4776150232522696</v>
      </c>
      <c r="AI1499">
        <v>95.572171974197104</v>
      </c>
      <c r="AJ1499">
        <v>57.196781023577401</v>
      </c>
      <c r="AK1499">
        <v>11.3292119934874</v>
      </c>
      <c r="AL1499">
        <v>86.603793556301198</v>
      </c>
      <c r="AM1499">
        <v>75.075647505907099</v>
      </c>
      <c r="AN1499">
        <v>1.0000000010250001</v>
      </c>
    </row>
    <row r="1500" spans="1:40" x14ac:dyDescent="0.25">
      <c r="A1500" t="str">
        <f>"20190312151254563"</f>
        <v>20190312151254563</v>
      </c>
      <c r="B1500" t="str">
        <f>"1552374774561938"</f>
        <v>1552374774561938</v>
      </c>
      <c r="C1500" t="s">
        <v>40</v>
      </c>
      <c r="D1500">
        <v>5.2489270000000001</v>
      </c>
      <c r="E1500">
        <v>0.61848429999999999</v>
      </c>
      <c r="F1500" t="s">
        <v>53</v>
      </c>
      <c r="G1500">
        <v>-208.3048</v>
      </c>
      <c r="H1500" s="1">
        <v>5.9510859999999997E-6</v>
      </c>
      <c r="I1500">
        <v>284.02999999999997</v>
      </c>
      <c r="J1500">
        <v>-197.8554</v>
      </c>
      <c r="K1500">
        <v>1.099925</v>
      </c>
      <c r="L1500">
        <v>287.49209999999999</v>
      </c>
      <c r="M1500">
        <v>-0.62936619999999999</v>
      </c>
      <c r="N1500">
        <v>0</v>
      </c>
      <c r="O1500">
        <v>-0.77699759999999995</v>
      </c>
      <c r="P1500">
        <v>-0.80569460000000004</v>
      </c>
      <c r="Q1500">
        <v>5.214208E-2</v>
      </c>
      <c r="R1500">
        <v>-0.5900318</v>
      </c>
      <c r="S1500">
        <v>-2.9990540000000001</v>
      </c>
      <c r="T1500">
        <v>-0.30989040000000001</v>
      </c>
      <c r="U1500">
        <v>-1.03891</v>
      </c>
      <c r="V1500">
        <v>0.2562046</v>
      </c>
      <c r="W1500">
        <v>5.860481E-2</v>
      </c>
      <c r="X1500">
        <v>0.96484440000000005</v>
      </c>
      <c r="Y1500">
        <v>0.52322599999999997</v>
      </c>
      <c r="Z1500">
        <v>9.2938960000000001E-2</v>
      </c>
      <c r="AA1500">
        <v>0.8471109</v>
      </c>
      <c r="AB1500">
        <v>28</v>
      </c>
      <c r="AC1500">
        <v>-10.449399999999899</v>
      </c>
      <c r="AD1500">
        <v>-1.0999190489140001</v>
      </c>
      <c r="AE1500">
        <v>-3.4621000000000199</v>
      </c>
      <c r="AF1500">
        <v>5.8820175949057703</v>
      </c>
      <c r="AG1500">
        <v>-1.0999190489140001</v>
      </c>
      <c r="AH1500">
        <v>9.17573332771682</v>
      </c>
      <c r="AI1500">
        <v>95.762640129782696</v>
      </c>
      <c r="AJ1500">
        <v>57.3384798266815</v>
      </c>
      <c r="AK1500">
        <v>10.954544034432301</v>
      </c>
      <c r="AL1500">
        <v>86.640266734665602</v>
      </c>
      <c r="AM1500">
        <v>75.128877356170094</v>
      </c>
      <c r="AN1500">
        <v>1.00000001851382</v>
      </c>
    </row>
    <row r="1501" spans="1:40" x14ac:dyDescent="0.25">
      <c r="A1501" t="str">
        <f>"20190312151254586"</f>
        <v>20190312151254586</v>
      </c>
      <c r="B1501" t="str">
        <f>"1552374774581459"</f>
        <v>1552374774581459</v>
      </c>
      <c r="C1501" t="s">
        <v>40</v>
      </c>
      <c r="D1501">
        <v>5.3626889999999996</v>
      </c>
      <c r="E1501">
        <v>0.61759319999999995</v>
      </c>
      <c r="F1501" t="s">
        <v>53</v>
      </c>
      <c r="G1501">
        <v>-208.18469999999999</v>
      </c>
      <c r="H1501" s="1">
        <v>5.8971349999999997E-6</v>
      </c>
      <c r="I1501">
        <v>284.03789999999998</v>
      </c>
      <c r="J1501">
        <v>-198.0394</v>
      </c>
      <c r="K1501">
        <v>1.09978</v>
      </c>
      <c r="L1501">
        <v>287.28699999999998</v>
      </c>
      <c r="M1501">
        <v>-0.63978069999999998</v>
      </c>
      <c r="N1501">
        <v>0</v>
      </c>
      <c r="O1501">
        <v>-0.76844440000000003</v>
      </c>
      <c r="P1501">
        <v>-0.81292929999999997</v>
      </c>
      <c r="Q1501">
        <v>5.1633239999999997E-2</v>
      </c>
      <c r="R1501">
        <v>-0.58006919999999995</v>
      </c>
      <c r="S1501">
        <v>-3.00766</v>
      </c>
      <c r="T1501">
        <v>-0.32027159999999999</v>
      </c>
      <c r="U1501">
        <v>-1.005768</v>
      </c>
      <c r="V1501">
        <v>0.25511060000000002</v>
      </c>
      <c r="W1501">
        <v>5.8078789999999998E-2</v>
      </c>
      <c r="X1501">
        <v>0.96516599999999997</v>
      </c>
      <c r="Y1501">
        <v>0.52057180000000003</v>
      </c>
      <c r="Z1501">
        <v>9.5438869999999995E-2</v>
      </c>
      <c r="AA1501">
        <v>0.84846710000000003</v>
      </c>
      <c r="AB1501">
        <v>28</v>
      </c>
      <c r="AC1501">
        <v>-10.145299999999899</v>
      </c>
      <c r="AD1501">
        <v>-1.0997741028650001</v>
      </c>
      <c r="AE1501">
        <v>-3.2491000000000501</v>
      </c>
      <c r="AF1501">
        <v>5.65758636322757</v>
      </c>
      <c r="AG1501">
        <v>-1.0997741028650001</v>
      </c>
      <c r="AH1501">
        <v>8.8935146815421007</v>
      </c>
      <c r="AI1501">
        <v>95.956551163288196</v>
      </c>
      <c r="AJ1501">
        <v>57.537626374402898</v>
      </c>
      <c r="AK1501">
        <v>10.5977540038215</v>
      </c>
      <c r="AL1501">
        <v>86.670456775305695</v>
      </c>
      <c r="AM1501">
        <v>75.194298937108897</v>
      </c>
      <c r="AN1501">
        <v>0.999999985818111</v>
      </c>
    </row>
    <row r="1502" spans="1:40" x14ac:dyDescent="0.25">
      <c r="A1502" t="str">
        <f>"20190312151254607"</f>
        <v>20190312151254607</v>
      </c>
      <c r="B1502" t="str">
        <f>"1552374774600978"</f>
        <v>1552374774600978</v>
      </c>
      <c r="C1502" t="s">
        <v>40</v>
      </c>
      <c r="D1502">
        <v>5.3543830000000003</v>
      </c>
      <c r="E1502">
        <v>0.61670859999999905</v>
      </c>
      <c r="F1502" t="s">
        <v>53</v>
      </c>
      <c r="G1502">
        <v>-208.1046</v>
      </c>
      <c r="H1502" s="1">
        <v>5.8618530000000003E-6</v>
      </c>
      <c r="I1502">
        <v>284.03489999999999</v>
      </c>
      <c r="J1502">
        <v>-198.22479999999999</v>
      </c>
      <c r="K1502">
        <v>1.0996319999999999</v>
      </c>
      <c r="L1502">
        <v>287.0865</v>
      </c>
      <c r="M1502">
        <v>-0.65013100000000001</v>
      </c>
      <c r="N1502">
        <v>0</v>
      </c>
      <c r="O1502">
        <v>-0.75970700000000002</v>
      </c>
      <c r="P1502">
        <v>-0.82049349999999999</v>
      </c>
      <c r="Q1502">
        <v>5.1912449999999999E-2</v>
      </c>
      <c r="R1502">
        <v>-0.56929399999999997</v>
      </c>
      <c r="S1502">
        <v>-3.0159609999999999</v>
      </c>
      <c r="T1502">
        <v>-0.32954169999999999</v>
      </c>
      <c r="U1502">
        <v>-0.97445680000000001</v>
      </c>
      <c r="V1502">
        <v>0.25478410000000001</v>
      </c>
      <c r="W1502">
        <v>5.831824E-2</v>
      </c>
      <c r="X1502">
        <v>0.96523789999999998</v>
      </c>
      <c r="Y1502">
        <v>0.5174088</v>
      </c>
      <c r="Z1502">
        <v>9.7505709999999995E-2</v>
      </c>
      <c r="AA1502">
        <v>0.85016510000000001</v>
      </c>
      <c r="AB1502">
        <v>28</v>
      </c>
      <c r="AC1502">
        <v>-9.8798000000000101</v>
      </c>
      <c r="AD1502">
        <v>-1.0996261381469901</v>
      </c>
      <c r="AE1502">
        <v>-3.0516000000000001</v>
      </c>
      <c r="AF1502">
        <v>5.4605438485453996</v>
      </c>
      <c r="AG1502">
        <v>-1.0996261381469901</v>
      </c>
      <c r="AH1502">
        <v>8.6444912882413298</v>
      </c>
      <c r="AI1502">
        <v>96.138333762668694</v>
      </c>
      <c r="AJ1502">
        <v>57.720256799086101</v>
      </c>
      <c r="AK1502">
        <v>10.2836737792514</v>
      </c>
      <c r="AL1502">
        <v>86.656714319525705</v>
      </c>
      <c r="AM1502">
        <v>75.2134702459648</v>
      </c>
      <c r="AN1502">
        <v>1.00000007916295</v>
      </c>
    </row>
    <row r="1503" spans="1:40" x14ac:dyDescent="0.25">
      <c r="A1503" t="str">
        <f>"20190312151254630"</f>
        <v>20190312151254630</v>
      </c>
      <c r="B1503" t="str">
        <f>"1552374774621473"</f>
        <v>1552374774621473</v>
      </c>
      <c r="C1503" t="s">
        <v>40</v>
      </c>
      <c r="D1503">
        <v>5.3737870000000001</v>
      </c>
      <c r="E1503">
        <v>0.61591479999999998</v>
      </c>
      <c r="F1503" t="s">
        <v>53</v>
      </c>
      <c r="G1503">
        <v>-208.18680000000001</v>
      </c>
      <c r="H1503" s="1">
        <v>5.9022820000000002E-6</v>
      </c>
      <c r="I1503">
        <v>283.9898</v>
      </c>
      <c r="J1503">
        <v>-198.41929999999999</v>
      </c>
      <c r="K1503">
        <v>1.09949599999999</v>
      </c>
      <c r="L1503">
        <v>286.88220000000001</v>
      </c>
      <c r="M1503">
        <v>-0.66082609999999997</v>
      </c>
      <c r="N1503">
        <v>0</v>
      </c>
      <c r="O1503">
        <v>-0.75042159999999902</v>
      </c>
      <c r="P1503">
        <v>-0.82822019999999996</v>
      </c>
      <c r="Q1503">
        <v>5.2127470000000002E-2</v>
      </c>
      <c r="R1503">
        <v>-0.55797359999999996</v>
      </c>
      <c r="S1503">
        <v>-3.0250089999999998</v>
      </c>
      <c r="T1503">
        <v>-0.33390449999999999</v>
      </c>
      <c r="U1503">
        <v>-0.94033809999999995</v>
      </c>
      <c r="V1503">
        <v>0.25438230000000001</v>
      </c>
      <c r="W1503">
        <v>5.850151E-2</v>
      </c>
      <c r="X1503">
        <v>0.96533270000000004</v>
      </c>
      <c r="Y1503">
        <v>0.51466659999999997</v>
      </c>
      <c r="Z1503">
        <v>9.8062029999999994E-2</v>
      </c>
      <c r="AA1503">
        <v>0.85176409999999902</v>
      </c>
      <c r="AB1503">
        <v>28</v>
      </c>
      <c r="AC1503">
        <v>-9.7675000000000107</v>
      </c>
      <c r="AD1503">
        <v>-1.09949009771799</v>
      </c>
      <c r="AE1503">
        <v>-2.8923999999999999</v>
      </c>
      <c r="AF1503">
        <v>5.3564468101530096</v>
      </c>
      <c r="AG1503">
        <v>-1.09949009771799</v>
      </c>
      <c r="AH1503">
        <v>8.5265676935437593</v>
      </c>
      <c r="AI1503">
        <v>96.231476553342404</v>
      </c>
      <c r="AJ1503">
        <v>57.862687133964698</v>
      </c>
      <c r="AK1503">
        <v>10.1293019274559</v>
      </c>
      <c r="AL1503">
        <v>86.6461955034477</v>
      </c>
      <c r="AM1503">
        <v>75.237156120290507</v>
      </c>
      <c r="AN1503">
        <v>1.00000000145743</v>
      </c>
    </row>
    <row r="1504" spans="1:40" x14ac:dyDescent="0.25">
      <c r="A1504" t="str">
        <f>"20190312151254653"</f>
        <v>20190312151254653</v>
      </c>
      <c r="B1504" t="str">
        <f>"1552374774640994"</f>
        <v>1552374774640994</v>
      </c>
      <c r="C1504" t="s">
        <v>40</v>
      </c>
      <c r="D1504">
        <v>5.355378</v>
      </c>
      <c r="E1504">
        <v>0.61545559999999999</v>
      </c>
      <c r="F1504" t="s">
        <v>53</v>
      </c>
      <c r="G1504">
        <v>-208.2475</v>
      </c>
      <c r="H1504" s="1">
        <v>5.9322910000000003E-6</v>
      </c>
      <c r="I1504">
        <v>283.9545</v>
      </c>
      <c r="J1504">
        <v>-198.62569999999999</v>
      </c>
      <c r="K1504">
        <v>1.099362</v>
      </c>
      <c r="L1504">
        <v>286.67180000000002</v>
      </c>
      <c r="M1504">
        <v>-0.67198570000000002</v>
      </c>
      <c r="N1504">
        <v>0</v>
      </c>
      <c r="O1504">
        <v>-0.74044469999999996</v>
      </c>
      <c r="P1504">
        <v>-0.83665460000000003</v>
      </c>
      <c r="Q1504">
        <v>5.2707820000000002E-2</v>
      </c>
      <c r="R1504">
        <v>-0.54518909999999998</v>
      </c>
      <c r="S1504">
        <v>-3.0346069999999998</v>
      </c>
      <c r="T1504">
        <v>-0.3394817</v>
      </c>
      <c r="U1504">
        <v>-0.90396120000000002</v>
      </c>
      <c r="V1504">
        <v>0.25476290000000001</v>
      </c>
      <c r="W1504">
        <v>5.9030350000000002E-2</v>
      </c>
      <c r="X1504">
        <v>0.96520010000000001</v>
      </c>
      <c r="Y1504">
        <v>0.51182510000000003</v>
      </c>
      <c r="Z1504">
        <v>9.88734E-2</v>
      </c>
      <c r="AA1504">
        <v>0.85338099999999995</v>
      </c>
      <c r="AB1504">
        <v>28</v>
      </c>
      <c r="AC1504">
        <v>-9.6218000000000004</v>
      </c>
      <c r="AD1504">
        <v>-1.099356067709</v>
      </c>
      <c r="AE1504">
        <v>-2.7173000000000198</v>
      </c>
      <c r="AF1504">
        <v>5.2355925891476902</v>
      </c>
      <c r="AG1504">
        <v>-1.099356067709</v>
      </c>
      <c r="AH1504">
        <v>8.3771891272300092</v>
      </c>
      <c r="AI1504">
        <v>96.350061003646204</v>
      </c>
      <c r="AJ1504">
        <v>57.995357568225799</v>
      </c>
      <c r="AK1504">
        <v>9.9396836567633002</v>
      </c>
      <c r="AL1504">
        <v>86.615842658309106</v>
      </c>
      <c r="AM1504">
        <v>75.214093029651593</v>
      </c>
      <c r="AN1504">
        <v>0.99999997523877004</v>
      </c>
    </row>
    <row r="1505" spans="1:40" x14ac:dyDescent="0.25">
      <c r="A1505" t="str">
        <f>"20190312151254697"</f>
        <v>20190312151254697</v>
      </c>
      <c r="B1505" t="str">
        <f>"1552374774691746"</f>
        <v>1552374774691746</v>
      </c>
      <c r="C1505" t="s">
        <v>40</v>
      </c>
      <c r="D1505">
        <v>5.1694290000000001</v>
      </c>
      <c r="E1505">
        <v>0.59960290000000005</v>
      </c>
      <c r="F1505" t="s">
        <v>53</v>
      </c>
      <c r="G1505">
        <v>-208.47389999999999</v>
      </c>
      <c r="H1505" s="1">
        <v>6.0382050000000004E-6</v>
      </c>
      <c r="I1505">
        <v>283.89100000000002</v>
      </c>
      <c r="J1505">
        <v>-199.02010000000001</v>
      </c>
      <c r="K1505">
        <v>1.099151</v>
      </c>
      <c r="L1505">
        <v>286.2869</v>
      </c>
      <c r="M1505">
        <v>-0.69276499999999996</v>
      </c>
      <c r="N1505">
        <v>0</v>
      </c>
      <c r="O1505">
        <v>-0.72103909999999904</v>
      </c>
      <c r="P1505">
        <v>-0.85215819999999998</v>
      </c>
      <c r="Q1505">
        <v>5.3498919999999998E-2</v>
      </c>
      <c r="R1505">
        <v>-0.52054199999999995</v>
      </c>
      <c r="S1505">
        <v>-3.04657</v>
      </c>
      <c r="T1505">
        <v>-0.340089799999999</v>
      </c>
      <c r="U1505">
        <v>-0.86022949999999998</v>
      </c>
      <c r="V1505">
        <v>0.25550479999999998</v>
      </c>
      <c r="W1505">
        <v>5.9737690000000003E-2</v>
      </c>
      <c r="X1505">
        <v>0.9649605</v>
      </c>
      <c r="Y1505">
        <v>0.49974299999999999</v>
      </c>
      <c r="Z1505">
        <v>9.705453E-2</v>
      </c>
      <c r="AA1505">
        <v>0.86071909999999896</v>
      </c>
      <c r="AB1505">
        <v>28</v>
      </c>
      <c r="AC1505">
        <v>-9.4537999999999691</v>
      </c>
      <c r="AD1505">
        <v>-1.099144961795</v>
      </c>
      <c r="AE1505">
        <v>-2.3959000000000401</v>
      </c>
      <c r="AF1505">
        <v>5.0925420430647002</v>
      </c>
      <c r="AG1505">
        <v>-1.099144961795</v>
      </c>
      <c r="AH1505">
        <v>8.1737210393318396</v>
      </c>
      <c r="AI1505">
        <v>96.511187292341702</v>
      </c>
      <c r="AJ1505">
        <v>58.075509015294003</v>
      </c>
      <c r="AK1505">
        <v>9.6928746889783302</v>
      </c>
      <c r="AL1505">
        <v>86.575243600157606</v>
      </c>
      <c r="AM1505">
        <v>75.169409568874698</v>
      </c>
      <c r="AN1505">
        <v>1.0000000304949099</v>
      </c>
    </row>
    <row r="1506" spans="1:40" x14ac:dyDescent="0.25">
      <c r="A1506" t="str">
        <f>"20190312151254718"</f>
        <v>20190312151254718</v>
      </c>
      <c r="B1506" t="str">
        <f>"1552374774711265"</f>
        <v>1552374774711265</v>
      </c>
      <c r="C1506" t="s">
        <v>40</v>
      </c>
      <c r="D1506">
        <v>5.341272</v>
      </c>
      <c r="E1506">
        <v>0.60329940000000004</v>
      </c>
      <c r="F1506" t="s">
        <v>53</v>
      </c>
      <c r="G1506">
        <v>-206.13890000000001</v>
      </c>
      <c r="H1506" s="1">
        <v>4.9747559999999998E-6</v>
      </c>
      <c r="I1506">
        <v>284.21109999999999</v>
      </c>
      <c r="J1506">
        <v>-199.21340000000001</v>
      </c>
      <c r="K1506">
        <v>1.099064</v>
      </c>
      <c r="L1506">
        <v>286.10640000000001</v>
      </c>
      <c r="M1506">
        <v>-0.70267449999999998</v>
      </c>
      <c r="N1506">
        <v>0</v>
      </c>
      <c r="O1506">
        <v>-0.71138509999999999</v>
      </c>
      <c r="P1506">
        <v>-0.85927369999999903</v>
      </c>
      <c r="Q1506">
        <v>5.3057100000000003E-2</v>
      </c>
      <c r="R1506">
        <v>-0.50875720000000002</v>
      </c>
      <c r="S1506">
        <v>-3.0130159999999999</v>
      </c>
      <c r="T1506">
        <v>-0.46521439999999997</v>
      </c>
      <c r="U1506">
        <v>-0.87857059999999998</v>
      </c>
      <c r="V1506">
        <v>0.25546479999999999</v>
      </c>
      <c r="W1506">
        <v>5.9274069999999998E-2</v>
      </c>
      <c r="X1506">
        <v>0.96499970000000002</v>
      </c>
      <c r="Y1506">
        <v>0.47526370000000001</v>
      </c>
      <c r="Z1506">
        <v>0.13090289999999999</v>
      </c>
      <c r="AA1506">
        <v>0.87005109999999997</v>
      </c>
      <c r="AB1506">
        <v>28</v>
      </c>
      <c r="AC1506">
        <v>-6.9255000000000004</v>
      </c>
      <c r="AD1506">
        <v>-1.099059025244</v>
      </c>
      <c r="AE1506">
        <v>-1.89530000000002</v>
      </c>
      <c r="AF1506">
        <v>3.5129334412161501</v>
      </c>
      <c r="AG1506">
        <v>-1.099059025244</v>
      </c>
      <c r="AH1506">
        <v>6.0729299610476799</v>
      </c>
      <c r="AI1506">
        <v>98.903324586622105</v>
      </c>
      <c r="AJ1506">
        <v>59.952432056859202</v>
      </c>
      <c r="AK1506">
        <v>7.1013456763613201</v>
      </c>
      <c r="AL1506">
        <v>86.601854291167896</v>
      </c>
      <c r="AM1506">
        <v>75.172204855723706</v>
      </c>
      <c r="AN1506">
        <v>1.0000000502067401</v>
      </c>
    </row>
    <row r="1507" spans="1:40" x14ac:dyDescent="0.25">
      <c r="A1507" t="str">
        <f>"20190312151254742"</f>
        <v>20190312151254742</v>
      </c>
      <c r="B1507" t="str">
        <f>"1552374774731761"</f>
        <v>1552374774731761</v>
      </c>
      <c r="C1507" t="s">
        <v>40</v>
      </c>
      <c r="D1507">
        <v>5.0313460000000001</v>
      </c>
      <c r="E1507">
        <v>0.60668330000000004</v>
      </c>
      <c r="F1507" t="s">
        <v>53</v>
      </c>
      <c r="G1507">
        <v>-208.0121</v>
      </c>
      <c r="H1507" s="1">
        <v>5.8456119999999999E-6</v>
      </c>
      <c r="I1507">
        <v>283.75200000000001</v>
      </c>
      <c r="J1507">
        <v>-199.44200000000001</v>
      </c>
      <c r="K1507">
        <v>1.0989660000000001</v>
      </c>
      <c r="L1507">
        <v>285.89920000000001</v>
      </c>
      <c r="M1507">
        <v>-0.71415249999999997</v>
      </c>
      <c r="N1507">
        <v>0</v>
      </c>
      <c r="O1507">
        <v>-0.69986090000000001</v>
      </c>
      <c r="P1507">
        <v>-0.86737880000000001</v>
      </c>
      <c r="Q1507">
        <v>5.3468910000000001E-2</v>
      </c>
      <c r="R1507">
        <v>-0.49476789999999998</v>
      </c>
      <c r="S1507">
        <v>-3.0340419999999999</v>
      </c>
      <c r="T1507">
        <v>-0.37898520000000002</v>
      </c>
      <c r="U1507">
        <v>-0.81185909999999994</v>
      </c>
      <c r="V1507">
        <v>0.25541170000000002</v>
      </c>
      <c r="W1507">
        <v>5.9662479999999997E-2</v>
      </c>
      <c r="X1507">
        <v>0.96498980000000001</v>
      </c>
      <c r="Y1507">
        <v>0.48413200000000001</v>
      </c>
      <c r="Z1507">
        <v>0.1062406</v>
      </c>
      <c r="AA1507">
        <v>0.86852129999999905</v>
      </c>
      <c r="AB1507">
        <v>28</v>
      </c>
      <c r="AC1507">
        <v>-8.5700999999999894</v>
      </c>
      <c r="AD1507">
        <v>-1.0989601543880001</v>
      </c>
      <c r="AE1507">
        <v>-2.14719999999999</v>
      </c>
      <c r="AF1507">
        <v>4.3968250959304296</v>
      </c>
      <c r="AG1507">
        <v>-1.0989601543880001</v>
      </c>
      <c r="AH1507">
        <v>7.5076299508676003</v>
      </c>
      <c r="AI1507">
        <v>97.199006968174501</v>
      </c>
      <c r="AJ1507">
        <v>59.644731558236501</v>
      </c>
      <c r="AK1507">
        <v>8.7695092122820899</v>
      </c>
      <c r="AL1507">
        <v>86.579560517366303</v>
      </c>
      <c r="AM1507">
        <v>75.175005774916499</v>
      </c>
      <c r="AN1507">
        <v>1.0000000310603301</v>
      </c>
    </row>
    <row r="1508" spans="1:40" x14ac:dyDescent="0.25">
      <c r="A1508" t="str">
        <f>"20190312151254765"</f>
        <v>20190312151254765</v>
      </c>
      <c r="B1508" t="str">
        <f>"1552374774761042"</f>
        <v>1552374774761042</v>
      </c>
      <c r="C1508" t="s">
        <v>40</v>
      </c>
      <c r="D1508">
        <v>5.0260129999999998</v>
      </c>
      <c r="E1508">
        <v>0.64837659999999997</v>
      </c>
      <c r="F1508" t="s">
        <v>53</v>
      </c>
      <c r="G1508">
        <v>-208.00290000000001</v>
      </c>
      <c r="H1508" s="1">
        <v>5.8344660000000001E-6</v>
      </c>
      <c r="I1508">
        <v>283.83229999999998</v>
      </c>
      <c r="J1508">
        <v>-199.64850000000001</v>
      </c>
      <c r="K1508">
        <v>1.098881</v>
      </c>
      <c r="L1508">
        <v>285.71780000000001</v>
      </c>
      <c r="M1508">
        <v>-0.72430519999999998</v>
      </c>
      <c r="N1508">
        <v>0</v>
      </c>
      <c r="O1508">
        <v>-0.6893475</v>
      </c>
      <c r="P1508">
        <v>-0.87460559999999998</v>
      </c>
      <c r="Q1508">
        <v>5.3920080000000002E-2</v>
      </c>
      <c r="R1508">
        <v>-0.48182720000000001</v>
      </c>
      <c r="S1508">
        <v>-3.0613250000000001</v>
      </c>
      <c r="T1508">
        <v>-0.392982</v>
      </c>
      <c r="U1508">
        <v>-0.73910520000000002</v>
      </c>
      <c r="V1508">
        <v>0.25564920000000002</v>
      </c>
      <c r="W1508">
        <v>6.0085159999999999E-2</v>
      </c>
      <c r="X1508">
        <v>0.96490069999999994</v>
      </c>
      <c r="Y1508">
        <v>0.4921854</v>
      </c>
      <c r="Z1508">
        <v>0.1093083</v>
      </c>
      <c r="AA1508">
        <v>0.86360020000000004</v>
      </c>
      <c r="AB1508">
        <v>28</v>
      </c>
      <c r="AC1508">
        <v>-8.3543999999999894</v>
      </c>
      <c r="AD1508">
        <v>-1.0988751655340001</v>
      </c>
      <c r="AE1508">
        <v>-1.8855000000000299</v>
      </c>
      <c r="AF1508">
        <v>4.3226465324264201</v>
      </c>
      <c r="AG1508">
        <v>-1.0988751655340001</v>
      </c>
      <c r="AH1508">
        <v>7.2325055589521501</v>
      </c>
      <c r="AI1508">
        <v>97.430441272788201</v>
      </c>
      <c r="AJ1508">
        <v>59.134535095161503</v>
      </c>
      <c r="AK1508">
        <v>8.4971722551681399</v>
      </c>
      <c r="AL1508">
        <v>86.555299278598397</v>
      </c>
      <c r="AM1508">
        <v>75.160518612456997</v>
      </c>
      <c r="AN1508">
        <v>1.0000000503866699</v>
      </c>
    </row>
    <row r="1509" spans="1:40" x14ac:dyDescent="0.25">
      <c r="A1509" t="str">
        <f>"20190312151254790"</f>
        <v>20190312151254790</v>
      </c>
      <c r="B1509" t="str">
        <f>"1552374774781537"</f>
        <v>1552374774781537</v>
      </c>
      <c r="C1509" t="s">
        <v>40</v>
      </c>
      <c r="D1509">
        <v>5.1342589999999904</v>
      </c>
      <c r="E1509">
        <v>0.64260980000000001</v>
      </c>
      <c r="F1509" t="s">
        <v>54</v>
      </c>
      <c r="G1509">
        <v>-219.24430000000001</v>
      </c>
      <c r="H1509" s="1">
        <v>3.3825549999999998E-6</v>
      </c>
      <c r="I1509">
        <v>283.25439999999998</v>
      </c>
      <c r="J1509">
        <v>-199.88749999999999</v>
      </c>
      <c r="K1509">
        <v>1.098794</v>
      </c>
      <c r="L1509">
        <v>285.51499999999999</v>
      </c>
      <c r="M1509">
        <v>-0.73578239999999995</v>
      </c>
      <c r="N1509">
        <v>0</v>
      </c>
      <c r="O1509">
        <v>-0.67708290000000004</v>
      </c>
      <c r="P1509">
        <v>-0.88272709999999999</v>
      </c>
      <c r="Q1509">
        <v>5.3888449999999997E-2</v>
      </c>
      <c r="R1509">
        <v>-0.46678550000000002</v>
      </c>
      <c r="S1509">
        <v>-3.218353</v>
      </c>
      <c r="T1509">
        <v>-0.18047669999999999</v>
      </c>
      <c r="U1509">
        <v>-0.40457149999999997</v>
      </c>
      <c r="V1509">
        <v>0.25597199999999998</v>
      </c>
      <c r="W1509">
        <v>6.002089E-2</v>
      </c>
      <c r="X1509">
        <v>0.96481910000000004</v>
      </c>
      <c r="Y1509">
        <v>0.57833369999999995</v>
      </c>
      <c r="Z1509">
        <v>5.0674829999999997E-2</v>
      </c>
      <c r="AA1509">
        <v>0.81422490000000003</v>
      </c>
      <c r="AB1509">
        <v>28</v>
      </c>
      <c r="AC1509">
        <v>-19.3568</v>
      </c>
      <c r="AD1509">
        <v>-1.098790617445</v>
      </c>
      <c r="AE1509">
        <v>-2.2606000000000099</v>
      </c>
      <c r="AF1509">
        <v>11.407631847285501</v>
      </c>
      <c r="AG1509">
        <v>-1.098790617445</v>
      </c>
      <c r="AH1509">
        <v>15.724463046513799</v>
      </c>
      <c r="AI1509">
        <v>93.237265230296302</v>
      </c>
      <c r="AJ1509">
        <v>54.040227466847298</v>
      </c>
      <c r="AK1509">
        <v>19.457649993906401</v>
      </c>
      <c r="AL1509">
        <v>86.558988279322406</v>
      </c>
      <c r="AM1509">
        <v>75.141408536613397</v>
      </c>
      <c r="AN1509">
        <v>1.0000000338726001</v>
      </c>
    </row>
    <row r="1510" spans="1:40" x14ac:dyDescent="0.25">
      <c r="A1510" t="str">
        <f>"20190312151254811"</f>
        <v>20190312151254811</v>
      </c>
      <c r="B1510" t="str">
        <f>"1552374774801057"</f>
        <v>1552374774801057</v>
      </c>
      <c r="C1510" t="s">
        <v>40</v>
      </c>
      <c r="D1510">
        <v>5.1879689999999998</v>
      </c>
      <c r="E1510">
        <v>0.63834709999999995</v>
      </c>
      <c r="F1510" t="s">
        <v>54</v>
      </c>
      <c r="G1510">
        <v>-214.96870000000001</v>
      </c>
      <c r="H1510" s="1">
        <v>1.1072970000000001E-6</v>
      </c>
      <c r="I1510">
        <v>283.68329999999997</v>
      </c>
      <c r="J1510">
        <v>-200.10400000000001</v>
      </c>
      <c r="K1510">
        <v>1.0987150000000001</v>
      </c>
      <c r="L1510">
        <v>285.33710000000002</v>
      </c>
      <c r="M1510">
        <v>-0.74593659999999995</v>
      </c>
      <c r="N1510">
        <v>0</v>
      </c>
      <c r="O1510">
        <v>-0.66587940000000001</v>
      </c>
      <c r="P1510">
        <v>-0.89004619999999901</v>
      </c>
      <c r="Q1510">
        <v>5.4610150000000003E-2</v>
      </c>
      <c r="R1510">
        <v>-0.4525882</v>
      </c>
      <c r="S1510">
        <v>-3.2068629999999998</v>
      </c>
      <c r="T1510">
        <v>-0.23364679999999999</v>
      </c>
      <c r="U1510">
        <v>-0.3894958</v>
      </c>
      <c r="V1510">
        <v>0.25683739999999999</v>
      </c>
      <c r="W1510">
        <v>6.0696769999999997E-2</v>
      </c>
      <c r="X1510">
        <v>0.96454669999999998</v>
      </c>
      <c r="Y1510">
        <v>0.56822629999999996</v>
      </c>
      <c r="Z1510">
        <v>6.4895670000000003E-2</v>
      </c>
      <c r="AA1510">
        <v>0.82030930000000002</v>
      </c>
      <c r="AB1510">
        <v>28</v>
      </c>
      <c r="AC1510">
        <v>-14.864699999999999</v>
      </c>
      <c r="AD1510">
        <v>-1.09871389270299</v>
      </c>
      <c r="AE1510">
        <v>-1.6538000000000399</v>
      </c>
      <c r="AF1510">
        <v>8.6187500998878406</v>
      </c>
      <c r="AG1510">
        <v>-1.09871389270299</v>
      </c>
      <c r="AH1510">
        <v>12.1250388343312</v>
      </c>
      <c r="AI1510">
        <v>94.224052325447204</v>
      </c>
      <c r="AJ1510">
        <v>54.593929767875501</v>
      </c>
      <c r="AK1510">
        <v>14.916654860804901</v>
      </c>
      <c r="AL1510">
        <v>86.520192154354604</v>
      </c>
      <c r="AM1510">
        <v>75.089384573342201</v>
      </c>
      <c r="AN1510">
        <v>0.99999994220403898</v>
      </c>
    </row>
    <row r="1511" spans="1:40" x14ac:dyDescent="0.25">
      <c r="A1511" t="str">
        <f>"20190312151254834"</f>
        <v>20190312151254834</v>
      </c>
      <c r="B1511" t="str">
        <f>"1552374774831314"</f>
        <v>1552374774831314</v>
      </c>
      <c r="C1511" t="s">
        <v>40</v>
      </c>
      <c r="D1511">
        <v>5.1583310000000004</v>
      </c>
      <c r="E1511">
        <v>0.635974699999999</v>
      </c>
      <c r="F1511" t="s">
        <v>54</v>
      </c>
      <c r="G1511">
        <v>-213.23910000000001</v>
      </c>
      <c r="H1511" s="1">
        <v>1.86886E-7</v>
      </c>
      <c r="I1511">
        <v>283.82569999999998</v>
      </c>
      <c r="J1511">
        <v>-200.32140000000001</v>
      </c>
      <c r="K1511">
        <v>1.0986479999999901</v>
      </c>
      <c r="L1511">
        <v>285.16410000000002</v>
      </c>
      <c r="M1511">
        <v>-0.75588509999999998</v>
      </c>
      <c r="N1511">
        <v>0</v>
      </c>
      <c r="O1511">
        <v>-0.65456359999999902</v>
      </c>
      <c r="P1511">
        <v>-0.89698609999999901</v>
      </c>
      <c r="Q1511">
        <v>5.4179650000000003E-2</v>
      </c>
      <c r="R1511">
        <v>-0.43872610000000001</v>
      </c>
      <c r="S1511">
        <v>-3.1998139999999999</v>
      </c>
      <c r="T1511">
        <v>-0.26765679999999997</v>
      </c>
      <c r="U1511">
        <v>-0.36819459999999998</v>
      </c>
      <c r="V1511">
        <v>0.25728259999999997</v>
      </c>
      <c r="W1511">
        <v>6.023746E-2</v>
      </c>
      <c r="X1511">
        <v>0.96445689999999995</v>
      </c>
      <c r="Y1511">
        <v>0.56011829999999996</v>
      </c>
      <c r="Z1511">
        <v>7.3510899999999907E-2</v>
      </c>
      <c r="AA1511">
        <v>0.82514460000000001</v>
      </c>
      <c r="AB1511">
        <v>28</v>
      </c>
      <c r="AC1511">
        <v>-12.9176999999999</v>
      </c>
      <c r="AD1511">
        <v>-1.0986478131139901</v>
      </c>
      <c r="AE1511">
        <v>-1.33840000000003</v>
      </c>
      <c r="AF1511">
        <v>7.3915665021589296</v>
      </c>
      <c r="AG1511">
        <v>-1.0986478131139901</v>
      </c>
      <c r="AH1511">
        <v>10.565729891995</v>
      </c>
      <c r="AI1511">
        <v>94.869974472942204</v>
      </c>
      <c r="AJ1511">
        <v>55.024158291765403</v>
      </c>
      <c r="AK1511">
        <v>12.9412878232305</v>
      </c>
      <c r="AL1511">
        <v>86.546557122628798</v>
      </c>
      <c r="AM1511">
        <v>75.063364226934695</v>
      </c>
      <c r="AN1511">
        <v>0.99999999990381006</v>
      </c>
    </row>
    <row r="1512" spans="1:40" x14ac:dyDescent="0.25">
      <c r="A1512" t="str">
        <f>"20190312151254857"</f>
        <v>20190312151254857</v>
      </c>
      <c r="B1512" t="str">
        <f>"1552374774851809"</f>
        <v>1552374774851809</v>
      </c>
      <c r="C1512" t="s">
        <v>40</v>
      </c>
      <c r="D1512">
        <v>5.1668260000000004</v>
      </c>
      <c r="E1512">
        <v>0.61821789999999999</v>
      </c>
      <c r="F1512" t="s">
        <v>54</v>
      </c>
      <c r="G1512">
        <v>-212.49690000000001</v>
      </c>
      <c r="H1512" s="1">
        <v>-2.080535E-7</v>
      </c>
      <c r="I1512">
        <v>283.88889999999998</v>
      </c>
      <c r="J1512">
        <v>-200.55680000000001</v>
      </c>
      <c r="K1512">
        <v>1.098584</v>
      </c>
      <c r="L1512">
        <v>284.98259999999999</v>
      </c>
      <c r="M1512">
        <v>-0.76639009999999996</v>
      </c>
      <c r="N1512">
        <v>0</v>
      </c>
      <c r="O1512">
        <v>-0.64223140000000001</v>
      </c>
      <c r="P1512">
        <v>-0.90400670000000005</v>
      </c>
      <c r="Q1512">
        <v>5.3654010000000002E-2</v>
      </c>
      <c r="R1512">
        <v>-0.42413899999999999</v>
      </c>
      <c r="S1512">
        <v>-3.1981350000000002</v>
      </c>
      <c r="T1512">
        <v>-0.28858109999999998</v>
      </c>
      <c r="U1512">
        <v>-0.33496090000000001</v>
      </c>
      <c r="V1512">
        <v>0.25729560000000001</v>
      </c>
      <c r="W1512">
        <v>5.9697229999999997E-2</v>
      </c>
      <c r="X1512">
        <v>0.96448699999999998</v>
      </c>
      <c r="Y1512">
        <v>0.55456569999999905</v>
      </c>
      <c r="Z1512">
        <v>7.8299460000000001E-2</v>
      </c>
      <c r="AA1512">
        <v>0.82844810000000002</v>
      </c>
      <c r="AB1512">
        <v>28</v>
      </c>
      <c r="AC1512">
        <v>-11.940099999999999</v>
      </c>
      <c r="AD1512">
        <v>-1.0985842080535</v>
      </c>
      <c r="AE1512">
        <v>-1.0937000000000101</v>
      </c>
      <c r="AF1512">
        <v>6.7738714746770103</v>
      </c>
      <c r="AG1512">
        <v>-1.0985842080535</v>
      </c>
      <c r="AH1512">
        <v>9.7720579858712995</v>
      </c>
      <c r="AI1512">
        <v>95.278774686997806</v>
      </c>
      <c r="AJ1512">
        <v>55.270771835168198</v>
      </c>
      <c r="AK1512">
        <v>11.940910321112799</v>
      </c>
      <c r="AL1512">
        <v>86.577565755870793</v>
      </c>
      <c r="AM1512">
        <v>75.063088574947102</v>
      </c>
      <c r="AN1512">
        <v>0.99999997910901595</v>
      </c>
    </row>
    <row r="1513" spans="1:40" x14ac:dyDescent="0.25">
      <c r="A1513" t="str">
        <f>"20190312151254897"</f>
        <v>20190312151254897</v>
      </c>
      <c r="B1513" t="str">
        <f>"1552374774891826"</f>
        <v>1552374774891826</v>
      </c>
      <c r="C1513" t="s">
        <v>40</v>
      </c>
      <c r="D1513">
        <v>5.3188559999999896</v>
      </c>
      <c r="E1513">
        <v>0.61682930000000002</v>
      </c>
      <c r="F1513" t="s">
        <v>54</v>
      </c>
      <c r="G1513">
        <v>-210.0531</v>
      </c>
      <c r="H1513" s="1">
        <v>-1.508545E-6</v>
      </c>
      <c r="I1513">
        <v>283.74450000000002</v>
      </c>
      <c r="J1513">
        <v>-200.96600000000001</v>
      </c>
      <c r="K1513">
        <v>1.098484</v>
      </c>
      <c r="L1513">
        <v>284.6814</v>
      </c>
      <c r="M1513">
        <v>-0.78398299999999999</v>
      </c>
      <c r="N1513">
        <v>0</v>
      </c>
      <c r="O1513">
        <v>-0.62063250000000003</v>
      </c>
      <c r="P1513">
        <v>-0.91564730000000005</v>
      </c>
      <c r="Q1513">
        <v>5.3245580000000001E-2</v>
      </c>
      <c r="R1513">
        <v>-0.39844039999999997</v>
      </c>
      <c r="S1513">
        <v>-3.1476440000000001</v>
      </c>
      <c r="T1513">
        <v>-0.36413879999999998</v>
      </c>
      <c r="U1513">
        <v>-0.41036990000000001</v>
      </c>
      <c r="V1513">
        <v>0.25768219999999997</v>
      </c>
      <c r="W1513">
        <v>5.9258360000000003E-2</v>
      </c>
      <c r="X1513">
        <v>0.96441080000000001</v>
      </c>
      <c r="Y1513">
        <v>0.50735649999999999</v>
      </c>
      <c r="Z1513">
        <v>9.5381149999999998E-2</v>
      </c>
      <c r="AA1513">
        <v>0.85644140000000002</v>
      </c>
      <c r="AB1513">
        <v>28</v>
      </c>
      <c r="AC1513">
        <v>-9.0871000000000102</v>
      </c>
      <c r="AD1513">
        <v>-1.098485508545</v>
      </c>
      <c r="AE1513">
        <v>-0.93689999999997997</v>
      </c>
      <c r="AF1513">
        <v>4.8357704350121899</v>
      </c>
      <c r="AG1513">
        <v>-1.098485508545</v>
      </c>
      <c r="AH1513">
        <v>7.59647964284148</v>
      </c>
      <c r="AI1513">
        <v>96.954881940486104</v>
      </c>
      <c r="AJ1513">
        <v>57.5199666460759</v>
      </c>
      <c r="AK1513">
        <v>9.0718161950475196</v>
      </c>
      <c r="AL1513">
        <v>86.602755584959297</v>
      </c>
      <c r="AM1513">
        <v>75.040521485030993</v>
      </c>
      <c r="AN1513">
        <v>0.99999993029168199</v>
      </c>
    </row>
    <row r="1514" spans="1:40" x14ac:dyDescent="0.25">
      <c r="A1514" t="str">
        <f>"20190312151254941"</f>
        <v>20190312151254941</v>
      </c>
      <c r="B1514" t="str">
        <f>"1552374774931842"</f>
        <v>1552374774931842</v>
      </c>
      <c r="C1514" t="s">
        <v>40</v>
      </c>
      <c r="D1514">
        <v>5.3552999999999997</v>
      </c>
      <c r="E1514">
        <v>0.61420739999999996</v>
      </c>
      <c r="F1514" t="s">
        <v>54</v>
      </c>
      <c r="G1514">
        <v>-210.08</v>
      </c>
      <c r="H1514" s="1">
        <v>-1.4942320000000001E-6</v>
      </c>
      <c r="I1514">
        <v>283.72140000000002</v>
      </c>
      <c r="J1514">
        <v>-201.42</v>
      </c>
      <c r="K1514">
        <v>1.098398</v>
      </c>
      <c r="L1514">
        <v>284.36720000000003</v>
      </c>
      <c r="M1514">
        <v>-0.80252389999999996</v>
      </c>
      <c r="N1514">
        <v>0</v>
      </c>
      <c r="O1514">
        <v>-0.59646330000000003</v>
      </c>
      <c r="P1514">
        <v>-0.92664959999999996</v>
      </c>
      <c r="Q1514">
        <v>5.22783E-2</v>
      </c>
      <c r="R1514">
        <v>-0.37227359999999998</v>
      </c>
      <c r="S1514">
        <v>-3.153931</v>
      </c>
      <c r="T1514">
        <v>-0.380137</v>
      </c>
      <c r="U1514">
        <v>-0.33221440000000002</v>
      </c>
      <c r="V1514">
        <v>0.2557123</v>
      </c>
      <c r="W1514">
        <v>5.8338710000000002E-2</v>
      </c>
      <c r="X1514">
        <v>0.96499109999999999</v>
      </c>
      <c r="Y1514">
        <v>0.50188650000000001</v>
      </c>
      <c r="Z1514">
        <v>9.7031740000000005E-2</v>
      </c>
      <c r="AA1514">
        <v>0.8594735</v>
      </c>
      <c r="AB1514">
        <v>28</v>
      </c>
      <c r="AC1514">
        <v>-8.6600000000000197</v>
      </c>
      <c r="AD1514">
        <v>-1.0983994942319999</v>
      </c>
      <c r="AE1514">
        <v>-0.64580000000000803</v>
      </c>
      <c r="AF1514">
        <v>4.5743543015584098</v>
      </c>
      <c r="AG1514">
        <v>-1.0983994942319999</v>
      </c>
      <c r="AH1514">
        <v>7.2202265761722302</v>
      </c>
      <c r="AI1514">
        <v>97.322849190245094</v>
      </c>
      <c r="AJ1514">
        <v>57.643811839619801</v>
      </c>
      <c r="AK1514">
        <v>8.6175907617140197</v>
      </c>
      <c r="AL1514">
        <v>86.655539224004798</v>
      </c>
      <c r="AM1514">
        <v>75.158346673888204</v>
      </c>
      <c r="AN1514">
        <v>1.0000000042674799</v>
      </c>
    </row>
    <row r="1515" spans="1:40" x14ac:dyDescent="0.25">
      <c r="A1515" t="str">
        <f>"20190312151254964"</f>
        <v>20190312151254964</v>
      </c>
      <c r="B1515" t="str">
        <f>"1552374774952337"</f>
        <v>1552374774952337</v>
      </c>
      <c r="C1515" t="s">
        <v>40</v>
      </c>
      <c r="D1515">
        <v>5.3384650000000002</v>
      </c>
      <c r="E1515">
        <v>0.61300929999999998</v>
      </c>
      <c r="F1515" t="s">
        <v>54</v>
      </c>
      <c r="G1515">
        <v>-210.28059999999999</v>
      </c>
      <c r="H1515" s="1">
        <v>-1.387461E-6</v>
      </c>
      <c r="I1515">
        <v>283.63639999999998</v>
      </c>
      <c r="J1515">
        <v>-201.65479999999999</v>
      </c>
      <c r="K1515">
        <v>1.0983620000000001</v>
      </c>
      <c r="L1515">
        <v>284.21260000000001</v>
      </c>
      <c r="M1515">
        <v>-0.81171789999999999</v>
      </c>
      <c r="N1515">
        <v>0</v>
      </c>
      <c r="O1515">
        <v>-0.5838894</v>
      </c>
      <c r="P1515">
        <v>-0.93183760000000004</v>
      </c>
      <c r="Q1515">
        <v>5.2573960000000003E-2</v>
      </c>
      <c r="R1515">
        <v>-0.35904730000000001</v>
      </c>
      <c r="S1515">
        <v>-3.1549990000000001</v>
      </c>
      <c r="T1515">
        <v>-0.39110830000000002</v>
      </c>
      <c r="U1515">
        <v>-0.26022339999999999</v>
      </c>
      <c r="V1515">
        <v>0.25441720000000001</v>
      </c>
      <c r="W1515">
        <v>5.8669539999999999E-2</v>
      </c>
      <c r="X1515">
        <v>0.96531330000000004</v>
      </c>
      <c r="Y1515">
        <v>0.50749909999999998</v>
      </c>
      <c r="Z1515">
        <v>9.9102850000000006E-2</v>
      </c>
      <c r="AA1515">
        <v>0.85593410000000003</v>
      </c>
      <c r="AB1515">
        <v>28</v>
      </c>
      <c r="AC1515">
        <v>-8.6257999999999893</v>
      </c>
      <c r="AD1515">
        <v>-1.0983633874609999</v>
      </c>
      <c r="AE1515">
        <v>-0.57620000000002802</v>
      </c>
      <c r="AF1515">
        <v>4.4966438518740697</v>
      </c>
      <c r="AG1515">
        <v>-1.0983633874609999</v>
      </c>
      <c r="AH1515">
        <v>7.2222580217874599</v>
      </c>
      <c r="AI1515">
        <v>97.356332211449498</v>
      </c>
      <c r="AJ1515">
        <v>58.093229602154999</v>
      </c>
      <c r="AK1515">
        <v>8.5782993066682494</v>
      </c>
      <c r="AL1515">
        <v>86.636551513607998</v>
      </c>
      <c r="AM1515">
        <v>75.234935441506295</v>
      </c>
      <c r="AN1515">
        <v>0.99999999686827001</v>
      </c>
    </row>
    <row r="1516" spans="1:40" x14ac:dyDescent="0.25">
      <c r="A1516" t="str">
        <f>"20190312151254989"</f>
        <v>20190312151254989</v>
      </c>
      <c r="B1516" t="str">
        <f>"1552374774981618"</f>
        <v>1552374774981618</v>
      </c>
      <c r="C1516" t="s">
        <v>40</v>
      </c>
      <c r="D1516">
        <v>5.5243859999999998</v>
      </c>
      <c r="E1516">
        <v>0.61145309999999997</v>
      </c>
      <c r="F1516" t="s">
        <v>54</v>
      </c>
      <c r="G1516">
        <v>-210.35980000000001</v>
      </c>
      <c r="H1516" s="1">
        <v>-1.3453249999999999E-6</v>
      </c>
      <c r="I1516">
        <v>283.59410000000003</v>
      </c>
      <c r="J1516">
        <v>-201.91730000000001</v>
      </c>
      <c r="K1516">
        <v>1.09833</v>
      </c>
      <c r="L1516">
        <v>284.04610000000002</v>
      </c>
      <c r="M1516">
        <v>-0.82167959999999995</v>
      </c>
      <c r="N1516">
        <v>0</v>
      </c>
      <c r="O1516">
        <v>-0.5697854</v>
      </c>
      <c r="P1516">
        <v>-0.93735760000000001</v>
      </c>
      <c r="Q1516">
        <v>5.2633350000000002E-2</v>
      </c>
      <c r="R1516">
        <v>-0.34437010000000001</v>
      </c>
      <c r="S1516">
        <v>-3.155548</v>
      </c>
      <c r="T1516">
        <v>-0.3981557</v>
      </c>
      <c r="U1516">
        <v>-0.2241821</v>
      </c>
      <c r="V1516">
        <v>0.25291069999999999</v>
      </c>
      <c r="W1516">
        <v>5.8769979999999999E-2</v>
      </c>
      <c r="X1516">
        <v>0.96570299999999998</v>
      </c>
      <c r="Y1516">
        <v>0.50223890000000004</v>
      </c>
      <c r="Z1516">
        <v>9.9184240000000007E-2</v>
      </c>
      <c r="AA1516">
        <v>0.8590219</v>
      </c>
      <c r="AB1516">
        <v>28</v>
      </c>
      <c r="AC1516">
        <v>-8.4424999999999901</v>
      </c>
      <c r="AD1516">
        <v>-1.0983313453250001</v>
      </c>
      <c r="AE1516">
        <v>-0.45199999999999801</v>
      </c>
      <c r="AF1516">
        <v>4.3657512255299</v>
      </c>
      <c r="AG1516">
        <v>-1.0983313453250001</v>
      </c>
      <c r="AH1516">
        <v>7.0758316079080998</v>
      </c>
      <c r="AI1516">
        <v>97.525307061291898</v>
      </c>
      <c r="AJ1516">
        <v>58.3256304609898</v>
      </c>
      <c r="AK1516">
        <v>8.3865075240418498</v>
      </c>
      <c r="AL1516">
        <v>86.630786817600097</v>
      </c>
      <c r="AM1516">
        <v>75.324246162321202</v>
      </c>
      <c r="AN1516">
        <v>1.0000000084663401</v>
      </c>
    </row>
    <row r="1517" spans="1:40" x14ac:dyDescent="0.25">
      <c r="A1517" t="str">
        <f>"20190312151255030"</f>
        <v>20190312151255030</v>
      </c>
      <c r="B1517" t="str">
        <f>"1552374775021634"</f>
        <v>1552374775021634</v>
      </c>
      <c r="C1517" t="s">
        <v>40</v>
      </c>
      <c r="D1517">
        <v>5.336792</v>
      </c>
      <c r="E1517">
        <v>0.60917779999999999</v>
      </c>
      <c r="F1517" t="s">
        <v>54</v>
      </c>
      <c r="G1517">
        <v>-210.5609</v>
      </c>
      <c r="H1517" s="1">
        <v>-1.2382850000000001E-6</v>
      </c>
      <c r="I1517">
        <v>283.5369</v>
      </c>
      <c r="J1517">
        <v>-202.36840000000001</v>
      </c>
      <c r="K1517">
        <v>1.098276</v>
      </c>
      <c r="L1517">
        <v>283.7747</v>
      </c>
      <c r="M1517">
        <v>-0.83804529999999999</v>
      </c>
      <c r="N1517">
        <v>0</v>
      </c>
      <c r="O1517">
        <v>-0.54542829999999998</v>
      </c>
      <c r="P1517">
        <v>-0.94658209999999998</v>
      </c>
      <c r="Q1517">
        <v>5.3153999999999903E-2</v>
      </c>
      <c r="R1517">
        <v>-0.318052</v>
      </c>
      <c r="S1517">
        <v>-3.1547239999999999</v>
      </c>
      <c r="T1517">
        <v>-0.40086329999999998</v>
      </c>
      <c r="U1517">
        <v>-0.18585209999999999</v>
      </c>
      <c r="V1517">
        <v>0.251554</v>
      </c>
      <c r="W1517">
        <v>5.932453E-2</v>
      </c>
      <c r="X1517">
        <v>0.96602339999999998</v>
      </c>
      <c r="Y1517">
        <v>0.48741990000000002</v>
      </c>
      <c r="Z1517">
        <v>9.6474169999999998E-2</v>
      </c>
      <c r="AA1517">
        <v>0.86782179999999998</v>
      </c>
      <c r="AB1517">
        <v>28</v>
      </c>
      <c r="AC1517">
        <v>-8.1924999999999901</v>
      </c>
      <c r="AD1517">
        <v>-1.0982772382849999</v>
      </c>
      <c r="AE1517">
        <v>-0.23779999999999199</v>
      </c>
      <c r="AF1517">
        <v>4.1942214607582597</v>
      </c>
      <c r="AG1517">
        <v>-1.0982772382849999</v>
      </c>
      <c r="AH1517">
        <v>6.8726372465128298</v>
      </c>
      <c r="AI1517">
        <v>97.767698496316697</v>
      </c>
      <c r="AJ1517">
        <v>58.6051886865637</v>
      </c>
      <c r="AK1517">
        <v>8.1259368245252599</v>
      </c>
      <c r="AL1517">
        <v>86.598957919726899</v>
      </c>
      <c r="AM1517">
        <v>75.404235074735496</v>
      </c>
      <c r="AN1517">
        <v>1.0000000120616399</v>
      </c>
    </row>
    <row r="1518" spans="1:40" x14ac:dyDescent="0.25">
      <c r="A1518" t="str">
        <f>"20190312151255053"</f>
        <v>20190312151255053</v>
      </c>
      <c r="B1518" t="str">
        <f>"1552374775041154"</f>
        <v>1552374775041154</v>
      </c>
      <c r="C1518" t="s">
        <v>40</v>
      </c>
      <c r="D1518">
        <v>5.264926</v>
      </c>
      <c r="E1518">
        <v>0.60856769999999905</v>
      </c>
      <c r="F1518" t="s">
        <v>54</v>
      </c>
      <c r="G1518">
        <v>-210.9093</v>
      </c>
      <c r="H1518" s="1">
        <v>-1.0529089999999999E-6</v>
      </c>
      <c r="I1518">
        <v>283.4624</v>
      </c>
      <c r="J1518">
        <v>-202.62729999999999</v>
      </c>
      <c r="K1518">
        <v>1.0982510000000001</v>
      </c>
      <c r="L1518">
        <v>283.62700000000001</v>
      </c>
      <c r="M1518">
        <v>-0.84701729999999997</v>
      </c>
      <c r="N1518">
        <v>0</v>
      </c>
      <c r="O1518">
        <v>-0.53138799999999997</v>
      </c>
      <c r="P1518">
        <v>-0.9515325</v>
      </c>
      <c r="Q1518">
        <v>5.2769440000000001E-2</v>
      </c>
      <c r="R1518">
        <v>-0.30298799999999998</v>
      </c>
      <c r="S1518">
        <v>-3.153305</v>
      </c>
      <c r="T1518">
        <v>-0.40548309999999999</v>
      </c>
      <c r="U1518">
        <v>-0.11529540000000001</v>
      </c>
      <c r="V1518">
        <v>0.2507935</v>
      </c>
      <c r="W1518">
        <v>5.8960859999999997E-2</v>
      </c>
      <c r="X1518">
        <v>0.96624339999999997</v>
      </c>
      <c r="Y1518">
        <v>0.4921181</v>
      </c>
      <c r="Z1518">
        <v>9.6546580000000007E-2</v>
      </c>
      <c r="AA1518">
        <v>0.86515810000000004</v>
      </c>
      <c r="AB1518">
        <v>27</v>
      </c>
      <c r="AC1518">
        <v>-8.282</v>
      </c>
      <c r="AD1518">
        <v>-1.0982520529090001</v>
      </c>
      <c r="AE1518">
        <v>-0.16460000000000699</v>
      </c>
      <c r="AF1518">
        <v>4.188317060028</v>
      </c>
      <c r="AG1518">
        <v>-1.0982520529090001</v>
      </c>
      <c r="AH1518">
        <v>6.9804332271231297</v>
      </c>
      <c r="AI1518">
        <v>97.683461737434797</v>
      </c>
      <c r="AJ1518">
        <v>59.035898708205799</v>
      </c>
      <c r="AK1518">
        <v>8.2142927513794497</v>
      </c>
      <c r="AL1518">
        <v>86.619831292424806</v>
      </c>
      <c r="AM1518">
        <v>75.449657780147803</v>
      </c>
      <c r="AN1518">
        <v>1.0000000353488701</v>
      </c>
    </row>
    <row r="1519" spans="1:40" x14ac:dyDescent="0.25">
      <c r="A1519" t="str">
        <f>"20190312151255098"</f>
        <v>20190312151255098</v>
      </c>
      <c r="B1519" t="str">
        <f>"1552374775091905"</f>
        <v>1552374775091905</v>
      </c>
      <c r="C1519" t="s">
        <v>40</v>
      </c>
      <c r="D1519">
        <v>5.4537809999999904</v>
      </c>
      <c r="E1519">
        <v>0.59216820000000003</v>
      </c>
      <c r="F1519" t="s">
        <v>54</v>
      </c>
      <c r="G1519">
        <v>-211.10669999999999</v>
      </c>
      <c r="H1519" s="1">
        <v>-9.4783809999999999E-7</v>
      </c>
      <c r="I1519">
        <v>283.43900000000002</v>
      </c>
      <c r="J1519">
        <v>-203.12049999999999</v>
      </c>
      <c r="K1519">
        <v>1.098217</v>
      </c>
      <c r="L1519">
        <v>283.36099999999999</v>
      </c>
      <c r="M1519">
        <v>-0.86326879999999995</v>
      </c>
      <c r="N1519">
        <v>0</v>
      </c>
      <c r="O1519">
        <v>-0.50455729999999999</v>
      </c>
      <c r="P1519">
        <v>-0.96029710000000001</v>
      </c>
      <c r="Q1519">
        <v>5.239518E-2</v>
      </c>
      <c r="R1519">
        <v>-0.27401579999999998</v>
      </c>
      <c r="S1519">
        <v>-3.1531829999999998</v>
      </c>
      <c r="T1519">
        <v>-0.40840090000000001</v>
      </c>
      <c r="U1519">
        <v>-6.9885249999999996E-2</v>
      </c>
      <c r="V1519">
        <v>0.2497674</v>
      </c>
      <c r="W1519">
        <v>5.8616710000000002E-2</v>
      </c>
      <c r="X1519">
        <v>0.96653009999999995</v>
      </c>
      <c r="Y1519">
        <v>0.47748469999999998</v>
      </c>
      <c r="Z1519">
        <v>9.3381290000000006E-2</v>
      </c>
      <c r="AA1519">
        <v>0.87366369999999904</v>
      </c>
      <c r="AB1519">
        <v>27</v>
      </c>
      <c r="AC1519">
        <v>-7.9861999999999904</v>
      </c>
      <c r="AD1519">
        <v>-1.0982179478381</v>
      </c>
      <c r="AE1519">
        <v>7.8000000000031294E-2</v>
      </c>
      <c r="AF1519">
        <v>4.0211832668490501</v>
      </c>
      <c r="AG1519">
        <v>-1.0982179478381</v>
      </c>
      <c r="AH1519">
        <v>6.7283077098852697</v>
      </c>
      <c r="AI1519">
        <v>97.975676760968597</v>
      </c>
      <c r="AJ1519">
        <v>59.135286081877297</v>
      </c>
      <c r="AK1519">
        <v>7.9149303323176596</v>
      </c>
      <c r="AL1519">
        <v>86.639583858478403</v>
      </c>
      <c r="AM1519">
        <v>75.510795405085801</v>
      </c>
      <c r="AN1519">
        <v>1.00000005349999</v>
      </c>
    </row>
    <row r="1520" spans="1:40" x14ac:dyDescent="0.25">
      <c r="A1520" t="str">
        <f>"20190312151255120"</f>
        <v>20190312151255120</v>
      </c>
      <c r="B1520" t="str">
        <f>"1552374775111425"</f>
        <v>1552374775111425</v>
      </c>
      <c r="C1520" t="s">
        <v>40</v>
      </c>
      <c r="D1520">
        <v>5.1874919999999998</v>
      </c>
      <c r="E1520">
        <v>0.5915049</v>
      </c>
      <c r="F1520" t="s">
        <v>54</v>
      </c>
      <c r="G1520">
        <v>-210.52430000000001</v>
      </c>
      <c r="H1520" s="1">
        <v>-1.257792E-6</v>
      </c>
      <c r="I1520">
        <v>283.12709999999998</v>
      </c>
      <c r="J1520">
        <v>-203.3683</v>
      </c>
      <c r="K1520">
        <v>1.0982099999999999</v>
      </c>
      <c r="L1520">
        <v>283.23469999999998</v>
      </c>
      <c r="M1520">
        <v>-0.87103319999999995</v>
      </c>
      <c r="N1520">
        <v>0</v>
      </c>
      <c r="O1520">
        <v>-0.49103140000000001</v>
      </c>
      <c r="P1520">
        <v>-0.96430380000000004</v>
      </c>
      <c r="Q1520">
        <v>5.2074570000000001E-2</v>
      </c>
      <c r="R1520">
        <v>-0.25962790000000002</v>
      </c>
      <c r="S1520">
        <v>-3.1211700000000002</v>
      </c>
      <c r="T1520">
        <v>-0.46296749999999998</v>
      </c>
      <c r="U1520">
        <v>-9.8602289999999995E-2</v>
      </c>
      <c r="V1520">
        <v>0.24914349999999999</v>
      </c>
      <c r="W1520">
        <v>5.8315850000000002E-2</v>
      </c>
      <c r="X1520">
        <v>0.96670929999999999</v>
      </c>
      <c r="Y1520">
        <v>0.4534146</v>
      </c>
      <c r="Z1520">
        <v>0.10321950000000001</v>
      </c>
      <c r="AA1520">
        <v>0.8853027</v>
      </c>
      <c r="AB1520">
        <v>27</v>
      </c>
      <c r="AC1520">
        <v>-7.1559999999999997</v>
      </c>
      <c r="AD1520">
        <v>-1.098211257792</v>
      </c>
      <c r="AE1520">
        <v>-0.10759999999999</v>
      </c>
      <c r="AF1520">
        <v>3.3417340018970298</v>
      </c>
      <c r="AG1520">
        <v>-1.098211257792</v>
      </c>
      <c r="AH1520">
        <v>6.1419207697231402</v>
      </c>
      <c r="AI1520">
        <v>98.926131107144201</v>
      </c>
      <c r="AJ1520">
        <v>61.450000720157703</v>
      </c>
      <c r="AK1520">
        <v>7.0778842070022803</v>
      </c>
      <c r="AL1520">
        <v>86.656851379986094</v>
      </c>
      <c r="AM1520">
        <v>75.548037566437799</v>
      </c>
      <c r="AN1520">
        <v>1.0000000463299801</v>
      </c>
    </row>
    <row r="1521" spans="1:40" x14ac:dyDescent="0.25">
      <c r="A1521" t="str">
        <f>"20190312151255141"</f>
        <v>20190312151255141</v>
      </c>
      <c r="B1521" t="str">
        <f>"1552374775130946"</f>
        <v>1552374775130946</v>
      </c>
      <c r="C1521" t="s">
        <v>40</v>
      </c>
      <c r="D1521">
        <v>5.2752019999999904</v>
      </c>
      <c r="E1521">
        <v>0.59086759999999905</v>
      </c>
      <c r="F1521" t="s">
        <v>54</v>
      </c>
      <c r="G1521">
        <v>-210.9949</v>
      </c>
      <c r="H1521" s="1">
        <v>-1.007329E-6</v>
      </c>
      <c r="I1521">
        <v>283.09429999999998</v>
      </c>
      <c r="J1521">
        <v>-203.6122</v>
      </c>
      <c r="K1521">
        <v>1.0982019999999999</v>
      </c>
      <c r="L1521">
        <v>283.11509999999998</v>
      </c>
      <c r="M1521">
        <v>-0.87841530000000001</v>
      </c>
      <c r="N1521">
        <v>0</v>
      </c>
      <c r="O1521">
        <v>-0.4776996</v>
      </c>
      <c r="P1521">
        <v>-0.96787939999999995</v>
      </c>
      <c r="Q1521">
        <v>5.2576930000000001E-2</v>
      </c>
      <c r="R1521">
        <v>-0.2458564</v>
      </c>
      <c r="S1521">
        <v>-3.1198429999999999</v>
      </c>
      <c r="T1521">
        <v>-0.4492487</v>
      </c>
      <c r="U1521">
        <v>-5.7434079999999998E-2</v>
      </c>
      <c r="V1521">
        <v>0.2481922</v>
      </c>
      <c r="W1521">
        <v>5.8848520000000001E-2</v>
      </c>
      <c r="X1521">
        <v>0.96692160000000005</v>
      </c>
      <c r="Y1521">
        <v>0.45224619999999999</v>
      </c>
      <c r="Z1521">
        <v>9.8528500000000005E-2</v>
      </c>
      <c r="AA1521">
        <v>0.8864341</v>
      </c>
      <c r="AB1521">
        <v>27</v>
      </c>
      <c r="AC1521">
        <v>-7.3826999999999998</v>
      </c>
      <c r="AD1521">
        <v>-1.0982030073289999</v>
      </c>
      <c r="AE1521">
        <v>-2.0800000000008301E-2</v>
      </c>
      <c r="AF1521">
        <v>3.4328150947068701</v>
      </c>
      <c r="AG1521">
        <v>-1.0982030073289999</v>
      </c>
      <c r="AH1521">
        <v>6.3550086377040902</v>
      </c>
      <c r="AI1521">
        <v>98.645295060272502</v>
      </c>
      <c r="AJ1521">
        <v>61.623203058167199</v>
      </c>
      <c r="AK1521">
        <v>7.30591569244043</v>
      </c>
      <c r="AL1521">
        <v>86.626278802610301</v>
      </c>
      <c r="AM1521">
        <v>75.6039509719931</v>
      </c>
      <c r="AN1521">
        <v>0.99999994849679297</v>
      </c>
    </row>
    <row r="1522" spans="1:40" x14ac:dyDescent="0.25">
      <c r="A1522" t="str">
        <f>"20190312151255165"</f>
        <v>20190312151255165</v>
      </c>
      <c r="B1522" t="str">
        <f>"1552374775161202"</f>
        <v>1552374775161202</v>
      </c>
      <c r="C1522" t="s">
        <v>40</v>
      </c>
      <c r="D1522">
        <v>5.2060050000000002</v>
      </c>
      <c r="E1522">
        <v>0.58837989999999996</v>
      </c>
      <c r="F1522" t="s">
        <v>54</v>
      </c>
      <c r="G1522">
        <v>-211.5412</v>
      </c>
      <c r="H1522" s="1">
        <v>-7.1664209999999998E-7</v>
      </c>
      <c r="I1522">
        <v>283.06689999999998</v>
      </c>
      <c r="J1522">
        <v>-203.87389999999999</v>
      </c>
      <c r="K1522">
        <v>1.098198</v>
      </c>
      <c r="L1522">
        <v>282.99160000000001</v>
      </c>
      <c r="M1522">
        <v>-0.886057599999999</v>
      </c>
      <c r="N1522">
        <v>0</v>
      </c>
      <c r="O1522">
        <v>-0.46337080000000003</v>
      </c>
      <c r="P1522">
        <v>-0.97142470000000003</v>
      </c>
      <c r="Q1522">
        <v>5.2653980000000003E-2</v>
      </c>
      <c r="R1522">
        <v>-0.23143540000000001</v>
      </c>
      <c r="S1522">
        <v>-3.1182099999999999</v>
      </c>
      <c r="T1522">
        <v>-0.43188789999999999</v>
      </c>
      <c r="U1522">
        <v>-1.895142E-2</v>
      </c>
      <c r="V1522">
        <v>0.24686910000000001</v>
      </c>
      <c r="W1522">
        <v>5.8969430000000003E-2</v>
      </c>
      <c r="X1522">
        <v>0.96725289999999997</v>
      </c>
      <c r="Y1522">
        <v>0.44957970000000003</v>
      </c>
      <c r="Z1522">
        <v>9.2907210000000004E-2</v>
      </c>
      <c r="AA1522">
        <v>0.88839539999999995</v>
      </c>
      <c r="AB1522">
        <v>27</v>
      </c>
      <c r="AC1522">
        <v>-7.6673000000000098</v>
      </c>
      <c r="AD1522">
        <v>-1.0981987166420999</v>
      </c>
      <c r="AE1522">
        <v>7.5299999999970099E-2</v>
      </c>
      <c r="AF1522">
        <v>3.54710323152971</v>
      </c>
      <c r="AG1522">
        <v>-1.0981987166420999</v>
      </c>
      <c r="AH1522">
        <v>6.6235472029100197</v>
      </c>
      <c r="AI1522">
        <v>98.315615549930996</v>
      </c>
      <c r="AJ1522">
        <v>61.829648400990202</v>
      </c>
      <c r="AK1522">
        <v>7.59337601502388</v>
      </c>
      <c r="AL1522">
        <v>86.619339154649893</v>
      </c>
      <c r="AM1522">
        <v>75.682234312003999</v>
      </c>
      <c r="AN1522">
        <v>0.99999995938387098</v>
      </c>
    </row>
    <row r="1523" spans="1:40" x14ac:dyDescent="0.25">
      <c r="A1523" t="str">
        <f>"20190312151255186"</f>
        <v>20190312151255186</v>
      </c>
      <c r="B1523" t="str">
        <f>"1552374775181698"</f>
        <v>1552374775181698</v>
      </c>
      <c r="C1523" t="s">
        <v>40</v>
      </c>
      <c r="D1523">
        <v>5.0523680000000004</v>
      </c>
      <c r="E1523">
        <v>0.58624519999999902</v>
      </c>
      <c r="F1523" t="s">
        <v>54</v>
      </c>
      <c r="G1523">
        <v>-212.0712</v>
      </c>
      <c r="H1523" s="1">
        <v>-4.346235E-7</v>
      </c>
      <c r="I1523">
        <v>283.00990000000002</v>
      </c>
      <c r="J1523">
        <v>-204.124</v>
      </c>
      <c r="K1523">
        <v>1.0981920000000001</v>
      </c>
      <c r="L1523">
        <v>282.87880000000001</v>
      </c>
      <c r="M1523">
        <v>-0.89309169999999904</v>
      </c>
      <c r="N1523">
        <v>0</v>
      </c>
      <c r="O1523">
        <v>-0.44966390000000001</v>
      </c>
      <c r="P1523">
        <v>-0.97439120000000001</v>
      </c>
      <c r="Q1523">
        <v>5.3454120000000001E-2</v>
      </c>
      <c r="R1523">
        <v>-0.2184142</v>
      </c>
      <c r="S1523">
        <v>-3.1125029999999998</v>
      </c>
      <c r="T1523">
        <v>-0.41698879999999999</v>
      </c>
      <c r="U1523">
        <v>6.9274899999999997E-3</v>
      </c>
      <c r="V1523">
        <v>0.2449133</v>
      </c>
      <c r="W1523">
        <v>5.9833360000000002E-2</v>
      </c>
      <c r="X1523">
        <v>0.96769700000000003</v>
      </c>
      <c r="Y1523">
        <v>0.44393500000000002</v>
      </c>
      <c r="Z1523">
        <v>8.7893479999999996E-2</v>
      </c>
      <c r="AA1523">
        <v>0.89173789999999997</v>
      </c>
      <c r="AB1523">
        <v>27</v>
      </c>
      <c r="AC1523">
        <v>-7.9471999999999801</v>
      </c>
      <c r="AD1523">
        <v>-1.0981924346234999</v>
      </c>
      <c r="AE1523">
        <v>0.13110000000000299</v>
      </c>
      <c r="AF1523">
        <v>3.6218611302351502</v>
      </c>
      <c r="AG1523">
        <v>-1.0981924346234999</v>
      </c>
      <c r="AH1523">
        <v>6.9074305320224001</v>
      </c>
      <c r="AI1523">
        <v>98.014837630958695</v>
      </c>
      <c r="AJ1523">
        <v>62.330056055742403</v>
      </c>
      <c r="AK1523">
        <v>7.8763253630667096</v>
      </c>
      <c r="AL1523">
        <v>86.569752253239102</v>
      </c>
      <c r="AM1523">
        <v>75.797311539582594</v>
      </c>
      <c r="AN1523">
        <v>1.0000000196473799</v>
      </c>
    </row>
    <row r="1524" spans="1:40" x14ac:dyDescent="0.25">
      <c r="A1524" t="str">
        <f>"20190312151255209"</f>
        <v>20190312151255209</v>
      </c>
      <c r="B1524" t="str">
        <f>"1552374775201218"</f>
        <v>1552374775201218</v>
      </c>
      <c r="C1524" t="s">
        <v>40</v>
      </c>
      <c r="D1524">
        <v>5.2974420000000002</v>
      </c>
      <c r="E1524">
        <v>0.58502929999999997</v>
      </c>
      <c r="F1524" t="s">
        <v>54</v>
      </c>
      <c r="G1524">
        <v>-212.4913</v>
      </c>
      <c r="H1524" s="1">
        <v>-2.110473E-7</v>
      </c>
      <c r="I1524">
        <v>282.96300000000002</v>
      </c>
      <c r="J1524">
        <v>-204.3817</v>
      </c>
      <c r="K1524">
        <v>1.09819</v>
      </c>
      <c r="L1524">
        <v>282.76740000000001</v>
      </c>
      <c r="M1524">
        <v>-0.90006839999999999</v>
      </c>
      <c r="N1524">
        <v>0</v>
      </c>
      <c r="O1524">
        <v>-0.435531</v>
      </c>
      <c r="P1524">
        <v>-0.97702770000000005</v>
      </c>
      <c r="Q1524">
        <v>5.366725E-2</v>
      </c>
      <c r="R1524">
        <v>-0.20624419999999999</v>
      </c>
      <c r="S1524">
        <v>-3.108231</v>
      </c>
      <c r="T1524">
        <v>-0.40795150000000002</v>
      </c>
      <c r="U1524">
        <v>3.1311039999999998E-2</v>
      </c>
      <c r="V1524">
        <v>0.24172850000000001</v>
      </c>
      <c r="W1524">
        <v>6.014941E-2</v>
      </c>
      <c r="X1524">
        <v>0.96847780000000006</v>
      </c>
      <c r="Y1524">
        <v>0.43732090000000001</v>
      </c>
      <c r="Z1524">
        <v>8.4027900000000003E-2</v>
      </c>
      <c r="AA1524">
        <v>0.89537129999999998</v>
      </c>
      <c r="AB1524">
        <v>27</v>
      </c>
      <c r="AC1524">
        <v>-8.1096000000000004</v>
      </c>
      <c r="AD1524">
        <v>-1.0981902110473001</v>
      </c>
      <c r="AE1524">
        <v>0.195599999999956</v>
      </c>
      <c r="AF1524">
        <v>3.6416448742201601</v>
      </c>
      <c r="AG1524">
        <v>-1.0981902110473001</v>
      </c>
      <c r="AH1524">
        <v>7.0848413344094796</v>
      </c>
      <c r="AI1524">
        <v>97.849338042207805</v>
      </c>
      <c r="AJ1524">
        <v>62.796603023531503</v>
      </c>
      <c r="AK1524">
        <v>8.0413043633064394</v>
      </c>
      <c r="AL1524">
        <v>86.551610953412407</v>
      </c>
      <c r="AM1524">
        <v>75.985526935272404</v>
      </c>
      <c r="AN1524">
        <v>0.99999993416421595</v>
      </c>
    </row>
    <row r="1525" spans="1:40" x14ac:dyDescent="0.25">
      <c r="A1525" t="str">
        <f>"20190312151255232"</f>
        <v>20190312151255232</v>
      </c>
      <c r="B1525" t="str">
        <f>"1552374775221714"</f>
        <v>1552374775221714</v>
      </c>
      <c r="C1525" t="s">
        <v>40</v>
      </c>
      <c r="D1525">
        <v>5.2308349999999999</v>
      </c>
      <c r="E1525">
        <v>0.56489990000000001</v>
      </c>
      <c r="F1525" t="s">
        <v>54</v>
      </c>
      <c r="G1525">
        <v>-212.9205</v>
      </c>
      <c r="H1525" s="1">
        <v>1.7351739999999999E-8</v>
      </c>
      <c r="I1525">
        <v>282.93419999999998</v>
      </c>
      <c r="J1525">
        <v>-204.6489</v>
      </c>
      <c r="K1525">
        <v>1.098187</v>
      </c>
      <c r="L1525">
        <v>282.65690000000001</v>
      </c>
      <c r="M1525">
        <v>-0.90702229999999995</v>
      </c>
      <c r="N1525">
        <v>0</v>
      </c>
      <c r="O1525">
        <v>-0.42085699999999998</v>
      </c>
      <c r="P1525">
        <v>-0.97958780000000001</v>
      </c>
      <c r="Q1525">
        <v>5.4751910000000001E-2</v>
      </c>
      <c r="R1525">
        <v>-0.19341720000000001</v>
      </c>
      <c r="S1525">
        <v>-3.10527</v>
      </c>
      <c r="T1525">
        <v>-0.39937460000000002</v>
      </c>
      <c r="U1525">
        <v>6.0668949999999999E-2</v>
      </c>
      <c r="V1525">
        <v>0.23870160000000001</v>
      </c>
      <c r="W1525">
        <v>6.1332169999999998E-2</v>
      </c>
      <c r="X1525">
        <v>0.96915419999999997</v>
      </c>
      <c r="Y1525">
        <v>0.43167119999999998</v>
      </c>
      <c r="Z1525">
        <v>8.0285010000000004E-2</v>
      </c>
      <c r="AA1525">
        <v>0.89845109999999995</v>
      </c>
      <c r="AB1525">
        <v>27</v>
      </c>
      <c r="AC1525">
        <v>-8.2715999999999994</v>
      </c>
      <c r="AD1525">
        <v>-1.09818698264826</v>
      </c>
      <c r="AE1525">
        <v>0.27729999999996802</v>
      </c>
      <c r="AF1525">
        <v>3.66844225995803</v>
      </c>
      <c r="AG1525">
        <v>-1.09818698264826</v>
      </c>
      <c r="AH1525">
        <v>7.2587191452277304</v>
      </c>
      <c r="AI1525">
        <v>97.690007811012293</v>
      </c>
      <c r="AJ1525">
        <v>63.188685328407402</v>
      </c>
      <c r="AK1525">
        <v>8.2068560906597892</v>
      </c>
      <c r="AL1525">
        <v>86.483718578013793</v>
      </c>
      <c r="AM1525">
        <v>76.163513871507504</v>
      </c>
      <c r="AN1525">
        <v>0.99999997614855396</v>
      </c>
    </row>
    <row r="1526" spans="1:40" x14ac:dyDescent="0.25">
      <c r="A1526" t="str">
        <f>"20190312151255253"</f>
        <v>20190312151255253</v>
      </c>
      <c r="B1526" t="str">
        <f>"1552374775251971"</f>
        <v>1552374775251971</v>
      </c>
      <c r="C1526" t="s">
        <v>40</v>
      </c>
      <c r="D1526">
        <v>4.9599549999999999</v>
      </c>
      <c r="E1526">
        <v>0.56437510000000002</v>
      </c>
      <c r="F1526" t="s">
        <v>54</v>
      </c>
      <c r="G1526">
        <v>-216.21340000000001</v>
      </c>
      <c r="H1526" s="1">
        <v>1.7696589999999999E-6</v>
      </c>
      <c r="I1526">
        <v>282.43150000000003</v>
      </c>
      <c r="J1526">
        <v>-204.9084</v>
      </c>
      <c r="K1526">
        <v>1.0981829999999999</v>
      </c>
      <c r="L1526">
        <v>282.55439999999999</v>
      </c>
      <c r="M1526">
        <v>-0.91350529999999996</v>
      </c>
      <c r="N1526">
        <v>0</v>
      </c>
      <c r="O1526">
        <v>-0.40659329999999999</v>
      </c>
      <c r="P1526">
        <v>-0.98189850000000001</v>
      </c>
      <c r="Q1526">
        <v>5.4631890000000002E-2</v>
      </c>
      <c r="R1526">
        <v>-0.1813582</v>
      </c>
      <c r="S1526">
        <v>-3.066986</v>
      </c>
      <c r="T1526">
        <v>-0.29124809999999901</v>
      </c>
      <c r="U1526">
        <v>-5.9783940000000001E-2</v>
      </c>
      <c r="V1526">
        <v>0.23542869999999999</v>
      </c>
      <c r="W1526">
        <v>6.1318360000000002E-2</v>
      </c>
      <c r="X1526">
        <v>0.96995529999999996</v>
      </c>
      <c r="Y1526">
        <v>0.38527820000000002</v>
      </c>
      <c r="Z1526">
        <v>5.5865539999999998E-2</v>
      </c>
      <c r="AA1526">
        <v>0.92110789999999998</v>
      </c>
      <c r="AB1526">
        <v>27</v>
      </c>
      <c r="AC1526">
        <v>-11.305</v>
      </c>
      <c r="AD1526">
        <v>-1.0981812303409999</v>
      </c>
      <c r="AE1526">
        <v>-0.122899999999958</v>
      </c>
      <c r="AF1526">
        <v>4.4427745237330099</v>
      </c>
      <c r="AG1526">
        <v>-1.0981812303409999</v>
      </c>
      <c r="AH1526">
        <v>10.2811279743706</v>
      </c>
      <c r="AI1526">
        <v>95.600062518265204</v>
      </c>
      <c r="AJ1526">
        <v>66.629422520048195</v>
      </c>
      <c r="AK1526">
        <v>11.2537033863875</v>
      </c>
      <c r="AL1526">
        <v>86.4845112293646</v>
      </c>
      <c r="AM1526">
        <v>76.356937044027902</v>
      </c>
      <c r="AN1526">
        <v>0.99999994902743305</v>
      </c>
    </row>
    <row r="1527" spans="1:40" x14ac:dyDescent="0.25">
      <c r="A1527" t="str">
        <f>"20190312151255278"</f>
        <v>20190312151255278</v>
      </c>
      <c r="B1527" t="str">
        <f>"1552374775271490"</f>
        <v>1552374775271490</v>
      </c>
      <c r="C1527" t="s">
        <v>40</v>
      </c>
      <c r="D1527">
        <v>4.9199519999999897</v>
      </c>
      <c r="E1527">
        <v>0.56281979999999998</v>
      </c>
      <c r="F1527" t="s">
        <v>54</v>
      </c>
      <c r="G1527">
        <v>-216.24289999999999</v>
      </c>
      <c r="H1527" s="1">
        <v>1.785373E-6</v>
      </c>
      <c r="I1527">
        <v>282.45319999999998</v>
      </c>
      <c r="J1527">
        <v>-205.18639999999999</v>
      </c>
      <c r="K1527">
        <v>1.098177</v>
      </c>
      <c r="L1527">
        <v>282.44959999999998</v>
      </c>
      <c r="M1527">
        <v>-0.92015860000000005</v>
      </c>
      <c r="N1527">
        <v>0</v>
      </c>
      <c r="O1527">
        <v>-0.3913025</v>
      </c>
      <c r="P1527">
        <v>-0.98413119999999998</v>
      </c>
      <c r="Q1527">
        <v>5.3178379999999997E-2</v>
      </c>
      <c r="R1527">
        <v>-0.16928579999999999</v>
      </c>
      <c r="S1527">
        <v>-3.0667879999999998</v>
      </c>
      <c r="T1527">
        <v>-0.29713679999999998</v>
      </c>
      <c r="U1527">
        <v>-2.7374269999999999E-2</v>
      </c>
      <c r="V1527">
        <v>0.2311502</v>
      </c>
      <c r="W1527">
        <v>6.0003279999999999E-2</v>
      </c>
      <c r="X1527">
        <v>0.97106599999999998</v>
      </c>
      <c r="Y1527">
        <v>0.37958009999999998</v>
      </c>
      <c r="Z1527">
        <v>5.5368519999999997E-2</v>
      </c>
      <c r="AA1527">
        <v>0.92350049999999995</v>
      </c>
      <c r="AB1527">
        <v>27</v>
      </c>
      <c r="AC1527">
        <v>-11.0565</v>
      </c>
      <c r="AD1527">
        <v>-1.0981752146270001</v>
      </c>
      <c r="AE1527">
        <v>3.6000000000058199E-3</v>
      </c>
      <c r="AF1527">
        <v>4.2878603449627803</v>
      </c>
      <c r="AG1527">
        <v>-1.0981752146270001</v>
      </c>
      <c r="AH1527">
        <v>10.0739123300601</v>
      </c>
      <c r="AI1527">
        <v>95.727826525015999</v>
      </c>
      <c r="AJ1527">
        <v>66.943454473939994</v>
      </c>
      <c r="AK1527">
        <v>11.003428773507901</v>
      </c>
      <c r="AL1527">
        <v>86.559998937161893</v>
      </c>
      <c r="AM1527">
        <v>76.610628659334395</v>
      </c>
      <c r="AN1527">
        <v>0.99999999246339899</v>
      </c>
    </row>
    <row r="1528" spans="1:40" x14ac:dyDescent="0.25">
      <c r="A1528" t="str">
        <f>"20190312151255300"</f>
        <v>20190312151255300</v>
      </c>
      <c r="B1528" t="str">
        <f>"1552374775291010"</f>
        <v>1552374775291010</v>
      </c>
      <c r="C1528" t="s">
        <v>40</v>
      </c>
      <c r="D1528">
        <v>4.7721519999999904</v>
      </c>
      <c r="E1528">
        <v>0.56142199999999998</v>
      </c>
      <c r="F1528" t="s">
        <v>54</v>
      </c>
      <c r="G1528">
        <v>-216.18700000000001</v>
      </c>
      <c r="H1528" s="1">
        <v>1.7556139999999999E-6</v>
      </c>
      <c r="I1528">
        <v>282.4425</v>
      </c>
      <c r="J1528">
        <v>-205.46129999999999</v>
      </c>
      <c r="K1528">
        <v>1.098176</v>
      </c>
      <c r="L1528">
        <v>282.35109999999997</v>
      </c>
      <c r="M1528">
        <v>-0.92644459999999995</v>
      </c>
      <c r="N1528">
        <v>0</v>
      </c>
      <c r="O1528">
        <v>-0.37617869999999998</v>
      </c>
      <c r="P1528">
        <v>-0.98614380000000001</v>
      </c>
      <c r="Q1528">
        <v>5.2943280000000002E-2</v>
      </c>
      <c r="R1528">
        <v>-0.15721769999999999</v>
      </c>
      <c r="S1528">
        <v>-3.0645600000000002</v>
      </c>
      <c r="T1528">
        <v>-0.3059325</v>
      </c>
      <c r="U1528">
        <v>-1.9836430000000002E-3</v>
      </c>
      <c r="V1528">
        <v>0.22713349999999999</v>
      </c>
      <c r="W1528">
        <v>5.9900000000000002E-2</v>
      </c>
      <c r="X1528">
        <v>0.97201970000000004</v>
      </c>
      <c r="Y1528">
        <v>0.3719674</v>
      </c>
      <c r="Z1528">
        <v>5.5267459999999997E-2</v>
      </c>
      <c r="AA1528">
        <v>0.92659899999999995</v>
      </c>
      <c r="AB1528">
        <v>27</v>
      </c>
      <c r="AC1528">
        <v>-10.7257</v>
      </c>
      <c r="AD1528">
        <v>-1.0981742443860001</v>
      </c>
      <c r="AE1528">
        <v>9.1400000000021395E-2</v>
      </c>
      <c r="AF1528">
        <v>4.0771105000933501</v>
      </c>
      <c r="AG1528">
        <v>-1.0981742443860001</v>
      </c>
      <c r="AH1528">
        <v>9.8005914461024002</v>
      </c>
      <c r="AI1528">
        <v>95.906618152583604</v>
      </c>
      <c r="AJ1528">
        <v>67.412368227697698</v>
      </c>
      <c r="AK1528">
        <v>10.671476439294601</v>
      </c>
      <c r="AL1528">
        <v>86.565927020891095</v>
      </c>
      <c r="AM1528">
        <v>76.847592864159594</v>
      </c>
      <c r="AN1528">
        <v>0.99999996700516902</v>
      </c>
    </row>
    <row r="1529" spans="1:40" x14ac:dyDescent="0.25">
      <c r="A1529" t="str">
        <f>"20190312151255320"</f>
        <v>20190312151255320</v>
      </c>
      <c r="B1529" t="str">
        <f>"1552374775311506"</f>
        <v>1552374775311506</v>
      </c>
      <c r="C1529" t="s">
        <v>40</v>
      </c>
      <c r="D1529">
        <v>4.739223</v>
      </c>
      <c r="E1529">
        <v>0.55686139999999995</v>
      </c>
      <c r="F1529" t="s">
        <v>54</v>
      </c>
      <c r="G1529">
        <v>-216.35300000000001</v>
      </c>
      <c r="H1529" s="1">
        <v>1.843983E-6</v>
      </c>
      <c r="I1529">
        <v>282.43779999999998</v>
      </c>
      <c r="J1529">
        <v>-205.6952</v>
      </c>
      <c r="K1529">
        <v>1.0981860000000001</v>
      </c>
      <c r="L1529">
        <v>282.2713</v>
      </c>
      <c r="M1529">
        <v>-0.93156050000000001</v>
      </c>
      <c r="N1529">
        <v>0</v>
      </c>
      <c r="O1529">
        <v>-0.36332520000000001</v>
      </c>
      <c r="P1529">
        <v>-0.98769720000000005</v>
      </c>
      <c r="Q1529">
        <v>5.2779600000000003E-2</v>
      </c>
      <c r="R1529">
        <v>-0.147203</v>
      </c>
      <c r="S1529">
        <v>-3.0626220000000002</v>
      </c>
      <c r="T1529">
        <v>-0.3087934</v>
      </c>
      <c r="U1529">
        <v>2.4383539999999999E-2</v>
      </c>
      <c r="V1529">
        <v>0.22354250000000001</v>
      </c>
      <c r="W1529">
        <v>5.9857149999999998E-2</v>
      </c>
      <c r="X1529">
        <v>0.97285449999999996</v>
      </c>
      <c r="Y1529">
        <v>0.36712470000000003</v>
      </c>
      <c r="Z1529">
        <v>5.4368979999999997E-2</v>
      </c>
      <c r="AA1529">
        <v>0.9285814</v>
      </c>
      <c r="AB1529">
        <v>27</v>
      </c>
      <c r="AC1529">
        <v>-10.6577999999999</v>
      </c>
      <c r="AD1529">
        <v>-1.098184156017</v>
      </c>
      <c r="AE1529">
        <v>0.16649999999998499</v>
      </c>
      <c r="AF1529">
        <v>3.9854301654875899</v>
      </c>
      <c r="AG1529">
        <v>-1.098184156017</v>
      </c>
      <c r="AH1529">
        <v>9.7651738630927607</v>
      </c>
      <c r="AI1529">
        <v>95.944300627213494</v>
      </c>
      <c r="AJ1529">
        <v>67.798307376650499</v>
      </c>
      <c r="AK1529">
        <v>10.6041634569132</v>
      </c>
      <c r="AL1529">
        <v>86.568386681817401</v>
      </c>
      <c r="AM1529">
        <v>77.059208219077604</v>
      </c>
      <c r="AN1529">
        <v>1.0000000029413101</v>
      </c>
    </row>
    <row r="1530" spans="1:40" x14ac:dyDescent="0.25">
      <c r="A1530" t="str">
        <f>"20190312151255342"</f>
        <v>20190312151255342</v>
      </c>
      <c r="B1530" t="str">
        <f>"1552374775331026"</f>
        <v>1552374775331026</v>
      </c>
      <c r="C1530" t="s">
        <v>40</v>
      </c>
      <c r="D1530">
        <v>4.62209</v>
      </c>
      <c r="E1530">
        <v>0.55429219999999901</v>
      </c>
      <c r="F1530" t="s">
        <v>54</v>
      </c>
      <c r="G1530">
        <v>-214.02529999999999</v>
      </c>
      <c r="H1530" s="1">
        <v>6.0528169999999995E-7</v>
      </c>
      <c r="I1530">
        <v>282.33080000000001</v>
      </c>
      <c r="J1530">
        <v>-205.95939999999999</v>
      </c>
      <c r="K1530">
        <v>1.098212</v>
      </c>
      <c r="L1530">
        <v>282.18529999999998</v>
      </c>
      <c r="M1530">
        <v>-0.93708959999999997</v>
      </c>
      <c r="N1530">
        <v>0</v>
      </c>
      <c r="O1530">
        <v>-0.34881610000000002</v>
      </c>
      <c r="P1530">
        <v>-0.98938539999999997</v>
      </c>
      <c r="Q1530">
        <v>5.2383449999999998E-2</v>
      </c>
      <c r="R1530">
        <v>-0.13554359999999999</v>
      </c>
      <c r="S1530">
        <v>-3.062195</v>
      </c>
      <c r="T1530">
        <v>-0.40369709999999998</v>
      </c>
      <c r="U1530">
        <v>2.1881100000000001E-2</v>
      </c>
      <c r="V1530">
        <v>0.2198995</v>
      </c>
      <c r="W1530">
        <v>5.9590600000000001E-2</v>
      </c>
      <c r="X1530">
        <v>0.97370080000000003</v>
      </c>
      <c r="Y1530">
        <v>0.34958850000000002</v>
      </c>
      <c r="Z1530">
        <v>6.8003679999999997E-2</v>
      </c>
      <c r="AA1530">
        <v>0.93443209999999999</v>
      </c>
      <c r="AB1530">
        <v>27</v>
      </c>
      <c r="AC1530">
        <v>-8.0658999999999992</v>
      </c>
      <c r="AD1530">
        <v>-1.0982113947183001</v>
      </c>
      <c r="AE1530">
        <v>0.145500000000026</v>
      </c>
      <c r="AF1530">
        <v>2.8964655737358198</v>
      </c>
      <c r="AG1530">
        <v>-1.0982113947183001</v>
      </c>
      <c r="AH1530">
        <v>7.3718177802084304</v>
      </c>
      <c r="AI1530">
        <v>97.894044741314005</v>
      </c>
      <c r="AJ1530">
        <v>68.549608837291402</v>
      </c>
      <c r="AK1530">
        <v>7.9962040038960396</v>
      </c>
      <c r="AL1530">
        <v>86.583686305132801</v>
      </c>
      <c r="AM1530">
        <v>77.273876353384495</v>
      </c>
      <c r="AN1530">
        <v>1.00000003881462</v>
      </c>
    </row>
    <row r="1531" spans="1:40" x14ac:dyDescent="0.25">
      <c r="A1531" t="str">
        <f>"20190312151255366"</f>
        <v>20190312151255366</v>
      </c>
      <c r="B1531" t="str">
        <f>"1552374775361283"</f>
        <v>1552374775361283</v>
      </c>
      <c r="C1531" t="s">
        <v>40</v>
      </c>
      <c r="D1531">
        <v>4.6320399999999999</v>
      </c>
      <c r="E1531">
        <v>0.55174199999999995</v>
      </c>
      <c r="F1531" t="s">
        <v>54</v>
      </c>
      <c r="G1531">
        <v>-214.13509999999999</v>
      </c>
      <c r="H1531" s="1">
        <v>6.6369549999999998E-7</v>
      </c>
      <c r="I1531">
        <v>282.286</v>
      </c>
      <c r="J1531">
        <v>-206.23570000000001</v>
      </c>
      <c r="K1531">
        <v>1.0982449999999999</v>
      </c>
      <c r="L1531">
        <v>282.1001</v>
      </c>
      <c r="M1531">
        <v>-0.94258330000000001</v>
      </c>
      <c r="N1531">
        <v>0</v>
      </c>
      <c r="O1531">
        <v>-0.3336866</v>
      </c>
      <c r="P1531">
        <v>-0.99097939999999995</v>
      </c>
      <c r="Q1531">
        <v>5.1891130000000001E-2</v>
      </c>
      <c r="R1531">
        <v>-0.1235609</v>
      </c>
      <c r="S1531">
        <v>-3.059097</v>
      </c>
      <c r="T1531">
        <v>-0.41091919999999998</v>
      </c>
      <c r="U1531">
        <v>3.7689210000000001E-2</v>
      </c>
      <c r="V1531">
        <v>0.21599479999999999</v>
      </c>
      <c r="W1531">
        <v>5.9242650000000001E-2</v>
      </c>
      <c r="X1531">
        <v>0.97459560000000001</v>
      </c>
      <c r="Y1531">
        <v>0.33934449999999999</v>
      </c>
      <c r="Z1531">
        <v>6.667563E-2</v>
      </c>
      <c r="AA1531">
        <v>0.93829609999999997</v>
      </c>
      <c r="AB1531">
        <v>27</v>
      </c>
      <c r="AC1531">
        <v>-7.8993999999999804</v>
      </c>
      <c r="AD1531">
        <v>-1.0982443363045</v>
      </c>
      <c r="AE1531">
        <v>0.18590000000000301</v>
      </c>
      <c r="AF1531">
        <v>2.7581347071339701</v>
      </c>
      <c r="AG1531">
        <v>-1.0982443363045</v>
      </c>
      <c r="AH1531">
        <v>7.2445589693784003</v>
      </c>
      <c r="AI1531">
        <v>98.063737064338</v>
      </c>
      <c r="AJ1531">
        <v>69.1572651432204</v>
      </c>
      <c r="AK1531">
        <v>7.8292453241499</v>
      </c>
      <c r="AL1531">
        <v>86.603657571778697</v>
      </c>
      <c r="AM1531">
        <v>77.503801640779201</v>
      </c>
      <c r="AN1531">
        <v>1.0000000143727099</v>
      </c>
    </row>
    <row r="1532" spans="1:40" x14ac:dyDescent="0.25">
      <c r="A1532" t="str">
        <f>"20190312151255387"</f>
        <v>20190312151255387</v>
      </c>
      <c r="B1532" t="str">
        <f>"1552374775381779"</f>
        <v>1552374775381779</v>
      </c>
      <c r="C1532" t="s">
        <v>40</v>
      </c>
      <c r="D1532">
        <v>4.585445</v>
      </c>
      <c r="E1532">
        <v>0.54971429999999999</v>
      </c>
      <c r="F1532" t="s">
        <v>54</v>
      </c>
      <c r="G1532">
        <v>-214.3321</v>
      </c>
      <c r="H1532" s="1">
        <v>7.685417E-7</v>
      </c>
      <c r="I1532">
        <v>282.24520000000001</v>
      </c>
      <c r="J1532">
        <v>-206.50530000000001</v>
      </c>
      <c r="K1532">
        <v>1.098298</v>
      </c>
      <c r="L1532">
        <v>282.02190000000002</v>
      </c>
      <c r="M1532">
        <v>-0.94766039999999996</v>
      </c>
      <c r="N1532">
        <v>0</v>
      </c>
      <c r="O1532">
        <v>-0.31898219999999999</v>
      </c>
      <c r="P1532">
        <v>-0.99236500000000005</v>
      </c>
      <c r="Q1532">
        <v>5.1311950000000002E-2</v>
      </c>
      <c r="R1532">
        <v>-0.112157199999999</v>
      </c>
      <c r="S1532">
        <v>-3.0558320000000001</v>
      </c>
      <c r="T1532">
        <v>-0.41450979999999998</v>
      </c>
      <c r="U1532">
        <v>5.4779050000000003E-2</v>
      </c>
      <c r="V1532">
        <v>0.21202219999999999</v>
      </c>
      <c r="W1532">
        <v>5.8812820000000002E-2</v>
      </c>
      <c r="X1532">
        <v>0.97549359999999996</v>
      </c>
      <c r="Y1532">
        <v>0.33007570000000003</v>
      </c>
      <c r="Z1532">
        <v>6.4805160000000001E-2</v>
      </c>
      <c r="AA1532">
        <v>0.94172730000000004</v>
      </c>
      <c r="AB1532">
        <v>27</v>
      </c>
      <c r="AC1532">
        <v>-7.8267999999999898</v>
      </c>
      <c r="AD1532">
        <v>-1.0982972314582999</v>
      </c>
      <c r="AE1532">
        <v>0.223299999999994</v>
      </c>
      <c r="AF1532">
        <v>2.6562184501692401</v>
      </c>
      <c r="AG1532">
        <v>-1.0982972314582999</v>
      </c>
      <c r="AH1532">
        <v>7.2048614105583297</v>
      </c>
      <c r="AI1532">
        <v>98.139690929940798</v>
      </c>
      <c r="AJ1532">
        <v>69.762567268372194</v>
      </c>
      <c r="AK1532">
        <v>7.7570471965175596</v>
      </c>
      <c r="AL1532">
        <v>86.628328195346398</v>
      </c>
      <c r="AM1532">
        <v>77.737560877848296</v>
      </c>
      <c r="AN1532">
        <v>1.00000006236507</v>
      </c>
    </row>
    <row r="1533" spans="1:40" x14ac:dyDescent="0.25">
      <c r="A1533" t="str">
        <f>"20190312151255410"</f>
        <v>20190312151255410</v>
      </c>
      <c r="B1533" t="str">
        <f>"1552374775401298"</f>
        <v>1552374775401298</v>
      </c>
      <c r="C1533" t="s">
        <v>40</v>
      </c>
      <c r="D1533">
        <v>4.5513300000000001</v>
      </c>
      <c r="E1533">
        <v>0.54902189999999995</v>
      </c>
      <c r="F1533" t="s">
        <v>54</v>
      </c>
      <c r="G1533">
        <v>-214.4111</v>
      </c>
      <c r="H1533" s="1">
        <v>8.1057149999999997E-7</v>
      </c>
      <c r="I1533">
        <v>282.21390000000002</v>
      </c>
      <c r="J1533">
        <v>-206.77500000000001</v>
      </c>
      <c r="K1533">
        <v>1.0983579999999999</v>
      </c>
      <c r="L1533">
        <v>281.94799999999998</v>
      </c>
      <c r="M1533">
        <v>-0.95246169999999997</v>
      </c>
      <c r="N1533">
        <v>0</v>
      </c>
      <c r="O1533">
        <v>-0.30434650000000002</v>
      </c>
      <c r="P1533">
        <v>-0.99350649999999996</v>
      </c>
      <c r="Q1533">
        <v>5.0558720000000001E-2</v>
      </c>
      <c r="R1533">
        <v>-0.1019264</v>
      </c>
      <c r="S1533">
        <v>-3.053436</v>
      </c>
      <c r="T1533">
        <v>-0.42419469999999998</v>
      </c>
      <c r="U1533">
        <v>7.4188229999999994E-2</v>
      </c>
      <c r="V1533">
        <v>0.20702309999999999</v>
      </c>
      <c r="W1533">
        <v>5.8242559999999999E-2</v>
      </c>
      <c r="X1533">
        <v>0.97660089999999999</v>
      </c>
      <c r="Y1533">
        <v>0.32147579999999998</v>
      </c>
      <c r="Z1533">
        <v>6.3822229999999994E-2</v>
      </c>
      <c r="AA1533">
        <v>0.94476459999999995</v>
      </c>
      <c r="AB1533">
        <v>27</v>
      </c>
      <c r="AC1533">
        <v>-7.6360999999999901</v>
      </c>
      <c r="AD1533">
        <v>-1.0983571894285</v>
      </c>
      <c r="AE1533">
        <v>0.26590000000004399</v>
      </c>
      <c r="AF1533">
        <v>2.5253406094143398</v>
      </c>
      <c r="AG1533">
        <v>-1.0983571894285</v>
      </c>
      <c r="AH1533">
        <v>7.0472251411725502</v>
      </c>
      <c r="AI1533">
        <v>98.346928406639705</v>
      </c>
      <c r="AJ1533">
        <v>70.285093529863104</v>
      </c>
      <c r="AK1533">
        <v>7.5661823860848703</v>
      </c>
      <c r="AL1533">
        <v>86.661057711767498</v>
      </c>
      <c r="AM1533">
        <v>78.031428279961503</v>
      </c>
      <c r="AN1533">
        <v>1.00000003880488</v>
      </c>
    </row>
    <row r="1534" spans="1:40" x14ac:dyDescent="0.25">
      <c r="A1534" t="str">
        <f>"20190312151255432"</f>
        <v>20190312151255432</v>
      </c>
      <c r="B1534" t="str">
        <f>"1552374775421794"</f>
        <v>1552374775421794</v>
      </c>
      <c r="C1534" t="s">
        <v>40</v>
      </c>
      <c r="D1534">
        <v>4.4984479999999998</v>
      </c>
      <c r="E1534">
        <v>0.54962639999999996</v>
      </c>
      <c r="F1534" t="s">
        <v>54</v>
      </c>
      <c r="G1534">
        <v>-214.71799999999999</v>
      </c>
      <c r="H1534" s="1">
        <v>9.7391719999999898E-7</v>
      </c>
      <c r="I1534">
        <v>282.20859999999999</v>
      </c>
      <c r="J1534">
        <v>-207.04470000000001</v>
      </c>
      <c r="K1534">
        <v>1.09842</v>
      </c>
      <c r="L1534">
        <v>281.8784</v>
      </c>
      <c r="M1534">
        <v>-0.95699690000000004</v>
      </c>
      <c r="N1534">
        <v>0</v>
      </c>
      <c r="O1534">
        <v>-0.2897711</v>
      </c>
      <c r="P1534">
        <v>-0.99450570000000005</v>
      </c>
      <c r="Q1534">
        <v>5.014586E-2</v>
      </c>
      <c r="R1534">
        <v>-9.1891280000000006E-2</v>
      </c>
      <c r="S1534">
        <v>-3.0513759999999999</v>
      </c>
      <c r="T1534">
        <v>-0.42193969999999997</v>
      </c>
      <c r="U1534">
        <v>0.1001282</v>
      </c>
      <c r="V1534">
        <v>0.20195360000000001</v>
      </c>
      <c r="W1534">
        <v>5.8012149999999998E-2</v>
      </c>
      <c r="X1534">
        <v>0.97767550000000003</v>
      </c>
      <c r="Y1534">
        <v>0.31532690000000002</v>
      </c>
      <c r="Z1534">
        <v>6.1173129999999999E-2</v>
      </c>
      <c r="AA1534">
        <v>0.9470094</v>
      </c>
      <c r="AB1534">
        <v>27</v>
      </c>
      <c r="AC1534">
        <v>-7.6732999999999798</v>
      </c>
      <c r="AD1534">
        <v>-1.0984190260828</v>
      </c>
      <c r="AE1534">
        <v>0.33019999999999</v>
      </c>
      <c r="AF1534">
        <v>2.4888363046071902</v>
      </c>
      <c r="AG1534">
        <v>-1.0984190260828</v>
      </c>
      <c r="AH1534">
        <v>7.1030468468781596</v>
      </c>
      <c r="AI1534">
        <v>98.303186124211095</v>
      </c>
      <c r="AJ1534">
        <v>70.690051439995401</v>
      </c>
      <c r="AK1534">
        <v>7.6061885998795198</v>
      </c>
      <c r="AL1534">
        <v>86.6742815441348</v>
      </c>
      <c r="AM1534">
        <v>78.3288453567164</v>
      </c>
      <c r="AN1534">
        <v>1.0000000247004099</v>
      </c>
    </row>
    <row r="1535" spans="1:40" x14ac:dyDescent="0.25">
      <c r="A1535" t="str">
        <f>"20190312151255454"</f>
        <v>20190312151255454</v>
      </c>
      <c r="B1535" t="str">
        <f>"1552374775451074"</f>
        <v>1552374775451074</v>
      </c>
      <c r="C1535" t="s">
        <v>40</v>
      </c>
      <c r="D1535">
        <v>4.499644</v>
      </c>
      <c r="E1535">
        <v>0.55621659999999995</v>
      </c>
      <c r="F1535" t="s">
        <v>54</v>
      </c>
      <c r="G1535">
        <v>-215.0977</v>
      </c>
      <c r="H1535" s="1">
        <v>1.1759339999999999E-6</v>
      </c>
      <c r="I1535">
        <v>282.23599999999999</v>
      </c>
      <c r="J1535">
        <v>-207.32210000000001</v>
      </c>
      <c r="K1535">
        <v>1.098498</v>
      </c>
      <c r="L1535">
        <v>281.81130000000002</v>
      </c>
      <c r="M1535">
        <v>-0.96138170000000001</v>
      </c>
      <c r="N1535">
        <v>0</v>
      </c>
      <c r="O1535">
        <v>-0.27487460000000002</v>
      </c>
      <c r="P1535">
        <v>-0.99539219999999895</v>
      </c>
      <c r="Q1535">
        <v>4.9411200000000002E-2</v>
      </c>
      <c r="R1535">
        <v>-8.2177790000000001E-2</v>
      </c>
      <c r="S1535">
        <v>-3.0500639999999999</v>
      </c>
      <c r="T1535">
        <v>-0.4160278</v>
      </c>
      <c r="U1535">
        <v>0.135437</v>
      </c>
      <c r="V1535">
        <v>0.19628880000000001</v>
      </c>
      <c r="W1535">
        <v>5.747708E-2</v>
      </c>
      <c r="X1535">
        <v>0.97886010000000001</v>
      </c>
      <c r="Y1535">
        <v>0.31189240000000001</v>
      </c>
      <c r="Z1535">
        <v>5.8156869999999999E-2</v>
      </c>
      <c r="AA1535">
        <v>0.94833590000000001</v>
      </c>
      <c r="AB1535">
        <v>27</v>
      </c>
      <c r="AC1535">
        <v>-7.7755999999999901</v>
      </c>
      <c r="AD1535">
        <v>-1.098496824066</v>
      </c>
      <c r="AE1535">
        <v>0.42469999999997199</v>
      </c>
      <c r="AF1535">
        <v>2.49618248467341</v>
      </c>
      <c r="AG1535">
        <v>-1.098496824066</v>
      </c>
      <c r="AH1535">
        <v>7.2156898441067199</v>
      </c>
      <c r="AI1535">
        <v>98.187060169138405</v>
      </c>
      <c r="AJ1535">
        <v>70.917544209549007</v>
      </c>
      <c r="AK1535">
        <v>7.71387076606928</v>
      </c>
      <c r="AL1535">
        <v>86.704989960701795</v>
      </c>
      <c r="AM1535">
        <v>78.660985126429395</v>
      </c>
      <c r="AN1535">
        <v>1.0000000015513799</v>
      </c>
    </row>
    <row r="1536" spans="1:40" x14ac:dyDescent="0.25">
      <c r="A1536" t="str">
        <f>"20190312151255478"</f>
        <v>20190312151255478</v>
      </c>
      <c r="B1536" t="str">
        <f>"1552374775471571"</f>
        <v>1552374775471571</v>
      </c>
      <c r="C1536" t="s">
        <v>40</v>
      </c>
      <c r="D1536">
        <v>4.4655100000000001</v>
      </c>
      <c r="E1536">
        <v>0.55551110000000004</v>
      </c>
      <c r="F1536" t="s">
        <v>54</v>
      </c>
      <c r="G1536">
        <v>-218.5694</v>
      </c>
      <c r="H1536" s="1">
        <v>3.0234129999999999E-6</v>
      </c>
      <c r="I1536">
        <v>282.60320000000002</v>
      </c>
      <c r="J1536">
        <v>-207.61</v>
      </c>
      <c r="K1536">
        <v>1.0985940000000001</v>
      </c>
      <c r="L1536">
        <v>281.74619999999999</v>
      </c>
      <c r="M1536">
        <v>-0.96563739999999998</v>
      </c>
      <c r="N1536">
        <v>0</v>
      </c>
      <c r="O1536">
        <v>-0.25952930000000002</v>
      </c>
      <c r="P1536">
        <v>-0.99613070000000004</v>
      </c>
      <c r="Q1536">
        <v>4.9304220000000003E-2</v>
      </c>
      <c r="R1536">
        <v>-7.2753490000000004E-2</v>
      </c>
      <c r="S1536">
        <v>-3.0463870000000002</v>
      </c>
      <c r="T1536">
        <v>-0.29753170000000001</v>
      </c>
      <c r="U1536">
        <v>0.21450810000000001</v>
      </c>
      <c r="V1536">
        <v>0.18994240000000001</v>
      </c>
      <c r="W1536">
        <v>5.7590849999999999E-2</v>
      </c>
      <c r="X1536">
        <v>0.98010469999999905</v>
      </c>
      <c r="Y1536">
        <v>0.32399139999999998</v>
      </c>
      <c r="Z1536">
        <v>4.086041E-2</v>
      </c>
      <c r="AA1536">
        <v>0.9451773</v>
      </c>
      <c r="AB1536">
        <v>27</v>
      </c>
      <c r="AC1536">
        <v>-10.959399999999899</v>
      </c>
      <c r="AD1536">
        <v>-1.0985909765869999</v>
      </c>
      <c r="AE1536">
        <v>0.85700000000002696</v>
      </c>
      <c r="AF1536">
        <v>3.6358708462579399</v>
      </c>
      <c r="AG1536">
        <v>-1.0985909765869999</v>
      </c>
      <c r="AH1536">
        <v>10.258909396086</v>
      </c>
      <c r="AI1536">
        <v>95.763624296746102</v>
      </c>
      <c r="AJ1536">
        <v>70.485110932441401</v>
      </c>
      <c r="AK1536">
        <v>10.939455239709501</v>
      </c>
      <c r="AL1536">
        <v>86.698460672373002</v>
      </c>
      <c r="AM1536">
        <v>79.032148738398007</v>
      </c>
      <c r="AN1536">
        <v>1.00000002214178</v>
      </c>
    </row>
    <row r="1537" spans="1:40" x14ac:dyDescent="0.25">
      <c r="A1537" t="str">
        <f>"20190312151255500"</f>
        <v>20190312151255500</v>
      </c>
      <c r="B1537" t="str">
        <f>"1552374775491092"</f>
        <v>1552374775491092</v>
      </c>
      <c r="C1537" t="s">
        <v>40</v>
      </c>
      <c r="D1537">
        <v>4.4710390000000002</v>
      </c>
      <c r="E1537">
        <v>0.55431929999999996</v>
      </c>
      <c r="F1537" t="s">
        <v>54</v>
      </c>
      <c r="G1537">
        <v>-218.84</v>
      </c>
      <c r="H1537" s="1">
        <v>3.1674259999999998E-6</v>
      </c>
      <c r="I1537">
        <v>282.62709999999998</v>
      </c>
      <c r="J1537">
        <v>-207.88249999999999</v>
      </c>
      <c r="K1537">
        <v>1.0987</v>
      </c>
      <c r="L1537">
        <v>281.68880000000001</v>
      </c>
      <c r="M1537">
        <v>-0.96938939999999996</v>
      </c>
      <c r="N1537">
        <v>0</v>
      </c>
      <c r="O1537">
        <v>-0.24514449999999999</v>
      </c>
      <c r="P1537">
        <v>-0.996749</v>
      </c>
      <c r="Q1537">
        <v>4.973499E-2</v>
      </c>
      <c r="R1537">
        <v>-6.3390489999999994E-2</v>
      </c>
      <c r="S1537">
        <v>-3.0438230000000002</v>
      </c>
      <c r="T1537">
        <v>-0.29776570000000002</v>
      </c>
      <c r="U1537">
        <v>0.2387695</v>
      </c>
      <c r="V1537">
        <v>0.18456690000000001</v>
      </c>
      <c r="W1537">
        <v>5.8212079999999999E-2</v>
      </c>
      <c r="X1537">
        <v>0.98109449999999998</v>
      </c>
      <c r="Y1537">
        <v>0.31756899999999999</v>
      </c>
      <c r="Z1537">
        <v>3.9234909999999998E-2</v>
      </c>
      <c r="AA1537">
        <v>0.94742309999999996</v>
      </c>
      <c r="AB1537">
        <v>27</v>
      </c>
      <c r="AC1537">
        <v>-10.9575</v>
      </c>
      <c r="AD1537">
        <v>-1.0986968325740001</v>
      </c>
      <c r="AE1537">
        <v>0.93829999999996905</v>
      </c>
      <c r="AF1537">
        <v>3.56055093886346</v>
      </c>
      <c r="AG1537">
        <v>-1.0986968325740001</v>
      </c>
      <c r="AH1537">
        <v>10.290339629362499</v>
      </c>
      <c r="AI1537">
        <v>95.761668427768498</v>
      </c>
      <c r="AJ1537">
        <v>70.9139153448766</v>
      </c>
      <c r="AK1537">
        <v>10.9442106798881</v>
      </c>
      <c r="AL1537">
        <v>86.662806933393696</v>
      </c>
      <c r="AM1537">
        <v>79.345839729843604</v>
      </c>
      <c r="AN1537">
        <v>1.00000000238189</v>
      </c>
    </row>
    <row r="1538" spans="1:40" x14ac:dyDescent="0.25">
      <c r="A1538" t="str">
        <f>"20190312151255522"</f>
        <v>20190312151255522</v>
      </c>
      <c r="B1538" t="str">
        <f>"1552374775511586"</f>
        <v>1552374775511586</v>
      </c>
      <c r="C1538" t="s">
        <v>40</v>
      </c>
      <c r="D1538">
        <v>4.4371210000000003</v>
      </c>
      <c r="E1538">
        <v>0.55322559999999998</v>
      </c>
      <c r="F1538" t="s">
        <v>54</v>
      </c>
      <c r="G1538">
        <v>-219.05520000000001</v>
      </c>
      <c r="H1538" s="1">
        <v>3.2819139999999998E-6</v>
      </c>
      <c r="I1538">
        <v>282.63639999999998</v>
      </c>
      <c r="J1538">
        <v>-208.14429999999999</v>
      </c>
      <c r="K1538">
        <v>1.0988169999999999</v>
      </c>
      <c r="L1538">
        <v>281.63749999999999</v>
      </c>
      <c r="M1538">
        <v>-0.97274360000000004</v>
      </c>
      <c r="N1538">
        <v>0</v>
      </c>
      <c r="O1538">
        <v>-0.2314775</v>
      </c>
      <c r="P1538">
        <v>-0.99724679999999999</v>
      </c>
      <c r="Q1538">
        <v>4.9816949999999999E-2</v>
      </c>
      <c r="R1538">
        <v>-5.4926370000000002E-2</v>
      </c>
      <c r="S1538">
        <v>-3.0410919999999999</v>
      </c>
      <c r="T1538">
        <v>-0.29905589999999999</v>
      </c>
      <c r="U1538">
        <v>0.25793460000000001</v>
      </c>
      <c r="V1538">
        <v>0.1790667</v>
      </c>
      <c r="W1538">
        <v>5.8490559999999997E-2</v>
      </c>
      <c r="X1538">
        <v>0.98209669999999905</v>
      </c>
      <c r="Y1538">
        <v>0.31029590000000001</v>
      </c>
      <c r="Z1538">
        <v>3.7762499999999997E-2</v>
      </c>
      <c r="AA1538">
        <v>0.94988969999999995</v>
      </c>
      <c r="AB1538">
        <v>27</v>
      </c>
      <c r="AC1538">
        <v>-10.9109</v>
      </c>
      <c r="AD1538">
        <v>-1.098813718086</v>
      </c>
      <c r="AE1538">
        <v>0.99889999999999202</v>
      </c>
      <c r="AF1538">
        <v>3.4628022251483901</v>
      </c>
      <c r="AG1538">
        <v>-1.098813718086</v>
      </c>
      <c r="AH1538">
        <v>10.2798689751423</v>
      </c>
      <c r="AI1538">
        <v>95.784169666077801</v>
      </c>
      <c r="AJ1538">
        <v>71.383759788341706</v>
      </c>
      <c r="AK1538">
        <v>10.9029398321572</v>
      </c>
      <c r="AL1538">
        <v>86.646823891001006</v>
      </c>
      <c r="AM1538">
        <v>79.666712515604502</v>
      </c>
      <c r="AN1538">
        <v>0.99999997840444599</v>
      </c>
    </row>
    <row r="1539" spans="1:40" x14ac:dyDescent="0.25">
      <c r="A1539" t="str">
        <f>"20190312151255542"</f>
        <v>20190312151255542</v>
      </c>
      <c r="B1539" t="str">
        <f>"1552374775531106"</f>
        <v>1552374775531106</v>
      </c>
      <c r="C1539" t="s">
        <v>40</v>
      </c>
      <c r="D1539">
        <v>4.4587719999999997</v>
      </c>
      <c r="E1539">
        <v>0.55227879999999996</v>
      </c>
      <c r="F1539" t="s">
        <v>54</v>
      </c>
      <c r="G1539">
        <v>-219.1978</v>
      </c>
      <c r="H1539" s="1">
        <v>3.3578339999999902E-6</v>
      </c>
      <c r="I1539">
        <v>282.63740000000001</v>
      </c>
      <c r="J1539">
        <v>-208.40889999999999</v>
      </c>
      <c r="K1539">
        <v>1.0989629999999999</v>
      </c>
      <c r="L1539">
        <v>281.58929999999998</v>
      </c>
      <c r="M1539">
        <v>-0.9758888</v>
      </c>
      <c r="N1539">
        <v>0</v>
      </c>
      <c r="O1539">
        <v>-0.21783849999999999</v>
      </c>
      <c r="P1539">
        <v>-0.99770740000000002</v>
      </c>
      <c r="Q1539">
        <v>4.8912690000000002E-2</v>
      </c>
      <c r="R1539">
        <v>-4.6772859999999999E-2</v>
      </c>
      <c r="S1539">
        <v>-3.038513</v>
      </c>
      <c r="T1539">
        <v>-0.30205520000000002</v>
      </c>
      <c r="U1539">
        <v>0.2748718</v>
      </c>
      <c r="V1539">
        <v>0.17330699999999999</v>
      </c>
      <c r="W1539">
        <v>5.779318E-2</v>
      </c>
      <c r="X1539">
        <v>0.98317069999999995</v>
      </c>
      <c r="Y1539">
        <v>0.30236049999999998</v>
      </c>
      <c r="Z1539">
        <v>3.6443339999999998E-2</v>
      </c>
      <c r="AA1539">
        <v>0.95249669999999997</v>
      </c>
      <c r="AB1539">
        <v>27</v>
      </c>
      <c r="AC1539">
        <v>-10.7889</v>
      </c>
      <c r="AD1539">
        <v>-1.098959642166</v>
      </c>
      <c r="AE1539">
        <v>1.04810000000003</v>
      </c>
      <c r="AF1539">
        <v>3.3390624527774202</v>
      </c>
      <c r="AG1539">
        <v>-1.098959642166</v>
      </c>
      <c r="AH1539">
        <v>10.1966097645887</v>
      </c>
      <c r="AI1539">
        <v>95.848126781248496</v>
      </c>
      <c r="AJ1539">
        <v>71.868039287596204</v>
      </c>
      <c r="AK1539">
        <v>10.785541296103901</v>
      </c>
      <c r="AL1539">
        <v>86.686848592285997</v>
      </c>
      <c r="AM1539">
        <v>80.002968479175905</v>
      </c>
      <c r="AN1539">
        <v>0.99999999662100103</v>
      </c>
    </row>
    <row r="1540" spans="1:40" x14ac:dyDescent="0.25">
      <c r="A1540" t="str">
        <f>"20190312151255565"</f>
        <v>20190312151255565</v>
      </c>
      <c r="B1540" t="str">
        <f>"1552374775561362"</f>
        <v>1552374775561362</v>
      </c>
      <c r="C1540" t="s">
        <v>40</v>
      </c>
      <c r="D1540">
        <v>4.3924949999999896</v>
      </c>
      <c r="E1540">
        <v>0.55133109999999996</v>
      </c>
      <c r="F1540" t="s">
        <v>54</v>
      </c>
      <c r="G1540">
        <v>-219.25890000000001</v>
      </c>
      <c r="H1540" s="1">
        <v>3.3903559999999998E-6</v>
      </c>
      <c r="I1540">
        <v>282.63330000000002</v>
      </c>
      <c r="J1540">
        <v>-208.68199999999999</v>
      </c>
      <c r="K1540">
        <v>1.099124</v>
      </c>
      <c r="L1540">
        <v>281.54329999999999</v>
      </c>
      <c r="M1540">
        <v>-0.97888310000000001</v>
      </c>
      <c r="N1540">
        <v>0</v>
      </c>
      <c r="O1540">
        <v>-0.20396400000000001</v>
      </c>
      <c r="P1540">
        <v>-0.99810710000000002</v>
      </c>
      <c r="Q1540">
        <v>4.8596609999999998E-2</v>
      </c>
      <c r="R1540">
        <v>-3.7693310000000001E-2</v>
      </c>
      <c r="S1540">
        <v>-3.03566</v>
      </c>
      <c r="T1540">
        <v>-0.30747160000000001</v>
      </c>
      <c r="U1540">
        <v>0.29211429999999999</v>
      </c>
      <c r="V1540">
        <v>0.168263</v>
      </c>
      <c r="W1540">
        <v>5.7663209999999999E-2</v>
      </c>
      <c r="X1540">
        <v>0.98405410000000004</v>
      </c>
      <c r="Y1540">
        <v>0.29428880000000002</v>
      </c>
      <c r="Z1540">
        <v>3.5333580000000003E-2</v>
      </c>
      <c r="AA1540">
        <v>0.9550632</v>
      </c>
      <c r="AB1540">
        <v>27</v>
      </c>
      <c r="AC1540">
        <v>-10.576899999999901</v>
      </c>
      <c r="AD1540">
        <v>-1.0991206096439901</v>
      </c>
      <c r="AE1540">
        <v>1.0900000000000301</v>
      </c>
      <c r="AF1540">
        <v>3.1904988470629698</v>
      </c>
      <c r="AG1540">
        <v>-1.0991206096439901</v>
      </c>
      <c r="AH1540">
        <v>10.0250525989573</v>
      </c>
      <c r="AI1540">
        <v>95.964291452773793</v>
      </c>
      <c r="AJ1540">
        <v>72.346194265815797</v>
      </c>
      <c r="AK1540">
        <v>10.5777610400082</v>
      </c>
      <c r="AL1540">
        <v>86.694307700360895</v>
      </c>
      <c r="AM1540">
        <v>80.296857365606797</v>
      </c>
      <c r="AN1540">
        <v>0.99999997734165602</v>
      </c>
    </row>
    <row r="1541" spans="1:40" x14ac:dyDescent="0.25">
      <c r="A1541" t="str">
        <f>"20190312151255587"</f>
        <v>20190312151255587</v>
      </c>
      <c r="B1541" t="str">
        <f>"1552374775580882"</f>
        <v>1552374775580882</v>
      </c>
      <c r="C1541" t="s">
        <v>40</v>
      </c>
      <c r="D1541">
        <v>4.4158359999999997</v>
      </c>
      <c r="E1541">
        <v>0.54449930000000002</v>
      </c>
      <c r="F1541" t="s">
        <v>54</v>
      </c>
      <c r="G1541">
        <v>-219.488</v>
      </c>
      <c r="H1541" s="1">
        <v>3.5122609999999998E-6</v>
      </c>
      <c r="I1541">
        <v>282.65429999999998</v>
      </c>
      <c r="J1541">
        <v>-208.95959999999999</v>
      </c>
      <c r="K1541">
        <v>1.0993040000000001</v>
      </c>
      <c r="L1541">
        <v>281.50060000000002</v>
      </c>
      <c r="M1541">
        <v>-0.98166739999999997</v>
      </c>
      <c r="N1541">
        <v>0</v>
      </c>
      <c r="O1541">
        <v>-0.1901147</v>
      </c>
      <c r="P1541">
        <v>-0.99846749999999995</v>
      </c>
      <c r="Q1541">
        <v>4.7534689999999998E-2</v>
      </c>
      <c r="R1541">
        <v>-2.8349300000000001E-2</v>
      </c>
      <c r="S1541">
        <v>-3.0325009999999999</v>
      </c>
      <c r="T1541">
        <v>-0.30844650000000001</v>
      </c>
      <c r="U1541">
        <v>0.31176759999999998</v>
      </c>
      <c r="V1541">
        <v>0.1635231</v>
      </c>
      <c r="W1541">
        <v>5.6777750000000002E-2</v>
      </c>
      <c r="X1541">
        <v>0.98490429999999995</v>
      </c>
      <c r="Y1541">
        <v>0.28709990000000002</v>
      </c>
      <c r="Z1541">
        <v>3.372261E-2</v>
      </c>
      <c r="AA1541">
        <v>0.95730689999999996</v>
      </c>
      <c r="AB1541">
        <v>27</v>
      </c>
      <c r="AC1541">
        <v>-10.5284</v>
      </c>
      <c r="AD1541">
        <v>-1.099300487739</v>
      </c>
      <c r="AE1541">
        <v>1.15369999999995</v>
      </c>
      <c r="AF1541">
        <v>3.1010375228941398</v>
      </c>
      <c r="AG1541">
        <v>-1.099300487739</v>
      </c>
      <c r="AH1541">
        <v>10.009164552853999</v>
      </c>
      <c r="AI1541">
        <v>95.988975288027802</v>
      </c>
      <c r="AJ1541">
        <v>72.785982924506598</v>
      </c>
      <c r="AK1541">
        <v>10.536046237884999</v>
      </c>
      <c r="AL1541">
        <v>86.745124152815393</v>
      </c>
      <c r="AM1541">
        <v>80.573205620845002</v>
      </c>
      <c r="AN1541">
        <v>0.99999999864358102</v>
      </c>
    </row>
    <row r="1542" spans="1:40" x14ac:dyDescent="0.25">
      <c r="A1542" t="str">
        <f>"20190312151255610"</f>
        <v>20190312151255610</v>
      </c>
      <c r="B1542" t="str">
        <f>"1552374775601379"</f>
        <v>1552374775601379</v>
      </c>
      <c r="C1542" t="s">
        <v>40</v>
      </c>
      <c r="D1542">
        <v>4.4134500000000001</v>
      </c>
      <c r="E1542">
        <v>0.5449619</v>
      </c>
      <c r="F1542" t="s">
        <v>54</v>
      </c>
      <c r="G1542">
        <v>-224.2527</v>
      </c>
      <c r="H1542" s="1">
        <v>7.263046E-7</v>
      </c>
      <c r="I1542">
        <v>282.92869999999999</v>
      </c>
      <c r="J1542">
        <v>-209.23519999999999</v>
      </c>
      <c r="K1542">
        <v>1.099499</v>
      </c>
      <c r="L1542">
        <v>281.46179999999998</v>
      </c>
      <c r="M1542">
        <v>-0.98418399999999995</v>
      </c>
      <c r="N1542">
        <v>0</v>
      </c>
      <c r="O1542">
        <v>-0.17662729999999999</v>
      </c>
      <c r="P1542">
        <v>-0.99875990000000003</v>
      </c>
      <c r="Q1542">
        <v>4.5364160000000001E-2</v>
      </c>
      <c r="R1542">
        <v>-2.0521029999999999E-2</v>
      </c>
      <c r="S1542">
        <v>-3.0229490000000001</v>
      </c>
      <c r="T1542">
        <v>-0.2172955</v>
      </c>
      <c r="U1542">
        <v>0.28228760000000003</v>
      </c>
      <c r="V1542">
        <v>0.15765940000000001</v>
      </c>
      <c r="W1542">
        <v>5.481101E-2</v>
      </c>
      <c r="X1542">
        <v>0.98597120000000005</v>
      </c>
      <c r="Y1542">
        <v>0.26625939999999998</v>
      </c>
      <c r="Z1542">
        <v>2.216624E-2</v>
      </c>
      <c r="AA1542">
        <v>0.96364649999999996</v>
      </c>
      <c r="AB1542">
        <v>27</v>
      </c>
      <c r="AC1542">
        <v>-15.0175</v>
      </c>
      <c r="AD1542">
        <v>-1.0994982736954</v>
      </c>
      <c r="AE1542">
        <v>1.4669000000000001</v>
      </c>
      <c r="AF1542">
        <v>4.0749415182470701</v>
      </c>
      <c r="AG1542">
        <v>-1.0994982736954</v>
      </c>
      <c r="AH1542">
        <v>14.445528088901099</v>
      </c>
      <c r="AI1542">
        <v>94.189694314856595</v>
      </c>
      <c r="AJ1542">
        <v>74.246762272063705</v>
      </c>
      <c r="AK1542">
        <v>15.0494958918305</v>
      </c>
      <c r="AL1542">
        <v>86.857985790315297</v>
      </c>
      <c r="AM1542">
        <v>80.915162116339005</v>
      </c>
      <c r="AN1542">
        <v>0.99999997022750897</v>
      </c>
    </row>
    <row r="1543" spans="1:40" x14ac:dyDescent="0.25">
      <c r="A1543" t="str">
        <f>"20190312151255631"</f>
        <v>20190312151255631</v>
      </c>
      <c r="B1543" t="str">
        <f>"1552374775621874"</f>
        <v>1552374775621874</v>
      </c>
      <c r="C1543" t="s">
        <v>40</v>
      </c>
      <c r="D1543">
        <v>4.4038440000000003</v>
      </c>
      <c r="E1543">
        <v>0.54474739999999999</v>
      </c>
      <c r="F1543" t="s">
        <v>54</v>
      </c>
      <c r="G1543">
        <v>-223.72620000000001</v>
      </c>
      <c r="H1543" s="1">
        <v>4.4609710000000002E-7</v>
      </c>
      <c r="I1543">
        <v>282.94880000000001</v>
      </c>
      <c r="J1543">
        <v>-209.5129</v>
      </c>
      <c r="K1543">
        <v>1.0996870000000001</v>
      </c>
      <c r="L1543">
        <v>281.4264</v>
      </c>
      <c r="M1543">
        <v>-0.98648939999999996</v>
      </c>
      <c r="N1543">
        <v>0</v>
      </c>
      <c r="O1543">
        <v>-0.1632642</v>
      </c>
      <c r="P1543">
        <v>-0.99888909999999997</v>
      </c>
      <c r="Q1543">
        <v>4.5270779999999997E-2</v>
      </c>
      <c r="R1543">
        <v>-1.3078970000000001E-2</v>
      </c>
      <c r="S1543">
        <v>-3.020508</v>
      </c>
      <c r="T1543">
        <v>-0.2291793</v>
      </c>
      <c r="U1543">
        <v>0.3099365</v>
      </c>
      <c r="V1543">
        <v>0.1516006</v>
      </c>
      <c r="W1543">
        <v>5.4914310000000001E-2</v>
      </c>
      <c r="X1543">
        <v>0.98691519999999999</v>
      </c>
      <c r="Y1543">
        <v>0.26191989999999998</v>
      </c>
      <c r="Z1543">
        <v>2.221917E-2</v>
      </c>
      <c r="AA1543">
        <v>0.96483379999999996</v>
      </c>
      <c r="AB1543">
        <v>27</v>
      </c>
      <c r="AC1543">
        <v>-14.2133</v>
      </c>
      <c r="AD1543">
        <v>-1.0996865539028999</v>
      </c>
      <c r="AE1543">
        <v>1.5224</v>
      </c>
      <c r="AF1543">
        <v>3.80021455313504</v>
      </c>
      <c r="AG1543">
        <v>-1.0996865539028999</v>
      </c>
      <c r="AH1543">
        <v>13.6929416055494</v>
      </c>
      <c r="AI1543">
        <v>94.425043409069303</v>
      </c>
      <c r="AJ1543">
        <v>74.489021071699995</v>
      </c>
      <c r="AK1543">
        <v>14.2529853357001</v>
      </c>
      <c r="AL1543">
        <v>86.852058200604702</v>
      </c>
      <c r="AM1543">
        <v>81.2670244363904</v>
      </c>
      <c r="AN1543">
        <v>0.99999996767708699</v>
      </c>
    </row>
    <row r="1544" spans="1:40" x14ac:dyDescent="0.25">
      <c r="A1544" t="str">
        <f>"20190312151255654"</f>
        <v>20190312151255654</v>
      </c>
      <c r="B1544" t="str">
        <f>"1552374775641398"</f>
        <v>1552374775641398</v>
      </c>
      <c r="C1544" t="s">
        <v>40</v>
      </c>
      <c r="D1544">
        <v>4.385319</v>
      </c>
      <c r="E1544">
        <v>0.54410269999999905</v>
      </c>
      <c r="F1544" t="s">
        <v>54</v>
      </c>
      <c r="G1544">
        <v>-223.84309999999999</v>
      </c>
      <c r="H1544" s="1">
        <v>5.0830979999999899E-7</v>
      </c>
      <c r="I1544">
        <v>282.99869999999999</v>
      </c>
      <c r="J1544">
        <v>-209.78370000000001</v>
      </c>
      <c r="K1544">
        <v>1.0998709999999901</v>
      </c>
      <c r="L1544">
        <v>281.39519999999999</v>
      </c>
      <c r="M1544">
        <v>-0.98852059999999997</v>
      </c>
      <c r="N1544">
        <v>0</v>
      </c>
      <c r="O1544">
        <v>-0.15048049999999999</v>
      </c>
      <c r="P1544">
        <v>-0.99893989999999999</v>
      </c>
      <c r="Q1544">
        <v>4.5723899999999998E-2</v>
      </c>
      <c r="R1544">
        <v>-5.3334519999999998E-3</v>
      </c>
      <c r="S1544">
        <v>-3.018173</v>
      </c>
      <c r="T1544">
        <v>-0.23161219999999999</v>
      </c>
      <c r="U1544">
        <v>0.3311462</v>
      </c>
      <c r="V1544">
        <v>0.14645520000000001</v>
      </c>
      <c r="W1544">
        <v>5.5532310000000001E-2</v>
      </c>
      <c r="X1544">
        <v>0.98765740000000002</v>
      </c>
      <c r="Y1544">
        <v>0.2562333</v>
      </c>
      <c r="Z1544">
        <v>2.1276159999999999E-2</v>
      </c>
      <c r="AA1544">
        <v>0.96638080000000004</v>
      </c>
      <c r="AB1544">
        <v>27</v>
      </c>
      <c r="AC1544">
        <v>-14.059399999999901</v>
      </c>
      <c r="AD1544">
        <v>-1.09987049169019</v>
      </c>
      <c r="AE1544">
        <v>1.6034999999999899</v>
      </c>
      <c r="AF1544">
        <v>3.6788708416845899</v>
      </c>
      <c r="AG1544">
        <v>-1.09987049169019</v>
      </c>
      <c r="AH1544">
        <v>13.575940834129501</v>
      </c>
      <c r="AI1544">
        <v>94.471199032145407</v>
      </c>
      <c r="AJ1544">
        <v>74.837857813993494</v>
      </c>
      <c r="AK1544">
        <v>14.1085071960173</v>
      </c>
      <c r="AL1544">
        <v>86.816595558622396</v>
      </c>
      <c r="AM1544">
        <v>81.565334515992603</v>
      </c>
      <c r="AN1544">
        <v>1.00000005141786</v>
      </c>
    </row>
    <row r="1545" spans="1:40" x14ac:dyDescent="0.25">
      <c r="A1545" t="str">
        <f>"20190312151255679"</f>
        <v>20190312151255679</v>
      </c>
      <c r="B1545" t="str">
        <f>"1552374775671651"</f>
        <v>1552374775671651</v>
      </c>
      <c r="C1545" t="s">
        <v>40</v>
      </c>
      <c r="D1545">
        <v>4.4306229999999998</v>
      </c>
      <c r="E1545">
        <v>0.54252159999999905</v>
      </c>
      <c r="F1545" t="s">
        <v>54</v>
      </c>
      <c r="G1545">
        <v>-224.28700000000001</v>
      </c>
      <c r="H1545" s="1">
        <v>7.4452609999999899E-7</v>
      </c>
      <c r="I1545">
        <v>283.07299999999998</v>
      </c>
      <c r="J1545">
        <v>-210.09219999999999</v>
      </c>
      <c r="K1545">
        <v>1.100087</v>
      </c>
      <c r="L1545">
        <v>281.36360000000002</v>
      </c>
      <c r="M1545">
        <v>-0.99058400000000002</v>
      </c>
      <c r="N1545">
        <v>0</v>
      </c>
      <c r="O1545">
        <v>-0.136243</v>
      </c>
      <c r="P1545">
        <v>-0.99899919999999998</v>
      </c>
      <c r="Q1545">
        <v>4.4622040000000002E-2</v>
      </c>
      <c r="R1545">
        <v>3.0741459999999998E-3</v>
      </c>
      <c r="S1545">
        <v>-3.0155029999999998</v>
      </c>
      <c r="T1545">
        <v>-0.228683</v>
      </c>
      <c r="U1545">
        <v>0.3488464</v>
      </c>
      <c r="V1545">
        <v>0.1405023</v>
      </c>
      <c r="W1545">
        <v>5.461626E-2</v>
      </c>
      <c r="X1545">
        <v>0.98857280000000003</v>
      </c>
      <c r="Y1545">
        <v>0.2481072</v>
      </c>
      <c r="Z1545">
        <v>1.9643310000000001E-2</v>
      </c>
      <c r="AA1545">
        <v>0.96853339999999999</v>
      </c>
      <c r="AB1545">
        <v>27</v>
      </c>
      <c r="AC1545">
        <v>-14.194800000000001</v>
      </c>
      <c r="AD1545">
        <v>-1.1000862554738999</v>
      </c>
      <c r="AE1545">
        <v>1.7093999999999501</v>
      </c>
      <c r="AF1545">
        <v>3.60622521906271</v>
      </c>
      <c r="AG1545">
        <v>-1.1000862554738999</v>
      </c>
      <c r="AH1545">
        <v>13.7481082729512</v>
      </c>
      <c r="AI1545">
        <v>94.425804360620901</v>
      </c>
      <c r="AJ1545">
        <v>75.302041113840403</v>
      </c>
      <c r="AK1545">
        <v>14.2557192447409</v>
      </c>
      <c r="AL1545">
        <v>86.869160996813903</v>
      </c>
      <c r="AM1545">
        <v>81.910932562692807</v>
      </c>
      <c r="AN1545">
        <v>1.0000000065307499</v>
      </c>
    </row>
    <row r="1546" spans="1:40" x14ac:dyDescent="0.25">
      <c r="A1546" t="str">
        <f>"20190312151255700"</f>
        <v>20190312151255700</v>
      </c>
      <c r="B1546" t="str">
        <f>"1552374775691170"</f>
        <v>1552374775691170</v>
      </c>
      <c r="C1546" t="s">
        <v>40</v>
      </c>
      <c r="D1546">
        <v>4.4548909999999999</v>
      </c>
      <c r="E1546">
        <v>0.53528880000000001</v>
      </c>
      <c r="F1546" t="s">
        <v>54</v>
      </c>
      <c r="G1546">
        <v>-224.5746</v>
      </c>
      <c r="H1546" s="1">
        <v>8.9758080000000001E-7</v>
      </c>
      <c r="I1546">
        <v>283.10050000000001</v>
      </c>
      <c r="J1546">
        <v>-210.3629</v>
      </c>
      <c r="K1546">
        <v>1.1003000000000001</v>
      </c>
      <c r="L1546">
        <v>281.33929999999998</v>
      </c>
      <c r="M1546">
        <v>-0.99218249999999997</v>
      </c>
      <c r="N1546">
        <v>0</v>
      </c>
      <c r="O1546">
        <v>-0.1240711</v>
      </c>
      <c r="P1546">
        <v>-0.99900919999999904</v>
      </c>
      <c r="Q1546">
        <v>4.3660249999999998E-2</v>
      </c>
      <c r="R1546">
        <v>8.6078319999999993E-3</v>
      </c>
      <c r="S1546">
        <v>-3.0121000000000002</v>
      </c>
      <c r="T1546">
        <v>-0.22879920000000001</v>
      </c>
      <c r="U1546">
        <v>0.36123660000000002</v>
      </c>
      <c r="V1546">
        <v>0.1337882</v>
      </c>
      <c r="W1546">
        <v>5.3850170000000003E-2</v>
      </c>
      <c r="X1546">
        <v>0.98954580000000003</v>
      </c>
      <c r="Y1546">
        <v>0.24031710000000001</v>
      </c>
      <c r="Z1546">
        <v>1.845921E-2</v>
      </c>
      <c r="AA1546">
        <v>0.97051889999999996</v>
      </c>
      <c r="AB1546">
        <v>27</v>
      </c>
      <c r="AC1546">
        <v>-14.2117</v>
      </c>
      <c r="AD1546">
        <v>-1.1002991024191999</v>
      </c>
      <c r="AE1546">
        <v>1.7612000000000301</v>
      </c>
      <c r="AF1546">
        <v>3.4904038739784302</v>
      </c>
      <c r="AG1546">
        <v>-1.1002991024191999</v>
      </c>
      <c r="AH1546">
        <v>13.8018578735836</v>
      </c>
      <c r="AI1546">
        <v>94.419484819730599</v>
      </c>
      <c r="AJ1546">
        <v>75.807815263618195</v>
      </c>
      <c r="AK1546">
        <v>14.2788255147568</v>
      </c>
      <c r="AL1546">
        <v>86.913119415888403</v>
      </c>
      <c r="AM1546">
        <v>82.300207053313599</v>
      </c>
      <c r="AN1546">
        <v>1.00000000678295</v>
      </c>
    </row>
    <row r="1547" spans="1:40" x14ac:dyDescent="0.25">
      <c r="A1547" t="str">
        <f>"20190312151255722"</f>
        <v>20190312151255722</v>
      </c>
      <c r="B1547" t="str">
        <f>"1552374775711667"</f>
        <v>1552374775711667</v>
      </c>
      <c r="C1547" t="s">
        <v>40</v>
      </c>
      <c r="D1547">
        <v>4.4481970000000004</v>
      </c>
      <c r="E1547">
        <v>0.53373959999999998</v>
      </c>
      <c r="F1547" t="s">
        <v>54</v>
      </c>
      <c r="G1547">
        <v>-222.07419999999999</v>
      </c>
      <c r="H1547" s="1">
        <v>-4.3301510000000001E-7</v>
      </c>
      <c r="I1547">
        <v>282.59070000000003</v>
      </c>
      <c r="J1547">
        <v>-210.63499999999999</v>
      </c>
      <c r="K1547">
        <v>1.1005389999999999</v>
      </c>
      <c r="L1547">
        <v>281.31790000000001</v>
      </c>
      <c r="M1547">
        <v>-0.99359869999999995</v>
      </c>
      <c r="N1547">
        <v>0</v>
      </c>
      <c r="O1547">
        <v>-0.1121746</v>
      </c>
      <c r="P1547">
        <v>-0.99892890000000001</v>
      </c>
      <c r="Q1547">
        <v>4.3595620000000002E-2</v>
      </c>
      <c r="R1547">
        <v>1.5514200000000001E-2</v>
      </c>
      <c r="S1547">
        <v>-3.0125890000000002</v>
      </c>
      <c r="T1547">
        <v>-0.28304000000000001</v>
      </c>
      <c r="U1547">
        <v>0.3218994</v>
      </c>
      <c r="V1547">
        <v>0.12873490000000001</v>
      </c>
      <c r="W1547">
        <v>5.3935879999999999E-2</v>
      </c>
      <c r="X1547">
        <v>0.99021119999999996</v>
      </c>
      <c r="Y1547">
        <v>0.2156952</v>
      </c>
      <c r="Z1547">
        <v>2.0568030000000001E-2</v>
      </c>
      <c r="AA1547">
        <v>0.97624409999999895</v>
      </c>
      <c r="AB1547">
        <v>27</v>
      </c>
      <c r="AC1547">
        <v>-11.4392</v>
      </c>
      <c r="AD1547">
        <v>-1.1005394330150999</v>
      </c>
      <c r="AE1547">
        <v>1.2728000000000099</v>
      </c>
      <c r="AF1547">
        <v>2.5249822625082698</v>
      </c>
      <c r="AG1547">
        <v>-1.1005394330150999</v>
      </c>
      <c r="AH1547">
        <v>11.122509935689701</v>
      </c>
      <c r="AI1547">
        <v>95.511513873861801</v>
      </c>
      <c r="AJ1547">
        <v>77.209748348391898</v>
      </c>
      <c r="AK1547">
        <v>11.4584881087829</v>
      </c>
      <c r="AL1547">
        <v>86.908201386586995</v>
      </c>
      <c r="AM1547">
        <v>82.592664304133194</v>
      </c>
      <c r="AN1547">
        <v>0.999999987117412</v>
      </c>
    </row>
    <row r="1548" spans="1:40" x14ac:dyDescent="0.25">
      <c r="A1548" t="str">
        <f>"20190312151255744"</f>
        <v>20190312151255744</v>
      </c>
      <c r="B1548" t="str">
        <f>"1552374775740948"</f>
        <v>1552374775740948</v>
      </c>
      <c r="C1548" t="s">
        <v>40</v>
      </c>
      <c r="D1548">
        <v>4.4107699999999896</v>
      </c>
      <c r="E1548">
        <v>0.53259409999999996</v>
      </c>
      <c r="F1548" t="s">
        <v>54</v>
      </c>
      <c r="G1548">
        <v>-222.3177</v>
      </c>
      <c r="H1548" s="1">
        <v>-3.034031E-7</v>
      </c>
      <c r="I1548">
        <v>282.59870000000001</v>
      </c>
      <c r="J1548">
        <v>-210.90819999999999</v>
      </c>
      <c r="K1548">
        <v>1.100816</v>
      </c>
      <c r="L1548">
        <v>281.29930000000002</v>
      </c>
      <c r="M1548">
        <v>-0.99483949999999999</v>
      </c>
      <c r="N1548">
        <v>0</v>
      </c>
      <c r="O1548">
        <v>-0.1005853</v>
      </c>
      <c r="P1548">
        <v>-0.99885650000000004</v>
      </c>
      <c r="Q1548">
        <v>4.2591400000000001E-2</v>
      </c>
      <c r="R1548">
        <v>2.1722789999999999E-2</v>
      </c>
      <c r="S1548">
        <v>-3.0104679999999999</v>
      </c>
      <c r="T1548">
        <v>-0.28359230000000002</v>
      </c>
      <c r="U1548">
        <v>0.330047599999999</v>
      </c>
      <c r="V1548">
        <v>0.1232876</v>
      </c>
      <c r="W1548">
        <v>5.3089280000000003E-2</v>
      </c>
      <c r="X1548">
        <v>0.99094990000000005</v>
      </c>
      <c r="Y1548">
        <v>0.20707400000000001</v>
      </c>
      <c r="Z1548">
        <v>1.913113E-2</v>
      </c>
      <c r="AA1548">
        <v>0.97813819999999996</v>
      </c>
      <c r="AB1548">
        <v>27</v>
      </c>
      <c r="AC1548">
        <v>-11.4095</v>
      </c>
      <c r="AD1548">
        <v>-1.1008163034031</v>
      </c>
      <c r="AE1548">
        <v>1.2993999999999899</v>
      </c>
      <c r="AF1548">
        <v>2.4183148766869702</v>
      </c>
      <c r="AG1548">
        <v>-1.1008163034031</v>
      </c>
      <c r="AH1548">
        <v>11.118736170205599</v>
      </c>
      <c r="AI1548">
        <v>95.525808826591202</v>
      </c>
      <c r="AJ1548">
        <v>77.729330027927304</v>
      </c>
      <c r="AK1548">
        <v>11.431812515926</v>
      </c>
      <c r="AL1548">
        <v>86.956777648648</v>
      </c>
      <c r="AM1548">
        <v>82.908069916691403</v>
      </c>
      <c r="AN1548">
        <v>1.00000000413734</v>
      </c>
    </row>
    <row r="1549" spans="1:40" x14ac:dyDescent="0.25">
      <c r="A1549" t="str">
        <f>"20190312151255767"</f>
        <v>20190312151255767</v>
      </c>
      <c r="B1549" t="str">
        <f>"1552374775761445"</f>
        <v>1552374775761445</v>
      </c>
      <c r="C1549" t="s">
        <v>40</v>
      </c>
      <c r="D1549">
        <v>4.5443850000000001</v>
      </c>
      <c r="E1549">
        <v>0.53050699999999995</v>
      </c>
      <c r="F1549" t="s">
        <v>54</v>
      </c>
      <c r="G1549">
        <v>-222.3896</v>
      </c>
      <c r="H1549" s="1">
        <v>-2.6516430000000001E-7</v>
      </c>
      <c r="I1549">
        <v>282.59289999999999</v>
      </c>
      <c r="J1549">
        <v>-211.20169999999999</v>
      </c>
      <c r="K1549">
        <v>1.101143</v>
      </c>
      <c r="L1549">
        <v>281.2826</v>
      </c>
      <c r="M1549">
        <v>-0.99598220000000004</v>
      </c>
      <c r="N1549">
        <v>0</v>
      </c>
      <c r="O1549">
        <v>-8.8568369999999993E-2</v>
      </c>
      <c r="P1549">
        <v>-0.99884220000000001</v>
      </c>
      <c r="Q1549">
        <v>3.9998329999999999E-2</v>
      </c>
      <c r="R1549">
        <v>2.6738140000000001E-2</v>
      </c>
      <c r="S1549">
        <v>-3.0083310000000001</v>
      </c>
      <c r="T1549">
        <v>-0.28843239999999998</v>
      </c>
      <c r="U1549">
        <v>0.3389587</v>
      </c>
      <c r="V1549">
        <v>0.1162062</v>
      </c>
      <c r="W1549">
        <v>5.0688780000000003E-2</v>
      </c>
      <c r="X1549">
        <v>0.9919308</v>
      </c>
      <c r="Y1549">
        <v>0.19824269999999999</v>
      </c>
      <c r="Z1549">
        <v>1.790079E-2</v>
      </c>
      <c r="AA1549">
        <v>0.97998949999999996</v>
      </c>
      <c r="AB1549">
        <v>27</v>
      </c>
      <c r="AC1549">
        <v>-11.187900000000001</v>
      </c>
      <c r="AD1549">
        <v>-1.1011432651643001</v>
      </c>
      <c r="AE1549">
        <v>1.31029999999998</v>
      </c>
      <c r="AF1549">
        <v>2.2743965547380398</v>
      </c>
      <c r="AG1549">
        <v>-1.1011432651643001</v>
      </c>
      <c r="AH1549">
        <v>10.9234794100022</v>
      </c>
      <c r="AI1549">
        <v>95.636194824992202</v>
      </c>
      <c r="AJ1549">
        <v>78.238388718264702</v>
      </c>
      <c r="AK1549">
        <v>11.211948920654301</v>
      </c>
      <c r="AL1549">
        <v>87.094501642703904</v>
      </c>
      <c r="AM1549">
        <v>83.318169530069298</v>
      </c>
      <c r="AN1549">
        <v>0.99999997266248297</v>
      </c>
    </row>
    <row r="1550" spans="1:40" x14ac:dyDescent="0.25">
      <c r="A1550" t="str">
        <f>"20190312151255789"</f>
        <v>20190312151255789</v>
      </c>
      <c r="B1550" t="str">
        <f>"1552374775781590"</f>
        <v>1552374775781590</v>
      </c>
      <c r="C1550" t="s">
        <v>40</v>
      </c>
      <c r="D1550">
        <v>4.5445070000000003</v>
      </c>
      <c r="E1550">
        <v>0.50012760000000001</v>
      </c>
      <c r="F1550" t="s">
        <v>41</v>
      </c>
      <c r="G1550">
        <v>-212.1652</v>
      </c>
      <c r="H1550">
        <v>1.014993</v>
      </c>
      <c r="I1550">
        <v>281.39060000000001</v>
      </c>
      <c r="J1550">
        <v>-211.47329999999999</v>
      </c>
      <c r="K1550">
        <v>1.1014429999999999</v>
      </c>
      <c r="L1550">
        <v>281.26979999999998</v>
      </c>
      <c r="M1550">
        <v>-0.99687789999999998</v>
      </c>
      <c r="N1550">
        <v>0</v>
      </c>
      <c r="O1550">
        <v>-7.7852790000000005E-2</v>
      </c>
      <c r="P1550">
        <v>-0.99872689999999997</v>
      </c>
      <c r="Q1550">
        <v>3.9158199999999997E-2</v>
      </c>
      <c r="R1550">
        <v>3.1804300000000001E-2</v>
      </c>
      <c r="S1550">
        <v>-3.0052189999999999</v>
      </c>
      <c r="T1550">
        <v>-0.26856989999999997</v>
      </c>
      <c r="U1550">
        <v>0.33648679999999997</v>
      </c>
      <c r="V1550">
        <v>0.1105126</v>
      </c>
      <c r="W1550">
        <v>4.9997279999999998E-2</v>
      </c>
      <c r="X1550">
        <v>0.99261639999999995</v>
      </c>
      <c r="Y1550">
        <v>0.18726509999999999</v>
      </c>
      <c r="Z1550">
        <v>1.525029E-2</v>
      </c>
      <c r="AA1550">
        <v>0.98219100000000004</v>
      </c>
      <c r="AB1550">
        <v>27</v>
      </c>
      <c r="AC1550">
        <v>-0.69190000000000396</v>
      </c>
      <c r="AD1550">
        <v>-8.6449999999999902E-2</v>
      </c>
      <c r="AE1550">
        <v>0.12080000000003099</v>
      </c>
      <c r="AF1550">
        <v>0.171703065548828</v>
      </c>
      <c r="AG1550">
        <v>-8.6449999999999902E-2</v>
      </c>
      <c r="AH1550">
        <v>0.67024028252089995</v>
      </c>
      <c r="AI1550">
        <v>97.122118007107503</v>
      </c>
      <c r="AJ1550">
        <v>75.630911953341894</v>
      </c>
      <c r="AK1550">
        <v>0.697264355558608</v>
      </c>
      <c r="AL1550">
        <v>87.134172172263106</v>
      </c>
      <c r="AM1550">
        <v>83.647156893163896</v>
      </c>
      <c r="AN1550">
        <v>1.00000004015755</v>
      </c>
    </row>
    <row r="1551" spans="1:40" x14ac:dyDescent="0.25">
      <c r="A1551" t="str">
        <f>"20190312151255811"</f>
        <v>20190312151255811</v>
      </c>
      <c r="B1551" t="str">
        <f>"1552374775801110"</f>
        <v>1552374775801110</v>
      </c>
      <c r="C1551" t="s">
        <v>40</v>
      </c>
      <c r="D1551">
        <v>4.5352100000000002</v>
      </c>
      <c r="E1551">
        <v>0.4979923</v>
      </c>
      <c r="F1551" t="s">
        <v>41</v>
      </c>
      <c r="G1551">
        <v>-212.41409999999999</v>
      </c>
      <c r="H1551">
        <v>1.0380290000000001</v>
      </c>
      <c r="I1551">
        <v>281.30329999999998</v>
      </c>
      <c r="J1551">
        <v>-211.75559999999999</v>
      </c>
      <c r="K1551">
        <v>1.1017319999999999</v>
      </c>
      <c r="L1551">
        <v>281.2593</v>
      </c>
      <c r="M1551">
        <v>-0.99766259999999996</v>
      </c>
      <c r="N1551">
        <v>0</v>
      </c>
      <c r="O1551">
        <v>-6.7063540000000005E-2</v>
      </c>
      <c r="P1551">
        <v>-0.99854830000000006</v>
      </c>
      <c r="Q1551">
        <v>3.8304310000000001E-2</v>
      </c>
      <c r="R1551">
        <v>3.7870029999999999E-2</v>
      </c>
      <c r="S1551">
        <v>-3.008362</v>
      </c>
      <c r="T1551">
        <v>-0.20285310000000001</v>
      </c>
      <c r="U1551">
        <v>0.1069946</v>
      </c>
      <c r="V1551">
        <v>0.1057491</v>
      </c>
      <c r="W1551">
        <v>4.9258150000000001E-2</v>
      </c>
      <c r="X1551">
        <v>0.99317200000000005</v>
      </c>
      <c r="Y1551">
        <v>0.1021065</v>
      </c>
      <c r="Z1551">
        <v>7.9522329999999995E-3</v>
      </c>
      <c r="AA1551">
        <v>0.99474169999999995</v>
      </c>
      <c r="AB1551">
        <v>27</v>
      </c>
      <c r="AC1551">
        <v>-0.65850000000000297</v>
      </c>
      <c r="AD1551">
        <v>-6.3702999999999801E-2</v>
      </c>
      <c r="AE1551">
        <v>4.3999999999982699E-2</v>
      </c>
      <c r="AF1551">
        <v>8.7253128896602999E-2</v>
      </c>
      <c r="AG1551">
        <v>-6.3702999999999801E-2</v>
      </c>
      <c r="AH1551">
        <v>0.64802857248914103</v>
      </c>
      <c r="AI1551">
        <v>95.564402830364898</v>
      </c>
      <c r="AJ1551">
        <v>82.331588009446094</v>
      </c>
      <c r="AK1551">
        <v>0.65697200204693695</v>
      </c>
      <c r="AL1551">
        <v>87.176573135920094</v>
      </c>
      <c r="AM1551">
        <v>83.922266822762296</v>
      </c>
      <c r="AN1551">
        <v>0.99999992953811301</v>
      </c>
    </row>
    <row r="1552" spans="1:40" x14ac:dyDescent="0.25">
      <c r="A1552" t="str">
        <f>"20190312151255835"</f>
        <v>20190312151255835</v>
      </c>
      <c r="B1552" t="str">
        <f>"1552374775831366"</f>
        <v>1552374775831366</v>
      </c>
      <c r="C1552" t="s">
        <v>40</v>
      </c>
      <c r="D1552">
        <v>4.561712</v>
      </c>
      <c r="E1552">
        <v>0.49921880000000002</v>
      </c>
      <c r="F1552" t="s">
        <v>41</v>
      </c>
      <c r="G1552">
        <v>-212.6626</v>
      </c>
      <c r="H1552">
        <v>1.0379020000000001</v>
      </c>
      <c r="I1552">
        <v>281.2919</v>
      </c>
      <c r="J1552">
        <v>-212.04230000000001</v>
      </c>
      <c r="K1552">
        <v>1.101998</v>
      </c>
      <c r="L1552">
        <v>281.25130000000001</v>
      </c>
      <c r="M1552">
        <v>-0.99831890000000001</v>
      </c>
      <c r="N1552">
        <v>0</v>
      </c>
      <c r="O1552">
        <v>-5.6471090000000002E-2</v>
      </c>
      <c r="P1552">
        <v>-0.99840119999999999</v>
      </c>
      <c r="Q1552">
        <v>3.6727790000000003E-2</v>
      </c>
      <c r="R1552">
        <v>4.2967140000000001E-2</v>
      </c>
      <c r="S1552">
        <v>-3.0083920000000002</v>
      </c>
      <c r="T1552">
        <v>-0.21150820000000001</v>
      </c>
      <c r="U1552">
        <v>0.1076355</v>
      </c>
      <c r="V1552">
        <v>0.1002146</v>
      </c>
      <c r="W1552">
        <v>4.7803610000000003E-2</v>
      </c>
      <c r="X1552">
        <v>0.99381679999999994</v>
      </c>
      <c r="Y1552">
        <v>9.1772709999999993E-2</v>
      </c>
      <c r="Z1552">
        <v>7.1849390000000004E-3</v>
      </c>
      <c r="AA1552">
        <v>0.99575409999999998</v>
      </c>
      <c r="AB1552">
        <v>27</v>
      </c>
      <c r="AC1552">
        <v>-0.62029999999998597</v>
      </c>
      <c r="AD1552">
        <v>-6.4095999999999903E-2</v>
      </c>
      <c r="AE1552">
        <v>4.0599999999983503E-2</v>
      </c>
      <c r="AF1552">
        <v>7.4772248330032695E-2</v>
      </c>
      <c r="AG1552">
        <v>-6.4095999999999903E-2</v>
      </c>
      <c r="AH1552">
        <v>0.61052613997886895</v>
      </c>
      <c r="AI1552">
        <v>95.949106868241003</v>
      </c>
      <c r="AJ1552">
        <v>83.017653194762502</v>
      </c>
      <c r="AK1552">
        <v>0.61841842949076598</v>
      </c>
      <c r="AL1552">
        <v>87.260010638115702</v>
      </c>
      <c r="AM1552">
        <v>84.2418665448795</v>
      </c>
      <c r="AN1552">
        <v>0.99999999157221597</v>
      </c>
    </row>
    <row r="1553" spans="1:40" x14ac:dyDescent="0.25">
      <c r="A1553" t="str">
        <f>"20190312151255854"</f>
        <v>20190312151255854</v>
      </c>
      <c r="B1553" t="str">
        <f>"1552374775850886"</f>
        <v>1552374775850886</v>
      </c>
      <c r="C1553" t="s">
        <v>40</v>
      </c>
      <c r="D1553">
        <v>4.745711</v>
      </c>
      <c r="E1553">
        <v>0.49795220000000001</v>
      </c>
      <c r="F1553" t="s">
        <v>41</v>
      </c>
      <c r="G1553">
        <v>-212.9179</v>
      </c>
      <c r="H1553">
        <v>1.046109</v>
      </c>
      <c r="I1553">
        <v>281.28980000000001</v>
      </c>
      <c r="J1553">
        <v>-212.29169999999999</v>
      </c>
      <c r="K1553">
        <v>1.1022209999999999</v>
      </c>
      <c r="L1553">
        <v>281.2466</v>
      </c>
      <c r="M1553">
        <v>-0.99878290000000003</v>
      </c>
      <c r="N1553">
        <v>0</v>
      </c>
      <c r="O1553">
        <v>-4.7577349999999997E-2</v>
      </c>
      <c r="P1553">
        <v>-0.99830140000000001</v>
      </c>
      <c r="Q1553">
        <v>3.5956199999999897E-2</v>
      </c>
      <c r="R1553">
        <v>4.584411E-2</v>
      </c>
      <c r="S1553">
        <v>-3.0061800000000001</v>
      </c>
      <c r="T1553">
        <v>-0.19187689999999999</v>
      </c>
      <c r="U1553">
        <v>0.13183590000000001</v>
      </c>
      <c r="V1553">
        <v>9.4183139999999999E-2</v>
      </c>
      <c r="W1553">
        <v>4.7156320000000002E-2</v>
      </c>
      <c r="X1553">
        <v>0.99443749999999997</v>
      </c>
      <c r="Y1553">
        <v>9.1017340000000002E-2</v>
      </c>
      <c r="Z1553">
        <v>5.932751E-3</v>
      </c>
      <c r="AA1553">
        <v>0.99583160000000004</v>
      </c>
      <c r="AB1553">
        <v>27</v>
      </c>
      <c r="AC1553">
        <v>-0.62620000000001097</v>
      </c>
      <c r="AD1553">
        <v>-5.6111999999999898E-2</v>
      </c>
      <c r="AE1553">
        <v>4.3200000000012999E-2</v>
      </c>
      <c r="AF1553">
        <v>7.2368202381527996E-2</v>
      </c>
      <c r="AG1553">
        <v>-5.6111999999999898E-2</v>
      </c>
      <c r="AH1553">
        <v>0.61849260145995699</v>
      </c>
      <c r="AI1553">
        <v>95.148963478205303</v>
      </c>
      <c r="AJ1553">
        <v>83.326316091272005</v>
      </c>
      <c r="AK1553">
        <v>0.62523500487467798</v>
      </c>
      <c r="AL1553">
        <v>87.297139688688901</v>
      </c>
      <c r="AM1553">
        <v>84.5896571448705</v>
      </c>
      <c r="AN1553">
        <v>1.0000000618912199</v>
      </c>
    </row>
    <row r="1554" spans="1:40" x14ac:dyDescent="0.25">
      <c r="A1554" t="str">
        <f>"20190312151255880"</f>
        <v>20190312151255880</v>
      </c>
      <c r="B1554" t="str">
        <f>"1552374775871382"</f>
        <v>1552374775871382</v>
      </c>
      <c r="C1554" t="s">
        <v>40</v>
      </c>
      <c r="D1554">
        <v>4.5985579999999997</v>
      </c>
      <c r="E1554">
        <v>0.49723030000000001</v>
      </c>
      <c r="F1554" t="s">
        <v>41</v>
      </c>
      <c r="G1554">
        <v>-213.16579999999999</v>
      </c>
      <c r="H1554">
        <v>1.0452030000000001</v>
      </c>
      <c r="I1554">
        <v>281.28469999999999</v>
      </c>
      <c r="J1554">
        <v>-212.6001</v>
      </c>
      <c r="K1554">
        <v>1.1025210000000001</v>
      </c>
      <c r="L1554">
        <v>281.24329999999998</v>
      </c>
      <c r="M1554">
        <v>-0.99923130000000004</v>
      </c>
      <c r="N1554">
        <v>0</v>
      </c>
      <c r="O1554">
        <v>-3.7007730000000003E-2</v>
      </c>
      <c r="P1554">
        <v>-0.99807049999999997</v>
      </c>
      <c r="Q1554">
        <v>3.6259020000000003E-2</v>
      </c>
      <c r="R1554">
        <v>5.040596E-2</v>
      </c>
      <c r="S1554">
        <v>-3.0061650000000002</v>
      </c>
      <c r="T1554">
        <v>-0.1959814</v>
      </c>
      <c r="U1554">
        <v>0.1306763</v>
      </c>
      <c r="V1554">
        <v>8.8172940000000005E-2</v>
      </c>
      <c r="W1554">
        <v>4.757546E-2</v>
      </c>
      <c r="X1554">
        <v>0.99496839999999998</v>
      </c>
      <c r="Y1554">
        <v>8.0126310000000006E-2</v>
      </c>
      <c r="Z1554">
        <v>5.0170780000000003E-3</v>
      </c>
      <c r="AA1554">
        <v>0.99677210000000005</v>
      </c>
      <c r="AB1554">
        <v>28</v>
      </c>
      <c r="AC1554">
        <v>-0.56569999999999199</v>
      </c>
      <c r="AD1554">
        <v>-5.7317999999999703E-2</v>
      </c>
      <c r="AE1554">
        <v>4.1400000000009998E-2</v>
      </c>
      <c r="AF1554">
        <v>6.1678825227369602E-2</v>
      </c>
      <c r="AG1554">
        <v>-5.7317999999999703E-2</v>
      </c>
      <c r="AH1554">
        <v>0.55808131886091195</v>
      </c>
      <c r="AI1554">
        <v>95.828785135173305</v>
      </c>
      <c r="AJ1554">
        <v>83.693298239256194</v>
      </c>
      <c r="AK1554">
        <v>0.56439736805460305</v>
      </c>
      <c r="AL1554">
        <v>87.273097595487499</v>
      </c>
      <c r="AM1554">
        <v>84.935744183172901</v>
      </c>
      <c r="AN1554">
        <v>1.0000000043705</v>
      </c>
    </row>
    <row r="1555" spans="1:40" x14ac:dyDescent="0.25">
      <c r="A1555" t="str">
        <f>"20190312151255901"</f>
        <v>20190312151255901</v>
      </c>
      <c r="B1555" t="str">
        <f>"1552374775890902"</f>
        <v>1552374775890902</v>
      </c>
      <c r="C1555" t="s">
        <v>40</v>
      </c>
      <c r="D1555">
        <v>4.8617889999999999</v>
      </c>
      <c r="E1555">
        <v>0.49722850000000002</v>
      </c>
      <c r="F1555" t="s">
        <v>41</v>
      </c>
      <c r="G1555">
        <v>-213.41849999999999</v>
      </c>
      <c r="H1555">
        <v>1.0493509999999999</v>
      </c>
      <c r="I1555">
        <v>281.28120000000001</v>
      </c>
      <c r="J1555">
        <v>-212.87459999999999</v>
      </c>
      <c r="K1555">
        <v>1.102811</v>
      </c>
      <c r="L1555">
        <v>281.24279999999999</v>
      </c>
      <c r="M1555">
        <v>-0.99952479999999999</v>
      </c>
      <c r="N1555">
        <v>0</v>
      </c>
      <c r="O1555">
        <v>-2.8003779999999999E-2</v>
      </c>
      <c r="P1555">
        <v>-0.99795460000000002</v>
      </c>
      <c r="Q1555">
        <v>3.5475699999999902E-2</v>
      </c>
      <c r="R1555">
        <v>5.3181829999999999E-2</v>
      </c>
      <c r="S1555">
        <v>-3.00589</v>
      </c>
      <c r="T1555">
        <v>-0.19520689999999999</v>
      </c>
      <c r="U1555">
        <v>0.1386414</v>
      </c>
      <c r="V1555">
        <v>8.1925490000000004E-2</v>
      </c>
      <c r="W1555">
        <v>4.690768E-2</v>
      </c>
      <c r="X1555">
        <v>0.99553389999999997</v>
      </c>
      <c r="Y1555">
        <v>7.3818439999999999E-2</v>
      </c>
      <c r="Z1555">
        <v>4.2091450000000001E-3</v>
      </c>
      <c r="AA1555">
        <v>0.9972628</v>
      </c>
      <c r="AB1555">
        <v>28</v>
      </c>
      <c r="AC1555">
        <v>-0.54390000000000704</v>
      </c>
      <c r="AD1555">
        <v>-5.3460000000000001E-2</v>
      </c>
      <c r="AE1555">
        <v>3.8400000000024102E-2</v>
      </c>
      <c r="AF1555">
        <v>5.3106938955842599E-2</v>
      </c>
      <c r="AG1555">
        <v>-5.3460000000000001E-2</v>
      </c>
      <c r="AH1555">
        <v>0.53744474811964305</v>
      </c>
      <c r="AI1555">
        <v>95.653211861895898</v>
      </c>
      <c r="AJ1555">
        <v>84.356708070772896</v>
      </c>
      <c r="AK1555">
        <v>0.54270173746418604</v>
      </c>
      <c r="AL1555">
        <v>87.311401141183495</v>
      </c>
      <c r="AM1555">
        <v>85.295557940872101</v>
      </c>
      <c r="AN1555">
        <v>0.99999993120196295</v>
      </c>
    </row>
    <row r="1556" spans="1:40" x14ac:dyDescent="0.25">
      <c r="A1556" t="str">
        <f>"20190312151255924"</f>
        <v>20190312151255924</v>
      </c>
      <c r="B1556" t="str">
        <f>"1552374775921158"</f>
        <v>1552374775921158</v>
      </c>
      <c r="C1556" t="s">
        <v>40</v>
      </c>
      <c r="D1556">
        <v>4.6532770000000001</v>
      </c>
      <c r="E1556">
        <v>0.4967318</v>
      </c>
      <c r="F1556" t="s">
        <v>41</v>
      </c>
      <c r="G1556">
        <v>-213.6669</v>
      </c>
      <c r="H1556">
        <v>1.048708</v>
      </c>
      <c r="I1556">
        <v>281.28179999999998</v>
      </c>
      <c r="J1556">
        <v>-213.15790000000001</v>
      </c>
      <c r="K1556">
        <v>1.103121</v>
      </c>
      <c r="L1556">
        <v>281.24439999999998</v>
      </c>
      <c r="M1556">
        <v>-0.99973520000000005</v>
      </c>
      <c r="N1556">
        <v>0</v>
      </c>
      <c r="O1556">
        <v>-1.9110869999999999E-2</v>
      </c>
      <c r="P1556">
        <v>-0.99776549999999997</v>
      </c>
      <c r="Q1556">
        <v>3.5083629999999998E-2</v>
      </c>
      <c r="R1556">
        <v>5.6863009999999999E-2</v>
      </c>
      <c r="S1556">
        <v>-3.005585</v>
      </c>
      <c r="T1556">
        <v>-0.20505599999999999</v>
      </c>
      <c r="U1556">
        <v>0.1472473</v>
      </c>
      <c r="V1556">
        <v>7.6695120000000006E-2</v>
      </c>
      <c r="W1556">
        <v>4.6608549999999999E-2</v>
      </c>
      <c r="X1556">
        <v>0.99596459999999998</v>
      </c>
      <c r="Y1556">
        <v>6.7811529999999995E-2</v>
      </c>
      <c r="Z1556">
        <v>3.6109010000000001E-3</v>
      </c>
      <c r="AA1556">
        <v>0.99769160000000001</v>
      </c>
      <c r="AB1556">
        <v>28</v>
      </c>
      <c r="AC1556">
        <v>-0.50899999999998602</v>
      </c>
      <c r="AD1556">
        <v>-5.4413000000000003E-2</v>
      </c>
      <c r="AE1556">
        <v>3.7399999999991003E-2</v>
      </c>
      <c r="AF1556">
        <v>4.6591809187276498E-2</v>
      </c>
      <c r="AG1556">
        <v>-5.4413000000000003E-2</v>
      </c>
      <c r="AH1556">
        <v>0.50248071356006196</v>
      </c>
      <c r="AI1556">
        <v>96.154208996886197</v>
      </c>
      <c r="AJ1556">
        <v>84.702477819574199</v>
      </c>
      <c r="AK1556">
        <v>0.50756126600852103</v>
      </c>
      <c r="AL1556">
        <v>87.328558956247093</v>
      </c>
      <c r="AM1556">
        <v>85.596578914364898</v>
      </c>
      <c r="AN1556">
        <v>0.99999999140903795</v>
      </c>
    </row>
    <row r="1557" spans="1:40" x14ac:dyDescent="0.25">
      <c r="A1557" t="str">
        <f>"20190312151255944"</f>
        <v>20190312151255944</v>
      </c>
      <c r="B1557" t="str">
        <f>"1552374775941654"</f>
        <v>1552374775941654</v>
      </c>
      <c r="C1557" t="s">
        <v>40</v>
      </c>
      <c r="D1557">
        <v>4.6996949999999904</v>
      </c>
      <c r="E1557">
        <v>0.49626290000000001</v>
      </c>
      <c r="F1557" t="s">
        <v>41</v>
      </c>
      <c r="G1557">
        <v>-213.92580000000001</v>
      </c>
      <c r="H1557">
        <v>1.050103</v>
      </c>
      <c r="I1557">
        <v>281.28390000000002</v>
      </c>
      <c r="J1557">
        <v>-213.41220000000001</v>
      </c>
      <c r="K1557">
        <v>1.103423</v>
      </c>
      <c r="L1557">
        <v>281.24770000000001</v>
      </c>
      <c r="M1557">
        <v>-0.99985250000000003</v>
      </c>
      <c r="N1557">
        <v>0</v>
      </c>
      <c r="O1557">
        <v>-1.15011E-2</v>
      </c>
      <c r="P1557">
        <v>-0.99762090000000003</v>
      </c>
      <c r="Q1557">
        <v>3.5009940000000003E-2</v>
      </c>
      <c r="R1557">
        <v>5.9389740000000003E-2</v>
      </c>
      <c r="S1557">
        <v>-3.0052340000000002</v>
      </c>
      <c r="T1557">
        <v>-0.20743439999999999</v>
      </c>
      <c r="U1557">
        <v>0.15408329999999901</v>
      </c>
      <c r="V1557">
        <v>7.1597750000000002E-2</v>
      </c>
      <c r="W1557">
        <v>4.6620929999999998E-2</v>
      </c>
      <c r="X1557">
        <v>0.99634339999999999</v>
      </c>
      <c r="Y1557">
        <v>6.2512269999999995E-2</v>
      </c>
      <c r="Z1557">
        <v>2.9459669999999999E-3</v>
      </c>
      <c r="AA1557">
        <v>0.99803980000000003</v>
      </c>
      <c r="AB1557">
        <v>28</v>
      </c>
      <c r="AC1557">
        <v>-0.51359999999999595</v>
      </c>
      <c r="AD1557">
        <v>-5.3319999999999999E-2</v>
      </c>
      <c r="AE1557">
        <v>3.6200000000007997E-2</v>
      </c>
      <c r="AF1557">
        <v>4.1658285557856098E-2</v>
      </c>
      <c r="AG1557">
        <v>-5.3319999999999999E-2</v>
      </c>
      <c r="AH1557">
        <v>0.50770475868271403</v>
      </c>
      <c r="AI1557">
        <v>95.975385759855797</v>
      </c>
      <c r="AJ1557">
        <v>85.309264068435098</v>
      </c>
      <c r="AK1557">
        <v>0.51219386675817702</v>
      </c>
      <c r="AL1557">
        <v>87.327848778109399</v>
      </c>
      <c r="AM1557">
        <v>85.889761051744202</v>
      </c>
      <c r="AN1557">
        <v>0.99999995982134204</v>
      </c>
    </row>
    <row r="1558" spans="1:40" x14ac:dyDescent="0.25">
      <c r="A1558" t="str">
        <f>"20190312151255968"</f>
        <v>20190312151255968</v>
      </c>
      <c r="B1558" t="str">
        <f>"1552374775961175"</f>
        <v>1552374775961175</v>
      </c>
      <c r="C1558" t="s">
        <v>40</v>
      </c>
      <c r="D1558">
        <v>4.7121629999999897</v>
      </c>
      <c r="E1558">
        <v>0.49592799999999998</v>
      </c>
      <c r="F1558" t="s">
        <v>54</v>
      </c>
      <c r="G1558">
        <v>-229.3357</v>
      </c>
      <c r="H1558" s="1">
        <v>3.4311949999999999E-6</v>
      </c>
      <c r="I1558">
        <v>282.07900000000001</v>
      </c>
      <c r="J1558">
        <v>-213.7047</v>
      </c>
      <c r="K1558">
        <v>1.1037809999999999</v>
      </c>
      <c r="L1558">
        <v>281.25330000000002</v>
      </c>
      <c r="M1558">
        <v>-0.99991410000000003</v>
      </c>
      <c r="N1558">
        <v>0</v>
      </c>
      <c r="O1558">
        <v>-3.2131949999999999E-3</v>
      </c>
      <c r="P1558">
        <v>-0.99740649999999997</v>
      </c>
      <c r="Q1558">
        <v>3.4361540000000003E-2</v>
      </c>
      <c r="R1558">
        <v>6.3240640000000001E-2</v>
      </c>
      <c r="S1558">
        <v>-3.0051420000000002</v>
      </c>
      <c r="T1558">
        <v>-0.20824219999999999</v>
      </c>
      <c r="U1558">
        <v>0.1568909</v>
      </c>
      <c r="V1558">
        <v>6.7132330000000004E-2</v>
      </c>
      <c r="W1558">
        <v>4.6043630000000002E-2</v>
      </c>
      <c r="X1558">
        <v>0.99668109999999999</v>
      </c>
      <c r="Y1558">
        <v>5.5205570000000002E-2</v>
      </c>
      <c r="Z1558">
        <v>2.131422E-3</v>
      </c>
      <c r="AA1558">
        <v>0.99847280000000005</v>
      </c>
      <c r="AB1558">
        <v>28</v>
      </c>
      <c r="AC1558">
        <v>-15.630999999999901</v>
      </c>
      <c r="AD1558">
        <v>-1.103777568805</v>
      </c>
      <c r="AE1558">
        <v>0.825699999999983</v>
      </c>
      <c r="AF1558">
        <v>0.87159120972688497</v>
      </c>
      <c r="AG1558">
        <v>-1.103777568805</v>
      </c>
      <c r="AH1558">
        <v>15.550938081416099</v>
      </c>
      <c r="AI1558">
        <v>94.053601889363094</v>
      </c>
      <c r="AJ1558">
        <v>86.792071006807902</v>
      </c>
      <c r="AK1558">
        <v>15.614405892326101</v>
      </c>
      <c r="AL1558">
        <v>87.360961274007096</v>
      </c>
      <c r="AM1558">
        <v>86.146612832236102</v>
      </c>
      <c r="AN1558">
        <v>0.99999999034600695</v>
      </c>
    </row>
    <row r="1559" spans="1:40" x14ac:dyDescent="0.25">
      <c r="A1559" t="str">
        <f>"20190312151255991"</f>
        <v>20190312151255991</v>
      </c>
      <c r="B1559" t="str">
        <f>"1552374775981670"</f>
        <v>1552374775981670</v>
      </c>
      <c r="C1559" t="s">
        <v>40</v>
      </c>
      <c r="D1559">
        <v>4.7841269999999998</v>
      </c>
      <c r="E1559">
        <v>0.49529410000000001</v>
      </c>
      <c r="F1559" t="s">
        <v>41</v>
      </c>
      <c r="G1559">
        <v>-214.6534</v>
      </c>
      <c r="H1559">
        <v>1.0382389999999999</v>
      </c>
      <c r="I1559">
        <v>281.3057</v>
      </c>
      <c r="J1559">
        <v>-213.98740000000001</v>
      </c>
      <c r="K1559">
        <v>1.104115</v>
      </c>
      <c r="L1559">
        <v>281.26069999999999</v>
      </c>
      <c r="M1559">
        <v>-0.99991050000000004</v>
      </c>
      <c r="N1559">
        <v>0</v>
      </c>
      <c r="O1559">
        <v>4.3409269999999996E-3</v>
      </c>
      <c r="P1559">
        <v>-0.99724789999999996</v>
      </c>
      <c r="Q1559">
        <v>3.3948619999999999E-2</v>
      </c>
      <c r="R1559">
        <v>6.5907549999999995E-2</v>
      </c>
      <c r="S1559">
        <v>-3.0044559999999998</v>
      </c>
      <c r="T1559">
        <v>-0.2073953</v>
      </c>
      <c r="U1559">
        <v>0.16531370000000001</v>
      </c>
      <c r="V1559">
        <v>6.2220490000000003E-2</v>
      </c>
      <c r="W1559">
        <v>4.5701140000000001E-2</v>
      </c>
      <c r="X1559">
        <v>0.99701550000000005</v>
      </c>
      <c r="Y1559">
        <v>5.0495020000000002E-2</v>
      </c>
      <c r="Z1559">
        <v>1.4403510000000001E-3</v>
      </c>
      <c r="AA1559">
        <v>0.99872329999999998</v>
      </c>
      <c r="AB1559">
        <v>28</v>
      </c>
      <c r="AC1559">
        <v>-0.66599999999999604</v>
      </c>
      <c r="AD1559">
        <v>-6.5876000000000004E-2</v>
      </c>
      <c r="AE1559">
        <v>4.5000000000015902E-2</v>
      </c>
      <c r="AF1559">
        <v>4.1702137380547399E-2</v>
      </c>
      <c r="AG1559">
        <v>-6.5876000000000004E-2</v>
      </c>
      <c r="AH1559">
        <v>0.65976344674521004</v>
      </c>
      <c r="AI1559">
        <v>95.690683403008194</v>
      </c>
      <c r="AJ1559">
        <v>86.383276325921202</v>
      </c>
      <c r="AK1559">
        <v>0.66435421372880998</v>
      </c>
      <c r="AL1559">
        <v>87.380605067009597</v>
      </c>
      <c r="AM1559">
        <v>86.428988101933896</v>
      </c>
      <c r="AN1559">
        <v>0.99999994540669301</v>
      </c>
    </row>
    <row r="1560" spans="1:40" x14ac:dyDescent="0.25">
      <c r="A1560" t="str">
        <f>"20190312151256011"</f>
        <v>20190312151256011</v>
      </c>
      <c r="B1560" t="str">
        <f>"1552374776001190"</f>
        <v>1552374776001190</v>
      </c>
      <c r="C1560" t="s">
        <v>40</v>
      </c>
      <c r="D1560">
        <v>4.7517550000000002</v>
      </c>
      <c r="E1560">
        <v>0.49457899999999999</v>
      </c>
      <c r="F1560" t="s">
        <v>41</v>
      </c>
      <c r="G1560">
        <v>-214.9034</v>
      </c>
      <c r="H1560">
        <v>1.040624</v>
      </c>
      <c r="I1560">
        <v>281.31200000000001</v>
      </c>
      <c r="J1560">
        <v>-214.24969999999999</v>
      </c>
      <c r="K1560">
        <v>1.104387</v>
      </c>
      <c r="L1560">
        <v>281.26900000000001</v>
      </c>
      <c r="M1560">
        <v>-0.99985990000000002</v>
      </c>
      <c r="N1560">
        <v>0</v>
      </c>
      <c r="O1560">
        <v>1.1022199999999999E-2</v>
      </c>
      <c r="P1560">
        <v>-0.99709760000000003</v>
      </c>
      <c r="Q1560">
        <v>3.2655509999999999E-2</v>
      </c>
      <c r="R1560">
        <v>6.8774859999999993E-2</v>
      </c>
      <c r="S1560">
        <v>-3.0042719999999998</v>
      </c>
      <c r="T1560">
        <v>-0.20808389999999999</v>
      </c>
      <c r="U1560">
        <v>0.1678162</v>
      </c>
      <c r="V1560">
        <v>5.8373880000000003E-2</v>
      </c>
      <c r="W1560">
        <v>4.4455000000000001E-2</v>
      </c>
      <c r="X1560">
        <v>0.99730450000000004</v>
      </c>
      <c r="Y1560">
        <v>4.468254E-2</v>
      </c>
      <c r="Z1560">
        <v>7.8245249999999995E-4</v>
      </c>
      <c r="AA1560">
        <v>0.99900089999999997</v>
      </c>
      <c r="AB1560">
        <v>28</v>
      </c>
      <c r="AC1560">
        <v>-0.65370000000001405</v>
      </c>
      <c r="AD1560">
        <v>-6.3763E-2</v>
      </c>
      <c r="AE1560">
        <v>4.3000000000006297E-2</v>
      </c>
      <c r="AF1560">
        <v>3.5455717750282001E-2</v>
      </c>
      <c r="AG1560">
        <v>-6.3763E-2</v>
      </c>
      <c r="AH1560">
        <v>0.64799556153659299</v>
      </c>
      <c r="AI1560">
        <v>95.611493986680301</v>
      </c>
      <c r="AJ1560">
        <v>86.868127731565593</v>
      </c>
      <c r="AK1560">
        <v>0.65208977592146899</v>
      </c>
      <c r="AL1560">
        <v>87.452076459120093</v>
      </c>
      <c r="AM1560">
        <v>86.650205294490803</v>
      </c>
      <c r="AN1560">
        <v>1.0000000113057499</v>
      </c>
    </row>
    <row r="1561" spans="1:40" x14ac:dyDescent="0.25">
      <c r="A1561" t="str">
        <f>"20190312151256034"</f>
        <v>20190312151256034</v>
      </c>
      <c r="B1561" t="str">
        <f>"1552374776031446"</f>
        <v>1552374776031446</v>
      </c>
      <c r="C1561" t="s">
        <v>40</v>
      </c>
      <c r="D1561">
        <v>4.9265129999999999</v>
      </c>
      <c r="E1561">
        <v>0.49356850000000002</v>
      </c>
      <c r="F1561" t="s">
        <v>41</v>
      </c>
      <c r="G1561">
        <v>-215.15129999999999</v>
      </c>
      <c r="H1561">
        <v>1.0397419999999999</v>
      </c>
      <c r="I1561">
        <v>281.32029999999997</v>
      </c>
      <c r="J1561">
        <v>-214.5223</v>
      </c>
      <c r="K1561">
        <v>1.1046499999999999</v>
      </c>
      <c r="L1561">
        <v>281.2792</v>
      </c>
      <c r="M1561">
        <v>-0.9997663</v>
      </c>
      <c r="N1561">
        <v>0</v>
      </c>
      <c r="O1561">
        <v>1.760434E-2</v>
      </c>
      <c r="P1561">
        <v>-0.99699439999999995</v>
      </c>
      <c r="Q1561">
        <v>2.9965060000000002E-2</v>
      </c>
      <c r="R1561">
        <v>7.1446049999999997E-2</v>
      </c>
      <c r="S1561">
        <v>-3.0039980000000002</v>
      </c>
      <c r="T1561">
        <v>-0.2153457</v>
      </c>
      <c r="U1561">
        <v>0.17077639999999999</v>
      </c>
      <c r="V1561">
        <v>5.4413320000000001E-2</v>
      </c>
      <c r="W1561">
        <v>4.1808169999999999E-2</v>
      </c>
      <c r="X1561">
        <v>0.9976429</v>
      </c>
      <c r="Y1561">
        <v>3.9116900000000003E-2</v>
      </c>
      <c r="Z1561">
        <v>1.3989769999999999E-4</v>
      </c>
      <c r="AA1561">
        <v>0.99923459999999997</v>
      </c>
      <c r="AB1561">
        <v>28</v>
      </c>
      <c r="AC1561">
        <v>-0.62899999999999001</v>
      </c>
      <c r="AD1561">
        <v>-6.4907999999999896E-2</v>
      </c>
      <c r="AE1561">
        <v>4.1099999999971701E-2</v>
      </c>
      <c r="AF1561">
        <v>2.9704658026794499E-2</v>
      </c>
      <c r="AG1561">
        <v>-6.4907999999999896E-2</v>
      </c>
      <c r="AH1561">
        <v>0.62301997902544304</v>
      </c>
      <c r="AI1561">
        <v>95.9410800452047</v>
      </c>
      <c r="AJ1561">
        <v>87.270290355868894</v>
      </c>
      <c r="AK1561">
        <v>0.62709593320109502</v>
      </c>
      <c r="AL1561">
        <v>87.603870027939905</v>
      </c>
      <c r="AM1561">
        <v>86.878073698660103</v>
      </c>
      <c r="AN1561">
        <v>1.00000004419628</v>
      </c>
    </row>
    <row r="1562" spans="1:40" x14ac:dyDescent="0.25">
      <c r="A1562" t="str">
        <f>"20190312151256056"</f>
        <v>20190312151256056</v>
      </c>
      <c r="B1562" t="str">
        <f>"1552374776050966"</f>
        <v>1552374776050966</v>
      </c>
      <c r="C1562" t="s">
        <v>40</v>
      </c>
      <c r="D1562">
        <v>4.7590879999999904</v>
      </c>
      <c r="E1562">
        <v>0.49288759999999998</v>
      </c>
      <c r="F1562" t="s">
        <v>41</v>
      </c>
      <c r="G1562">
        <v>-215.39930000000001</v>
      </c>
      <c r="H1562">
        <v>1.038837</v>
      </c>
      <c r="I1562">
        <v>281.32900000000001</v>
      </c>
      <c r="J1562">
        <v>-214.79769999999999</v>
      </c>
      <c r="K1562">
        <v>1.1049199999999999</v>
      </c>
      <c r="L1562">
        <v>281.29079999999999</v>
      </c>
      <c r="M1562">
        <v>-0.9996372</v>
      </c>
      <c r="N1562">
        <v>0</v>
      </c>
      <c r="O1562">
        <v>2.385431E-2</v>
      </c>
      <c r="P1562">
        <v>-0.9969093</v>
      </c>
      <c r="Q1562">
        <v>2.673085E-2</v>
      </c>
      <c r="R1562">
        <v>7.3872640000000003E-2</v>
      </c>
      <c r="S1562">
        <v>-3.0036160000000001</v>
      </c>
      <c r="T1562">
        <v>-0.22537769999999999</v>
      </c>
      <c r="U1562">
        <v>0.17065429999999901</v>
      </c>
      <c r="V1562">
        <v>5.0533509999999997E-2</v>
      </c>
      <c r="W1562">
        <v>3.8613080000000001E-2</v>
      </c>
      <c r="X1562">
        <v>0.99797559999999996</v>
      </c>
      <c r="Y1562">
        <v>3.2865640000000002E-2</v>
      </c>
      <c r="Z1562">
        <v>-5.5535730000000002E-4</v>
      </c>
      <c r="AA1562">
        <v>0.9994596</v>
      </c>
      <c r="AB1562">
        <v>28</v>
      </c>
      <c r="AC1562">
        <v>-0.60160000000001901</v>
      </c>
      <c r="AD1562">
        <v>-6.60830000000001E-2</v>
      </c>
      <c r="AE1562">
        <v>3.8200000000017498E-2</v>
      </c>
      <c r="AF1562">
        <v>2.3554188872314401E-2</v>
      </c>
      <c r="AG1562">
        <v>-6.60830000000001E-2</v>
      </c>
      <c r="AH1562">
        <v>0.59518739045334801</v>
      </c>
      <c r="AI1562">
        <v>96.330623594507699</v>
      </c>
      <c r="AJ1562">
        <v>87.733736018363103</v>
      </c>
      <c r="AK1562">
        <v>0.59930776105194805</v>
      </c>
      <c r="AL1562">
        <v>87.787083244295999</v>
      </c>
      <c r="AM1562">
        <v>87.101245685893204</v>
      </c>
      <c r="AN1562">
        <v>0.99999995188768198</v>
      </c>
    </row>
    <row r="1563" spans="1:40" x14ac:dyDescent="0.25">
      <c r="A1563" t="str">
        <f>"20190312151256079"</f>
        <v>20190312151256079</v>
      </c>
      <c r="B1563" t="str">
        <f>"1552374776071462"</f>
        <v>1552374776071462</v>
      </c>
      <c r="C1563" t="s">
        <v>40</v>
      </c>
      <c r="D1563">
        <v>4.774133</v>
      </c>
      <c r="E1563">
        <v>0.49223430000000001</v>
      </c>
      <c r="F1563" t="s">
        <v>41</v>
      </c>
      <c r="G1563">
        <v>-215.64670000000001</v>
      </c>
      <c r="H1563">
        <v>1.03766</v>
      </c>
      <c r="I1563">
        <v>281.33980000000003</v>
      </c>
      <c r="J1563">
        <v>-215.08580000000001</v>
      </c>
      <c r="K1563">
        <v>1.1052169999999999</v>
      </c>
      <c r="L1563">
        <v>281.30439999999999</v>
      </c>
      <c r="M1563">
        <v>-0.99947350000000001</v>
      </c>
      <c r="N1563">
        <v>0</v>
      </c>
      <c r="O1563">
        <v>2.9960810000000001E-2</v>
      </c>
      <c r="P1563">
        <v>-0.99676350000000002</v>
      </c>
      <c r="Q1563">
        <v>2.5392080000000001E-2</v>
      </c>
      <c r="R1563">
        <v>7.6271619999999998E-2</v>
      </c>
      <c r="S1563">
        <v>-3.002869</v>
      </c>
      <c r="T1563">
        <v>-0.23785609999999999</v>
      </c>
      <c r="U1563">
        <v>0.17285159999999999</v>
      </c>
      <c r="V1563">
        <v>4.6791350000000002E-2</v>
      </c>
      <c r="W1563">
        <v>3.7307489999999999E-2</v>
      </c>
      <c r="X1563">
        <v>0.99820770000000003</v>
      </c>
      <c r="Y1563">
        <v>2.7535150000000001E-2</v>
      </c>
      <c r="Z1563">
        <v>-1.279009E-3</v>
      </c>
      <c r="AA1563">
        <v>0.99961999999999995</v>
      </c>
      <c r="AB1563">
        <v>28</v>
      </c>
      <c r="AC1563">
        <v>-0.56090000000000295</v>
      </c>
      <c r="AD1563">
        <v>-6.7557000000000006E-2</v>
      </c>
      <c r="AE1563">
        <v>3.54000000000382E-2</v>
      </c>
      <c r="AF1563">
        <v>1.8313173634148201E-2</v>
      </c>
      <c r="AG1563">
        <v>-6.7557000000000006E-2</v>
      </c>
      <c r="AH1563">
        <v>0.55370822047435297</v>
      </c>
      <c r="AI1563">
        <v>96.952415885300297</v>
      </c>
      <c r="AJ1563">
        <v>88.105707692628201</v>
      </c>
      <c r="AK1563">
        <v>0.558114785683401</v>
      </c>
      <c r="AL1563">
        <v>87.861941991532802</v>
      </c>
      <c r="AM1563">
        <v>87.3162039896484</v>
      </c>
      <c r="AN1563">
        <v>0.99999994579210405</v>
      </c>
    </row>
    <row r="1564" spans="1:40" x14ac:dyDescent="0.25">
      <c r="A1564" t="str">
        <f>"20190312151256103"</f>
        <v>20190312151256103</v>
      </c>
      <c r="B1564" t="str">
        <f>"1552374776090982"</f>
        <v>1552374776090982</v>
      </c>
      <c r="C1564" t="s">
        <v>40</v>
      </c>
      <c r="D1564">
        <v>4.7781969999999996</v>
      </c>
      <c r="E1564">
        <v>0.49167119999999997</v>
      </c>
      <c r="F1564" t="s">
        <v>41</v>
      </c>
      <c r="G1564">
        <v>-215.8965</v>
      </c>
      <c r="H1564">
        <v>1.039234</v>
      </c>
      <c r="I1564">
        <v>281.35169999999999</v>
      </c>
      <c r="J1564">
        <v>-215.38570000000001</v>
      </c>
      <c r="K1564">
        <v>1.105567</v>
      </c>
      <c r="L1564">
        <v>281.31990000000002</v>
      </c>
      <c r="M1564">
        <v>-0.9992799</v>
      </c>
      <c r="N1564">
        <v>0</v>
      </c>
      <c r="O1564">
        <v>3.5856930000000002E-2</v>
      </c>
      <c r="P1564">
        <v>-0.9965929</v>
      </c>
      <c r="Q1564">
        <v>2.500761E-2</v>
      </c>
      <c r="R1564">
        <v>7.8594890000000001E-2</v>
      </c>
      <c r="S1564">
        <v>-3.0025629999999999</v>
      </c>
      <c r="T1564">
        <v>-0.24440819999999999</v>
      </c>
      <c r="U1564">
        <v>0.17507929999999999</v>
      </c>
      <c r="V1564">
        <v>4.319137E-2</v>
      </c>
      <c r="W1564">
        <v>3.6952489999999998E-2</v>
      </c>
      <c r="X1564">
        <v>0.99838320000000003</v>
      </c>
      <c r="Y1564">
        <v>2.241901E-2</v>
      </c>
      <c r="Z1564">
        <v>-2.0002900000000001E-3</v>
      </c>
      <c r="AA1564">
        <v>0.99974669999999999</v>
      </c>
      <c r="AB1564">
        <v>28</v>
      </c>
      <c r="AC1564">
        <v>-0.51079999999998904</v>
      </c>
      <c r="AD1564">
        <v>-6.6332999999999906E-2</v>
      </c>
      <c r="AE1564">
        <v>3.1799999999975598E-2</v>
      </c>
      <c r="AF1564">
        <v>1.3240001590694399E-2</v>
      </c>
      <c r="AG1564">
        <v>-6.6332999999999906E-2</v>
      </c>
      <c r="AH1564">
        <v>0.50315934971721599</v>
      </c>
      <c r="AI1564">
        <v>97.507595789335497</v>
      </c>
      <c r="AJ1564">
        <v>88.492681895260205</v>
      </c>
      <c r="AK1564">
        <v>0.50768562687845797</v>
      </c>
      <c r="AL1564">
        <v>87.882296139270906</v>
      </c>
      <c r="AM1564">
        <v>87.522853830401004</v>
      </c>
      <c r="AN1564">
        <v>0.99999999750095803</v>
      </c>
    </row>
    <row r="1565" spans="1:40" x14ac:dyDescent="0.25">
      <c r="A1565" t="str">
        <f>"20190312151256125"</f>
        <v>20190312151256125</v>
      </c>
      <c r="B1565" t="str">
        <f>"1552374776121238"</f>
        <v>1552374776121238</v>
      </c>
      <c r="C1565" t="s">
        <v>40</v>
      </c>
      <c r="D1565">
        <v>4.8332850000000001</v>
      </c>
      <c r="E1565">
        <v>0.49076599999999998</v>
      </c>
      <c r="F1565" t="s">
        <v>41</v>
      </c>
      <c r="G1565">
        <v>-216.14750000000001</v>
      </c>
      <c r="H1565">
        <v>1.042586</v>
      </c>
      <c r="I1565">
        <v>281.36520000000002</v>
      </c>
      <c r="J1565">
        <v>-215.64840000000001</v>
      </c>
      <c r="K1565">
        <v>1.105888</v>
      </c>
      <c r="L1565">
        <v>281.33460000000002</v>
      </c>
      <c r="M1565">
        <v>-0.99909870000000001</v>
      </c>
      <c r="N1565">
        <v>0</v>
      </c>
      <c r="O1565">
        <v>4.0607329999999997E-2</v>
      </c>
      <c r="P1565">
        <v>-0.99659390000000003</v>
      </c>
      <c r="Q1565">
        <v>2.4448959999999999E-2</v>
      </c>
      <c r="R1565">
        <v>7.8758190000000006E-2</v>
      </c>
      <c r="S1565">
        <v>-3.0024869999999999</v>
      </c>
      <c r="T1565">
        <v>-0.24824750000000001</v>
      </c>
      <c r="U1565">
        <v>0.17764279999999999</v>
      </c>
      <c r="V1565">
        <v>3.8571340000000003E-2</v>
      </c>
      <c r="W1565">
        <v>3.643308E-2</v>
      </c>
      <c r="X1565">
        <v>0.99859140000000002</v>
      </c>
      <c r="Y1565">
        <v>1.8548599999999998E-2</v>
      </c>
      <c r="Z1565">
        <v>-2.582535E-3</v>
      </c>
      <c r="AA1565">
        <v>0.99982459999999995</v>
      </c>
      <c r="AB1565">
        <v>28</v>
      </c>
      <c r="AC1565">
        <v>-0.49909999999999799</v>
      </c>
      <c r="AD1565">
        <v>-6.33019999999999E-2</v>
      </c>
      <c r="AE1565">
        <v>3.0599999999992598E-2</v>
      </c>
      <c r="AF1565">
        <v>1.0143527303062999E-2</v>
      </c>
      <c r="AG1565">
        <v>-6.33019999999999E-2</v>
      </c>
      <c r="AH1565">
        <v>0.49204533766266101</v>
      </c>
      <c r="AI1565">
        <v>97.329336989857296</v>
      </c>
      <c r="AJ1565">
        <v>88.819013309661401</v>
      </c>
      <c r="AK1565">
        <v>0.49620424087840098</v>
      </c>
      <c r="AL1565">
        <v>87.912076097212307</v>
      </c>
      <c r="AM1565">
        <v>87.788007268317301</v>
      </c>
      <c r="AN1565">
        <v>0.99999995087081905</v>
      </c>
    </row>
    <row r="1566" spans="1:40" x14ac:dyDescent="0.25">
      <c r="A1566" t="str">
        <f>"20190312151256145"</f>
        <v>20190312151256145</v>
      </c>
      <c r="B1566" t="str">
        <f>"1552374776141734"</f>
        <v>1552374776141734</v>
      </c>
      <c r="C1566" t="s">
        <v>40</v>
      </c>
      <c r="D1566">
        <v>4.7981470000000002</v>
      </c>
      <c r="E1566">
        <v>0.476659</v>
      </c>
      <c r="F1566" t="s">
        <v>41</v>
      </c>
      <c r="G1566">
        <v>-216.3965</v>
      </c>
      <c r="H1566">
        <v>1.0433410000000001</v>
      </c>
      <c r="I1566">
        <v>281.37720000000002</v>
      </c>
      <c r="J1566">
        <v>-215.90219999999999</v>
      </c>
      <c r="K1566">
        <v>1.1062019999999999</v>
      </c>
      <c r="L1566">
        <v>281.34949999999998</v>
      </c>
      <c r="M1566">
        <v>-0.99891949999999996</v>
      </c>
      <c r="N1566">
        <v>0</v>
      </c>
      <c r="O1566">
        <v>4.481044E-2</v>
      </c>
      <c r="P1566">
        <v>-0.99667910000000004</v>
      </c>
      <c r="Q1566">
        <v>2.3951770000000001E-2</v>
      </c>
      <c r="R1566">
        <v>7.7827240000000006E-2</v>
      </c>
      <c r="S1566">
        <v>-3.0028990000000002</v>
      </c>
      <c r="T1566">
        <v>-0.25105830000000001</v>
      </c>
      <c r="U1566">
        <v>0.17086789999999999</v>
      </c>
      <c r="V1566">
        <v>3.3401380000000001E-2</v>
      </c>
      <c r="W1566">
        <v>3.5975630000000001E-2</v>
      </c>
      <c r="X1566">
        <v>0.99879430000000002</v>
      </c>
      <c r="Y1566">
        <v>1.2124080000000001E-2</v>
      </c>
      <c r="Z1566">
        <v>-3.2294870000000001E-3</v>
      </c>
      <c r="AA1566">
        <v>0.99992130000000001</v>
      </c>
      <c r="AB1566">
        <v>28</v>
      </c>
      <c r="AC1566">
        <v>-0.49430000000000901</v>
      </c>
      <c r="AD1566">
        <v>-6.2861E-2</v>
      </c>
      <c r="AE1566">
        <v>2.7700000000038399E-2</v>
      </c>
      <c r="AF1566">
        <v>5.4330963247864799E-3</v>
      </c>
      <c r="AG1566">
        <v>-6.2861E-2</v>
      </c>
      <c r="AH1566">
        <v>0.48719025295499602</v>
      </c>
      <c r="AI1566">
        <v>97.3516659771241</v>
      </c>
      <c r="AJ1566">
        <v>89.361069759672404</v>
      </c>
      <c r="AK1566">
        <v>0.49125896066232499</v>
      </c>
      <c r="AL1566">
        <v>87.938303299072999</v>
      </c>
      <c r="AM1566">
        <v>88.084645490259405</v>
      </c>
      <c r="AN1566">
        <v>0.99999997592614498</v>
      </c>
    </row>
    <row r="1567" spans="1:40" x14ac:dyDescent="0.25">
      <c r="A1567" t="str">
        <f>"20190312151256169"</f>
        <v>20190312151256169</v>
      </c>
      <c r="B1567" t="str">
        <f>"1552374776161254"</f>
        <v>1552374776161254</v>
      </c>
      <c r="C1567" t="s">
        <v>40</v>
      </c>
      <c r="D1567">
        <v>4.8301429999999996</v>
      </c>
      <c r="E1567">
        <v>0.47609259999999898</v>
      </c>
      <c r="F1567" t="s">
        <v>54</v>
      </c>
      <c r="G1567">
        <v>-229.7345</v>
      </c>
      <c r="H1567" s="1">
        <v>3.6434239999999999E-6</v>
      </c>
      <c r="I1567">
        <v>281.60430000000002</v>
      </c>
      <c r="J1567">
        <v>-216.1885</v>
      </c>
      <c r="K1567">
        <v>1.106563</v>
      </c>
      <c r="L1567">
        <v>281.36720000000003</v>
      </c>
      <c r="M1567">
        <v>-0.99871900000000002</v>
      </c>
      <c r="N1567">
        <v>0</v>
      </c>
      <c r="O1567">
        <v>4.908535E-2</v>
      </c>
      <c r="P1567">
        <v>-0.99672539999999998</v>
      </c>
      <c r="Q1567">
        <v>2.4130720000000001E-2</v>
      </c>
      <c r="R1567">
        <v>7.7176809999999998E-2</v>
      </c>
      <c r="S1567">
        <v>-3.0114589999999999</v>
      </c>
      <c r="T1567">
        <v>-0.24083270000000001</v>
      </c>
      <c r="U1567">
        <v>5.5480960000000003E-2</v>
      </c>
      <c r="V1567">
        <v>2.8442849999999999E-2</v>
      </c>
      <c r="W1567">
        <v>3.6189109999999997E-2</v>
      </c>
      <c r="X1567">
        <v>0.9989401</v>
      </c>
      <c r="Y1567">
        <v>-3.0429149999999999E-2</v>
      </c>
      <c r="Z1567">
        <v>-5.1322399999999997E-3</v>
      </c>
      <c r="AA1567">
        <v>0.99952379999999996</v>
      </c>
      <c r="AB1567">
        <v>28</v>
      </c>
      <c r="AC1567">
        <v>-13.5459999999999</v>
      </c>
      <c r="AD1567">
        <v>-1.1065593565759999</v>
      </c>
      <c r="AE1567">
        <v>0.23709999999999801</v>
      </c>
      <c r="AF1567">
        <v>-0.42530894217248</v>
      </c>
      <c r="AG1567">
        <v>-1.1065593565759999</v>
      </c>
      <c r="AH1567">
        <v>13.451571912023599</v>
      </c>
      <c r="AI1567">
        <v>94.700364449263205</v>
      </c>
      <c r="AJ1567">
        <v>91.810962478029296</v>
      </c>
      <c r="AK1567">
        <v>13.503708683552899</v>
      </c>
      <c r="AL1567">
        <v>87.926063845278094</v>
      </c>
      <c r="AM1567">
        <v>88.369056280760802</v>
      </c>
      <c r="AN1567">
        <v>0.99999998539336199</v>
      </c>
    </row>
    <row r="1568" spans="1:40" x14ac:dyDescent="0.25">
      <c r="A1568" t="str">
        <f>"20190312151256190"</f>
        <v>20190312151256190</v>
      </c>
      <c r="B1568" t="str">
        <f>"1552374776181752"</f>
        <v>1552374776181752</v>
      </c>
      <c r="C1568" t="s">
        <v>40</v>
      </c>
      <c r="D1568">
        <v>4.8406140000000004</v>
      </c>
      <c r="E1568">
        <v>0.47533379999999997</v>
      </c>
      <c r="F1568" t="s">
        <v>54</v>
      </c>
      <c r="G1568">
        <v>-230.202</v>
      </c>
      <c r="H1568" s="1">
        <v>-1.2971459999999901E-6</v>
      </c>
      <c r="I1568">
        <v>281.59339999999997</v>
      </c>
      <c r="J1568">
        <v>-216.4657</v>
      </c>
      <c r="K1568">
        <v>1.1068899999999999</v>
      </c>
      <c r="L1568">
        <v>281.38499999999999</v>
      </c>
      <c r="M1568">
        <v>-0.99852960000000002</v>
      </c>
      <c r="N1568">
        <v>0</v>
      </c>
      <c r="O1568">
        <v>5.2803610000000001E-2</v>
      </c>
      <c r="P1568">
        <v>-0.99679150000000005</v>
      </c>
      <c r="Q1568">
        <v>2.4128380000000001E-2</v>
      </c>
      <c r="R1568">
        <v>7.6318259999999999E-2</v>
      </c>
      <c r="S1568">
        <v>-3.0118710000000002</v>
      </c>
      <c r="T1568">
        <v>-0.23782990000000001</v>
      </c>
      <c r="U1568">
        <v>4.8614499999999998E-2</v>
      </c>
      <c r="V1568">
        <v>2.3832740000000002E-2</v>
      </c>
      <c r="W1568">
        <v>3.6216270000000002E-2</v>
      </c>
      <c r="X1568">
        <v>0.99905969999999999</v>
      </c>
      <c r="Y1568">
        <v>-3.6406899999999999E-2</v>
      </c>
      <c r="Z1568">
        <v>-5.5963519999999998E-3</v>
      </c>
      <c r="AA1568">
        <v>0.99932140000000003</v>
      </c>
      <c r="AB1568">
        <v>28</v>
      </c>
      <c r="AC1568">
        <v>-13.7363</v>
      </c>
      <c r="AD1568">
        <v>-1.1068912971460001</v>
      </c>
      <c r="AE1568">
        <v>0.20839999999998299</v>
      </c>
      <c r="AF1568">
        <v>-0.51393515881045104</v>
      </c>
      <c r="AG1568">
        <v>-1.1068912971460001</v>
      </c>
      <c r="AH1568">
        <v>13.6395923344646</v>
      </c>
      <c r="AI1568">
        <v>94.636270879995195</v>
      </c>
      <c r="AJ1568">
        <v>92.157864483591396</v>
      </c>
      <c r="AK1568">
        <v>13.6940796237478</v>
      </c>
      <c r="AL1568">
        <v>87.924506599559194</v>
      </c>
      <c r="AM1568">
        <v>88.633458560694294</v>
      </c>
      <c r="AN1568">
        <v>0.99999995093635397</v>
      </c>
    </row>
    <row r="1569" spans="1:40" x14ac:dyDescent="0.25">
      <c r="A1569" t="str">
        <f>"20190312151256212"</f>
        <v>20190312151256212</v>
      </c>
      <c r="B1569" t="str">
        <f>"1552374776201270"</f>
        <v>1552374776201270</v>
      </c>
      <c r="C1569" t="s">
        <v>40</v>
      </c>
      <c r="D1569">
        <v>4.9987190000000004</v>
      </c>
      <c r="E1569">
        <v>0.47504049999999998</v>
      </c>
      <c r="F1569" t="s">
        <v>54</v>
      </c>
      <c r="G1569">
        <v>-230.26609999999999</v>
      </c>
      <c r="H1569" s="1">
        <v>-1.2617609999999999E-6</v>
      </c>
      <c r="I1569">
        <v>281.56450000000001</v>
      </c>
      <c r="J1569">
        <v>-216.74520000000001</v>
      </c>
      <c r="K1569">
        <v>1.1071610000000001</v>
      </c>
      <c r="L1569">
        <v>281.40359999999998</v>
      </c>
      <c r="M1569">
        <v>-0.99834350000000005</v>
      </c>
      <c r="N1569">
        <v>0</v>
      </c>
      <c r="O1569">
        <v>5.6218940000000002E-2</v>
      </c>
      <c r="P1569">
        <v>-0.99685469999999998</v>
      </c>
      <c r="Q1569">
        <v>2.3191759999999999E-2</v>
      </c>
      <c r="R1569">
        <v>7.5782009999999997E-2</v>
      </c>
      <c r="S1569">
        <v>-3.012527</v>
      </c>
      <c r="T1569">
        <v>-0.24162600000000001</v>
      </c>
      <c r="U1569">
        <v>3.9184570000000002E-2</v>
      </c>
      <c r="V1569">
        <v>1.984503E-2</v>
      </c>
      <c r="W1569">
        <v>3.5300369999999998E-2</v>
      </c>
      <c r="X1569">
        <v>0.9991797</v>
      </c>
      <c r="Y1569">
        <v>-4.291474E-2</v>
      </c>
      <c r="Z1569">
        <v>-6.2180819999999998E-3</v>
      </c>
      <c r="AA1569">
        <v>0.99905940000000004</v>
      </c>
      <c r="AB1569">
        <v>28</v>
      </c>
      <c r="AC1569">
        <v>-13.5208999999999</v>
      </c>
      <c r="AD1569">
        <v>-1.107162261761</v>
      </c>
      <c r="AE1569">
        <v>0.16090000000002599</v>
      </c>
      <c r="AF1569">
        <v>-0.59554936155900795</v>
      </c>
      <c r="AG1569">
        <v>-1.107162261761</v>
      </c>
      <c r="AH1569">
        <v>13.418597759553499</v>
      </c>
      <c r="AI1569">
        <v>94.712146076278898</v>
      </c>
      <c r="AJ1569">
        <v>92.541255591475903</v>
      </c>
      <c r="AK1569">
        <v>13.4773607634661</v>
      </c>
      <c r="AL1569">
        <v>87.977017504528305</v>
      </c>
      <c r="AM1569">
        <v>88.862179657014195</v>
      </c>
      <c r="AN1569">
        <v>1.00000000711496</v>
      </c>
    </row>
    <row r="1570" spans="1:40" x14ac:dyDescent="0.25">
      <c r="A1570" t="str">
        <f>"20190312151256235"</f>
        <v>20190312151256235</v>
      </c>
      <c r="B1570" t="str">
        <f>"1552374776231526"</f>
        <v>1552374776231526</v>
      </c>
      <c r="C1570" t="s">
        <v>40</v>
      </c>
      <c r="D1570">
        <v>4.8367199999999997</v>
      </c>
      <c r="E1570">
        <v>0.47464430000000002</v>
      </c>
      <c r="F1570" t="s">
        <v>54</v>
      </c>
      <c r="G1570">
        <v>-230.83709999999999</v>
      </c>
      <c r="H1570" s="1">
        <v>-9.5800370000000006E-7</v>
      </c>
      <c r="I1570">
        <v>281.56650000000002</v>
      </c>
      <c r="J1570">
        <v>-217.0154</v>
      </c>
      <c r="K1570">
        <v>1.107391</v>
      </c>
      <c r="L1570">
        <v>281.42219999999998</v>
      </c>
      <c r="M1570">
        <v>-0.99817100000000003</v>
      </c>
      <c r="N1570">
        <v>0</v>
      </c>
      <c r="O1570">
        <v>5.920454E-2</v>
      </c>
      <c r="P1570">
        <v>-0.99696079999999998</v>
      </c>
      <c r="Q1570">
        <v>2.1702929999999999E-2</v>
      </c>
      <c r="R1570">
        <v>7.4820040000000004E-2</v>
      </c>
      <c r="S1570">
        <v>-3.0123289999999998</v>
      </c>
      <c r="T1570">
        <v>-0.2366703</v>
      </c>
      <c r="U1570">
        <v>3.482056E-2</v>
      </c>
      <c r="V1570">
        <v>1.5860610000000001E-2</v>
      </c>
      <c r="W1570">
        <v>3.3829739999999997E-2</v>
      </c>
      <c r="X1570">
        <v>0.99930169999999996</v>
      </c>
      <c r="Y1570">
        <v>-4.733863E-2</v>
      </c>
      <c r="Z1570">
        <v>-6.4988420000000003E-3</v>
      </c>
      <c r="AA1570">
        <v>0.99885769999999996</v>
      </c>
      <c r="AB1570">
        <v>28</v>
      </c>
      <c r="AC1570">
        <v>-13.8216999999999</v>
      </c>
      <c r="AD1570">
        <v>-1.1073919580036999</v>
      </c>
      <c r="AE1570">
        <v>0.144300000000043</v>
      </c>
      <c r="AF1570">
        <v>-0.67002119455494702</v>
      </c>
      <c r="AG1570">
        <v>-1.1073919580036999</v>
      </c>
      <c r="AH1570">
        <v>13.717946781355399</v>
      </c>
      <c r="AI1570">
        <v>94.6097670263689</v>
      </c>
      <c r="AJ1570">
        <v>92.796256869815707</v>
      </c>
      <c r="AK1570">
        <v>13.7788718422774</v>
      </c>
      <c r="AL1570">
        <v>88.061328671167601</v>
      </c>
      <c r="AM1570">
        <v>89.090695315102195</v>
      </c>
      <c r="AN1570">
        <v>0.99999994894046296</v>
      </c>
    </row>
    <row r="1571" spans="1:40" x14ac:dyDescent="0.25">
      <c r="A1571" t="str">
        <f>"20190312151256257"</f>
        <v>20190312151256257</v>
      </c>
      <c r="B1571" t="str">
        <f>"1552374776251047"</f>
        <v>1552374776251047</v>
      </c>
      <c r="C1571" t="s">
        <v>40</v>
      </c>
      <c r="D1571">
        <v>4.8662029999999996</v>
      </c>
      <c r="E1571">
        <v>0.4743832</v>
      </c>
      <c r="F1571" t="s">
        <v>54</v>
      </c>
      <c r="G1571">
        <v>-231.15620000000001</v>
      </c>
      <c r="H1571" s="1">
        <v>-7.8762569999999898E-7</v>
      </c>
      <c r="I1571">
        <v>281.55309999999997</v>
      </c>
      <c r="J1571">
        <v>-217.29089999999999</v>
      </c>
      <c r="K1571">
        <v>1.107621</v>
      </c>
      <c r="L1571">
        <v>281.44170000000003</v>
      </c>
      <c r="M1571">
        <v>-0.99800630000000001</v>
      </c>
      <c r="N1571">
        <v>0</v>
      </c>
      <c r="O1571">
        <v>6.192135E-2</v>
      </c>
      <c r="P1571">
        <v>-0.9970542</v>
      </c>
      <c r="Q1571">
        <v>2.1600359999999999E-2</v>
      </c>
      <c r="R1571">
        <v>7.3594950000000006E-2</v>
      </c>
      <c r="S1571">
        <v>-3.0121920000000002</v>
      </c>
      <c r="T1571">
        <v>-0.23589109999999999</v>
      </c>
      <c r="U1571">
        <v>2.7893069999999999E-2</v>
      </c>
      <c r="V1571">
        <v>1.1892299999999901E-2</v>
      </c>
      <c r="W1571">
        <v>3.3741100000000003E-2</v>
      </c>
      <c r="X1571">
        <v>0.99935980000000002</v>
      </c>
      <c r="Y1571">
        <v>-5.2331860000000001E-2</v>
      </c>
      <c r="Z1571">
        <v>-6.885296E-3</v>
      </c>
      <c r="AA1571">
        <v>0.99860599999999999</v>
      </c>
      <c r="AB1571">
        <v>28</v>
      </c>
      <c r="AC1571">
        <v>-13.8653</v>
      </c>
      <c r="AD1571">
        <v>-1.1076217876257</v>
      </c>
      <c r="AE1571">
        <v>0.111399999999946</v>
      </c>
      <c r="AF1571">
        <v>-0.74269671120811498</v>
      </c>
      <c r="AG1571">
        <v>-1.1076217876257</v>
      </c>
      <c r="AH1571">
        <v>13.7577974583256</v>
      </c>
      <c r="AI1571">
        <v>94.596214987405205</v>
      </c>
      <c r="AJ1571">
        <v>93.090038383976406</v>
      </c>
      <c r="AK1571">
        <v>13.8222796720937</v>
      </c>
      <c r="AL1571">
        <v>88.066410270944104</v>
      </c>
      <c r="AM1571">
        <v>89.318217084040896</v>
      </c>
      <c r="AN1571">
        <v>0.99999994924226798</v>
      </c>
    </row>
    <row r="1572" spans="1:40" x14ac:dyDescent="0.25">
      <c r="A1572" t="str">
        <f>"20190312151256279"</f>
        <v>20190312151256279</v>
      </c>
      <c r="B1572" t="str">
        <f>"1552374776271543"</f>
        <v>1552374776271543</v>
      </c>
      <c r="C1572" t="s">
        <v>40</v>
      </c>
      <c r="D1572">
        <v>4.8942600000000001</v>
      </c>
      <c r="E1572">
        <v>0.47413080000000002</v>
      </c>
      <c r="F1572" t="s">
        <v>54</v>
      </c>
      <c r="G1572">
        <v>-231.11320000000001</v>
      </c>
      <c r="H1572" s="1">
        <v>-8.1010629999999996E-7</v>
      </c>
      <c r="I1572">
        <v>281.5437</v>
      </c>
      <c r="J1572">
        <v>-217.55930000000001</v>
      </c>
      <c r="K1572">
        <v>1.10785</v>
      </c>
      <c r="L1572">
        <v>281.46109999999999</v>
      </c>
      <c r="M1572">
        <v>-0.99785820000000003</v>
      </c>
      <c r="N1572">
        <v>0</v>
      </c>
      <c r="O1572">
        <v>6.4267690000000002E-2</v>
      </c>
      <c r="P1572">
        <v>-0.99711439999999996</v>
      </c>
      <c r="Q1572">
        <v>2.2823900000000001E-2</v>
      </c>
      <c r="R1572">
        <v>7.2399539999999998E-2</v>
      </c>
      <c r="S1572">
        <v>-3.012451</v>
      </c>
      <c r="T1572">
        <v>-0.241397</v>
      </c>
      <c r="U1572">
        <v>2.2247309999999999E-2</v>
      </c>
      <c r="V1572">
        <v>8.3324869999999995E-3</v>
      </c>
      <c r="W1572">
        <v>3.4973940000000002E-2</v>
      </c>
      <c r="X1572">
        <v>0.99935350000000001</v>
      </c>
      <c r="Y1572">
        <v>-5.6514160000000001E-2</v>
      </c>
      <c r="Z1572">
        <v>-7.3997439999999998E-3</v>
      </c>
      <c r="AA1572">
        <v>0.9983744</v>
      </c>
      <c r="AB1572">
        <v>28</v>
      </c>
      <c r="AC1572">
        <v>-13.553900000000001</v>
      </c>
      <c r="AD1572">
        <v>-1.1078508101063</v>
      </c>
      <c r="AE1572">
        <v>8.2600000000013496E-2</v>
      </c>
      <c r="AF1572">
        <v>-0.783479249527536</v>
      </c>
      <c r="AG1572">
        <v>-1.1078508101063</v>
      </c>
      <c r="AH1572">
        <v>13.4413876595756</v>
      </c>
      <c r="AI1572">
        <v>94.703769835408494</v>
      </c>
      <c r="AJ1572">
        <v>93.335914416893999</v>
      </c>
      <c r="AK1572">
        <v>13.5097030080933</v>
      </c>
      <c r="AL1572">
        <v>87.9957321326482</v>
      </c>
      <c r="AM1572">
        <v>89.5222858827739</v>
      </c>
      <c r="AN1572">
        <v>1.00000001239048</v>
      </c>
    </row>
    <row r="1573" spans="1:40" x14ac:dyDescent="0.25">
      <c r="A1573" t="str">
        <f>"20190312151256304"</f>
        <v>20190312151256304</v>
      </c>
      <c r="B1573" t="str">
        <f>"1552374776301798"</f>
        <v>1552374776301798</v>
      </c>
      <c r="C1573" t="s">
        <v>40</v>
      </c>
      <c r="D1573">
        <v>4.8839930000000003</v>
      </c>
      <c r="E1573">
        <v>0.47397600000000001</v>
      </c>
      <c r="F1573" t="s">
        <v>54</v>
      </c>
      <c r="G1573">
        <v>-231.48840000000001</v>
      </c>
      <c r="H1573" s="1">
        <v>-6.1014449999999995E-7</v>
      </c>
      <c r="I1573">
        <v>281.5378</v>
      </c>
      <c r="J1573">
        <v>-217.87010000000001</v>
      </c>
      <c r="K1573">
        <v>1.108131</v>
      </c>
      <c r="L1573">
        <v>281.48390000000001</v>
      </c>
      <c r="M1573">
        <v>-0.99770210000000004</v>
      </c>
      <c r="N1573">
        <v>0</v>
      </c>
      <c r="O1573">
        <v>6.6650310000000004E-2</v>
      </c>
      <c r="P1573">
        <v>-0.99711780000000005</v>
      </c>
      <c r="Q1573">
        <v>2.397585E-2</v>
      </c>
      <c r="R1573">
        <v>7.1981169999999997E-2</v>
      </c>
      <c r="S1573">
        <v>-3.0129389999999998</v>
      </c>
      <c r="T1573">
        <v>-0.23963390000000001</v>
      </c>
      <c r="U1573">
        <v>1.6601560000000001E-2</v>
      </c>
      <c r="V1573">
        <v>5.5093290000000003E-3</v>
      </c>
      <c r="W1573">
        <v>3.6128109999999998E-2</v>
      </c>
      <c r="X1573">
        <v>0.999332</v>
      </c>
      <c r="Y1573">
        <v>-6.0754420000000003E-2</v>
      </c>
      <c r="Z1573">
        <v>-7.7020519999999896E-3</v>
      </c>
      <c r="AA1573">
        <v>0.99812299999999998</v>
      </c>
      <c r="AB1573">
        <v>28</v>
      </c>
      <c r="AC1573">
        <v>-13.6183</v>
      </c>
      <c r="AD1573">
        <v>-1.1081316101445</v>
      </c>
      <c r="AE1573">
        <v>5.3899999999998699E-2</v>
      </c>
      <c r="AF1573">
        <v>-0.84833417279450996</v>
      </c>
      <c r="AG1573">
        <v>-1.1081316101445</v>
      </c>
      <c r="AH1573">
        <v>13.5022070635854</v>
      </c>
      <c r="AI1573">
        <v>94.6825808158207</v>
      </c>
      <c r="AJ1573">
        <v>93.595127882654594</v>
      </c>
      <c r="AK1573">
        <v>13.574137988176901</v>
      </c>
      <c r="AL1573">
        <v>87.929561245829007</v>
      </c>
      <c r="AM1573">
        <v>89.684130897728295</v>
      </c>
      <c r="AN1573">
        <v>1.0000000196311001</v>
      </c>
    </row>
    <row r="1574" spans="1:40" x14ac:dyDescent="0.25">
      <c r="A1574" t="str">
        <f>"20190312151256326"</f>
        <v>20190312151256326</v>
      </c>
      <c r="B1574" t="str">
        <f>"1552374776321319"</f>
        <v>1552374776321319</v>
      </c>
      <c r="C1574" t="s">
        <v>40</v>
      </c>
      <c r="D1574">
        <v>4.9910069999999997</v>
      </c>
      <c r="E1574">
        <v>0.4739004</v>
      </c>
      <c r="F1574" t="s">
        <v>54</v>
      </c>
      <c r="G1574">
        <v>-231.85579999999999</v>
      </c>
      <c r="H1574" s="1">
        <v>-4.1501899999999999E-7</v>
      </c>
      <c r="I1574">
        <v>281.54640000000001</v>
      </c>
      <c r="J1574">
        <v>-218.13640000000001</v>
      </c>
      <c r="K1574">
        <v>1.108376</v>
      </c>
      <c r="L1574">
        <v>281.50380000000001</v>
      </c>
      <c r="M1574">
        <v>-0.99758449999999999</v>
      </c>
      <c r="N1574">
        <v>0</v>
      </c>
      <c r="O1574">
        <v>6.8391579999999993E-2</v>
      </c>
      <c r="P1574">
        <v>-0.99714700000000001</v>
      </c>
      <c r="Q1574">
        <v>2.5153080000000001E-2</v>
      </c>
      <c r="R1574">
        <v>7.1171289999999998E-2</v>
      </c>
      <c r="S1574">
        <v>-3.013458</v>
      </c>
      <c r="T1574">
        <v>-0.23876629999999999</v>
      </c>
      <c r="U1574">
        <v>1.345825E-2</v>
      </c>
      <c r="V1574">
        <v>2.9379860000000001E-3</v>
      </c>
      <c r="W1574">
        <v>3.7306539999999999E-2</v>
      </c>
      <c r="X1574">
        <v>0.99929950000000001</v>
      </c>
      <c r="Y1574">
        <v>-6.3527249999999993E-2</v>
      </c>
      <c r="Z1574">
        <v>-7.9201930000000007E-3</v>
      </c>
      <c r="AA1574">
        <v>0.99794859999999996</v>
      </c>
      <c r="AB1574">
        <v>28</v>
      </c>
      <c r="AC1574">
        <v>-13.719399999999901</v>
      </c>
      <c r="AD1574">
        <v>-1.1083764150190001</v>
      </c>
      <c r="AE1574">
        <v>4.2599999999992998E-2</v>
      </c>
      <c r="AF1574">
        <v>-0.89005134554314103</v>
      </c>
      <c r="AG1574">
        <v>-1.1083764150190001</v>
      </c>
      <c r="AH1574">
        <v>13.601412059354701</v>
      </c>
      <c r="AI1574">
        <v>94.648828716145999</v>
      </c>
      <c r="AJ1574">
        <v>93.743992221652107</v>
      </c>
      <c r="AK1574">
        <v>13.675492666936499</v>
      </c>
      <c r="AL1574">
        <v>87.861996469861197</v>
      </c>
      <c r="AM1574">
        <v>89.831548286523102</v>
      </c>
      <c r="AN1574">
        <v>0.99999995019437704</v>
      </c>
    </row>
    <row r="1575" spans="1:40" x14ac:dyDescent="0.25">
      <c r="A1575" t="str">
        <f>"20190312151256346"</f>
        <v>20190312151256346</v>
      </c>
      <c r="B1575" t="str">
        <f>"1552374776341814"</f>
        <v>1552374776341814</v>
      </c>
      <c r="C1575" t="s">
        <v>40</v>
      </c>
      <c r="D1575">
        <v>4.957681</v>
      </c>
      <c r="E1575">
        <v>0.47384419999999999</v>
      </c>
      <c r="F1575" t="s">
        <v>54</v>
      </c>
      <c r="G1575">
        <v>-232.36019999999999</v>
      </c>
      <c r="H1575" s="1">
        <v>-1.4675869999999999E-7</v>
      </c>
      <c r="I1575">
        <v>281.54969999999997</v>
      </c>
      <c r="J1575">
        <v>-218.3939</v>
      </c>
      <c r="K1575">
        <v>1.108611</v>
      </c>
      <c r="L1575">
        <v>281.5231</v>
      </c>
      <c r="M1575">
        <v>-0.99748680000000001</v>
      </c>
      <c r="N1575">
        <v>0</v>
      </c>
      <c r="O1575">
        <v>6.9803870000000004E-2</v>
      </c>
      <c r="P1575">
        <v>-0.9972512</v>
      </c>
      <c r="Q1575">
        <v>2.5906490000000001E-2</v>
      </c>
      <c r="R1575">
        <v>6.9418179999999996E-2</v>
      </c>
      <c r="S1575">
        <v>-3.0138090000000002</v>
      </c>
      <c r="T1575">
        <v>-0.234848</v>
      </c>
      <c r="U1575">
        <v>9.7351069999999998E-3</v>
      </c>
      <c r="V1575">
        <v>-2.5188929999999998E-4</v>
      </c>
      <c r="W1575">
        <v>3.8061780000000003E-2</v>
      </c>
      <c r="X1575">
        <v>0.99927529999999998</v>
      </c>
      <c r="Y1575">
        <v>-6.6174440000000001E-2</v>
      </c>
      <c r="Z1575">
        <v>-8.0024550000000003E-3</v>
      </c>
      <c r="AA1575">
        <v>0.997776</v>
      </c>
      <c r="AB1575">
        <v>28</v>
      </c>
      <c r="AC1575">
        <v>-13.966299999999899</v>
      </c>
      <c r="AD1575">
        <v>-1.1086111467587001</v>
      </c>
      <c r="AE1575">
        <v>2.6599999999973499E-2</v>
      </c>
      <c r="AF1575">
        <v>-0.94250010842944099</v>
      </c>
      <c r="AG1575">
        <v>-1.1086111467587001</v>
      </c>
      <c r="AH1575">
        <v>13.8468385245805</v>
      </c>
      <c r="AI1575">
        <v>94.566951609056503</v>
      </c>
      <c r="AJ1575">
        <v>93.893893435260196</v>
      </c>
      <c r="AK1575">
        <v>13.9230837911331</v>
      </c>
      <c r="AL1575">
        <v>87.818693630335105</v>
      </c>
      <c r="AM1575">
        <v>90.014442660084597</v>
      </c>
      <c r="AN1575">
        <v>0.99999994386753699</v>
      </c>
    </row>
    <row r="1576" spans="1:40" x14ac:dyDescent="0.25">
      <c r="A1576" t="str">
        <f>"20190312151256369"</f>
        <v>20190312151256369</v>
      </c>
      <c r="B1576" t="str">
        <f>"1552374776361335"</f>
        <v>1552374776361335</v>
      </c>
      <c r="C1576" t="s">
        <v>40</v>
      </c>
      <c r="D1576">
        <v>4.9603429999999999</v>
      </c>
      <c r="E1576">
        <v>0.47365600000000002</v>
      </c>
      <c r="F1576" t="s">
        <v>54</v>
      </c>
      <c r="G1576">
        <v>-232.68719999999999</v>
      </c>
      <c r="H1576" s="1">
        <v>2.7675270000000001E-8</v>
      </c>
      <c r="I1576">
        <v>281.5403</v>
      </c>
      <c r="J1576">
        <v>-218.65899999999999</v>
      </c>
      <c r="K1576">
        <v>1.1088260000000001</v>
      </c>
      <c r="L1576">
        <v>281.54309999999998</v>
      </c>
      <c r="M1576">
        <v>-0.99739990000000001</v>
      </c>
      <c r="N1576">
        <v>0</v>
      </c>
      <c r="O1576">
        <v>7.1034410000000006E-2</v>
      </c>
      <c r="P1576">
        <v>-0.99736089999999999</v>
      </c>
      <c r="Q1576">
        <v>2.6473779999999999E-2</v>
      </c>
      <c r="R1576">
        <v>6.7604709999999998E-2</v>
      </c>
      <c r="S1576">
        <v>-3.0140989999999999</v>
      </c>
      <c r="T1576">
        <v>-0.23377780000000001</v>
      </c>
      <c r="U1576">
        <v>3.6315919999999999E-3</v>
      </c>
      <c r="V1576">
        <v>-3.3189880000000001E-3</v>
      </c>
      <c r="W1576">
        <v>3.8627380000000003E-2</v>
      </c>
      <c r="X1576">
        <v>0.99924809999999997</v>
      </c>
      <c r="Y1576">
        <v>-6.9416220000000001E-2</v>
      </c>
      <c r="Z1576">
        <v>-8.1861E-3</v>
      </c>
      <c r="AA1576">
        <v>0.99755419999999995</v>
      </c>
      <c r="AB1576">
        <v>28</v>
      </c>
      <c r="AC1576">
        <v>-14.028199999999901</v>
      </c>
      <c r="AD1576">
        <v>-1.10882597232473</v>
      </c>
      <c r="AE1576">
        <v>-2.7999999999792601E-3</v>
      </c>
      <c r="AF1576">
        <v>-0.99314644142905795</v>
      </c>
      <c r="AG1576">
        <v>-1.10882597232473</v>
      </c>
      <c r="AH1576">
        <v>13.905679679974501</v>
      </c>
      <c r="AI1576">
        <v>94.547531261438195</v>
      </c>
      <c r="AJ1576">
        <v>94.085139638866195</v>
      </c>
      <c r="AK1576">
        <v>13.9851264653946</v>
      </c>
      <c r="AL1576">
        <v>87.786263249462607</v>
      </c>
      <c r="AM1576">
        <v>90.190306396725603</v>
      </c>
      <c r="AN1576">
        <v>0.999999927760306</v>
      </c>
    </row>
    <row r="1577" spans="1:40" x14ac:dyDescent="0.25">
      <c r="A1577" t="str">
        <f>"20190312151256391"</f>
        <v>20190312151256391</v>
      </c>
      <c r="B1577" t="str">
        <f>"1552374776380854"</f>
        <v>1552374776380854</v>
      </c>
      <c r="C1577" t="s">
        <v>40</v>
      </c>
      <c r="D1577">
        <v>4.9464180000000004</v>
      </c>
      <c r="E1577">
        <v>0.47360259999999998</v>
      </c>
      <c r="F1577" t="s">
        <v>54</v>
      </c>
      <c r="G1577">
        <v>-233.14320000000001</v>
      </c>
      <c r="H1577" s="1">
        <v>2.709524E-7</v>
      </c>
      <c r="I1577">
        <v>281.52640000000002</v>
      </c>
      <c r="J1577">
        <v>-218.9496</v>
      </c>
      <c r="K1577">
        <v>1.1090169999999999</v>
      </c>
      <c r="L1577">
        <v>281.5652</v>
      </c>
      <c r="M1577">
        <v>-0.99732169999999998</v>
      </c>
      <c r="N1577">
        <v>0</v>
      </c>
      <c r="O1577">
        <v>7.2126659999999995E-2</v>
      </c>
      <c r="P1577">
        <v>-0.99742759999999997</v>
      </c>
      <c r="Q1577">
        <v>2.7287209999999999E-2</v>
      </c>
      <c r="R1577">
        <v>6.6286849999999994E-2</v>
      </c>
      <c r="S1577">
        <v>-3.0142820000000001</v>
      </c>
      <c r="T1577">
        <v>-0.23075560000000001</v>
      </c>
      <c r="U1577">
        <v>-3.479004E-3</v>
      </c>
      <c r="V1577">
        <v>-5.7488349999999999E-3</v>
      </c>
      <c r="W1577">
        <v>3.9435480000000002E-2</v>
      </c>
      <c r="X1577">
        <v>0.99920560000000003</v>
      </c>
      <c r="Y1577">
        <v>-7.2859119999999999E-2</v>
      </c>
      <c r="Z1577">
        <v>-8.295139E-3</v>
      </c>
      <c r="AA1577">
        <v>0.99730770000000002</v>
      </c>
      <c r="AB1577">
        <v>28</v>
      </c>
      <c r="AC1577">
        <v>-14.1936</v>
      </c>
      <c r="AD1577">
        <v>-1.1090167290475901</v>
      </c>
      <c r="AE1577">
        <v>-3.87999999999806E-2</v>
      </c>
      <c r="AF1577">
        <v>-1.0560639296498799</v>
      </c>
      <c r="AG1577">
        <v>-1.1090167290475901</v>
      </c>
      <c r="AH1577">
        <v>14.067943106720699</v>
      </c>
      <c r="AI1577">
        <v>94.494875162752393</v>
      </c>
      <c r="AJ1577">
        <v>94.293074513629193</v>
      </c>
      <c r="AK1577">
        <v>14.151049868569601</v>
      </c>
      <c r="AL1577">
        <v>87.739927422071105</v>
      </c>
      <c r="AM1577">
        <v>90.329642216078497</v>
      </c>
      <c r="AN1577">
        <v>1.0000000186290201</v>
      </c>
    </row>
    <row r="1578" spans="1:40" x14ac:dyDescent="0.25">
      <c r="A1578" t="str">
        <f>"20190312151256413"</f>
        <v>20190312151256413</v>
      </c>
      <c r="B1578" t="str">
        <f>"1552374776401350"</f>
        <v>1552374776401350</v>
      </c>
      <c r="C1578" t="s">
        <v>40</v>
      </c>
      <c r="D1578">
        <v>4.9684010000000001</v>
      </c>
      <c r="E1578">
        <v>0.47351599999999999</v>
      </c>
      <c r="F1578" t="s">
        <v>54</v>
      </c>
      <c r="G1578">
        <v>-233.797</v>
      </c>
      <c r="H1578" s="1">
        <v>6.1890509999999999E-7</v>
      </c>
      <c r="I1578">
        <v>281.52460000000002</v>
      </c>
      <c r="J1578">
        <v>-219.2071</v>
      </c>
      <c r="K1578">
        <v>1.1091719999999901</v>
      </c>
      <c r="L1578">
        <v>281.5847</v>
      </c>
      <c r="M1578">
        <v>-0.99726720000000002</v>
      </c>
      <c r="N1578">
        <v>0</v>
      </c>
      <c r="O1578">
        <v>7.2877259999999999E-2</v>
      </c>
      <c r="P1578">
        <v>-0.99751970000000001</v>
      </c>
      <c r="Q1578">
        <v>2.775277E-2</v>
      </c>
      <c r="R1578">
        <v>6.4686759999999996E-2</v>
      </c>
      <c r="S1578">
        <v>-3.0144500000000001</v>
      </c>
      <c r="T1578">
        <v>-0.22516320000000001</v>
      </c>
      <c r="U1578">
        <v>-8.2397459999999992E-3</v>
      </c>
      <c r="V1578">
        <v>-8.1176200000000007E-3</v>
      </c>
      <c r="W1578">
        <v>3.9895739999999999E-2</v>
      </c>
      <c r="X1578">
        <v>0.99917089999999997</v>
      </c>
      <c r="Y1578">
        <v>-7.5196219999999994E-2</v>
      </c>
      <c r="Z1578">
        <v>-8.2373329999999995E-3</v>
      </c>
      <c r="AA1578">
        <v>0.99713470000000004</v>
      </c>
      <c r="AB1578">
        <v>28</v>
      </c>
      <c r="AC1578">
        <v>-14.5899</v>
      </c>
      <c r="AD1578">
        <v>-1.10917138109489</v>
      </c>
      <c r="AE1578">
        <v>-6.0099999999977102E-2</v>
      </c>
      <c r="AF1578">
        <v>-1.1168356022338299</v>
      </c>
      <c r="AG1578">
        <v>-1.10917138109489</v>
      </c>
      <c r="AH1578">
        <v>14.4631295852276</v>
      </c>
      <c r="AI1578">
        <v>94.372439589858999</v>
      </c>
      <c r="AJ1578">
        <v>94.415588729341493</v>
      </c>
      <c r="AK1578">
        <v>14.5485291460732</v>
      </c>
      <c r="AL1578">
        <v>87.713535715097706</v>
      </c>
      <c r="AM1578">
        <v>90.465481063327999</v>
      </c>
      <c r="AN1578">
        <v>1.0000000266157101</v>
      </c>
    </row>
    <row r="1579" spans="1:40" x14ac:dyDescent="0.25">
      <c r="A1579" t="str">
        <f>"20190312151256435"</f>
        <v>20190312151256435</v>
      </c>
      <c r="B1579" t="str">
        <f>"1552374776431606"</f>
        <v>1552374776431606</v>
      </c>
      <c r="C1579" t="s">
        <v>40</v>
      </c>
      <c r="D1579">
        <v>4.9899879999999897</v>
      </c>
      <c r="E1579">
        <v>0.47349910000000001</v>
      </c>
      <c r="F1579" t="s">
        <v>54</v>
      </c>
      <c r="G1579">
        <v>-234.0975</v>
      </c>
      <c r="H1579" s="1">
        <v>7.7927319999999998E-7</v>
      </c>
      <c r="I1579">
        <v>281.51409999999998</v>
      </c>
      <c r="J1579">
        <v>-219.4803</v>
      </c>
      <c r="K1579">
        <v>1.109335</v>
      </c>
      <c r="L1579">
        <v>281.60539999999997</v>
      </c>
      <c r="M1579">
        <v>-0.99722569999999999</v>
      </c>
      <c r="N1579">
        <v>0</v>
      </c>
      <c r="O1579">
        <v>7.3442080000000007E-2</v>
      </c>
      <c r="P1579">
        <v>-0.99766049999999995</v>
      </c>
      <c r="Q1579">
        <v>2.7671299999999999E-2</v>
      </c>
      <c r="R1579">
        <v>6.2512349999999994E-2</v>
      </c>
      <c r="S1579">
        <v>-3.0146639999999998</v>
      </c>
      <c r="T1579">
        <v>-0.2245595</v>
      </c>
      <c r="U1579">
        <v>-1.428223E-2</v>
      </c>
      <c r="V1579">
        <v>-1.08786E-2</v>
      </c>
      <c r="W1579">
        <v>3.9808070000000001E-2</v>
      </c>
      <c r="X1579">
        <v>0.99914809999999998</v>
      </c>
      <c r="Y1579">
        <v>-7.7752749999999995E-2</v>
      </c>
      <c r="Z1579">
        <v>-8.3518180000000004E-3</v>
      </c>
      <c r="AA1579">
        <v>0.99693770000000004</v>
      </c>
      <c r="AB1579">
        <v>28</v>
      </c>
      <c r="AC1579">
        <v>-14.617199999999899</v>
      </c>
      <c r="AD1579">
        <v>-1.1093342207268</v>
      </c>
      <c r="AE1579">
        <v>-9.1299999999989695E-2</v>
      </c>
      <c r="AF1579">
        <v>-1.15798067016471</v>
      </c>
      <c r="AG1579">
        <v>-1.1093342207268</v>
      </c>
      <c r="AH1579">
        <v>14.4875742760841</v>
      </c>
      <c r="AI1579">
        <v>94.364808780472998</v>
      </c>
      <c r="AJ1579">
        <v>94.569892254633402</v>
      </c>
      <c r="AK1579">
        <v>14.576053994507699</v>
      </c>
      <c r="AL1579">
        <v>87.718562714095</v>
      </c>
      <c r="AM1579">
        <v>90.623804658163294</v>
      </c>
      <c r="AN1579">
        <v>0.99999997605434698</v>
      </c>
    </row>
    <row r="1580" spans="1:40" x14ac:dyDescent="0.25">
      <c r="A1580" t="str">
        <f>"20190312151256458"</f>
        <v>20190312151256458</v>
      </c>
      <c r="B1580" t="str">
        <f>"1552374776451127"</f>
        <v>1552374776451127</v>
      </c>
      <c r="C1580" t="s">
        <v>40</v>
      </c>
      <c r="D1580">
        <v>4.9901559999999998</v>
      </c>
      <c r="E1580">
        <v>0.47350520000000001</v>
      </c>
      <c r="F1580" t="s">
        <v>54</v>
      </c>
      <c r="G1580">
        <v>-234.10300000000001</v>
      </c>
      <c r="H1580" s="1">
        <v>7.827046E-7</v>
      </c>
      <c r="I1580">
        <v>281.50369999999998</v>
      </c>
      <c r="J1580">
        <v>-219.7646</v>
      </c>
      <c r="K1580">
        <v>1.1095200000000001</v>
      </c>
      <c r="L1580">
        <v>281.62689999999998</v>
      </c>
      <c r="M1580">
        <v>-0.99719939999999996</v>
      </c>
      <c r="N1580">
        <v>0</v>
      </c>
      <c r="O1580">
        <v>7.3799390000000006E-2</v>
      </c>
      <c r="P1580">
        <v>-0.99779019999999996</v>
      </c>
      <c r="Q1580">
        <v>2.808807E-2</v>
      </c>
      <c r="R1580">
        <v>6.0214749999999997E-2</v>
      </c>
      <c r="S1580">
        <v>-3.0146790000000001</v>
      </c>
      <c r="T1580">
        <v>-0.2287042</v>
      </c>
      <c r="U1580">
        <v>-2.0965580000000001E-2</v>
      </c>
      <c r="V1580">
        <v>-1.355493E-2</v>
      </c>
      <c r="W1580">
        <v>4.0216870000000002E-2</v>
      </c>
      <c r="X1580">
        <v>0.99909899999999996</v>
      </c>
      <c r="Y1580">
        <v>-8.0295850000000002E-2</v>
      </c>
      <c r="Z1580">
        <v>-8.628887E-3</v>
      </c>
      <c r="AA1580">
        <v>0.99673369999999994</v>
      </c>
      <c r="AB1580">
        <v>28</v>
      </c>
      <c r="AC1580">
        <v>-14.338399999999901</v>
      </c>
      <c r="AD1580">
        <v>-1.10951921729539</v>
      </c>
      <c r="AE1580">
        <v>-0.12319999999999701</v>
      </c>
      <c r="AF1580">
        <v>-1.1740773209565001</v>
      </c>
      <c r="AG1580">
        <v>-1.10951921729539</v>
      </c>
      <c r="AH1580">
        <v>14.2051506926125</v>
      </c>
      <c r="AI1580">
        <v>94.451008165148906</v>
      </c>
      <c r="AJ1580">
        <v>94.724843992694105</v>
      </c>
      <c r="AK1580">
        <v>14.296705797104501</v>
      </c>
      <c r="AL1580">
        <v>87.695121417760106</v>
      </c>
      <c r="AM1580">
        <v>90.777292975372902</v>
      </c>
      <c r="AN1580">
        <v>0.99999997228045001</v>
      </c>
    </row>
    <row r="1581" spans="1:40" x14ac:dyDescent="0.25">
      <c r="A1581" t="str">
        <f>"20190312151256481"</f>
        <v>20190312151256481</v>
      </c>
      <c r="B1581" t="str">
        <f>"1552374776471623"</f>
        <v>1552374776471623</v>
      </c>
      <c r="C1581" t="s">
        <v>40</v>
      </c>
      <c r="D1581">
        <v>4.9648059999999896</v>
      </c>
      <c r="E1581">
        <v>0.4734968</v>
      </c>
      <c r="F1581" t="s">
        <v>54</v>
      </c>
      <c r="G1581">
        <v>-234.33459999999999</v>
      </c>
      <c r="H1581" s="1">
        <v>9.0655149999999996E-7</v>
      </c>
      <c r="I1581">
        <v>281.48989999999998</v>
      </c>
      <c r="J1581">
        <v>-220.04730000000001</v>
      </c>
      <c r="K1581">
        <v>1.109704</v>
      </c>
      <c r="L1581">
        <v>281.6481</v>
      </c>
      <c r="M1581">
        <v>-0.99718859999999998</v>
      </c>
      <c r="N1581">
        <v>0</v>
      </c>
      <c r="O1581">
        <v>7.3946650000000003E-2</v>
      </c>
      <c r="P1581">
        <v>-0.9978899</v>
      </c>
      <c r="Q1581">
        <v>2.8902879999999999E-2</v>
      </c>
      <c r="R1581">
        <v>5.814101E-2</v>
      </c>
      <c r="S1581">
        <v>-3.0148160000000002</v>
      </c>
      <c r="T1581">
        <v>-0.2295806</v>
      </c>
      <c r="U1581">
        <v>-2.835083E-2</v>
      </c>
      <c r="V1581">
        <v>-1.579492E-2</v>
      </c>
      <c r="W1581">
        <v>4.1022049999999997E-2</v>
      </c>
      <c r="X1581">
        <v>0.99903339999999996</v>
      </c>
      <c r="Y1581">
        <v>-8.2872689999999999E-2</v>
      </c>
      <c r="Z1581">
        <v>-8.7706520000000003E-3</v>
      </c>
      <c r="AA1581">
        <v>0.99652149999999995</v>
      </c>
      <c r="AB1581">
        <v>28</v>
      </c>
      <c r="AC1581">
        <v>-14.287299999999901</v>
      </c>
      <c r="AD1581">
        <v>-1.1097030934484999</v>
      </c>
      <c r="AE1581">
        <v>-0.15820000000002199</v>
      </c>
      <c r="AF1581">
        <v>-1.2070613662001899</v>
      </c>
      <c r="AG1581">
        <v>-1.1097030934484999</v>
      </c>
      <c r="AH1581">
        <v>14.1511199445104</v>
      </c>
      <c r="AI1581">
        <v>94.467689418938704</v>
      </c>
      <c r="AJ1581">
        <v>94.875410690526294</v>
      </c>
      <c r="AK1581">
        <v>14.2457935469142</v>
      </c>
      <c r="AL1581">
        <v>87.648949985170006</v>
      </c>
      <c r="AM1581">
        <v>90.9057823904392</v>
      </c>
      <c r="AN1581">
        <v>1.00000001119978</v>
      </c>
    </row>
    <row r="1582" spans="1:40" x14ac:dyDescent="0.25">
      <c r="A1582" t="str">
        <f>"20190312151256504"</f>
        <v>20190312151256504</v>
      </c>
      <c r="B1582" t="str">
        <f>"1552374776501879"</f>
        <v>1552374776501879</v>
      </c>
      <c r="C1582" t="s">
        <v>40</v>
      </c>
      <c r="D1582">
        <v>4.942024</v>
      </c>
      <c r="E1582">
        <v>0.46151360000000002</v>
      </c>
      <c r="F1582" t="s">
        <v>54</v>
      </c>
      <c r="G1582">
        <v>-234.68440000000001</v>
      </c>
      <c r="H1582" s="1">
        <v>1.0931660000000001E-6</v>
      </c>
      <c r="I1582">
        <v>281.47910000000002</v>
      </c>
      <c r="J1582">
        <v>-220.32740000000001</v>
      </c>
      <c r="K1582">
        <v>1.1098859999999999</v>
      </c>
      <c r="L1582">
        <v>281.66899999999998</v>
      </c>
      <c r="M1582">
        <v>-0.99719360000000001</v>
      </c>
      <c r="N1582">
        <v>0</v>
      </c>
      <c r="O1582">
        <v>7.3879929999999996E-2</v>
      </c>
      <c r="P1582">
        <v>-0.99793759999999998</v>
      </c>
      <c r="Q1582">
        <v>3.0480920000000002E-2</v>
      </c>
      <c r="R1582">
        <v>5.6495030000000002E-2</v>
      </c>
      <c r="S1582">
        <v>-3.0149840000000001</v>
      </c>
      <c r="T1582">
        <v>-0.22857820000000001</v>
      </c>
      <c r="U1582">
        <v>-3.482056E-2</v>
      </c>
      <c r="V1582">
        <v>-1.7390099999999999E-2</v>
      </c>
      <c r="W1582">
        <v>4.2589009999999997E-2</v>
      </c>
      <c r="X1582">
        <v>0.99894130000000003</v>
      </c>
      <c r="Y1582">
        <v>-8.4941719999999998E-2</v>
      </c>
      <c r="Z1582">
        <v>-8.8052689999999992E-3</v>
      </c>
      <c r="AA1582">
        <v>0.99634699999999998</v>
      </c>
      <c r="AB1582">
        <v>28</v>
      </c>
      <c r="AC1582">
        <v>-14.356999999999999</v>
      </c>
      <c r="AD1582">
        <v>-1.109884906834</v>
      </c>
      <c r="AE1582">
        <v>-0.189900000000022</v>
      </c>
      <c r="AF1582">
        <v>-1.2427273635401599</v>
      </c>
      <c r="AG1582">
        <v>-1.109884906834</v>
      </c>
      <c r="AH1582">
        <v>14.2187677959369</v>
      </c>
      <c r="AI1582">
        <v>94.446446623668507</v>
      </c>
      <c r="AJ1582">
        <v>94.994986729953993</v>
      </c>
      <c r="AK1582">
        <v>14.3160599831547</v>
      </c>
      <c r="AL1582">
        <v>87.559091148778194</v>
      </c>
      <c r="AM1582">
        <v>90.997334578505701</v>
      </c>
      <c r="AN1582">
        <v>0.99999998009823898</v>
      </c>
    </row>
    <row r="1583" spans="1:40" x14ac:dyDescent="0.25">
      <c r="A1583" t="str">
        <f>"20190312151256527"</f>
        <v>20190312151256527</v>
      </c>
      <c r="B1583" t="str">
        <f>"1552374776521398"</f>
        <v>1552374776521398</v>
      </c>
      <c r="C1583" t="s">
        <v>40</v>
      </c>
      <c r="D1583">
        <v>4.9009580000000001</v>
      </c>
      <c r="E1583">
        <v>0.4618063</v>
      </c>
      <c r="F1583" t="s">
        <v>54</v>
      </c>
      <c r="G1583">
        <v>-233.62819999999999</v>
      </c>
      <c r="H1583" s="1">
        <v>5.4876410000000005E-7</v>
      </c>
      <c r="I1583">
        <v>281.07420000000002</v>
      </c>
      <c r="J1583">
        <v>-220.59829999999999</v>
      </c>
      <c r="K1583">
        <v>1.1100509999999999</v>
      </c>
      <c r="L1583">
        <v>281.68880000000001</v>
      </c>
      <c r="M1583">
        <v>-0.99721439999999995</v>
      </c>
      <c r="N1583">
        <v>0</v>
      </c>
      <c r="O1583">
        <v>7.3597839999999998E-2</v>
      </c>
      <c r="P1583">
        <v>-0.99802329999999995</v>
      </c>
      <c r="Q1583">
        <v>3.1530049999999997E-2</v>
      </c>
      <c r="R1583">
        <v>5.4363080000000001E-2</v>
      </c>
      <c r="S1583">
        <v>-3.0215450000000001</v>
      </c>
      <c r="T1583">
        <v>-0.2521333</v>
      </c>
      <c r="U1583">
        <v>-0.13510129999999901</v>
      </c>
      <c r="V1583">
        <v>-1.92569E-2</v>
      </c>
      <c r="W1583">
        <v>4.3627539999999999E-2</v>
      </c>
      <c r="X1583">
        <v>0.99886229999999998</v>
      </c>
      <c r="Y1583">
        <v>-0.1174139</v>
      </c>
      <c r="Z1583">
        <v>-1.1014360000000001E-2</v>
      </c>
      <c r="AA1583">
        <v>0.99302199999999996</v>
      </c>
      <c r="AB1583">
        <v>28</v>
      </c>
      <c r="AC1583">
        <v>-13.0298999999999</v>
      </c>
      <c r="AD1583">
        <v>-1.1100504512359</v>
      </c>
      <c r="AE1583">
        <v>-0.61459999999999504</v>
      </c>
      <c r="AF1583">
        <v>-1.5606739821340601</v>
      </c>
      <c r="AG1583">
        <v>-1.1100504512359</v>
      </c>
      <c r="AH1583">
        <v>12.856220809585899</v>
      </c>
      <c r="AI1583">
        <v>94.899087050675405</v>
      </c>
      <c r="AJ1583">
        <v>96.921522862331301</v>
      </c>
      <c r="AK1583">
        <v>12.9980894283594</v>
      </c>
      <c r="AL1583">
        <v>87.499532549442094</v>
      </c>
      <c r="AM1583">
        <v>91.104458976018407</v>
      </c>
      <c r="AN1583">
        <v>1.00000004240267</v>
      </c>
    </row>
    <row r="1584" spans="1:40" x14ac:dyDescent="0.25">
      <c r="A1584" t="str">
        <f>"20190312151256547"</f>
        <v>20190312151256547</v>
      </c>
      <c r="B1584" t="str">
        <f>"1552374776541895"</f>
        <v>1552374776541895</v>
      </c>
      <c r="C1584" t="s">
        <v>40</v>
      </c>
      <c r="D1584">
        <v>4.963762</v>
      </c>
      <c r="E1584">
        <v>0.46217009999999997</v>
      </c>
      <c r="F1584" t="s">
        <v>54</v>
      </c>
      <c r="G1584">
        <v>-234.131</v>
      </c>
      <c r="H1584" s="1">
        <v>8.1679360000000003E-7</v>
      </c>
      <c r="I1584">
        <v>281.06470000000002</v>
      </c>
      <c r="J1584">
        <v>-220.86109999999999</v>
      </c>
      <c r="K1584">
        <v>1.1102099999999999</v>
      </c>
      <c r="L1584">
        <v>281.70780000000002</v>
      </c>
      <c r="M1584">
        <v>-0.99724959999999996</v>
      </c>
      <c r="N1584">
        <v>0</v>
      </c>
      <c r="O1584">
        <v>7.3121909999999998E-2</v>
      </c>
      <c r="P1584">
        <v>-0.99808300000000005</v>
      </c>
      <c r="Q1584">
        <v>3.2495570000000001E-2</v>
      </c>
      <c r="R1584">
        <v>5.2676639999999997E-2</v>
      </c>
      <c r="S1584">
        <v>-3.0213320000000001</v>
      </c>
      <c r="T1584">
        <v>-0.24783040000000001</v>
      </c>
      <c r="U1584">
        <v>-0.1393433</v>
      </c>
      <c r="V1584">
        <v>-2.0482960000000001E-2</v>
      </c>
      <c r="W1584">
        <v>4.458268E-2</v>
      </c>
      <c r="X1584">
        <v>0.99879569999999995</v>
      </c>
      <c r="Y1584">
        <v>-0.11835519999999999</v>
      </c>
      <c r="Z1584">
        <v>-1.0827140000000001E-2</v>
      </c>
      <c r="AA1584">
        <v>0.99291229999999997</v>
      </c>
      <c r="AB1584">
        <v>28</v>
      </c>
      <c r="AC1584">
        <v>-13.2698999999999</v>
      </c>
      <c r="AD1584">
        <v>-1.1102091832063901</v>
      </c>
      <c r="AE1584">
        <v>-0.643100000000004</v>
      </c>
      <c r="AF1584">
        <v>-1.60059237130487</v>
      </c>
      <c r="AG1584">
        <v>-1.1102091832063901</v>
      </c>
      <c r="AH1584">
        <v>13.095891808838299</v>
      </c>
      <c r="AI1584">
        <v>94.810061845823697</v>
      </c>
      <c r="AJ1584">
        <v>96.968185064953502</v>
      </c>
      <c r="AK1584">
        <v>13.239971398698501</v>
      </c>
      <c r="AL1584">
        <v>87.444753667124004</v>
      </c>
      <c r="AM1584">
        <v>91.1748375354411</v>
      </c>
      <c r="AN1584">
        <v>1.0000000086724099</v>
      </c>
    </row>
    <row r="1585" spans="1:40" x14ac:dyDescent="0.25">
      <c r="A1585" t="str">
        <f>"20190312151256570"</f>
        <v>20190312151256570</v>
      </c>
      <c r="B1585" t="str">
        <f>"1552374776561415"</f>
        <v>1552374776561415</v>
      </c>
      <c r="C1585" t="s">
        <v>40</v>
      </c>
      <c r="D1585">
        <v>4.9714549999999997</v>
      </c>
      <c r="E1585">
        <v>0.46267429999999898</v>
      </c>
      <c r="F1585" t="s">
        <v>54</v>
      </c>
      <c r="G1585">
        <v>-234.4015</v>
      </c>
      <c r="H1585" s="1">
        <v>9.6042700000000005E-7</v>
      </c>
      <c r="I1585">
        <v>281.0718</v>
      </c>
      <c r="J1585">
        <v>-221.1336</v>
      </c>
      <c r="K1585">
        <v>1.110349</v>
      </c>
      <c r="L1585">
        <v>281.72710000000001</v>
      </c>
      <c r="M1585">
        <v>-0.99729690000000004</v>
      </c>
      <c r="N1585">
        <v>0</v>
      </c>
      <c r="O1585">
        <v>7.2472320000000007E-2</v>
      </c>
      <c r="P1585">
        <v>-0.99814179999999997</v>
      </c>
      <c r="Q1585">
        <v>3.362221E-2</v>
      </c>
      <c r="R1585">
        <v>5.0819929999999999E-2</v>
      </c>
      <c r="S1585">
        <v>-3.0213320000000001</v>
      </c>
      <c r="T1585">
        <v>-0.24772620000000001</v>
      </c>
      <c r="U1585">
        <v>-0.1419067</v>
      </c>
      <c r="V1585">
        <v>-2.1703940000000001E-2</v>
      </c>
      <c r="W1585">
        <v>4.5699240000000002E-2</v>
      </c>
      <c r="X1585">
        <v>0.99871949999999998</v>
      </c>
      <c r="Y1585">
        <v>-0.11855110000000001</v>
      </c>
      <c r="Z1585">
        <v>-1.077736E-2</v>
      </c>
      <c r="AA1585">
        <v>0.99288949999999998</v>
      </c>
      <c r="AB1585">
        <v>28</v>
      </c>
      <c r="AC1585">
        <v>-13.2678999999999</v>
      </c>
      <c r="AD1585">
        <v>-1.1103480395730001</v>
      </c>
      <c r="AE1585">
        <v>-0.65530000000001098</v>
      </c>
      <c r="AF1585">
        <v>-1.60399637685144</v>
      </c>
      <c r="AG1585">
        <v>-1.1103480395730001</v>
      </c>
      <c r="AH1585">
        <v>13.0940307059088</v>
      </c>
      <c r="AI1585">
        <v>94.811181068775497</v>
      </c>
      <c r="AJ1585">
        <v>96.9838409593943</v>
      </c>
      <c r="AK1585">
        <v>13.2385541987491</v>
      </c>
      <c r="AL1585">
        <v>87.380714344826202</v>
      </c>
      <c r="AM1585">
        <v>91.244942602509795</v>
      </c>
      <c r="AN1585">
        <v>1.0000000606141699</v>
      </c>
    </row>
    <row r="1586" spans="1:40" x14ac:dyDescent="0.25">
      <c r="A1586" t="str">
        <f>"20190312151256592"</f>
        <v>20190312151256592</v>
      </c>
      <c r="B1586" t="str">
        <f>"1552374776581913"</f>
        <v>1552374776581913</v>
      </c>
      <c r="C1586" t="s">
        <v>40</v>
      </c>
      <c r="D1586">
        <v>4.9313099999999999</v>
      </c>
      <c r="E1586">
        <v>0.46319719999999998</v>
      </c>
      <c r="F1586" t="s">
        <v>54</v>
      </c>
      <c r="G1586">
        <v>-234.80529999999999</v>
      </c>
      <c r="H1586" s="1">
        <v>1.1750279999999999E-6</v>
      </c>
      <c r="I1586">
        <v>281.07780000000002</v>
      </c>
      <c r="J1586">
        <v>-221.41409999999999</v>
      </c>
      <c r="K1586">
        <v>1.110471</v>
      </c>
      <c r="L1586">
        <v>281.7466</v>
      </c>
      <c r="M1586">
        <v>-0.99735569999999896</v>
      </c>
      <c r="N1586">
        <v>0</v>
      </c>
      <c r="O1586">
        <v>7.1660299999999996E-2</v>
      </c>
      <c r="P1586">
        <v>-0.99817789999999995</v>
      </c>
      <c r="Q1586">
        <v>3.487842E-2</v>
      </c>
      <c r="R1586">
        <v>4.9242010000000003E-2</v>
      </c>
      <c r="S1586">
        <v>-3.0211640000000002</v>
      </c>
      <c r="T1586">
        <v>-0.24536359999999999</v>
      </c>
      <c r="U1586">
        <v>-0.1434937</v>
      </c>
      <c r="V1586">
        <v>-2.2481250000000001E-2</v>
      </c>
      <c r="W1586">
        <v>4.6946729999999999E-2</v>
      </c>
      <c r="X1586">
        <v>0.99864439999999999</v>
      </c>
      <c r="Y1586">
        <v>-0.11828130000000001</v>
      </c>
      <c r="Z1586">
        <v>-1.0598730000000001E-2</v>
      </c>
      <c r="AA1586">
        <v>0.99292360000000002</v>
      </c>
      <c r="AB1586">
        <v>28</v>
      </c>
      <c r="AC1586">
        <v>-13.3911999999999</v>
      </c>
      <c r="AD1586">
        <v>-1.110469824972</v>
      </c>
      <c r="AE1586">
        <v>-0.66879999999997597</v>
      </c>
      <c r="AF1586">
        <v>-1.6156851963389101</v>
      </c>
      <c r="AG1586">
        <v>-1.110469824972</v>
      </c>
      <c r="AH1586">
        <v>13.2181674936849</v>
      </c>
      <c r="AI1586">
        <v>94.766879185835805</v>
      </c>
      <c r="AJ1586">
        <v>96.968817891014695</v>
      </c>
      <c r="AK1586">
        <v>13.362766696195401</v>
      </c>
      <c r="AL1586">
        <v>87.309161511930498</v>
      </c>
      <c r="AM1586">
        <v>91.289611415515196</v>
      </c>
      <c r="AN1586">
        <v>1.0000000198553001</v>
      </c>
    </row>
    <row r="1587" spans="1:40" x14ac:dyDescent="0.25">
      <c r="A1587" t="str">
        <f>"20190312151256615"</f>
        <v>20190312151256615</v>
      </c>
      <c r="B1587" t="str">
        <f>"1552374776611190"</f>
        <v>1552374776611190</v>
      </c>
      <c r="C1587" t="s">
        <v>40</v>
      </c>
      <c r="D1587">
        <v>5.0996169999999896</v>
      </c>
      <c r="E1587">
        <v>0.46781</v>
      </c>
      <c r="F1587" t="s">
        <v>54</v>
      </c>
      <c r="G1587">
        <v>-235.1388</v>
      </c>
      <c r="H1587" s="1">
        <v>1.3518900000000001E-6</v>
      </c>
      <c r="I1587">
        <v>281.09129999999999</v>
      </c>
      <c r="J1587">
        <v>-221.6782</v>
      </c>
      <c r="K1587">
        <v>1.110571</v>
      </c>
      <c r="L1587">
        <v>281.76459999999997</v>
      </c>
      <c r="M1587">
        <v>-0.99741860000000004</v>
      </c>
      <c r="N1587">
        <v>0</v>
      </c>
      <c r="O1587">
        <v>7.0776759999999994E-2</v>
      </c>
      <c r="P1587">
        <v>-0.99823729999999999</v>
      </c>
      <c r="Q1587">
        <v>3.5667560000000001E-2</v>
      </c>
      <c r="R1587">
        <v>4.7434589999999999E-2</v>
      </c>
      <c r="S1587">
        <v>-3.021118</v>
      </c>
      <c r="T1587">
        <v>-0.2444404</v>
      </c>
      <c r="U1587">
        <v>-0.14425660000000001</v>
      </c>
      <c r="V1587">
        <v>-2.3415620000000002E-2</v>
      </c>
      <c r="W1587">
        <v>4.7727390000000001E-2</v>
      </c>
      <c r="X1587">
        <v>0.99858590000000003</v>
      </c>
      <c r="Y1587">
        <v>-0.11766219999999999</v>
      </c>
      <c r="Z1587">
        <v>-1.0462849999999999E-2</v>
      </c>
      <c r="AA1587">
        <v>0.99299850000000001</v>
      </c>
      <c r="AB1587">
        <v>28</v>
      </c>
      <c r="AC1587">
        <v>-13.460599999999999</v>
      </c>
      <c r="AD1587">
        <v>-1.11056964811</v>
      </c>
      <c r="AE1587">
        <v>-0.67329999999998302</v>
      </c>
      <c r="AF1587">
        <v>-1.61342348132213</v>
      </c>
      <c r="AG1587">
        <v>-1.11056964811</v>
      </c>
      <c r="AH1587">
        <v>13.2889472336603</v>
      </c>
      <c r="AI1587">
        <v>94.742495506020902</v>
      </c>
      <c r="AJ1587">
        <v>96.922452986130807</v>
      </c>
      <c r="AK1587">
        <v>13.432520941818501</v>
      </c>
      <c r="AL1587">
        <v>87.264382728665396</v>
      </c>
      <c r="AM1587">
        <v>91.343269905989004</v>
      </c>
      <c r="AN1587">
        <v>0.999999997347503</v>
      </c>
    </row>
    <row r="1588" spans="1:40" x14ac:dyDescent="0.25">
      <c r="A1588" t="str">
        <f>"20190312151256638"</f>
        <v>20190312151256638</v>
      </c>
      <c r="B1588" t="str">
        <f>"1552374776631686"</f>
        <v>1552374776631686</v>
      </c>
      <c r="C1588" t="s">
        <v>40</v>
      </c>
      <c r="D1588">
        <v>5.240761</v>
      </c>
      <c r="E1588">
        <v>0.46744469999999999</v>
      </c>
      <c r="F1588" t="s">
        <v>54</v>
      </c>
      <c r="G1588">
        <v>-240.4162</v>
      </c>
      <c r="H1588" s="1">
        <v>-1.3152929999999999E-6</v>
      </c>
      <c r="I1588">
        <v>281.0634</v>
      </c>
      <c r="J1588">
        <v>-221.97309999999999</v>
      </c>
      <c r="K1588">
        <v>1.1106670000000001</v>
      </c>
      <c r="L1588">
        <v>281.78440000000001</v>
      </c>
      <c r="M1588">
        <v>-0.99749679999999996</v>
      </c>
      <c r="N1588">
        <v>0</v>
      </c>
      <c r="O1588">
        <v>6.9666290000000006E-2</v>
      </c>
      <c r="P1588">
        <v>-0.99829800000000002</v>
      </c>
      <c r="Q1588">
        <v>3.641995E-2</v>
      </c>
      <c r="R1588">
        <v>4.5551929999999997E-2</v>
      </c>
      <c r="S1588">
        <v>-3.0170439999999998</v>
      </c>
      <c r="T1588">
        <v>-0.1788149</v>
      </c>
      <c r="U1588">
        <v>-0.112915</v>
      </c>
      <c r="V1588">
        <v>-2.4197550000000002E-2</v>
      </c>
      <c r="W1588">
        <v>4.847183E-2</v>
      </c>
      <c r="X1588">
        <v>0.99853139999999996</v>
      </c>
      <c r="Y1588">
        <v>-0.1066223</v>
      </c>
      <c r="Z1588">
        <v>-7.2788619999999997E-3</v>
      </c>
      <c r="AA1588">
        <v>0.99427290000000002</v>
      </c>
      <c r="AB1588">
        <v>28</v>
      </c>
      <c r="AC1588">
        <v>-18.443100000000001</v>
      </c>
      <c r="AD1588">
        <v>-1.1106683152929999</v>
      </c>
      <c r="AE1588">
        <v>-0.72100000000000297</v>
      </c>
      <c r="AF1588">
        <v>-1.9969734082253301</v>
      </c>
      <c r="AG1588">
        <v>-1.1106683152929999</v>
      </c>
      <c r="AH1588">
        <v>18.2818501225318</v>
      </c>
      <c r="AI1588">
        <v>93.456082363511598</v>
      </c>
      <c r="AJ1588">
        <v>96.233849854846994</v>
      </c>
      <c r="AK1588">
        <v>18.4241018994814</v>
      </c>
      <c r="AL1588">
        <v>87.2216800334905</v>
      </c>
      <c r="AM1588">
        <v>91.388184884541104</v>
      </c>
      <c r="AN1588">
        <v>0.99999999825775499</v>
      </c>
    </row>
    <row r="1589" spans="1:40" x14ac:dyDescent="0.25">
      <c r="A1589" t="str">
        <f>"20190312151256659"</f>
        <v>20190312151256659</v>
      </c>
      <c r="B1589" t="str">
        <f>"1552374776651207"</f>
        <v>1552374776651207</v>
      </c>
      <c r="C1589" t="s">
        <v>40</v>
      </c>
      <c r="D1589">
        <v>5.0025690000000003</v>
      </c>
      <c r="E1589">
        <v>0.46736220000000001</v>
      </c>
      <c r="F1589" t="s">
        <v>54</v>
      </c>
      <c r="G1589">
        <v>-240.30510000000001</v>
      </c>
      <c r="H1589" s="1">
        <v>-1.374403E-6</v>
      </c>
      <c r="I1589">
        <v>281.04629999999997</v>
      </c>
      <c r="J1589">
        <v>-222.23150000000001</v>
      </c>
      <c r="K1589">
        <v>1.1107450000000001</v>
      </c>
      <c r="L1589">
        <v>281.80130000000003</v>
      </c>
      <c r="M1589">
        <v>-0.99757090000000004</v>
      </c>
      <c r="N1589">
        <v>0</v>
      </c>
      <c r="O1589">
        <v>6.8598870000000006E-2</v>
      </c>
      <c r="P1589">
        <v>-0.99834140000000005</v>
      </c>
      <c r="Q1589">
        <v>3.7755329999999997E-2</v>
      </c>
      <c r="R1589">
        <v>4.3463599999999998E-2</v>
      </c>
      <c r="S1589">
        <v>-3.0173190000000001</v>
      </c>
      <c r="T1589">
        <v>-0.1828072</v>
      </c>
      <c r="U1589">
        <v>-0.1214905</v>
      </c>
      <c r="V1589">
        <v>-2.5226249999999999E-2</v>
      </c>
      <c r="W1589">
        <v>4.9799160000000002E-2</v>
      </c>
      <c r="X1589">
        <v>0.99844060000000001</v>
      </c>
      <c r="Y1589">
        <v>-0.10836129999999999</v>
      </c>
      <c r="Z1589">
        <v>-7.428189E-3</v>
      </c>
      <c r="AA1589">
        <v>0.99408379999999996</v>
      </c>
      <c r="AB1589">
        <v>28</v>
      </c>
      <c r="AC1589">
        <v>-18.073599999999999</v>
      </c>
      <c r="AD1589">
        <v>-1.1107463744029999</v>
      </c>
      <c r="AE1589">
        <v>-0.75500000000005196</v>
      </c>
      <c r="AF1589">
        <v>-1.985653925734</v>
      </c>
      <c r="AG1589">
        <v>-1.1107463744029999</v>
      </c>
      <c r="AH1589">
        <v>17.911688662708499</v>
      </c>
      <c r="AI1589">
        <v>93.526952439600606</v>
      </c>
      <c r="AJ1589">
        <v>96.325865828822899</v>
      </c>
      <c r="AK1589">
        <v>18.0556132482625</v>
      </c>
      <c r="AL1589">
        <v>87.145537586058197</v>
      </c>
      <c r="AM1589">
        <v>91.447307156982703</v>
      </c>
      <c r="AN1589">
        <v>0.99999997587706302</v>
      </c>
    </row>
    <row r="1590" spans="1:40" x14ac:dyDescent="0.25">
      <c r="A1590" t="str">
        <f>"20190312151256681"</f>
        <v>20190312151256681</v>
      </c>
      <c r="B1590" t="str">
        <f>"1552374776671702"</f>
        <v>1552374776671702</v>
      </c>
      <c r="C1590" t="s">
        <v>40</v>
      </c>
      <c r="D1590">
        <v>5.1532280000000004</v>
      </c>
      <c r="E1590">
        <v>0.46796379999999999</v>
      </c>
      <c r="F1590" t="s">
        <v>54</v>
      </c>
      <c r="G1590">
        <v>-240.96180000000001</v>
      </c>
      <c r="H1590" s="1">
        <v>-1.024972E-6</v>
      </c>
      <c r="I1590">
        <v>281.00310000000002</v>
      </c>
      <c r="J1590">
        <v>-222.50630000000001</v>
      </c>
      <c r="K1590">
        <v>1.110816</v>
      </c>
      <c r="L1590">
        <v>281.81889999999999</v>
      </c>
      <c r="M1590">
        <v>-0.99765389999999998</v>
      </c>
      <c r="N1590">
        <v>0</v>
      </c>
      <c r="O1590">
        <v>6.7380510000000005E-2</v>
      </c>
      <c r="P1590">
        <v>-0.99837480000000001</v>
      </c>
      <c r="Q1590">
        <v>3.8899259999999998E-2</v>
      </c>
      <c r="R1590">
        <v>4.1648640000000001E-2</v>
      </c>
      <c r="S1590">
        <v>-3.0173800000000002</v>
      </c>
      <c r="T1590">
        <v>-0.1789367</v>
      </c>
      <c r="U1590">
        <v>-0.1286011</v>
      </c>
      <c r="V1590">
        <v>-2.5830349999999998E-2</v>
      </c>
      <c r="W1590">
        <v>5.0939739999999997E-2</v>
      </c>
      <c r="X1590">
        <v>0.99836760000000002</v>
      </c>
      <c r="Y1590">
        <v>-0.1094987</v>
      </c>
      <c r="Z1590">
        <v>-7.2323689999999998E-3</v>
      </c>
      <c r="AA1590">
        <v>0.99396059999999997</v>
      </c>
      <c r="AB1590">
        <v>28</v>
      </c>
      <c r="AC1590">
        <v>-18.455500000000001</v>
      </c>
      <c r="AD1590">
        <v>-1.110817024972</v>
      </c>
      <c r="AE1590">
        <v>-0.815799999999967</v>
      </c>
      <c r="AF1590">
        <v>-2.05016517420552</v>
      </c>
      <c r="AG1590">
        <v>-1.110817024972</v>
      </c>
      <c r="AH1590">
        <v>18.292438975591001</v>
      </c>
      <c r="AI1590">
        <v>93.453476487379902</v>
      </c>
      <c r="AJ1590">
        <v>96.394863196174697</v>
      </c>
      <c r="AK1590">
        <v>18.440455942850601</v>
      </c>
      <c r="AL1590">
        <v>87.080104069439699</v>
      </c>
      <c r="AM1590">
        <v>91.482059258423504</v>
      </c>
      <c r="AN1590">
        <v>0.99999996441107397</v>
      </c>
    </row>
    <row r="1591" spans="1:40" x14ac:dyDescent="0.25">
      <c r="A1591" t="str">
        <f>"20190312151256705"</f>
        <v>20190312151256705</v>
      </c>
      <c r="B1591" t="str">
        <f>"1552374776701959"</f>
        <v>1552374776701959</v>
      </c>
      <c r="C1591" t="s">
        <v>40</v>
      </c>
      <c r="D1591">
        <v>4.9229989999999999</v>
      </c>
      <c r="E1591">
        <v>0.4681477</v>
      </c>
      <c r="F1591" t="s">
        <v>54</v>
      </c>
      <c r="G1591">
        <v>-239.8425</v>
      </c>
      <c r="H1591" s="1">
        <v>3.8556729999999997E-6</v>
      </c>
      <c r="I1591">
        <v>281.07560000000001</v>
      </c>
      <c r="J1591">
        <v>-222.7937</v>
      </c>
      <c r="K1591">
        <v>1.1108819999999999</v>
      </c>
      <c r="L1591">
        <v>281.83679999999998</v>
      </c>
      <c r="M1591">
        <v>-0.99774439999999998</v>
      </c>
      <c r="N1591">
        <v>0</v>
      </c>
      <c r="O1591">
        <v>6.6026840000000003E-2</v>
      </c>
      <c r="P1591">
        <v>-0.99845130000000004</v>
      </c>
      <c r="Q1591">
        <v>3.9467189999999999E-2</v>
      </c>
      <c r="R1591">
        <v>3.9214020000000002E-2</v>
      </c>
      <c r="S1591">
        <v>-3.0178219999999998</v>
      </c>
      <c r="T1591">
        <v>-0.19336639999999999</v>
      </c>
      <c r="U1591">
        <v>-0.1293945</v>
      </c>
      <c r="V1591">
        <v>-2.6918770000000002E-2</v>
      </c>
      <c r="W1591">
        <v>5.15112E-2</v>
      </c>
      <c r="X1591">
        <v>0.99830960000000002</v>
      </c>
      <c r="Y1591">
        <v>-0.10835789999999999</v>
      </c>
      <c r="Z1591">
        <v>-7.69024599999999E-3</v>
      </c>
      <c r="AA1591">
        <v>0.99408220000000003</v>
      </c>
      <c r="AB1591">
        <v>28</v>
      </c>
      <c r="AC1591">
        <v>-17.0488</v>
      </c>
      <c r="AD1591">
        <v>-1.1108781443269999</v>
      </c>
      <c r="AE1591">
        <v>-0.76119999999997301</v>
      </c>
      <c r="AF1591">
        <v>-1.8773448844524501</v>
      </c>
      <c r="AG1591">
        <v>-1.1108781443269999</v>
      </c>
      <c r="AH1591">
        <v>16.889762615458299</v>
      </c>
      <c r="AI1591">
        <v>93.740086421014794</v>
      </c>
      <c r="AJ1591">
        <v>96.342552806380397</v>
      </c>
      <c r="AK1591">
        <v>17.030048598675599</v>
      </c>
      <c r="AL1591">
        <v>87.047319003694895</v>
      </c>
      <c r="AM1591">
        <v>91.544569215860605</v>
      </c>
      <c r="AN1591">
        <v>1.0000000406779499</v>
      </c>
    </row>
    <row r="1592" spans="1:40" x14ac:dyDescent="0.25">
      <c r="A1592" t="str">
        <f>"20190312151256728"</f>
        <v>20190312151256728</v>
      </c>
      <c r="B1592" t="str">
        <f>"1552374776721478"</f>
        <v>1552374776721478</v>
      </c>
      <c r="C1592" t="s">
        <v>40</v>
      </c>
      <c r="D1592">
        <v>4.9152779999999998</v>
      </c>
      <c r="E1592">
        <v>0.46855970000000002</v>
      </c>
      <c r="F1592" t="s">
        <v>54</v>
      </c>
      <c r="G1592">
        <v>-240.13550000000001</v>
      </c>
      <c r="H1592" s="1">
        <v>-1.464665E-6</v>
      </c>
      <c r="I1592">
        <v>281.05880000000002</v>
      </c>
      <c r="J1592">
        <v>-223.06909999999999</v>
      </c>
      <c r="K1592">
        <v>1.1109359999999999</v>
      </c>
      <c r="L1592">
        <v>281.8535</v>
      </c>
      <c r="M1592">
        <v>-0.99783370000000005</v>
      </c>
      <c r="N1592">
        <v>0</v>
      </c>
      <c r="O1592">
        <v>6.4658270000000004E-2</v>
      </c>
      <c r="P1592">
        <v>-0.99853409999999998</v>
      </c>
      <c r="Q1592">
        <v>3.9376599999999998E-2</v>
      </c>
      <c r="R1592">
        <v>3.7138160000000003E-2</v>
      </c>
      <c r="S1592">
        <v>-3.0176090000000002</v>
      </c>
      <c r="T1592">
        <v>-0.19330169999999999</v>
      </c>
      <c r="U1592">
        <v>-0.135376</v>
      </c>
      <c r="V1592">
        <v>-2.7631010000000001E-2</v>
      </c>
      <c r="W1592">
        <v>5.1432619999999998E-2</v>
      </c>
      <c r="X1592">
        <v>0.99829420000000002</v>
      </c>
      <c r="Y1592">
        <v>-0.1089659</v>
      </c>
      <c r="Z1592">
        <v>-7.6199369999999898E-3</v>
      </c>
      <c r="AA1592">
        <v>0.99401629999999996</v>
      </c>
      <c r="AB1592">
        <v>28</v>
      </c>
      <c r="AC1592">
        <v>-17.066400000000002</v>
      </c>
      <c r="AD1592">
        <v>-1.1109374646650001</v>
      </c>
      <c r="AE1592">
        <v>-0.79469999999997698</v>
      </c>
      <c r="AF1592">
        <v>-1.88861651648138</v>
      </c>
      <c r="AG1592">
        <v>-1.1109374646650001</v>
      </c>
      <c r="AH1592">
        <v>16.9078055313724</v>
      </c>
      <c r="AI1592">
        <v>93.736080775630597</v>
      </c>
      <c r="AJ1592">
        <v>96.373567957121097</v>
      </c>
      <c r="AK1592">
        <v>17.049191836665798</v>
      </c>
      <c r="AL1592">
        <v>87.051827304732996</v>
      </c>
      <c r="AM1592">
        <v>91.585440614169102</v>
      </c>
      <c r="AN1592">
        <v>1.00000004843366</v>
      </c>
    </row>
    <row r="1593" spans="1:40" x14ac:dyDescent="0.25">
      <c r="A1593" t="str">
        <f>"20190312151256749"</f>
        <v>20190312151256749</v>
      </c>
      <c r="B1593" t="str">
        <f>"1552374776741975"</f>
        <v>1552374776741975</v>
      </c>
      <c r="C1593" t="s">
        <v>40</v>
      </c>
      <c r="D1593">
        <v>4.8950509999999996</v>
      </c>
      <c r="E1593">
        <v>0.46862510000000002</v>
      </c>
      <c r="F1593" t="s">
        <v>54</v>
      </c>
      <c r="G1593">
        <v>-241.0042</v>
      </c>
      <c r="H1593" s="1">
        <v>-1.002378E-6</v>
      </c>
      <c r="I1593">
        <v>281.03059999999999</v>
      </c>
      <c r="J1593">
        <v>-223.32919999999999</v>
      </c>
      <c r="K1593">
        <v>1.110976</v>
      </c>
      <c r="L1593">
        <v>281.8689</v>
      </c>
      <c r="M1593">
        <v>-0.99791940000000001</v>
      </c>
      <c r="N1593">
        <v>0</v>
      </c>
      <c r="O1593">
        <v>6.3319449999999999E-2</v>
      </c>
      <c r="P1593">
        <v>-0.99858429999999998</v>
      </c>
      <c r="Q1593">
        <v>3.9694109999999998E-2</v>
      </c>
      <c r="R1593">
        <v>3.5414639999999997E-2</v>
      </c>
      <c r="S1593">
        <v>-3.016937</v>
      </c>
      <c r="T1593">
        <v>-0.18687500000000001</v>
      </c>
      <c r="U1593">
        <v>-0.13842769999999999</v>
      </c>
      <c r="V1593">
        <v>-2.801992E-2</v>
      </c>
      <c r="W1593">
        <v>5.176596E-2</v>
      </c>
      <c r="X1593">
        <v>0.99826610000000005</v>
      </c>
      <c r="Y1593">
        <v>-0.1086718</v>
      </c>
      <c r="Z1593">
        <v>-7.2767489999999999E-3</v>
      </c>
      <c r="AA1593">
        <v>0.99405100000000002</v>
      </c>
      <c r="AB1593">
        <v>28</v>
      </c>
      <c r="AC1593">
        <v>-17.675000000000001</v>
      </c>
      <c r="AD1593">
        <v>-1.1109770023779999</v>
      </c>
      <c r="AE1593">
        <v>-0.83830000000000304</v>
      </c>
      <c r="AF1593">
        <v>-1.94819162969764</v>
      </c>
      <c r="AG1593">
        <v>-1.1109770023779999</v>
      </c>
      <c r="AH1593">
        <v>17.517388548488501</v>
      </c>
      <c r="AI1593">
        <v>93.606739687391496</v>
      </c>
      <c r="AJ1593">
        <v>96.346056176744895</v>
      </c>
      <c r="AK1593">
        <v>17.660368684842101</v>
      </c>
      <c r="AL1593">
        <v>87.032702765171905</v>
      </c>
      <c r="AM1593">
        <v>91.607789495140295</v>
      </c>
      <c r="AN1593">
        <v>1.0000000184703599</v>
      </c>
    </row>
    <row r="1594" spans="1:40" x14ac:dyDescent="0.25">
      <c r="A1594" t="str">
        <f>"20190312151256773"</f>
        <v>20190312151256773</v>
      </c>
      <c r="B1594" t="str">
        <f>"1552374776761495"</f>
        <v>1552374776761495</v>
      </c>
      <c r="C1594" t="s">
        <v>40</v>
      </c>
      <c r="D1594">
        <v>5.0144650000000004</v>
      </c>
      <c r="E1594">
        <v>0.4687077</v>
      </c>
      <c r="F1594" t="s">
        <v>54</v>
      </c>
      <c r="G1594">
        <v>-241.58250000000001</v>
      </c>
      <c r="H1594" s="1">
        <v>-6.9467459999999997E-7</v>
      </c>
      <c r="I1594">
        <v>281.0027</v>
      </c>
      <c r="J1594">
        <v>-223.62620000000001</v>
      </c>
      <c r="K1594">
        <v>1.111008</v>
      </c>
      <c r="L1594">
        <v>281.88600000000002</v>
      </c>
      <c r="M1594">
        <v>-0.9980173</v>
      </c>
      <c r="N1594">
        <v>0</v>
      </c>
      <c r="O1594">
        <v>6.1751500000000001E-2</v>
      </c>
      <c r="P1594">
        <v>-0.99865590000000004</v>
      </c>
      <c r="Q1594">
        <v>4.012305E-2</v>
      </c>
      <c r="R1594">
        <v>3.2816579999999998E-2</v>
      </c>
      <c r="S1594">
        <v>-3.0166170000000001</v>
      </c>
      <c r="T1594">
        <v>-0.18360470000000001</v>
      </c>
      <c r="U1594">
        <v>-0.14315799999999901</v>
      </c>
      <c r="V1594">
        <v>-2.9053120000000002E-2</v>
      </c>
      <c r="W1594">
        <v>5.2211680000000003E-2</v>
      </c>
      <c r="X1594">
        <v>0.99821340000000003</v>
      </c>
      <c r="Y1594">
        <v>-0.1086845</v>
      </c>
      <c r="Z1594">
        <v>-7.0553469999999896E-3</v>
      </c>
      <c r="AA1594">
        <v>0.99405129999999997</v>
      </c>
      <c r="AB1594">
        <v>28</v>
      </c>
      <c r="AC1594">
        <v>-17.956299999999999</v>
      </c>
      <c r="AD1594">
        <v>-1.1110086946746001</v>
      </c>
      <c r="AE1594">
        <v>-0.883299999999962</v>
      </c>
      <c r="AF1594">
        <v>-1.9829517389801401</v>
      </c>
      <c r="AG1594">
        <v>-1.1110086946746001</v>
      </c>
      <c r="AH1594">
        <v>17.799500570860701</v>
      </c>
      <c r="AI1594">
        <v>93.549749207485604</v>
      </c>
      <c r="AJ1594">
        <v>96.356819295711503</v>
      </c>
      <c r="AK1594">
        <v>17.944042423345898</v>
      </c>
      <c r="AL1594">
        <v>87.007130455353305</v>
      </c>
      <c r="AM1594">
        <v>91.6671298526946</v>
      </c>
      <c r="AN1594">
        <v>1.0000000676248499</v>
      </c>
    </row>
    <row r="1595" spans="1:40" x14ac:dyDescent="0.25">
      <c r="A1595" t="str">
        <f>"20190312151256795"</f>
        <v>20190312151256795</v>
      </c>
      <c r="B1595" t="str">
        <f>"1552374776791752"</f>
        <v>1552374776791752</v>
      </c>
      <c r="C1595" t="s">
        <v>40</v>
      </c>
      <c r="D1595">
        <v>4.9306140000000003</v>
      </c>
      <c r="E1595">
        <v>0.46899970000000002</v>
      </c>
      <c r="F1595" t="s">
        <v>54</v>
      </c>
      <c r="G1595">
        <v>-242.0283</v>
      </c>
      <c r="H1595" s="1">
        <v>-4.5741649999999999E-7</v>
      </c>
      <c r="I1595">
        <v>280.96960000000001</v>
      </c>
      <c r="J1595">
        <v>-223.90010000000001</v>
      </c>
      <c r="K1595">
        <v>1.1110279999999999</v>
      </c>
      <c r="L1595">
        <v>281.90129999999999</v>
      </c>
      <c r="M1595">
        <v>-0.99810710000000002</v>
      </c>
      <c r="N1595">
        <v>0</v>
      </c>
      <c r="O1595">
        <v>6.027859E-2</v>
      </c>
      <c r="P1595">
        <v>-0.99870630000000005</v>
      </c>
      <c r="Q1595">
        <v>4.072667E-2</v>
      </c>
      <c r="R1595">
        <v>3.0449049999999998E-2</v>
      </c>
      <c r="S1595">
        <v>-3.016327</v>
      </c>
      <c r="T1595">
        <v>-0.18210709999999999</v>
      </c>
      <c r="U1595">
        <v>-0.15020749999999999</v>
      </c>
      <c r="V1595">
        <v>-2.9949360000000001E-2</v>
      </c>
      <c r="W1595">
        <v>5.2830710000000003E-2</v>
      </c>
      <c r="X1595">
        <v>0.99815430000000005</v>
      </c>
      <c r="Y1595">
        <v>-0.1095459</v>
      </c>
      <c r="Z1595">
        <v>-6.9354719999999998E-3</v>
      </c>
      <c r="AA1595">
        <v>0.99395750000000005</v>
      </c>
      <c r="AB1595">
        <v>28</v>
      </c>
      <c r="AC1595">
        <v>-18.1282</v>
      </c>
      <c r="AD1595">
        <v>-1.1110284574164999</v>
      </c>
      <c r="AE1595">
        <v>-0.93169999999997799</v>
      </c>
      <c r="AF1595">
        <v>-2.0152794159259102</v>
      </c>
      <c r="AG1595">
        <v>-1.1110284574164999</v>
      </c>
      <c r="AH1595">
        <v>17.971738492927798</v>
      </c>
      <c r="AI1595">
        <v>93.515594133927806</v>
      </c>
      <c r="AJ1595">
        <v>96.398192616372697</v>
      </c>
      <c r="AK1595">
        <v>18.118474544387698</v>
      </c>
      <c r="AL1595">
        <v>86.971613508719102</v>
      </c>
      <c r="AM1595">
        <v>91.718629324990999</v>
      </c>
      <c r="AN1595">
        <v>1.0000000273459999</v>
      </c>
    </row>
    <row r="1596" spans="1:40" x14ac:dyDescent="0.25">
      <c r="A1596" t="str">
        <f>"20190312151256817"</f>
        <v>20190312151256817</v>
      </c>
      <c r="B1596" t="str">
        <f>"1552374776811271"</f>
        <v>1552374776811271</v>
      </c>
      <c r="C1596" t="s">
        <v>40</v>
      </c>
      <c r="D1596">
        <v>4.9332739999999999</v>
      </c>
      <c r="E1596">
        <v>0.46929140000000003</v>
      </c>
      <c r="F1596" t="s">
        <v>54</v>
      </c>
      <c r="G1596">
        <v>-242.6361</v>
      </c>
      <c r="H1596" s="1">
        <v>-1.340066E-7</v>
      </c>
      <c r="I1596">
        <v>280.9402</v>
      </c>
      <c r="J1596">
        <v>-224.16300000000001</v>
      </c>
      <c r="K1596">
        <v>1.111043</v>
      </c>
      <c r="L1596">
        <v>281.91559999999998</v>
      </c>
      <c r="M1596">
        <v>-0.99819239999999998</v>
      </c>
      <c r="N1596">
        <v>0</v>
      </c>
      <c r="O1596">
        <v>5.8845130000000002E-2</v>
      </c>
      <c r="P1596">
        <v>-0.99872430000000001</v>
      </c>
      <c r="Q1596">
        <v>4.1285139999999998E-2</v>
      </c>
      <c r="R1596">
        <v>2.907821E-2</v>
      </c>
      <c r="S1596">
        <v>-3.0158999999999998</v>
      </c>
      <c r="T1596">
        <v>-0.1788402</v>
      </c>
      <c r="U1596">
        <v>-0.15469359999999999</v>
      </c>
      <c r="V1596">
        <v>-2.9888000000000001E-2</v>
      </c>
      <c r="W1596">
        <v>5.3404960000000001E-2</v>
      </c>
      <c r="X1596">
        <v>0.99812559999999995</v>
      </c>
      <c r="Y1596">
        <v>-0.1096135</v>
      </c>
      <c r="Z1596">
        <v>-6.7291900000000003E-3</v>
      </c>
      <c r="AA1596">
        <v>0.99395149999999999</v>
      </c>
      <c r="AB1596">
        <v>28</v>
      </c>
      <c r="AC1596">
        <v>-18.473099999999999</v>
      </c>
      <c r="AD1596">
        <v>-1.1110431340066</v>
      </c>
      <c r="AE1596">
        <v>-0.97539999999997895</v>
      </c>
      <c r="AF1596">
        <v>-2.05343536301661</v>
      </c>
      <c r="AG1596">
        <v>-1.1110431340066</v>
      </c>
      <c r="AH1596">
        <v>18.317606087690599</v>
      </c>
      <c r="AI1596">
        <v>93.449434067326806</v>
      </c>
      <c r="AJ1596">
        <v>96.396251836246094</v>
      </c>
      <c r="AK1596">
        <v>18.465798288173399</v>
      </c>
      <c r="AL1596">
        <v>86.938664955398806</v>
      </c>
      <c r="AM1596">
        <v>91.715159603360902</v>
      </c>
      <c r="AN1596">
        <v>1.0000000478359701</v>
      </c>
    </row>
    <row r="1597" spans="1:40" x14ac:dyDescent="0.25">
      <c r="A1597" t="str">
        <f>"20190312151256840"</f>
        <v>20190312151256840</v>
      </c>
      <c r="B1597" t="str">
        <f>"1552374776831767"</f>
        <v>1552374776831767</v>
      </c>
      <c r="C1597" t="s">
        <v>40</v>
      </c>
      <c r="D1597">
        <v>5.1143039999999997</v>
      </c>
      <c r="E1597">
        <v>0.46936499999999998</v>
      </c>
      <c r="F1597" t="s">
        <v>54</v>
      </c>
      <c r="G1597">
        <v>-242.52170000000001</v>
      </c>
      <c r="H1597" s="1">
        <v>-1.9486750000000001E-7</v>
      </c>
      <c r="I1597">
        <v>280.96069999999997</v>
      </c>
      <c r="J1597">
        <v>-224.4452</v>
      </c>
      <c r="K1597">
        <v>1.1110599999999999</v>
      </c>
      <c r="L1597">
        <v>281.93040000000002</v>
      </c>
      <c r="M1597">
        <v>-0.99828269999999997</v>
      </c>
      <c r="N1597">
        <v>0</v>
      </c>
      <c r="O1597">
        <v>5.7291010000000003E-2</v>
      </c>
      <c r="P1597">
        <v>-0.99874470000000004</v>
      </c>
      <c r="Q1597">
        <v>4.1669789999999998E-2</v>
      </c>
      <c r="R1597">
        <v>2.779657E-2</v>
      </c>
      <c r="S1597">
        <v>-3.0159609999999999</v>
      </c>
      <c r="T1597">
        <v>-0.18252209999999999</v>
      </c>
      <c r="U1597">
        <v>-0.15686040000000001</v>
      </c>
      <c r="V1597">
        <v>-2.9616070000000001E-2</v>
      </c>
      <c r="W1597">
        <v>5.380683E-2</v>
      </c>
      <c r="X1597">
        <v>0.99811209999999995</v>
      </c>
      <c r="Y1597">
        <v>-0.1087694</v>
      </c>
      <c r="Z1597">
        <v>-6.7478669999999899E-3</v>
      </c>
      <c r="AA1597">
        <v>0.99404409999999999</v>
      </c>
      <c r="AB1597">
        <v>28</v>
      </c>
      <c r="AC1597">
        <v>-18.076499999999999</v>
      </c>
      <c r="AD1597">
        <v>-1.1110601948675001</v>
      </c>
      <c r="AE1597">
        <v>-0.96970000000004497</v>
      </c>
      <c r="AF1597">
        <v>-1.99628530057145</v>
      </c>
      <c r="AG1597">
        <v>-1.1110601948675001</v>
      </c>
      <c r="AH1597">
        <v>17.923726921317801</v>
      </c>
      <c r="AI1597">
        <v>93.5253826645137</v>
      </c>
      <c r="AJ1597">
        <v>96.3552220480301</v>
      </c>
      <c r="AK1597">
        <v>18.068746401116801</v>
      </c>
      <c r="AL1597">
        <v>86.9156062776959</v>
      </c>
      <c r="AM1597">
        <v>91.6995867344217</v>
      </c>
      <c r="AN1597">
        <v>1.0000000253616499</v>
      </c>
    </row>
    <row r="1598" spans="1:40" x14ac:dyDescent="0.25">
      <c r="A1598" t="str">
        <f>"20190312151256861"</f>
        <v>20190312151256861</v>
      </c>
      <c r="B1598" t="str">
        <f>"1552374776851287"</f>
        <v>1552374776851287</v>
      </c>
      <c r="C1598" t="s">
        <v>40</v>
      </c>
      <c r="D1598">
        <v>5.0915749999999997</v>
      </c>
      <c r="E1598">
        <v>0.46950950000000002</v>
      </c>
      <c r="F1598" t="s">
        <v>54</v>
      </c>
      <c r="G1598">
        <v>-242.99459999999999</v>
      </c>
      <c r="H1598" s="1">
        <v>5.6780269999999897E-8</v>
      </c>
      <c r="I1598">
        <v>280.94380000000001</v>
      </c>
      <c r="J1598">
        <v>-224.6977</v>
      </c>
      <c r="K1598">
        <v>1.1110709999999999</v>
      </c>
      <c r="L1598">
        <v>281.9434</v>
      </c>
      <c r="M1598">
        <v>-0.99836199999999997</v>
      </c>
      <c r="N1598">
        <v>0</v>
      </c>
      <c r="O1598">
        <v>5.5889000000000001E-2</v>
      </c>
      <c r="P1598">
        <v>-0.99877830000000001</v>
      </c>
      <c r="Q1598">
        <v>4.1661339999999998E-2</v>
      </c>
      <c r="R1598">
        <v>2.6577670000000001E-2</v>
      </c>
      <c r="S1598">
        <v>-3.0157780000000001</v>
      </c>
      <c r="T1598">
        <v>-0.18063689999999999</v>
      </c>
      <c r="U1598">
        <v>-0.1604004</v>
      </c>
      <c r="V1598">
        <v>-2.943378E-2</v>
      </c>
      <c r="W1598">
        <v>5.3812079999999998E-2</v>
      </c>
      <c r="X1598">
        <v>0.99811719999999904</v>
      </c>
      <c r="Y1598">
        <v>-0.1085492</v>
      </c>
      <c r="Z1598">
        <v>-6.5881319999999896E-3</v>
      </c>
      <c r="AA1598">
        <v>0.99406919999999999</v>
      </c>
      <c r="AB1598">
        <v>28</v>
      </c>
      <c r="AC1598">
        <v>-18.296899999999901</v>
      </c>
      <c r="AD1598">
        <v>-1.1110709432197301</v>
      </c>
      <c r="AE1598">
        <v>-0.99959999999998606</v>
      </c>
      <c r="AF1598">
        <v>-2.0133074725685001</v>
      </c>
      <c r="AG1598">
        <v>-1.1110709432197301</v>
      </c>
      <c r="AH1598">
        <v>18.145713949657001</v>
      </c>
      <c r="AI1598">
        <v>93.482556921725703</v>
      </c>
      <c r="AJ1598">
        <v>96.331199526991895</v>
      </c>
      <c r="AK1598">
        <v>18.290839793807901</v>
      </c>
      <c r="AL1598">
        <v>86.915305009981694</v>
      </c>
      <c r="AM1598">
        <v>91.689123054015198</v>
      </c>
      <c r="AN1598">
        <v>1.0000000161474201</v>
      </c>
    </row>
    <row r="1599" spans="1:40" x14ac:dyDescent="0.25">
      <c r="A1599" t="str">
        <f>"20190312151256883"</f>
        <v>20190312151256883</v>
      </c>
      <c r="B1599" t="str">
        <f>"1552374776871786"</f>
        <v>1552374776871786</v>
      </c>
      <c r="C1599" t="s">
        <v>40</v>
      </c>
      <c r="D1599">
        <v>4.954574</v>
      </c>
      <c r="E1599">
        <v>0.46967229999999999</v>
      </c>
      <c r="F1599" t="s">
        <v>54</v>
      </c>
      <c r="G1599">
        <v>-243.30269999999999</v>
      </c>
      <c r="H1599" s="1">
        <v>2.2077129999999999E-7</v>
      </c>
      <c r="I1599">
        <v>280.93889999999999</v>
      </c>
      <c r="J1599">
        <v>-224.97550000000001</v>
      </c>
      <c r="K1599">
        <v>1.111078</v>
      </c>
      <c r="L1599">
        <v>281.9572</v>
      </c>
      <c r="M1599">
        <v>-0.99844770000000005</v>
      </c>
      <c r="N1599">
        <v>0</v>
      </c>
      <c r="O1599">
        <v>5.4335809999999998E-2</v>
      </c>
      <c r="P1599">
        <v>-0.9988399</v>
      </c>
      <c r="Q1599">
        <v>4.1082760000000003E-2</v>
      </c>
      <c r="R1599">
        <v>2.5127670000000001E-2</v>
      </c>
      <c r="S1599">
        <v>-3.015533</v>
      </c>
      <c r="T1599">
        <v>-0.18008350000000001</v>
      </c>
      <c r="U1599">
        <v>-0.16281129999999999</v>
      </c>
      <c r="V1599">
        <v>-2.9330930000000002E-2</v>
      </c>
      <c r="W1599">
        <v>5.324069E-2</v>
      </c>
      <c r="X1599">
        <v>0.9981508</v>
      </c>
      <c r="Y1599">
        <v>-0.107805399999999</v>
      </c>
      <c r="Z1599">
        <v>-6.4536460000000004E-3</v>
      </c>
      <c r="AA1599">
        <v>0.99415109999999995</v>
      </c>
      <c r="AB1599">
        <v>27</v>
      </c>
      <c r="AC1599">
        <v>-18.327199999999898</v>
      </c>
      <c r="AD1599">
        <v>-1.1110777792286901</v>
      </c>
      <c r="AE1599">
        <v>-1.01830000000001</v>
      </c>
      <c r="AF1599">
        <v>-2.00534568677466</v>
      </c>
      <c r="AG1599">
        <v>-1.1110777792286901</v>
      </c>
      <c r="AH1599">
        <v>18.178181960501298</v>
      </c>
      <c r="AI1599">
        <v>93.476614465382198</v>
      </c>
      <c r="AJ1599">
        <v>96.295191136506403</v>
      </c>
      <c r="AK1599">
        <v>18.322177942156799</v>
      </c>
      <c r="AL1599">
        <v>86.948090033977905</v>
      </c>
      <c r="AM1599">
        <v>91.683167550419</v>
      </c>
      <c r="AN1599">
        <v>0.99999994703348905</v>
      </c>
    </row>
    <row r="1600" spans="1:40" x14ac:dyDescent="0.25">
      <c r="A1600" t="str">
        <f>"20190312151256905"</f>
        <v>20190312151256905</v>
      </c>
      <c r="B1600" t="str">
        <f>"1552374776901063"</f>
        <v>1552374776901063</v>
      </c>
      <c r="C1600" t="s">
        <v>40</v>
      </c>
      <c r="D1600">
        <v>4.8975939999999998</v>
      </c>
      <c r="E1600">
        <v>0.47004109999999999</v>
      </c>
      <c r="F1600" t="s">
        <v>54</v>
      </c>
      <c r="G1600">
        <v>-243.36750000000001</v>
      </c>
      <c r="H1600" s="1">
        <v>2.55242E-7</v>
      </c>
      <c r="I1600">
        <v>280.94380000000001</v>
      </c>
      <c r="J1600">
        <v>-225.25129999999999</v>
      </c>
      <c r="K1600">
        <v>1.1110719999999901</v>
      </c>
      <c r="L1600">
        <v>281.97050000000002</v>
      </c>
      <c r="M1600">
        <v>-0.9985309</v>
      </c>
      <c r="N1600">
        <v>0</v>
      </c>
      <c r="O1600">
        <v>5.2783759999999999E-2</v>
      </c>
      <c r="P1600">
        <v>-0.99890659999999998</v>
      </c>
      <c r="Q1600">
        <v>4.0475480000000001E-2</v>
      </c>
      <c r="R1600">
        <v>2.3396980000000001E-2</v>
      </c>
      <c r="S1600">
        <v>-3.0151669999999999</v>
      </c>
      <c r="T1600">
        <v>-0.1821489</v>
      </c>
      <c r="U1600">
        <v>-0.1661377</v>
      </c>
      <c r="V1600">
        <v>-2.950989E-2</v>
      </c>
      <c r="W1600">
        <v>5.2626430000000002E-2</v>
      </c>
      <c r="X1600">
        <v>0.99817809999999996</v>
      </c>
      <c r="Y1600">
        <v>-0.10735699999999999</v>
      </c>
      <c r="Z1600">
        <v>-6.4210509999999997E-3</v>
      </c>
      <c r="AA1600">
        <v>0.99419979999999997</v>
      </c>
      <c r="AB1600">
        <v>27</v>
      </c>
      <c r="AC1600">
        <v>-18.116199999999999</v>
      </c>
      <c r="AD1600">
        <v>-1.1110717447580001</v>
      </c>
      <c r="AE1600">
        <v>-1.0266999999999999</v>
      </c>
      <c r="AF1600">
        <v>-1.9741794563130499</v>
      </c>
      <c r="AG1600">
        <v>-1.1110717447580001</v>
      </c>
      <c r="AH1600">
        <v>17.969370785015901</v>
      </c>
      <c r="AI1600">
        <v>93.517066889105294</v>
      </c>
      <c r="AJ1600">
        <v>96.269575693632405</v>
      </c>
      <c r="AK1600">
        <v>18.111602672240501</v>
      </c>
      <c r="AL1600">
        <v>86.983333952615396</v>
      </c>
      <c r="AM1600">
        <v>91.693384994357999</v>
      </c>
      <c r="AN1600">
        <v>0.99999994703098205</v>
      </c>
    </row>
    <row r="1601" spans="1:40" x14ac:dyDescent="0.25">
      <c r="A1601" t="str">
        <f>"20190312151256930"</f>
        <v>20190312151256930</v>
      </c>
      <c r="B1601" t="str">
        <f>"1552374776921559"</f>
        <v>1552374776921559</v>
      </c>
      <c r="C1601" t="s">
        <v>40</v>
      </c>
      <c r="D1601">
        <v>5.215255</v>
      </c>
      <c r="E1601">
        <v>0.47009129999999899</v>
      </c>
      <c r="F1601" t="s">
        <v>54</v>
      </c>
      <c r="G1601">
        <v>-243.47139999999999</v>
      </c>
      <c r="H1601" s="1">
        <v>3.1053979999999999E-7</v>
      </c>
      <c r="I1601">
        <v>280.95240000000001</v>
      </c>
      <c r="J1601">
        <v>-225.54939999999999</v>
      </c>
      <c r="K1601">
        <v>1.11107</v>
      </c>
      <c r="L1601">
        <v>281.98439999999999</v>
      </c>
      <c r="M1601">
        <v>-0.99861929999999999</v>
      </c>
      <c r="N1601">
        <v>0</v>
      </c>
      <c r="O1601">
        <v>5.109172E-2</v>
      </c>
      <c r="P1601">
        <v>-0.99895690000000004</v>
      </c>
      <c r="Q1601">
        <v>4.0319559999999997E-2</v>
      </c>
      <c r="R1601">
        <v>2.14402E-2</v>
      </c>
      <c r="S1601">
        <v>-3.0146790000000001</v>
      </c>
      <c r="T1601">
        <v>-0.1838361</v>
      </c>
      <c r="U1601">
        <v>-0.168457</v>
      </c>
      <c r="V1601">
        <v>-2.9775300000000001E-2</v>
      </c>
      <c r="W1601">
        <v>5.2439779999999998E-2</v>
      </c>
      <c r="X1601">
        <v>0.99818010000000001</v>
      </c>
      <c r="Y1601">
        <v>-0.1064431</v>
      </c>
      <c r="Z1601">
        <v>-6.3505380000000002E-3</v>
      </c>
      <c r="AA1601">
        <v>0.99429849999999997</v>
      </c>
      <c r="AB1601">
        <v>27</v>
      </c>
      <c r="AC1601">
        <v>-17.921999999999901</v>
      </c>
      <c r="AD1601">
        <v>-1.1110696894601999</v>
      </c>
      <c r="AE1601">
        <v>-1.03199999999998</v>
      </c>
      <c r="AF1601">
        <v>-1.93895859713865</v>
      </c>
      <c r="AG1601">
        <v>-1.1110696894601999</v>
      </c>
      <c r="AH1601">
        <v>17.777758864824801</v>
      </c>
      <c r="AI1601">
        <v>93.555176936948499</v>
      </c>
      <c r="AJ1601">
        <v>96.224449072720205</v>
      </c>
      <c r="AK1601">
        <v>17.917665767395999</v>
      </c>
      <c r="AL1601">
        <v>86.994043173671301</v>
      </c>
      <c r="AM1601">
        <v>91.708602778176996</v>
      </c>
      <c r="AN1601">
        <v>1.0000000055262701</v>
      </c>
    </row>
    <row r="1602" spans="1:40" x14ac:dyDescent="0.25">
      <c r="A1602" t="str">
        <f>"20190312151256950"</f>
        <v>20190312151256950</v>
      </c>
      <c r="B1602" t="str">
        <f>"1552374776941079"</f>
        <v>1552374776941079</v>
      </c>
      <c r="C1602" t="s">
        <v>40</v>
      </c>
      <c r="D1602">
        <v>4.9475889999999998</v>
      </c>
      <c r="E1602">
        <v>0.47009770000000001</v>
      </c>
      <c r="F1602" t="s">
        <v>54</v>
      </c>
      <c r="G1602">
        <v>-243.7764</v>
      </c>
      <c r="H1602" s="1">
        <v>4.7281410000000001E-7</v>
      </c>
      <c r="I1602">
        <v>280.93110000000001</v>
      </c>
      <c r="J1602">
        <v>-225.80420000000001</v>
      </c>
      <c r="K1602">
        <v>1.1110690000000001</v>
      </c>
      <c r="L1602">
        <v>281.99579999999997</v>
      </c>
      <c r="M1602">
        <v>-0.9986931</v>
      </c>
      <c r="N1602">
        <v>0</v>
      </c>
      <c r="O1602">
        <v>4.9638380000000003E-2</v>
      </c>
      <c r="P1602">
        <v>-0.99895900000000004</v>
      </c>
      <c r="Q1602">
        <v>4.1075029999999998E-2</v>
      </c>
      <c r="R1602">
        <v>1.984986E-2</v>
      </c>
      <c r="S1602">
        <v>-3.014297</v>
      </c>
      <c r="T1602">
        <v>-0.18374380000000001</v>
      </c>
      <c r="U1602">
        <v>-0.1741943</v>
      </c>
      <c r="V1602">
        <v>-2.9912669999999999E-2</v>
      </c>
      <c r="W1602">
        <v>5.3156410000000001E-2</v>
      </c>
      <c r="X1602">
        <v>0.99813810000000003</v>
      </c>
      <c r="Y1602">
        <v>-0.1068916</v>
      </c>
      <c r="Z1602">
        <v>-6.2730750000000004E-3</v>
      </c>
      <c r="AA1602">
        <v>0.99425090000000005</v>
      </c>
      <c r="AB1602">
        <v>27</v>
      </c>
      <c r="AC1602">
        <v>-17.972199999999901</v>
      </c>
      <c r="AD1602">
        <v>-1.1110685271859</v>
      </c>
      <c r="AE1602">
        <v>-1.06469999999995</v>
      </c>
      <c r="AF1602">
        <v>-1.9481447013490001</v>
      </c>
      <c r="AG1602">
        <v>-1.1110685271859</v>
      </c>
      <c r="AH1602">
        <v>17.829284279513299</v>
      </c>
      <c r="AI1602">
        <v>93.544848955000106</v>
      </c>
      <c r="AJ1602">
        <v>96.235775017113198</v>
      </c>
      <c r="AK1602">
        <v>17.969783498117</v>
      </c>
      <c r="AL1602">
        <v>86.952925990293593</v>
      </c>
      <c r="AM1602">
        <v>91.716552990618297</v>
      </c>
      <c r="AN1602">
        <v>1.00000001921111</v>
      </c>
    </row>
    <row r="1603" spans="1:40" x14ac:dyDescent="0.25">
      <c r="A1603" t="str">
        <f>"20190312151256973"</f>
        <v>20190312151256973</v>
      </c>
      <c r="B1603" t="str">
        <f>"1552374776961578"</f>
        <v>1552374776961578</v>
      </c>
      <c r="C1603" t="s">
        <v>40</v>
      </c>
      <c r="D1603">
        <v>4.9774089999999998</v>
      </c>
      <c r="E1603">
        <v>0.47014440000000002</v>
      </c>
      <c r="F1603" t="s">
        <v>54</v>
      </c>
      <c r="G1603">
        <v>-243.76480000000001</v>
      </c>
      <c r="H1603" s="1">
        <v>4.6667440000000001E-7</v>
      </c>
      <c r="I1603">
        <v>280.92840000000001</v>
      </c>
      <c r="J1603">
        <v>-226.07130000000001</v>
      </c>
      <c r="K1603">
        <v>1.1110640000000001</v>
      </c>
      <c r="L1603">
        <v>282.00740000000002</v>
      </c>
      <c r="M1603">
        <v>-0.99876860000000001</v>
      </c>
      <c r="N1603">
        <v>0</v>
      </c>
      <c r="O1603">
        <v>4.8107619999999997E-2</v>
      </c>
      <c r="P1603">
        <v>-0.99895869999999998</v>
      </c>
      <c r="Q1603">
        <v>4.1741279999999999E-2</v>
      </c>
      <c r="R1603">
        <v>1.8418500000000001E-2</v>
      </c>
      <c r="S1603">
        <v>-3.0143740000000001</v>
      </c>
      <c r="T1603">
        <v>-0.18647269999999999</v>
      </c>
      <c r="U1603">
        <v>-0.1791382</v>
      </c>
      <c r="V1603">
        <v>-2.9814130000000001E-2</v>
      </c>
      <c r="W1603">
        <v>5.3766840000000003E-2</v>
      </c>
      <c r="X1603">
        <v>0.99810829999999995</v>
      </c>
      <c r="Y1603">
        <v>-0.1069855</v>
      </c>
      <c r="Z1603">
        <v>-6.2740130000000002E-3</v>
      </c>
      <c r="AA1603">
        <v>0.99424080000000004</v>
      </c>
      <c r="AB1603">
        <v>27</v>
      </c>
      <c r="AC1603">
        <v>-17.6935</v>
      </c>
      <c r="AD1603">
        <v>-1.1110635333256</v>
      </c>
      <c r="AE1603">
        <v>-1.079</v>
      </c>
      <c r="AF1603">
        <v>-1.92145658287817</v>
      </c>
      <c r="AG1603">
        <v>-1.1110635333256</v>
      </c>
      <c r="AH1603">
        <v>17.552143367654999</v>
      </c>
      <c r="AI1603">
        <v>93.600578893153894</v>
      </c>
      <c r="AJ1603">
        <v>96.247368682472796</v>
      </c>
      <c r="AK1603">
        <v>17.691924552566</v>
      </c>
      <c r="AL1603">
        <v>86.917900677289595</v>
      </c>
      <c r="AM1603">
        <v>91.710952642754194</v>
      </c>
      <c r="AN1603">
        <v>0.99999996698006499</v>
      </c>
    </row>
    <row r="1604" spans="1:40" x14ac:dyDescent="0.25">
      <c r="A1604" t="str">
        <f>"20190312151256996"</f>
        <v>20190312151256996</v>
      </c>
      <c r="B1604" t="str">
        <f>"1552374776991831"</f>
        <v>1552374776991831</v>
      </c>
      <c r="C1604" t="s">
        <v>40</v>
      </c>
      <c r="D1604">
        <v>5.0131769999999998</v>
      </c>
      <c r="E1604">
        <v>0.49145509999999898</v>
      </c>
      <c r="F1604" t="s">
        <v>54</v>
      </c>
      <c r="G1604">
        <v>-244.01050000000001</v>
      </c>
      <c r="H1604" s="1">
        <v>5.9740669999999899E-7</v>
      </c>
      <c r="I1604">
        <v>280.91660000000002</v>
      </c>
      <c r="J1604">
        <v>-226.36269999999999</v>
      </c>
      <c r="K1604">
        <v>1.111049</v>
      </c>
      <c r="L1604">
        <v>282.01960000000003</v>
      </c>
      <c r="M1604">
        <v>-0.99884879999999998</v>
      </c>
      <c r="N1604">
        <v>0</v>
      </c>
      <c r="O1604">
        <v>4.6433349999999998E-2</v>
      </c>
      <c r="P1604">
        <v>-0.99896779999999996</v>
      </c>
      <c r="Q1604">
        <v>4.2041490000000001E-2</v>
      </c>
      <c r="R1604">
        <v>1.720766E-2</v>
      </c>
      <c r="S1604">
        <v>-3.014297</v>
      </c>
      <c r="T1604">
        <v>-0.1866903</v>
      </c>
      <c r="U1604">
        <v>-0.1832886</v>
      </c>
      <c r="V1604">
        <v>-2.935022E-2</v>
      </c>
      <c r="W1604">
        <v>5.3983009999999998E-2</v>
      </c>
      <c r="X1604">
        <v>0.99811039999999995</v>
      </c>
      <c r="Y1604">
        <v>-0.1066874</v>
      </c>
      <c r="Z1604">
        <v>-6.1685380000000003E-3</v>
      </c>
      <c r="AA1604">
        <v>0.99427350000000003</v>
      </c>
      <c r="AB1604">
        <v>28</v>
      </c>
      <c r="AC1604">
        <v>-17.6478</v>
      </c>
      <c r="AD1604">
        <v>-1.1110484025932901</v>
      </c>
      <c r="AE1604">
        <v>-1.103</v>
      </c>
      <c r="AF1604">
        <v>-1.91376024179607</v>
      </c>
      <c r="AG1604">
        <v>-1.1110484025932901</v>
      </c>
      <c r="AH1604">
        <v>17.508416917023801</v>
      </c>
      <c r="AI1604">
        <v>93.609563067660204</v>
      </c>
      <c r="AJ1604">
        <v>96.237959855868695</v>
      </c>
      <c r="AK1604">
        <v>17.647707209615401</v>
      </c>
      <c r="AL1604">
        <v>86.9054970922233</v>
      </c>
      <c r="AM1604">
        <v>91.684342011874193</v>
      </c>
      <c r="AN1604">
        <v>0.99999998568543402</v>
      </c>
    </row>
    <row r="1605" spans="1:40" x14ac:dyDescent="0.25">
      <c r="A1605" t="str">
        <f>"20190312151257017"</f>
        <v>20190312151257017</v>
      </c>
      <c r="B1605" t="str">
        <f>"1552374777011352"</f>
        <v>1552374777011352</v>
      </c>
      <c r="C1605" t="s">
        <v>40</v>
      </c>
      <c r="D1605">
        <v>4.949954</v>
      </c>
      <c r="E1605">
        <v>0.49185410000000002</v>
      </c>
      <c r="F1605" t="s">
        <v>54</v>
      </c>
      <c r="G1605">
        <v>-245.43039999999999</v>
      </c>
      <c r="H1605" s="1">
        <v>1.352998E-6</v>
      </c>
      <c r="I1605">
        <v>281.91019999999997</v>
      </c>
      <c r="J1605">
        <v>-226.61770000000001</v>
      </c>
      <c r="K1605">
        <v>1.1110260000000001</v>
      </c>
      <c r="L1605">
        <v>282.02980000000002</v>
      </c>
      <c r="M1605">
        <v>-0.99891719999999895</v>
      </c>
      <c r="N1605">
        <v>0</v>
      </c>
      <c r="O1605">
        <v>4.4965480000000002E-2</v>
      </c>
      <c r="P1605">
        <v>-0.99896370000000001</v>
      </c>
      <c r="Q1605">
        <v>4.2498130000000002E-2</v>
      </c>
      <c r="R1605">
        <v>1.6291489999999999E-2</v>
      </c>
      <c r="S1605">
        <v>-3.0107879999999998</v>
      </c>
      <c r="T1605">
        <v>-0.1754339</v>
      </c>
      <c r="U1605">
        <v>-1.7272949999999999E-2</v>
      </c>
      <c r="V1605">
        <v>-2.8798509999999999E-2</v>
      </c>
      <c r="W1605">
        <v>5.4344389999999999E-2</v>
      </c>
      <c r="X1605">
        <v>0.99810690000000002</v>
      </c>
      <c r="Y1605">
        <v>-5.0537110000000003E-2</v>
      </c>
      <c r="Z1605">
        <v>-4.0885339999999996E-3</v>
      </c>
      <c r="AA1605">
        <v>0.99871379999999998</v>
      </c>
      <c r="AB1605">
        <v>28</v>
      </c>
      <c r="AC1605">
        <v>-18.8126999999999</v>
      </c>
      <c r="AD1605">
        <v>-1.111024647002</v>
      </c>
      <c r="AE1605">
        <v>-0.119600000000048</v>
      </c>
      <c r="AF1605">
        <v>-0.96210594261389004</v>
      </c>
      <c r="AG1605">
        <v>-1.111024647002</v>
      </c>
      <c r="AH1605">
        <v>18.722992317743198</v>
      </c>
      <c r="AI1605">
        <v>93.391491981039493</v>
      </c>
      <c r="AJ1605">
        <v>92.9416327201955</v>
      </c>
      <c r="AK1605">
        <v>18.780587449313899</v>
      </c>
      <c r="AL1605">
        <v>86.8847612277536</v>
      </c>
      <c r="AM1605">
        <v>91.6527041561326</v>
      </c>
      <c r="AN1605">
        <v>1.00000002536515</v>
      </c>
    </row>
    <row r="1606" spans="1:40" x14ac:dyDescent="0.25">
      <c r="A1606" t="str">
        <f>"20190312151257039"</f>
        <v>20190312151257039</v>
      </c>
      <c r="B1606" t="str">
        <f>"1552374777031847"</f>
        <v>1552374777031847</v>
      </c>
      <c r="C1606" t="s">
        <v>40</v>
      </c>
      <c r="D1606">
        <v>5.0122350000000004</v>
      </c>
      <c r="E1606">
        <v>0.4946238</v>
      </c>
      <c r="F1606" t="s">
        <v>54</v>
      </c>
      <c r="G1606">
        <v>-244.47049999999999</v>
      </c>
      <c r="H1606" s="1">
        <v>8.4219319999999996E-7</v>
      </c>
      <c r="I1606">
        <v>281.92989999999998</v>
      </c>
      <c r="J1606">
        <v>-226.8964</v>
      </c>
      <c r="K1606">
        <v>1.1110059999999999</v>
      </c>
      <c r="L1606">
        <v>282.04059999999998</v>
      </c>
      <c r="M1606">
        <v>-0.99898969999999998</v>
      </c>
      <c r="N1606">
        <v>0</v>
      </c>
      <c r="O1606">
        <v>4.3360040000000002E-2</v>
      </c>
      <c r="P1606">
        <v>-0.99897380000000002</v>
      </c>
      <c r="Q1606">
        <v>4.25431E-2</v>
      </c>
      <c r="R1606">
        <v>1.5536899999999999E-2</v>
      </c>
      <c r="S1606">
        <v>-3.0113530000000002</v>
      </c>
      <c r="T1606">
        <v>-0.18740370000000001</v>
      </c>
      <c r="U1606">
        <v>-1.6845699999999901E-2</v>
      </c>
      <c r="V1606">
        <v>-2.7947650000000001E-2</v>
      </c>
      <c r="W1606">
        <v>5.4263930000000002E-2</v>
      </c>
      <c r="X1606">
        <v>0.99813540000000001</v>
      </c>
      <c r="Y1606">
        <v>-4.8772900000000001E-2</v>
      </c>
      <c r="Z1606">
        <v>-4.2115540000000002E-3</v>
      </c>
      <c r="AA1606">
        <v>0.99880100000000005</v>
      </c>
      <c r="AB1606">
        <v>28</v>
      </c>
      <c r="AC1606">
        <v>-17.574099999999898</v>
      </c>
      <c r="AD1606">
        <v>-1.1110051578068001</v>
      </c>
      <c r="AE1606">
        <v>-0.110700000000008</v>
      </c>
      <c r="AF1606">
        <v>-0.86918907760480901</v>
      </c>
      <c r="AG1606">
        <v>-1.1110051578068001</v>
      </c>
      <c r="AH1606">
        <v>17.482900529211399</v>
      </c>
      <c r="AI1606">
        <v>93.631675175942803</v>
      </c>
      <c r="AJ1606">
        <v>92.846203633446507</v>
      </c>
      <c r="AK1606">
        <v>17.539715876478802</v>
      </c>
      <c r="AL1606">
        <v>86.889377858010704</v>
      </c>
      <c r="AM1606">
        <v>91.6038546722272</v>
      </c>
      <c r="AN1606">
        <v>0.99999996098636301</v>
      </c>
    </row>
    <row r="1607" spans="1:40" x14ac:dyDescent="0.25">
      <c r="A1607" t="str">
        <f>"20190312151257062"</f>
        <v>20190312151257062</v>
      </c>
      <c r="B1607" t="str">
        <f>"1552374777051367"</f>
        <v>1552374777051367</v>
      </c>
      <c r="C1607" t="s">
        <v>40</v>
      </c>
      <c r="D1607">
        <v>4.970078</v>
      </c>
      <c r="E1607">
        <v>0.49607479999999998</v>
      </c>
      <c r="F1607" t="s">
        <v>54</v>
      </c>
      <c r="G1607">
        <v>-245.75110000000001</v>
      </c>
      <c r="H1607" s="1">
        <v>1.5236319999999999E-6</v>
      </c>
      <c r="I1607">
        <v>282.0607</v>
      </c>
      <c r="J1607">
        <v>-227.16900000000001</v>
      </c>
      <c r="K1607">
        <v>1.110981</v>
      </c>
      <c r="L1607">
        <v>282.05079999999998</v>
      </c>
      <c r="M1607">
        <v>-0.99905840000000001</v>
      </c>
      <c r="N1607">
        <v>0</v>
      </c>
      <c r="O1607">
        <v>4.1789840000000002E-2</v>
      </c>
      <c r="P1607">
        <v>-0.99896030000000002</v>
      </c>
      <c r="Q1607">
        <v>4.3170979999999998E-2</v>
      </c>
      <c r="R1607">
        <v>1.467005E-2</v>
      </c>
      <c r="S1607">
        <v>-3.0105900000000001</v>
      </c>
      <c r="T1607">
        <v>-0.1773981</v>
      </c>
      <c r="U1607">
        <v>3.2043459999999998E-3</v>
      </c>
      <c r="V1607">
        <v>-2.724443E-2</v>
      </c>
      <c r="W1607">
        <v>5.4746240000000002E-2</v>
      </c>
      <c r="X1607">
        <v>0.99812849999999997</v>
      </c>
      <c r="Y1607">
        <v>-4.0586369999999997E-2</v>
      </c>
      <c r="Z1607">
        <v>-3.6546679999999998E-3</v>
      </c>
      <c r="AA1607">
        <v>0.99916930000000004</v>
      </c>
      <c r="AB1607">
        <v>28</v>
      </c>
      <c r="AC1607">
        <v>-18.582100000000001</v>
      </c>
      <c r="AD1607">
        <v>-1.1109794763680001</v>
      </c>
      <c r="AE1607">
        <v>9.9000000000160002E-3</v>
      </c>
      <c r="AF1607">
        <v>-0.76397354787654803</v>
      </c>
      <c r="AG1607">
        <v>-1.1109794763680001</v>
      </c>
      <c r="AH1607">
        <v>18.500148788828099</v>
      </c>
      <c r="AI1607">
        <v>93.433705876642705</v>
      </c>
      <c r="AJ1607">
        <v>92.364716297434697</v>
      </c>
      <c r="AK1607">
        <v>18.549216592286101</v>
      </c>
      <c r="AL1607">
        <v>86.861702374227207</v>
      </c>
      <c r="AM1607">
        <v>91.563529503403501</v>
      </c>
      <c r="AN1607">
        <v>0.99999995613620496</v>
      </c>
    </row>
    <row r="1608" spans="1:40" x14ac:dyDescent="0.25">
      <c r="A1608" t="str">
        <f>"20190312151257084"</f>
        <v>20190312151257084</v>
      </c>
      <c r="B1608" t="str">
        <f>"1552374777081229"</f>
        <v>1552374777081229</v>
      </c>
      <c r="C1608" t="s">
        <v>40</v>
      </c>
      <c r="D1608">
        <v>4.9908229999999998</v>
      </c>
      <c r="E1608">
        <v>0.49650369999999999</v>
      </c>
      <c r="F1608" t="s">
        <v>54</v>
      </c>
      <c r="G1608">
        <v>-247.10990000000001</v>
      </c>
      <c r="H1608" s="1">
        <v>2.24676E-6</v>
      </c>
      <c r="I1608">
        <v>282.1318</v>
      </c>
      <c r="J1608">
        <v>-227.43889999999999</v>
      </c>
      <c r="K1608">
        <v>1.110959</v>
      </c>
      <c r="L1608">
        <v>282.06040000000002</v>
      </c>
      <c r="M1608">
        <v>-0.99912409999999996</v>
      </c>
      <c r="N1608">
        <v>0</v>
      </c>
      <c r="O1608">
        <v>4.0235130000000001E-2</v>
      </c>
      <c r="P1608">
        <v>-0.99891940000000001</v>
      </c>
      <c r="Q1608">
        <v>4.4201869999999997E-2</v>
      </c>
      <c r="R1608">
        <v>1.436191E-2</v>
      </c>
      <c r="S1608">
        <v>-3.0101930000000001</v>
      </c>
      <c r="T1608">
        <v>-0.16770839999999901</v>
      </c>
      <c r="U1608">
        <v>1.223755E-2</v>
      </c>
      <c r="V1608">
        <v>-2.5999520000000002E-2</v>
      </c>
      <c r="W1608">
        <v>5.5613250000000003E-2</v>
      </c>
      <c r="X1608">
        <v>0.99811380000000005</v>
      </c>
      <c r="Y1608">
        <v>-3.605713E-2</v>
      </c>
      <c r="Z1608">
        <v>-3.2431949999999999E-3</v>
      </c>
      <c r="AA1608">
        <v>0.99934449999999997</v>
      </c>
      <c r="AB1608">
        <v>28</v>
      </c>
      <c r="AC1608">
        <v>-19.670999999999999</v>
      </c>
      <c r="AD1608">
        <v>-1.11095675324</v>
      </c>
      <c r="AE1608">
        <v>7.1399999999982797E-2</v>
      </c>
      <c r="AF1608">
        <v>-0.71788560958544101</v>
      </c>
      <c r="AG1608">
        <v>-1.11095675324</v>
      </c>
      <c r="AH1608">
        <v>19.595440525988</v>
      </c>
      <c r="AI1608">
        <v>93.242720070190003</v>
      </c>
      <c r="AJ1608">
        <v>92.098111991408402</v>
      </c>
      <c r="AK1608">
        <v>19.6400324353997</v>
      </c>
      <c r="AL1608">
        <v>86.811950642970999</v>
      </c>
      <c r="AM1608">
        <v>91.492140449674196</v>
      </c>
      <c r="AN1608">
        <v>0.999999983183116</v>
      </c>
    </row>
    <row r="1609" spans="1:40" x14ac:dyDescent="0.25">
      <c r="A1609" t="str">
        <f>"20190312151257106"</f>
        <v>20190312151257106</v>
      </c>
      <c r="B1609" t="str">
        <f>"1552374777101725"</f>
        <v>1552374777101725</v>
      </c>
      <c r="C1609" t="s">
        <v>40</v>
      </c>
      <c r="D1609">
        <v>5.2625339999999996</v>
      </c>
      <c r="E1609">
        <v>0.49650369999999999</v>
      </c>
      <c r="F1609" t="s">
        <v>54</v>
      </c>
      <c r="G1609">
        <v>-248.7576</v>
      </c>
      <c r="H1609" s="1">
        <v>3.1235759999999998E-6</v>
      </c>
      <c r="I1609">
        <v>282.16500000000002</v>
      </c>
      <c r="J1609">
        <v>-227.71029999999999</v>
      </c>
      <c r="K1609">
        <v>1.1109370000000001</v>
      </c>
      <c r="L1609">
        <v>282.06970000000001</v>
      </c>
      <c r="M1609">
        <v>-0.99918790000000002</v>
      </c>
      <c r="N1609">
        <v>0</v>
      </c>
      <c r="O1609">
        <v>3.86723E-2</v>
      </c>
      <c r="P1609">
        <v>-0.99886909999999896</v>
      </c>
      <c r="Q1609">
        <v>4.5338410000000003E-2</v>
      </c>
      <c r="R1609">
        <v>1.4313879999999999E-2</v>
      </c>
      <c r="S1609">
        <v>-3.009995</v>
      </c>
      <c r="T1609">
        <v>-0.1568562</v>
      </c>
      <c r="U1609">
        <v>1.4770510000000001E-2</v>
      </c>
      <c r="V1609">
        <v>-2.448612E-2</v>
      </c>
      <c r="W1609">
        <v>5.6567800000000001E-2</v>
      </c>
      <c r="X1609">
        <v>0.99809840000000005</v>
      </c>
      <c r="Y1609">
        <v>-3.3672750000000001E-2</v>
      </c>
      <c r="Z1609">
        <v>-2.8903819999999999E-3</v>
      </c>
      <c r="AA1609">
        <v>0.99942869999999995</v>
      </c>
      <c r="AB1609">
        <v>28</v>
      </c>
      <c r="AC1609">
        <v>-21.0473</v>
      </c>
      <c r="AD1609">
        <v>-1.110933876424</v>
      </c>
      <c r="AE1609">
        <v>9.5300000000008794E-2</v>
      </c>
      <c r="AF1609">
        <v>-0.71677399045725498</v>
      </c>
      <c r="AG1609">
        <v>-1.110933876424</v>
      </c>
      <c r="AH1609">
        <v>20.9767986871917</v>
      </c>
      <c r="AI1609">
        <v>93.029794521896903</v>
      </c>
      <c r="AJ1609">
        <v>91.957026565371507</v>
      </c>
      <c r="AK1609">
        <v>21.018421020479799</v>
      </c>
      <c r="AL1609">
        <v>86.7571726117948</v>
      </c>
      <c r="AM1609">
        <v>91.405342374669004</v>
      </c>
      <c r="AN1609">
        <v>0.99999995107602602</v>
      </c>
    </row>
    <row r="1610" spans="1:40" x14ac:dyDescent="0.25">
      <c r="A1610" t="str">
        <f>"20190312151257153"</f>
        <v>20190312151257153</v>
      </c>
      <c r="B1610" t="str">
        <f>"1552374777141741"</f>
        <v>1552374777141741</v>
      </c>
      <c r="C1610" t="s">
        <v>40</v>
      </c>
      <c r="D1610">
        <v>4.9654579999999999</v>
      </c>
      <c r="E1610">
        <v>0.49681140000000001</v>
      </c>
      <c r="F1610" t="s">
        <v>54</v>
      </c>
      <c r="G1610">
        <v>-249.5145</v>
      </c>
      <c r="H1610" s="1">
        <v>3.5263559999999999E-6</v>
      </c>
      <c r="I1610">
        <v>282.17</v>
      </c>
      <c r="J1610">
        <v>-228.29040000000001</v>
      </c>
      <c r="K1610">
        <v>1.1108800000000001</v>
      </c>
      <c r="L1610">
        <v>282.08800000000002</v>
      </c>
      <c r="M1610">
        <v>-0.99931650000000005</v>
      </c>
      <c r="N1610">
        <v>0</v>
      </c>
      <c r="O1610">
        <v>3.5333049999999998E-2</v>
      </c>
      <c r="P1610">
        <v>-0.99879600000000002</v>
      </c>
      <c r="Q1610">
        <v>4.7126410000000001E-2</v>
      </c>
      <c r="R1610">
        <v>1.362491E-2</v>
      </c>
      <c r="S1610">
        <v>-3.0101619999999998</v>
      </c>
      <c r="T1610">
        <v>-0.15336939999999999</v>
      </c>
      <c r="U1610">
        <v>1.3854979999999999E-2</v>
      </c>
      <c r="V1610">
        <v>-2.183912E-2</v>
      </c>
      <c r="W1610">
        <v>5.7921229999999997E-2</v>
      </c>
      <c r="X1610">
        <v>0.99808229999999998</v>
      </c>
      <c r="Y1610">
        <v>-3.064938E-2</v>
      </c>
      <c r="Z1610">
        <v>-2.579142E-3</v>
      </c>
      <c r="AA1610">
        <v>0.9995269</v>
      </c>
      <c r="AB1610">
        <v>28</v>
      </c>
      <c r="AC1610">
        <v>-21.2241</v>
      </c>
      <c r="AD1610">
        <v>-1.11087647364399</v>
      </c>
      <c r="AE1610">
        <v>8.2000000000050394E-2</v>
      </c>
      <c r="AF1610">
        <v>-0.66618269606966796</v>
      </c>
      <c r="AG1610">
        <v>-1.11087647364399</v>
      </c>
      <c r="AH1610">
        <v>21.1557877973611</v>
      </c>
      <c r="AI1610">
        <v>93.0043166701454</v>
      </c>
      <c r="AJ1610">
        <v>91.803612736934298</v>
      </c>
      <c r="AK1610">
        <v>21.195405239136399</v>
      </c>
      <c r="AL1610">
        <v>86.679499723931897</v>
      </c>
      <c r="AM1610">
        <v>91.253493588116299</v>
      </c>
      <c r="AN1610">
        <v>1.00000004681018</v>
      </c>
    </row>
    <row r="1611" spans="1:40" x14ac:dyDescent="0.25">
      <c r="A1611" t="str">
        <f>"20190312151257196"</f>
        <v>20190312151257196</v>
      </c>
      <c r="B1611" t="str">
        <f>"1552374777191309"</f>
        <v>1552374777191309</v>
      </c>
      <c r="C1611" t="s">
        <v>40</v>
      </c>
      <c r="D1611">
        <v>4.9752210000000003</v>
      </c>
      <c r="E1611">
        <v>0.49634610000000001</v>
      </c>
      <c r="F1611" t="s">
        <v>54</v>
      </c>
      <c r="G1611">
        <v>-251.77789999999999</v>
      </c>
      <c r="H1611" s="1">
        <v>-5.9066759999999895E-7</v>
      </c>
      <c r="I1611">
        <v>282.19850000000002</v>
      </c>
      <c r="J1611">
        <v>-228.82499999999999</v>
      </c>
      <c r="K1611">
        <v>1.110833</v>
      </c>
      <c r="L1611">
        <v>282.10320000000002</v>
      </c>
      <c r="M1611">
        <v>-0.99942520000000001</v>
      </c>
      <c r="N1611">
        <v>0</v>
      </c>
      <c r="O1611">
        <v>3.2255939999999997E-2</v>
      </c>
      <c r="P1611">
        <v>-0.99878979999999995</v>
      </c>
      <c r="Q1611">
        <v>4.738055E-2</v>
      </c>
      <c r="R1611">
        <v>1.3183729999999999E-2</v>
      </c>
      <c r="S1611">
        <v>-3.010132</v>
      </c>
      <c r="T1611">
        <v>-0.142369</v>
      </c>
      <c r="U1611">
        <v>1.416016E-2</v>
      </c>
      <c r="V1611">
        <v>-1.9205489999999999E-2</v>
      </c>
      <c r="W1611">
        <v>5.7745570000000003E-2</v>
      </c>
      <c r="X1611">
        <v>0.99814659999999999</v>
      </c>
      <c r="Y1611">
        <v>-2.74889E-2</v>
      </c>
      <c r="Z1611">
        <v>-2.1742910000000001E-3</v>
      </c>
      <c r="AA1611">
        <v>0.9996197</v>
      </c>
      <c r="AB1611">
        <v>28</v>
      </c>
      <c r="AC1611">
        <v>-22.9529</v>
      </c>
      <c r="AD1611">
        <v>-1.1108335906675999</v>
      </c>
      <c r="AE1611">
        <v>9.5300000000008794E-2</v>
      </c>
      <c r="AF1611">
        <v>-0.64364972231732898</v>
      </c>
      <c r="AG1611">
        <v>-1.1108335906675999</v>
      </c>
      <c r="AH1611">
        <v>22.8904162547563</v>
      </c>
      <c r="AI1611">
        <v>92.777192724112496</v>
      </c>
      <c r="AJ1611">
        <v>91.610660867747697</v>
      </c>
      <c r="AK1611">
        <v>22.926390744013901</v>
      </c>
      <c r="AL1611">
        <v>86.689581079779501</v>
      </c>
      <c r="AM1611">
        <v>91.102300758264903</v>
      </c>
      <c r="AN1611">
        <v>1.0000000183961599</v>
      </c>
    </row>
    <row r="1612" spans="1:40" x14ac:dyDescent="0.25">
      <c r="A1612" t="str">
        <f>"20190312151257218"</f>
        <v>20190312151257218</v>
      </c>
      <c r="B1612" t="str">
        <f>"1552374777211806"</f>
        <v>1552374777211806</v>
      </c>
      <c r="C1612" t="s">
        <v>40</v>
      </c>
      <c r="D1612">
        <v>5.2083760000000003</v>
      </c>
      <c r="E1612">
        <v>0.49691360000000001</v>
      </c>
      <c r="F1612" t="s">
        <v>54</v>
      </c>
      <c r="G1612">
        <v>-260.63839999999999</v>
      </c>
      <c r="H1612" s="1">
        <v>-1.197042E-6</v>
      </c>
      <c r="I1612">
        <v>282.19810000000001</v>
      </c>
      <c r="J1612">
        <v>-229.1046</v>
      </c>
      <c r="K1612">
        <v>1.1108009999999999</v>
      </c>
      <c r="L1612">
        <v>282.1105</v>
      </c>
      <c r="M1612">
        <v>-0.99947839999999999</v>
      </c>
      <c r="N1612">
        <v>0</v>
      </c>
      <c r="O1612">
        <v>3.0646719999999999E-2</v>
      </c>
      <c r="P1612">
        <v>-0.99878429999999996</v>
      </c>
      <c r="Q1612">
        <v>4.7688769999999998E-2</v>
      </c>
      <c r="R1612">
        <v>1.248783E-2</v>
      </c>
      <c r="S1612">
        <v>-3.0085139999999999</v>
      </c>
      <c r="T1612">
        <v>-0.10504869999999999</v>
      </c>
      <c r="U1612">
        <v>8.9721680000000009E-3</v>
      </c>
      <c r="V1612">
        <v>-1.8293960000000001E-2</v>
      </c>
      <c r="W1612">
        <v>5.7811260000000003E-2</v>
      </c>
      <c r="X1612">
        <v>0.99815989999999999</v>
      </c>
      <c r="Y1612">
        <v>-2.7631820000000001E-2</v>
      </c>
      <c r="Z1612">
        <v>-1.551949E-3</v>
      </c>
      <c r="AA1612">
        <v>0.99961699999999998</v>
      </c>
      <c r="AB1612">
        <v>28</v>
      </c>
      <c r="AC1612">
        <v>-31.5337999999999</v>
      </c>
      <c r="AD1612">
        <v>-1.1108021970419999</v>
      </c>
      <c r="AE1612">
        <v>8.7600000000008907E-2</v>
      </c>
      <c r="AF1612">
        <v>-0.87780958071261905</v>
      </c>
      <c r="AG1612">
        <v>-1.1108021970419999</v>
      </c>
      <c r="AH1612">
        <v>31.482606135409799</v>
      </c>
      <c r="AI1612">
        <v>92.019946914945606</v>
      </c>
      <c r="AJ1612">
        <v>91.5971281587466</v>
      </c>
      <c r="AK1612">
        <v>31.5144240032764</v>
      </c>
      <c r="AL1612">
        <v>86.685810955481699</v>
      </c>
      <c r="AM1612">
        <v>91.049981431922504</v>
      </c>
      <c r="AN1612">
        <v>0.999999998361639</v>
      </c>
    </row>
    <row r="1613" spans="1:40" x14ac:dyDescent="0.25">
      <c r="A1613" t="str">
        <f>"20190312151257241"</f>
        <v>20190312151257241</v>
      </c>
      <c r="B1613" t="str">
        <f>"1552374777231325"</f>
        <v>1552374777231325</v>
      </c>
      <c r="C1613" t="s">
        <v>40</v>
      </c>
      <c r="D1613">
        <v>4.8975900000000001</v>
      </c>
      <c r="E1613">
        <v>0.49692140000000001</v>
      </c>
      <c r="F1613" t="s">
        <v>54</v>
      </c>
      <c r="G1613">
        <v>-262.5129</v>
      </c>
      <c r="H1613" s="1">
        <v>-1.9952840000000001E-7</v>
      </c>
      <c r="I1613">
        <v>282.23559999999998</v>
      </c>
      <c r="J1613">
        <v>-229.3937</v>
      </c>
      <c r="K1613">
        <v>1.1107750000000001</v>
      </c>
      <c r="L1613">
        <v>282.11770000000001</v>
      </c>
      <c r="M1613">
        <v>-0.99953080000000005</v>
      </c>
      <c r="N1613">
        <v>0</v>
      </c>
      <c r="O1613">
        <v>2.8982399999999998E-2</v>
      </c>
      <c r="P1613">
        <v>-0.99875290000000005</v>
      </c>
      <c r="Q1613">
        <v>4.8638710000000002E-2</v>
      </c>
      <c r="R1613">
        <v>1.126825E-2</v>
      </c>
      <c r="S1613">
        <v>-3.00827</v>
      </c>
      <c r="T1613">
        <v>-0.1000226</v>
      </c>
      <c r="U1613">
        <v>1.126099E-2</v>
      </c>
      <c r="V1613">
        <v>-1.7851550000000001E-2</v>
      </c>
      <c r="W1613">
        <v>5.8499120000000002E-2</v>
      </c>
      <c r="X1613">
        <v>0.99812780000000001</v>
      </c>
      <c r="Y1613">
        <v>-2.5211919999999999E-2</v>
      </c>
      <c r="Z1613">
        <v>-1.382325E-3</v>
      </c>
      <c r="AA1613">
        <v>0.99968120000000005</v>
      </c>
      <c r="AB1613">
        <v>28</v>
      </c>
      <c r="AC1613">
        <v>-33.119199999999999</v>
      </c>
      <c r="AD1613">
        <v>-1.1107751995283901</v>
      </c>
      <c r="AE1613">
        <v>0.11789999999996301</v>
      </c>
      <c r="AF1613">
        <v>-0.84112444496598804</v>
      </c>
      <c r="AG1613">
        <v>-1.1107751995283901</v>
      </c>
      <c r="AH1613">
        <v>33.0715033361937</v>
      </c>
      <c r="AI1613">
        <v>91.923053328444993</v>
      </c>
      <c r="AJ1613">
        <v>91.456918752025004</v>
      </c>
      <c r="AK1613">
        <v>33.100840545093</v>
      </c>
      <c r="AL1613">
        <v>86.646332552894904</v>
      </c>
      <c r="AM1613">
        <v>91.024627743921499</v>
      </c>
      <c r="AN1613">
        <v>0.99999996500550703</v>
      </c>
    </row>
    <row r="1614" spans="1:40" x14ac:dyDescent="0.25">
      <c r="A1614" t="str">
        <f>"20190312151257263"</f>
        <v>20190312151257263</v>
      </c>
      <c r="B1614" t="str">
        <f>"1552374777251822"</f>
        <v>1552374777251822</v>
      </c>
      <c r="C1614" t="s">
        <v>40</v>
      </c>
      <c r="D1614">
        <v>5.0346359999999999</v>
      </c>
      <c r="E1614">
        <v>0.49717889999999998</v>
      </c>
      <c r="F1614" t="s">
        <v>54</v>
      </c>
      <c r="G1614">
        <v>-263.73070000000001</v>
      </c>
      <c r="H1614" s="1">
        <v>4.4849740000000002E-7</v>
      </c>
      <c r="I1614">
        <v>282.20339999999999</v>
      </c>
      <c r="J1614">
        <v>-229.67750000000001</v>
      </c>
      <c r="K1614">
        <v>1.110744</v>
      </c>
      <c r="L1614">
        <v>282.12419999999997</v>
      </c>
      <c r="M1614">
        <v>-0.99957929999999995</v>
      </c>
      <c r="N1614">
        <v>0</v>
      </c>
      <c r="O1614">
        <v>2.7349040000000002E-2</v>
      </c>
      <c r="P1614">
        <v>-0.99871200000000004</v>
      </c>
      <c r="Q1614">
        <v>4.9724339999999999E-2</v>
      </c>
      <c r="R1614">
        <v>1.010812E-2</v>
      </c>
      <c r="S1614">
        <v>-3.0084230000000001</v>
      </c>
      <c r="T1614">
        <v>-9.7320080000000003E-2</v>
      </c>
      <c r="U1614">
        <v>7.5073240000000001E-3</v>
      </c>
      <c r="V1614">
        <v>-1.7381420000000002E-2</v>
      </c>
      <c r="W1614">
        <v>5.9321190000000003E-2</v>
      </c>
      <c r="X1614">
        <v>0.99808759999999996</v>
      </c>
      <c r="Y1614">
        <v>-2.482844E-2</v>
      </c>
      <c r="Z1614">
        <v>-1.2859220000000001E-3</v>
      </c>
      <c r="AA1614">
        <v>0.99969090000000005</v>
      </c>
      <c r="AB1614">
        <v>28</v>
      </c>
      <c r="AC1614">
        <v>-34.053199999999997</v>
      </c>
      <c r="AD1614">
        <v>-1.1107435515025901</v>
      </c>
      <c r="AE1614">
        <v>7.9200000000014301E-2</v>
      </c>
      <c r="AF1614">
        <v>-0.85128967919898402</v>
      </c>
      <c r="AG1614">
        <v>-1.1107435515025901</v>
      </c>
      <c r="AH1614">
        <v>34.006447014510201</v>
      </c>
      <c r="AI1614">
        <v>91.870186267686805</v>
      </c>
      <c r="AJ1614">
        <v>91.433996355241803</v>
      </c>
      <c r="AK1614">
        <v>34.035230040442002</v>
      </c>
      <c r="AL1614">
        <v>86.599149540971595</v>
      </c>
      <c r="AM1614">
        <v>90.997689332760999</v>
      </c>
      <c r="AN1614">
        <v>0.99999998730899597</v>
      </c>
    </row>
    <row r="1615" spans="1:40" x14ac:dyDescent="0.25">
      <c r="A1615" t="str">
        <f>"20190312151257284"</f>
        <v>20190312151257284</v>
      </c>
      <c r="B1615" t="str">
        <f>"1552374777271341"</f>
        <v>1552374777271341</v>
      </c>
      <c r="C1615" t="s">
        <v>40</v>
      </c>
      <c r="D1615">
        <v>4.9756799999999997</v>
      </c>
      <c r="E1615">
        <v>0.49692259999999999</v>
      </c>
      <c r="F1615" t="s">
        <v>54</v>
      </c>
      <c r="G1615">
        <v>-263.70830000000001</v>
      </c>
      <c r="H1615" s="1">
        <v>4.366017E-7</v>
      </c>
      <c r="I1615">
        <v>282.1909</v>
      </c>
      <c r="J1615">
        <v>-229.93960000000001</v>
      </c>
      <c r="K1615">
        <v>1.110722</v>
      </c>
      <c r="L1615">
        <v>282.12990000000002</v>
      </c>
      <c r="M1615">
        <v>-0.9996216</v>
      </c>
      <c r="N1615">
        <v>0</v>
      </c>
      <c r="O1615">
        <v>2.5841300000000001E-2</v>
      </c>
      <c r="P1615">
        <v>-0.99870700000000001</v>
      </c>
      <c r="Q1615">
        <v>5.0136340000000001E-2</v>
      </c>
      <c r="R1615">
        <v>8.4053469999999901E-3</v>
      </c>
      <c r="S1615">
        <v>-3.0086819999999999</v>
      </c>
      <c r="T1615">
        <v>-9.8201510000000006E-2</v>
      </c>
      <c r="U1615">
        <v>5.8898930000000002E-3</v>
      </c>
      <c r="V1615">
        <v>-1.7578759999999999E-2</v>
      </c>
      <c r="W1615">
        <v>5.9485419999999997E-2</v>
      </c>
      <c r="X1615">
        <v>0.99807440000000003</v>
      </c>
      <c r="Y1615">
        <v>-2.3858959999999999E-2</v>
      </c>
      <c r="Z1615">
        <v>-1.232447E-3</v>
      </c>
      <c r="AA1615">
        <v>0.99971460000000001</v>
      </c>
      <c r="AB1615">
        <v>28</v>
      </c>
      <c r="AC1615">
        <v>-33.768699999999903</v>
      </c>
      <c r="AD1615">
        <v>-1.1107215633983001</v>
      </c>
      <c r="AE1615">
        <v>6.0999999999978599E-2</v>
      </c>
      <c r="AF1615">
        <v>-0.81080906292399102</v>
      </c>
      <c r="AG1615">
        <v>-1.1107215633983001</v>
      </c>
      <c r="AH1615">
        <v>33.722514778222703</v>
      </c>
      <c r="AI1615">
        <v>91.885929713976296</v>
      </c>
      <c r="AJ1615">
        <v>91.377328730192104</v>
      </c>
      <c r="AK1615">
        <v>33.750542465201498</v>
      </c>
      <c r="AL1615">
        <v>86.589723313346894</v>
      </c>
      <c r="AM1615">
        <v>91.009027614588504</v>
      </c>
      <c r="AN1615">
        <v>1.00000001796553</v>
      </c>
    </row>
    <row r="1616" spans="1:40" x14ac:dyDescent="0.25">
      <c r="A1616" t="str">
        <f>"20190312151257308"</f>
        <v>20190312151257308</v>
      </c>
      <c r="B1616" t="str">
        <f>"1552374777301341"</f>
        <v>1552374777301341</v>
      </c>
      <c r="C1616" t="s">
        <v>40</v>
      </c>
      <c r="D1616">
        <v>4.9520780000000002</v>
      </c>
      <c r="E1616">
        <v>0.4963805</v>
      </c>
      <c r="F1616" t="s">
        <v>54</v>
      </c>
      <c r="G1616">
        <v>-264.12720000000002</v>
      </c>
      <c r="H1616" s="1">
        <v>6.5950170000000002E-7</v>
      </c>
      <c r="I1616">
        <v>282.11430000000001</v>
      </c>
      <c r="J1616">
        <v>-230.22810000000001</v>
      </c>
      <c r="K1616">
        <v>1.110698</v>
      </c>
      <c r="L1616">
        <v>282.13560000000001</v>
      </c>
      <c r="M1616">
        <v>-0.99966569999999999</v>
      </c>
      <c r="N1616">
        <v>0</v>
      </c>
      <c r="O1616">
        <v>2.4183079999999999E-2</v>
      </c>
      <c r="P1616">
        <v>-0.99867919999999999</v>
      </c>
      <c r="Q1616">
        <v>5.0923980000000001E-2</v>
      </c>
      <c r="R1616">
        <v>6.8199019999999897E-3</v>
      </c>
      <c r="S1616">
        <v>-3.008804</v>
      </c>
      <c r="T1616">
        <v>-9.775317E-2</v>
      </c>
      <c r="U1616">
        <v>-1.373291E-3</v>
      </c>
      <c r="V1616">
        <v>-1.750873E-2</v>
      </c>
      <c r="W1616">
        <v>6.0005660000000002E-2</v>
      </c>
      <c r="X1616">
        <v>0.9980445</v>
      </c>
      <c r="Y1616">
        <v>-2.4614629999999998E-2</v>
      </c>
      <c r="Z1616">
        <v>-1.185202E-3</v>
      </c>
      <c r="AA1616">
        <v>0.99969629999999998</v>
      </c>
      <c r="AB1616">
        <v>28</v>
      </c>
      <c r="AC1616">
        <v>-33.899099999999997</v>
      </c>
      <c r="AD1616">
        <v>-1.1106973404983</v>
      </c>
      <c r="AE1616">
        <v>-2.1299999999996499E-2</v>
      </c>
      <c r="AF1616">
        <v>-0.84021072099808403</v>
      </c>
      <c r="AG1616">
        <v>-1.1106973404983</v>
      </c>
      <c r="AH1616">
        <v>33.852328585843601</v>
      </c>
      <c r="AI1616">
        <v>91.878626388711297</v>
      </c>
      <c r="AJ1616">
        <v>91.421782447424903</v>
      </c>
      <c r="AK1616">
        <v>33.880964468588999</v>
      </c>
      <c r="AL1616">
        <v>86.559862454335203</v>
      </c>
      <c r="AM1616">
        <v>91.005038794117098</v>
      </c>
      <c r="AN1616">
        <v>1.0000000294192399</v>
      </c>
    </row>
    <row r="1617" spans="1:40" x14ac:dyDescent="0.25">
      <c r="A1617" t="str">
        <f>"20190312151257330"</f>
        <v>20190312151257330</v>
      </c>
      <c r="B1617" t="str">
        <f>"1552374777321838"</f>
        <v>1552374777321838</v>
      </c>
      <c r="C1617" t="s">
        <v>40</v>
      </c>
      <c r="D1617">
        <v>5.0847369999999996</v>
      </c>
      <c r="E1617">
        <v>0.49657400000000002</v>
      </c>
      <c r="F1617" t="s">
        <v>54</v>
      </c>
      <c r="G1617">
        <v>-264.23219999999998</v>
      </c>
      <c r="H1617" s="1">
        <v>7.1540509999999898E-7</v>
      </c>
      <c r="I1617">
        <v>282.01350000000002</v>
      </c>
      <c r="J1617">
        <v>-230.52260000000001</v>
      </c>
      <c r="K1617">
        <v>1.1106750000000001</v>
      </c>
      <c r="L1617">
        <v>282.14100000000002</v>
      </c>
      <c r="M1617">
        <v>-0.99970769999999998</v>
      </c>
      <c r="N1617">
        <v>0</v>
      </c>
      <c r="O1617">
        <v>2.2491219999999999E-2</v>
      </c>
      <c r="P1617">
        <v>-0.99867229999999996</v>
      </c>
      <c r="Q1617">
        <v>5.1242160000000002E-2</v>
      </c>
      <c r="R1617">
        <v>5.3250119999999996E-3</v>
      </c>
      <c r="S1617">
        <v>-3.0090479999999999</v>
      </c>
      <c r="T1617">
        <v>-9.8286269999999995E-2</v>
      </c>
      <c r="U1617">
        <v>-1.0803220000000001E-2</v>
      </c>
      <c r="V1617">
        <v>-1.73145E-2</v>
      </c>
      <c r="W1617">
        <v>6.0061820000000002E-2</v>
      </c>
      <c r="X1617">
        <v>0.9980445</v>
      </c>
      <c r="Y1617">
        <v>-2.6055390000000001E-2</v>
      </c>
      <c r="Z1617">
        <v>-1.1598509999999999E-3</v>
      </c>
      <c r="AA1617">
        <v>0.99965979999999999</v>
      </c>
      <c r="AB1617">
        <v>28</v>
      </c>
      <c r="AC1617">
        <v>-33.709599999999902</v>
      </c>
      <c r="AD1617">
        <v>-1.11067428459489</v>
      </c>
      <c r="AE1617">
        <v>-0.12749999999993999</v>
      </c>
      <c r="AF1617">
        <v>-0.88470717885545203</v>
      </c>
      <c r="AG1617">
        <v>-1.11067428459489</v>
      </c>
      <c r="AH1617">
        <v>33.661662148009199</v>
      </c>
      <c r="AI1617">
        <v>91.889149931785497</v>
      </c>
      <c r="AJ1617">
        <v>91.505520449500807</v>
      </c>
      <c r="AK1617">
        <v>33.691598399682597</v>
      </c>
      <c r="AL1617">
        <v>86.556638873573306</v>
      </c>
      <c r="AM1617">
        <v>90.9938918229807</v>
      </c>
      <c r="AN1617">
        <v>1.0000000190561</v>
      </c>
    </row>
    <row r="1618" spans="1:40" x14ac:dyDescent="0.25">
      <c r="A1618" t="str">
        <f>"20190312151257354"</f>
        <v>20190312151257354</v>
      </c>
      <c r="B1618" t="str">
        <f>"1552374777341358"</f>
        <v>1552374777341358</v>
      </c>
      <c r="C1618" t="s">
        <v>40</v>
      </c>
      <c r="D1618">
        <v>4.9102589999999999</v>
      </c>
      <c r="E1618">
        <v>0.49623630000000002</v>
      </c>
      <c r="F1618" t="s">
        <v>54</v>
      </c>
      <c r="G1618">
        <v>-264.64580000000001</v>
      </c>
      <c r="H1618" s="1">
        <v>9.3547999999999996E-7</v>
      </c>
      <c r="I1618">
        <v>281.98320000000001</v>
      </c>
      <c r="J1618">
        <v>-230.815</v>
      </c>
      <c r="K1618">
        <v>1.110654</v>
      </c>
      <c r="L1618">
        <v>282.14580000000001</v>
      </c>
      <c r="M1618">
        <v>-0.99974609999999997</v>
      </c>
      <c r="N1618">
        <v>0</v>
      </c>
      <c r="O1618">
        <v>2.0813749999999999E-2</v>
      </c>
      <c r="P1618">
        <v>-0.99864739999999996</v>
      </c>
      <c r="Q1618">
        <v>5.1872269999999998E-2</v>
      </c>
      <c r="R1618">
        <v>3.6109509999999998E-3</v>
      </c>
      <c r="S1618">
        <v>-3.0090940000000002</v>
      </c>
      <c r="T1618">
        <v>-9.7942829999999995E-2</v>
      </c>
      <c r="U1618">
        <v>-1.3916019999999999E-2</v>
      </c>
      <c r="V1618">
        <v>-1.735455E-2</v>
      </c>
      <c r="W1618">
        <v>6.0449749999999997E-2</v>
      </c>
      <c r="X1618">
        <v>0.99802040000000003</v>
      </c>
      <c r="Y1618">
        <v>-2.5413419999999999E-2</v>
      </c>
      <c r="Z1618">
        <v>-1.0907569999999999E-3</v>
      </c>
      <c r="AA1618">
        <v>0.99967640000000002</v>
      </c>
      <c r="AB1618">
        <v>28</v>
      </c>
      <c r="AC1618">
        <v>-33.830800000000004</v>
      </c>
      <c r="AD1618">
        <v>-1.1106530645199999</v>
      </c>
      <c r="AE1618">
        <v>-0.162599999999997</v>
      </c>
      <c r="AF1618">
        <v>-0.86580369698267801</v>
      </c>
      <c r="AG1618">
        <v>-1.1106530645199999</v>
      </c>
      <c r="AH1618">
        <v>33.783675548855697</v>
      </c>
      <c r="AI1618">
        <v>91.882327972161704</v>
      </c>
      <c r="AJ1618">
        <v>91.4680475346224</v>
      </c>
      <c r="AK1618">
        <v>33.813013764847803</v>
      </c>
      <c r="AL1618">
        <v>86.534371719825302</v>
      </c>
      <c r="AM1618">
        <v>90.9962143726043</v>
      </c>
      <c r="AN1618">
        <v>1.00000003574846</v>
      </c>
    </row>
    <row r="1619" spans="1:40" x14ac:dyDescent="0.25">
      <c r="A1619" t="str">
        <f>"20190312151257374"</f>
        <v>20190312151257374</v>
      </c>
      <c r="B1619" t="str">
        <f>"1552374777361853"</f>
        <v>1552374777361853</v>
      </c>
      <c r="C1619" t="s">
        <v>40</v>
      </c>
      <c r="D1619">
        <v>4.9414769999999999</v>
      </c>
      <c r="E1619">
        <v>0.49588189999999999</v>
      </c>
      <c r="F1619" t="s">
        <v>54</v>
      </c>
      <c r="G1619">
        <v>-264.60199999999998</v>
      </c>
      <c r="H1619" s="1">
        <v>9.1218450000000002E-7</v>
      </c>
      <c r="I1619">
        <v>281.90120000000002</v>
      </c>
      <c r="J1619">
        <v>-231.07859999999999</v>
      </c>
      <c r="K1619">
        <v>1.110641</v>
      </c>
      <c r="L1619">
        <v>282.14980000000003</v>
      </c>
      <c r="M1619">
        <v>-0.99977800000000006</v>
      </c>
      <c r="N1619">
        <v>0</v>
      </c>
      <c r="O1619">
        <v>1.930403E-2</v>
      </c>
      <c r="P1619">
        <v>-0.99862830000000002</v>
      </c>
      <c r="Q1619">
        <v>5.2316759999999997E-2</v>
      </c>
      <c r="R1619">
        <v>2.1416E-3</v>
      </c>
      <c r="S1619">
        <v>-3.009293</v>
      </c>
      <c r="T1619">
        <v>-9.8922129999999997E-2</v>
      </c>
      <c r="U1619">
        <v>-2.1789550000000001E-2</v>
      </c>
      <c r="V1619">
        <v>-1.731717E-2</v>
      </c>
      <c r="W1619">
        <v>6.0694390000000001E-2</v>
      </c>
      <c r="X1619">
        <v>0.99800619999999995</v>
      </c>
      <c r="Y1619">
        <v>-2.6518670000000001E-2</v>
      </c>
      <c r="Z1619">
        <v>-1.070131E-3</v>
      </c>
      <c r="AA1619">
        <v>0.99964770000000003</v>
      </c>
      <c r="AB1619">
        <v>29</v>
      </c>
      <c r="AC1619">
        <v>-33.523400000000002</v>
      </c>
      <c r="AD1619">
        <v>-1.1106400878155001</v>
      </c>
      <c r="AE1619">
        <v>-0.24860000000001001</v>
      </c>
      <c r="AF1619">
        <v>-0.89473144728814002</v>
      </c>
      <c r="AG1619">
        <v>-1.1106400878155001</v>
      </c>
      <c r="AH1619">
        <v>33.4756122869885</v>
      </c>
      <c r="AI1619">
        <v>91.899560882502996</v>
      </c>
      <c r="AJ1619">
        <v>91.531029011170801</v>
      </c>
      <c r="AK1619">
        <v>33.505979820864901</v>
      </c>
      <c r="AL1619">
        <v>86.520329091038704</v>
      </c>
      <c r="AM1619">
        <v>90.994083196654699</v>
      </c>
      <c r="AN1619">
        <v>1.00000003429635</v>
      </c>
    </row>
    <row r="1620" spans="1:40" x14ac:dyDescent="0.25">
      <c r="A1620" t="str">
        <f>"20190312151257396"</f>
        <v>20190312151257396</v>
      </c>
      <c r="B1620" t="str">
        <f>"1552374777391134"</f>
        <v>1552374777391134</v>
      </c>
      <c r="C1620" t="s">
        <v>40</v>
      </c>
      <c r="D1620">
        <v>5.1321000000000003</v>
      </c>
      <c r="E1620">
        <v>0.4956701</v>
      </c>
      <c r="F1620" t="s">
        <v>54</v>
      </c>
      <c r="G1620">
        <v>-263.99579999999997</v>
      </c>
      <c r="H1620" s="1">
        <v>5.8956719999999996E-7</v>
      </c>
      <c r="I1620">
        <v>281.8304</v>
      </c>
      <c r="J1620">
        <v>-231.37010000000001</v>
      </c>
      <c r="K1620">
        <v>1.1106309999999999</v>
      </c>
      <c r="L1620">
        <v>282.15370000000001</v>
      </c>
      <c r="M1620">
        <v>-0.99981050000000005</v>
      </c>
      <c r="N1620">
        <v>0</v>
      </c>
      <c r="O1620">
        <v>1.7634850000000001E-2</v>
      </c>
      <c r="P1620">
        <v>-0.99859690000000001</v>
      </c>
      <c r="Q1620">
        <v>5.2953430000000003E-2</v>
      </c>
      <c r="R1620">
        <v>5.5059230000000002E-4</v>
      </c>
      <c r="S1620">
        <v>-3.0094910000000001</v>
      </c>
      <c r="T1620">
        <v>-0.1015414</v>
      </c>
      <c r="U1620">
        <v>-2.920532E-2</v>
      </c>
      <c r="V1620">
        <v>-1.724295E-2</v>
      </c>
      <c r="W1620">
        <v>6.1128460000000003E-2</v>
      </c>
      <c r="X1620">
        <v>0.99798100000000001</v>
      </c>
      <c r="Y1620">
        <v>-2.7311479999999999E-2</v>
      </c>
      <c r="Z1620">
        <v>-1.0554410000000001E-3</v>
      </c>
      <c r="AA1620">
        <v>0.99962640000000003</v>
      </c>
      <c r="AB1620">
        <v>29</v>
      </c>
      <c r="AC1620">
        <v>-32.625699999999902</v>
      </c>
      <c r="AD1620">
        <v>-1.1106304104328</v>
      </c>
      <c r="AE1620">
        <v>-0.32330000000001702</v>
      </c>
      <c r="AF1620">
        <v>-0.89757856497417299</v>
      </c>
      <c r="AG1620">
        <v>-1.1106304104328</v>
      </c>
      <c r="AH1620">
        <v>32.577176941746501</v>
      </c>
      <c r="AI1620">
        <v>91.951847666114702</v>
      </c>
      <c r="AJ1620">
        <v>91.578235466408202</v>
      </c>
      <c r="AK1620">
        <v>32.608459097031002</v>
      </c>
      <c r="AL1620">
        <v>86.495412474413499</v>
      </c>
      <c r="AM1620">
        <v>90.989848474423596</v>
      </c>
      <c r="AN1620">
        <v>1.00000004215383</v>
      </c>
    </row>
    <row r="1621" spans="1:40" x14ac:dyDescent="0.25">
      <c r="A1621" t="str">
        <f>"20190312151257418"</f>
        <v>20190312151257418</v>
      </c>
      <c r="B1621" t="str">
        <f>"1552374777411630"</f>
        <v>1552374777411630</v>
      </c>
      <c r="C1621" t="s">
        <v>40</v>
      </c>
      <c r="D1621">
        <v>4.9813530000000004</v>
      </c>
      <c r="E1621">
        <v>0.49560969999999999</v>
      </c>
      <c r="F1621" t="s">
        <v>54</v>
      </c>
      <c r="G1621">
        <v>-263.55419999999998</v>
      </c>
      <c r="H1621" s="1">
        <v>3.5457869999999999E-7</v>
      </c>
      <c r="I1621">
        <v>281.77089999999998</v>
      </c>
      <c r="J1621">
        <v>-231.64570000000001</v>
      </c>
      <c r="K1621">
        <v>1.110622</v>
      </c>
      <c r="L1621">
        <v>282.15699999999998</v>
      </c>
      <c r="M1621">
        <v>-0.99983849999999996</v>
      </c>
      <c r="N1621">
        <v>0</v>
      </c>
      <c r="O1621">
        <v>1.6058610000000001E-2</v>
      </c>
      <c r="P1621">
        <v>-0.99855539999999998</v>
      </c>
      <c r="Q1621">
        <v>5.3726419999999997E-2</v>
      </c>
      <c r="R1621">
        <v>-9.1189440000000004E-4</v>
      </c>
      <c r="S1621">
        <v>-3.0097659999999999</v>
      </c>
      <c r="T1621">
        <v>-0.103863</v>
      </c>
      <c r="U1621">
        <v>-3.5797120000000002E-2</v>
      </c>
      <c r="V1621">
        <v>-1.7133820000000001E-2</v>
      </c>
      <c r="W1621">
        <v>6.1725750000000003E-2</v>
      </c>
      <c r="X1621">
        <v>0.99794609999999995</v>
      </c>
      <c r="Y1621">
        <v>-2.7923099999999999E-2</v>
      </c>
      <c r="Z1621">
        <v>-1.035624E-3</v>
      </c>
      <c r="AA1621">
        <v>0.99960950000000004</v>
      </c>
      <c r="AB1621">
        <v>29</v>
      </c>
      <c r="AC1621">
        <v>-31.908499999999901</v>
      </c>
      <c r="AD1621">
        <v>-1.1106216454213</v>
      </c>
      <c r="AE1621">
        <v>-0.386099999999998</v>
      </c>
      <c r="AF1621">
        <v>-0.89738603136022599</v>
      </c>
      <c r="AG1621">
        <v>-1.1106216454213</v>
      </c>
      <c r="AH1621">
        <v>31.859592873285202</v>
      </c>
      <c r="AI1621">
        <v>91.995724759425798</v>
      </c>
      <c r="AJ1621">
        <v>91.613418017338901</v>
      </c>
      <c r="AK1621">
        <v>31.891573184464299</v>
      </c>
      <c r="AL1621">
        <v>86.461125477986599</v>
      </c>
      <c r="AM1621">
        <v>90.983619385282907</v>
      </c>
      <c r="AN1621">
        <v>1.0000000272530301</v>
      </c>
    </row>
    <row r="1622" spans="1:40" x14ac:dyDescent="0.25">
      <c r="A1622" t="str">
        <f>"20190312151257441"</f>
        <v>20190312151257441</v>
      </c>
      <c r="B1622" t="str">
        <f>"1552374777431149"</f>
        <v>1552374777431149</v>
      </c>
      <c r="C1622" t="s">
        <v>40</v>
      </c>
      <c r="D1622">
        <v>4.9755560000000001</v>
      </c>
      <c r="E1622">
        <v>0.49545879999999998</v>
      </c>
      <c r="F1622" t="s">
        <v>54</v>
      </c>
      <c r="G1622">
        <v>-264.39299999999997</v>
      </c>
      <c r="H1622" s="1">
        <v>8.0096520000000001E-7</v>
      </c>
      <c r="I1622">
        <v>281.71469999999999</v>
      </c>
      <c r="J1622">
        <v>-231.94810000000001</v>
      </c>
      <c r="K1622">
        <v>1.1106180000000001</v>
      </c>
      <c r="L1622">
        <v>282.1601</v>
      </c>
      <c r="M1622">
        <v>-0.99986620000000004</v>
      </c>
      <c r="N1622">
        <v>0</v>
      </c>
      <c r="O1622">
        <v>1.4331770000000001E-2</v>
      </c>
      <c r="P1622">
        <v>-0.99855919999999998</v>
      </c>
      <c r="Q1622">
        <v>5.3634769999999998E-2</v>
      </c>
      <c r="R1622">
        <v>-1.7998459999999999E-3</v>
      </c>
      <c r="S1622">
        <v>-3.0097809999999998</v>
      </c>
      <c r="T1622">
        <v>-0.10207629999999999</v>
      </c>
      <c r="U1622">
        <v>-4.0649409999999997E-2</v>
      </c>
      <c r="V1622">
        <v>-1.6297519999999999E-2</v>
      </c>
      <c r="W1622">
        <v>6.146447E-2</v>
      </c>
      <c r="X1622">
        <v>0.99797619999999998</v>
      </c>
      <c r="Y1622">
        <v>-2.7809839999999999E-2</v>
      </c>
      <c r="Z1622">
        <v>-9.5733899999999998E-4</v>
      </c>
      <c r="AA1622">
        <v>0.99961270000000002</v>
      </c>
      <c r="AB1622">
        <v>29</v>
      </c>
      <c r="AC1622">
        <v>-32.444899999999897</v>
      </c>
      <c r="AD1622">
        <v>-1.1106171990347999</v>
      </c>
      <c r="AE1622">
        <v>-0.44540000000000601</v>
      </c>
      <c r="AF1622">
        <v>-0.909296285165478</v>
      </c>
      <c r="AG1622">
        <v>-1.1106171990347999</v>
      </c>
      <c r="AH1622">
        <v>32.397229583689402</v>
      </c>
      <c r="AI1622">
        <v>91.962629185391805</v>
      </c>
      <c r="AJ1622">
        <v>91.607704303780693</v>
      </c>
      <c r="AK1622">
        <v>32.429011316956498</v>
      </c>
      <c r="AL1622">
        <v>86.476124077322297</v>
      </c>
      <c r="AM1622">
        <v>90.935589562891806</v>
      </c>
      <c r="AN1622">
        <v>0.99999999299848497</v>
      </c>
    </row>
    <row r="1623" spans="1:40" x14ac:dyDescent="0.25">
      <c r="A1623" t="str">
        <f>"20190312151257463"</f>
        <v>20190312151257463</v>
      </c>
      <c r="B1623" t="str">
        <f>"1552374777451646"</f>
        <v>1552374777451646</v>
      </c>
      <c r="C1623" t="s">
        <v>40</v>
      </c>
      <c r="D1623">
        <v>5.1505320000000001</v>
      </c>
      <c r="E1623">
        <v>0.49555280000000002</v>
      </c>
      <c r="F1623" t="s">
        <v>54</v>
      </c>
      <c r="G1623">
        <v>-264.142</v>
      </c>
      <c r="H1623" s="1">
        <v>6.6736079999999995E-7</v>
      </c>
      <c r="I1623">
        <v>281.68450000000001</v>
      </c>
      <c r="J1623">
        <v>-232.232</v>
      </c>
      <c r="K1623">
        <v>1.1106100000000001</v>
      </c>
      <c r="L1623">
        <v>282.16250000000002</v>
      </c>
      <c r="M1623">
        <v>-0.99988909999999998</v>
      </c>
      <c r="N1623">
        <v>0</v>
      </c>
      <c r="O1623">
        <v>1.2713520000000001E-2</v>
      </c>
      <c r="P1623">
        <v>-0.99856409999999995</v>
      </c>
      <c r="Q1623">
        <v>5.3500899999999997E-2</v>
      </c>
      <c r="R1623">
        <v>-2.7135599999999998E-3</v>
      </c>
      <c r="S1623">
        <v>-3.009811</v>
      </c>
      <c r="T1623">
        <v>-0.1038319</v>
      </c>
      <c r="U1623">
        <v>-4.4464110000000001E-2</v>
      </c>
      <c r="V1623">
        <v>-1.5595390000000001E-2</v>
      </c>
      <c r="W1623">
        <v>6.1188430000000002E-2</v>
      </c>
      <c r="X1623">
        <v>0.99800440000000001</v>
      </c>
      <c r="Y1623">
        <v>-2.745887E-2</v>
      </c>
      <c r="Z1623">
        <v>-9.119175E-4</v>
      </c>
      <c r="AA1623">
        <v>0.99962249999999997</v>
      </c>
      <c r="AB1623">
        <v>29</v>
      </c>
      <c r="AC1623">
        <v>-31.91</v>
      </c>
      <c r="AD1623">
        <v>-1.1106093326391999</v>
      </c>
      <c r="AE1623">
        <v>-0.47800000000000797</v>
      </c>
      <c r="AF1623">
        <v>-0.88259310355477605</v>
      </c>
      <c r="AG1623">
        <v>-1.1106093326391999</v>
      </c>
      <c r="AH1623">
        <v>31.862755396023498</v>
      </c>
      <c r="AI1623">
        <v>91.995530723202805</v>
      </c>
      <c r="AJ1623">
        <v>91.586677977985602</v>
      </c>
      <c r="AK1623">
        <v>31.894319323400001</v>
      </c>
      <c r="AL1623">
        <v>86.491969894178993</v>
      </c>
      <c r="AM1623">
        <v>90.8952638941999</v>
      </c>
      <c r="AN1623">
        <v>1.00000001128723</v>
      </c>
    </row>
    <row r="1624" spans="1:40" x14ac:dyDescent="0.25">
      <c r="A1624" t="str">
        <f>"20190312151257485"</f>
        <v>20190312151257485</v>
      </c>
      <c r="B1624" t="str">
        <f>"1552374777481903"</f>
        <v>1552374777481903</v>
      </c>
      <c r="C1624" t="s">
        <v>40</v>
      </c>
      <c r="D1624">
        <v>4.9818579999999999</v>
      </c>
      <c r="E1624">
        <v>0.49552420000000003</v>
      </c>
      <c r="F1624" t="s">
        <v>54</v>
      </c>
      <c r="G1624">
        <v>-263.92329999999998</v>
      </c>
      <c r="H1624" s="1">
        <v>5.5101490000000005E-7</v>
      </c>
      <c r="I1624">
        <v>281.67149999999998</v>
      </c>
      <c r="J1624">
        <v>-232.5172</v>
      </c>
      <c r="K1624">
        <v>1.110598</v>
      </c>
      <c r="L1624">
        <v>282.16449999999998</v>
      </c>
      <c r="M1624">
        <v>-0.99990959999999995</v>
      </c>
      <c r="N1624">
        <v>0</v>
      </c>
      <c r="O1624">
        <v>1.1092319999999999E-2</v>
      </c>
      <c r="P1624">
        <v>-0.998583</v>
      </c>
      <c r="Q1624">
        <v>5.3103379999999999E-2</v>
      </c>
      <c r="R1624">
        <v>-3.5051190000000001E-3</v>
      </c>
      <c r="S1624">
        <v>-3.0098419999999999</v>
      </c>
      <c r="T1624">
        <v>-0.10547860000000001</v>
      </c>
      <c r="U1624">
        <v>-4.6630860000000003E-2</v>
      </c>
      <c r="V1624">
        <v>-1.4767819999999999E-2</v>
      </c>
      <c r="W1624">
        <v>6.0663450000000001E-2</v>
      </c>
      <c r="X1624">
        <v>0.99804899999999996</v>
      </c>
      <c r="Y1624">
        <v>-2.6558180000000001E-2</v>
      </c>
      <c r="Z1624">
        <v>-8.537862E-4</v>
      </c>
      <c r="AA1624">
        <v>0.9996469</v>
      </c>
      <c r="AB1624">
        <v>29</v>
      </c>
      <c r="AC1624">
        <v>-31.406099999999899</v>
      </c>
      <c r="AD1624">
        <v>-1.1105974489851</v>
      </c>
      <c r="AE1624">
        <v>-0.492999999999995</v>
      </c>
      <c r="AF1624">
        <v>-0.84029570427604805</v>
      </c>
      <c r="AG1624">
        <v>-1.1105974489851</v>
      </c>
      <c r="AH1624">
        <v>31.359493527962801</v>
      </c>
      <c r="AI1624">
        <v>92.027556983734698</v>
      </c>
      <c r="AJ1624">
        <v>91.534906151190796</v>
      </c>
      <c r="AK1624">
        <v>31.390402321325201</v>
      </c>
      <c r="AL1624">
        <v>86.522104886881607</v>
      </c>
      <c r="AM1624">
        <v>90.847725928604504</v>
      </c>
      <c r="AN1624">
        <v>0.999999974537227</v>
      </c>
    </row>
    <row r="1625" spans="1:40" x14ac:dyDescent="0.25">
      <c r="A1625" t="str">
        <f>"20190312151257508"</f>
        <v>20190312151257508</v>
      </c>
      <c r="B1625" t="str">
        <f>"1552374777501422"</f>
        <v>1552374777501422</v>
      </c>
      <c r="C1625" t="s">
        <v>40</v>
      </c>
      <c r="D1625">
        <v>4.9715449999999999</v>
      </c>
      <c r="E1625">
        <v>0.49505349999999998</v>
      </c>
      <c r="F1625" t="s">
        <v>54</v>
      </c>
      <c r="G1625">
        <v>-262.81310000000002</v>
      </c>
      <c r="H1625" s="1">
        <v>-3.9781640000000003E-8</v>
      </c>
      <c r="I1625">
        <v>281.66930000000002</v>
      </c>
      <c r="J1625">
        <v>-232.81030000000001</v>
      </c>
      <c r="K1625">
        <v>1.11059</v>
      </c>
      <c r="L1625">
        <v>282.166</v>
      </c>
      <c r="M1625">
        <v>-0.99992749999999997</v>
      </c>
      <c r="N1625">
        <v>0</v>
      </c>
      <c r="O1625">
        <v>9.4342290000000006E-3</v>
      </c>
      <c r="P1625">
        <v>-0.99859759999999997</v>
      </c>
      <c r="Q1625">
        <v>5.2750619999999998E-2</v>
      </c>
      <c r="R1625">
        <v>-4.5497460000000003E-3</v>
      </c>
      <c r="S1625">
        <v>-3.0099490000000002</v>
      </c>
      <c r="T1625">
        <v>-0.1103398</v>
      </c>
      <c r="U1625">
        <v>-4.9194340000000003E-2</v>
      </c>
      <c r="V1625">
        <v>-1.415572E-2</v>
      </c>
      <c r="W1625">
        <v>6.0197000000000001E-2</v>
      </c>
      <c r="X1625">
        <v>0.99808620000000003</v>
      </c>
      <c r="Y1625">
        <v>-2.575061E-2</v>
      </c>
      <c r="Z1625">
        <v>-8.1751440000000001E-4</v>
      </c>
      <c r="AA1625">
        <v>0.99966809999999995</v>
      </c>
      <c r="AB1625">
        <v>29</v>
      </c>
      <c r="AC1625">
        <v>-30.002800000000001</v>
      </c>
      <c r="AD1625">
        <v>-1.1105900397816399</v>
      </c>
      <c r="AE1625">
        <v>-0.49669999999997499</v>
      </c>
      <c r="AF1625">
        <v>-0.77867245952471897</v>
      </c>
      <c r="AG1625">
        <v>-1.1105900397816399</v>
      </c>
      <c r="AH1625">
        <v>29.9557444721904</v>
      </c>
      <c r="AI1625">
        <v>92.122515576989798</v>
      </c>
      <c r="AJ1625">
        <v>91.489016608032898</v>
      </c>
      <c r="AK1625">
        <v>29.986436399126401</v>
      </c>
      <c r="AL1625">
        <v>86.548879742093803</v>
      </c>
      <c r="AM1625">
        <v>90.812563720228994</v>
      </c>
      <c r="AN1625">
        <v>1.00000006292407</v>
      </c>
    </row>
    <row r="1626" spans="1:40" x14ac:dyDescent="0.25">
      <c r="A1626" t="str">
        <f>"20190312151257531"</f>
        <v>20190312151257531</v>
      </c>
      <c r="B1626" t="str">
        <f>"1552374777521918"</f>
        <v>1552374777521918</v>
      </c>
      <c r="C1626" t="s">
        <v>40</v>
      </c>
      <c r="D1626">
        <v>5.0680779999999999</v>
      </c>
      <c r="E1626">
        <v>0.49457010000000001</v>
      </c>
      <c r="F1626" t="s">
        <v>54</v>
      </c>
      <c r="G1626">
        <v>-261.89519999999999</v>
      </c>
      <c r="H1626" s="1">
        <v>-5.282451E-7</v>
      </c>
      <c r="I1626">
        <v>281.62169999999998</v>
      </c>
      <c r="J1626">
        <v>-233.11869999999999</v>
      </c>
      <c r="K1626">
        <v>1.110582</v>
      </c>
      <c r="L1626">
        <v>282.16719999999998</v>
      </c>
      <c r="M1626">
        <v>-0.99994309999999997</v>
      </c>
      <c r="N1626">
        <v>0</v>
      </c>
      <c r="O1626">
        <v>7.69550099999999E-3</v>
      </c>
      <c r="P1626">
        <v>-0.99861509999999998</v>
      </c>
      <c r="Q1626">
        <v>5.2352099999999999E-2</v>
      </c>
      <c r="R1626">
        <v>-5.2210069999999997E-3</v>
      </c>
      <c r="S1626">
        <v>-3.01004</v>
      </c>
      <c r="T1626">
        <v>-0.1149365</v>
      </c>
      <c r="U1626">
        <v>-5.6335450000000002E-2</v>
      </c>
      <c r="V1626">
        <v>-1.3090040000000001E-2</v>
      </c>
      <c r="W1626">
        <v>5.9693889999999999E-2</v>
      </c>
      <c r="X1626">
        <v>0.99813090000000004</v>
      </c>
      <c r="Y1626">
        <v>-2.6381559999999998E-2</v>
      </c>
      <c r="Z1626">
        <v>-7.9718029999999997E-4</v>
      </c>
      <c r="AA1626">
        <v>0.99965159999999997</v>
      </c>
      <c r="AB1626">
        <v>29</v>
      </c>
      <c r="AC1626">
        <v>-28.776499999999999</v>
      </c>
      <c r="AD1626">
        <v>-1.1105825282451001</v>
      </c>
      <c r="AE1626">
        <v>-0.54550000000000398</v>
      </c>
      <c r="AF1626">
        <v>-0.76579926464931303</v>
      </c>
      <c r="AG1626">
        <v>-1.1105825282451001</v>
      </c>
      <c r="AH1626">
        <v>28.728675312608299</v>
      </c>
      <c r="AI1626">
        <v>92.213031433673905</v>
      </c>
      <c r="AJ1626">
        <v>91.526930058203504</v>
      </c>
      <c r="AK1626">
        <v>28.760330792309201</v>
      </c>
      <c r="AL1626">
        <v>86.577757542704106</v>
      </c>
      <c r="AM1626">
        <v>90.751365429114401</v>
      </c>
      <c r="AN1626">
        <v>1.00000000159267</v>
      </c>
    </row>
    <row r="1627" spans="1:40" x14ac:dyDescent="0.25">
      <c r="A1627" t="str">
        <f>"20190312151257556"</f>
        <v>20190312151257556</v>
      </c>
      <c r="B1627" t="str">
        <f>"1552374777551198"</f>
        <v>1552374777551198</v>
      </c>
      <c r="C1627" t="s">
        <v>40</v>
      </c>
      <c r="D1627">
        <v>5.1604979999999996</v>
      </c>
      <c r="E1627">
        <v>0.49392659999999999</v>
      </c>
      <c r="F1627" t="s">
        <v>54</v>
      </c>
      <c r="G1627">
        <v>-260.97239999999999</v>
      </c>
      <c r="H1627" s="1">
        <v>-1.019335E-6</v>
      </c>
      <c r="I1627">
        <v>281.59109999999998</v>
      </c>
      <c r="J1627">
        <v>-233.43719999999999</v>
      </c>
      <c r="K1627">
        <v>1.1105689999999999</v>
      </c>
      <c r="L1627">
        <v>282.1678</v>
      </c>
      <c r="M1627">
        <v>-0.99995599999999996</v>
      </c>
      <c r="N1627">
        <v>0</v>
      </c>
      <c r="O1627">
        <v>5.9065280000000003E-3</v>
      </c>
      <c r="P1627">
        <v>-0.99862430000000002</v>
      </c>
      <c r="Q1627">
        <v>5.2087290000000001E-2</v>
      </c>
      <c r="R1627">
        <v>-6.0640549999999996E-3</v>
      </c>
      <c r="S1627">
        <v>-3.0101469999999999</v>
      </c>
      <c r="T1627">
        <v>-0.1200205</v>
      </c>
      <c r="U1627">
        <v>-6.2255860000000003E-2</v>
      </c>
      <c r="V1627">
        <v>-1.2146499999999999E-2</v>
      </c>
      <c r="W1627">
        <v>5.9333089999999998E-2</v>
      </c>
      <c r="X1627">
        <v>0.99816439999999995</v>
      </c>
      <c r="Y1627">
        <v>-2.655685E-2</v>
      </c>
      <c r="Z1627">
        <v>-7.6456539999999996E-4</v>
      </c>
      <c r="AA1627">
        <v>0.99964699999999995</v>
      </c>
      <c r="AB1627">
        <v>29</v>
      </c>
      <c r="AC1627">
        <v>-27.5352</v>
      </c>
      <c r="AD1627">
        <v>-1.1105700193350001</v>
      </c>
      <c r="AE1627">
        <v>-0.57670000000001598</v>
      </c>
      <c r="AF1627">
        <v>-0.73813147458756001</v>
      </c>
      <c r="AG1627">
        <v>-1.1105700193350001</v>
      </c>
      <c r="AH1627">
        <v>27.4866195761253</v>
      </c>
      <c r="AI1627">
        <v>92.3128886107298</v>
      </c>
      <c r="AJ1627">
        <v>91.538263236412206</v>
      </c>
      <c r="AK1627">
        <v>27.518947282995001</v>
      </c>
      <c r="AL1627">
        <v>86.598466769844293</v>
      </c>
      <c r="AM1627">
        <v>90.697188596400906</v>
      </c>
      <c r="AN1627">
        <v>1.0000000612292701</v>
      </c>
    </row>
    <row r="1628" spans="1:40" x14ac:dyDescent="0.25">
      <c r="A1628" t="str">
        <f>"20190312151257577"</f>
        <v>20190312151257577</v>
      </c>
      <c r="B1628" t="str">
        <f>"1552374777571694"</f>
        <v>1552374777571694</v>
      </c>
      <c r="C1628" t="s">
        <v>40</v>
      </c>
      <c r="D1628">
        <v>4.9934129999999897</v>
      </c>
      <c r="E1628">
        <v>0.4935293</v>
      </c>
      <c r="F1628" t="s">
        <v>54</v>
      </c>
      <c r="G1628">
        <v>-259.96350000000001</v>
      </c>
      <c r="H1628" s="1">
        <v>-1.556199E-6</v>
      </c>
      <c r="I1628">
        <v>281.54899999999998</v>
      </c>
      <c r="J1628">
        <v>-233.7253</v>
      </c>
      <c r="K1628">
        <v>1.1105659999999999</v>
      </c>
      <c r="L1628">
        <v>282.16789999999997</v>
      </c>
      <c r="M1628">
        <v>-0.99996479999999999</v>
      </c>
      <c r="N1628">
        <v>0</v>
      </c>
      <c r="O1628">
        <v>4.2976560000000004E-3</v>
      </c>
      <c r="P1628">
        <v>-0.99863579999999996</v>
      </c>
      <c r="Q1628">
        <v>5.1832419999999997E-2</v>
      </c>
      <c r="R1628">
        <v>-6.3215600000000004E-3</v>
      </c>
      <c r="S1628">
        <v>-3.0102690000000001</v>
      </c>
      <c r="T1628">
        <v>-0.12603019999999901</v>
      </c>
      <c r="U1628">
        <v>-7.0220950000000004E-2</v>
      </c>
      <c r="V1628">
        <v>-1.0796389999999999E-2</v>
      </c>
      <c r="W1628">
        <v>5.90018E-2</v>
      </c>
      <c r="X1628">
        <v>0.99819950000000002</v>
      </c>
      <c r="Y1628">
        <v>-2.7589249999999999E-2</v>
      </c>
      <c r="Z1628">
        <v>-7.5703719999999997E-4</v>
      </c>
      <c r="AA1628">
        <v>0.99961909999999998</v>
      </c>
      <c r="AB1628">
        <v>29</v>
      </c>
      <c r="AC1628">
        <v>-26.238199999999999</v>
      </c>
      <c r="AD1628">
        <v>-1.110567556199</v>
      </c>
      <c r="AE1628">
        <v>-0.61889999999993905</v>
      </c>
      <c r="AF1628">
        <v>-0.73035225601067599</v>
      </c>
      <c r="AG1628">
        <v>-1.110567556199</v>
      </c>
      <c r="AH1628">
        <v>26.188406800404898</v>
      </c>
      <c r="AI1628">
        <v>92.427335351772896</v>
      </c>
      <c r="AJ1628">
        <v>91.597472440376194</v>
      </c>
      <c r="AK1628">
        <v>26.222117104807399</v>
      </c>
      <c r="AL1628">
        <v>86.617481420321397</v>
      </c>
      <c r="AM1628">
        <v>90.619679193665903</v>
      </c>
      <c r="AN1628">
        <v>1.00000000812026</v>
      </c>
    </row>
    <row r="1629" spans="1:40" x14ac:dyDescent="0.25">
      <c r="A1629" t="str">
        <f>"20190312151257598"</f>
        <v>20190312151257598</v>
      </c>
      <c r="B1629" t="str">
        <f>"1552374777591215"</f>
        <v>1552374777591215</v>
      </c>
      <c r="C1629" t="s">
        <v>40</v>
      </c>
      <c r="D1629">
        <v>4.9801729999999997</v>
      </c>
      <c r="E1629">
        <v>0.4931855</v>
      </c>
      <c r="F1629" t="s">
        <v>54</v>
      </c>
      <c r="G1629">
        <v>-259.43549999999999</v>
      </c>
      <c r="H1629" s="1">
        <v>3.484343E-6</v>
      </c>
      <c r="I1629">
        <v>281.53190000000001</v>
      </c>
      <c r="J1629">
        <v>-233.99010000000001</v>
      </c>
      <c r="K1629">
        <v>1.1105560000000001</v>
      </c>
      <c r="L1629">
        <v>282.16750000000002</v>
      </c>
      <c r="M1629">
        <v>-0.99997060000000004</v>
      </c>
      <c r="N1629">
        <v>0</v>
      </c>
      <c r="O1629">
        <v>2.828756E-3</v>
      </c>
      <c r="P1629">
        <v>-0.99862879999999998</v>
      </c>
      <c r="Q1629">
        <v>5.185613E-2</v>
      </c>
      <c r="R1629">
        <v>-7.2023790000000001E-3</v>
      </c>
      <c r="S1629">
        <v>-3.0103610000000001</v>
      </c>
      <c r="T1629">
        <v>-0.1300335</v>
      </c>
      <c r="U1629">
        <v>-7.4462890000000004E-2</v>
      </c>
      <c r="V1629">
        <v>-1.021001E-2</v>
      </c>
      <c r="W1629">
        <v>5.8958959999999998E-2</v>
      </c>
      <c r="X1629">
        <v>0.99820819999999999</v>
      </c>
      <c r="Y1629">
        <v>-2.7527550000000001E-2</v>
      </c>
      <c r="Z1629">
        <v>-7.1628019999999998E-4</v>
      </c>
      <c r="AA1629">
        <v>0.99962079999999998</v>
      </c>
      <c r="AB1629">
        <v>30</v>
      </c>
      <c r="AC1629">
        <v>-25.4453999999999</v>
      </c>
      <c r="AD1629">
        <v>-1.110552515657</v>
      </c>
      <c r="AE1629">
        <v>-0.63560000000001005</v>
      </c>
      <c r="AF1629">
        <v>-0.70623368619886095</v>
      </c>
      <c r="AG1629">
        <v>-1.110552515657</v>
      </c>
      <c r="AH1629">
        <v>25.3951565141816</v>
      </c>
      <c r="AI1629">
        <v>92.503032920313004</v>
      </c>
      <c r="AJ1629">
        <v>91.5929723815524</v>
      </c>
      <c r="AK1629">
        <v>25.429236466896398</v>
      </c>
      <c r="AL1629">
        <v>86.619940247869707</v>
      </c>
      <c r="AM1629">
        <v>90.586020113556501</v>
      </c>
      <c r="AN1629">
        <v>1.0000000069078601</v>
      </c>
    </row>
    <row r="1630" spans="1:40" x14ac:dyDescent="0.25">
      <c r="A1630" t="str">
        <f>"20190312151257619"</f>
        <v>20190312151257619</v>
      </c>
      <c r="B1630" t="str">
        <f>"1552374777611711"</f>
        <v>1552374777611711</v>
      </c>
      <c r="C1630" t="s">
        <v>40</v>
      </c>
      <c r="D1630">
        <v>5.0020100000000003</v>
      </c>
      <c r="E1630">
        <v>0.4927879</v>
      </c>
      <c r="F1630" t="s">
        <v>54</v>
      </c>
      <c r="G1630">
        <v>-259.14960000000002</v>
      </c>
      <c r="H1630" s="1">
        <v>3.3321650000000001E-6</v>
      </c>
      <c r="I1630">
        <v>281.49829999999997</v>
      </c>
      <c r="J1630">
        <v>-234.2774</v>
      </c>
      <c r="K1630">
        <v>1.1105510000000001</v>
      </c>
      <c r="L1630">
        <v>282.16680000000002</v>
      </c>
      <c r="M1630">
        <v>-0.99997429999999998</v>
      </c>
      <c r="N1630">
        <v>0</v>
      </c>
      <c r="O1630">
        <v>1.250398E-3</v>
      </c>
      <c r="P1630">
        <v>-0.99863659999999999</v>
      </c>
      <c r="Q1630">
        <v>5.1433510000000002E-2</v>
      </c>
      <c r="R1630">
        <v>-8.9336869999999992E-3</v>
      </c>
      <c r="S1630">
        <v>-3.010437</v>
      </c>
      <c r="T1630">
        <v>-0.13288249999999999</v>
      </c>
      <c r="U1630">
        <v>-8.0078129999999997E-2</v>
      </c>
      <c r="V1630">
        <v>-1.0363580000000001E-2</v>
      </c>
      <c r="W1630">
        <v>5.8468659999999999E-2</v>
      </c>
      <c r="X1630">
        <v>0.99823550000000005</v>
      </c>
      <c r="Y1630">
        <v>-2.7812449999999999E-2</v>
      </c>
      <c r="Z1630">
        <v>-6.6858029999999999E-4</v>
      </c>
      <c r="AA1630">
        <v>0.99961290000000003</v>
      </c>
      <c r="AB1630">
        <v>30</v>
      </c>
      <c r="AC1630">
        <v>-24.872199999999999</v>
      </c>
      <c r="AD1630">
        <v>-1.1105476678349999</v>
      </c>
      <c r="AE1630">
        <v>-0.66850000000005105</v>
      </c>
      <c r="AF1630">
        <v>-0.69820943041938199</v>
      </c>
      <c r="AG1630">
        <v>-1.1105476678349999</v>
      </c>
      <c r="AH1630">
        <v>24.821894527478999</v>
      </c>
      <c r="AI1630">
        <v>92.560730452696802</v>
      </c>
      <c r="AJ1630">
        <v>91.611235099790505</v>
      </c>
      <c r="AK1630">
        <v>24.856533556885001</v>
      </c>
      <c r="AL1630">
        <v>86.648081062397694</v>
      </c>
      <c r="AM1630">
        <v>90.594817618082303</v>
      </c>
      <c r="AN1630">
        <v>1.00000005072642</v>
      </c>
    </row>
    <row r="1631" spans="1:40" x14ac:dyDescent="0.25">
      <c r="A1631" t="str">
        <f>"20190312151257641"</f>
        <v>20190312151257641</v>
      </c>
      <c r="B1631" t="str">
        <f>"1552374777631233"</f>
        <v>1552374777631233</v>
      </c>
      <c r="C1631" t="s">
        <v>40</v>
      </c>
      <c r="D1631">
        <v>5.041455</v>
      </c>
      <c r="E1631">
        <v>0.49245319999999998</v>
      </c>
      <c r="F1631" t="s">
        <v>54</v>
      </c>
      <c r="G1631">
        <v>-258.52690000000001</v>
      </c>
      <c r="H1631" s="1">
        <v>3.0008230000000001E-6</v>
      </c>
      <c r="I1631">
        <v>281.45510000000002</v>
      </c>
      <c r="J1631">
        <v>-234.58160000000001</v>
      </c>
      <c r="K1631">
        <v>1.11053</v>
      </c>
      <c r="L1631">
        <v>282.16550000000001</v>
      </c>
      <c r="M1631">
        <v>-0.99997539999999996</v>
      </c>
      <c r="N1631">
        <v>0</v>
      </c>
      <c r="O1631">
        <v>-3.9993070000000002E-4</v>
      </c>
      <c r="P1631">
        <v>-0.99859540000000002</v>
      </c>
      <c r="Q1631">
        <v>5.1946109999999997E-2</v>
      </c>
      <c r="R1631">
        <v>-1.045739E-2</v>
      </c>
      <c r="S1631">
        <v>-3.0104220000000002</v>
      </c>
      <c r="T1631">
        <v>-0.13786699999999999</v>
      </c>
      <c r="U1631">
        <v>-8.8348389999999999E-2</v>
      </c>
      <c r="V1631">
        <v>-1.0240020000000001E-2</v>
      </c>
      <c r="W1631">
        <v>5.8917539999999997E-2</v>
      </c>
      <c r="X1631">
        <v>0.99821029999999999</v>
      </c>
      <c r="Y1631">
        <v>-2.8905259999999999E-2</v>
      </c>
      <c r="Z1631">
        <v>-6.4308970000000003E-4</v>
      </c>
      <c r="AA1631">
        <v>0.99958190000000002</v>
      </c>
      <c r="AB1631">
        <v>30</v>
      </c>
      <c r="AC1631">
        <v>-23.9453</v>
      </c>
      <c r="AD1631">
        <v>-1.1105269991769999</v>
      </c>
      <c r="AE1631">
        <v>-0.71039999999999204</v>
      </c>
      <c r="AF1631">
        <v>-0.699320411051226</v>
      </c>
      <c r="AG1631">
        <v>-1.1105269991769999</v>
      </c>
      <c r="AH1631">
        <v>23.8942335917706</v>
      </c>
      <c r="AI1631">
        <v>92.6598710311969</v>
      </c>
      <c r="AJ1631">
        <v>91.6764159157986</v>
      </c>
      <c r="AK1631">
        <v>23.9302469312649</v>
      </c>
      <c r="AL1631">
        <v>86.622317442767297</v>
      </c>
      <c r="AM1631">
        <v>90.587741229227902</v>
      </c>
      <c r="AN1631">
        <v>0.99999996877766995</v>
      </c>
    </row>
    <row r="1632" spans="1:40" x14ac:dyDescent="0.25">
      <c r="A1632" t="str">
        <f>"20190312151257664"</f>
        <v>20190312151257664</v>
      </c>
      <c r="B1632" t="str">
        <f>"1552374777661486"</f>
        <v>1552374777661486</v>
      </c>
      <c r="C1632" t="s">
        <v>40</v>
      </c>
      <c r="D1632">
        <v>4.9878629999999999</v>
      </c>
      <c r="E1632">
        <v>0.49203570000000002</v>
      </c>
      <c r="F1632" t="s">
        <v>54</v>
      </c>
      <c r="G1632">
        <v>-258.48169999999999</v>
      </c>
      <c r="H1632" s="1">
        <v>2.9767639999999999E-6</v>
      </c>
      <c r="I1632">
        <v>281.40429999999998</v>
      </c>
      <c r="J1632">
        <v>-234.87549999999999</v>
      </c>
      <c r="K1632">
        <v>1.110511</v>
      </c>
      <c r="L1632">
        <v>282.16379999999998</v>
      </c>
      <c r="M1632">
        <v>-0.99997389999999997</v>
      </c>
      <c r="N1632">
        <v>0</v>
      </c>
      <c r="O1632">
        <v>-1.9658000000000002E-3</v>
      </c>
      <c r="P1632">
        <v>-0.99857929999999995</v>
      </c>
      <c r="Q1632">
        <v>5.193333E-2</v>
      </c>
      <c r="R1632">
        <v>-1.194041E-2</v>
      </c>
      <c r="S1632">
        <v>-3.0104980000000001</v>
      </c>
      <c r="T1632">
        <v>-0.1398838</v>
      </c>
      <c r="U1632">
        <v>-9.5886230000000003E-2</v>
      </c>
      <c r="V1632">
        <v>-1.015772E-2</v>
      </c>
      <c r="W1632">
        <v>5.8852809999999998E-2</v>
      </c>
      <c r="X1632">
        <v>0.99821499999999996</v>
      </c>
      <c r="Y1632">
        <v>-2.9839520000000001E-2</v>
      </c>
      <c r="Z1632">
        <v>-6.0143169999999995E-4</v>
      </c>
      <c r="AA1632">
        <v>0.99955450000000001</v>
      </c>
      <c r="AB1632">
        <v>30</v>
      </c>
      <c r="AC1632">
        <v>-23.606200000000001</v>
      </c>
      <c r="AD1632">
        <v>-1.1105080232359901</v>
      </c>
      <c r="AE1632">
        <v>-0.75950000000000195</v>
      </c>
      <c r="AF1632">
        <v>-0.711519343309714</v>
      </c>
      <c r="AG1632">
        <v>-1.1105080232359901</v>
      </c>
      <c r="AH1632">
        <v>23.555571694430899</v>
      </c>
      <c r="AI1632">
        <v>92.697935113653401</v>
      </c>
      <c r="AJ1632">
        <v>91.730149625774104</v>
      </c>
      <c r="AK1632">
        <v>23.592465867243501</v>
      </c>
      <c r="AL1632">
        <v>86.626032782575805</v>
      </c>
      <c r="AM1632">
        <v>90.583015080401296</v>
      </c>
      <c r="AN1632">
        <v>1.0000000093727399</v>
      </c>
    </row>
    <row r="1633" spans="1:40" x14ac:dyDescent="0.25">
      <c r="A1633" t="str">
        <f>"20190312151257687"</f>
        <v>20190312151257687</v>
      </c>
      <c r="B1633" t="str">
        <f>"1552374777681982"</f>
        <v>1552374777681982</v>
      </c>
      <c r="C1633" t="s">
        <v>40</v>
      </c>
      <c r="D1633">
        <v>5.1867830000000001</v>
      </c>
      <c r="E1633">
        <v>0.49180390000000002</v>
      </c>
      <c r="F1633" t="s">
        <v>54</v>
      </c>
      <c r="G1633">
        <v>-258.22890000000001</v>
      </c>
      <c r="H1633" s="1">
        <v>2.8422250000000001E-6</v>
      </c>
      <c r="I1633">
        <v>281.35649999999998</v>
      </c>
      <c r="J1633">
        <v>-235.1833</v>
      </c>
      <c r="K1633">
        <v>1.110484</v>
      </c>
      <c r="L1633">
        <v>282.16160000000002</v>
      </c>
      <c r="M1633">
        <v>-0.99996980000000002</v>
      </c>
      <c r="N1633">
        <v>0</v>
      </c>
      <c r="O1633">
        <v>-3.5675030000000001E-3</v>
      </c>
      <c r="P1633">
        <v>-0.99854480000000001</v>
      </c>
      <c r="Q1633">
        <v>5.2142519999999998E-2</v>
      </c>
      <c r="R1633">
        <v>-1.376776E-2</v>
      </c>
      <c r="S1633">
        <v>-3.0104679999999999</v>
      </c>
      <c r="T1633">
        <v>-0.14315449999999999</v>
      </c>
      <c r="U1633">
        <v>-0.1040649</v>
      </c>
      <c r="V1633">
        <v>-1.038276E-2</v>
      </c>
      <c r="W1633">
        <v>5.9015600000000001E-2</v>
      </c>
      <c r="X1633">
        <v>0.99820299999999995</v>
      </c>
      <c r="Y1633">
        <v>-3.0950479999999999E-2</v>
      </c>
      <c r="Z1633">
        <v>-5.6575009999999999E-4</v>
      </c>
      <c r="AA1633">
        <v>0.99952079999999999</v>
      </c>
      <c r="AB1633">
        <v>30</v>
      </c>
      <c r="AC1633">
        <v>-23.0456</v>
      </c>
      <c r="AD1633">
        <v>-1.110481157775</v>
      </c>
      <c r="AE1633">
        <v>-0.80510000000003801</v>
      </c>
      <c r="AF1633">
        <v>-0.72120513368799599</v>
      </c>
      <c r="AG1633">
        <v>-1.110481157775</v>
      </c>
      <c r="AH1633">
        <v>22.994998254750101</v>
      </c>
      <c r="AI1633">
        <v>92.763439797102706</v>
      </c>
      <c r="AJ1633">
        <v>91.796411060283106</v>
      </c>
      <c r="AK1633">
        <v>23.033090326367201</v>
      </c>
      <c r="AL1633">
        <v>86.616689114016495</v>
      </c>
      <c r="AM1633">
        <v>90.595937775578406</v>
      </c>
      <c r="AN1633">
        <v>0.999999935978786</v>
      </c>
    </row>
    <row r="1634" spans="1:40" x14ac:dyDescent="0.25">
      <c r="A1634" t="str">
        <f>"20190312151257709"</f>
        <v>20190312151257709</v>
      </c>
      <c r="B1634" t="str">
        <f>"1552374777701502"</f>
        <v>1552374777701502</v>
      </c>
      <c r="C1634" t="s">
        <v>40</v>
      </c>
      <c r="D1634">
        <v>4.9733839999999896</v>
      </c>
      <c r="E1634">
        <v>0.49158639999999998</v>
      </c>
      <c r="F1634" t="s">
        <v>54</v>
      </c>
      <c r="G1634">
        <v>-258.31029999999998</v>
      </c>
      <c r="H1634" s="1">
        <v>2.885547E-6</v>
      </c>
      <c r="I1634">
        <v>281.30279999999999</v>
      </c>
      <c r="J1634">
        <v>-235.4837</v>
      </c>
      <c r="K1634">
        <v>1.110465</v>
      </c>
      <c r="L1634">
        <v>282.15899999999999</v>
      </c>
      <c r="M1634">
        <v>-0.99996350000000001</v>
      </c>
      <c r="N1634">
        <v>0</v>
      </c>
      <c r="O1634">
        <v>-5.0850449999999998E-3</v>
      </c>
      <c r="P1634">
        <v>-0.99847379999999997</v>
      </c>
      <c r="Q1634">
        <v>5.300498E-2</v>
      </c>
      <c r="R1634">
        <v>-1.5518880000000001E-2</v>
      </c>
      <c r="S1634">
        <v>-3.0103610000000001</v>
      </c>
      <c r="T1634">
        <v>-0.14454719999999999</v>
      </c>
      <c r="U1634">
        <v>-0.11178589999999999</v>
      </c>
      <c r="V1634">
        <v>-1.061785E-2</v>
      </c>
      <c r="W1634">
        <v>5.9841930000000002E-2</v>
      </c>
      <c r="X1634">
        <v>0.99815140000000002</v>
      </c>
      <c r="Y1634">
        <v>-3.1995040000000002E-2</v>
      </c>
      <c r="Z1634">
        <v>-5.2349869999999998E-4</v>
      </c>
      <c r="AA1634">
        <v>0.99948789999999998</v>
      </c>
      <c r="AB1634">
        <v>30</v>
      </c>
      <c r="AC1634">
        <v>-22.8265999999999</v>
      </c>
      <c r="AD1634">
        <v>-1.110462114453</v>
      </c>
      <c r="AE1634">
        <v>-0.85620000000000096</v>
      </c>
      <c r="AF1634">
        <v>-0.73836694062140695</v>
      </c>
      <c r="AG1634">
        <v>-1.110462114453</v>
      </c>
      <c r="AH1634">
        <v>22.776830842559701</v>
      </c>
      <c r="AI1634">
        <v>92.789726442548002</v>
      </c>
      <c r="AJ1634">
        <v>91.856733257955995</v>
      </c>
      <c r="AK1634">
        <v>22.815835182548401</v>
      </c>
      <c r="AL1634">
        <v>86.569260301216701</v>
      </c>
      <c r="AM1634">
        <v>90.609461698358999</v>
      </c>
      <c r="AN1634">
        <v>1.0000000063233501</v>
      </c>
    </row>
    <row r="1635" spans="1:40" x14ac:dyDescent="0.25">
      <c r="A1635" t="str">
        <f>"20190312151257732"</f>
        <v>20190312151257732</v>
      </c>
      <c r="B1635" t="str">
        <f>"1552374777721998"</f>
        <v>1552374777721998</v>
      </c>
      <c r="C1635" t="s">
        <v>40</v>
      </c>
      <c r="D1635">
        <v>4.9838649999999998</v>
      </c>
      <c r="E1635">
        <v>0.49135580000000001</v>
      </c>
      <c r="F1635" t="s">
        <v>54</v>
      </c>
      <c r="G1635">
        <v>-258.76100000000002</v>
      </c>
      <c r="H1635" s="1">
        <v>3.1253559999999998E-6</v>
      </c>
      <c r="I1635">
        <v>281.24149999999997</v>
      </c>
      <c r="J1635">
        <v>-235.7921</v>
      </c>
      <c r="K1635">
        <v>1.110433</v>
      </c>
      <c r="L1635">
        <v>282.15589999999997</v>
      </c>
      <c r="M1635">
        <v>-0.99995480000000003</v>
      </c>
      <c r="N1635">
        <v>0</v>
      </c>
      <c r="O1635">
        <v>-6.6045299999999999E-3</v>
      </c>
      <c r="P1635">
        <v>-0.99842949999999997</v>
      </c>
      <c r="Q1635">
        <v>5.3346640000000001E-2</v>
      </c>
      <c r="R1635">
        <v>-1.7118000000000001E-2</v>
      </c>
      <c r="S1635">
        <v>-3.0103759999999999</v>
      </c>
      <c r="T1635">
        <v>-0.1436124</v>
      </c>
      <c r="U1635">
        <v>-0.1186523</v>
      </c>
      <c r="V1635">
        <v>-1.069761E-2</v>
      </c>
      <c r="W1635">
        <v>6.0155599999999997E-2</v>
      </c>
      <c r="X1635">
        <v>0.99813169999999996</v>
      </c>
      <c r="Y1635">
        <v>-3.2753770000000001E-2</v>
      </c>
      <c r="Z1635">
        <v>-4.6575700000000002E-4</v>
      </c>
      <c r="AA1635">
        <v>0.99946330000000005</v>
      </c>
      <c r="AB1635">
        <v>30</v>
      </c>
      <c r="AC1635">
        <v>-22.968899999999898</v>
      </c>
      <c r="AD1635">
        <v>-1.110429874644</v>
      </c>
      <c r="AE1635">
        <v>-0.91439999999999999</v>
      </c>
      <c r="AF1635">
        <v>-0.76090212756970699</v>
      </c>
      <c r="AG1635">
        <v>-1.110429874644</v>
      </c>
      <c r="AH1635">
        <v>22.920951525914301</v>
      </c>
      <c r="AI1635">
        <v>92.772061804855895</v>
      </c>
      <c r="AJ1635">
        <v>91.901338006331699</v>
      </c>
      <c r="AK1635">
        <v>22.960445235394602</v>
      </c>
      <c r="AL1635">
        <v>86.5512559206785</v>
      </c>
      <c r="AM1635">
        <v>90.614051669694604</v>
      </c>
      <c r="AN1635">
        <v>1.00000001280798</v>
      </c>
    </row>
    <row r="1636" spans="1:40" x14ac:dyDescent="0.25">
      <c r="A1636" t="str">
        <f>"20190312151257759"</f>
        <v>20190312151257759</v>
      </c>
      <c r="B1636" t="str">
        <f>"1552374777751278"</f>
        <v>1552374777751278</v>
      </c>
      <c r="C1636" t="s">
        <v>40</v>
      </c>
      <c r="D1636">
        <v>5.0296079999999996</v>
      </c>
      <c r="E1636">
        <v>0.49107089999999998</v>
      </c>
      <c r="F1636" t="s">
        <v>54</v>
      </c>
      <c r="G1636">
        <v>-258.86180000000002</v>
      </c>
      <c r="H1636" s="1">
        <v>3.1790029999999998E-6</v>
      </c>
      <c r="I1636">
        <v>281.19369999999998</v>
      </c>
      <c r="J1636">
        <v>-236.12819999999999</v>
      </c>
      <c r="K1636">
        <v>1.110406</v>
      </c>
      <c r="L1636">
        <v>282.15199999999999</v>
      </c>
      <c r="M1636">
        <v>-0.99994320000000003</v>
      </c>
      <c r="N1636">
        <v>0</v>
      </c>
      <c r="O1636">
        <v>-8.2091290000000008E-3</v>
      </c>
      <c r="P1636">
        <v>-0.99839230000000001</v>
      </c>
      <c r="Q1636">
        <v>5.3630209999999998E-2</v>
      </c>
      <c r="R1636">
        <v>-1.836426E-2</v>
      </c>
      <c r="S1636">
        <v>-3.0103149999999999</v>
      </c>
      <c r="T1636">
        <v>-0.1448981</v>
      </c>
      <c r="U1636">
        <v>-0.1255493</v>
      </c>
      <c r="V1636">
        <v>-1.033858E-2</v>
      </c>
      <c r="W1636">
        <v>6.041929E-2</v>
      </c>
      <c r="X1636">
        <v>0.99811950000000005</v>
      </c>
      <c r="Y1636">
        <v>-3.3437410000000001E-2</v>
      </c>
      <c r="Z1636">
        <v>-4.091953E-4</v>
      </c>
      <c r="AA1636">
        <v>0.99944069999999996</v>
      </c>
      <c r="AB1636">
        <v>30</v>
      </c>
      <c r="AC1636">
        <v>-22.733599999999999</v>
      </c>
      <c r="AD1636">
        <v>-1.1104028209970001</v>
      </c>
      <c r="AE1636">
        <v>-0.95830000000000803</v>
      </c>
      <c r="AF1636">
        <v>-0.76980703286767604</v>
      </c>
      <c r="AG1636">
        <v>-1.1104028209970001</v>
      </c>
      <c r="AH1636">
        <v>22.686672242403301</v>
      </c>
      <c r="AI1636">
        <v>92.800505756047102</v>
      </c>
      <c r="AJ1636">
        <v>91.943421990056393</v>
      </c>
      <c r="AK1636">
        <v>22.726871644090501</v>
      </c>
      <c r="AL1636">
        <v>86.536119870408797</v>
      </c>
      <c r="AM1636">
        <v>90.593451803100805</v>
      </c>
      <c r="AN1636">
        <v>0.99999995656038398</v>
      </c>
    </row>
    <row r="1637" spans="1:40" x14ac:dyDescent="0.25">
      <c r="A1637" t="str">
        <f>"20190312151257800"</f>
        <v>20190312151257800</v>
      </c>
      <c r="B1637" t="str">
        <f>"1552374777791295"</f>
        <v>1552374777791295</v>
      </c>
      <c r="C1637" t="s">
        <v>40</v>
      </c>
      <c r="D1637">
        <v>4.9044230000000004</v>
      </c>
      <c r="E1637">
        <v>0.49080099999999999</v>
      </c>
      <c r="F1637" t="s">
        <v>54</v>
      </c>
      <c r="G1637">
        <v>-259.02699999999999</v>
      </c>
      <c r="H1637" s="1">
        <v>3.2669340000000001E-6</v>
      </c>
      <c r="I1637">
        <v>281.14800000000002</v>
      </c>
      <c r="J1637">
        <v>-236.7099</v>
      </c>
      <c r="K1637">
        <v>1.1103419999999999</v>
      </c>
      <c r="L1637">
        <v>282.14429999999999</v>
      </c>
      <c r="M1637">
        <v>-0.99991830000000004</v>
      </c>
      <c r="N1637">
        <v>0</v>
      </c>
      <c r="O1637">
        <v>-1.082171E-2</v>
      </c>
      <c r="P1637">
        <v>-0.99829570000000001</v>
      </c>
      <c r="Q1637">
        <v>5.4531749999999997E-2</v>
      </c>
      <c r="R1637">
        <v>-2.0780469999999999E-2</v>
      </c>
      <c r="S1637">
        <v>-3.0102540000000002</v>
      </c>
      <c r="T1637">
        <v>-0.14597249999999901</v>
      </c>
      <c r="U1637">
        <v>-0.13198850000000001</v>
      </c>
      <c r="V1637">
        <v>-1.0140039999999999E-2</v>
      </c>
      <c r="W1637">
        <v>6.130265E-2</v>
      </c>
      <c r="X1637">
        <v>0.9980677</v>
      </c>
      <c r="Y1637">
        <v>-3.2964130000000001E-2</v>
      </c>
      <c r="Z1637">
        <v>-2.7421459999999999E-4</v>
      </c>
      <c r="AA1637">
        <v>0.99945649999999997</v>
      </c>
      <c r="AB1637">
        <v>30</v>
      </c>
      <c r="AC1637">
        <v>-22.3170999999999</v>
      </c>
      <c r="AD1637">
        <v>-1.1103387330659999</v>
      </c>
      <c r="AE1637">
        <v>-0.99630000000001895</v>
      </c>
      <c r="AF1637">
        <v>-0.75286698651709305</v>
      </c>
      <c r="AG1637">
        <v>-1.1103387330659999</v>
      </c>
      <c r="AH1637">
        <v>22.271554956487801</v>
      </c>
      <c r="AI1637">
        <v>92.852466649242999</v>
      </c>
      <c r="AJ1637">
        <v>91.936087603249604</v>
      </c>
      <c r="AK1637">
        <v>22.3119210508954</v>
      </c>
      <c r="AL1637">
        <v>86.485413167639905</v>
      </c>
      <c r="AM1637">
        <v>90.582086273208802</v>
      </c>
      <c r="AN1637">
        <v>0.999999984545756</v>
      </c>
    </row>
    <row r="1638" spans="1:40" x14ac:dyDescent="0.25">
      <c r="A1638" t="str">
        <f>"20190312151257823"</f>
        <v>20190312151257823</v>
      </c>
      <c r="B1638" t="str">
        <f>"1552374777811791"</f>
        <v>1552374777811791</v>
      </c>
      <c r="C1638" t="s">
        <v>40</v>
      </c>
      <c r="D1638">
        <v>4.8627500000000001</v>
      </c>
      <c r="E1638">
        <v>0.49069560000000001</v>
      </c>
      <c r="F1638" t="s">
        <v>54</v>
      </c>
      <c r="G1638">
        <v>-259.65219999999999</v>
      </c>
      <c r="H1638" s="1">
        <v>3.5996100000000001E-6</v>
      </c>
      <c r="I1638">
        <v>281.0634</v>
      </c>
      <c r="J1638">
        <v>-237.02760000000001</v>
      </c>
      <c r="K1638">
        <v>1.1102939999999999</v>
      </c>
      <c r="L1638">
        <v>282.1395</v>
      </c>
      <c r="M1638">
        <v>-0.99990290000000004</v>
      </c>
      <c r="N1638">
        <v>0</v>
      </c>
      <c r="O1638">
        <v>-1.2155269999999999E-2</v>
      </c>
      <c r="P1638">
        <v>-0.9982529</v>
      </c>
      <c r="Q1638">
        <v>5.4958439999999997E-2</v>
      </c>
      <c r="R1638">
        <v>-2.1693110000000002E-2</v>
      </c>
      <c r="S1638">
        <v>-3.0101469999999999</v>
      </c>
      <c r="T1638">
        <v>-0.1456826</v>
      </c>
      <c r="U1638">
        <v>-0.1418152</v>
      </c>
      <c r="V1638">
        <v>-9.7162150000000003E-3</v>
      </c>
      <c r="W1638">
        <v>6.172909E-2</v>
      </c>
      <c r="X1638">
        <v>0.99804559999999998</v>
      </c>
      <c r="Y1638">
        <v>-3.4888080000000002E-2</v>
      </c>
      <c r="Z1638">
        <v>-2.557096E-4</v>
      </c>
      <c r="AA1638">
        <v>0.99939120000000004</v>
      </c>
      <c r="AB1638">
        <v>31</v>
      </c>
      <c r="AC1638">
        <v>-22.624599999999901</v>
      </c>
      <c r="AD1638">
        <v>-1.1102904003899901</v>
      </c>
      <c r="AE1638">
        <v>-1.0760999999999901</v>
      </c>
      <c r="AF1638">
        <v>-0.79908589044777101</v>
      </c>
      <c r="AG1638">
        <v>-1.1102904003899901</v>
      </c>
      <c r="AH1638">
        <v>22.5817480844212</v>
      </c>
      <c r="AI1638">
        <v>92.813071425179402</v>
      </c>
      <c r="AJ1638">
        <v>92.026643504424001</v>
      </c>
      <c r="AK1638">
        <v>22.623143671509698</v>
      </c>
      <c r="AL1638">
        <v>86.460933479684101</v>
      </c>
      <c r="AM1638">
        <v>90.557770633259494</v>
      </c>
      <c r="AN1638">
        <v>0.99999995253275598</v>
      </c>
    </row>
    <row r="1639" spans="1:40" x14ac:dyDescent="0.25">
      <c r="A1639" t="str">
        <f>"20190312151257843"</f>
        <v>20190312151257843</v>
      </c>
      <c r="B1639" t="str">
        <f>"1552374777831310"</f>
        <v>1552374777831310</v>
      </c>
      <c r="C1639" t="s">
        <v>40</v>
      </c>
      <c r="D1639">
        <v>4.826333</v>
      </c>
      <c r="E1639">
        <v>0.49061179999999899</v>
      </c>
      <c r="F1639" t="s">
        <v>54</v>
      </c>
      <c r="G1639">
        <v>-260.0179</v>
      </c>
      <c r="H1639" s="1">
        <v>-1.5272340000000001E-6</v>
      </c>
      <c r="I1639">
        <v>281.02769999999998</v>
      </c>
      <c r="J1639">
        <v>-237.3124</v>
      </c>
      <c r="K1639">
        <v>1.110241</v>
      </c>
      <c r="L1639">
        <v>282.13490000000002</v>
      </c>
      <c r="M1639">
        <v>-0.99988869999999996</v>
      </c>
      <c r="N1639">
        <v>0</v>
      </c>
      <c r="O1639">
        <v>-1.327888E-2</v>
      </c>
      <c r="P1639">
        <v>-0.99822140000000004</v>
      </c>
      <c r="Q1639">
        <v>5.5008109999999999E-2</v>
      </c>
      <c r="R1639">
        <v>-2.2984649999999999E-2</v>
      </c>
      <c r="S1639">
        <v>-3.0100709999999999</v>
      </c>
      <c r="T1639">
        <v>-0.14536830000000001</v>
      </c>
      <c r="U1639">
        <v>-0.1455688</v>
      </c>
      <c r="V1639">
        <v>-9.8794179999999992E-3</v>
      </c>
      <c r="W1639">
        <v>6.1781919999999997E-2</v>
      </c>
      <c r="X1639">
        <v>0.99804079999999995</v>
      </c>
      <c r="Y1639">
        <v>-3.5010939999999997E-2</v>
      </c>
      <c r="Z1639">
        <v>-2.0393169999999999E-4</v>
      </c>
      <c r="AA1639">
        <v>0.99938689999999997</v>
      </c>
      <c r="AB1639">
        <v>31</v>
      </c>
      <c r="AC1639">
        <v>-22.705500000000001</v>
      </c>
      <c r="AD1639">
        <v>-1.110242527234</v>
      </c>
      <c r="AE1639">
        <v>-1.1072000000000299</v>
      </c>
      <c r="AF1639">
        <v>-0.80367479045185297</v>
      </c>
      <c r="AG1639">
        <v>-1.110242527234</v>
      </c>
      <c r="AH1639">
        <v>22.664140059403</v>
      </c>
      <c r="AI1639">
        <v>92.802733306720597</v>
      </c>
      <c r="AJ1639">
        <v>92.030868487729293</v>
      </c>
      <c r="AK1639">
        <v>22.7055450555657</v>
      </c>
      <c r="AL1639">
        <v>86.457901006668195</v>
      </c>
      <c r="AM1639">
        <v>90.567141611998196</v>
      </c>
      <c r="AN1639">
        <v>1.0000000235017701</v>
      </c>
    </row>
    <row r="1640" spans="1:40" x14ac:dyDescent="0.25">
      <c r="A1640" t="str">
        <f>"20190312151257865"</f>
        <v>20190312151257865</v>
      </c>
      <c r="B1640" t="str">
        <f>"1552374777861566"</f>
        <v>1552374777861566</v>
      </c>
      <c r="C1640" t="s">
        <v>40</v>
      </c>
      <c r="D1640">
        <v>4.9964969999999997</v>
      </c>
      <c r="E1640">
        <v>0.49061749999999998</v>
      </c>
      <c r="F1640" t="s">
        <v>54</v>
      </c>
      <c r="G1640">
        <v>-260.16770000000002</v>
      </c>
      <c r="H1640" s="1">
        <v>-1.447563E-6</v>
      </c>
      <c r="I1640">
        <v>280.9932</v>
      </c>
      <c r="J1640">
        <v>-237.61179999999999</v>
      </c>
      <c r="K1640">
        <v>1.110179</v>
      </c>
      <c r="L1640">
        <v>282.12990000000002</v>
      </c>
      <c r="M1640">
        <v>-0.99987349999999997</v>
      </c>
      <c r="N1640">
        <v>0</v>
      </c>
      <c r="O1640">
        <v>-1.437124E-2</v>
      </c>
      <c r="P1640">
        <v>-0.99822339999999998</v>
      </c>
      <c r="Q1640">
        <v>5.4797770000000003E-2</v>
      </c>
      <c r="R1640">
        <v>-2.3397089999999999E-2</v>
      </c>
      <c r="S1640">
        <v>-3.0099490000000002</v>
      </c>
      <c r="T1640">
        <v>-0.14621439999999999</v>
      </c>
      <c r="U1640">
        <v>-0.1503601</v>
      </c>
      <c r="V1640">
        <v>-9.1908979999999994E-3</v>
      </c>
      <c r="W1640">
        <v>6.1580599999999999E-2</v>
      </c>
      <c r="X1640">
        <v>0.99805980000000005</v>
      </c>
      <c r="Y1640">
        <v>-3.550847E-2</v>
      </c>
      <c r="Z1640">
        <v>-1.642011E-4</v>
      </c>
      <c r="AA1640">
        <v>0.99936939999999996</v>
      </c>
      <c r="AB1640">
        <v>31</v>
      </c>
      <c r="AC1640">
        <v>-22.555900000000001</v>
      </c>
      <c r="AD1640">
        <v>-1.1101804475629999</v>
      </c>
      <c r="AE1640">
        <v>-1.13670000000001</v>
      </c>
      <c r="AF1640">
        <v>-0.81046044376931403</v>
      </c>
      <c r="AG1640">
        <v>-1.1101804475629999</v>
      </c>
      <c r="AH1640">
        <v>22.5155006648354</v>
      </c>
      <c r="AI1640">
        <v>92.820994861091606</v>
      </c>
      <c r="AJ1640">
        <v>92.061509697338806</v>
      </c>
      <c r="AK1640">
        <v>22.557418224284199</v>
      </c>
      <c r="AL1640">
        <v>86.469457727839298</v>
      </c>
      <c r="AM1640">
        <v>90.527608446546296</v>
      </c>
      <c r="AN1640">
        <v>1.00000000363922</v>
      </c>
    </row>
    <row r="1641" spans="1:40" x14ac:dyDescent="0.25">
      <c r="A1641" t="str">
        <f>"20190312151257888"</f>
        <v>20190312151257888</v>
      </c>
      <c r="B1641" t="str">
        <f>"1552374777881087"</f>
        <v>1552374777881087</v>
      </c>
      <c r="C1641" t="s">
        <v>40</v>
      </c>
      <c r="D1641">
        <v>4.7793469999999996</v>
      </c>
      <c r="E1641">
        <v>0.524563</v>
      </c>
      <c r="F1641" t="s">
        <v>54</v>
      </c>
      <c r="G1641">
        <v>-260.33210000000003</v>
      </c>
      <c r="H1641" s="1">
        <v>-1.3600629999999999E-6</v>
      </c>
      <c r="I1641">
        <v>280.98360000000002</v>
      </c>
      <c r="J1641">
        <v>-237.92619999999999</v>
      </c>
      <c r="K1641">
        <v>1.110104</v>
      </c>
      <c r="L1641">
        <v>282.12430000000001</v>
      </c>
      <c r="M1641">
        <v>-0.99985800000000002</v>
      </c>
      <c r="N1641">
        <v>0</v>
      </c>
      <c r="O1641">
        <v>-1.5405179999999999E-2</v>
      </c>
      <c r="P1641">
        <v>-0.99823459999999997</v>
      </c>
      <c r="Q1641">
        <v>5.4534369999999999E-2</v>
      </c>
      <c r="R1641">
        <v>-2.353061E-2</v>
      </c>
      <c r="S1641">
        <v>-3.0098569999999998</v>
      </c>
      <c r="T1641">
        <v>-0.14707039999999999</v>
      </c>
      <c r="U1641">
        <v>-0.1518555</v>
      </c>
      <c r="V1641">
        <v>-8.2806019999999998E-3</v>
      </c>
      <c r="W1641">
        <v>6.1331209999999997E-2</v>
      </c>
      <c r="X1641">
        <v>0.9980831</v>
      </c>
      <c r="Y1641">
        <v>-3.497339E-2</v>
      </c>
      <c r="Z1641">
        <v>-1.016615E-4</v>
      </c>
      <c r="AA1641">
        <v>0.99938819999999995</v>
      </c>
      <c r="AB1641">
        <v>31</v>
      </c>
      <c r="AC1641">
        <v>-22.405899999999999</v>
      </c>
      <c r="AD1641">
        <v>-1.110105360063</v>
      </c>
      <c r="AE1641">
        <v>-1.1406999999999801</v>
      </c>
      <c r="AF1641">
        <v>-0.79344699237795202</v>
      </c>
      <c r="AG1641">
        <v>-1.110105360063</v>
      </c>
      <c r="AH1641">
        <v>22.366053464297998</v>
      </c>
      <c r="AI1641">
        <v>92.839674519499496</v>
      </c>
      <c r="AJ1641">
        <v>92.031744548114204</v>
      </c>
      <c r="AK1641">
        <v>22.407637974761901</v>
      </c>
      <c r="AL1641">
        <v>86.483773699610197</v>
      </c>
      <c r="AM1641">
        <v>90.475343847865602</v>
      </c>
      <c r="AN1641">
        <v>0.99999998009757796</v>
      </c>
    </row>
    <row r="1642" spans="1:40" x14ac:dyDescent="0.25">
      <c r="A1642" t="str">
        <f>"20190312151257910"</f>
        <v>20190312151257910</v>
      </c>
      <c r="B1642" t="str">
        <f>"1552374777901583"</f>
        <v>1552374777901583</v>
      </c>
      <c r="C1642" t="s">
        <v>40</v>
      </c>
      <c r="D1642">
        <v>4.8025120000000001</v>
      </c>
      <c r="E1642">
        <v>0.52727460000000004</v>
      </c>
      <c r="F1642" t="s">
        <v>54</v>
      </c>
      <c r="G1642">
        <v>-269.11540000000002</v>
      </c>
      <c r="H1642" s="1">
        <v>3.3139920000000002E-6</v>
      </c>
      <c r="I1642">
        <v>283.35849999999999</v>
      </c>
      <c r="J1642">
        <v>-238.22640000000001</v>
      </c>
      <c r="K1642">
        <v>1.1100219999999901</v>
      </c>
      <c r="L1642">
        <v>282.11880000000002</v>
      </c>
      <c r="M1642">
        <v>-0.99984399999999996</v>
      </c>
      <c r="N1642">
        <v>0</v>
      </c>
      <c r="O1642">
        <v>-1.629274E-2</v>
      </c>
      <c r="P1642">
        <v>-0.99821059999999995</v>
      </c>
      <c r="Q1642">
        <v>5.4812060000000003E-2</v>
      </c>
      <c r="R1642">
        <v>-2.3902489999999998E-2</v>
      </c>
      <c r="S1642">
        <v>-3.0139770000000001</v>
      </c>
      <c r="T1642">
        <v>-0.1072747</v>
      </c>
      <c r="U1642">
        <v>0.1192627</v>
      </c>
      <c r="V1642">
        <v>-7.7550419999999898E-3</v>
      </c>
      <c r="W1642">
        <v>6.1624390000000001E-2</v>
      </c>
      <c r="X1642">
        <v>0.99806930000000005</v>
      </c>
      <c r="Y1642">
        <v>5.5768499999999901E-2</v>
      </c>
      <c r="Z1642">
        <v>1.571294E-3</v>
      </c>
      <c r="AA1642">
        <v>0.99844250000000001</v>
      </c>
      <c r="AB1642">
        <v>31</v>
      </c>
      <c r="AC1642">
        <v>-30.888999999999999</v>
      </c>
      <c r="AD1642">
        <v>-1.1100186860079999</v>
      </c>
      <c r="AE1642">
        <v>1.23969999999997</v>
      </c>
      <c r="AF1642">
        <v>1.74056947712104</v>
      </c>
      <c r="AG1642">
        <v>-1.1100186860079999</v>
      </c>
      <c r="AH1642">
        <v>30.824958550473902</v>
      </c>
      <c r="AI1642">
        <v>92.059074878469502</v>
      </c>
      <c r="AJ1642">
        <v>86.768154747964502</v>
      </c>
      <c r="AK1642">
        <v>30.8940090183584</v>
      </c>
      <c r="AL1642">
        <v>86.466944018215798</v>
      </c>
      <c r="AM1642">
        <v>90.4451817473158</v>
      </c>
      <c r="AN1642">
        <v>1.00000001686089</v>
      </c>
    </row>
    <row r="1643" spans="1:40" x14ac:dyDescent="0.25">
      <c r="A1643" t="str">
        <f>"20190312151257933"</f>
        <v>20190312151257933</v>
      </c>
      <c r="B1643" t="str">
        <f>"1552374777921102"</f>
        <v>1552374777921102</v>
      </c>
      <c r="C1643" t="s">
        <v>40</v>
      </c>
      <c r="D1643">
        <v>4.7527429999999997</v>
      </c>
      <c r="E1643">
        <v>0.52830149999999998</v>
      </c>
      <c r="F1643" t="s">
        <v>54</v>
      </c>
      <c r="G1643">
        <v>-268.32619999999997</v>
      </c>
      <c r="H1643" s="1">
        <v>2.8940120000000001E-6</v>
      </c>
      <c r="I1643">
        <v>283.51330000000002</v>
      </c>
      <c r="J1643">
        <v>-238.55330000000001</v>
      </c>
      <c r="K1643">
        <v>1.109947</v>
      </c>
      <c r="L1643">
        <v>282.11259999999999</v>
      </c>
      <c r="M1643">
        <v>-0.99982939999999998</v>
      </c>
      <c r="N1643">
        <v>0</v>
      </c>
      <c r="O1643">
        <v>-1.7160290000000002E-2</v>
      </c>
      <c r="P1643">
        <v>-0.99819080000000004</v>
      </c>
      <c r="Q1643">
        <v>5.522498E-2</v>
      </c>
      <c r="R1643">
        <v>-2.3784420000000001E-2</v>
      </c>
      <c r="S1643">
        <v>-3.0148320000000002</v>
      </c>
      <c r="T1643">
        <v>-0.1111809</v>
      </c>
      <c r="U1643">
        <v>0.139679</v>
      </c>
      <c r="V1643">
        <v>-6.7601909999999996E-3</v>
      </c>
      <c r="W1643">
        <v>6.2057000000000001E-2</v>
      </c>
      <c r="X1643">
        <v>0.99804970000000004</v>
      </c>
      <c r="Y1643">
        <v>6.3361819999999999E-2</v>
      </c>
      <c r="Z1643">
        <v>1.7996430000000001E-3</v>
      </c>
      <c r="AA1643">
        <v>0.99798900000000001</v>
      </c>
      <c r="AB1643">
        <v>31</v>
      </c>
      <c r="AC1643">
        <v>-29.7728999999999</v>
      </c>
      <c r="AD1643">
        <v>-1.109944105988</v>
      </c>
      <c r="AE1643">
        <v>1.40070000000002</v>
      </c>
      <c r="AF1643">
        <v>1.90877026953488</v>
      </c>
      <c r="AG1643">
        <v>-1.109944105988</v>
      </c>
      <c r="AH1643">
        <v>29.703287612778698</v>
      </c>
      <c r="AI1643">
        <v>92.135616006092405</v>
      </c>
      <c r="AJ1643">
        <v>86.323157445152603</v>
      </c>
      <c r="AK1643">
        <v>29.7852425685562</v>
      </c>
      <c r="AL1643">
        <v>86.442109654885002</v>
      </c>
      <c r="AM1643">
        <v>90.388081364811896</v>
      </c>
      <c r="AN1643">
        <v>0.99999998755072295</v>
      </c>
    </row>
    <row r="1644" spans="1:40" x14ac:dyDescent="0.25">
      <c r="A1644" t="str">
        <f>"20190312151257956"</f>
        <v>20190312151257956</v>
      </c>
      <c r="B1644" t="str">
        <f>"1552374777951358"</f>
        <v>1552374777951358</v>
      </c>
      <c r="C1644" t="s">
        <v>40</v>
      </c>
      <c r="D1644">
        <v>4.710871</v>
      </c>
      <c r="E1644">
        <v>0.52854109999999999</v>
      </c>
      <c r="F1644" t="s">
        <v>54</v>
      </c>
      <c r="G1644">
        <v>-268.32709999999997</v>
      </c>
      <c r="H1644" s="1">
        <v>2.8944519999999999E-6</v>
      </c>
      <c r="I1644">
        <v>283.57389999999998</v>
      </c>
      <c r="J1644">
        <v>-238.87309999999999</v>
      </c>
      <c r="K1644">
        <v>1.1098709999999901</v>
      </c>
      <c r="L1644">
        <v>282.10640000000001</v>
      </c>
      <c r="M1644">
        <v>-0.99981609999999999</v>
      </c>
      <c r="N1644">
        <v>0</v>
      </c>
      <c r="O1644">
        <v>-1.7902870000000001E-2</v>
      </c>
      <c r="P1644">
        <v>-0.99817239999999996</v>
      </c>
      <c r="Q1644">
        <v>5.5552450000000003E-2</v>
      </c>
      <c r="R1644">
        <v>-2.379005E-2</v>
      </c>
      <c r="S1644">
        <v>-3.0152130000000001</v>
      </c>
      <c r="T1644">
        <v>-0.1124048</v>
      </c>
      <c r="U1644">
        <v>0.14797969999999999</v>
      </c>
      <c r="V1644">
        <v>-6.0138350000000004E-3</v>
      </c>
      <c r="W1644">
        <v>6.2406799999999998E-2</v>
      </c>
      <c r="X1644">
        <v>0.99803269999999999</v>
      </c>
      <c r="Y1644">
        <v>6.6833879999999998E-2</v>
      </c>
      <c r="Z1644">
        <v>1.9114119999999999E-3</v>
      </c>
      <c r="AA1644">
        <v>0.99776229999999999</v>
      </c>
      <c r="AB1644">
        <v>31</v>
      </c>
      <c r="AC1644">
        <v>-29.453999999999901</v>
      </c>
      <c r="AD1644">
        <v>-1.10986810554799</v>
      </c>
      <c r="AE1644">
        <v>1.4674999999999701</v>
      </c>
      <c r="AF1644">
        <v>1.9917673017799999</v>
      </c>
      <c r="AG1644">
        <v>-1.10986810554799</v>
      </c>
      <c r="AH1644">
        <v>29.3813911356823</v>
      </c>
      <c r="AI1644">
        <v>92.158343380202993</v>
      </c>
      <c r="AJ1644">
        <v>86.121847070491398</v>
      </c>
      <c r="AK1644">
        <v>29.469731747406598</v>
      </c>
      <c r="AL1644">
        <v>86.422028793728103</v>
      </c>
      <c r="AM1644">
        <v>90.345242389340399</v>
      </c>
      <c r="AN1644">
        <v>1.00000002258346</v>
      </c>
    </row>
    <row r="1645" spans="1:40" x14ac:dyDescent="0.25">
      <c r="A1645" t="str">
        <f>"20190312151257978"</f>
        <v>20190312151257978</v>
      </c>
      <c r="B1645" t="str">
        <f>"1552374777971854"</f>
        <v>1552374777971854</v>
      </c>
      <c r="C1645" t="s">
        <v>40</v>
      </c>
      <c r="D1645">
        <v>4.6439029999999999</v>
      </c>
      <c r="E1645">
        <v>0.52884430000000004</v>
      </c>
      <c r="F1645" t="s">
        <v>54</v>
      </c>
      <c r="G1645">
        <v>-268.7989</v>
      </c>
      <c r="H1645" s="1">
        <v>3.1455499999999999E-6</v>
      </c>
      <c r="I1645">
        <v>283.59500000000003</v>
      </c>
      <c r="J1645">
        <v>-239.19149999999999</v>
      </c>
      <c r="K1645">
        <v>1.1097980000000001</v>
      </c>
      <c r="L1645">
        <v>282.10000000000002</v>
      </c>
      <c r="M1645">
        <v>-0.99980449999999998</v>
      </c>
      <c r="N1645">
        <v>0</v>
      </c>
      <c r="O1645">
        <v>-1.8528389999999999E-2</v>
      </c>
      <c r="P1645">
        <v>-0.99815200000000004</v>
      </c>
      <c r="Q1645">
        <v>5.5959719999999998E-2</v>
      </c>
      <c r="R1645">
        <v>-2.3685910000000001E-2</v>
      </c>
      <c r="S1645">
        <v>-3.0152739999999998</v>
      </c>
      <c r="T1645">
        <v>-0.1118286</v>
      </c>
      <c r="U1645">
        <v>0.14999390000000001</v>
      </c>
      <c r="V1645">
        <v>-5.2741430000000002E-3</v>
      </c>
      <c r="W1645">
        <v>6.2841770000000005E-2</v>
      </c>
      <c r="X1645">
        <v>0.99800960000000005</v>
      </c>
      <c r="Y1645">
        <v>6.812124E-2</v>
      </c>
      <c r="Z1645">
        <v>1.9485800000000001E-3</v>
      </c>
      <c r="AA1645">
        <v>0.99767510000000004</v>
      </c>
      <c r="AB1645">
        <v>31</v>
      </c>
      <c r="AC1645">
        <v>-29.607399999999998</v>
      </c>
      <c r="AD1645">
        <v>-1.10979485445</v>
      </c>
      <c r="AE1645">
        <v>1.4950000000000001</v>
      </c>
      <c r="AF1645">
        <v>2.0404742437137999</v>
      </c>
      <c r="AG1645">
        <v>-1.10979485445</v>
      </c>
      <c r="AH1645">
        <v>29.533227118027</v>
      </c>
      <c r="AI1645">
        <v>92.146925690939497</v>
      </c>
      <c r="AJ1645">
        <v>86.047669724467696</v>
      </c>
      <c r="AK1645">
        <v>29.6244271465827</v>
      </c>
      <c r="AL1645">
        <v>86.397057873391105</v>
      </c>
      <c r="AM1645">
        <v>90.302785986607304</v>
      </c>
      <c r="AN1645">
        <v>1.0000000331666301</v>
      </c>
    </row>
    <row r="1646" spans="1:40" x14ac:dyDescent="0.25">
      <c r="A1646" t="str">
        <f>"20190312151258001"</f>
        <v>20190312151258001</v>
      </c>
      <c r="B1646" t="str">
        <f>"1552374777991374"</f>
        <v>1552374777991374</v>
      </c>
      <c r="C1646" t="s">
        <v>40</v>
      </c>
      <c r="D1646">
        <v>4.6318780000000004</v>
      </c>
      <c r="E1646">
        <v>0.52903800000000001</v>
      </c>
      <c r="F1646" t="s">
        <v>54</v>
      </c>
      <c r="G1646">
        <v>-269.13119999999998</v>
      </c>
      <c r="H1646" s="1">
        <v>3.3224019999999998E-6</v>
      </c>
      <c r="I1646">
        <v>283.61380000000003</v>
      </c>
      <c r="J1646">
        <v>-239.49870000000001</v>
      </c>
      <c r="K1646">
        <v>1.1097170000000001</v>
      </c>
      <c r="L1646">
        <v>282.09390000000002</v>
      </c>
      <c r="M1646">
        <v>-0.9997952</v>
      </c>
      <c r="N1646">
        <v>0</v>
      </c>
      <c r="O1646">
        <v>-1.901607E-2</v>
      </c>
      <c r="P1646">
        <v>-0.99816199999999999</v>
      </c>
      <c r="Q1646">
        <v>5.5904019999999999E-2</v>
      </c>
      <c r="R1646">
        <v>-2.3401459999999999E-2</v>
      </c>
      <c r="S1646">
        <v>-3.0154570000000001</v>
      </c>
      <c r="T1646">
        <v>-0.111776</v>
      </c>
      <c r="U1646">
        <v>0.15246579999999901</v>
      </c>
      <c r="V1646">
        <v>-4.4903599999999997E-3</v>
      </c>
      <c r="W1646">
        <v>6.2817040000000005E-2</v>
      </c>
      <c r="X1646">
        <v>0.99801499999999999</v>
      </c>
      <c r="Y1646">
        <v>6.9419469999999997E-2</v>
      </c>
      <c r="Z1646">
        <v>1.989607E-3</v>
      </c>
      <c r="AA1646">
        <v>0.99758559999999996</v>
      </c>
      <c r="AB1646">
        <v>31</v>
      </c>
      <c r="AC1646">
        <v>-29.632499999999901</v>
      </c>
      <c r="AD1646">
        <v>-1.1097136775980001</v>
      </c>
      <c r="AE1646">
        <v>1.5199</v>
      </c>
      <c r="AF1646">
        <v>2.0802226203725498</v>
      </c>
      <c r="AG1646">
        <v>-1.1097136775980001</v>
      </c>
      <c r="AH1646">
        <v>29.556895222236601</v>
      </c>
      <c r="AI1646">
        <v>92.144859582451502</v>
      </c>
      <c r="AJ1646">
        <v>85.974145325165594</v>
      </c>
      <c r="AK1646">
        <v>29.650781537336101</v>
      </c>
      <c r="AL1646">
        <v>86.398477634943603</v>
      </c>
      <c r="AM1646">
        <v>90.257788650903507</v>
      </c>
      <c r="AN1646">
        <v>1.0000000420361399</v>
      </c>
    </row>
    <row r="1647" spans="1:40" x14ac:dyDescent="0.25">
      <c r="A1647" t="str">
        <f>"20190312151258022"</f>
        <v>20190312151258022</v>
      </c>
      <c r="B1647" t="str">
        <f>"1552374778011870"</f>
        <v>1552374778011870</v>
      </c>
      <c r="C1647" t="s">
        <v>40</v>
      </c>
      <c r="D1647">
        <v>4.6314419999999998</v>
      </c>
      <c r="E1647">
        <v>0.529103199999999</v>
      </c>
      <c r="F1647" t="s">
        <v>54</v>
      </c>
      <c r="G1647">
        <v>-269.1515</v>
      </c>
      <c r="H1647" s="1">
        <v>3.3331599999999999E-6</v>
      </c>
      <c r="I1647">
        <v>283.61540000000002</v>
      </c>
      <c r="J1647">
        <v>-239.80889999999999</v>
      </c>
      <c r="K1647">
        <v>1.109623</v>
      </c>
      <c r="L1647">
        <v>282.08760000000001</v>
      </c>
      <c r="M1647">
        <v>-0.9997878</v>
      </c>
      <c r="N1647">
        <v>0</v>
      </c>
      <c r="O1647">
        <v>-1.9390190000000002E-2</v>
      </c>
      <c r="P1647">
        <v>-0.99817560000000005</v>
      </c>
      <c r="Q1647">
        <v>5.5907360000000003E-2</v>
      </c>
      <c r="R1647">
        <v>-2.280575E-2</v>
      </c>
      <c r="S1647">
        <v>-3.0154879999999999</v>
      </c>
      <c r="T1647">
        <v>-0.1128504</v>
      </c>
      <c r="U1647">
        <v>0.1547241</v>
      </c>
      <c r="V1647">
        <v>-3.5066839999999999E-3</v>
      </c>
      <c r="W1647">
        <v>6.2854629999999995E-2</v>
      </c>
      <c r="X1647">
        <v>0.99801649999999997</v>
      </c>
      <c r="Y1647">
        <v>7.0535169999999994E-2</v>
      </c>
      <c r="Z1647">
        <v>2.043507E-3</v>
      </c>
      <c r="AA1647">
        <v>0.99750720000000004</v>
      </c>
      <c r="AB1647">
        <v>31</v>
      </c>
      <c r="AC1647">
        <v>-29.342600000000001</v>
      </c>
      <c r="AD1647">
        <v>-1.10961966684</v>
      </c>
      <c r="AE1647">
        <v>1.52780000000001</v>
      </c>
      <c r="AF1647">
        <v>2.0934993862105</v>
      </c>
      <c r="AG1647">
        <v>-1.10961966684</v>
      </c>
      <c r="AH1647">
        <v>29.265719780984899</v>
      </c>
      <c r="AI1647">
        <v>92.165819733508201</v>
      </c>
      <c r="AJ1647">
        <v>85.908362822268103</v>
      </c>
      <c r="AK1647">
        <v>29.361477309294798</v>
      </c>
      <c r="AL1647">
        <v>86.396319354337095</v>
      </c>
      <c r="AM1647">
        <v>90.201316678093903</v>
      </c>
      <c r="AN1647">
        <v>0.99999996780867995</v>
      </c>
    </row>
    <row r="1648" spans="1:40" x14ac:dyDescent="0.25">
      <c r="A1648" t="str">
        <f>"20190312151258044"</f>
        <v>20190312151258044</v>
      </c>
      <c r="B1648" t="str">
        <f>"1552374778041150"</f>
        <v>1552374778041150</v>
      </c>
      <c r="C1648" t="s">
        <v>40</v>
      </c>
      <c r="D1648">
        <v>4.5780960000000004</v>
      </c>
      <c r="E1648">
        <v>0.52930119999999903</v>
      </c>
      <c r="F1648" t="s">
        <v>54</v>
      </c>
      <c r="G1648">
        <v>-269.39600000000002</v>
      </c>
      <c r="H1648" s="1">
        <v>3.463311E-6</v>
      </c>
      <c r="I1648">
        <v>283.62880000000001</v>
      </c>
      <c r="J1648">
        <v>-240.10900000000001</v>
      </c>
      <c r="K1648">
        <v>1.1095349999999999</v>
      </c>
      <c r="L1648">
        <v>282.08150000000001</v>
      </c>
      <c r="M1648">
        <v>-0.99978270000000002</v>
      </c>
      <c r="N1648">
        <v>0</v>
      </c>
      <c r="O1648">
        <v>-1.964107E-2</v>
      </c>
      <c r="P1648">
        <v>-0.99819539999999995</v>
      </c>
      <c r="Q1648">
        <v>5.5744309999999998E-2</v>
      </c>
      <c r="R1648">
        <v>-2.2339040000000001E-2</v>
      </c>
      <c r="S1648">
        <v>-3.0153810000000001</v>
      </c>
      <c r="T1648">
        <v>-0.1130873</v>
      </c>
      <c r="U1648">
        <v>0.15707399999999999</v>
      </c>
      <c r="V1648">
        <v>-2.7743080000000001E-3</v>
      </c>
      <c r="W1648">
        <v>6.2725660000000003E-2</v>
      </c>
      <c r="X1648">
        <v>0.998027</v>
      </c>
      <c r="Y1648">
        <v>7.1561349999999996E-2</v>
      </c>
      <c r="Z1648">
        <v>2.0764479999999998E-3</v>
      </c>
      <c r="AA1648">
        <v>0.99743400000000004</v>
      </c>
      <c r="AB1648">
        <v>31</v>
      </c>
      <c r="AC1648">
        <v>-29.2869999999999</v>
      </c>
      <c r="AD1648">
        <v>-1.109531536689</v>
      </c>
      <c r="AE1648">
        <v>1.5472999999999999</v>
      </c>
      <c r="AF1648">
        <v>2.1192104078987</v>
      </c>
      <c r="AG1648">
        <v>-1.109531536689</v>
      </c>
      <c r="AH1648">
        <v>29.209152827722399</v>
      </c>
      <c r="AI1648">
        <v>92.169679628164403</v>
      </c>
      <c r="AJ1648">
        <v>85.8502928405332</v>
      </c>
      <c r="AK1648">
        <v>29.306939824845202</v>
      </c>
      <c r="AL1648">
        <v>86.403723693541593</v>
      </c>
      <c r="AM1648">
        <v>90.1592699696903</v>
      </c>
      <c r="AN1648">
        <v>1.00000004896815</v>
      </c>
    </row>
    <row r="1649" spans="1:40" x14ac:dyDescent="0.25">
      <c r="A1649" t="str">
        <f>"20190312151258068"</f>
        <v>20190312151258068</v>
      </c>
      <c r="B1649" t="str">
        <f>"1552374778061647"</f>
        <v>1552374778061647</v>
      </c>
      <c r="C1649" t="s">
        <v>40</v>
      </c>
      <c r="D1649">
        <v>4.8232819999999998</v>
      </c>
      <c r="E1649">
        <v>0.5294759</v>
      </c>
      <c r="F1649" t="s">
        <v>54</v>
      </c>
      <c r="G1649">
        <v>-269.92559999999997</v>
      </c>
      <c r="H1649" s="1">
        <v>3.7451329999999998E-6</v>
      </c>
      <c r="I1649">
        <v>283.66550000000001</v>
      </c>
      <c r="J1649">
        <v>-240.43600000000001</v>
      </c>
      <c r="K1649">
        <v>1.109443</v>
      </c>
      <c r="L1649">
        <v>282.07490000000001</v>
      </c>
      <c r="M1649">
        <v>-0.99977899999999997</v>
      </c>
      <c r="N1649">
        <v>0</v>
      </c>
      <c r="O1649">
        <v>-1.9812960000000001E-2</v>
      </c>
      <c r="P1649">
        <v>-0.99821919999999997</v>
      </c>
      <c r="Q1649">
        <v>5.5641929999999999E-2</v>
      </c>
      <c r="R1649">
        <v>-2.1508280000000001E-2</v>
      </c>
      <c r="S1649">
        <v>-3.0152890000000001</v>
      </c>
      <c r="T1649">
        <v>-0.112204399999999</v>
      </c>
      <c r="U1649">
        <v>0.16018679999999999</v>
      </c>
      <c r="V1649">
        <v>-1.7577999999999999E-3</v>
      </c>
      <c r="W1649">
        <v>6.2660930000000004E-2</v>
      </c>
      <c r="X1649">
        <v>0.99803330000000001</v>
      </c>
      <c r="Y1649">
        <v>7.2761270000000003E-2</v>
      </c>
      <c r="Z1649">
        <v>2.0889509999999999E-3</v>
      </c>
      <c r="AA1649">
        <v>0.99734719999999999</v>
      </c>
      <c r="AB1649">
        <v>32</v>
      </c>
      <c r="AC1649">
        <v>-29.489599999999999</v>
      </c>
      <c r="AD1649">
        <v>-1.109439254867</v>
      </c>
      <c r="AE1649">
        <v>1.59059999999999</v>
      </c>
      <c r="AF1649">
        <v>2.1715138779349701</v>
      </c>
      <c r="AG1649">
        <v>-1.109439254867</v>
      </c>
      <c r="AH1649">
        <v>29.4107894227194</v>
      </c>
      <c r="AI1649">
        <v>92.1544388629314</v>
      </c>
      <c r="AJ1649">
        <v>85.777290161170498</v>
      </c>
      <c r="AK1649">
        <v>29.511707210018301</v>
      </c>
      <c r="AL1649">
        <v>86.407439493030793</v>
      </c>
      <c r="AM1649">
        <v>90.100912882453699</v>
      </c>
      <c r="AN1649">
        <v>0.99999997495909698</v>
      </c>
    </row>
    <row r="1650" spans="1:40" x14ac:dyDescent="0.25">
      <c r="A1650" t="str">
        <f>"20190312151258089"</f>
        <v>20190312151258089</v>
      </c>
      <c r="B1650" t="str">
        <f>"1552374778081167"</f>
        <v>1552374778081167</v>
      </c>
      <c r="C1650" t="s">
        <v>40</v>
      </c>
      <c r="D1650">
        <v>4.5282229999999997</v>
      </c>
      <c r="E1650">
        <v>0.52950220000000003</v>
      </c>
      <c r="F1650" t="s">
        <v>54</v>
      </c>
      <c r="G1650">
        <v>-269.3569</v>
      </c>
      <c r="H1650" s="1">
        <v>3.4425099999999999E-6</v>
      </c>
      <c r="I1650">
        <v>283.64550000000003</v>
      </c>
      <c r="J1650">
        <v>-240.7491</v>
      </c>
      <c r="K1650">
        <v>1.1093740000000001</v>
      </c>
      <c r="L1650">
        <v>282.0686</v>
      </c>
      <c r="M1650">
        <v>-0.99977720000000003</v>
      </c>
      <c r="N1650">
        <v>0</v>
      </c>
      <c r="O1650">
        <v>-1.9894809999999999E-2</v>
      </c>
      <c r="P1650">
        <v>-0.99825140000000001</v>
      </c>
      <c r="Q1650">
        <v>5.5450480000000003E-2</v>
      </c>
      <c r="R1650">
        <v>-2.048991E-2</v>
      </c>
      <c r="S1650">
        <v>-3.0153050000000001</v>
      </c>
      <c r="T1650">
        <v>-0.1156703</v>
      </c>
      <c r="U1650">
        <v>0.16375729999999999</v>
      </c>
      <c r="V1650">
        <v>-6.4610419999999995E-4</v>
      </c>
      <c r="W1650">
        <v>6.2505779999999997E-2</v>
      </c>
      <c r="X1650">
        <v>0.99804440000000005</v>
      </c>
      <c r="Y1650">
        <v>7.4015220000000007E-2</v>
      </c>
      <c r="Z1650">
        <v>2.1805150000000001E-3</v>
      </c>
      <c r="AA1650">
        <v>0.99725469999999905</v>
      </c>
      <c r="AB1650">
        <v>32</v>
      </c>
      <c r="AC1650">
        <v>-28.607800000000001</v>
      </c>
      <c r="AD1650">
        <v>-1.1093705574899999</v>
      </c>
      <c r="AE1650">
        <v>1.57690000000002</v>
      </c>
      <c r="AF1650">
        <v>2.1425366406044</v>
      </c>
      <c r="AG1650">
        <v>-1.1093705574899999</v>
      </c>
      <c r="AH1650">
        <v>28.5279948363705</v>
      </c>
      <c r="AI1650">
        <v>92.220695991257301</v>
      </c>
      <c r="AJ1650">
        <v>85.704980968359095</v>
      </c>
      <c r="AK1650">
        <v>28.6298385548039</v>
      </c>
      <c r="AL1650">
        <v>86.416346508901398</v>
      </c>
      <c r="AM1650">
        <v>90.037091574898099</v>
      </c>
      <c r="AN1650">
        <v>1.0000000071777</v>
      </c>
    </row>
    <row r="1651" spans="1:40" x14ac:dyDescent="0.25">
      <c r="A1651" t="str">
        <f>"20190312151258111"</f>
        <v>20190312151258111</v>
      </c>
      <c r="B1651" t="str">
        <f>"1552374778101663"</f>
        <v>1552374778101663</v>
      </c>
      <c r="C1651" t="s">
        <v>40</v>
      </c>
      <c r="D1651">
        <v>4.4946210000000004</v>
      </c>
      <c r="E1651">
        <v>0.52956769999999997</v>
      </c>
      <c r="F1651" t="s">
        <v>54</v>
      </c>
      <c r="G1651">
        <v>-268.35680000000002</v>
      </c>
      <c r="H1651" s="1">
        <v>2.910251E-6</v>
      </c>
      <c r="I1651">
        <v>283.59809999999999</v>
      </c>
      <c r="J1651">
        <v>-241.06290000000001</v>
      </c>
      <c r="K1651">
        <v>1.1093219999999999</v>
      </c>
      <c r="L1651">
        <v>282.06229999999999</v>
      </c>
      <c r="M1651">
        <v>-0.99977649999999996</v>
      </c>
      <c r="N1651">
        <v>0</v>
      </c>
      <c r="O1651">
        <v>-1.9915550000000001E-2</v>
      </c>
      <c r="P1651">
        <v>-0.99827310000000002</v>
      </c>
      <c r="Q1651">
        <v>5.5416359999999998E-2</v>
      </c>
      <c r="R1651">
        <v>-1.9486380000000001E-2</v>
      </c>
      <c r="S1651">
        <v>-3.0154269999999999</v>
      </c>
      <c r="T1651">
        <v>-0.12117029999999999</v>
      </c>
      <c r="U1651">
        <v>0.16705320000000001</v>
      </c>
      <c r="V1651">
        <v>3.8651370000000003E-4</v>
      </c>
      <c r="W1651">
        <v>6.2507690000000005E-2</v>
      </c>
      <c r="X1651">
        <v>0.99804440000000005</v>
      </c>
      <c r="Y1651">
        <v>7.5112830000000005E-2</v>
      </c>
      <c r="Z1651">
        <v>2.3068149999999998E-3</v>
      </c>
      <c r="AA1651">
        <v>0.99717239999999996</v>
      </c>
      <c r="AB1651">
        <v>32</v>
      </c>
      <c r="AC1651">
        <v>-27.293900000000001</v>
      </c>
      <c r="AD1651">
        <v>-1.109319089749</v>
      </c>
      <c r="AE1651">
        <v>1.5357999999999901</v>
      </c>
      <c r="AF1651">
        <v>2.0756641380548499</v>
      </c>
      <c r="AG1651">
        <v>-1.109319089749</v>
      </c>
      <c r="AH1651">
        <v>27.213088126562599</v>
      </c>
      <c r="AI1651">
        <v>92.327569391345804</v>
      </c>
      <c r="AJ1651">
        <v>85.638239756124094</v>
      </c>
      <c r="AK1651">
        <v>27.314668876648501</v>
      </c>
      <c r="AL1651">
        <v>86.416236807010094</v>
      </c>
      <c r="AM1651">
        <v>89.977811004573596</v>
      </c>
      <c r="AN1651">
        <v>0.99999999253666805</v>
      </c>
    </row>
    <row r="1652" spans="1:40" x14ac:dyDescent="0.25">
      <c r="A1652" t="str">
        <f>"20190312151258132"</f>
        <v>20190312151258132</v>
      </c>
      <c r="B1652" t="str">
        <f>"1552374778121186"</f>
        <v>1552374778121186</v>
      </c>
      <c r="C1652" t="s">
        <v>40</v>
      </c>
      <c r="D1652">
        <v>4.5048750000000002</v>
      </c>
      <c r="E1652">
        <v>0.52957809999999905</v>
      </c>
      <c r="F1652" t="s">
        <v>54</v>
      </c>
      <c r="G1652">
        <v>-267.75020000000001</v>
      </c>
      <c r="H1652" s="1">
        <v>2.5874739999999999E-6</v>
      </c>
      <c r="I1652">
        <v>283.56889999999999</v>
      </c>
      <c r="J1652">
        <v>-241.375</v>
      </c>
      <c r="K1652">
        <v>1.1092820000000001</v>
      </c>
      <c r="L1652">
        <v>282.05619999999999</v>
      </c>
      <c r="M1652">
        <v>-0.99977689999999997</v>
      </c>
      <c r="N1652">
        <v>0</v>
      </c>
      <c r="O1652">
        <v>-1.987941E-2</v>
      </c>
      <c r="P1652">
        <v>-0.99827410000000005</v>
      </c>
      <c r="Q1652">
        <v>5.5806509999999997E-2</v>
      </c>
      <c r="R1652">
        <v>-1.8297890000000001E-2</v>
      </c>
      <c r="S1652">
        <v>-3.0154570000000001</v>
      </c>
      <c r="T1652">
        <v>-0.1253446</v>
      </c>
      <c r="U1652">
        <v>0.17022709999999999</v>
      </c>
      <c r="V1652">
        <v>1.545676E-3</v>
      </c>
      <c r="W1652">
        <v>6.2936469999999994E-2</v>
      </c>
      <c r="X1652">
        <v>0.99801640000000003</v>
      </c>
      <c r="Y1652">
        <v>7.6116279999999994E-2</v>
      </c>
      <c r="Z1652">
        <v>2.4054559999999998E-3</v>
      </c>
      <c r="AA1652">
        <v>0.99709610000000004</v>
      </c>
      <c r="AB1652">
        <v>32</v>
      </c>
      <c r="AC1652">
        <v>-26.3752</v>
      </c>
      <c r="AD1652">
        <v>-1.1092794125259999</v>
      </c>
      <c r="AE1652">
        <v>1.5126999999999899</v>
      </c>
      <c r="AF1652">
        <v>2.0331532801944299</v>
      </c>
      <c r="AG1652">
        <v>-1.1092794125259999</v>
      </c>
      <c r="AH1652">
        <v>26.293558440613999</v>
      </c>
      <c r="AI1652">
        <v>92.408595064096403</v>
      </c>
      <c r="AJ1652">
        <v>85.578393924476302</v>
      </c>
      <c r="AK1652">
        <v>26.395367558452399</v>
      </c>
      <c r="AL1652">
        <v>86.391621303911094</v>
      </c>
      <c r="AM1652">
        <v>89.911263341477195</v>
      </c>
      <c r="AN1652">
        <v>1.00000006151965</v>
      </c>
    </row>
    <row r="1653" spans="1:40" x14ac:dyDescent="0.25">
      <c r="A1653" t="str">
        <f>"20190312151258157"</f>
        <v>20190312151258157</v>
      </c>
      <c r="B1653" t="str">
        <f>"1552374778151439"</f>
        <v>1552374778151439</v>
      </c>
      <c r="C1653" t="s">
        <v>40</v>
      </c>
      <c r="D1653">
        <v>4.5003929999999999</v>
      </c>
      <c r="E1653">
        <v>0.52965180000000001</v>
      </c>
      <c r="F1653" t="s">
        <v>54</v>
      </c>
      <c r="G1653">
        <v>-267.63479999999998</v>
      </c>
      <c r="H1653" s="1">
        <v>2.526083E-6</v>
      </c>
      <c r="I1653">
        <v>283.56810000000002</v>
      </c>
      <c r="J1653">
        <v>-241.72049999999999</v>
      </c>
      <c r="K1653">
        <v>1.1092409999999999</v>
      </c>
      <c r="L1653">
        <v>282.04939999999999</v>
      </c>
      <c r="M1653">
        <v>-0.99977859999999996</v>
      </c>
      <c r="N1653">
        <v>0</v>
      </c>
      <c r="O1653">
        <v>-1.9777099999999999E-2</v>
      </c>
      <c r="P1653">
        <v>-0.99827929999999998</v>
      </c>
      <c r="Q1653">
        <v>5.6117809999999997E-2</v>
      </c>
      <c r="R1653">
        <v>-1.7014970000000001E-2</v>
      </c>
      <c r="S1653">
        <v>-3.0154879999999999</v>
      </c>
      <c r="T1653">
        <v>-0.12738139999999901</v>
      </c>
      <c r="U1653">
        <v>0.1736145</v>
      </c>
      <c r="V1653">
        <v>2.7336499999999998E-3</v>
      </c>
      <c r="W1653">
        <v>6.3292440000000005E-2</v>
      </c>
      <c r="X1653">
        <v>0.99799130000000003</v>
      </c>
      <c r="Y1653">
        <v>7.7126609999999998E-2</v>
      </c>
      <c r="Z1653">
        <v>2.4614039999999999E-3</v>
      </c>
      <c r="AA1653">
        <v>0.99701830000000002</v>
      </c>
      <c r="AB1653">
        <v>32</v>
      </c>
      <c r="AC1653">
        <v>-25.914300000000001</v>
      </c>
      <c r="AD1653">
        <v>-1.10923847391699</v>
      </c>
      <c r="AE1653">
        <v>1.5187000000000199</v>
      </c>
      <c r="AF1653">
        <v>2.0272243281349498</v>
      </c>
      <c r="AG1653">
        <v>-1.10923847391699</v>
      </c>
      <c r="AH1653">
        <v>25.832027780264301</v>
      </c>
      <c r="AI1653">
        <v>92.451267669806597</v>
      </c>
      <c r="AJ1653">
        <v>85.512786278719005</v>
      </c>
      <c r="AK1653">
        <v>25.9351828161852</v>
      </c>
      <c r="AL1653">
        <v>86.371184832804104</v>
      </c>
      <c r="AM1653">
        <v>89.843058535733704</v>
      </c>
      <c r="AN1653">
        <v>1.00000002033958</v>
      </c>
    </row>
    <row r="1654" spans="1:40" x14ac:dyDescent="0.25">
      <c r="A1654" t="str">
        <f>"20190312151258180"</f>
        <v>20190312151258180</v>
      </c>
      <c r="B1654" t="str">
        <f>"1552374778171934"</f>
        <v>1552374778171934</v>
      </c>
      <c r="C1654" t="s">
        <v>40</v>
      </c>
      <c r="D1654">
        <v>4.4904760000000001</v>
      </c>
      <c r="E1654">
        <v>0.52928350000000002</v>
      </c>
      <c r="F1654" t="s">
        <v>54</v>
      </c>
      <c r="G1654">
        <v>-267.48509999999999</v>
      </c>
      <c r="H1654" s="1">
        <v>2.4464150000000002E-6</v>
      </c>
      <c r="I1654">
        <v>283.57010000000002</v>
      </c>
      <c r="J1654">
        <v>-242.05510000000001</v>
      </c>
      <c r="K1654">
        <v>1.109192</v>
      </c>
      <c r="L1654">
        <v>282.04289999999997</v>
      </c>
      <c r="M1654">
        <v>-0.99978140000000004</v>
      </c>
      <c r="N1654">
        <v>0</v>
      </c>
      <c r="O1654">
        <v>-1.9621739999999999E-2</v>
      </c>
      <c r="P1654">
        <v>-0.99828490000000003</v>
      </c>
      <c r="Q1654">
        <v>5.61358E-2</v>
      </c>
      <c r="R1654">
        <v>-1.6627119999999999E-2</v>
      </c>
      <c r="S1654">
        <v>-3.0155029999999998</v>
      </c>
      <c r="T1654">
        <v>-0.12982589999999999</v>
      </c>
      <c r="U1654">
        <v>0.17797850000000001</v>
      </c>
      <c r="V1654">
        <v>2.974254E-3</v>
      </c>
      <c r="W1654">
        <v>6.3355239999999993E-2</v>
      </c>
      <c r="X1654">
        <v>0.99798659999999995</v>
      </c>
      <c r="Y1654">
        <v>7.8404940000000006E-2</v>
      </c>
      <c r="Z1654">
        <v>2.5292819999999999E-3</v>
      </c>
      <c r="AA1654">
        <v>0.99691839999999998</v>
      </c>
      <c r="AB1654">
        <v>32</v>
      </c>
      <c r="AC1654">
        <v>-25.4299999999999</v>
      </c>
      <c r="AD1654">
        <v>-1.109189553585</v>
      </c>
      <c r="AE1654">
        <v>1.5272000000000501</v>
      </c>
      <c r="AF1654">
        <v>2.0220667120683098</v>
      </c>
      <c r="AG1654">
        <v>-1.109189553585</v>
      </c>
      <c r="AH1654">
        <v>25.347087842495299</v>
      </c>
      <c r="AI1654">
        <v>92.497741766302596</v>
      </c>
      <c r="AJ1654">
        <v>85.438882295109707</v>
      </c>
      <c r="AK1654">
        <v>25.4517959552762</v>
      </c>
      <c r="AL1654">
        <v>86.367579323266995</v>
      </c>
      <c r="AM1654">
        <v>89.829244504010703</v>
      </c>
      <c r="AN1654">
        <v>0.99999999320093702</v>
      </c>
    </row>
    <row r="1655" spans="1:40" x14ac:dyDescent="0.25">
      <c r="A1655" t="str">
        <f>"20190312151258200"</f>
        <v>20190312151258200</v>
      </c>
      <c r="B1655" t="str">
        <f>"1552374778191455"</f>
        <v>1552374778191455</v>
      </c>
      <c r="C1655" t="s">
        <v>40</v>
      </c>
      <c r="D1655">
        <v>4.5306139999999999</v>
      </c>
      <c r="E1655">
        <v>0.52820249999999902</v>
      </c>
      <c r="F1655" t="s">
        <v>54</v>
      </c>
      <c r="G1655">
        <v>-267.08210000000003</v>
      </c>
      <c r="H1655" s="1">
        <v>2.2319639999999998E-6</v>
      </c>
      <c r="I1655">
        <v>283.50349999999997</v>
      </c>
      <c r="J1655">
        <v>-242.34209999999999</v>
      </c>
      <c r="K1655">
        <v>1.1091489999999999</v>
      </c>
      <c r="L1655">
        <v>282.03739999999999</v>
      </c>
      <c r="M1655">
        <v>-0.99978460000000002</v>
      </c>
      <c r="N1655">
        <v>0</v>
      </c>
      <c r="O1655">
        <v>-1.9444099999999999E-2</v>
      </c>
      <c r="P1655">
        <v>-0.99827429999999995</v>
      </c>
      <c r="Q1655">
        <v>5.6294780000000003E-2</v>
      </c>
      <c r="R1655">
        <v>-1.6722239999999999E-2</v>
      </c>
      <c r="S1655">
        <v>-3.0155789999999998</v>
      </c>
      <c r="T1655">
        <v>-0.1336492</v>
      </c>
      <c r="U1655">
        <v>0.17599489999999901</v>
      </c>
      <c r="V1655">
        <v>2.708663E-3</v>
      </c>
      <c r="W1655">
        <v>6.3552259999999999E-2</v>
      </c>
      <c r="X1655">
        <v>0.99797480000000005</v>
      </c>
      <c r="Y1655">
        <v>7.7568380000000006E-2</v>
      </c>
      <c r="Z1655">
        <v>2.577303E-3</v>
      </c>
      <c r="AA1655">
        <v>0.99698370000000003</v>
      </c>
      <c r="AB1655">
        <v>32</v>
      </c>
      <c r="AC1655">
        <v>-24.74</v>
      </c>
      <c r="AD1655">
        <v>-1.1091467680360001</v>
      </c>
      <c r="AE1655">
        <v>1.46609999999998</v>
      </c>
      <c r="AF1655">
        <v>1.942990929409</v>
      </c>
      <c r="AG1655">
        <v>-1.1091467680360001</v>
      </c>
      <c r="AH1655">
        <v>24.657428790340099</v>
      </c>
      <c r="AI1655">
        <v>92.567608663734404</v>
      </c>
      <c r="AJ1655">
        <v>85.494436318511305</v>
      </c>
      <c r="AK1655">
        <v>24.7587199761115</v>
      </c>
      <c r="AL1655">
        <v>86.356268007651096</v>
      </c>
      <c r="AM1655">
        <v>89.844490485195294</v>
      </c>
      <c r="AN1655">
        <v>0.99999996402069702</v>
      </c>
    </row>
    <row r="1656" spans="1:40" x14ac:dyDescent="0.25">
      <c r="A1656" t="str">
        <f>"20190312151258223"</f>
        <v>20190312151258223</v>
      </c>
      <c r="B1656" t="str">
        <f>"1552374778211951"</f>
        <v>1552374778211951</v>
      </c>
      <c r="C1656" t="s">
        <v>40</v>
      </c>
      <c r="D1656">
        <v>4.4677059999999997</v>
      </c>
      <c r="E1656">
        <v>0.52729329999999996</v>
      </c>
      <c r="F1656" t="s">
        <v>54</v>
      </c>
      <c r="G1656">
        <v>-266.62270000000001</v>
      </c>
      <c r="H1656" s="1">
        <v>1.987491E-6</v>
      </c>
      <c r="I1656">
        <v>283.38560000000001</v>
      </c>
      <c r="J1656">
        <v>-242.67959999999999</v>
      </c>
      <c r="K1656">
        <v>1.1090930000000001</v>
      </c>
      <c r="L1656">
        <v>282.03109999999998</v>
      </c>
      <c r="M1656">
        <v>-0.99978920000000004</v>
      </c>
      <c r="N1656">
        <v>0</v>
      </c>
      <c r="O1656">
        <v>-1.9187139999999998E-2</v>
      </c>
      <c r="P1656">
        <v>-0.99827730000000003</v>
      </c>
      <c r="Q1656">
        <v>5.6151890000000003E-2</v>
      </c>
      <c r="R1656">
        <v>-1.7017009999999999E-2</v>
      </c>
      <c r="S1656">
        <v>-3.0157620000000001</v>
      </c>
      <c r="T1656">
        <v>-0.13776089999999999</v>
      </c>
      <c r="U1656">
        <v>0.16744999999999999</v>
      </c>
      <c r="V1656">
        <v>2.1656660000000001E-3</v>
      </c>
      <c r="W1656">
        <v>6.3454709999999998E-2</v>
      </c>
      <c r="X1656">
        <v>0.99798240000000005</v>
      </c>
      <c r="Y1656">
        <v>7.4490059999999997E-2</v>
      </c>
      <c r="Z1656">
        <v>2.5746139999999998E-3</v>
      </c>
      <c r="AA1656">
        <v>0.99721839999999995</v>
      </c>
      <c r="AB1656">
        <v>32</v>
      </c>
      <c r="AC1656">
        <v>-23.943100000000001</v>
      </c>
      <c r="AD1656">
        <v>-1.1090910125090001</v>
      </c>
      <c r="AE1656">
        <v>1.35450000000003</v>
      </c>
      <c r="AF1656">
        <v>1.8097915941715601</v>
      </c>
      <c r="AG1656">
        <v>-1.1090910125090001</v>
      </c>
      <c r="AH1656">
        <v>23.861665219308399</v>
      </c>
      <c r="AI1656">
        <v>92.653584009709306</v>
      </c>
      <c r="AJ1656">
        <v>85.662697009111795</v>
      </c>
      <c r="AK1656">
        <v>23.955886448359902</v>
      </c>
      <c r="AL1656">
        <v>86.3618687573763</v>
      </c>
      <c r="AM1656">
        <v>89.875665816489402</v>
      </c>
      <c r="AN1656">
        <v>1.00000003052008</v>
      </c>
    </row>
    <row r="1657" spans="1:40" x14ac:dyDescent="0.25">
      <c r="A1657" t="str">
        <f>"20190312151258245"</f>
        <v>20190312151258245</v>
      </c>
      <c r="B1657" t="str">
        <f>"1552374778241230"</f>
        <v>1552374778241230</v>
      </c>
      <c r="C1657" t="s">
        <v>40</v>
      </c>
      <c r="D1657">
        <v>4.5064609999999998</v>
      </c>
      <c r="E1657">
        <v>0.52611549999999996</v>
      </c>
      <c r="F1657" t="s">
        <v>54</v>
      </c>
      <c r="G1657">
        <v>-266.32729999999998</v>
      </c>
      <c r="H1657" s="1">
        <v>1.830268E-6</v>
      </c>
      <c r="I1657">
        <v>283.2783</v>
      </c>
      <c r="J1657">
        <v>-242.98820000000001</v>
      </c>
      <c r="K1657">
        <v>1.109049</v>
      </c>
      <c r="L1657">
        <v>282.02539999999999</v>
      </c>
      <c r="M1657">
        <v>-0.99979419999999997</v>
      </c>
      <c r="N1657">
        <v>0</v>
      </c>
      <c r="O1657">
        <v>-1.8907110000000001E-2</v>
      </c>
      <c r="P1657">
        <v>-0.9982704</v>
      </c>
      <c r="Q1657">
        <v>5.620932E-2</v>
      </c>
      <c r="R1657">
        <v>-1.722634E-2</v>
      </c>
      <c r="S1657">
        <v>-3.0158390000000002</v>
      </c>
      <c r="T1657">
        <v>-0.14144499999999999</v>
      </c>
      <c r="U1657">
        <v>0.15905759999999999</v>
      </c>
      <c r="V1657">
        <v>1.68389E-3</v>
      </c>
      <c r="W1657">
        <v>6.3552739999999996E-2</v>
      </c>
      <c r="X1657">
        <v>0.99797709999999995</v>
      </c>
      <c r="Y1657">
        <v>7.1440470000000006E-2</v>
      </c>
      <c r="Z1657">
        <v>2.5589749999999998E-3</v>
      </c>
      <c r="AA1657">
        <v>0.99744160000000004</v>
      </c>
      <c r="AB1657">
        <v>32</v>
      </c>
      <c r="AC1657">
        <v>-23.339099999999899</v>
      </c>
      <c r="AD1657">
        <v>-1.1090471697319999</v>
      </c>
      <c r="AE1657">
        <v>1.2529000000000099</v>
      </c>
      <c r="AF1657">
        <v>1.69015741046493</v>
      </c>
      <c r="AG1657">
        <v>-1.1090471697319999</v>
      </c>
      <c r="AH1657">
        <v>23.2588698598713</v>
      </c>
      <c r="AI1657">
        <v>92.722784768349001</v>
      </c>
      <c r="AJ1657">
        <v>85.843780391980502</v>
      </c>
      <c r="AK1657">
        <v>23.346555310265099</v>
      </c>
      <c r="AL1657">
        <v>86.356240724221095</v>
      </c>
      <c r="AM1657">
        <v>89.903324737005093</v>
      </c>
      <c r="AN1657">
        <v>1.00000003918572</v>
      </c>
    </row>
    <row r="1658" spans="1:40" x14ac:dyDescent="0.25">
      <c r="A1658" t="str">
        <f>"20190312151258279"</f>
        <v>20190312151258279</v>
      </c>
      <c r="B1658" t="str">
        <f>"1552374778271487"</f>
        <v>1552374778271487</v>
      </c>
      <c r="C1658" t="s">
        <v>40</v>
      </c>
      <c r="D1658">
        <v>4.4751320000000003</v>
      </c>
      <c r="E1658">
        <v>0.52516399999999996</v>
      </c>
      <c r="F1658" t="s">
        <v>54</v>
      </c>
      <c r="G1658">
        <v>-265.92099999999999</v>
      </c>
      <c r="H1658" s="1">
        <v>1.6140459999999999E-6</v>
      </c>
      <c r="I1658">
        <v>283.15620000000001</v>
      </c>
      <c r="J1658">
        <v>-243.4684</v>
      </c>
      <c r="K1658">
        <v>1.1090059999999999</v>
      </c>
      <c r="L1658">
        <v>282.01690000000002</v>
      </c>
      <c r="M1658">
        <v>-0.99980309999999994</v>
      </c>
      <c r="N1658">
        <v>0</v>
      </c>
      <c r="O1658">
        <v>-1.839315E-2</v>
      </c>
      <c r="P1658">
        <v>-0.99828700000000004</v>
      </c>
      <c r="Q1658">
        <v>5.6048819999999999E-2</v>
      </c>
      <c r="R1658">
        <v>-1.6795540000000001E-2</v>
      </c>
      <c r="S1658">
        <v>-3.0159760000000002</v>
      </c>
      <c r="T1658">
        <v>-0.14585509999999999</v>
      </c>
      <c r="U1658">
        <v>0.14871219999999999</v>
      </c>
      <c r="V1658">
        <v>1.611328E-3</v>
      </c>
      <c r="W1658">
        <v>6.3493250000000001E-2</v>
      </c>
      <c r="X1658">
        <v>0.99798100000000001</v>
      </c>
      <c r="Y1658">
        <v>6.7511130000000003E-2</v>
      </c>
      <c r="Z1658">
        <v>2.519042E-3</v>
      </c>
      <c r="AA1658">
        <v>0.99771540000000003</v>
      </c>
      <c r="AB1658">
        <v>32</v>
      </c>
      <c r="AC1658">
        <v>-22.452599999999901</v>
      </c>
      <c r="AD1658">
        <v>-1.109004385954</v>
      </c>
      <c r="AE1658">
        <v>1.13929999999999</v>
      </c>
      <c r="AF1658">
        <v>1.54832502660189</v>
      </c>
      <c r="AG1658">
        <v>-1.109004385954</v>
      </c>
      <c r="AH1658">
        <v>22.373401817168499</v>
      </c>
      <c r="AI1658">
        <v>92.830953825953003</v>
      </c>
      <c r="AJ1658">
        <v>86.041224490606695</v>
      </c>
      <c r="AK1658">
        <v>22.454316065926999</v>
      </c>
      <c r="AL1658">
        <v>86.359656124488396</v>
      </c>
      <c r="AM1658">
        <v>89.907491010764105</v>
      </c>
      <c r="AN1658">
        <v>1.00000003276724</v>
      </c>
    </row>
    <row r="1659" spans="1:40" x14ac:dyDescent="0.25">
      <c r="A1659" t="str">
        <f>"20190312151258300"</f>
        <v>20190312151258300</v>
      </c>
      <c r="B1659" t="str">
        <f>"1552374778291983"</f>
        <v>1552374778291983</v>
      </c>
      <c r="C1659" t="s">
        <v>40</v>
      </c>
      <c r="D1659">
        <v>4.5158329999999998</v>
      </c>
      <c r="E1659">
        <v>0.52453179999999999</v>
      </c>
      <c r="F1659" t="s">
        <v>54</v>
      </c>
      <c r="G1659">
        <v>-265.74540000000002</v>
      </c>
      <c r="H1659" s="1">
        <v>1.520603E-6</v>
      </c>
      <c r="I1659">
        <v>283.0677</v>
      </c>
      <c r="J1659">
        <v>-243.79140000000001</v>
      </c>
      <c r="K1659">
        <v>1.109027</v>
      </c>
      <c r="L1659">
        <v>282.01130000000001</v>
      </c>
      <c r="M1659">
        <v>-0.99980840000000004</v>
      </c>
      <c r="N1659">
        <v>0</v>
      </c>
      <c r="O1659">
        <v>-1.8009770000000001E-2</v>
      </c>
      <c r="P1659">
        <v>-0.99829610000000002</v>
      </c>
      <c r="Q1659">
        <v>5.6021929999999998E-2</v>
      </c>
      <c r="R1659">
        <v>-1.632919E-2</v>
      </c>
      <c r="S1659">
        <v>-3.0159760000000002</v>
      </c>
      <c r="T1659">
        <v>-0.15014330000000001</v>
      </c>
      <c r="U1659">
        <v>0.14227290000000001</v>
      </c>
      <c r="V1659">
        <v>1.7002040000000001E-3</v>
      </c>
      <c r="W1659">
        <v>6.3691699999999907E-2</v>
      </c>
      <c r="X1659">
        <v>0.99796819999999997</v>
      </c>
      <c r="Y1659">
        <v>6.5000769999999999E-2</v>
      </c>
      <c r="Z1659">
        <v>2.5116650000000002E-3</v>
      </c>
      <c r="AA1659">
        <v>0.99788209999999999</v>
      </c>
      <c r="AB1659">
        <v>32</v>
      </c>
      <c r="AC1659">
        <v>-21.954000000000001</v>
      </c>
      <c r="AD1659">
        <v>-1.109025479397</v>
      </c>
      <c r="AE1659">
        <v>1.05639999999999</v>
      </c>
      <c r="AF1659">
        <v>1.4479403750428199</v>
      </c>
      <c r="AG1659">
        <v>-1.109025479397</v>
      </c>
      <c r="AH1659">
        <v>21.875718340749</v>
      </c>
      <c r="AI1659">
        <v>92.895893241852605</v>
      </c>
      <c r="AJ1659">
        <v>86.213151167774299</v>
      </c>
      <c r="AK1659">
        <v>21.951617748298499</v>
      </c>
      <c r="AL1659">
        <v>86.348262691012295</v>
      </c>
      <c r="AM1659">
        <v>89.902387251153201</v>
      </c>
      <c r="AN1659">
        <v>1.00000002577688</v>
      </c>
    </row>
    <row r="1660" spans="1:40" x14ac:dyDescent="0.25">
      <c r="A1660" t="str">
        <f>"20190312151258323"</f>
        <v>20190312151258323</v>
      </c>
      <c r="B1660" t="str">
        <f>"1552374778321263"</f>
        <v>1552374778321263</v>
      </c>
      <c r="C1660" t="s">
        <v>40</v>
      </c>
      <c r="D1660">
        <v>4.5085410000000001</v>
      </c>
      <c r="E1660">
        <v>0.52422690000000005</v>
      </c>
      <c r="F1660" t="s">
        <v>54</v>
      </c>
      <c r="G1660">
        <v>-265.61970000000002</v>
      </c>
      <c r="H1660" s="1">
        <v>1.45371E-6</v>
      </c>
      <c r="I1660">
        <v>283.01609999999999</v>
      </c>
      <c r="J1660">
        <v>-244.12209999999999</v>
      </c>
      <c r="K1660">
        <v>1.1091530000000001</v>
      </c>
      <c r="L1660">
        <v>282.00580000000002</v>
      </c>
      <c r="M1660">
        <v>-0.99981070000000005</v>
      </c>
      <c r="N1660">
        <v>0</v>
      </c>
      <c r="O1660">
        <v>-1.7603520000000001E-2</v>
      </c>
      <c r="P1660">
        <v>-0.99833289999999997</v>
      </c>
      <c r="Q1660">
        <v>5.5633189999999999E-2</v>
      </c>
      <c r="R1660">
        <v>-1.537763E-2</v>
      </c>
      <c r="S1660">
        <v>-3.0159910000000001</v>
      </c>
      <c r="T1660">
        <v>-0.15323310000000001</v>
      </c>
      <c r="U1660">
        <v>0.13882449999999999</v>
      </c>
      <c r="V1660">
        <v>2.2506980000000002E-3</v>
      </c>
      <c r="W1660">
        <v>6.3903470000000004E-2</v>
      </c>
      <c r="X1660">
        <v>0.99795350000000005</v>
      </c>
      <c r="Y1660">
        <v>6.3454819999999995E-2</v>
      </c>
      <c r="Z1660">
        <v>2.5034979999999998E-3</v>
      </c>
      <c r="AA1660">
        <v>0.99798149999999997</v>
      </c>
      <c r="AB1660">
        <v>32</v>
      </c>
      <c r="AC1660">
        <v>-21.497599999999998</v>
      </c>
      <c r="AD1660">
        <v>-1.1091515462899999</v>
      </c>
      <c r="AE1660">
        <v>1.01029999999997</v>
      </c>
      <c r="AF1660">
        <v>1.38491140993998</v>
      </c>
      <c r="AG1660">
        <v>-1.1091515462899999</v>
      </c>
      <c r="AH1660">
        <v>21.419590706945801</v>
      </c>
      <c r="AI1660">
        <v>92.958083080539893</v>
      </c>
      <c r="AJ1660">
        <v>86.300616364352905</v>
      </c>
      <c r="AK1660">
        <v>21.4929537946532</v>
      </c>
      <c r="AL1660">
        <v>86.336104131255993</v>
      </c>
      <c r="AM1660">
        <v>89.870780274113102</v>
      </c>
      <c r="AN1660">
        <v>0.99999995364088701</v>
      </c>
    </row>
    <row r="1661" spans="1:40" x14ac:dyDescent="0.25">
      <c r="A1661" t="str">
        <f>"20190312151258369"</f>
        <v>20190312151258369</v>
      </c>
      <c r="B1661" t="str">
        <f>"1552374778361280"</f>
        <v>1552374778361280</v>
      </c>
      <c r="C1661" t="s">
        <v>40</v>
      </c>
      <c r="D1661">
        <v>4.1945629999999996</v>
      </c>
      <c r="E1661">
        <v>0.52422690000000005</v>
      </c>
      <c r="F1661" t="s">
        <v>54</v>
      </c>
      <c r="G1661">
        <v>-265.64859999999999</v>
      </c>
      <c r="H1661" s="1">
        <v>1.4690930000000001E-6</v>
      </c>
      <c r="I1661">
        <v>282.99950000000001</v>
      </c>
      <c r="J1661">
        <v>-244.77109999999999</v>
      </c>
      <c r="K1661">
        <v>1.109335</v>
      </c>
      <c r="L1661">
        <v>281.99540000000002</v>
      </c>
      <c r="M1661">
        <v>-0.99981549999999997</v>
      </c>
      <c r="N1661">
        <v>0</v>
      </c>
      <c r="O1661">
        <v>-1.6704900000000002E-2</v>
      </c>
      <c r="P1661">
        <v>-0.99838939999999998</v>
      </c>
      <c r="Q1661">
        <v>5.5114339999999998E-2</v>
      </c>
      <c r="R1661">
        <v>-1.3456859999999999E-2</v>
      </c>
      <c r="S1661">
        <v>-3.0158230000000001</v>
      </c>
      <c r="T1661">
        <v>-0.15539059999999999</v>
      </c>
      <c r="U1661">
        <v>0.13922119999999999</v>
      </c>
      <c r="V1661">
        <v>3.2812620000000001E-3</v>
      </c>
      <c r="W1661">
        <v>6.4582009999999995E-2</v>
      </c>
      <c r="X1661">
        <v>0.99790699999999999</v>
      </c>
      <c r="Y1661">
        <v>6.2690800000000005E-2</v>
      </c>
      <c r="Z1661">
        <v>2.472934E-3</v>
      </c>
      <c r="AA1661">
        <v>0.99802990000000003</v>
      </c>
      <c r="AB1661">
        <v>32</v>
      </c>
      <c r="AC1661">
        <v>-20.877500000000001</v>
      </c>
      <c r="AD1661">
        <v>-1.109333530907</v>
      </c>
      <c r="AE1661">
        <v>1.00409999999999</v>
      </c>
      <c r="AF1661">
        <v>1.3489323667201401</v>
      </c>
      <c r="AG1661">
        <v>-1.109333530907</v>
      </c>
      <c r="AH1661">
        <v>20.799224102607599</v>
      </c>
      <c r="AI1661">
        <v>93.046608281085</v>
      </c>
      <c r="AJ1661">
        <v>86.289282639593907</v>
      </c>
      <c r="AK1661">
        <v>20.8724211025763</v>
      </c>
      <c r="AL1661">
        <v>86.297146316092096</v>
      </c>
      <c r="AM1661">
        <v>89.811603900436594</v>
      </c>
      <c r="AN1661">
        <v>0.999999991672476</v>
      </c>
    </row>
    <row r="1662" spans="1:40" x14ac:dyDescent="0.25">
      <c r="A1662" t="str">
        <f>"20190312151258434"</f>
        <v>20190312151258434</v>
      </c>
      <c r="B1662" t="str">
        <f>"1552374778431550"</f>
        <v>1552374778431550</v>
      </c>
      <c r="C1662" t="s">
        <v>40</v>
      </c>
      <c r="D1662">
        <v>4.6564199999999998</v>
      </c>
      <c r="E1662">
        <v>0.52383299999999999</v>
      </c>
      <c r="F1662" t="s">
        <v>54</v>
      </c>
      <c r="G1662">
        <v>-266.09559999999999</v>
      </c>
      <c r="H1662" s="1">
        <v>1.7070130000000001E-6</v>
      </c>
      <c r="I1662">
        <v>283.02089999999998</v>
      </c>
      <c r="J1662">
        <v>-245.73050000000001</v>
      </c>
      <c r="K1662">
        <v>1.1093869999999999</v>
      </c>
      <c r="L1662">
        <v>281.9812</v>
      </c>
      <c r="M1662">
        <v>-0.99982610000000005</v>
      </c>
      <c r="N1662">
        <v>0</v>
      </c>
      <c r="O1662">
        <v>-1.5325790000000001E-2</v>
      </c>
      <c r="P1662">
        <v>-0.99836970000000003</v>
      </c>
      <c r="Q1662">
        <v>5.5906940000000002E-2</v>
      </c>
      <c r="R1662">
        <v>-1.1522930000000001E-2</v>
      </c>
      <c r="S1662">
        <v>-3.0154420000000002</v>
      </c>
      <c r="T1662">
        <v>-0.15686749999999999</v>
      </c>
      <c r="U1662">
        <v>0.1450195</v>
      </c>
      <c r="V1662">
        <v>3.8486499999999999E-3</v>
      </c>
      <c r="W1662">
        <v>6.652334E-2</v>
      </c>
      <c r="X1662">
        <v>0.99777749999999998</v>
      </c>
      <c r="Y1662">
        <v>6.3234109999999996E-2</v>
      </c>
      <c r="Z1662">
        <v>2.4390710000000001E-3</v>
      </c>
      <c r="AA1662">
        <v>0.99799570000000004</v>
      </c>
      <c r="AB1662">
        <v>32</v>
      </c>
      <c r="AC1662">
        <v>-20.365099999999899</v>
      </c>
      <c r="AD1662">
        <v>-1.1093852929870001</v>
      </c>
      <c r="AE1662">
        <v>1.0396999999999801</v>
      </c>
      <c r="AF1662">
        <v>1.34771777657959</v>
      </c>
      <c r="AG1662">
        <v>-1.1093852929870001</v>
      </c>
      <c r="AH1662">
        <v>20.286728288137098</v>
      </c>
      <c r="AI1662">
        <v>93.123246880501696</v>
      </c>
      <c r="AJ1662">
        <v>86.199227375549199</v>
      </c>
      <c r="AK1662">
        <v>20.361690096117002</v>
      </c>
      <c r="AL1662">
        <v>86.185676757503501</v>
      </c>
      <c r="AM1662">
        <v>89.778998515970699</v>
      </c>
      <c r="AN1662">
        <v>1.0000000531889099</v>
      </c>
    </row>
    <row r="1663" spans="1:40" x14ac:dyDescent="0.25">
      <c r="A1663" t="str">
        <f>"20190312151258456"</f>
        <v>20190312151258456</v>
      </c>
      <c r="B1663" t="str">
        <f>"1552374778451071"</f>
        <v>1552374778451071</v>
      </c>
      <c r="C1663" t="s">
        <v>40</v>
      </c>
      <c r="D1663">
        <v>4.5528490000000001</v>
      </c>
      <c r="E1663">
        <v>0.52318180000000003</v>
      </c>
      <c r="F1663" t="s">
        <v>54</v>
      </c>
      <c r="G1663">
        <v>-267.79860000000002</v>
      </c>
      <c r="H1663" s="1">
        <v>2.6132199999999999E-6</v>
      </c>
      <c r="I1663">
        <v>283.06380000000001</v>
      </c>
      <c r="J1663">
        <v>-246.05090000000001</v>
      </c>
      <c r="K1663">
        <v>1.1093999999999999</v>
      </c>
      <c r="L1663">
        <v>281.97680000000003</v>
      </c>
      <c r="M1663">
        <v>-0.99982959999999999</v>
      </c>
      <c r="N1663">
        <v>0</v>
      </c>
      <c r="O1663">
        <v>-1.486088E-2</v>
      </c>
      <c r="P1663">
        <v>-0.99834210000000001</v>
      </c>
      <c r="Q1663">
        <v>5.642954E-2</v>
      </c>
      <c r="R1663">
        <v>-1.136407E-2</v>
      </c>
      <c r="S1663">
        <v>-3.0150760000000001</v>
      </c>
      <c r="T1663">
        <v>-0.15157079999999901</v>
      </c>
      <c r="U1663">
        <v>0.14791869999999999</v>
      </c>
      <c r="V1663">
        <v>3.5449589999999999E-3</v>
      </c>
      <c r="W1663">
        <v>6.7356399999999997E-2</v>
      </c>
      <c r="X1663">
        <v>0.99772269999999996</v>
      </c>
      <c r="Y1663">
        <v>6.3740229999999995E-2</v>
      </c>
      <c r="Z1663">
        <v>2.3464139999999998E-3</v>
      </c>
      <c r="AA1663">
        <v>0.99796379999999996</v>
      </c>
      <c r="AB1663">
        <v>32</v>
      </c>
      <c r="AC1663">
        <v>-21.747699999999998</v>
      </c>
      <c r="AD1663">
        <v>-1.10939738677999</v>
      </c>
      <c r="AE1663">
        <v>1.08699999999998</v>
      </c>
      <c r="AF1663">
        <v>1.4064385180307799</v>
      </c>
      <c r="AG1663">
        <v>-1.10939738677999</v>
      </c>
      <c r="AH1663">
        <v>21.672885850255099</v>
      </c>
      <c r="AI1663">
        <v>92.924173864831005</v>
      </c>
      <c r="AJ1663">
        <v>86.287058440018896</v>
      </c>
      <c r="AK1663">
        <v>21.746788566245399</v>
      </c>
      <c r="AL1663">
        <v>86.137838502900706</v>
      </c>
      <c r="AM1663">
        <v>89.796426066531097</v>
      </c>
      <c r="AN1663">
        <v>1.00000001872528</v>
      </c>
    </row>
    <row r="1664" spans="1:40" x14ac:dyDescent="0.25">
      <c r="A1664" t="str">
        <f>"20190312151258479"</f>
        <v>20190312151258479</v>
      </c>
      <c r="B1664" t="str">
        <f>"1552374778471567"</f>
        <v>1552374778471567</v>
      </c>
      <c r="C1664" t="s">
        <v>40</v>
      </c>
      <c r="D1664">
        <v>4.6024609999999999</v>
      </c>
      <c r="E1664">
        <v>0.52263760000000004</v>
      </c>
      <c r="F1664" t="s">
        <v>54</v>
      </c>
      <c r="G1664">
        <v>-268.75549999999998</v>
      </c>
      <c r="H1664" s="1">
        <v>3.122432E-6</v>
      </c>
      <c r="I1664">
        <v>283.05720000000002</v>
      </c>
      <c r="J1664">
        <v>-246.3766</v>
      </c>
      <c r="K1664">
        <v>1.1094120000000001</v>
      </c>
      <c r="L1664">
        <v>281.97250000000003</v>
      </c>
      <c r="M1664">
        <v>-0.99983350000000004</v>
      </c>
      <c r="N1664">
        <v>0</v>
      </c>
      <c r="O1664">
        <v>-1.4387199999999999E-2</v>
      </c>
      <c r="P1664">
        <v>-0.99832869999999996</v>
      </c>
      <c r="Q1664">
        <v>5.667382E-2</v>
      </c>
      <c r="R1664">
        <v>-1.1319060000000001E-2</v>
      </c>
      <c r="S1664">
        <v>-3.0149379999999999</v>
      </c>
      <c r="T1664">
        <v>-0.14731710000000001</v>
      </c>
      <c r="U1664">
        <v>0.14346310000000001</v>
      </c>
      <c r="V1664">
        <v>3.1172980000000001E-3</v>
      </c>
      <c r="W1664">
        <v>6.7876399999999906E-2</v>
      </c>
      <c r="X1664">
        <v>0.99768889999999999</v>
      </c>
      <c r="Y1664">
        <v>6.180654E-2</v>
      </c>
      <c r="Z1664">
        <v>2.2105190000000002E-3</v>
      </c>
      <c r="AA1664">
        <v>0.99808569999999996</v>
      </c>
      <c r="AB1664">
        <v>32</v>
      </c>
      <c r="AC1664">
        <v>-22.378899999999899</v>
      </c>
      <c r="AD1664">
        <v>-1.109408877568</v>
      </c>
      <c r="AE1664">
        <v>1.08469999999999</v>
      </c>
      <c r="AF1664">
        <v>1.40313748552541</v>
      </c>
      <c r="AG1664">
        <v>-1.109408877568</v>
      </c>
      <c r="AH1664">
        <v>22.306285926844499</v>
      </c>
      <c r="AI1664">
        <v>92.841667039329593</v>
      </c>
      <c r="AJ1664">
        <v>86.400652591622801</v>
      </c>
      <c r="AK1664">
        <v>22.3778903096573</v>
      </c>
      <c r="AL1664">
        <v>86.107976407571201</v>
      </c>
      <c r="AM1664">
        <v>89.820978826505296</v>
      </c>
      <c r="AN1664">
        <v>1.0000000322034901</v>
      </c>
    </row>
    <row r="1665" spans="1:40" x14ac:dyDescent="0.25">
      <c r="A1665" t="str">
        <f>"20190312151258502"</f>
        <v>20190312151258502</v>
      </c>
      <c r="B1665" t="str">
        <f>"1552374778491087"</f>
        <v>1552374778491087</v>
      </c>
      <c r="C1665" t="s">
        <v>40</v>
      </c>
      <c r="D1665">
        <v>4.6362059999999996</v>
      </c>
      <c r="E1665">
        <v>0.5220359</v>
      </c>
      <c r="F1665" t="s">
        <v>54</v>
      </c>
      <c r="G1665">
        <v>-269.55450000000002</v>
      </c>
      <c r="H1665" s="1">
        <v>3.5476569999999998E-6</v>
      </c>
      <c r="I1665">
        <v>283.04570000000001</v>
      </c>
      <c r="J1665">
        <v>-246.7107</v>
      </c>
      <c r="K1665">
        <v>1.1094219999999999</v>
      </c>
      <c r="L1665">
        <v>281.96820000000002</v>
      </c>
      <c r="M1665">
        <v>-0.99983759999999999</v>
      </c>
      <c r="N1665">
        <v>0</v>
      </c>
      <c r="O1665">
        <v>-1.390139E-2</v>
      </c>
      <c r="P1665">
        <v>-0.99830469999999905</v>
      </c>
      <c r="Q1665">
        <v>5.7149850000000002E-2</v>
      </c>
      <c r="R1665">
        <v>-1.103561E-2</v>
      </c>
      <c r="S1665">
        <v>-3.0147710000000001</v>
      </c>
      <c r="T1665">
        <v>-0.14430129999999999</v>
      </c>
      <c r="U1665">
        <v>0.1395874</v>
      </c>
      <c r="V1665">
        <v>2.915815E-3</v>
      </c>
      <c r="W1665">
        <v>6.8598530000000005E-2</v>
      </c>
      <c r="X1665">
        <v>0.99764010000000003</v>
      </c>
      <c r="Y1665">
        <v>6.005009E-2</v>
      </c>
      <c r="Z1665">
        <v>2.100284E-3</v>
      </c>
      <c r="AA1665">
        <v>0.99819310000000006</v>
      </c>
      <c r="AB1665">
        <v>32</v>
      </c>
      <c r="AC1665">
        <v>-22.843800000000002</v>
      </c>
      <c r="AD1665">
        <v>-1.109418452343</v>
      </c>
      <c r="AE1665">
        <v>1.0774999999999799</v>
      </c>
      <c r="AF1665">
        <v>1.39170214681874</v>
      </c>
      <c r="AG1665">
        <v>-1.109418452343</v>
      </c>
      <c r="AH1665">
        <v>22.773019423350298</v>
      </c>
      <c r="AI1665">
        <v>92.783851086966607</v>
      </c>
      <c r="AJ1665">
        <v>86.502896078305</v>
      </c>
      <c r="AK1665">
        <v>22.842461728634898</v>
      </c>
      <c r="AL1665">
        <v>86.066504671831098</v>
      </c>
      <c r="AM1665">
        <v>89.832541396799201</v>
      </c>
      <c r="AN1665">
        <v>1.0000000147116399</v>
      </c>
    </row>
    <row r="1666" spans="1:40" x14ac:dyDescent="0.25">
      <c r="A1666" t="str">
        <f>"20190312151258523"</f>
        <v>20190312151258523</v>
      </c>
      <c r="B1666" t="str">
        <f>"1552374778511586"</f>
        <v>1552374778511586</v>
      </c>
      <c r="C1666" t="s">
        <v>40</v>
      </c>
      <c r="D1666">
        <v>4.6358280000000001</v>
      </c>
      <c r="E1666">
        <v>0.521428</v>
      </c>
      <c r="F1666" t="s">
        <v>54</v>
      </c>
      <c r="G1666">
        <v>-270.25069999999999</v>
      </c>
      <c r="H1666" s="1">
        <v>-1.3338829999999901E-6</v>
      </c>
      <c r="I1666">
        <v>283.0265</v>
      </c>
      <c r="J1666">
        <v>-247.01859999999999</v>
      </c>
      <c r="K1666">
        <v>1.1094329999999999</v>
      </c>
      <c r="L1666">
        <v>281.96440000000001</v>
      </c>
      <c r="M1666">
        <v>-0.99984150000000005</v>
      </c>
      <c r="N1666">
        <v>0</v>
      </c>
      <c r="O1666">
        <v>-1.345471E-2</v>
      </c>
      <c r="P1666">
        <v>-0.99826709999999996</v>
      </c>
      <c r="Q1666">
        <v>5.7747569999999998E-2</v>
      </c>
      <c r="R1666">
        <v>-1.1330659999999999E-2</v>
      </c>
      <c r="S1666">
        <v>-3.0147400000000002</v>
      </c>
      <c r="T1666">
        <v>-0.1420825</v>
      </c>
      <c r="U1666">
        <v>0.1355286</v>
      </c>
      <c r="V1666">
        <v>2.174769E-3</v>
      </c>
      <c r="W1666">
        <v>6.9393899999999994E-2</v>
      </c>
      <c r="X1666">
        <v>0.997587</v>
      </c>
      <c r="Y1666">
        <v>5.8268470000000003E-2</v>
      </c>
      <c r="Z1666">
        <v>2.0051380000000001E-3</v>
      </c>
      <c r="AA1666">
        <v>0.99829889999999999</v>
      </c>
      <c r="AB1666">
        <v>32</v>
      </c>
      <c r="AC1666">
        <v>-23.232099999999999</v>
      </c>
      <c r="AD1666">
        <v>-1.1094343338829999</v>
      </c>
      <c r="AE1666">
        <v>1.0620999999999801</v>
      </c>
      <c r="AF1666">
        <v>1.37148514321524</v>
      </c>
      <c r="AG1666">
        <v>-1.1094343338829999</v>
      </c>
      <c r="AH1666">
        <v>23.162992984504399</v>
      </c>
      <c r="AI1666">
        <v>92.737404562303794</v>
      </c>
      <c r="AJ1666">
        <v>86.611462389810001</v>
      </c>
      <c r="AK1666">
        <v>23.230068016246999</v>
      </c>
      <c r="AL1666">
        <v>86.020824539608199</v>
      </c>
      <c r="AM1666">
        <v>89.875093713410394</v>
      </c>
      <c r="AN1666">
        <v>1.0000000327731999</v>
      </c>
    </row>
    <row r="1667" spans="1:40" x14ac:dyDescent="0.25">
      <c r="A1667" t="str">
        <f>"20190312151258547"</f>
        <v>20190312151258547</v>
      </c>
      <c r="B1667" t="str">
        <f>"1552374778541839"</f>
        <v>1552374778541839</v>
      </c>
      <c r="C1667" t="s">
        <v>40</v>
      </c>
      <c r="D1667">
        <v>4.6272880000000001</v>
      </c>
      <c r="E1667">
        <v>0.52053830000000001</v>
      </c>
      <c r="F1667" t="s">
        <v>54</v>
      </c>
      <c r="G1667">
        <v>-270.69240000000002</v>
      </c>
      <c r="H1667" s="1">
        <v>-1.0969039999999999E-6</v>
      </c>
      <c r="I1667">
        <v>282.9821</v>
      </c>
      <c r="J1667">
        <v>-247.35839999999999</v>
      </c>
      <c r="K1667">
        <v>1.109443</v>
      </c>
      <c r="L1667">
        <v>281.96039999999999</v>
      </c>
      <c r="M1667">
        <v>-0.99984580000000001</v>
      </c>
      <c r="N1667">
        <v>0</v>
      </c>
      <c r="O1667">
        <v>-1.2962700000000001E-2</v>
      </c>
      <c r="P1667">
        <v>-0.9982086</v>
      </c>
      <c r="Q1667">
        <v>5.8690060000000002E-2</v>
      </c>
      <c r="R1667">
        <v>-1.163578E-2</v>
      </c>
      <c r="S1667">
        <v>-3.0148320000000002</v>
      </c>
      <c r="T1667">
        <v>-0.14128489999999999</v>
      </c>
      <c r="U1667">
        <v>0.12960819999999901</v>
      </c>
      <c r="V1667">
        <v>1.378635E-3</v>
      </c>
      <c r="W1667">
        <v>7.0525530000000003E-2</v>
      </c>
      <c r="X1667">
        <v>0.99750899999999998</v>
      </c>
      <c r="Y1667">
        <v>5.5823190000000002E-2</v>
      </c>
      <c r="Z1667">
        <v>1.9136439999999999E-3</v>
      </c>
      <c r="AA1667">
        <v>0.99843879999999996</v>
      </c>
      <c r="AB1667">
        <v>32</v>
      </c>
      <c r="AC1667">
        <v>-23.334</v>
      </c>
      <c r="AD1667">
        <v>-1.109444096904</v>
      </c>
      <c r="AE1667">
        <v>1.0217000000000001</v>
      </c>
      <c r="AF1667">
        <v>1.32112613172001</v>
      </c>
      <c r="AG1667">
        <v>-1.109444096904</v>
      </c>
      <c r="AH1667">
        <v>23.266298092172899</v>
      </c>
      <c r="AI1667">
        <v>92.725674300181694</v>
      </c>
      <c r="AJ1667">
        <v>86.750073684349701</v>
      </c>
      <c r="AK1667">
        <v>23.3301707532096</v>
      </c>
      <c r="AL1667">
        <v>85.955827439343096</v>
      </c>
      <c r="AM1667">
        <v>89.920812828059496</v>
      </c>
      <c r="AN1667">
        <v>0.99999997804862095</v>
      </c>
    </row>
    <row r="1668" spans="1:40" x14ac:dyDescent="0.25">
      <c r="A1668" t="str">
        <f>"20190312151258571"</f>
        <v>20190312151258571</v>
      </c>
      <c r="B1668" t="str">
        <f>"1552374778561359"</f>
        <v>1552374778561359</v>
      </c>
      <c r="C1668" t="s">
        <v>40</v>
      </c>
      <c r="D1668">
        <v>4.6334850000000003</v>
      </c>
      <c r="E1668">
        <v>0.5199781</v>
      </c>
      <c r="F1668" t="s">
        <v>54</v>
      </c>
      <c r="G1668">
        <v>-271.56349999999998</v>
      </c>
      <c r="H1668" s="1">
        <v>-6.3143019999999997E-7</v>
      </c>
      <c r="I1668">
        <v>282.93869999999998</v>
      </c>
      <c r="J1668">
        <v>-247.68510000000001</v>
      </c>
      <c r="K1668">
        <v>1.1094569999999999</v>
      </c>
      <c r="L1668">
        <v>281.95670000000001</v>
      </c>
      <c r="M1668">
        <v>-0.99984980000000001</v>
      </c>
      <c r="N1668">
        <v>0</v>
      </c>
      <c r="O1668">
        <v>-1.2489470000000001E-2</v>
      </c>
      <c r="P1668">
        <v>-0.99818660000000003</v>
      </c>
      <c r="Q1668">
        <v>5.9146369999999997E-2</v>
      </c>
      <c r="R1668">
        <v>-1.119356E-2</v>
      </c>
      <c r="S1668">
        <v>-3.0149379999999999</v>
      </c>
      <c r="T1668">
        <v>-0.13818989999999901</v>
      </c>
      <c r="U1668">
        <v>0.1218567</v>
      </c>
      <c r="V1668">
        <v>1.3485229999999999E-3</v>
      </c>
      <c r="W1668">
        <v>7.1136729999999995E-2</v>
      </c>
      <c r="X1668">
        <v>0.99746570000000001</v>
      </c>
      <c r="Y1668">
        <v>5.2793279999999998E-2</v>
      </c>
      <c r="Z1668">
        <v>1.7807529999999999E-3</v>
      </c>
      <c r="AA1668">
        <v>0.99860389999999999</v>
      </c>
      <c r="AB1668">
        <v>32</v>
      </c>
      <c r="AC1668">
        <v>-23.8783999999999</v>
      </c>
      <c r="AD1668">
        <v>-1.10945763143019</v>
      </c>
      <c r="AE1668">
        <v>0.98199999999997001</v>
      </c>
      <c r="AF1668">
        <v>1.2774204596696099</v>
      </c>
      <c r="AG1668">
        <v>-1.10945763143019</v>
      </c>
      <c r="AH1668">
        <v>23.812951319423899</v>
      </c>
      <c r="AI1668">
        <v>92.663686481168099</v>
      </c>
      <c r="AJ1668">
        <v>86.929371978316397</v>
      </c>
      <c r="AK1668">
        <v>23.872983680469702</v>
      </c>
      <c r="AL1668">
        <v>85.920720323210006</v>
      </c>
      <c r="AM1668">
        <v>89.9225390613407</v>
      </c>
      <c r="AN1668">
        <v>1.0000000377729299</v>
      </c>
    </row>
    <row r="1669" spans="1:40" x14ac:dyDescent="0.25">
      <c r="A1669" t="str">
        <f>"20190312151258592"</f>
        <v>20190312151258592</v>
      </c>
      <c r="B1669" t="str">
        <f>"1552374778581857"</f>
        <v>1552374778581857</v>
      </c>
      <c r="C1669" t="s">
        <v>40</v>
      </c>
      <c r="D1669">
        <v>4.6772309999999999</v>
      </c>
      <c r="E1669">
        <v>0.51949140000000005</v>
      </c>
      <c r="F1669" t="s">
        <v>54</v>
      </c>
      <c r="G1669">
        <v>-272.40120000000002</v>
      </c>
      <c r="H1669" s="1">
        <v>-1.8540859999999999E-7</v>
      </c>
      <c r="I1669">
        <v>282.93340000000001</v>
      </c>
      <c r="J1669">
        <v>-248.01669999999999</v>
      </c>
      <c r="K1669">
        <v>1.109461</v>
      </c>
      <c r="L1669">
        <v>281.95310000000001</v>
      </c>
      <c r="M1669">
        <v>-0.99985409999999997</v>
      </c>
      <c r="N1669">
        <v>0</v>
      </c>
      <c r="O1669">
        <v>-1.200731E-2</v>
      </c>
      <c r="P1669">
        <v>-0.99816380000000005</v>
      </c>
      <c r="Q1669">
        <v>5.9530300000000001E-2</v>
      </c>
      <c r="R1669">
        <v>-1.118913E-2</v>
      </c>
      <c r="S1669">
        <v>-3.0148160000000002</v>
      </c>
      <c r="T1669">
        <v>-0.13532910000000001</v>
      </c>
      <c r="U1669">
        <v>0.1191406</v>
      </c>
      <c r="V1669">
        <v>8.7194520000000001E-4</v>
      </c>
      <c r="W1669">
        <v>7.165705E-2</v>
      </c>
      <c r="X1669">
        <v>0.99742900000000001</v>
      </c>
      <c r="Y1669">
        <v>5.1419760000000002E-2</v>
      </c>
      <c r="Z1669">
        <v>1.691601E-3</v>
      </c>
      <c r="AA1669">
        <v>0.99867570000000006</v>
      </c>
      <c r="AB1669">
        <v>32</v>
      </c>
      <c r="AC1669">
        <v>-24.384499999999999</v>
      </c>
      <c r="AD1669">
        <v>-1.1094611854086001</v>
      </c>
      <c r="AE1669">
        <v>0.98029999999999895</v>
      </c>
      <c r="AF1669">
        <v>1.2704175018995201</v>
      </c>
      <c r="AG1669">
        <v>-1.1094611854086001</v>
      </c>
      <c r="AH1669">
        <v>24.320704564834699</v>
      </c>
      <c r="AI1669">
        <v>92.608355157366901</v>
      </c>
      <c r="AJ1669">
        <v>87.009812589352805</v>
      </c>
      <c r="AK1669">
        <v>24.379120888191</v>
      </c>
      <c r="AL1669">
        <v>85.890831965139498</v>
      </c>
      <c r="AM1669">
        <v>89.949912457728502</v>
      </c>
      <c r="AN1669">
        <v>1.00000005157206</v>
      </c>
    </row>
    <row r="1670" spans="1:40" x14ac:dyDescent="0.25">
      <c r="A1670" t="str">
        <f>"20190312151258614"</f>
        <v>20190312151258614</v>
      </c>
      <c r="B1670" t="str">
        <f>"1552374778601375"</f>
        <v>1552374778601375</v>
      </c>
      <c r="C1670" t="s">
        <v>40</v>
      </c>
      <c r="D1670">
        <v>4.662331</v>
      </c>
      <c r="E1670">
        <v>0.519034</v>
      </c>
      <c r="F1670" t="s">
        <v>54</v>
      </c>
      <c r="G1670">
        <v>-273.0607</v>
      </c>
      <c r="H1670" s="1">
        <v>1.6647059999999999E-7</v>
      </c>
      <c r="I1670">
        <v>282.91160000000002</v>
      </c>
      <c r="J1670">
        <v>-248.3201</v>
      </c>
      <c r="K1670">
        <v>1.1094710000000001</v>
      </c>
      <c r="L1670">
        <v>281.95</v>
      </c>
      <c r="M1670">
        <v>-0.99985809999999997</v>
      </c>
      <c r="N1670">
        <v>0</v>
      </c>
      <c r="O1670">
        <v>-1.1560819999999999E-2</v>
      </c>
      <c r="P1670">
        <v>-0.99817840000000002</v>
      </c>
      <c r="Q1670">
        <v>5.923755E-2</v>
      </c>
      <c r="R1670">
        <v>-1.1442239999999999E-2</v>
      </c>
      <c r="S1670">
        <v>-3.0147710000000001</v>
      </c>
      <c r="T1670">
        <v>-0.1335558</v>
      </c>
      <c r="U1670">
        <v>0.115387</v>
      </c>
      <c r="V1670">
        <v>1.7350500000000001E-4</v>
      </c>
      <c r="W1670">
        <v>7.1466799999999997E-2</v>
      </c>
      <c r="X1670">
        <v>0.99744299999999997</v>
      </c>
      <c r="Y1670">
        <v>4.9736509999999998E-2</v>
      </c>
      <c r="Z1670">
        <v>1.6125029999999999E-3</v>
      </c>
      <c r="AA1670">
        <v>0.99876109999999896</v>
      </c>
      <c r="AB1670">
        <v>32</v>
      </c>
      <c r="AC1670">
        <v>-24.740600000000001</v>
      </c>
      <c r="AD1670">
        <v>-1.1094708335293999</v>
      </c>
      <c r="AE1670">
        <v>0.96160000000003198</v>
      </c>
      <c r="AF1670">
        <v>1.24507875130096</v>
      </c>
      <c r="AG1670">
        <v>-1.1094708335293999</v>
      </c>
      <c r="AH1670">
        <v>24.678275586420799</v>
      </c>
      <c r="AI1670">
        <v>92.570869793698193</v>
      </c>
      <c r="AJ1670">
        <v>87.111738183842903</v>
      </c>
      <c r="AK1670">
        <v>24.734559477514999</v>
      </c>
      <c r="AL1670">
        <v>85.901760441461704</v>
      </c>
      <c r="AM1670">
        <v>89.990033411308502</v>
      </c>
      <c r="AN1670">
        <v>1.00000003592761</v>
      </c>
    </row>
    <row r="1671" spans="1:40" x14ac:dyDescent="0.25">
      <c r="A1671" t="str">
        <f>"20190312151258636"</f>
        <v>20190312151258636</v>
      </c>
      <c r="B1671" t="str">
        <f>"1552374778631631"</f>
        <v>1552374778631631</v>
      </c>
      <c r="C1671" t="s">
        <v>40</v>
      </c>
      <c r="D1671">
        <v>4.6874760000000002</v>
      </c>
      <c r="E1671">
        <v>0.5184647</v>
      </c>
      <c r="F1671" t="s">
        <v>54</v>
      </c>
      <c r="G1671">
        <v>-273.45699999999999</v>
      </c>
      <c r="H1671" s="1">
        <v>3.7884509999999999E-7</v>
      </c>
      <c r="I1671">
        <v>282.8775</v>
      </c>
      <c r="J1671">
        <v>-248.6506</v>
      </c>
      <c r="K1671">
        <v>1.1093379999999999</v>
      </c>
      <c r="L1671">
        <v>281.94670000000002</v>
      </c>
      <c r="M1671">
        <v>-0.99986889999999995</v>
      </c>
      <c r="N1671">
        <v>0</v>
      </c>
      <c r="O1671">
        <v>-1.107504E-2</v>
      </c>
      <c r="P1671">
        <v>-0.99818039999999997</v>
      </c>
      <c r="Q1671">
        <v>5.9244390000000001E-2</v>
      </c>
      <c r="R1671">
        <v>-1.1239229999999999E-2</v>
      </c>
      <c r="S1671">
        <v>-3.0146480000000002</v>
      </c>
      <c r="T1671">
        <v>-0.13305819999999999</v>
      </c>
      <c r="U1671">
        <v>0.1112366</v>
      </c>
      <c r="V1671">
        <v>-1.101724E-4</v>
      </c>
      <c r="W1671">
        <v>7.1037310000000006E-2</v>
      </c>
      <c r="X1671">
        <v>0.99747370000000002</v>
      </c>
      <c r="Y1671">
        <v>4.7882279999999999E-2</v>
      </c>
      <c r="Z1671">
        <v>1.5442909999999999E-3</v>
      </c>
      <c r="AA1671">
        <v>0.99885179999999996</v>
      </c>
      <c r="AB1671">
        <v>32</v>
      </c>
      <c r="AC1671">
        <v>-24.8064</v>
      </c>
      <c r="AD1671">
        <v>-1.1093376211549</v>
      </c>
      <c r="AE1671">
        <v>0.93079999999997598</v>
      </c>
      <c r="AF1671">
        <v>1.20309131270564</v>
      </c>
      <c r="AG1671">
        <v>-1.1093376211549</v>
      </c>
      <c r="AH1671">
        <v>24.745151732892399</v>
      </c>
      <c r="AI1671">
        <v>92.563855543723605</v>
      </c>
      <c r="AJ1671">
        <v>87.216512648833103</v>
      </c>
      <c r="AK1671">
        <v>24.799205490262899</v>
      </c>
      <c r="AL1671">
        <v>85.926431154155395</v>
      </c>
      <c r="AM1671">
        <v>90.006328400952398</v>
      </c>
      <c r="AN1671">
        <v>1.0000000468708401</v>
      </c>
    </row>
    <row r="1672" spans="1:40" x14ac:dyDescent="0.25">
      <c r="A1672" t="str">
        <f>"20190312151258657"</f>
        <v>20190312151258657</v>
      </c>
      <c r="B1672" t="str">
        <f>"1552374778651151"</f>
        <v>1552374778651151</v>
      </c>
      <c r="C1672" t="s">
        <v>40</v>
      </c>
      <c r="D1672">
        <v>4.6804540000000001</v>
      </c>
      <c r="E1672">
        <v>0.51809729999999998</v>
      </c>
      <c r="F1672" t="s">
        <v>54</v>
      </c>
      <c r="G1672">
        <v>-273.82900000000001</v>
      </c>
      <c r="H1672" s="1">
        <v>5.7835449999999995E-7</v>
      </c>
      <c r="I1672">
        <v>282.84210000000002</v>
      </c>
      <c r="J1672">
        <v>-248.9648</v>
      </c>
      <c r="K1672">
        <v>1.109056</v>
      </c>
      <c r="L1672">
        <v>281.94369999999998</v>
      </c>
      <c r="M1672">
        <v>-0.99988659999999996</v>
      </c>
      <c r="N1672">
        <v>0</v>
      </c>
      <c r="O1672">
        <v>-1.0622329999999999E-2</v>
      </c>
      <c r="P1672">
        <v>-0.99816649999999996</v>
      </c>
      <c r="Q1672">
        <v>5.9567509999999997E-2</v>
      </c>
      <c r="R1672">
        <v>-1.0750880000000001E-2</v>
      </c>
      <c r="S1672">
        <v>-3.0145569999999999</v>
      </c>
      <c r="T1672">
        <v>-0.13281879999999999</v>
      </c>
      <c r="U1672">
        <v>0.10720830000000001</v>
      </c>
      <c r="V1672" s="1">
        <v>-7.8569689999999993E-5</v>
      </c>
      <c r="W1672">
        <v>7.0234899999999906E-2</v>
      </c>
      <c r="X1672">
        <v>0.99753049999999999</v>
      </c>
      <c r="Y1672">
        <v>4.6100309999999999E-2</v>
      </c>
      <c r="Z1672">
        <v>1.482436E-3</v>
      </c>
      <c r="AA1672">
        <v>0.99893569999999998</v>
      </c>
      <c r="AB1672">
        <v>32</v>
      </c>
      <c r="AC1672">
        <v>-24.8642</v>
      </c>
      <c r="AD1672">
        <v>-1.1090554216455</v>
      </c>
      <c r="AE1672">
        <v>0.89840000000003695</v>
      </c>
      <c r="AF1672">
        <v>1.1601748646388801</v>
      </c>
      <c r="AG1672">
        <v>-1.1090554216455</v>
      </c>
      <c r="AH1672">
        <v>24.803968698302199</v>
      </c>
      <c r="AI1672">
        <v>92.557358519344206</v>
      </c>
      <c r="AJ1672">
        <v>87.322012808034003</v>
      </c>
      <c r="AK1672">
        <v>24.855841825035402</v>
      </c>
      <c r="AL1672">
        <v>85.972520888399899</v>
      </c>
      <c r="AM1672">
        <v>90.004512856123497</v>
      </c>
      <c r="AN1672">
        <v>1.00000002289072</v>
      </c>
    </row>
    <row r="1673" spans="1:40" x14ac:dyDescent="0.25">
      <c r="A1673" t="str">
        <f>"20190312151258680"</f>
        <v>20190312151258680</v>
      </c>
      <c r="B1673" t="str">
        <f>"1552374778671647"</f>
        <v>1552374778671647</v>
      </c>
      <c r="C1673" t="s">
        <v>40</v>
      </c>
      <c r="D1673">
        <v>4.6723970000000001</v>
      </c>
      <c r="E1673">
        <v>0.51774900000000001</v>
      </c>
      <c r="F1673" t="s">
        <v>54</v>
      </c>
      <c r="G1673">
        <v>-274.40370000000001</v>
      </c>
      <c r="H1673" s="1">
        <v>8.8445510000000003E-7</v>
      </c>
      <c r="I1673">
        <v>282.83600000000001</v>
      </c>
      <c r="J1673">
        <v>-249.2893</v>
      </c>
      <c r="K1673">
        <v>1.108787</v>
      </c>
      <c r="L1673">
        <v>281.94060000000002</v>
      </c>
      <c r="M1673">
        <v>-0.99990449999999997</v>
      </c>
      <c r="N1673">
        <v>0</v>
      </c>
      <c r="O1673">
        <v>-1.0158149999999999E-2</v>
      </c>
      <c r="P1673">
        <v>-0.99812469999999998</v>
      </c>
      <c r="Q1673">
        <v>6.039978E-2</v>
      </c>
      <c r="R1673">
        <v>-9.9678130000000007E-3</v>
      </c>
      <c r="S1673">
        <v>-3.014481</v>
      </c>
      <c r="T1673">
        <v>-0.13142179999999901</v>
      </c>
      <c r="U1673">
        <v>0.1057434</v>
      </c>
      <c r="V1673">
        <v>2.358215E-4</v>
      </c>
      <c r="W1673">
        <v>6.9763510000000001E-2</v>
      </c>
      <c r="X1673">
        <v>0.99756350000000005</v>
      </c>
      <c r="Y1673">
        <v>4.5154989999999999E-2</v>
      </c>
      <c r="Z1673">
        <v>1.4260879999999901E-3</v>
      </c>
      <c r="AA1673">
        <v>0.99897899999999995</v>
      </c>
      <c r="AB1673">
        <v>33</v>
      </c>
      <c r="AC1673">
        <v>-25.1144</v>
      </c>
      <c r="AD1673">
        <v>-1.1087861155448999</v>
      </c>
      <c r="AE1673">
        <v>0.89539999999999498</v>
      </c>
      <c r="AF1673">
        <v>1.14824555490705</v>
      </c>
      <c r="AG1673">
        <v>-1.1087861155448999</v>
      </c>
      <c r="AH1673">
        <v>25.055233158359901</v>
      </c>
      <c r="AI1673">
        <v>92.531242208253801</v>
      </c>
      <c r="AJ1673">
        <v>87.376052208966797</v>
      </c>
      <c r="AK1673">
        <v>25.106026828715201</v>
      </c>
      <c r="AL1673">
        <v>85.999595746423097</v>
      </c>
      <c r="AM1673">
        <v>89.986455422219393</v>
      </c>
      <c r="AN1673">
        <v>0.99999996973577399</v>
      </c>
    </row>
    <row r="1674" spans="1:40" x14ac:dyDescent="0.25">
      <c r="A1674" t="str">
        <f>"20190312151258702"</f>
        <v>20190312151258702</v>
      </c>
      <c r="B1674" t="str">
        <f>"1552374778691170"</f>
        <v>1552374778691170</v>
      </c>
      <c r="C1674" t="s">
        <v>40</v>
      </c>
      <c r="D1674">
        <v>4.6933339999999903</v>
      </c>
      <c r="E1674">
        <v>0.51741079999999995</v>
      </c>
      <c r="F1674" t="s">
        <v>54</v>
      </c>
      <c r="G1674">
        <v>-275.56009999999998</v>
      </c>
      <c r="H1674" s="1">
        <v>1.4988459999999999E-6</v>
      </c>
      <c r="I1674">
        <v>282.85849999999999</v>
      </c>
      <c r="J1674">
        <v>-249.6362</v>
      </c>
      <c r="K1674">
        <v>1.1085449999999999</v>
      </c>
      <c r="L1674">
        <v>281.9375</v>
      </c>
      <c r="M1674">
        <v>-0.99992130000000001</v>
      </c>
      <c r="N1674">
        <v>0</v>
      </c>
      <c r="O1674">
        <v>-9.6625770000000003E-3</v>
      </c>
      <c r="P1674">
        <v>-0.99806660000000003</v>
      </c>
      <c r="Q1674">
        <v>6.1512310000000001E-2</v>
      </c>
      <c r="R1674">
        <v>-8.9090379999999993E-3</v>
      </c>
      <c r="S1674">
        <v>-3.0144039999999999</v>
      </c>
      <c r="T1674">
        <v>-0.12722610000000001</v>
      </c>
      <c r="U1674">
        <v>0.1053162</v>
      </c>
      <c r="V1674">
        <v>7.9569969999999999E-4</v>
      </c>
      <c r="W1674">
        <v>6.9496189999999999E-2</v>
      </c>
      <c r="X1674">
        <v>0.99758190000000002</v>
      </c>
      <c r="Y1674">
        <v>4.4523510000000002E-2</v>
      </c>
      <c r="Z1674">
        <v>1.346416E-3</v>
      </c>
      <c r="AA1674">
        <v>0.99900739999999999</v>
      </c>
      <c r="AB1674">
        <v>33</v>
      </c>
      <c r="AC1674">
        <v>-25.9238999999999</v>
      </c>
      <c r="AD1674">
        <v>-1.1085435011539999</v>
      </c>
      <c r="AE1674">
        <v>0.92099999999999205</v>
      </c>
      <c r="AF1674">
        <v>1.16932124401807</v>
      </c>
      <c r="AG1674">
        <v>-1.1085435011539999</v>
      </c>
      <c r="AH1674">
        <v>25.866551739808301</v>
      </c>
      <c r="AI1674">
        <v>92.451480262820994</v>
      </c>
      <c r="AJ1674">
        <v>87.411653829630893</v>
      </c>
      <c r="AK1674">
        <v>25.916687283945901</v>
      </c>
      <c r="AL1674">
        <v>86.014949441760706</v>
      </c>
      <c r="AM1674">
        <v>89.954299266153996</v>
      </c>
      <c r="AN1674">
        <v>1.00000000038506</v>
      </c>
    </row>
    <row r="1675" spans="1:40" x14ac:dyDescent="0.25">
      <c r="A1675" t="str">
        <f>"20190312151258725"</f>
        <v>20190312151258725</v>
      </c>
      <c r="B1675" t="str">
        <f>"1552374778721423"</f>
        <v>1552374778721423</v>
      </c>
      <c r="C1675" t="s">
        <v>40</v>
      </c>
      <c r="D1675">
        <v>4.6947539999999996</v>
      </c>
      <c r="E1675">
        <v>0.51686899999999902</v>
      </c>
      <c r="F1675" t="s">
        <v>54</v>
      </c>
      <c r="G1675">
        <v>-276.93430000000001</v>
      </c>
      <c r="H1675" s="1">
        <v>2.22855E-6</v>
      </c>
      <c r="I1675">
        <v>282.89429999999999</v>
      </c>
      <c r="J1675">
        <v>-249.9725</v>
      </c>
      <c r="K1675">
        <v>1.108336</v>
      </c>
      <c r="L1675">
        <v>281.93450000000001</v>
      </c>
      <c r="M1675">
        <v>-0.99993540000000003</v>
      </c>
      <c r="N1675">
        <v>0</v>
      </c>
      <c r="O1675">
        <v>-9.1855219999999998E-3</v>
      </c>
      <c r="P1675">
        <v>-0.99803430000000004</v>
      </c>
      <c r="Q1675">
        <v>6.2207390000000001E-2</v>
      </c>
      <c r="R1675">
        <v>-7.618049E-3</v>
      </c>
      <c r="S1675">
        <v>-3.014297</v>
      </c>
      <c r="T1675">
        <v>-0.122407</v>
      </c>
      <c r="U1675">
        <v>0.10565190000000001</v>
      </c>
      <c r="V1675">
        <v>1.609339E-3</v>
      </c>
      <c r="W1675">
        <v>6.8895380000000006E-2</v>
      </c>
      <c r="X1675">
        <v>0.99762260000000003</v>
      </c>
      <c r="Y1675">
        <v>4.4163429999999997E-2</v>
      </c>
      <c r="Z1675">
        <v>1.2688319999999999E-3</v>
      </c>
      <c r="AA1675">
        <v>0.99902349999999995</v>
      </c>
      <c r="AB1675">
        <v>33</v>
      </c>
      <c r="AC1675">
        <v>-26.9618</v>
      </c>
      <c r="AD1675">
        <v>-1.1083337714499999</v>
      </c>
      <c r="AE1675">
        <v>0.95979999999997201</v>
      </c>
      <c r="AF1675">
        <v>1.2053889378235101</v>
      </c>
      <c r="AG1675">
        <v>-1.1083337714499999</v>
      </c>
      <c r="AH1675">
        <v>26.906436234264699</v>
      </c>
      <c r="AI1675">
        <v>92.356441611919905</v>
      </c>
      <c r="AJ1675">
        <v>87.434905510420407</v>
      </c>
      <c r="AK1675">
        <v>26.956217781226599</v>
      </c>
      <c r="AL1675">
        <v>86.049456057353297</v>
      </c>
      <c r="AM1675">
        <v>89.907572009174203</v>
      </c>
      <c r="AN1675">
        <v>1.0000000076940601</v>
      </c>
    </row>
    <row r="1676" spans="1:40" x14ac:dyDescent="0.25">
      <c r="A1676" t="str">
        <f>"20190312151258746"</f>
        <v>20190312151258746</v>
      </c>
      <c r="B1676" t="str">
        <f>"1552374778741919"</f>
        <v>1552374778741919</v>
      </c>
      <c r="C1676" t="s">
        <v>40</v>
      </c>
      <c r="D1676">
        <v>4.6832320000000003</v>
      </c>
      <c r="E1676">
        <v>0.51655660000000003</v>
      </c>
      <c r="F1676" t="s">
        <v>54</v>
      </c>
      <c r="G1676">
        <v>-278.1823</v>
      </c>
      <c r="H1676" s="1">
        <v>2.8915019999999998E-6</v>
      </c>
      <c r="I1676">
        <v>282.92189999999999</v>
      </c>
      <c r="J1676">
        <v>-250.29730000000001</v>
      </c>
      <c r="K1676">
        <v>1.1081559999999999</v>
      </c>
      <c r="L1676">
        <v>281.93189999999998</v>
      </c>
      <c r="M1676">
        <v>-0.99994680000000002</v>
      </c>
      <c r="N1676">
        <v>0</v>
      </c>
      <c r="O1676">
        <v>-8.7258089999999993E-3</v>
      </c>
      <c r="P1676">
        <v>-0.99799479999999996</v>
      </c>
      <c r="Q1676">
        <v>6.2900739999999997E-2</v>
      </c>
      <c r="R1676">
        <v>-7.0862540000000002E-3</v>
      </c>
      <c r="S1676">
        <v>-3.0140989999999999</v>
      </c>
      <c r="T1676">
        <v>-0.1184206</v>
      </c>
      <c r="U1676">
        <v>0.1054993</v>
      </c>
      <c r="V1676">
        <v>1.6842770000000001E-3</v>
      </c>
      <c r="W1676">
        <v>6.8418720000000002E-2</v>
      </c>
      <c r="X1676">
        <v>0.99765530000000002</v>
      </c>
      <c r="Y1676">
        <v>4.3659410000000003E-2</v>
      </c>
      <c r="Z1676">
        <v>1.1996769999999999E-3</v>
      </c>
      <c r="AA1676">
        <v>0.99904570000000004</v>
      </c>
      <c r="AB1676">
        <v>34</v>
      </c>
      <c r="AC1676">
        <v>-27.884999999999899</v>
      </c>
      <c r="AD1676">
        <v>-1.1081531084980001</v>
      </c>
      <c r="AE1676">
        <v>0.99000000000000898</v>
      </c>
      <c r="AF1676">
        <v>1.23134299081807</v>
      </c>
      <c r="AG1676">
        <v>-1.1081531084980001</v>
      </c>
      <c r="AH1676">
        <v>27.8314015343454</v>
      </c>
      <c r="AI1676">
        <v>92.277895453346204</v>
      </c>
      <c r="AJ1676">
        <v>87.466718393370499</v>
      </c>
      <c r="AK1676">
        <v>27.880658533091999</v>
      </c>
      <c r="AL1676">
        <v>86.076831339475902</v>
      </c>
      <c r="AM1676">
        <v>89.903271328333702</v>
      </c>
      <c r="AN1676">
        <v>1.00000002782677</v>
      </c>
    </row>
    <row r="1677" spans="1:40" x14ac:dyDescent="0.25">
      <c r="A1677" t="str">
        <f>"20190312151258772"</f>
        <v>20190312151258772</v>
      </c>
      <c r="B1677" t="str">
        <f>"1552374778761439"</f>
        <v>1552374778761439</v>
      </c>
      <c r="C1677" t="s">
        <v>40</v>
      </c>
      <c r="D1677">
        <v>4.7068589999999997</v>
      </c>
      <c r="E1677">
        <v>0.51624519999999996</v>
      </c>
      <c r="F1677" t="s">
        <v>54</v>
      </c>
      <c r="G1677">
        <v>-279.18599999999998</v>
      </c>
      <c r="H1677" s="1">
        <v>3.4249550000000001E-6</v>
      </c>
      <c r="I1677">
        <v>282.9366</v>
      </c>
      <c r="J1677">
        <v>-250.68199999999999</v>
      </c>
      <c r="K1677">
        <v>1.1079920000000001</v>
      </c>
      <c r="L1677">
        <v>281.9289</v>
      </c>
      <c r="M1677">
        <v>-0.99995730000000005</v>
      </c>
      <c r="N1677">
        <v>0</v>
      </c>
      <c r="O1677">
        <v>-8.1715750000000004E-3</v>
      </c>
      <c r="P1677">
        <v>-0.99796309999999999</v>
      </c>
      <c r="Q1677">
        <v>6.3476439999999995E-2</v>
      </c>
      <c r="R1677">
        <v>-6.3820500000000002E-3</v>
      </c>
      <c r="S1677">
        <v>-3.0140380000000002</v>
      </c>
      <c r="T1677">
        <v>-0.1156166</v>
      </c>
      <c r="U1677">
        <v>0.1048279</v>
      </c>
      <c r="V1677">
        <v>1.840894E-3</v>
      </c>
      <c r="W1677">
        <v>6.7807409999999999E-2</v>
      </c>
      <c r="X1677">
        <v>0.99769680000000005</v>
      </c>
      <c r="Y1677">
        <v>4.288691E-2</v>
      </c>
      <c r="Z1677">
        <v>1.135264E-3</v>
      </c>
      <c r="AA1677">
        <v>0.9990793</v>
      </c>
      <c r="AB1677">
        <v>34</v>
      </c>
      <c r="AC1677">
        <v>-28.503999999999898</v>
      </c>
      <c r="AD1677">
        <v>-1.107988575045</v>
      </c>
      <c r="AE1677">
        <v>1.00769999999999</v>
      </c>
      <c r="AF1677">
        <v>1.23872174875078</v>
      </c>
      <c r="AG1677">
        <v>-1.107988575045</v>
      </c>
      <c r="AH1677">
        <v>28.451877144773299</v>
      </c>
      <c r="AI1677">
        <v>92.228008251872495</v>
      </c>
      <c r="AJ1677">
        <v>87.507063061964402</v>
      </c>
      <c r="AK1677">
        <v>28.500375143399999</v>
      </c>
      <c r="AL1677">
        <v>86.111938515510403</v>
      </c>
      <c r="AM1677">
        <v>89.894281171361698</v>
      </c>
      <c r="AN1677">
        <v>1.0000000692359301</v>
      </c>
    </row>
    <row r="1678" spans="1:40" x14ac:dyDescent="0.25">
      <c r="A1678" t="str">
        <f>"20190312151258796"</f>
        <v>20190312151258796</v>
      </c>
      <c r="B1678" t="str">
        <f>"1552374778791695"</f>
        <v>1552374778791695</v>
      </c>
      <c r="C1678" t="s">
        <v>40</v>
      </c>
      <c r="D1678">
        <v>4.7026409999999998</v>
      </c>
      <c r="E1678">
        <v>0.51582039999999996</v>
      </c>
      <c r="F1678" t="s">
        <v>55</v>
      </c>
      <c r="G1678">
        <v>-280.18259999999998</v>
      </c>
      <c r="H1678" s="1">
        <v>8.6654349999999907E-6</v>
      </c>
      <c r="I1678">
        <v>282.95080000000002</v>
      </c>
      <c r="J1678">
        <v>-251.05340000000001</v>
      </c>
      <c r="K1678">
        <v>1.1079060000000001</v>
      </c>
      <c r="L1678">
        <v>281.92630000000003</v>
      </c>
      <c r="M1678">
        <v>-0.99996479999999999</v>
      </c>
      <c r="N1678">
        <v>0</v>
      </c>
      <c r="O1678">
        <v>-7.6223109999999997E-3</v>
      </c>
      <c r="P1678">
        <v>-0.99792740000000002</v>
      </c>
      <c r="Q1678">
        <v>6.4118170000000002E-2</v>
      </c>
      <c r="R1678">
        <v>-5.4380969999999898E-3</v>
      </c>
      <c r="S1678">
        <v>-3.013992</v>
      </c>
      <c r="T1678">
        <v>-0.11319940000000001</v>
      </c>
      <c r="U1678">
        <v>0.1044006</v>
      </c>
      <c r="V1678">
        <v>2.2444489999999999E-3</v>
      </c>
      <c r="W1678">
        <v>6.7599030000000004E-2</v>
      </c>
      <c r="X1678">
        <v>0.99770999999999999</v>
      </c>
      <c r="Y1678">
        <v>4.2199590000000002E-2</v>
      </c>
      <c r="Z1678">
        <v>1.078049E-3</v>
      </c>
      <c r="AA1678">
        <v>0.99910860000000001</v>
      </c>
      <c r="AB1678">
        <v>34</v>
      </c>
      <c r="AC1678">
        <v>-29.129199999999901</v>
      </c>
      <c r="AD1678">
        <v>-1.1078973345649901</v>
      </c>
      <c r="AE1678">
        <v>1.02449999999998</v>
      </c>
      <c r="AF1678">
        <v>1.2447050859319999</v>
      </c>
      <c r="AG1678">
        <v>-1.1078973345649901</v>
      </c>
      <c r="AH1678">
        <v>29.078532271568701</v>
      </c>
      <c r="AI1678">
        <v>92.179929923841598</v>
      </c>
      <c r="AJ1678">
        <v>87.5489533469338</v>
      </c>
      <c r="AK1678">
        <v>29.126238451326699</v>
      </c>
      <c r="AL1678">
        <v>86.123904824412804</v>
      </c>
      <c r="AM1678">
        <v>89.871107598298195</v>
      </c>
      <c r="AN1678">
        <v>0.99999995525412599</v>
      </c>
    </row>
    <row r="1679" spans="1:40" x14ac:dyDescent="0.25">
      <c r="A1679" t="str">
        <f>"20190312151258816"</f>
        <v>20190312151258816</v>
      </c>
      <c r="B1679" t="str">
        <f>"1552374778811215"</f>
        <v>1552374778811215</v>
      </c>
      <c r="C1679" t="s">
        <v>40</v>
      </c>
      <c r="D1679">
        <v>4.6824070000000004</v>
      </c>
      <c r="E1679">
        <v>0.51554129999999998</v>
      </c>
      <c r="F1679" t="s">
        <v>55</v>
      </c>
      <c r="G1679">
        <v>-281.15730000000002</v>
      </c>
      <c r="H1679" s="1">
        <v>8.2313239999999993E-6</v>
      </c>
      <c r="I1679">
        <v>282.9599</v>
      </c>
      <c r="J1679">
        <v>-251.35919999999999</v>
      </c>
      <c r="K1679">
        <v>1.107901</v>
      </c>
      <c r="L1679">
        <v>281.92439999999999</v>
      </c>
      <c r="M1679">
        <v>-0.99996980000000002</v>
      </c>
      <c r="N1679">
        <v>0</v>
      </c>
      <c r="O1679">
        <v>-7.1593539999999997E-3</v>
      </c>
      <c r="P1679">
        <v>-0.99791779999999997</v>
      </c>
      <c r="Q1679">
        <v>6.4315330000000004E-2</v>
      </c>
      <c r="R1679">
        <v>-4.8699240000000003E-3</v>
      </c>
      <c r="S1679">
        <v>-3.0139309999999999</v>
      </c>
      <c r="T1679">
        <v>-0.1109202</v>
      </c>
      <c r="U1679">
        <v>0.1034851</v>
      </c>
      <c r="V1679">
        <v>2.3581650000000002E-3</v>
      </c>
      <c r="W1679">
        <v>6.738922E-2</v>
      </c>
      <c r="X1679">
        <v>0.99772400000000006</v>
      </c>
      <c r="Y1679">
        <v>4.1436800000000003E-2</v>
      </c>
      <c r="Z1679">
        <v>1.0253300000000001E-3</v>
      </c>
      <c r="AA1679">
        <v>0.99914060000000005</v>
      </c>
      <c r="AB1679">
        <v>35</v>
      </c>
      <c r="AC1679">
        <v>-29.798100000000002</v>
      </c>
      <c r="AD1679">
        <v>-1.1078927686759901</v>
      </c>
      <c r="AE1679">
        <v>1.0355000000000101</v>
      </c>
      <c r="AF1679">
        <v>1.2470877494866</v>
      </c>
      <c r="AG1679">
        <v>-1.1078927686759901</v>
      </c>
      <c r="AH1679">
        <v>29.7488490189223</v>
      </c>
      <c r="AI1679">
        <v>92.1309272404404</v>
      </c>
      <c r="AJ1679">
        <v>87.599535588644898</v>
      </c>
      <c r="AK1679">
        <v>29.795581420613999</v>
      </c>
      <c r="AL1679">
        <v>86.135953793690604</v>
      </c>
      <c r="AM1679">
        <v>89.864579131803296</v>
      </c>
      <c r="AN1679">
        <v>1.0000000240451801</v>
      </c>
    </row>
    <row r="1680" spans="1:40" x14ac:dyDescent="0.25">
      <c r="A1680" t="str">
        <f>"20190312151258838"</f>
        <v>20190312151258838</v>
      </c>
      <c r="B1680" t="str">
        <f>"1552374778831712"</f>
        <v>1552374778831712</v>
      </c>
      <c r="C1680" t="s">
        <v>40</v>
      </c>
      <c r="D1680">
        <v>4.697641</v>
      </c>
      <c r="E1680">
        <v>0.51526149999999904</v>
      </c>
      <c r="F1680" t="s">
        <v>55</v>
      </c>
      <c r="G1680">
        <v>-281.82979999999998</v>
      </c>
      <c r="H1680" s="1">
        <v>7.9313169999999996E-6</v>
      </c>
      <c r="I1680">
        <v>282.96850000000001</v>
      </c>
      <c r="J1680">
        <v>-251.7183</v>
      </c>
      <c r="K1680">
        <v>1.1079600000000001</v>
      </c>
      <c r="L1680">
        <v>281.92239999999998</v>
      </c>
      <c r="M1680">
        <v>-0.99997400000000003</v>
      </c>
      <c r="N1680">
        <v>0</v>
      </c>
      <c r="O1680">
        <v>-6.5937069999999999E-3</v>
      </c>
      <c r="P1680">
        <v>-0.99790780000000001</v>
      </c>
      <c r="Q1680">
        <v>6.4529080000000003E-2</v>
      </c>
      <c r="R1680">
        <v>-3.9982430000000003E-3</v>
      </c>
      <c r="S1680">
        <v>-3.0138240000000001</v>
      </c>
      <c r="T1680">
        <v>-0.109581</v>
      </c>
      <c r="U1680">
        <v>0.1032715</v>
      </c>
      <c r="V1680">
        <v>2.673684E-3</v>
      </c>
      <c r="W1680">
        <v>6.7443939999999994E-2</v>
      </c>
      <c r="X1680">
        <v>0.99771949999999998</v>
      </c>
      <c r="Y1680">
        <v>4.080367E-2</v>
      </c>
      <c r="Z1680">
        <v>9.8093799999999999E-4</v>
      </c>
      <c r="AA1680">
        <v>0.99916669999999996</v>
      </c>
      <c r="AB1680">
        <v>35</v>
      </c>
      <c r="AC1680">
        <v>-30.1114999999999</v>
      </c>
      <c r="AD1680">
        <v>-1.107952068683</v>
      </c>
      <c r="AE1680">
        <v>1.04610000000002</v>
      </c>
      <c r="AF1680">
        <v>1.24294375682125</v>
      </c>
      <c r="AG1680">
        <v>-1.107952068683</v>
      </c>
      <c r="AH1680">
        <v>30.063294955707601</v>
      </c>
      <c r="AI1680">
        <v>92.108822338894996</v>
      </c>
      <c r="AJ1680">
        <v>87.632498505090695</v>
      </c>
      <c r="AK1680">
        <v>30.1093701455709</v>
      </c>
      <c r="AL1680">
        <v>86.132811392852801</v>
      </c>
      <c r="AM1680">
        <v>89.846459408430803</v>
      </c>
      <c r="AN1680">
        <v>1.00000001715455</v>
      </c>
    </row>
    <row r="1681" spans="1:40" x14ac:dyDescent="0.25">
      <c r="A1681" t="str">
        <f>"20190312151258860"</f>
        <v>20190312151258860</v>
      </c>
      <c r="B1681" t="str">
        <f>"1552374778851232"</f>
        <v>1552374778851232</v>
      </c>
      <c r="C1681" t="s">
        <v>40</v>
      </c>
      <c r="D1681">
        <v>4.6776330000000002</v>
      </c>
      <c r="E1681">
        <v>0.51499399999999995</v>
      </c>
      <c r="F1681" t="s">
        <v>55</v>
      </c>
      <c r="G1681">
        <v>-282.41019999999997</v>
      </c>
      <c r="H1681" s="1">
        <v>7.6719380000000008E-6</v>
      </c>
      <c r="I1681">
        <v>282.97809999999998</v>
      </c>
      <c r="J1681">
        <v>-252.04730000000001</v>
      </c>
      <c r="K1681">
        <v>1.1080449999999999</v>
      </c>
      <c r="L1681">
        <v>281.92079999999999</v>
      </c>
      <c r="M1681">
        <v>-0.99997740000000002</v>
      </c>
      <c r="N1681">
        <v>0</v>
      </c>
      <c r="O1681">
        <v>-6.0391339999999998E-3</v>
      </c>
      <c r="P1681">
        <v>-0.99793580000000004</v>
      </c>
      <c r="Q1681">
        <v>6.414599E-2</v>
      </c>
      <c r="R1681">
        <v>-3.0983759999999999E-3</v>
      </c>
      <c r="S1681">
        <v>-3.0137019999999999</v>
      </c>
      <c r="T1681">
        <v>-0.10879229999999999</v>
      </c>
      <c r="U1681">
        <v>0.1036682</v>
      </c>
      <c r="V1681">
        <v>3.0251309999999999E-3</v>
      </c>
      <c r="W1681">
        <v>6.7121860000000005E-2</v>
      </c>
      <c r="X1681">
        <v>0.99774019999999997</v>
      </c>
      <c r="Y1681">
        <v>4.0383389999999998E-2</v>
      </c>
      <c r="Z1681">
        <v>9.4633029999999999E-4</v>
      </c>
      <c r="AA1681">
        <v>0.99918379999999996</v>
      </c>
      <c r="AB1681">
        <v>35</v>
      </c>
      <c r="AC1681">
        <v>-30.3628999999999</v>
      </c>
      <c r="AD1681">
        <v>-1.1080373280619999</v>
      </c>
      <c r="AE1681">
        <v>1.0572999999999899</v>
      </c>
      <c r="AF1681">
        <v>1.23899910407985</v>
      </c>
      <c r="AG1681">
        <v>-1.1080373280619999</v>
      </c>
      <c r="AH1681">
        <v>30.315637186352902</v>
      </c>
      <c r="AI1681">
        <v>92.091485965616897</v>
      </c>
      <c r="AJ1681">
        <v>87.659625862773694</v>
      </c>
      <c r="AK1681">
        <v>30.3611713132888</v>
      </c>
      <c r="AL1681">
        <v>86.151307067889604</v>
      </c>
      <c r="AM1681">
        <v>89.826280721525094</v>
      </c>
      <c r="AN1681">
        <v>1.00000000110173</v>
      </c>
    </row>
    <row r="1682" spans="1:40" x14ac:dyDescent="0.25">
      <c r="A1682" t="str">
        <f>"20190312151258882"</f>
        <v>20190312151258882</v>
      </c>
      <c r="B1682" t="str">
        <f>"1552374778871729"</f>
        <v>1552374778871729</v>
      </c>
      <c r="C1682" t="s">
        <v>40</v>
      </c>
      <c r="D1682">
        <v>4.6799809999999997</v>
      </c>
      <c r="E1682">
        <v>0.51497199999999999</v>
      </c>
      <c r="F1682" t="s">
        <v>55</v>
      </c>
      <c r="G1682">
        <v>-282.51990000000001</v>
      </c>
      <c r="H1682" s="1">
        <v>7.6241980000000001E-6</v>
      </c>
      <c r="I1682">
        <v>282.97370000000001</v>
      </c>
      <c r="J1682">
        <v>-252.40190000000001</v>
      </c>
      <c r="K1682">
        <v>1.10815</v>
      </c>
      <c r="L1682">
        <v>281.91930000000002</v>
      </c>
      <c r="M1682">
        <v>-0.99998050000000005</v>
      </c>
      <c r="N1682">
        <v>0</v>
      </c>
      <c r="O1682">
        <v>-5.395749E-3</v>
      </c>
      <c r="P1682">
        <v>-0.9979635</v>
      </c>
      <c r="Q1682">
        <v>6.3753690000000002E-2</v>
      </c>
      <c r="R1682">
        <v>-2.162396E-3</v>
      </c>
      <c r="S1682">
        <v>-3.0135800000000001</v>
      </c>
      <c r="T1682">
        <v>-0.1095792</v>
      </c>
      <c r="U1682">
        <v>0.104126</v>
      </c>
      <c r="V1682">
        <v>3.3220670000000002E-3</v>
      </c>
      <c r="W1682">
        <v>6.690728E-2</v>
      </c>
      <c r="X1682">
        <v>0.99775369999999997</v>
      </c>
      <c r="Y1682">
        <v>3.9893810000000002E-2</v>
      </c>
      <c r="Z1682">
        <v>9.2093039999999995E-4</v>
      </c>
      <c r="AA1682">
        <v>0.99920350000000002</v>
      </c>
      <c r="AB1682">
        <v>35</v>
      </c>
      <c r="AC1682">
        <v>-30.117999999999899</v>
      </c>
      <c r="AD1682">
        <v>-1.1081423758019999</v>
      </c>
      <c r="AE1682">
        <v>1.05439999999998</v>
      </c>
      <c r="AF1682">
        <v>1.21525148807141</v>
      </c>
      <c r="AG1682">
        <v>-1.1081423758019999</v>
      </c>
      <c r="AH1682">
        <v>30.071213148084901</v>
      </c>
      <c r="AI1682">
        <v>92.108709467029101</v>
      </c>
      <c r="AJ1682">
        <v>87.685796281546104</v>
      </c>
      <c r="AK1682">
        <v>30.1161530727592</v>
      </c>
      <c r="AL1682">
        <v>86.163629419443694</v>
      </c>
      <c r="AM1682">
        <v>89.809231762306794</v>
      </c>
      <c r="AN1682">
        <v>1.0000000330549199</v>
      </c>
    </row>
    <row r="1683" spans="1:40" x14ac:dyDescent="0.25">
      <c r="A1683" t="str">
        <f>"20190312151258903"</f>
        <v>20190312151258903</v>
      </c>
      <c r="B1683" t="str">
        <f>"1552374778901842"</f>
        <v>1552374778901842</v>
      </c>
      <c r="C1683" t="s">
        <v>40</v>
      </c>
      <c r="D1683">
        <v>4.6553060000000004</v>
      </c>
      <c r="E1683">
        <v>0.51533509999999905</v>
      </c>
      <c r="F1683" t="s">
        <v>55</v>
      </c>
      <c r="G1683">
        <v>-282.79180000000002</v>
      </c>
      <c r="H1683" s="1">
        <v>7.4987139999999998E-6</v>
      </c>
      <c r="I1683">
        <v>282.99740000000003</v>
      </c>
      <c r="J1683">
        <v>-252.74719999999999</v>
      </c>
      <c r="K1683">
        <v>1.1082399999999999</v>
      </c>
      <c r="L1683">
        <v>281.91809999999998</v>
      </c>
      <c r="M1683">
        <v>-0.99998310000000001</v>
      </c>
      <c r="N1683">
        <v>0</v>
      </c>
      <c r="O1683">
        <v>-4.7314610000000002E-3</v>
      </c>
      <c r="P1683">
        <v>-0.99795060000000002</v>
      </c>
      <c r="Q1683">
        <v>6.3977999999999993E-2</v>
      </c>
      <c r="R1683">
        <v>-1.2886410000000001E-3</v>
      </c>
      <c r="S1683">
        <v>-3.0133510000000001</v>
      </c>
      <c r="T1683">
        <v>-0.1098793</v>
      </c>
      <c r="U1683">
        <v>0.1069031</v>
      </c>
      <c r="V1683">
        <v>3.5345390000000002E-3</v>
      </c>
      <c r="W1683">
        <v>6.7356869999999999E-2</v>
      </c>
      <c r="X1683">
        <v>0.99772269999999996</v>
      </c>
      <c r="Y1683">
        <v>4.0152500000000001E-2</v>
      </c>
      <c r="Z1683">
        <v>9.0401130000000002E-4</v>
      </c>
      <c r="AA1683">
        <v>0.99919309999999995</v>
      </c>
      <c r="AB1683">
        <v>35</v>
      </c>
      <c r="AC1683">
        <v>-30.044599999999999</v>
      </c>
      <c r="AD1683">
        <v>-1.1082325012859999</v>
      </c>
      <c r="AE1683">
        <v>1.0793000000000399</v>
      </c>
      <c r="AF1683">
        <v>1.21978608712855</v>
      </c>
      <c r="AG1683">
        <v>-1.1082325012859999</v>
      </c>
      <c r="AH1683">
        <v>29.998393934431</v>
      </c>
      <c r="AI1683">
        <v>92.113974044571194</v>
      </c>
      <c r="AJ1683">
        <v>87.671538160698006</v>
      </c>
      <c r="AK1683">
        <v>30.043629874244001</v>
      </c>
      <c r="AL1683">
        <v>86.137811492372194</v>
      </c>
      <c r="AM1683">
        <v>89.797024443723302</v>
      </c>
      <c r="AN1683">
        <v>1.0000000134987099</v>
      </c>
    </row>
    <row r="1684" spans="1:40" x14ac:dyDescent="0.25">
      <c r="A1684" t="str">
        <f>"20190312151258926"</f>
        <v>20190312151258926</v>
      </c>
      <c r="B1684" t="str">
        <f>"1552374778921362"</f>
        <v>1552374778921362</v>
      </c>
      <c r="C1684" t="s">
        <v>40</v>
      </c>
      <c r="D1684">
        <v>4.6707390000000002</v>
      </c>
      <c r="E1684">
        <v>0.51555010000000001</v>
      </c>
      <c r="F1684" t="s">
        <v>55</v>
      </c>
      <c r="G1684">
        <v>-283.17290000000003</v>
      </c>
      <c r="H1684" s="1">
        <v>7.3184000000000001E-6</v>
      </c>
      <c r="I1684">
        <v>283.0523</v>
      </c>
      <c r="J1684">
        <v>-253.09389999999999</v>
      </c>
      <c r="K1684">
        <v>1.108311</v>
      </c>
      <c r="L1684">
        <v>281.9171</v>
      </c>
      <c r="M1684">
        <v>-0.99998529999999997</v>
      </c>
      <c r="N1684">
        <v>0</v>
      </c>
      <c r="O1684">
        <v>-4.041004E-3</v>
      </c>
      <c r="P1684">
        <v>-0.99794859999999996</v>
      </c>
      <c r="Q1684">
        <v>6.4023280000000002E-2</v>
      </c>
      <c r="R1684" s="1">
        <v>-6.6367210000000003E-6</v>
      </c>
      <c r="S1684">
        <v>-3.0133510000000001</v>
      </c>
      <c r="T1684">
        <v>-0.1097591</v>
      </c>
      <c r="U1684">
        <v>0.112335199999999</v>
      </c>
      <c r="V1684">
        <v>4.1286450000000002E-3</v>
      </c>
      <c r="W1684">
        <v>6.7651849999999999E-2</v>
      </c>
      <c r="X1684">
        <v>0.99770049999999999</v>
      </c>
      <c r="Y1684">
        <v>4.126121E-2</v>
      </c>
      <c r="Z1684">
        <v>8.9803910000000003E-4</v>
      </c>
      <c r="AA1684">
        <v>0.99914800000000004</v>
      </c>
      <c r="AB1684">
        <v>35</v>
      </c>
      <c r="AC1684">
        <v>-30.079000000000001</v>
      </c>
      <c r="AD1684">
        <v>-1.1083036816</v>
      </c>
      <c r="AE1684">
        <v>1.13519999999999</v>
      </c>
      <c r="AF1684">
        <v>1.2550393925086101</v>
      </c>
      <c r="AG1684">
        <v>-1.1083036816</v>
      </c>
      <c r="AH1684">
        <v>30.033449833808199</v>
      </c>
      <c r="AI1684">
        <v>92.111546492021901</v>
      </c>
      <c r="AJ1684">
        <v>87.607113135455293</v>
      </c>
      <c r="AK1684">
        <v>30.0800859348386</v>
      </c>
      <c r="AL1684">
        <v>86.120871897467197</v>
      </c>
      <c r="AM1684">
        <v>89.762902210290207</v>
      </c>
      <c r="AN1684">
        <v>1.0000000531091</v>
      </c>
    </row>
    <row r="1685" spans="1:40" x14ac:dyDescent="0.25">
      <c r="A1685" t="str">
        <f>"20190312151258948"</f>
        <v>20190312151258948</v>
      </c>
      <c r="B1685" t="str">
        <f>"1552374778941859"</f>
        <v>1552374778941859</v>
      </c>
      <c r="C1685" t="s">
        <v>40</v>
      </c>
      <c r="D1685">
        <v>4.6231920000000004</v>
      </c>
      <c r="E1685">
        <v>0.5157813</v>
      </c>
      <c r="F1685" t="s">
        <v>55</v>
      </c>
      <c r="G1685">
        <v>-283.58080000000001</v>
      </c>
      <c r="H1685" s="1">
        <v>7.1255429999999999E-6</v>
      </c>
      <c r="I1685">
        <v>283.11009999999999</v>
      </c>
      <c r="J1685">
        <v>-253.447</v>
      </c>
      <c r="K1685">
        <v>1.1083459999999901</v>
      </c>
      <c r="L1685">
        <v>281.91629999999998</v>
      </c>
      <c r="M1685">
        <v>-0.99998690000000001</v>
      </c>
      <c r="N1685">
        <v>0</v>
      </c>
      <c r="O1685">
        <v>-3.3285250000000001E-3</v>
      </c>
      <c r="P1685">
        <v>-0.99800270000000002</v>
      </c>
      <c r="Q1685">
        <v>6.3151910000000006E-2</v>
      </c>
      <c r="R1685">
        <v>1.5558480000000001E-3</v>
      </c>
      <c r="S1685">
        <v>-3.0132140000000001</v>
      </c>
      <c r="T1685">
        <v>-0.1095406</v>
      </c>
      <c r="U1685">
        <v>0.11791989999999899</v>
      </c>
      <c r="V1685">
        <v>4.980127E-3</v>
      </c>
      <c r="W1685">
        <v>6.7035730000000002E-2</v>
      </c>
      <c r="X1685">
        <v>0.99773809999999996</v>
      </c>
      <c r="Y1685">
        <v>4.239996E-2</v>
      </c>
      <c r="Z1685">
        <v>8.9106210000000001E-4</v>
      </c>
      <c r="AA1685">
        <v>0.99910030000000005</v>
      </c>
      <c r="AB1685">
        <v>35</v>
      </c>
      <c r="AC1685">
        <v>-30.133800000000001</v>
      </c>
      <c r="AD1685">
        <v>-1.10833887445699</v>
      </c>
      <c r="AE1685">
        <v>1.19380000000001</v>
      </c>
      <c r="AF1685">
        <v>1.2923496856860099</v>
      </c>
      <c r="AG1685">
        <v>-1.10833887445699</v>
      </c>
      <c r="AH1685">
        <v>30.089018457399</v>
      </c>
      <c r="AI1685">
        <v>92.107613696747293</v>
      </c>
      <c r="AJ1685">
        <v>87.540607708206494</v>
      </c>
      <c r="AK1685">
        <v>30.137146754469299</v>
      </c>
      <c r="AL1685">
        <v>86.156252910067494</v>
      </c>
      <c r="AM1685">
        <v>89.714015242180693</v>
      </c>
      <c r="AN1685">
        <v>0.99999995347658799</v>
      </c>
    </row>
    <row r="1686" spans="1:40" x14ac:dyDescent="0.25">
      <c r="A1686" t="str">
        <f>"20190312151258973"</f>
        <v>20190312151258973</v>
      </c>
      <c r="B1686" t="str">
        <f>"1552374778961378"</f>
        <v>1552374778961378</v>
      </c>
      <c r="C1686" t="s">
        <v>40</v>
      </c>
      <c r="D1686">
        <v>4.5931480000000002</v>
      </c>
      <c r="E1686">
        <v>0.51599349999999999</v>
      </c>
      <c r="F1686" t="s">
        <v>55</v>
      </c>
      <c r="G1686">
        <v>-283.1379</v>
      </c>
      <c r="H1686" s="1">
        <v>7.3155449999999901E-6</v>
      </c>
      <c r="I1686">
        <v>283.14109999999999</v>
      </c>
      <c r="J1686">
        <v>-253.8289</v>
      </c>
      <c r="K1686">
        <v>1.1083780000000001</v>
      </c>
      <c r="L1686">
        <v>281.91559999999998</v>
      </c>
      <c r="M1686">
        <v>-0.99998810000000005</v>
      </c>
      <c r="N1686">
        <v>0</v>
      </c>
      <c r="O1686">
        <v>-2.559094E-3</v>
      </c>
      <c r="P1686">
        <v>-0.99804530000000002</v>
      </c>
      <c r="Q1686">
        <v>6.2434419999999997E-2</v>
      </c>
      <c r="R1686">
        <v>2.848082E-3</v>
      </c>
      <c r="S1686">
        <v>-3.0129389999999998</v>
      </c>
      <c r="T1686">
        <v>-0.112470899999999</v>
      </c>
      <c r="U1686">
        <v>0.12429809999999999</v>
      </c>
      <c r="V1686">
        <v>5.5057129999999998E-3</v>
      </c>
      <c r="W1686">
        <v>6.6583760000000006E-2</v>
      </c>
      <c r="X1686">
        <v>0.99776569999999998</v>
      </c>
      <c r="Y1686">
        <v>4.3744310000000002E-2</v>
      </c>
      <c r="Z1686">
        <v>9.1129820000000002E-4</v>
      </c>
      <c r="AA1686">
        <v>0.99904230000000005</v>
      </c>
      <c r="AB1686">
        <v>35</v>
      </c>
      <c r="AC1686">
        <v>-29.309000000000001</v>
      </c>
      <c r="AD1686">
        <v>-1.1083706844550001</v>
      </c>
      <c r="AE1686">
        <v>1.22550000000001</v>
      </c>
      <c r="AF1686">
        <v>1.2986471590250701</v>
      </c>
      <c r="AG1686">
        <v>-1.1083706844550001</v>
      </c>
      <c r="AH1686">
        <v>29.263990279077799</v>
      </c>
      <c r="AI1686">
        <v>92.166904535099107</v>
      </c>
      <c r="AJ1686">
        <v>87.459054127728095</v>
      </c>
      <c r="AK1686">
        <v>29.313752695138898</v>
      </c>
      <c r="AL1686">
        <v>86.182207246057203</v>
      </c>
      <c r="AM1686">
        <v>89.683842693292505</v>
      </c>
      <c r="AN1686">
        <v>1.00000005103393</v>
      </c>
    </row>
    <row r="1687" spans="1:40" x14ac:dyDescent="0.25">
      <c r="A1687" t="str">
        <f>"20190312151258997"</f>
        <v>20190312151258997</v>
      </c>
      <c r="B1687" t="str">
        <f>"1552374778991167"</f>
        <v>1552374778991167</v>
      </c>
      <c r="C1687" t="s">
        <v>40</v>
      </c>
      <c r="D1687">
        <v>4.5439920000000003</v>
      </c>
      <c r="E1687">
        <v>0.51627869999999998</v>
      </c>
      <c r="F1687" t="s">
        <v>55</v>
      </c>
      <c r="G1687">
        <v>-282.84930000000003</v>
      </c>
      <c r="H1687" s="1">
        <v>7.4387819999999998E-6</v>
      </c>
      <c r="I1687">
        <v>283.16410000000002</v>
      </c>
      <c r="J1687">
        <v>-254.22149999999999</v>
      </c>
      <c r="K1687">
        <v>1.1083829999999999</v>
      </c>
      <c r="L1687">
        <v>281.91539999999998</v>
      </c>
      <c r="M1687">
        <v>-0.99998869999999895</v>
      </c>
      <c r="N1687">
        <v>0</v>
      </c>
      <c r="O1687">
        <v>-1.7710709999999999E-3</v>
      </c>
      <c r="P1687">
        <v>-0.99804789999999999</v>
      </c>
      <c r="Q1687">
        <v>6.2286019999999997E-2</v>
      </c>
      <c r="R1687">
        <v>4.5842010000000004E-3</v>
      </c>
      <c r="S1687">
        <v>-3.0127259999999998</v>
      </c>
      <c r="T1687">
        <v>-0.1150645</v>
      </c>
      <c r="U1687">
        <v>0.12960819999999901</v>
      </c>
      <c r="V1687">
        <v>6.4576850000000003E-3</v>
      </c>
      <c r="W1687">
        <v>6.6689860000000004E-2</v>
      </c>
      <c r="X1687">
        <v>0.9977528</v>
      </c>
      <c r="Y1687">
        <v>4.4716029999999997E-2</v>
      </c>
      <c r="Z1687">
        <v>9.2079789999999998E-4</v>
      </c>
      <c r="AA1687">
        <v>0.99899930000000003</v>
      </c>
      <c r="AB1687">
        <v>36</v>
      </c>
      <c r="AC1687">
        <v>-28.627800000000001</v>
      </c>
      <c r="AD1687">
        <v>-1.108375561218</v>
      </c>
      <c r="AE1687">
        <v>1.2487000000000399</v>
      </c>
      <c r="AF1687">
        <v>1.2974592197827499</v>
      </c>
      <c r="AG1687">
        <v>-1.108375561218</v>
      </c>
      <c r="AH1687">
        <v>28.5827796822647</v>
      </c>
      <c r="AI1687">
        <v>92.218406036964595</v>
      </c>
      <c r="AJ1687">
        <v>87.400954627593293</v>
      </c>
      <c r="AK1687">
        <v>28.633672331305799</v>
      </c>
      <c r="AL1687">
        <v>86.176114214147901</v>
      </c>
      <c r="AM1687">
        <v>89.629173749571507</v>
      </c>
      <c r="AN1687">
        <v>0.99999994451510699</v>
      </c>
    </row>
    <row r="1688" spans="1:40" x14ac:dyDescent="0.25">
      <c r="A1688" t="str">
        <f>"20190312151259015"</f>
        <v>20190312151259015</v>
      </c>
      <c r="B1688" t="str">
        <f>"1552374779011663"</f>
        <v>1552374779011663</v>
      </c>
      <c r="C1688" t="s">
        <v>40</v>
      </c>
      <c r="D1688">
        <v>4.5475440000000003</v>
      </c>
      <c r="E1688">
        <v>0.51651800000000003</v>
      </c>
      <c r="F1688" t="s">
        <v>55</v>
      </c>
      <c r="G1688">
        <v>-283.05360000000002</v>
      </c>
      <c r="H1688" s="1">
        <v>7.3350619999999997E-6</v>
      </c>
      <c r="I1688">
        <v>283.22770000000003</v>
      </c>
      <c r="J1688">
        <v>-254.51400000000001</v>
      </c>
      <c r="K1688">
        <v>1.1083799999999999</v>
      </c>
      <c r="L1688">
        <v>281.9153</v>
      </c>
      <c r="M1688">
        <v>-0.99998869999999895</v>
      </c>
      <c r="N1688">
        <v>0</v>
      </c>
      <c r="O1688">
        <v>-1.1849E-3</v>
      </c>
      <c r="P1688">
        <v>-0.99809239999999999</v>
      </c>
      <c r="Q1688">
        <v>6.145635E-2</v>
      </c>
      <c r="R1688">
        <v>5.8897929999999999E-3</v>
      </c>
      <c r="S1688">
        <v>-3.012451</v>
      </c>
      <c r="T1688">
        <v>-0.1158061</v>
      </c>
      <c r="U1688">
        <v>0.1371155</v>
      </c>
      <c r="V1688">
        <v>7.1788199999999998E-3</v>
      </c>
      <c r="W1688">
        <v>6.6035650000000001E-2</v>
      </c>
      <c r="X1688">
        <v>0.99779150000000005</v>
      </c>
      <c r="Y1688">
        <v>4.6617600000000002E-2</v>
      </c>
      <c r="Z1688">
        <v>9.4076529999999998E-4</v>
      </c>
      <c r="AA1688">
        <v>0.99891240000000003</v>
      </c>
      <c r="AB1688">
        <v>36</v>
      </c>
      <c r="AC1688">
        <v>-28.5396</v>
      </c>
      <c r="AD1688">
        <v>-1.1083726649379999</v>
      </c>
      <c r="AE1688">
        <v>1.31240000000002</v>
      </c>
      <c r="AF1688">
        <v>1.3441928965940699</v>
      </c>
      <c r="AG1688">
        <v>-1.1083726649379999</v>
      </c>
      <c r="AH1688">
        <v>28.495137536954399</v>
      </c>
      <c r="AI1688">
        <v>92.225033799654497</v>
      </c>
      <c r="AJ1688">
        <v>87.299204874712302</v>
      </c>
      <c r="AK1688">
        <v>28.548348599482701</v>
      </c>
      <c r="AL1688">
        <v>86.213680939260698</v>
      </c>
      <c r="AM1688">
        <v>89.587780622501</v>
      </c>
      <c r="AN1688">
        <v>1.00000005999988</v>
      </c>
    </row>
    <row r="1689" spans="1:40" x14ac:dyDescent="0.25">
      <c r="A1689" t="str">
        <f>"20190312151259037"</f>
        <v>20190312151259037</v>
      </c>
      <c r="B1689" t="str">
        <f>"1552374779031184"</f>
        <v>1552374779031184</v>
      </c>
      <c r="C1689" t="s">
        <v>40</v>
      </c>
      <c r="D1689">
        <v>4.4954839999999896</v>
      </c>
      <c r="E1689">
        <v>0.51666859999999903</v>
      </c>
      <c r="F1689" t="s">
        <v>55</v>
      </c>
      <c r="G1689">
        <v>-282.76990000000001</v>
      </c>
      <c r="H1689" s="1">
        <v>7.4551469999999901E-6</v>
      </c>
      <c r="I1689">
        <v>283.25540000000001</v>
      </c>
      <c r="J1689">
        <v>-254.86500000000001</v>
      </c>
      <c r="K1689">
        <v>1.1083559999999999</v>
      </c>
      <c r="L1689">
        <v>281.91559999999998</v>
      </c>
      <c r="M1689">
        <v>-0.99998849999999995</v>
      </c>
      <c r="N1689">
        <v>0</v>
      </c>
      <c r="O1689">
        <v>-4.7752200000000003E-4</v>
      </c>
      <c r="P1689">
        <v>-0.99813459999999998</v>
      </c>
      <c r="Q1689">
        <v>6.0638379999999999E-2</v>
      </c>
      <c r="R1689">
        <v>7.1238999999999903E-3</v>
      </c>
      <c r="S1689">
        <v>-3.0121609999999999</v>
      </c>
      <c r="T1689">
        <v>-0.11815580000000001</v>
      </c>
      <c r="U1689">
        <v>0.142852799999999</v>
      </c>
      <c r="V1689">
        <v>7.708683E-3</v>
      </c>
      <c r="W1689">
        <v>6.5412819999999997E-2</v>
      </c>
      <c r="X1689">
        <v>0.99782850000000001</v>
      </c>
      <c r="Y1689">
        <v>4.7812029999999998E-2</v>
      </c>
      <c r="Z1689">
        <v>9.555713E-4</v>
      </c>
      <c r="AA1689">
        <v>0.99885590000000002</v>
      </c>
      <c r="AB1689">
        <v>36</v>
      </c>
      <c r="AC1689">
        <v>-27.904900000000001</v>
      </c>
      <c r="AD1689">
        <v>-1.1083485448529999</v>
      </c>
      <c r="AE1689">
        <v>1.3398000000000201</v>
      </c>
      <c r="AF1689">
        <v>1.3509987940030299</v>
      </c>
      <c r="AG1689">
        <v>-1.1083485448529999</v>
      </c>
      <c r="AH1689">
        <v>27.860406057158499</v>
      </c>
      <c r="AI1689">
        <v>92.275480513619897</v>
      </c>
      <c r="AJ1689">
        <v>87.223804208244999</v>
      </c>
      <c r="AK1689">
        <v>27.9151546638744</v>
      </c>
      <c r="AL1689">
        <v>86.249443523600803</v>
      </c>
      <c r="AM1689">
        <v>89.557372619612195</v>
      </c>
      <c r="AN1689">
        <v>0.99999998811309798</v>
      </c>
    </row>
    <row r="1690" spans="1:40" x14ac:dyDescent="0.25">
      <c r="A1690" t="str">
        <f>"20190312151259060"</f>
        <v>20190312151259060</v>
      </c>
      <c r="B1690" t="str">
        <f>"1552374779051679"</f>
        <v>1552374779051679</v>
      </c>
      <c r="C1690" t="s">
        <v>40</v>
      </c>
      <c r="D1690">
        <v>4.4853639999999997</v>
      </c>
      <c r="E1690">
        <v>0.51680789999999999</v>
      </c>
      <c r="F1690" t="s">
        <v>55</v>
      </c>
      <c r="G1690">
        <v>-282.53539999999998</v>
      </c>
      <c r="H1690" s="1">
        <v>7.5559159999999902E-6</v>
      </c>
      <c r="I1690">
        <v>283.27089999999998</v>
      </c>
      <c r="J1690">
        <v>-255.24010000000001</v>
      </c>
      <c r="K1690">
        <v>1.108331</v>
      </c>
      <c r="L1690">
        <v>281.916</v>
      </c>
      <c r="M1690">
        <v>-0.99998770000000003</v>
      </c>
      <c r="N1690">
        <v>0</v>
      </c>
      <c r="O1690">
        <v>2.8791720000000002E-4</v>
      </c>
      <c r="P1690">
        <v>-0.99818030000000002</v>
      </c>
      <c r="Q1690">
        <v>5.9728129999999997E-2</v>
      </c>
      <c r="R1690">
        <v>8.3089129999999994E-3</v>
      </c>
      <c r="S1690">
        <v>-3.0118559999999999</v>
      </c>
      <c r="T1690">
        <v>-0.1206411</v>
      </c>
      <c r="U1690">
        <v>0.14752199999999999</v>
      </c>
      <c r="V1690">
        <v>8.1310759999999992E-3</v>
      </c>
      <c r="W1690">
        <v>6.4690979999999995E-2</v>
      </c>
      <c r="X1690">
        <v>0.99787219999999999</v>
      </c>
      <c r="Y1690">
        <v>4.8595550000000001E-2</v>
      </c>
      <c r="Z1690">
        <v>9.6076379999999995E-4</v>
      </c>
      <c r="AA1690">
        <v>0.99881810000000004</v>
      </c>
      <c r="AB1690">
        <v>36</v>
      </c>
      <c r="AC1690">
        <v>-27.295299999999902</v>
      </c>
      <c r="AD1690">
        <v>-1.108323444084</v>
      </c>
      <c r="AE1690">
        <v>1.35489999999998</v>
      </c>
      <c r="AF1690">
        <v>1.3448292112656399</v>
      </c>
      <c r="AG1690">
        <v>-1.108323444084</v>
      </c>
      <c r="AH1690">
        <v>27.250869279610601</v>
      </c>
      <c r="AI1690">
        <v>92.326172308730506</v>
      </c>
      <c r="AJ1690">
        <v>87.174747847363506</v>
      </c>
      <c r="AK1690">
        <v>27.306534436991502</v>
      </c>
      <c r="AL1690">
        <v>86.290889677205499</v>
      </c>
      <c r="AM1690">
        <v>89.533140589311699</v>
      </c>
      <c r="AN1690">
        <v>0.99999998241155796</v>
      </c>
    </row>
    <row r="1691" spans="1:40" x14ac:dyDescent="0.25">
      <c r="A1691" t="str">
        <f>"20190312151259082"</f>
        <v>20190312151259082</v>
      </c>
      <c r="B1691" t="str">
        <f>"1552374779071199"</f>
        <v>1552374779071199</v>
      </c>
      <c r="C1691" t="s">
        <v>40</v>
      </c>
      <c r="D1691">
        <v>6.001754</v>
      </c>
      <c r="E1691">
        <v>0.51694849999999903</v>
      </c>
      <c r="F1691" t="s">
        <v>55</v>
      </c>
      <c r="G1691">
        <v>-282.31049999999999</v>
      </c>
      <c r="H1691" s="1">
        <v>7.6532410000000003E-6</v>
      </c>
      <c r="I1691">
        <v>283.28269999999998</v>
      </c>
      <c r="J1691">
        <v>-255.60570000000001</v>
      </c>
      <c r="K1691">
        <v>1.1083000000000001</v>
      </c>
      <c r="L1691">
        <v>281.91680000000002</v>
      </c>
      <c r="M1691">
        <v>-0.99998629999999999</v>
      </c>
      <c r="N1691">
        <v>0</v>
      </c>
      <c r="O1691">
        <v>1.047788E-3</v>
      </c>
      <c r="P1691">
        <v>-0.99822549999999999</v>
      </c>
      <c r="Q1691">
        <v>5.8803679999999997E-2</v>
      </c>
      <c r="R1691">
        <v>9.399325E-3</v>
      </c>
      <c r="S1691">
        <v>-3.0115970000000001</v>
      </c>
      <c r="T1691">
        <v>-0.12330199999999999</v>
      </c>
      <c r="U1691">
        <v>0.1520386</v>
      </c>
      <c r="V1691">
        <v>8.4643949999999996E-3</v>
      </c>
      <c r="W1691">
        <v>6.393153E-2</v>
      </c>
      <c r="X1691">
        <v>0.99791839999999998</v>
      </c>
      <c r="Y1691">
        <v>4.933332E-2</v>
      </c>
      <c r="Z1691">
        <v>9.6599360000000005E-4</v>
      </c>
      <c r="AA1691">
        <v>0.9987819</v>
      </c>
      <c r="AB1691">
        <v>36</v>
      </c>
      <c r="AC1691">
        <v>-26.704799999999899</v>
      </c>
      <c r="AD1691">
        <v>-1.108292346759</v>
      </c>
      <c r="AE1691">
        <v>1.3658999999999499</v>
      </c>
      <c r="AF1691">
        <v>1.33562345920112</v>
      </c>
      <c r="AG1691">
        <v>-1.108292346759</v>
      </c>
      <c r="AH1691">
        <v>26.660416872560599</v>
      </c>
      <c r="AI1691">
        <v>92.377477220585604</v>
      </c>
      <c r="AJ1691">
        <v>87.132015480192393</v>
      </c>
      <c r="AK1691">
        <v>26.716849173683801</v>
      </c>
      <c r="AL1691">
        <v>86.334493323460904</v>
      </c>
      <c r="AM1691">
        <v>89.514025916733203</v>
      </c>
      <c r="AN1691">
        <v>1.0000000097846999</v>
      </c>
    </row>
    <row r="1692" spans="1:40" x14ac:dyDescent="0.25">
      <c r="A1692" t="str">
        <f>"20190312151259104"</f>
        <v>20190312151259104</v>
      </c>
      <c r="B1692" t="str">
        <f>"1552374779101963"</f>
        <v>1552374779101963</v>
      </c>
      <c r="C1692" t="s">
        <v>40</v>
      </c>
      <c r="D1692">
        <v>4.42659</v>
      </c>
      <c r="E1692">
        <v>0.51712570000000002</v>
      </c>
      <c r="F1692" t="s">
        <v>55</v>
      </c>
      <c r="G1692">
        <v>-282.2817</v>
      </c>
      <c r="H1692" s="1">
        <v>7.6614960000000001E-6</v>
      </c>
      <c r="I1692">
        <v>283.30450000000002</v>
      </c>
      <c r="J1692">
        <v>-255.95349999999999</v>
      </c>
      <c r="K1692">
        <v>1.1082749999999999</v>
      </c>
      <c r="L1692">
        <v>281.9178</v>
      </c>
      <c r="M1692">
        <v>-0.9999844</v>
      </c>
      <c r="N1692">
        <v>0</v>
      </c>
      <c r="O1692">
        <v>1.7885640000000001E-3</v>
      </c>
      <c r="P1692">
        <v>-0.99826809999999999</v>
      </c>
      <c r="Q1692">
        <v>5.7830699999999999E-2</v>
      </c>
      <c r="R1692">
        <v>1.0796210000000001E-2</v>
      </c>
      <c r="S1692">
        <v>-3.0112000000000001</v>
      </c>
      <c r="T1692">
        <v>-0.12510470000000001</v>
      </c>
      <c r="U1692">
        <v>0.1566467</v>
      </c>
      <c r="V1692">
        <v>9.1233189999999995E-3</v>
      </c>
      <c r="W1692">
        <v>6.3099240000000001E-2</v>
      </c>
      <c r="X1692">
        <v>0.99796560000000001</v>
      </c>
      <c r="Y1692">
        <v>5.0123279999999999E-2</v>
      </c>
      <c r="Z1692">
        <v>9.6584429999999998E-4</v>
      </c>
      <c r="AA1692">
        <v>0.99874260000000004</v>
      </c>
      <c r="AB1692">
        <v>36</v>
      </c>
      <c r="AC1692">
        <v>-26.328199999999999</v>
      </c>
      <c r="AD1692">
        <v>-1.1082673385039901</v>
      </c>
      <c r="AE1692">
        <v>1.38670000000001</v>
      </c>
      <c r="AF1692">
        <v>1.33724450242659</v>
      </c>
      <c r="AG1692">
        <v>-1.1082673385039901</v>
      </c>
      <c r="AH1692">
        <v>26.284193198016801</v>
      </c>
      <c r="AI1692">
        <v>92.411318986335402</v>
      </c>
      <c r="AJ1692">
        <v>87.087509534374703</v>
      </c>
      <c r="AK1692">
        <v>26.341512701884401</v>
      </c>
      <c r="AL1692">
        <v>86.382276633312998</v>
      </c>
      <c r="AM1692">
        <v>89.476221312317193</v>
      </c>
      <c r="AN1692">
        <v>1.0000000439107499</v>
      </c>
    </row>
    <row r="1693" spans="1:40" x14ac:dyDescent="0.25">
      <c r="A1693" t="str">
        <f>"20190312151259127"</f>
        <v>20190312151259127</v>
      </c>
      <c r="B1693" t="str">
        <f>"1552374779121484"</f>
        <v>1552374779121484</v>
      </c>
      <c r="C1693" t="s">
        <v>40</v>
      </c>
      <c r="D1693">
        <v>4.414447</v>
      </c>
      <c r="E1693">
        <v>0.51724179999999997</v>
      </c>
      <c r="F1693" t="s">
        <v>55</v>
      </c>
      <c r="G1693">
        <v>-282.6123</v>
      </c>
      <c r="H1693" s="1">
        <v>7.5047929999999997E-6</v>
      </c>
      <c r="I1693">
        <v>283.35320000000002</v>
      </c>
      <c r="J1693">
        <v>-256.32</v>
      </c>
      <c r="K1693">
        <v>1.1082369999999999</v>
      </c>
      <c r="L1693">
        <v>281.91919999999999</v>
      </c>
      <c r="M1693">
        <v>-0.99998189999999998</v>
      </c>
      <c r="N1693">
        <v>0</v>
      </c>
      <c r="O1693">
        <v>2.592188E-3</v>
      </c>
      <c r="P1693">
        <v>-0.9982647</v>
      </c>
      <c r="Q1693">
        <v>5.7709400000000001E-2</v>
      </c>
      <c r="R1693">
        <v>1.1706680000000001E-2</v>
      </c>
      <c r="S1693">
        <v>-3.0107119999999998</v>
      </c>
      <c r="T1693">
        <v>-0.125162</v>
      </c>
      <c r="U1693">
        <v>0.16210939999999999</v>
      </c>
      <c r="V1693">
        <v>9.2348910000000003E-3</v>
      </c>
      <c r="W1693">
        <v>6.3109700000000005E-2</v>
      </c>
      <c r="X1693">
        <v>0.99796379999999996</v>
      </c>
      <c r="Y1693">
        <v>5.1135859999999998E-2</v>
      </c>
      <c r="Z1693">
        <v>9.540509E-4</v>
      </c>
      <c r="AA1693">
        <v>0.99869129999999995</v>
      </c>
      <c r="AB1693">
        <v>36</v>
      </c>
      <c r="AC1693">
        <v>-26.292300000000001</v>
      </c>
      <c r="AD1693">
        <v>-1.108229495207</v>
      </c>
      <c r="AE1693">
        <v>1.4340000000000199</v>
      </c>
      <c r="AF1693">
        <v>1.3634244470192001</v>
      </c>
      <c r="AG1693">
        <v>-1.108229495207</v>
      </c>
      <c r="AH1693">
        <v>26.249431139504399</v>
      </c>
      <c r="AI1693">
        <v>92.414294515491406</v>
      </c>
      <c r="AJ1693">
        <v>87.026665903327896</v>
      </c>
      <c r="AK1693">
        <v>26.308168579062301</v>
      </c>
      <c r="AL1693">
        <v>86.381675716351594</v>
      </c>
      <c r="AM1693">
        <v>89.469815261632107</v>
      </c>
      <c r="AN1693">
        <v>0.99999993177815305</v>
      </c>
    </row>
    <row r="1694" spans="1:40" x14ac:dyDescent="0.25">
      <c r="A1694" t="str">
        <f>"20190312151259148"</f>
        <v>20190312151259148</v>
      </c>
      <c r="B1694" t="str">
        <f>"1552374779141980"</f>
        <v>1552374779141980</v>
      </c>
      <c r="C1694" t="s">
        <v>40</v>
      </c>
      <c r="D1694">
        <v>4.3873870000000004</v>
      </c>
      <c r="E1694">
        <v>0.51731689999999997</v>
      </c>
      <c r="F1694" t="s">
        <v>55</v>
      </c>
      <c r="G1694">
        <v>-283.12049999999999</v>
      </c>
      <c r="H1694" s="1">
        <v>7.2699139999999996E-6</v>
      </c>
      <c r="I1694">
        <v>283.39929999999998</v>
      </c>
      <c r="J1694">
        <v>-256.66890000000001</v>
      </c>
      <c r="K1694">
        <v>1.108204</v>
      </c>
      <c r="L1694">
        <v>281.92070000000001</v>
      </c>
      <c r="M1694">
        <v>-0.99997899999999995</v>
      </c>
      <c r="N1694">
        <v>0</v>
      </c>
      <c r="O1694">
        <v>3.3789190000000002E-3</v>
      </c>
      <c r="P1694">
        <v>-0.99828589999999995</v>
      </c>
      <c r="Q1694">
        <v>5.705491E-2</v>
      </c>
      <c r="R1694">
        <v>1.304948E-2</v>
      </c>
      <c r="S1694">
        <v>-3.0104980000000001</v>
      </c>
      <c r="T1694">
        <v>-0.1244873</v>
      </c>
      <c r="U1694">
        <v>0.16625980000000001</v>
      </c>
      <c r="V1694">
        <v>9.7948459999999994E-3</v>
      </c>
      <c r="W1694">
        <v>6.2566689999999994E-2</v>
      </c>
      <c r="X1694">
        <v>0.99799269999999995</v>
      </c>
      <c r="Y1694">
        <v>5.1727309999999999E-2</v>
      </c>
      <c r="Z1694">
        <v>9.2866499999999996E-4</v>
      </c>
      <c r="AA1694">
        <v>0.99866080000000002</v>
      </c>
      <c r="AB1694">
        <v>36</v>
      </c>
      <c r="AC1694">
        <v>-26.4515999999999</v>
      </c>
      <c r="AD1694">
        <v>-1.1081967300860001</v>
      </c>
      <c r="AE1694">
        <v>1.4785999999999699</v>
      </c>
      <c r="AF1694">
        <v>1.3867858558681401</v>
      </c>
      <c r="AG1694">
        <v>-1.1081967300860001</v>
      </c>
      <c r="AH1694">
        <v>26.410233946445398</v>
      </c>
      <c r="AI1694">
        <v>92.3994701416308</v>
      </c>
      <c r="AJ1694">
        <v>86.994192853762897</v>
      </c>
      <c r="AK1694">
        <v>26.469826824302899</v>
      </c>
      <c r="AL1694">
        <v>86.412849679337995</v>
      </c>
      <c r="AM1694">
        <v>89.437685948547596</v>
      </c>
      <c r="AN1694">
        <v>0.99999997947950403</v>
      </c>
    </row>
    <row r="1695" spans="1:40" x14ac:dyDescent="0.25">
      <c r="A1695" t="str">
        <f>"20190312151259183"</f>
        <v>20190312151259183</v>
      </c>
      <c r="B1695" t="str">
        <f>"1552374779171261"</f>
        <v>1552374779171261</v>
      </c>
      <c r="C1695" t="s">
        <v>40</v>
      </c>
      <c r="D1695">
        <v>4.3662739999999998</v>
      </c>
      <c r="E1695">
        <v>0.51745859999999899</v>
      </c>
      <c r="F1695" t="s">
        <v>55</v>
      </c>
      <c r="G1695">
        <v>-283.18450000000001</v>
      </c>
      <c r="H1695" s="1">
        <v>7.2359789999999999E-6</v>
      </c>
      <c r="I1695">
        <v>283.42619999999999</v>
      </c>
      <c r="J1695">
        <v>-257.24250000000001</v>
      </c>
      <c r="K1695">
        <v>1.1081529999999999</v>
      </c>
      <c r="L1695">
        <v>281.92399999999998</v>
      </c>
      <c r="M1695">
        <v>-0.99997270000000005</v>
      </c>
      <c r="N1695">
        <v>0</v>
      </c>
      <c r="O1695">
        <v>4.7070549999999999E-3</v>
      </c>
      <c r="P1695">
        <v>-0.9982898</v>
      </c>
      <c r="Q1695">
        <v>5.6377610000000002E-2</v>
      </c>
      <c r="R1695">
        <v>1.545006E-2</v>
      </c>
      <c r="S1695">
        <v>-3.0101010000000001</v>
      </c>
      <c r="T1695">
        <v>-0.12580430000000001</v>
      </c>
      <c r="U1695">
        <v>0.17089840000000001</v>
      </c>
      <c r="V1695">
        <v>1.087336E-2</v>
      </c>
      <c r="W1695">
        <v>6.2047480000000002E-2</v>
      </c>
      <c r="X1695">
        <v>0.99801399999999996</v>
      </c>
      <c r="Y1695">
        <v>5.1942410000000001E-2</v>
      </c>
      <c r="Z1695">
        <v>8.8761729999999896E-4</v>
      </c>
      <c r="AA1695">
        <v>0.99864969999999997</v>
      </c>
      <c r="AB1695">
        <v>36</v>
      </c>
      <c r="AC1695">
        <v>-25.942</v>
      </c>
      <c r="AD1695">
        <v>-1.108145764021</v>
      </c>
      <c r="AE1695">
        <v>1.50219999999995</v>
      </c>
      <c r="AF1695">
        <v>1.3775657387646001</v>
      </c>
      <c r="AG1695">
        <v>-1.108145764021</v>
      </c>
      <c r="AH1695">
        <v>25.9016793043753</v>
      </c>
      <c r="AI1695">
        <v>92.446325446505895</v>
      </c>
      <c r="AJ1695">
        <v>86.955625572618004</v>
      </c>
      <c r="AK1695">
        <v>25.961946482990001</v>
      </c>
      <c r="AL1695">
        <v>86.442656322085398</v>
      </c>
      <c r="AM1695">
        <v>89.375787324886602</v>
      </c>
      <c r="AN1695">
        <v>1.0000000319640101</v>
      </c>
    </row>
    <row r="1696" spans="1:40" x14ac:dyDescent="0.25">
      <c r="A1696" t="str">
        <f>"20190312151259205"</f>
        <v>20190312151259205</v>
      </c>
      <c r="B1696" t="str">
        <f>"1552374779201516"</f>
        <v>1552374779201516</v>
      </c>
      <c r="C1696" t="s">
        <v>40</v>
      </c>
      <c r="D1696">
        <v>4.3898519999999897</v>
      </c>
      <c r="E1696">
        <v>0.51758870000000001</v>
      </c>
      <c r="F1696" t="s">
        <v>55</v>
      </c>
      <c r="G1696">
        <v>-283.34710000000001</v>
      </c>
      <c r="H1696" s="1">
        <v>7.1534729999999997E-6</v>
      </c>
      <c r="I1696">
        <v>283.47640000000001</v>
      </c>
      <c r="J1696">
        <v>-257.60180000000003</v>
      </c>
      <c r="K1696">
        <v>1.1081259999999999</v>
      </c>
      <c r="L1696">
        <v>281.92630000000003</v>
      </c>
      <c r="M1696">
        <v>-0.99996790000000002</v>
      </c>
      <c r="N1696">
        <v>0</v>
      </c>
      <c r="O1696">
        <v>5.5571070000000004E-3</v>
      </c>
      <c r="P1696">
        <v>-0.99829509999999999</v>
      </c>
      <c r="Q1696">
        <v>5.5850219999999999E-2</v>
      </c>
      <c r="R1696">
        <v>1.6971030000000002E-2</v>
      </c>
      <c r="S1696">
        <v>-3.0095830000000001</v>
      </c>
      <c r="T1696">
        <v>-0.12775710000000001</v>
      </c>
      <c r="U1696">
        <v>0.17898559999999999</v>
      </c>
      <c r="V1696">
        <v>1.1547730000000001E-2</v>
      </c>
      <c r="W1696">
        <v>6.160583E-2</v>
      </c>
      <c r="X1696">
        <v>0.99803379999999997</v>
      </c>
      <c r="Y1696">
        <v>5.3775419999999997E-2</v>
      </c>
      <c r="Z1696">
        <v>9.0428760000000003E-4</v>
      </c>
      <c r="AA1696">
        <v>0.99855260000000001</v>
      </c>
      <c r="AB1696">
        <v>37</v>
      </c>
      <c r="AC1696">
        <v>-25.745299999999901</v>
      </c>
      <c r="AD1696">
        <v>-1.108118846527</v>
      </c>
      <c r="AE1696">
        <v>1.55009999999998</v>
      </c>
      <c r="AF1696">
        <v>1.4044119076299499</v>
      </c>
      <c r="AG1696">
        <v>-1.108118846527</v>
      </c>
      <c r="AH1696">
        <v>25.7060661651701</v>
      </c>
      <c r="AI1696">
        <v>92.464666608282002</v>
      </c>
      <c r="AJ1696">
        <v>86.872840911578095</v>
      </c>
      <c r="AK1696">
        <v>25.768238936187</v>
      </c>
      <c r="AL1696">
        <v>86.468009559324699</v>
      </c>
      <c r="AM1696">
        <v>89.337089917604501</v>
      </c>
      <c r="AN1696">
        <v>1.0000000471502799</v>
      </c>
    </row>
    <row r="1697" spans="1:40" x14ac:dyDescent="0.25">
      <c r="A1697" t="str">
        <f>"20190312151259226"</f>
        <v>20190312151259226</v>
      </c>
      <c r="B1697" t="str">
        <f>"1552374779222012"</f>
        <v>1552374779222012</v>
      </c>
      <c r="C1697" t="s">
        <v>40</v>
      </c>
      <c r="D1697">
        <v>4.3633439999999997</v>
      </c>
      <c r="E1697">
        <v>0.51764549999999998</v>
      </c>
      <c r="F1697" t="s">
        <v>55</v>
      </c>
      <c r="G1697">
        <v>-283.9907</v>
      </c>
      <c r="H1697" s="1">
        <v>6.8538149999999997E-6</v>
      </c>
      <c r="I1697">
        <v>283.5455</v>
      </c>
      <c r="J1697">
        <v>-257.9504</v>
      </c>
      <c r="K1697">
        <v>1.108104</v>
      </c>
      <c r="L1697">
        <v>281.92899999999997</v>
      </c>
      <c r="M1697">
        <v>-0.99996240000000003</v>
      </c>
      <c r="N1697">
        <v>0</v>
      </c>
      <c r="O1697">
        <v>6.3916040000000004E-3</v>
      </c>
      <c r="P1697">
        <v>-0.99831349999999996</v>
      </c>
      <c r="Q1697">
        <v>5.5081560000000002E-2</v>
      </c>
      <c r="R1697">
        <v>1.8345630000000002E-2</v>
      </c>
      <c r="S1697">
        <v>-3.009064</v>
      </c>
      <c r="T1697">
        <v>-0.1263562</v>
      </c>
      <c r="U1697">
        <v>0.1846313</v>
      </c>
      <c r="V1697">
        <v>1.208974E-2</v>
      </c>
      <c r="W1697">
        <v>6.0911899999999998E-2</v>
      </c>
      <c r="X1697">
        <v>0.99806989999999995</v>
      </c>
      <c r="Y1697">
        <v>5.481975E-2</v>
      </c>
      <c r="Z1697">
        <v>8.8139009999999897E-4</v>
      </c>
      <c r="AA1697">
        <v>0.99849589999999999</v>
      </c>
      <c r="AB1697">
        <v>37</v>
      </c>
      <c r="AC1697">
        <v>-26.040299999999998</v>
      </c>
      <c r="AD1697">
        <v>-1.108097146185</v>
      </c>
      <c r="AE1697">
        <v>1.6164999999999701</v>
      </c>
      <c r="AF1697">
        <v>1.4474139602553999</v>
      </c>
      <c r="AG1697">
        <v>-1.108097146185</v>
      </c>
      <c r="AH1697">
        <v>26.003195174322599</v>
      </c>
      <c r="AI1697">
        <v>92.436352508391195</v>
      </c>
      <c r="AJ1697">
        <v>86.814036902958506</v>
      </c>
      <c r="AK1697">
        <v>26.067010678856899</v>
      </c>
      <c r="AL1697">
        <v>86.507843372306198</v>
      </c>
      <c r="AM1697">
        <v>89.306003315588001</v>
      </c>
      <c r="AN1697">
        <v>0.99999997333044299</v>
      </c>
    </row>
    <row r="1698" spans="1:40" x14ac:dyDescent="0.25">
      <c r="A1698" t="str">
        <f>"20190312151259249"</f>
        <v>20190312151259249</v>
      </c>
      <c r="B1698" t="str">
        <f>"1552374779241532"</f>
        <v>1552374779241532</v>
      </c>
      <c r="C1698" t="s">
        <v>40</v>
      </c>
      <c r="D1698">
        <v>4.3305800000000003</v>
      </c>
      <c r="E1698">
        <v>0.51734159999999996</v>
      </c>
      <c r="F1698" t="s">
        <v>55</v>
      </c>
      <c r="G1698">
        <v>-284.24599999999998</v>
      </c>
      <c r="H1698" s="1">
        <v>6.7324610000000003E-6</v>
      </c>
      <c r="I1698">
        <v>283.58479999999997</v>
      </c>
      <c r="J1698">
        <v>-258.32670000000002</v>
      </c>
      <c r="K1698">
        <v>1.1080859999999999</v>
      </c>
      <c r="L1698">
        <v>281.93220000000002</v>
      </c>
      <c r="M1698">
        <v>-0.99995579999999995</v>
      </c>
      <c r="N1698">
        <v>0</v>
      </c>
      <c r="O1698">
        <v>7.298756E-3</v>
      </c>
      <c r="P1698">
        <v>-0.99831190000000003</v>
      </c>
      <c r="Q1698">
        <v>5.4606740000000001E-2</v>
      </c>
      <c r="R1698">
        <v>1.9785299999999999E-2</v>
      </c>
      <c r="S1698">
        <v>-3.008575</v>
      </c>
      <c r="T1698">
        <v>-0.12678159999999999</v>
      </c>
      <c r="U1698">
        <v>0.18945310000000001</v>
      </c>
      <c r="V1698">
        <v>1.262454E-2</v>
      </c>
      <c r="W1698">
        <v>6.0508770000000003E-2</v>
      </c>
      <c r="X1698">
        <v>0.99808779999999997</v>
      </c>
      <c r="Y1698">
        <v>5.5517820000000002E-2</v>
      </c>
      <c r="Z1698">
        <v>8.6097259999999998E-4</v>
      </c>
      <c r="AA1698">
        <v>0.99845729999999999</v>
      </c>
      <c r="AB1698">
        <v>37</v>
      </c>
      <c r="AC1698">
        <v>-25.9192999999999</v>
      </c>
      <c r="AD1698">
        <v>-1.1080792675390001</v>
      </c>
      <c r="AE1698">
        <v>1.6525999999999501</v>
      </c>
      <c r="AF1698">
        <v>1.46071513049704</v>
      </c>
      <c r="AG1698">
        <v>-1.1080792675390001</v>
      </c>
      <c r="AH1698">
        <v>25.883556941688202</v>
      </c>
      <c r="AI1698">
        <v>92.447455311412895</v>
      </c>
      <c r="AJ1698">
        <v>86.769990571945897</v>
      </c>
      <c r="AK1698">
        <v>25.948411286805801</v>
      </c>
      <c r="AL1698">
        <v>86.530983704907399</v>
      </c>
      <c r="AM1698">
        <v>89.275319978277594</v>
      </c>
      <c r="AN1698">
        <v>0.99999997338298097</v>
      </c>
    </row>
    <row r="1699" spans="1:40" x14ac:dyDescent="0.25">
      <c r="A1699" t="str">
        <f>"20190312151259271"</f>
        <v>20190312151259271</v>
      </c>
      <c r="B1699" t="str">
        <f>"1552374779262028"</f>
        <v>1552374779262028</v>
      </c>
      <c r="C1699" t="s">
        <v>40</v>
      </c>
      <c r="D1699">
        <v>4.4426269999999999</v>
      </c>
      <c r="E1699">
        <v>0.51711320000000005</v>
      </c>
      <c r="F1699" t="s">
        <v>55</v>
      </c>
      <c r="G1699">
        <v>-284.53129999999999</v>
      </c>
      <c r="H1699" s="1">
        <v>6.6032459999999997E-6</v>
      </c>
      <c r="I1699">
        <v>283.59789999999998</v>
      </c>
      <c r="J1699">
        <v>-258.70409999999998</v>
      </c>
      <c r="K1699">
        <v>1.1080730000000001</v>
      </c>
      <c r="L1699">
        <v>281.9357</v>
      </c>
      <c r="M1699">
        <v>-0.99994839999999996</v>
      </c>
      <c r="N1699">
        <v>0</v>
      </c>
      <c r="O1699">
        <v>8.2116930000000008E-3</v>
      </c>
      <c r="P1699">
        <v>-0.99833139999999998</v>
      </c>
      <c r="Q1699">
        <v>5.3841680000000003E-2</v>
      </c>
      <c r="R1699">
        <v>2.0880329999999999E-2</v>
      </c>
      <c r="S1699">
        <v>-3.0082399999999998</v>
      </c>
      <c r="T1699">
        <v>-0.1272056</v>
      </c>
      <c r="U1699">
        <v>0.19122310000000001</v>
      </c>
      <c r="V1699">
        <v>1.2808E-2</v>
      </c>
      <c r="W1699">
        <v>5.9809090000000002E-2</v>
      </c>
      <c r="X1699">
        <v>0.9981276</v>
      </c>
      <c r="Y1699">
        <v>5.519918E-2</v>
      </c>
      <c r="Z1699">
        <v>8.1865949999999996E-4</v>
      </c>
      <c r="AA1699">
        <v>0.998475</v>
      </c>
      <c r="AB1699">
        <v>37</v>
      </c>
      <c r="AC1699">
        <v>-25.827200000000001</v>
      </c>
      <c r="AD1699">
        <v>-1.1080663967540001</v>
      </c>
      <c r="AE1699">
        <v>1.6621999999999799</v>
      </c>
      <c r="AF1699">
        <v>1.4474019184869999</v>
      </c>
      <c r="AG1699">
        <v>-1.1080663967540001</v>
      </c>
      <c r="AH1699">
        <v>25.7926987664313</v>
      </c>
      <c r="AI1699">
        <v>92.456081435294905</v>
      </c>
      <c r="AJ1699">
        <v>86.788116871615202</v>
      </c>
      <c r="AK1699">
        <v>25.857031792321401</v>
      </c>
      <c r="AL1699">
        <v>86.571145039736294</v>
      </c>
      <c r="AM1699">
        <v>89.264819378313703</v>
      </c>
      <c r="AN1699">
        <v>0.99999993899619199</v>
      </c>
    </row>
    <row r="1700" spans="1:40" x14ac:dyDescent="0.25">
      <c r="A1700" t="str">
        <f>"20190312151259294"</f>
        <v>20190312151259294</v>
      </c>
      <c r="B1700" t="str">
        <f>"1552374779291307"</f>
        <v>1552374779291307</v>
      </c>
      <c r="C1700" t="s">
        <v>40</v>
      </c>
      <c r="D1700">
        <v>4.3919249999999996</v>
      </c>
      <c r="E1700">
        <v>0.48828480000000002</v>
      </c>
      <c r="F1700" t="s">
        <v>55</v>
      </c>
      <c r="G1700">
        <v>-284.55549999999999</v>
      </c>
      <c r="H1700" s="1">
        <v>6.5939179999999997E-6</v>
      </c>
      <c r="I1700">
        <v>283.59120000000001</v>
      </c>
      <c r="J1700">
        <v>-259.06659999999999</v>
      </c>
      <c r="K1700">
        <v>1.108055</v>
      </c>
      <c r="L1700">
        <v>281.93939999999998</v>
      </c>
      <c r="M1700">
        <v>-0.9999403</v>
      </c>
      <c r="N1700">
        <v>0</v>
      </c>
      <c r="O1700">
        <v>9.0903670000000002E-3</v>
      </c>
      <c r="P1700">
        <v>-0.99834199999999995</v>
      </c>
      <c r="Q1700">
        <v>5.3517540000000002E-2</v>
      </c>
      <c r="R1700">
        <v>2.119561E-2</v>
      </c>
      <c r="S1700">
        <v>-3.0079039999999999</v>
      </c>
      <c r="T1700">
        <v>-0.12892770000000001</v>
      </c>
      <c r="U1700">
        <v>0.19262699999999999</v>
      </c>
      <c r="V1700">
        <v>1.2246460000000001E-2</v>
      </c>
      <c r="W1700">
        <v>5.954396E-2</v>
      </c>
      <c r="X1700">
        <v>0.9981506</v>
      </c>
      <c r="Y1700">
        <v>5.4792960000000002E-2</v>
      </c>
      <c r="Z1700">
        <v>7.8351820000000004E-4</v>
      </c>
      <c r="AA1700">
        <v>0.99849739999999998</v>
      </c>
      <c r="AB1700">
        <v>37</v>
      </c>
      <c r="AC1700">
        <v>-25.488900000000001</v>
      </c>
      <c r="AD1700">
        <v>-1.1080484060819999</v>
      </c>
      <c r="AE1700">
        <v>1.6518000000000299</v>
      </c>
      <c r="AF1700">
        <v>1.4173567181164599</v>
      </c>
      <c r="AG1700">
        <v>-1.1080484060819999</v>
      </c>
      <c r="AH1700">
        <v>25.454959007987799</v>
      </c>
      <c r="AI1700">
        <v>92.488648345192402</v>
      </c>
      <c r="AJ1700">
        <v>86.813006525131499</v>
      </c>
      <c r="AK1700">
        <v>25.518456251014701</v>
      </c>
      <c r="AL1700">
        <v>86.586363336548501</v>
      </c>
      <c r="AM1700">
        <v>89.297064724311895</v>
      </c>
      <c r="AN1700">
        <v>1.00000003961768</v>
      </c>
    </row>
    <row r="1701" spans="1:40" x14ac:dyDescent="0.25">
      <c r="A1701" t="str">
        <f>"20190312151259315"</f>
        <v>20190312151259315</v>
      </c>
      <c r="B1701" t="str">
        <f>"1552374779311804"</f>
        <v>1552374779311804</v>
      </c>
      <c r="C1701" t="s">
        <v>40</v>
      </c>
      <c r="D1701">
        <v>4.4097489999999997</v>
      </c>
      <c r="E1701">
        <v>0.48875580000000002</v>
      </c>
      <c r="F1701" t="s">
        <v>55</v>
      </c>
      <c r="G1701">
        <v>-306.1558</v>
      </c>
      <c r="H1701" s="1">
        <v>3.1542350000000001E-6</v>
      </c>
      <c r="I1701">
        <v>281.3956</v>
      </c>
      <c r="J1701">
        <v>-259.43090000000001</v>
      </c>
      <c r="K1701">
        <v>1.1080410000000001</v>
      </c>
      <c r="L1701">
        <v>281.9434</v>
      </c>
      <c r="M1701">
        <v>-0.99993169999999998</v>
      </c>
      <c r="N1701">
        <v>0</v>
      </c>
      <c r="O1701">
        <v>9.9724440000000004E-3</v>
      </c>
      <c r="P1701">
        <v>-0.99835770000000001</v>
      </c>
      <c r="Q1701">
        <v>5.3309200000000001E-2</v>
      </c>
      <c r="R1701">
        <v>2.098098E-2</v>
      </c>
      <c r="S1701">
        <v>-3.0095830000000001</v>
      </c>
      <c r="T1701">
        <v>-7.0818309999999995E-2</v>
      </c>
      <c r="U1701">
        <v>-3.4759520000000002E-2</v>
      </c>
      <c r="V1701">
        <v>1.1151660000000001E-2</v>
      </c>
      <c r="W1701">
        <v>5.9390209999999999E-2</v>
      </c>
      <c r="X1701">
        <v>0.99817259999999997</v>
      </c>
      <c r="Y1701">
        <v>-2.1511519999999999E-2</v>
      </c>
      <c r="Z1701">
        <v>-4.8767530000000002E-4</v>
      </c>
      <c r="AA1701">
        <v>0.99976849999999995</v>
      </c>
      <c r="AB1701">
        <v>37</v>
      </c>
      <c r="AC1701">
        <v>-46.724899999999899</v>
      </c>
      <c r="AD1701">
        <v>-1.108037845765</v>
      </c>
      <c r="AE1701">
        <v>-0.54779999999999496</v>
      </c>
      <c r="AF1701">
        <v>-1.01317317503684</v>
      </c>
      <c r="AG1701">
        <v>-1.108037845765</v>
      </c>
      <c r="AH1701">
        <v>46.690860119462499</v>
      </c>
      <c r="AI1701">
        <v>91.3591320617044</v>
      </c>
      <c r="AJ1701">
        <v>91.243100636731498</v>
      </c>
      <c r="AK1701">
        <v>46.7149942357428</v>
      </c>
      <c r="AL1701">
        <v>86.595188208422201</v>
      </c>
      <c r="AM1701">
        <v>89.359913835272096</v>
      </c>
      <c r="AN1701">
        <v>1.0000000479776701</v>
      </c>
    </row>
    <row r="1702" spans="1:40" x14ac:dyDescent="0.25">
      <c r="A1702" t="str">
        <f>"20190312151259338"</f>
        <v>20190312151259338</v>
      </c>
      <c r="B1702" t="str">
        <f>"1552374779331324"</f>
        <v>1552374779331324</v>
      </c>
      <c r="C1702" t="s">
        <v>40</v>
      </c>
      <c r="D1702">
        <v>4.3899599999999896</v>
      </c>
      <c r="E1702">
        <v>0.48877470000000001</v>
      </c>
      <c r="F1702" t="s">
        <v>55</v>
      </c>
      <c r="G1702">
        <v>-305.24509999999998</v>
      </c>
      <c r="H1702" s="1">
        <v>3.3097179999999999E-6</v>
      </c>
      <c r="I1702">
        <v>281.4649</v>
      </c>
      <c r="J1702">
        <v>-259.80290000000002</v>
      </c>
      <c r="K1702">
        <v>1.1080319999999999</v>
      </c>
      <c r="L1702">
        <v>281.9479</v>
      </c>
      <c r="M1702">
        <v>-0.99992199999999998</v>
      </c>
      <c r="N1702">
        <v>0</v>
      </c>
      <c r="O1702">
        <v>1.087229E-2</v>
      </c>
      <c r="P1702">
        <v>-0.99836429999999998</v>
      </c>
      <c r="Q1702">
        <v>5.324342E-2</v>
      </c>
      <c r="R1702">
        <v>2.0836730000000001E-2</v>
      </c>
      <c r="S1702">
        <v>-3.0094910000000001</v>
      </c>
      <c r="T1702">
        <v>-7.2785970000000005E-2</v>
      </c>
      <c r="U1702">
        <v>-3.143311E-2</v>
      </c>
      <c r="V1702">
        <v>1.0109989999999999E-2</v>
      </c>
      <c r="W1702">
        <v>5.9375459999999998E-2</v>
      </c>
      <c r="X1702">
        <v>0.99818450000000003</v>
      </c>
      <c r="Y1702">
        <v>-2.130597E-2</v>
      </c>
      <c r="Z1702">
        <v>-5.2051339999999895E-4</v>
      </c>
      <c r="AA1702">
        <v>0.99977280000000002</v>
      </c>
      <c r="AB1702">
        <v>37</v>
      </c>
      <c r="AC1702">
        <v>-45.4421999999999</v>
      </c>
      <c r="AD1702">
        <v>-1.10802869028199</v>
      </c>
      <c r="AE1702">
        <v>-0.48300000000000398</v>
      </c>
      <c r="AF1702">
        <v>-0.97646108007818999</v>
      </c>
      <c r="AG1702">
        <v>-1.10802869028199</v>
      </c>
      <c r="AH1702">
        <v>45.407269090656001</v>
      </c>
      <c r="AI1702">
        <v>91.397531869922801</v>
      </c>
      <c r="AJ1702">
        <v>91.231927797620003</v>
      </c>
      <c r="AK1702">
        <v>45.431280964668403</v>
      </c>
      <c r="AL1702">
        <v>86.596034571877794</v>
      </c>
      <c r="AM1702">
        <v>89.419706525661297</v>
      </c>
      <c r="AN1702">
        <v>0.99999997659412998</v>
      </c>
    </row>
    <row r="1703" spans="1:40" x14ac:dyDescent="0.25">
      <c r="A1703" t="str">
        <f>"20190312151259360"</f>
        <v>20190312151259360</v>
      </c>
      <c r="B1703" t="str">
        <f>"1552374779351820"</f>
        <v>1552374779351820</v>
      </c>
      <c r="C1703" t="s">
        <v>40</v>
      </c>
      <c r="D1703">
        <v>4.688974</v>
      </c>
      <c r="E1703">
        <v>0.48876439999999999</v>
      </c>
      <c r="F1703" t="s">
        <v>55</v>
      </c>
      <c r="G1703">
        <v>-306.15620000000001</v>
      </c>
      <c r="H1703" s="1">
        <v>3.1486170000000001E-6</v>
      </c>
      <c r="I1703">
        <v>281.459</v>
      </c>
      <c r="J1703">
        <v>-260.18720000000002</v>
      </c>
      <c r="K1703">
        <v>1.1080179999999999</v>
      </c>
      <c r="L1703">
        <v>281.95280000000002</v>
      </c>
      <c r="M1703">
        <v>-0.99991110000000005</v>
      </c>
      <c r="N1703">
        <v>0</v>
      </c>
      <c r="O1703">
        <v>1.1801219999999999E-2</v>
      </c>
      <c r="P1703">
        <v>-0.99839129999999998</v>
      </c>
      <c r="Q1703">
        <v>5.2802389999999998E-2</v>
      </c>
      <c r="R1703">
        <v>2.0660270000000001E-2</v>
      </c>
      <c r="S1703">
        <v>-3.0093990000000002</v>
      </c>
      <c r="T1703">
        <v>-7.1936609999999998E-2</v>
      </c>
      <c r="U1703">
        <v>-3.1738280000000001E-2</v>
      </c>
      <c r="V1703">
        <v>9.0057780000000007E-3</v>
      </c>
      <c r="W1703">
        <v>5.89837E-2</v>
      </c>
      <c r="X1703">
        <v>0.9982183</v>
      </c>
      <c r="Y1703">
        <v>-2.2336109999999999E-2</v>
      </c>
      <c r="Z1703">
        <v>-5.4896830000000004E-4</v>
      </c>
      <c r="AA1703">
        <v>0.99975040000000004</v>
      </c>
      <c r="AB1703">
        <v>37</v>
      </c>
      <c r="AC1703">
        <v>-45.969000000000001</v>
      </c>
      <c r="AD1703">
        <v>-1.1080148513829999</v>
      </c>
      <c r="AE1703">
        <v>-0.493800000000021</v>
      </c>
      <c r="AF1703">
        <v>-1.0356647128740599</v>
      </c>
      <c r="AG1703">
        <v>-1.1080148513829999</v>
      </c>
      <c r="AH1703">
        <v>45.933287952412698</v>
      </c>
      <c r="AI1703">
        <v>91.381484905191499</v>
      </c>
      <c r="AJ1703">
        <v>91.291637660725002</v>
      </c>
      <c r="AK1703">
        <v>45.958320687636501</v>
      </c>
      <c r="AL1703">
        <v>86.618520180137907</v>
      </c>
      <c r="AM1703">
        <v>89.483099967445199</v>
      </c>
      <c r="AN1703">
        <v>0.99999997767898197</v>
      </c>
    </row>
    <row r="1704" spans="1:40" x14ac:dyDescent="0.25">
      <c r="A1704" t="str">
        <f>"20190312151259384"</f>
        <v>20190312151259384</v>
      </c>
      <c r="B1704" t="str">
        <f>"1552374779371340"</f>
        <v>1552374779371340</v>
      </c>
      <c r="C1704" t="s">
        <v>40</v>
      </c>
      <c r="D1704">
        <v>4.4452199999999999</v>
      </c>
      <c r="E1704">
        <v>0.4886257</v>
      </c>
      <c r="F1704" t="s">
        <v>55</v>
      </c>
      <c r="G1704">
        <v>-304.52109999999999</v>
      </c>
      <c r="H1704" s="1">
        <v>3.4372619999999999E-6</v>
      </c>
      <c r="I1704">
        <v>281.47489999999999</v>
      </c>
      <c r="J1704">
        <v>-260.57769999999999</v>
      </c>
      <c r="K1704">
        <v>1.1080030000000001</v>
      </c>
      <c r="L1704">
        <v>281.95819999999998</v>
      </c>
      <c r="M1704">
        <v>-0.99989930000000005</v>
      </c>
      <c r="N1704">
        <v>0</v>
      </c>
      <c r="O1704">
        <v>1.274434E-2</v>
      </c>
      <c r="P1704">
        <v>-0.99838859999999996</v>
      </c>
      <c r="Q1704">
        <v>5.2772619999999999E-2</v>
      </c>
      <c r="R1704">
        <v>2.0863980000000001E-2</v>
      </c>
      <c r="S1704">
        <v>-3.0094910000000001</v>
      </c>
      <c r="T1704">
        <v>-7.5214740000000002E-2</v>
      </c>
      <c r="U1704">
        <v>-3.2440190000000001E-2</v>
      </c>
      <c r="V1704">
        <v>8.268849E-3</v>
      </c>
      <c r="W1704">
        <v>5.899894E-2</v>
      </c>
      <c r="X1704">
        <v>0.99822379999999999</v>
      </c>
      <c r="Y1704">
        <v>-2.3510329999999999E-2</v>
      </c>
      <c r="Z1704">
        <v>-6.1219629999999996E-4</v>
      </c>
      <c r="AA1704">
        <v>0.99972340000000004</v>
      </c>
      <c r="AB1704">
        <v>37</v>
      </c>
      <c r="AC1704">
        <v>-43.943399999999997</v>
      </c>
      <c r="AD1704">
        <v>-1.1079995627379999</v>
      </c>
      <c r="AE1704">
        <v>-0.48329999999998502</v>
      </c>
      <c r="AF1704">
        <v>-1.0426385061858401</v>
      </c>
      <c r="AG1704">
        <v>-1.1079995627379999</v>
      </c>
      <c r="AH1704">
        <v>43.905761587260301</v>
      </c>
      <c r="AI1704">
        <v>91.445194065659507</v>
      </c>
      <c r="AJ1704">
        <v>91.360358142565801</v>
      </c>
      <c r="AK1704">
        <v>43.932114206386103</v>
      </c>
      <c r="AL1704">
        <v>86.617645550927094</v>
      </c>
      <c r="AM1704">
        <v>89.525397698106801</v>
      </c>
      <c r="AN1704">
        <v>1.0000000018356701</v>
      </c>
    </row>
    <row r="1705" spans="1:40" x14ac:dyDescent="0.25">
      <c r="A1705" t="str">
        <f>"20190312151259408"</f>
        <v>20190312151259408</v>
      </c>
      <c r="B1705" t="str">
        <f>"1552374779401596"</f>
        <v>1552374779401596</v>
      </c>
      <c r="C1705" t="s">
        <v>40</v>
      </c>
      <c r="D1705">
        <v>4.4469940000000001</v>
      </c>
      <c r="E1705">
        <v>0.4879983</v>
      </c>
      <c r="F1705" t="s">
        <v>55</v>
      </c>
      <c r="G1705">
        <v>-305.07350000000002</v>
      </c>
      <c r="H1705" s="1">
        <v>3.3395419999999998E-6</v>
      </c>
      <c r="I1705">
        <v>281.47179999999997</v>
      </c>
      <c r="J1705">
        <v>-260.97390000000001</v>
      </c>
      <c r="K1705">
        <v>1.107998</v>
      </c>
      <c r="L1705">
        <v>281.96409999999997</v>
      </c>
      <c r="M1705">
        <v>-0.99988630000000001</v>
      </c>
      <c r="N1705">
        <v>0</v>
      </c>
      <c r="O1705">
        <v>1.3701E-2</v>
      </c>
      <c r="P1705">
        <v>-0.99837549999999997</v>
      </c>
      <c r="Q1705">
        <v>5.2828699999999902E-2</v>
      </c>
      <c r="R1705">
        <v>2.1335839999999998E-2</v>
      </c>
      <c r="S1705">
        <v>-3.0094910000000001</v>
      </c>
      <c r="T1705">
        <v>-7.4939969999999995E-2</v>
      </c>
      <c r="U1705">
        <v>-3.2897950000000002E-2</v>
      </c>
      <c r="V1705">
        <v>7.7863200000000002E-3</v>
      </c>
      <c r="W1705">
        <v>5.909652E-2</v>
      </c>
      <c r="X1705">
        <v>0.9982219</v>
      </c>
      <c r="Y1705">
        <v>-2.4618299999999999E-2</v>
      </c>
      <c r="Z1705">
        <v>-6.4756959999999995E-4</v>
      </c>
      <c r="AA1705">
        <v>0.99969669999999999</v>
      </c>
      <c r="AB1705">
        <v>37</v>
      </c>
      <c r="AC1705">
        <v>-44.099600000000002</v>
      </c>
      <c r="AD1705">
        <v>-1.107994660458</v>
      </c>
      <c r="AE1705">
        <v>-0.49230000000000002</v>
      </c>
      <c r="AF1705">
        <v>-1.09578275962447</v>
      </c>
      <c r="AG1705">
        <v>-1.107994660458</v>
      </c>
      <c r="AH1705">
        <v>44.060905096300303</v>
      </c>
      <c r="AI1705">
        <v>91.440061893037495</v>
      </c>
      <c r="AJ1705">
        <v>91.424636831012606</v>
      </c>
      <c r="AK1705">
        <v>44.088453703085101</v>
      </c>
      <c r="AL1705">
        <v>86.612044828344693</v>
      </c>
      <c r="AM1705">
        <v>89.553091124880197</v>
      </c>
      <c r="AN1705">
        <v>0.99999999354743097</v>
      </c>
    </row>
    <row r="1706" spans="1:40" x14ac:dyDescent="0.25">
      <c r="A1706" t="str">
        <f>"20190312151259427"</f>
        <v>20190312151259427</v>
      </c>
      <c r="B1706" t="str">
        <f>"1552374779422092"</f>
        <v>1552374779422092</v>
      </c>
      <c r="C1706" t="s">
        <v>40</v>
      </c>
      <c r="D1706">
        <v>4.4538919999999997</v>
      </c>
      <c r="E1706">
        <v>0.48742049999999998</v>
      </c>
      <c r="F1706" t="s">
        <v>55</v>
      </c>
      <c r="G1706">
        <v>-282.41539999999998</v>
      </c>
      <c r="H1706" s="1">
        <v>7.9353339999999997E-6</v>
      </c>
      <c r="I1706">
        <v>281.69220000000001</v>
      </c>
      <c r="J1706">
        <v>-261.31880000000001</v>
      </c>
      <c r="K1706">
        <v>1.1079939999999999</v>
      </c>
      <c r="L1706">
        <v>281.96949999999998</v>
      </c>
      <c r="M1706">
        <v>-0.99987440000000005</v>
      </c>
      <c r="N1706">
        <v>0</v>
      </c>
      <c r="O1706">
        <v>1.453256E-2</v>
      </c>
      <c r="P1706">
        <v>-0.99837169999999997</v>
      </c>
      <c r="Q1706">
        <v>5.2625529999999997E-2</v>
      </c>
      <c r="R1706">
        <v>2.2010789999999999E-2</v>
      </c>
      <c r="S1706">
        <v>-3.0139770000000001</v>
      </c>
      <c r="T1706">
        <v>-0.15574739999999901</v>
      </c>
      <c r="U1706">
        <v>-3.8208010000000001E-2</v>
      </c>
      <c r="V1706">
        <v>7.6314119999999997E-3</v>
      </c>
      <c r="W1706">
        <v>5.892563E-2</v>
      </c>
      <c r="X1706">
        <v>0.99823320000000004</v>
      </c>
      <c r="Y1706">
        <v>-2.715066E-2</v>
      </c>
      <c r="Z1706">
        <v>-1.4514619999999999E-3</v>
      </c>
      <c r="AA1706">
        <v>0.99963029999999997</v>
      </c>
      <c r="AB1706">
        <v>38</v>
      </c>
      <c r="AC1706">
        <v>-21.096599999999899</v>
      </c>
      <c r="AD1706">
        <v>-1.107986064666</v>
      </c>
      <c r="AE1706">
        <v>-0.27729999999996802</v>
      </c>
      <c r="AF1706">
        <v>-0.58225867592888103</v>
      </c>
      <c r="AG1706">
        <v>-1.107986064666</v>
      </c>
      <c r="AH1706">
        <v>21.032338316572599</v>
      </c>
      <c r="AI1706">
        <v>93.014408126042198</v>
      </c>
      <c r="AJ1706">
        <v>91.585769755606606</v>
      </c>
      <c r="AK1706">
        <v>21.069549433909501</v>
      </c>
      <c r="AL1706">
        <v>86.621853201697206</v>
      </c>
      <c r="AM1706">
        <v>89.561986937179299</v>
      </c>
      <c r="AN1706">
        <v>0.99999999495112502</v>
      </c>
    </row>
    <row r="1707" spans="1:40" x14ac:dyDescent="0.25">
      <c r="A1707" t="str">
        <f>"20190312151259451"</f>
        <v>20190312151259451</v>
      </c>
      <c r="B1707" t="str">
        <f>"1552374779441612"</f>
        <v>1552374779441612</v>
      </c>
      <c r="C1707" t="s">
        <v>40</v>
      </c>
      <c r="D1707">
        <v>4.4270430000000003</v>
      </c>
      <c r="E1707">
        <v>0.4879715</v>
      </c>
      <c r="F1707" t="s">
        <v>55</v>
      </c>
      <c r="G1707">
        <v>-283.5718</v>
      </c>
      <c r="H1707" s="1">
        <v>7.4275649999999999E-6</v>
      </c>
      <c r="I1707">
        <v>281.66770000000002</v>
      </c>
      <c r="J1707">
        <v>-261.7045</v>
      </c>
      <c r="K1707">
        <v>1.1079859999999999</v>
      </c>
      <c r="L1707">
        <v>281.97590000000002</v>
      </c>
      <c r="M1707">
        <v>-0.99986030000000004</v>
      </c>
      <c r="N1707">
        <v>0</v>
      </c>
      <c r="O1707">
        <v>1.5462460000000001E-2</v>
      </c>
      <c r="P1707">
        <v>-0.99837730000000002</v>
      </c>
      <c r="Q1707">
        <v>5.2217949999999999E-2</v>
      </c>
      <c r="R1707">
        <v>2.2730009999999998E-2</v>
      </c>
      <c r="S1707">
        <v>-3.0137330000000002</v>
      </c>
      <c r="T1707">
        <v>-0.15005489999999999</v>
      </c>
      <c r="U1707">
        <v>-4.0863040000000003E-2</v>
      </c>
      <c r="V1707">
        <v>7.4218460000000002E-3</v>
      </c>
      <c r="W1707">
        <v>5.8552439999999997E-2</v>
      </c>
      <c r="X1707">
        <v>0.9982567</v>
      </c>
      <c r="Y1707">
        <v>-2.8962399999999999E-2</v>
      </c>
      <c r="Z1707">
        <v>-1.489928E-3</v>
      </c>
      <c r="AA1707">
        <v>0.99957940000000001</v>
      </c>
      <c r="AB1707">
        <v>38</v>
      </c>
      <c r="AC1707">
        <v>-21.8673</v>
      </c>
      <c r="AD1707">
        <v>-1.107978572435</v>
      </c>
      <c r="AE1707">
        <v>-0.30819999999999897</v>
      </c>
      <c r="AF1707">
        <v>-0.64463758332691101</v>
      </c>
      <c r="AG1707">
        <v>-1.107978572435</v>
      </c>
      <c r="AH1707">
        <v>21.8039543808929</v>
      </c>
      <c r="AI1707">
        <v>92.907742428372302</v>
      </c>
      <c r="AJ1707">
        <v>91.693466066480894</v>
      </c>
      <c r="AK1707">
        <v>21.8416025230492</v>
      </c>
      <c r="AL1707">
        <v>86.643272264492495</v>
      </c>
      <c r="AM1707">
        <v>89.574024780391298</v>
      </c>
      <c r="AN1707">
        <v>0.99999995556144405</v>
      </c>
    </row>
    <row r="1708" spans="1:40" x14ac:dyDescent="0.25">
      <c r="A1708" t="str">
        <f>"20190312151259472"</f>
        <v>20190312151259472</v>
      </c>
      <c r="B1708" t="str">
        <f>"1552374779462108"</f>
        <v>1552374779462108</v>
      </c>
      <c r="C1708" t="s">
        <v>40</v>
      </c>
      <c r="D1708">
        <v>4.3622339999999999</v>
      </c>
      <c r="E1708">
        <v>0.48789830000000001</v>
      </c>
      <c r="F1708" t="s">
        <v>55</v>
      </c>
      <c r="G1708">
        <v>-282.31139999999999</v>
      </c>
      <c r="H1708" s="1">
        <v>7.97172E-6</v>
      </c>
      <c r="I1708">
        <v>281.73930000000001</v>
      </c>
      <c r="J1708">
        <v>-262.08179999999999</v>
      </c>
      <c r="K1708">
        <v>1.1079810000000001</v>
      </c>
      <c r="L1708">
        <v>281.98239999999998</v>
      </c>
      <c r="M1708">
        <v>-0.9998456</v>
      </c>
      <c r="N1708">
        <v>0</v>
      </c>
      <c r="O1708">
        <v>1.6372040000000001E-2</v>
      </c>
      <c r="P1708">
        <v>-0.99836230000000004</v>
      </c>
      <c r="Q1708">
        <v>5.2145589999999999E-2</v>
      </c>
      <c r="R1708">
        <v>2.3534880000000001E-2</v>
      </c>
      <c r="S1708">
        <v>-3.0141300000000002</v>
      </c>
      <c r="T1708">
        <v>-0.16206129999999999</v>
      </c>
      <c r="U1708">
        <v>-3.4606930000000001E-2</v>
      </c>
      <c r="V1708">
        <v>7.318883E-3</v>
      </c>
      <c r="W1708">
        <v>5.8511500000000001E-2</v>
      </c>
      <c r="X1708">
        <v>0.99825989999999998</v>
      </c>
      <c r="Y1708">
        <v>-2.7786789999999999E-2</v>
      </c>
      <c r="Z1708">
        <v>-1.626069E-3</v>
      </c>
      <c r="AA1708">
        <v>0.99961259999999996</v>
      </c>
      <c r="AB1708">
        <v>38</v>
      </c>
      <c r="AC1708">
        <v>-20.229600000000001</v>
      </c>
      <c r="AD1708">
        <v>-1.10797302827999</v>
      </c>
      <c r="AE1708">
        <v>-0.24309999999996901</v>
      </c>
      <c r="AF1708">
        <v>-0.57255670771525702</v>
      </c>
      <c r="AG1708">
        <v>-1.10797302827999</v>
      </c>
      <c r="AH1708">
        <v>20.162435021720199</v>
      </c>
      <c r="AI1708">
        <v>93.144108828680402</v>
      </c>
      <c r="AJ1708">
        <v>91.6266025951534</v>
      </c>
      <c r="AK1708">
        <v>20.200970556387499</v>
      </c>
      <c r="AL1708">
        <v>86.645622114140096</v>
      </c>
      <c r="AM1708">
        <v>89.579935452396398</v>
      </c>
      <c r="AN1708">
        <v>0.99999999481431301</v>
      </c>
    </row>
    <row r="1709" spans="1:40" x14ac:dyDescent="0.25">
      <c r="A1709" t="str">
        <f>"20190312151259495"</f>
        <v>20190312151259495</v>
      </c>
      <c r="B1709" t="str">
        <f>"1552374779491388"</f>
        <v>1552374779491388</v>
      </c>
      <c r="C1709" t="s">
        <v>40</v>
      </c>
      <c r="D1709">
        <v>4.3701879999999997</v>
      </c>
      <c r="E1709">
        <v>0.48841560000000001</v>
      </c>
      <c r="F1709" t="s">
        <v>55</v>
      </c>
      <c r="G1709">
        <v>-283.04059999999998</v>
      </c>
      <c r="H1709" s="1">
        <v>7.6453729999999907E-6</v>
      </c>
      <c r="I1709">
        <v>281.75389999999999</v>
      </c>
      <c r="J1709">
        <v>-262.45240000000001</v>
      </c>
      <c r="K1709">
        <v>1.1079779999999999</v>
      </c>
      <c r="L1709">
        <v>281.98919999999998</v>
      </c>
      <c r="M1709">
        <v>-0.99983040000000001</v>
      </c>
      <c r="N1709">
        <v>0</v>
      </c>
      <c r="O1709">
        <v>1.7264149999999999E-2</v>
      </c>
      <c r="P1709">
        <v>-0.99836530000000001</v>
      </c>
      <c r="Q1709">
        <v>5.1850229999999997E-2</v>
      </c>
      <c r="R1709">
        <v>2.4046229999999998E-2</v>
      </c>
      <c r="S1709">
        <v>-3.0140690000000001</v>
      </c>
      <c r="T1709">
        <v>-0.15933749999999999</v>
      </c>
      <c r="U1709">
        <v>-3.2867430000000003E-2</v>
      </c>
      <c r="V1709">
        <v>6.9391289999999996E-3</v>
      </c>
      <c r="W1709">
        <v>5.824588E-2</v>
      </c>
      <c r="X1709">
        <v>0.99827809999999995</v>
      </c>
      <c r="Y1709">
        <v>-2.8102539999999999E-2</v>
      </c>
      <c r="Z1709">
        <v>-1.654279E-3</v>
      </c>
      <c r="AA1709">
        <v>0.99960369999999998</v>
      </c>
      <c r="AB1709">
        <v>38</v>
      </c>
      <c r="AC1709">
        <v>-20.588199999999901</v>
      </c>
      <c r="AD1709">
        <v>-1.1079703546269899</v>
      </c>
      <c r="AE1709">
        <v>-0.23529999999999501</v>
      </c>
      <c r="AF1709">
        <v>-0.58900439508715796</v>
      </c>
      <c r="AG1709">
        <v>-1.1079703546269899</v>
      </c>
      <c r="AH1709">
        <v>20.521643355439299</v>
      </c>
      <c r="AI1709">
        <v>93.089148058263703</v>
      </c>
      <c r="AJ1709">
        <v>91.644030309077706</v>
      </c>
      <c r="AK1709">
        <v>20.559970099492102</v>
      </c>
      <c r="AL1709">
        <v>86.660866867750897</v>
      </c>
      <c r="AM1709">
        <v>89.601737830425193</v>
      </c>
      <c r="AN1709">
        <v>0.99999994949393001</v>
      </c>
    </row>
    <row r="1710" spans="1:40" x14ac:dyDescent="0.25">
      <c r="A1710" t="str">
        <f>"20190312151259516"</f>
        <v>20190312151259516</v>
      </c>
      <c r="B1710" t="str">
        <f>"1552374779511883"</f>
        <v>1552374779511883</v>
      </c>
      <c r="C1710" t="s">
        <v>40</v>
      </c>
      <c r="D1710">
        <v>4.394323</v>
      </c>
      <c r="E1710">
        <v>0.48838749999999997</v>
      </c>
      <c r="F1710" t="s">
        <v>55</v>
      </c>
      <c r="G1710">
        <v>-286.54790000000003</v>
      </c>
      <c r="H1710" s="1">
        <v>6.0852569999999999E-6</v>
      </c>
      <c r="I1710">
        <v>281.77690000000001</v>
      </c>
      <c r="J1710">
        <v>-262.82130000000001</v>
      </c>
      <c r="K1710">
        <v>1.1079699999999999</v>
      </c>
      <c r="L1710">
        <v>281.99630000000002</v>
      </c>
      <c r="M1710">
        <v>-0.99981450000000005</v>
      </c>
      <c r="N1710">
        <v>0</v>
      </c>
      <c r="O1710">
        <v>1.8151199999999999E-2</v>
      </c>
      <c r="P1710">
        <v>-0.99833110000000003</v>
      </c>
      <c r="Q1710">
        <v>5.1948639999999997E-2</v>
      </c>
      <c r="R1710">
        <v>2.523649E-2</v>
      </c>
      <c r="S1710">
        <v>-3.012756</v>
      </c>
      <c r="T1710">
        <v>-0.13853389999999999</v>
      </c>
      <c r="U1710">
        <v>-2.6550290000000001E-2</v>
      </c>
      <c r="V1710">
        <v>7.2449109999999997E-3</v>
      </c>
      <c r="W1710">
        <v>5.8371560000000003E-2</v>
      </c>
      <c r="X1710">
        <v>0.99826870000000001</v>
      </c>
      <c r="Y1710">
        <v>-2.69141E-2</v>
      </c>
      <c r="Z1710">
        <v>-1.452629E-3</v>
      </c>
      <c r="AA1710">
        <v>0.99963670000000004</v>
      </c>
      <c r="AB1710">
        <v>38</v>
      </c>
      <c r="AC1710">
        <v>-23.726600000000001</v>
      </c>
      <c r="AD1710">
        <v>-1.107963914743</v>
      </c>
      <c r="AE1710">
        <v>-0.21940000000000701</v>
      </c>
      <c r="AF1710">
        <v>-0.648624767578589</v>
      </c>
      <c r="AG1710">
        <v>-1.107963914743</v>
      </c>
      <c r="AH1710">
        <v>23.667103930917101</v>
      </c>
      <c r="AI1710">
        <v>92.679312467959804</v>
      </c>
      <c r="AJ1710">
        <v>91.5698651384389</v>
      </c>
      <c r="AK1710">
        <v>23.701900906938299</v>
      </c>
      <c r="AL1710">
        <v>86.653654040099099</v>
      </c>
      <c r="AM1710">
        <v>89.584184563210201</v>
      </c>
      <c r="AN1710">
        <v>1.00000006257595</v>
      </c>
    </row>
    <row r="1711" spans="1:40" x14ac:dyDescent="0.25">
      <c r="A1711" t="str">
        <f>"20190312151259539"</f>
        <v>20190312151259539</v>
      </c>
      <c r="B1711" t="str">
        <f>"1552374779531404"</f>
        <v>1552374779531404</v>
      </c>
      <c r="C1711" t="s">
        <v>40</v>
      </c>
      <c r="D1711">
        <v>4.3628030000000004</v>
      </c>
      <c r="E1711">
        <v>0.48828899999999997</v>
      </c>
      <c r="F1711" t="s">
        <v>55</v>
      </c>
      <c r="G1711">
        <v>-288.69490000000002</v>
      </c>
      <c r="H1711" s="1">
        <v>5.1290390000000004E-6</v>
      </c>
      <c r="I1711">
        <v>281.79680000000002</v>
      </c>
      <c r="J1711">
        <v>-263.21280000000002</v>
      </c>
      <c r="K1711">
        <v>1.107966</v>
      </c>
      <c r="L1711">
        <v>282.00420000000003</v>
      </c>
      <c r="M1711">
        <v>-0.99979689999999999</v>
      </c>
      <c r="N1711">
        <v>0</v>
      </c>
      <c r="O1711">
        <v>1.9090050000000001E-2</v>
      </c>
      <c r="P1711">
        <v>-0.99832489999999996</v>
      </c>
      <c r="Q1711">
        <v>5.1766739999999999E-2</v>
      </c>
      <c r="R1711">
        <v>2.5844369999999998E-2</v>
      </c>
      <c r="S1711">
        <v>-3.0123289999999998</v>
      </c>
      <c r="T1711">
        <v>-0.12899469999999999</v>
      </c>
      <c r="U1711">
        <v>-2.3223879999999999E-2</v>
      </c>
      <c r="V1711">
        <v>6.9151799999999999E-3</v>
      </c>
      <c r="W1711">
        <v>5.8217789999999998E-2</v>
      </c>
      <c r="X1711">
        <v>0.9982799</v>
      </c>
      <c r="Y1711">
        <v>-2.6755839999999999E-2</v>
      </c>
      <c r="Z1711">
        <v>-1.3896889999999999E-3</v>
      </c>
      <c r="AA1711">
        <v>0.99964109999999995</v>
      </c>
      <c r="AB1711">
        <v>38</v>
      </c>
      <c r="AC1711">
        <v>-25.482099999999999</v>
      </c>
      <c r="AD1711">
        <v>-1.107960870961</v>
      </c>
      <c r="AE1711">
        <v>-0.207400000000006</v>
      </c>
      <c r="AF1711">
        <v>-0.69251779318763895</v>
      </c>
      <c r="AG1711">
        <v>-1.107960870961</v>
      </c>
      <c r="AH1711">
        <v>25.4254330141755</v>
      </c>
      <c r="AI1711">
        <v>92.494268443320607</v>
      </c>
      <c r="AJ1711">
        <v>91.560191290822701</v>
      </c>
      <c r="AK1711">
        <v>25.458982739767698</v>
      </c>
      <c r="AL1711">
        <v>86.662479026199307</v>
      </c>
      <c r="AM1711">
        <v>89.603113023298306</v>
      </c>
      <c r="AN1711">
        <v>0.99999994476546095</v>
      </c>
    </row>
    <row r="1712" spans="1:40" x14ac:dyDescent="0.25">
      <c r="A1712" t="str">
        <f>"20190312151259561"</f>
        <v>20190312151259561</v>
      </c>
      <c r="B1712" t="str">
        <f>"1552374779551900"</f>
        <v>1552374779551900</v>
      </c>
      <c r="C1712" t="s">
        <v>40</v>
      </c>
      <c r="D1712">
        <v>4.393637</v>
      </c>
      <c r="E1712">
        <v>0.4881315</v>
      </c>
      <c r="F1712" t="s">
        <v>55</v>
      </c>
      <c r="G1712">
        <v>-290.5865</v>
      </c>
      <c r="H1712" s="1">
        <v>2.5554269999999998E-6</v>
      </c>
      <c r="I1712">
        <v>281.8064</v>
      </c>
      <c r="J1712">
        <v>-263.5994</v>
      </c>
      <c r="K1712">
        <v>1.1079669999999999</v>
      </c>
      <c r="L1712">
        <v>282.01229999999998</v>
      </c>
      <c r="M1712">
        <v>-0.99977859999999996</v>
      </c>
      <c r="N1712">
        <v>0</v>
      </c>
      <c r="O1712">
        <v>2.0014460000000001E-2</v>
      </c>
      <c r="P1712">
        <v>-0.99830450000000004</v>
      </c>
      <c r="Q1712">
        <v>5.1931459999999999E-2</v>
      </c>
      <c r="R1712">
        <v>2.629627E-2</v>
      </c>
      <c r="S1712">
        <v>-3.0119319999999998</v>
      </c>
      <c r="T1712">
        <v>-0.1219095</v>
      </c>
      <c r="U1712">
        <v>-2.1759029999999999E-2</v>
      </c>
      <c r="V1712">
        <v>6.4448429999999996E-3</v>
      </c>
      <c r="W1712">
        <v>5.8410589999999998E-2</v>
      </c>
      <c r="X1712">
        <v>0.99827180000000004</v>
      </c>
      <c r="Y1712">
        <v>-2.719835E-2</v>
      </c>
      <c r="Z1712">
        <v>-1.3599459999999999E-3</v>
      </c>
      <c r="AA1712">
        <v>0.99962910000000005</v>
      </c>
      <c r="AB1712">
        <v>38</v>
      </c>
      <c r="AC1712">
        <v>-26.987100000000002</v>
      </c>
      <c r="AD1712">
        <v>-1.1079644445729999</v>
      </c>
      <c r="AE1712">
        <v>-0.20589999999998501</v>
      </c>
      <c r="AF1712">
        <v>-0.74474714924790597</v>
      </c>
      <c r="AG1712">
        <v>-1.1079644445729999</v>
      </c>
      <c r="AH1712">
        <v>26.932180298593899</v>
      </c>
      <c r="AI1712">
        <v>92.354866673259806</v>
      </c>
      <c r="AJ1712">
        <v>91.583978592803504</v>
      </c>
      <c r="AK1712">
        <v>26.965247433738199</v>
      </c>
      <c r="AL1712">
        <v>86.651413619536996</v>
      </c>
      <c r="AM1712">
        <v>89.630103571616502</v>
      </c>
      <c r="AN1712">
        <v>0.99999995985033996</v>
      </c>
    </row>
    <row r="1713" spans="1:40" x14ac:dyDescent="0.25">
      <c r="A1713" t="str">
        <f>"20190312151259586"</f>
        <v>20190312151259586</v>
      </c>
      <c r="B1713" t="str">
        <f>"1552374779582157"</f>
        <v>1552374779582157</v>
      </c>
      <c r="C1713" t="s">
        <v>40</v>
      </c>
      <c r="D1713">
        <v>4.3101120000000002</v>
      </c>
      <c r="E1713">
        <v>0.48805320000000002</v>
      </c>
      <c r="F1713" t="s">
        <v>55</v>
      </c>
      <c r="G1713">
        <v>-291.38459999999998</v>
      </c>
      <c r="H1713" s="1">
        <v>2.696357E-6</v>
      </c>
      <c r="I1713">
        <v>281.81380000000001</v>
      </c>
      <c r="J1713">
        <v>-264.00490000000002</v>
      </c>
      <c r="K1713">
        <v>1.1079600000000001</v>
      </c>
      <c r="L1713">
        <v>282.02120000000002</v>
      </c>
      <c r="M1713">
        <v>-0.9997587</v>
      </c>
      <c r="N1713">
        <v>0</v>
      </c>
      <c r="O1713">
        <v>2.0978150000000001E-2</v>
      </c>
      <c r="P1713">
        <v>-0.99826599999999999</v>
      </c>
      <c r="Q1713">
        <v>5.2360869999999997E-2</v>
      </c>
      <c r="R1713">
        <v>2.6900210000000001E-2</v>
      </c>
      <c r="S1713">
        <v>-3.0119319999999998</v>
      </c>
      <c r="T1713">
        <v>-0.120104</v>
      </c>
      <c r="U1713">
        <v>-2.1514889999999998E-2</v>
      </c>
      <c r="V1713">
        <v>6.0882549999999999E-3</v>
      </c>
      <c r="W1713">
        <v>5.8867089999999997E-2</v>
      </c>
      <c r="X1713">
        <v>0.99824729999999995</v>
      </c>
      <c r="Y1713">
        <v>-2.8080549999999999E-2</v>
      </c>
      <c r="Z1713">
        <v>-1.395812E-3</v>
      </c>
      <c r="AA1713">
        <v>0.99960470000000001</v>
      </c>
      <c r="AB1713">
        <v>38</v>
      </c>
      <c r="AC1713">
        <v>-27.3796999999999</v>
      </c>
      <c r="AD1713">
        <v>-1.1079573036429999</v>
      </c>
      <c r="AE1713">
        <v>-0.207400000000006</v>
      </c>
      <c r="AF1713">
        <v>-0.78046404586713403</v>
      </c>
      <c r="AG1713">
        <v>-1.1079573036429999</v>
      </c>
      <c r="AH1713">
        <v>27.324581259411101</v>
      </c>
      <c r="AI1713">
        <v>92.321012121683694</v>
      </c>
      <c r="AJ1713">
        <v>91.636077818329696</v>
      </c>
      <c r="AK1713">
        <v>27.358169429180599</v>
      </c>
      <c r="AL1713">
        <v>86.625213269671505</v>
      </c>
      <c r="AM1713">
        <v>89.650560546447807</v>
      </c>
      <c r="AN1713">
        <v>1.0000000365456501</v>
      </c>
    </row>
    <row r="1714" spans="1:40" x14ac:dyDescent="0.25">
      <c r="A1714" t="str">
        <f>"20190312151259609"</f>
        <v>20190312151259609</v>
      </c>
      <c r="B1714" t="str">
        <f>"1552374779601676"</f>
        <v>1552374779601676</v>
      </c>
      <c r="C1714" t="s">
        <v>40</v>
      </c>
      <c r="D1714">
        <v>5.2972859999999997</v>
      </c>
      <c r="E1714">
        <v>0.48802580000000001</v>
      </c>
      <c r="F1714" t="s">
        <v>55</v>
      </c>
      <c r="G1714">
        <v>-293.9794</v>
      </c>
      <c r="H1714" s="1">
        <v>3.1560229999999999E-6</v>
      </c>
      <c r="I1714">
        <v>281.82069999999999</v>
      </c>
      <c r="J1714">
        <v>-264.39870000000002</v>
      </c>
      <c r="K1714">
        <v>1.10797099999999</v>
      </c>
      <c r="L1714">
        <v>282.03030000000001</v>
      </c>
      <c r="M1714">
        <v>-0.99973869999999998</v>
      </c>
      <c r="N1714">
        <v>0</v>
      </c>
      <c r="O1714">
        <v>2.1902609999999999E-2</v>
      </c>
      <c r="P1714">
        <v>-0.9982529</v>
      </c>
      <c r="Q1714">
        <v>5.2139980000000002E-2</v>
      </c>
      <c r="R1714">
        <v>2.779684E-2</v>
      </c>
      <c r="S1714">
        <v>-3.0115970000000001</v>
      </c>
      <c r="T1714">
        <v>-0.11131870000000001</v>
      </c>
      <c r="U1714">
        <v>-2.0141599999999999E-2</v>
      </c>
      <c r="V1714">
        <v>6.0606820000000004E-3</v>
      </c>
      <c r="W1714">
        <v>5.8670970000000003E-2</v>
      </c>
      <c r="X1714">
        <v>0.99825889999999995</v>
      </c>
      <c r="Y1714">
        <v>-2.8554400000000001E-2</v>
      </c>
      <c r="Z1714">
        <v>-1.3368399999999999E-3</v>
      </c>
      <c r="AA1714">
        <v>0.99959140000000002</v>
      </c>
      <c r="AB1714">
        <v>38</v>
      </c>
      <c r="AC1714">
        <v>-29.580699999999901</v>
      </c>
      <c r="AD1714">
        <v>-1.10796784397699</v>
      </c>
      <c r="AE1714">
        <v>-0.20960000000002299</v>
      </c>
      <c r="AF1714">
        <v>-0.85625690800645704</v>
      </c>
      <c r="AG1714">
        <v>-1.10796784397699</v>
      </c>
      <c r="AH1714">
        <v>29.527589472586602</v>
      </c>
      <c r="AI1714">
        <v>92.148007222396302</v>
      </c>
      <c r="AJ1714">
        <v>91.661028315482397</v>
      </c>
      <c r="AK1714">
        <v>29.560773141063098</v>
      </c>
      <c r="AL1714">
        <v>86.636469190546507</v>
      </c>
      <c r="AM1714">
        <v>89.652147120261802</v>
      </c>
      <c r="AN1714">
        <v>0.99999992300812501</v>
      </c>
    </row>
    <row r="1715" spans="1:40" x14ac:dyDescent="0.25">
      <c r="A1715" t="str">
        <f>"20190312151259629"</f>
        <v>20190312151259629</v>
      </c>
      <c r="B1715" t="str">
        <f>"1552374779621196"</f>
        <v>1552374779621196</v>
      </c>
      <c r="C1715" t="s">
        <v>40</v>
      </c>
      <c r="D1715">
        <v>4.5664300000000004</v>
      </c>
      <c r="E1715">
        <v>0.48790070000000002</v>
      </c>
      <c r="F1715" t="s">
        <v>55</v>
      </c>
      <c r="G1715">
        <v>-295.24959999999999</v>
      </c>
      <c r="H1715" s="1">
        <v>3.3788219999999999E-6</v>
      </c>
      <c r="I1715">
        <v>281.84949999999998</v>
      </c>
      <c r="J1715">
        <v>-264.76889999999997</v>
      </c>
      <c r="K1715">
        <v>1.1079760000000001</v>
      </c>
      <c r="L1715">
        <v>282.03899999999999</v>
      </c>
      <c r="M1715">
        <v>-0.99971949999999998</v>
      </c>
      <c r="N1715">
        <v>0</v>
      </c>
      <c r="O1715">
        <v>2.2756189999999999E-2</v>
      </c>
      <c r="P1715">
        <v>-0.9982531</v>
      </c>
      <c r="Q1715">
        <v>5.1850739999999999E-2</v>
      </c>
      <c r="R1715">
        <v>2.8328579999999999E-2</v>
      </c>
      <c r="S1715">
        <v>-3.0113829999999999</v>
      </c>
      <c r="T1715">
        <v>-0.1081495</v>
      </c>
      <c r="U1715">
        <v>-1.7639160000000001E-2</v>
      </c>
      <c r="V1715">
        <v>5.738506E-3</v>
      </c>
      <c r="W1715">
        <v>5.8404869999999998E-2</v>
      </c>
      <c r="X1715">
        <v>0.99827650000000001</v>
      </c>
      <c r="Y1715">
        <v>-2.8579070000000002E-2</v>
      </c>
      <c r="Z1715">
        <v>-1.3299830000000001E-3</v>
      </c>
      <c r="AA1715">
        <v>0.9995906</v>
      </c>
      <c r="AB1715">
        <v>39</v>
      </c>
      <c r="AC1715">
        <v>-30.480699999999999</v>
      </c>
      <c r="AD1715">
        <v>-1.1079726211779899</v>
      </c>
      <c r="AE1715">
        <v>-0.18950000000000899</v>
      </c>
      <c r="AF1715">
        <v>-0.88192520564677901</v>
      </c>
      <c r="AG1715">
        <v>-1.1079726211779899</v>
      </c>
      <c r="AH1715">
        <v>30.428290149780601</v>
      </c>
      <c r="AI1715">
        <v>92.084491381813294</v>
      </c>
      <c r="AJ1715">
        <v>91.660180361563107</v>
      </c>
      <c r="AK1715">
        <v>30.461225136833701</v>
      </c>
      <c r="AL1715">
        <v>86.651742096301106</v>
      </c>
      <c r="AM1715">
        <v>89.670643801574002</v>
      </c>
      <c r="AN1715">
        <v>1.00000001487153</v>
      </c>
    </row>
    <row r="1716" spans="1:40" x14ac:dyDescent="0.25">
      <c r="A1716" t="str">
        <f>"20190312151259651"</f>
        <v>20190312151259651</v>
      </c>
      <c r="B1716" t="str">
        <f>"1552374779641692"</f>
        <v>1552374779641692</v>
      </c>
      <c r="C1716" t="s">
        <v>40</v>
      </c>
      <c r="D1716">
        <v>4.214423</v>
      </c>
      <c r="E1716">
        <v>0.487792</v>
      </c>
      <c r="F1716" t="s">
        <v>55</v>
      </c>
      <c r="G1716">
        <v>-296.51139999999998</v>
      </c>
      <c r="H1716" s="1">
        <v>3.6017749999999999E-6</v>
      </c>
      <c r="I1716">
        <v>281.85950000000003</v>
      </c>
      <c r="J1716">
        <v>-265.15440000000001</v>
      </c>
      <c r="K1716">
        <v>1.1079779999999999</v>
      </c>
      <c r="L1716">
        <v>282.04860000000002</v>
      </c>
      <c r="M1716">
        <v>-0.99969909999999995</v>
      </c>
      <c r="N1716">
        <v>0</v>
      </c>
      <c r="O1716">
        <v>2.3628329999999999E-2</v>
      </c>
      <c r="P1716">
        <v>-0.99820070000000005</v>
      </c>
      <c r="Q1716">
        <v>5.242898E-2</v>
      </c>
      <c r="R1716">
        <v>2.9105949999999998E-2</v>
      </c>
      <c r="S1716">
        <v>-3.0111690000000002</v>
      </c>
      <c r="T1716">
        <v>-0.1051049</v>
      </c>
      <c r="U1716">
        <v>-1.7028809999999998E-2</v>
      </c>
      <c r="V1716">
        <v>5.6458680000000001E-3</v>
      </c>
      <c r="W1716">
        <v>5.900656E-2</v>
      </c>
      <c r="X1716">
        <v>0.99824159999999995</v>
      </c>
      <c r="Y1716">
        <v>-2.9249810000000001E-2</v>
      </c>
      <c r="Z1716">
        <v>-1.334787E-3</v>
      </c>
      <c r="AA1716">
        <v>0.99957130000000005</v>
      </c>
      <c r="AB1716">
        <v>39</v>
      </c>
      <c r="AC1716">
        <v>-31.3569999999999</v>
      </c>
      <c r="AD1716">
        <v>-1.1079743982250001</v>
      </c>
      <c r="AE1716">
        <v>-0.18909999999999599</v>
      </c>
      <c r="AF1716">
        <v>-0.92881723847196496</v>
      </c>
      <c r="AG1716">
        <v>-1.1079743982250001</v>
      </c>
      <c r="AH1716">
        <v>31.304694249063999</v>
      </c>
      <c r="AI1716">
        <v>92.026145966899705</v>
      </c>
      <c r="AJ1716">
        <v>91.699479937398493</v>
      </c>
      <c r="AK1716">
        <v>31.338062970722799</v>
      </c>
      <c r="AL1716">
        <v>86.617208090566393</v>
      </c>
      <c r="AM1716">
        <v>89.675949230202605</v>
      </c>
      <c r="AN1716">
        <v>0.99999997095953297</v>
      </c>
    </row>
    <row r="1717" spans="1:40" x14ac:dyDescent="0.25">
      <c r="A1717" t="str">
        <f>"20190312151259673"</f>
        <v>20190312151259673</v>
      </c>
      <c r="B1717" t="str">
        <f>"1552374779661219"</f>
        <v>1552374779661219</v>
      </c>
      <c r="C1717" t="s">
        <v>40</v>
      </c>
      <c r="D1717">
        <v>5.4479689999999996</v>
      </c>
      <c r="E1717">
        <v>0.48770930000000001</v>
      </c>
      <c r="F1717" t="s">
        <v>55</v>
      </c>
      <c r="G1717">
        <v>-298.53370000000001</v>
      </c>
      <c r="H1717" s="1">
        <v>3.9590200000000003E-6</v>
      </c>
      <c r="I1717">
        <v>281.87639999999999</v>
      </c>
      <c r="J1717">
        <v>-265.53410000000002</v>
      </c>
      <c r="K1717">
        <v>1.1080000000000001</v>
      </c>
      <c r="L1717">
        <v>282.0582</v>
      </c>
      <c r="M1717">
        <v>-0.99967890000000004</v>
      </c>
      <c r="N1717">
        <v>0</v>
      </c>
      <c r="O1717">
        <v>2.4460280000000001E-2</v>
      </c>
      <c r="P1717">
        <v>-0.99816020000000005</v>
      </c>
      <c r="Q1717">
        <v>5.2473350000000002E-2</v>
      </c>
      <c r="R1717">
        <v>3.0379799999999998E-2</v>
      </c>
      <c r="S1717">
        <v>-3.011139</v>
      </c>
      <c r="T1717">
        <v>-9.9950310000000001E-2</v>
      </c>
      <c r="U1717">
        <v>-1.5533450000000001E-2</v>
      </c>
      <c r="V1717">
        <v>6.0872239999999996E-3</v>
      </c>
      <c r="W1717">
        <v>5.9071289999999999E-2</v>
      </c>
      <c r="X1717">
        <v>0.99823519999999999</v>
      </c>
      <c r="Y1717">
        <v>-2.9587780000000001E-2</v>
      </c>
      <c r="Z1717">
        <v>-1.302587E-3</v>
      </c>
      <c r="AA1717">
        <v>0.99956129999999999</v>
      </c>
      <c r="AB1717">
        <v>39</v>
      </c>
      <c r="AC1717">
        <v>-32.999599999999901</v>
      </c>
      <c r="AD1717">
        <v>-1.10799604097999</v>
      </c>
      <c r="AE1717">
        <v>-0.18180000000000901</v>
      </c>
      <c r="AF1717">
        <v>-0.98782913769534397</v>
      </c>
      <c r="AG1717">
        <v>-1.10799604097999</v>
      </c>
      <c r="AH1717">
        <v>32.948136217051797</v>
      </c>
      <c r="AI1717">
        <v>91.925180271455901</v>
      </c>
      <c r="AJ1717">
        <v>91.717289585852399</v>
      </c>
      <c r="AK1717">
        <v>32.981557601324802</v>
      </c>
      <c r="AL1717">
        <v>86.613492929019699</v>
      </c>
      <c r="AM1717">
        <v>89.650615485042707</v>
      </c>
      <c r="AN1717">
        <v>0.99999999305866505</v>
      </c>
    </row>
    <row r="1718" spans="1:40" x14ac:dyDescent="0.25">
      <c r="A1718" t="str">
        <f>"20190312151259696"</f>
        <v>20190312151259696</v>
      </c>
      <c r="B1718" t="str">
        <f>"1552374779691468"</f>
        <v>1552374779691468</v>
      </c>
      <c r="C1718" t="s">
        <v>40</v>
      </c>
      <c r="D1718">
        <v>4.5359020000000001</v>
      </c>
      <c r="E1718">
        <v>0.4875333</v>
      </c>
      <c r="F1718" t="s">
        <v>55</v>
      </c>
      <c r="G1718">
        <v>-299.98820000000001</v>
      </c>
      <c r="H1718" s="1">
        <v>4.2027649999999999E-6</v>
      </c>
      <c r="I1718">
        <v>281.916</v>
      </c>
      <c r="J1718">
        <v>-265.91840000000002</v>
      </c>
      <c r="K1718">
        <v>1.108025</v>
      </c>
      <c r="L1718">
        <v>282.06830000000002</v>
      </c>
      <c r="M1718">
        <v>-0.99965879999999996</v>
      </c>
      <c r="N1718">
        <v>0</v>
      </c>
      <c r="O1718">
        <v>2.5264519999999999E-2</v>
      </c>
      <c r="P1718">
        <v>-0.99812590000000001</v>
      </c>
      <c r="Q1718">
        <v>5.2386210000000002E-2</v>
      </c>
      <c r="R1718">
        <v>3.16286E-2</v>
      </c>
      <c r="S1718">
        <v>-3.0109859999999999</v>
      </c>
      <c r="T1718">
        <v>-9.6829299999999993E-2</v>
      </c>
      <c r="U1718">
        <v>-1.242065E-2</v>
      </c>
      <c r="V1718">
        <v>6.5296529999999998E-3</v>
      </c>
      <c r="W1718">
        <v>5.9005599999999998E-2</v>
      </c>
      <c r="X1718">
        <v>0.99823629999999997</v>
      </c>
      <c r="Y1718">
        <v>-2.936039E-2</v>
      </c>
      <c r="Z1718">
        <v>-1.2841949999999999E-3</v>
      </c>
      <c r="AA1718">
        <v>0.99956800000000001</v>
      </c>
      <c r="AB1718">
        <v>39</v>
      </c>
      <c r="AC1718">
        <v>-34.069799999999901</v>
      </c>
      <c r="AD1718">
        <v>-1.108020797235</v>
      </c>
      <c r="AE1718">
        <v>-0.152300000000025</v>
      </c>
      <c r="AF1718">
        <v>-1.0119571480368299</v>
      </c>
      <c r="AG1718">
        <v>-1.108020797235</v>
      </c>
      <c r="AH1718">
        <v>34.019095812743402</v>
      </c>
      <c r="AI1718">
        <v>91.864671572930206</v>
      </c>
      <c r="AJ1718">
        <v>91.703860126333893</v>
      </c>
      <c r="AK1718">
        <v>34.0521753677086</v>
      </c>
      <c r="AL1718">
        <v>86.617263302143101</v>
      </c>
      <c r="AM1718">
        <v>89.625222782566297</v>
      </c>
      <c r="AN1718">
        <v>1.0000000039186701</v>
      </c>
    </row>
    <row r="1719" spans="1:40" x14ac:dyDescent="0.25">
      <c r="A1719" t="str">
        <f>"20190312151259717"</f>
        <v>20190312151259717</v>
      </c>
      <c r="B1719" t="str">
        <f>"1552374779711964"</f>
        <v>1552374779711964</v>
      </c>
      <c r="C1719" t="s">
        <v>40</v>
      </c>
      <c r="D1719">
        <v>4.2037180000000003</v>
      </c>
      <c r="E1719">
        <v>0.4873035</v>
      </c>
      <c r="F1719" t="s">
        <v>55</v>
      </c>
      <c r="G1719">
        <v>-299.87479999999999</v>
      </c>
      <c r="H1719" s="1">
        <v>4.190086E-6</v>
      </c>
      <c r="I1719">
        <v>281.95429999999999</v>
      </c>
      <c r="J1719">
        <v>-266.31009999999998</v>
      </c>
      <c r="K1719">
        <v>1.1080540000000001</v>
      </c>
      <c r="L1719">
        <v>282.07870000000003</v>
      </c>
      <c r="M1719">
        <v>-0.9996389</v>
      </c>
      <c r="N1719">
        <v>0</v>
      </c>
      <c r="O1719">
        <v>2.6033299999999902E-2</v>
      </c>
      <c r="P1719">
        <v>-0.99805759999999999</v>
      </c>
      <c r="Q1719">
        <v>5.2638369999999997E-2</v>
      </c>
      <c r="R1719">
        <v>3.3324560000000003E-2</v>
      </c>
      <c r="S1719">
        <v>-3.011139</v>
      </c>
      <c r="T1719">
        <v>-9.8255629999999997E-2</v>
      </c>
      <c r="U1719">
        <v>-1.010132E-2</v>
      </c>
      <c r="V1719">
        <v>7.4546999999999999E-3</v>
      </c>
      <c r="W1719">
        <v>5.9276919999999997E-2</v>
      </c>
      <c r="X1719">
        <v>0.99821380000000004</v>
      </c>
      <c r="Y1719">
        <v>-2.935774E-2</v>
      </c>
      <c r="Z1719">
        <v>-1.3280659999999999E-3</v>
      </c>
      <c r="AA1719">
        <v>0.99956809999999996</v>
      </c>
      <c r="AB1719">
        <v>39</v>
      </c>
      <c r="AC1719">
        <v>-33.564700000000002</v>
      </c>
      <c r="AD1719">
        <v>-1.1080498099139999</v>
      </c>
      <c r="AE1719">
        <v>-0.124400000000036</v>
      </c>
      <c r="AF1719">
        <v>-0.99709048210003004</v>
      </c>
      <c r="AG1719">
        <v>-1.1080498099139999</v>
      </c>
      <c r="AH1719">
        <v>33.513561904416299</v>
      </c>
      <c r="AI1719">
        <v>91.892828062088896</v>
      </c>
      <c r="AJ1719">
        <v>91.704152759477694</v>
      </c>
      <c r="AK1719">
        <v>33.546695743871602</v>
      </c>
      <c r="AL1719">
        <v>86.601690737612103</v>
      </c>
      <c r="AM1719">
        <v>89.5721208148409</v>
      </c>
      <c r="AN1719">
        <v>1.0000000581535999</v>
      </c>
    </row>
    <row r="1720" spans="1:40" x14ac:dyDescent="0.25">
      <c r="A1720" t="str">
        <f>"20190312151259740"</f>
        <v>20190312151259740</v>
      </c>
      <c r="B1720" t="str">
        <f>"1552374779731488"</f>
        <v>1552374779731488</v>
      </c>
      <c r="C1720" t="s">
        <v>40</v>
      </c>
      <c r="D1720">
        <v>4.2423890000000002</v>
      </c>
      <c r="E1720">
        <v>0.48705999999999999</v>
      </c>
      <c r="F1720" t="s">
        <v>55</v>
      </c>
      <c r="G1720">
        <v>-300.33390000000003</v>
      </c>
      <c r="H1720" s="1">
        <v>4.1336709999999997E-6</v>
      </c>
      <c r="I1720">
        <v>282.00490000000002</v>
      </c>
      <c r="J1720">
        <v>-266.71129999999999</v>
      </c>
      <c r="K1720">
        <v>1.1081000000000001</v>
      </c>
      <c r="L1720">
        <v>282.08980000000003</v>
      </c>
      <c r="M1720">
        <v>-0.99961979999999995</v>
      </c>
      <c r="N1720">
        <v>0</v>
      </c>
      <c r="O1720">
        <v>2.6755089999999999E-2</v>
      </c>
      <c r="P1720">
        <v>-0.99802469999999999</v>
      </c>
      <c r="Q1720">
        <v>5.2282309999999999E-2</v>
      </c>
      <c r="R1720">
        <v>3.4837220000000002E-2</v>
      </c>
      <c r="S1720">
        <v>-3.0112610000000002</v>
      </c>
      <c r="T1720">
        <v>-9.8067520000000005E-2</v>
      </c>
      <c r="U1720">
        <v>-6.5307619999999999E-3</v>
      </c>
      <c r="V1720">
        <v>8.2393980000000002E-3</v>
      </c>
      <c r="W1720">
        <v>5.8942290000000001E-2</v>
      </c>
      <c r="X1720">
        <v>0.99822739999999999</v>
      </c>
      <c r="Y1720">
        <v>-2.8894119999999999E-2</v>
      </c>
      <c r="Z1720">
        <v>-1.3414179999999901E-3</v>
      </c>
      <c r="AA1720">
        <v>0.99958159999999896</v>
      </c>
      <c r="AB1720">
        <v>39</v>
      </c>
      <c r="AC1720">
        <v>-33.622599999999998</v>
      </c>
      <c r="AD1720">
        <v>-1.1080958663289999</v>
      </c>
      <c r="AE1720">
        <v>-8.4900000000004597E-2</v>
      </c>
      <c r="AF1720">
        <v>-0.98339715995891397</v>
      </c>
      <c r="AG1720">
        <v>-1.1080958663289999</v>
      </c>
      <c r="AH1720">
        <v>33.571827639867301</v>
      </c>
      <c r="AI1720">
        <v>91.889649415680395</v>
      </c>
      <c r="AJ1720">
        <v>91.677847284681903</v>
      </c>
      <c r="AK1720">
        <v>33.604502042198803</v>
      </c>
      <c r="AL1720">
        <v>86.620897048563407</v>
      </c>
      <c r="AM1720">
        <v>89.527089708491403</v>
      </c>
      <c r="AN1720">
        <v>1.0000000116703001</v>
      </c>
    </row>
    <row r="1721" spans="1:40" x14ac:dyDescent="0.25">
      <c r="A1721" t="str">
        <f>"20190312151259763"</f>
        <v>20190312151259763</v>
      </c>
      <c r="B1721" t="str">
        <f>"1552374779751980"</f>
        <v>1552374779751980</v>
      </c>
      <c r="C1721" t="s">
        <v>40</v>
      </c>
      <c r="D1721">
        <v>4.1803970000000001</v>
      </c>
      <c r="E1721">
        <v>0.48691990000000002</v>
      </c>
      <c r="F1721" t="s">
        <v>55</v>
      </c>
      <c r="G1721">
        <v>-301.12569999999999</v>
      </c>
      <c r="H1721" s="1">
        <v>3.9896979999999996E-6</v>
      </c>
      <c r="I1721">
        <v>282.04509999999999</v>
      </c>
      <c r="J1721">
        <v>-267.1123</v>
      </c>
      <c r="K1721">
        <v>1.1081540000000001</v>
      </c>
      <c r="L1721">
        <v>282.101</v>
      </c>
      <c r="M1721">
        <v>-0.9996022</v>
      </c>
      <c r="N1721">
        <v>0</v>
      </c>
      <c r="O1721">
        <v>2.7399389999999999E-2</v>
      </c>
      <c r="P1721">
        <v>-0.99799749999999998</v>
      </c>
      <c r="Q1721">
        <v>5.2082169999999997E-2</v>
      </c>
      <c r="R1721">
        <v>3.5903989999999997E-2</v>
      </c>
      <c r="S1721">
        <v>-3.0112299999999999</v>
      </c>
      <c r="T1721">
        <v>-9.6957329999999994E-2</v>
      </c>
      <c r="U1721">
        <v>-3.90625E-3</v>
      </c>
      <c r="V1721">
        <v>8.6547450000000001E-3</v>
      </c>
      <c r="W1721">
        <v>5.8763309999999999E-2</v>
      </c>
      <c r="X1721">
        <v>0.99823450000000002</v>
      </c>
      <c r="Y1721">
        <v>-2.8667669999999999E-2</v>
      </c>
      <c r="Z1721">
        <v>-1.343342E-3</v>
      </c>
      <c r="AA1721">
        <v>0.99958809999999998</v>
      </c>
      <c r="AB1721">
        <v>39</v>
      </c>
      <c r="AC1721">
        <v>-34.013399999999898</v>
      </c>
      <c r="AD1721">
        <v>-1.1081500103020001</v>
      </c>
      <c r="AE1721">
        <v>-5.59000000000082E-2</v>
      </c>
      <c r="AF1721">
        <v>-0.98679883221346798</v>
      </c>
      <c r="AG1721">
        <v>-1.1081500103020001</v>
      </c>
      <c r="AH1721">
        <v>33.963048219417402</v>
      </c>
      <c r="AI1721">
        <v>91.868002155374597</v>
      </c>
      <c r="AJ1721">
        <v>91.664264817028496</v>
      </c>
      <c r="AK1721">
        <v>33.995446941245802</v>
      </c>
      <c r="AL1721">
        <v>86.6311698634332</v>
      </c>
      <c r="AM1721">
        <v>89.503255060062202</v>
      </c>
      <c r="AN1721">
        <v>1.0000000741017001</v>
      </c>
    </row>
    <row r="1722" spans="1:40" x14ac:dyDescent="0.25">
      <c r="A1722" t="str">
        <f>"20190312151259788"</f>
        <v>20190312151259788</v>
      </c>
      <c r="B1722" t="str">
        <f>"1552374779781260"</f>
        <v>1552374779781260</v>
      </c>
      <c r="C1722" t="s">
        <v>40</v>
      </c>
      <c r="D1722">
        <v>4.3031600000000001</v>
      </c>
      <c r="E1722">
        <v>0.48674630000000002</v>
      </c>
      <c r="F1722" t="s">
        <v>55</v>
      </c>
      <c r="G1722">
        <v>-302.07670000000002</v>
      </c>
      <c r="H1722" s="1">
        <v>3.8180459999999997E-6</v>
      </c>
      <c r="I1722">
        <v>282.07900000000001</v>
      </c>
      <c r="J1722">
        <v>-267.51850000000002</v>
      </c>
      <c r="K1722">
        <v>1.108222</v>
      </c>
      <c r="L1722">
        <v>282.11259999999999</v>
      </c>
      <c r="M1722">
        <v>-0.99958630000000004</v>
      </c>
      <c r="N1722">
        <v>0</v>
      </c>
      <c r="O1722">
        <v>2.7963149999999999E-2</v>
      </c>
      <c r="P1722">
        <v>-0.99797899999999995</v>
      </c>
      <c r="Q1722">
        <v>5.172583E-2</v>
      </c>
      <c r="R1722">
        <v>3.6909900000000002E-2</v>
      </c>
      <c r="S1722">
        <v>-3.0110779999999999</v>
      </c>
      <c r="T1722">
        <v>-9.5432039999999996E-2</v>
      </c>
      <c r="U1722">
        <v>-1.8920899999999999E-3</v>
      </c>
      <c r="V1722">
        <v>9.0874660000000006E-3</v>
      </c>
      <c r="W1722">
        <v>5.8429139999999997E-2</v>
      </c>
      <c r="X1722">
        <v>0.99825019999999998</v>
      </c>
      <c r="Y1722">
        <v>-2.856353E-2</v>
      </c>
      <c r="Z1722">
        <v>-1.3384950000000001E-3</v>
      </c>
      <c r="AA1722">
        <v>0.99959109999999995</v>
      </c>
      <c r="AB1722">
        <v>39</v>
      </c>
      <c r="AC1722">
        <v>-34.558199999999999</v>
      </c>
      <c r="AD1722">
        <v>-1.108218181954</v>
      </c>
      <c r="AE1722">
        <v>-3.3599999999978501E-2</v>
      </c>
      <c r="AF1722">
        <v>-0.99893760109233698</v>
      </c>
      <c r="AG1722">
        <v>-1.108218181954</v>
      </c>
      <c r="AH1722">
        <v>34.5082588456753</v>
      </c>
      <c r="AI1722">
        <v>91.8386279503992</v>
      </c>
      <c r="AJ1722">
        <v>91.658122761390104</v>
      </c>
      <c r="AK1722">
        <v>34.54049728116</v>
      </c>
      <c r="AL1722">
        <v>86.650349112917297</v>
      </c>
      <c r="AM1722">
        <v>89.478428287883403</v>
      </c>
      <c r="AN1722">
        <v>1.0000000041197401</v>
      </c>
    </row>
    <row r="1723" spans="1:40" x14ac:dyDescent="0.25">
      <c r="A1723" t="str">
        <f>"20190312151259809"</f>
        <v>20190312151259809</v>
      </c>
      <c r="B1723" t="str">
        <f>"1552374779801759"</f>
        <v>1552374779801759</v>
      </c>
      <c r="C1723" t="s">
        <v>40</v>
      </c>
      <c r="D1723">
        <v>4.2515720000000004</v>
      </c>
      <c r="E1723">
        <v>0.48692150000000001</v>
      </c>
      <c r="F1723" t="s">
        <v>55</v>
      </c>
      <c r="G1723">
        <v>-303.09829999999999</v>
      </c>
      <c r="H1723" s="1">
        <v>3.6337349999999999E-6</v>
      </c>
      <c r="I1723">
        <v>282.11439999999999</v>
      </c>
      <c r="J1723">
        <v>-267.9153</v>
      </c>
      <c r="K1723">
        <v>1.1082920000000001</v>
      </c>
      <c r="L1723">
        <v>282.12400000000002</v>
      </c>
      <c r="M1723">
        <v>-0.99957320000000005</v>
      </c>
      <c r="N1723">
        <v>0</v>
      </c>
      <c r="O1723">
        <v>2.842364E-2</v>
      </c>
      <c r="P1723">
        <v>-0.99796810000000002</v>
      </c>
      <c r="Q1723">
        <v>5.1380429999999998E-2</v>
      </c>
      <c r="R1723">
        <v>3.768299E-2</v>
      </c>
      <c r="S1723">
        <v>-3.0109249999999999</v>
      </c>
      <c r="T1723">
        <v>-9.3782420000000005E-2</v>
      </c>
      <c r="U1723">
        <v>1.5258789999999999E-4</v>
      </c>
      <c r="V1723">
        <v>9.3901950000000005E-3</v>
      </c>
      <c r="W1723">
        <v>5.8104969999999999E-2</v>
      </c>
      <c r="X1723">
        <v>0.99826630000000005</v>
      </c>
      <c r="Y1723">
        <v>-2.8346099999999999E-2</v>
      </c>
      <c r="Z1723">
        <v>-1.3263839999999999E-3</v>
      </c>
      <c r="AA1723">
        <v>0.99959730000000002</v>
      </c>
      <c r="AB1723">
        <v>39</v>
      </c>
      <c r="AC1723">
        <v>-35.1829999999999</v>
      </c>
      <c r="AD1723">
        <v>-1.108288366265</v>
      </c>
      <c r="AE1723">
        <v>-9.6000000000344698E-3</v>
      </c>
      <c r="AF1723">
        <v>-1.0086469329740599</v>
      </c>
      <c r="AG1723">
        <v>-1.108288366265</v>
      </c>
      <c r="AH1723">
        <v>35.133648515286502</v>
      </c>
      <c r="AI1723">
        <v>91.806048395382405</v>
      </c>
      <c r="AJ1723">
        <v>91.644444725283407</v>
      </c>
      <c r="AK1723">
        <v>35.165592981405702</v>
      </c>
      <c r="AL1723">
        <v>86.668954229978695</v>
      </c>
      <c r="AM1723">
        <v>89.461062970096606</v>
      </c>
      <c r="AN1723">
        <v>0.99999998450826399</v>
      </c>
    </row>
    <row r="1724" spans="1:40" x14ac:dyDescent="0.25">
      <c r="A1724" t="str">
        <f>"20190312151259832"</f>
        <v>20190312151259832</v>
      </c>
      <c r="B1724" t="str">
        <f>"1552374779822255"</f>
        <v>1552374779822255</v>
      </c>
      <c r="C1724" t="s">
        <v>40</v>
      </c>
      <c r="D1724">
        <v>4.2159559999999896</v>
      </c>
      <c r="E1724">
        <v>0.51146029999999998</v>
      </c>
      <c r="F1724" t="s">
        <v>55</v>
      </c>
      <c r="G1724">
        <v>-303.50150000000002</v>
      </c>
      <c r="H1724" s="1">
        <v>3.5575919999999998E-6</v>
      </c>
      <c r="I1724">
        <v>282.16730000000001</v>
      </c>
      <c r="J1724">
        <v>-268.31380000000001</v>
      </c>
      <c r="K1724">
        <v>1.1083559999999999</v>
      </c>
      <c r="L1724">
        <v>282.13569999999999</v>
      </c>
      <c r="M1724">
        <v>-0.99956199999999995</v>
      </c>
      <c r="N1724">
        <v>0</v>
      </c>
      <c r="O1724">
        <v>2.881266E-2</v>
      </c>
      <c r="P1724">
        <v>-0.9979732</v>
      </c>
      <c r="Q1724">
        <v>5.1004979999999998E-2</v>
      </c>
      <c r="R1724">
        <v>3.8056979999999997E-2</v>
      </c>
      <c r="S1724">
        <v>-3.0108030000000001</v>
      </c>
      <c r="T1724">
        <v>-9.3767639999999999E-2</v>
      </c>
      <c r="U1724">
        <v>3.6621090000000002E-3</v>
      </c>
      <c r="V1724">
        <v>9.3654480000000002E-3</v>
      </c>
      <c r="W1724">
        <v>5.7752230000000002E-2</v>
      </c>
      <c r="X1724">
        <v>0.99828700000000004</v>
      </c>
      <c r="Y1724">
        <v>-2.7570150000000002E-2</v>
      </c>
      <c r="Z1724">
        <v>-1.326254E-3</v>
      </c>
      <c r="AA1724">
        <v>0.99961900000000004</v>
      </c>
      <c r="AB1724">
        <v>40</v>
      </c>
      <c r="AC1724">
        <v>-35.1877</v>
      </c>
      <c r="AD1724">
        <v>-1.10835244240799</v>
      </c>
      <c r="AE1724">
        <v>3.1600000000025802E-2</v>
      </c>
      <c r="AF1724">
        <v>-0.98131389021933402</v>
      </c>
      <c r="AG1724">
        <v>-1.10835244240799</v>
      </c>
      <c r="AH1724">
        <v>35.139137925813301</v>
      </c>
      <c r="AI1724">
        <v>91.805910723736702</v>
      </c>
      <c r="AJ1724">
        <v>91.599656051731799</v>
      </c>
      <c r="AK1724">
        <v>35.170306172353101</v>
      </c>
      <c r="AL1724">
        <v>86.689198734781499</v>
      </c>
      <c r="AM1724">
        <v>89.462494350933795</v>
      </c>
      <c r="AN1724">
        <v>0.99999998302760595</v>
      </c>
    </row>
    <row r="1725" spans="1:40" x14ac:dyDescent="0.25">
      <c r="A1725" t="str">
        <f>"20190312151259853"</f>
        <v>20190312151259853</v>
      </c>
      <c r="B1725" t="str">
        <f>"1552374779841772"</f>
        <v>1552374779841772</v>
      </c>
      <c r="C1725" t="s">
        <v>40</v>
      </c>
      <c r="D1725">
        <v>4.1923700000000004</v>
      </c>
      <c r="E1725">
        <v>0.51137679999999996</v>
      </c>
      <c r="F1725" t="s">
        <v>54</v>
      </c>
      <c r="G1725">
        <v>-323.29169999999999</v>
      </c>
      <c r="H1725" s="1">
        <v>1.6214779999999899E-7</v>
      </c>
      <c r="I1725">
        <v>285.82319999999999</v>
      </c>
      <c r="J1725">
        <v>-268.70209999999997</v>
      </c>
      <c r="K1725">
        <v>1.108419</v>
      </c>
      <c r="L1725">
        <v>282.14710000000002</v>
      </c>
      <c r="M1725">
        <v>-0.99955300000000002</v>
      </c>
      <c r="N1725">
        <v>0</v>
      </c>
      <c r="O1725">
        <v>2.9122479999999999E-2</v>
      </c>
      <c r="P1725">
        <v>-0.997946</v>
      </c>
      <c r="Q1725">
        <v>5.1138339999999997E-2</v>
      </c>
      <c r="R1725">
        <v>3.858839E-2</v>
      </c>
      <c r="S1725">
        <v>-3.0015260000000001</v>
      </c>
      <c r="T1725">
        <v>-6.0510870000000001E-2</v>
      </c>
      <c r="U1725">
        <v>0.20132449999999999</v>
      </c>
      <c r="V1725">
        <v>9.5790760000000006E-3</v>
      </c>
      <c r="W1725">
        <v>5.790646E-2</v>
      </c>
      <c r="X1725">
        <v>0.9982761</v>
      </c>
      <c r="Y1725">
        <v>3.7835670000000002E-2</v>
      </c>
      <c r="Z1725">
        <v>-2.0528270000000001E-4</v>
      </c>
      <c r="AA1725">
        <v>0.99928399999999995</v>
      </c>
      <c r="AB1725">
        <v>40</v>
      </c>
      <c r="AC1725">
        <v>-54.589599999999997</v>
      </c>
      <c r="AD1725">
        <v>-1.1084188378522</v>
      </c>
      <c r="AE1725">
        <v>3.67609999999996</v>
      </c>
      <c r="AF1725">
        <v>2.0838646171897501</v>
      </c>
      <c r="AG1725">
        <v>-1.1084188378522</v>
      </c>
      <c r="AH1725">
        <v>54.651074782267798</v>
      </c>
      <c r="AI1725">
        <v>91.161055246252502</v>
      </c>
      <c r="AJ1725">
        <v>87.816349742280394</v>
      </c>
      <c r="AK1725">
        <v>54.702020610941801</v>
      </c>
      <c r="AL1725">
        <v>86.680347397037707</v>
      </c>
      <c r="AM1725">
        <v>89.450228466482798</v>
      </c>
      <c r="AN1725">
        <v>1.00000004431897</v>
      </c>
    </row>
    <row r="1726" spans="1:40" x14ac:dyDescent="0.25">
      <c r="A1726" t="str">
        <f>"20190312151259874"</f>
        <v>20190312151259874</v>
      </c>
      <c r="B1726" t="str">
        <f>"1552374779872028"</f>
        <v>1552374779872028</v>
      </c>
      <c r="C1726" t="s">
        <v>40</v>
      </c>
      <c r="D1726">
        <v>4.2965159999999996</v>
      </c>
      <c r="E1726">
        <v>0.51120200000000005</v>
      </c>
      <c r="F1726" t="s">
        <v>55</v>
      </c>
      <c r="G1726">
        <v>-316.37290000000002</v>
      </c>
      <c r="H1726" s="1">
        <v>4.9786489999999999E-6</v>
      </c>
      <c r="I1726">
        <v>285.35379999999998</v>
      </c>
      <c r="J1726">
        <v>-269.08420000000001</v>
      </c>
      <c r="K1726">
        <v>1.108474</v>
      </c>
      <c r="L1726">
        <v>282.15839999999997</v>
      </c>
      <c r="M1726">
        <v>-0.99954580000000004</v>
      </c>
      <c r="N1726">
        <v>0</v>
      </c>
      <c r="O1726">
        <v>2.9360000000000001E-2</v>
      </c>
      <c r="P1726">
        <v>-0.99791039999999998</v>
      </c>
      <c r="Q1726">
        <v>5.1326120000000003E-2</v>
      </c>
      <c r="R1726">
        <v>3.9250970000000003E-2</v>
      </c>
      <c r="S1726">
        <v>-3.0019529999999999</v>
      </c>
      <c r="T1726">
        <v>-6.9799659999999999E-2</v>
      </c>
      <c r="U1726">
        <v>0.2019348</v>
      </c>
      <c r="V1726">
        <v>9.9965290000000005E-3</v>
      </c>
      <c r="W1726">
        <v>5.8114970000000002E-2</v>
      </c>
      <c r="X1726">
        <v>0.99825980000000003</v>
      </c>
      <c r="Y1726">
        <v>3.7790459999999998E-2</v>
      </c>
      <c r="Z1726">
        <v>-2.4278750000000001E-4</v>
      </c>
      <c r="AA1726">
        <v>0.9992856</v>
      </c>
      <c r="AB1726">
        <v>40</v>
      </c>
      <c r="AC1726">
        <v>-47.288699999999999</v>
      </c>
      <c r="AD1726">
        <v>-1.108469021351</v>
      </c>
      <c r="AE1726">
        <v>3.1953999999999998</v>
      </c>
      <c r="AF1726">
        <v>1.80460706858824</v>
      </c>
      <c r="AG1726">
        <v>-1.108469021351</v>
      </c>
      <c r="AH1726">
        <v>47.336241186995899</v>
      </c>
      <c r="AI1726">
        <v>91.340472189494903</v>
      </c>
      <c r="AJ1726">
        <v>87.816761143018695</v>
      </c>
      <c r="AK1726">
        <v>47.383594628908597</v>
      </c>
      <c r="AL1726">
        <v>86.668380201632502</v>
      </c>
      <c r="AM1726">
        <v>89.426261803446295</v>
      </c>
      <c r="AN1726">
        <v>0.99999995431309296</v>
      </c>
    </row>
    <row r="1727" spans="1:40" x14ac:dyDescent="0.25">
      <c r="A1727" t="str">
        <f>"20190312151259896"</f>
        <v>20190312151259896</v>
      </c>
      <c r="B1727" t="str">
        <f>"1552374779891548"</f>
        <v>1552374779891548</v>
      </c>
      <c r="C1727" t="s">
        <v>40</v>
      </c>
      <c r="D1727">
        <v>4.2291210000000001</v>
      </c>
      <c r="E1727">
        <v>0.51096299999999995</v>
      </c>
      <c r="F1727" t="s">
        <v>55</v>
      </c>
      <c r="G1727">
        <v>-314.74900000000002</v>
      </c>
      <c r="H1727" s="1">
        <v>4.2689029999999998E-6</v>
      </c>
      <c r="I1727">
        <v>285.23469999999998</v>
      </c>
      <c r="J1727">
        <v>-269.47059999999999</v>
      </c>
      <c r="K1727">
        <v>1.108536</v>
      </c>
      <c r="L1727">
        <v>282.17</v>
      </c>
      <c r="M1727">
        <v>-0.9995406</v>
      </c>
      <c r="N1727">
        <v>0</v>
      </c>
      <c r="O1727">
        <v>2.9535079999999998E-2</v>
      </c>
      <c r="P1727">
        <v>-0.9978823</v>
      </c>
      <c r="Q1727">
        <v>5.1771770000000002E-2</v>
      </c>
      <c r="R1727">
        <v>3.9381340000000001E-2</v>
      </c>
      <c r="S1727">
        <v>-3.0021059999999999</v>
      </c>
      <c r="T1727">
        <v>-7.2873229999999997E-2</v>
      </c>
      <c r="U1727">
        <v>0.20224</v>
      </c>
      <c r="V1727">
        <v>9.9444189999999995E-3</v>
      </c>
      <c r="W1727">
        <v>5.8581000000000001E-2</v>
      </c>
      <c r="X1727">
        <v>0.99823309999999998</v>
      </c>
      <c r="Y1727">
        <v>3.7713009999999998E-2</v>
      </c>
      <c r="Z1727">
        <v>-2.5864159999999998E-4</v>
      </c>
      <c r="AA1727">
        <v>0.99928859999999997</v>
      </c>
      <c r="AB1727">
        <v>40</v>
      </c>
      <c r="AC1727">
        <v>-45.278399999999998</v>
      </c>
      <c r="AD1727">
        <v>-1.108531731097</v>
      </c>
      <c r="AE1727">
        <v>3.0646999999999598</v>
      </c>
      <c r="AF1727">
        <v>1.7250015966308501</v>
      </c>
      <c r="AG1727">
        <v>-1.108531731097</v>
      </c>
      <c r="AH1727">
        <v>45.322122355528798</v>
      </c>
      <c r="AI1727">
        <v>91.400102164128995</v>
      </c>
      <c r="AJ1727">
        <v>87.820322128266</v>
      </c>
      <c r="AK1727">
        <v>45.368482980112397</v>
      </c>
      <c r="AL1727">
        <v>86.641633143552099</v>
      </c>
      <c r="AM1727">
        <v>89.429237128001503</v>
      </c>
      <c r="AN1727">
        <v>0.99999997348292802</v>
      </c>
    </row>
    <row r="1728" spans="1:40" x14ac:dyDescent="0.25">
      <c r="A1728" t="str">
        <f>"20190312151259918"</f>
        <v>20190312151259918</v>
      </c>
      <c r="B1728" t="str">
        <f>"1552374779912044"</f>
        <v>1552374779912044</v>
      </c>
      <c r="C1728" t="s">
        <v>40</v>
      </c>
      <c r="D1728">
        <v>4.237743</v>
      </c>
      <c r="E1728">
        <v>0.51055569999999995</v>
      </c>
      <c r="F1728" t="s">
        <v>55</v>
      </c>
      <c r="G1728">
        <v>-311.8716</v>
      </c>
      <c r="H1728" s="1">
        <v>3.013353E-6</v>
      </c>
      <c r="I1728">
        <v>285.00099999999998</v>
      </c>
      <c r="J1728">
        <v>-269.86770000000001</v>
      </c>
      <c r="K1728">
        <v>1.1085910000000001</v>
      </c>
      <c r="L1728">
        <v>282.18180000000001</v>
      </c>
      <c r="M1728">
        <v>-0.9995368</v>
      </c>
      <c r="N1728">
        <v>0</v>
      </c>
      <c r="O1728">
        <v>2.96586E-2</v>
      </c>
      <c r="P1728">
        <v>-0.9978901</v>
      </c>
      <c r="Q1728">
        <v>5.1955010000000003E-2</v>
      </c>
      <c r="R1728">
        <v>3.8941709999999997E-2</v>
      </c>
      <c r="S1728">
        <v>-3.0025019999999998</v>
      </c>
      <c r="T1728">
        <v>-7.8497410000000004E-2</v>
      </c>
      <c r="U1728">
        <v>0.20047000000000001</v>
      </c>
      <c r="V1728">
        <v>9.3726250000000007E-3</v>
      </c>
      <c r="W1728">
        <v>5.8786159999999997E-2</v>
      </c>
      <c r="X1728">
        <v>0.99822659999999996</v>
      </c>
      <c r="Y1728">
        <v>3.6994100000000002E-2</v>
      </c>
      <c r="Z1728">
        <v>-2.9117519999999998E-4</v>
      </c>
      <c r="AA1728">
        <v>0.99931539999999996</v>
      </c>
      <c r="AB1728">
        <v>40</v>
      </c>
      <c r="AC1728">
        <v>-42.003899999999902</v>
      </c>
      <c r="AD1728">
        <v>-1.1085879866470001</v>
      </c>
      <c r="AE1728">
        <v>2.81919999999996</v>
      </c>
      <c r="AF1728">
        <v>1.5710644331491299</v>
      </c>
      <c r="AG1728">
        <v>-1.1085879866470001</v>
      </c>
      <c r="AH1728">
        <v>42.039884396051399</v>
      </c>
      <c r="AI1728">
        <v>91.509481313777499</v>
      </c>
      <c r="AJ1728">
        <v>87.859806389460701</v>
      </c>
      <c r="AK1728">
        <v>42.083834079259098</v>
      </c>
      <c r="AL1728">
        <v>86.629858143926199</v>
      </c>
      <c r="AM1728">
        <v>89.462049923761697</v>
      </c>
      <c r="AN1728">
        <v>1.0000000018272399</v>
      </c>
    </row>
    <row r="1729" spans="1:40" x14ac:dyDescent="0.25">
      <c r="A1729" t="str">
        <f>"20190312151259941"</f>
        <v>20190312151259941</v>
      </c>
      <c r="B1729" t="str">
        <f>"1552374779931576"</f>
        <v>1552374779931576</v>
      </c>
      <c r="C1729" t="s">
        <v>40</v>
      </c>
      <c r="D1729">
        <v>4.2779669999999896</v>
      </c>
      <c r="E1729">
        <v>0.51058769999999998</v>
      </c>
      <c r="F1729" t="s">
        <v>55</v>
      </c>
      <c r="G1729">
        <v>-312.04559999999998</v>
      </c>
      <c r="H1729" s="1">
        <v>3.096433E-6</v>
      </c>
      <c r="I1729">
        <v>284.93290000000002</v>
      </c>
      <c r="J1729">
        <v>-270.27409999999998</v>
      </c>
      <c r="K1729">
        <v>1.1086510000000001</v>
      </c>
      <c r="L1729">
        <v>282.19389999999999</v>
      </c>
      <c r="M1729">
        <v>-0.99953420000000004</v>
      </c>
      <c r="N1729">
        <v>0</v>
      </c>
      <c r="O1729">
        <v>2.9741980000000001E-2</v>
      </c>
      <c r="P1729">
        <v>-0.99790129999999999</v>
      </c>
      <c r="Q1729">
        <v>5.1968470000000003E-2</v>
      </c>
      <c r="R1729">
        <v>3.863374E-2</v>
      </c>
      <c r="S1729">
        <v>-3.0028079999999999</v>
      </c>
      <c r="T1729">
        <v>-7.892478E-2</v>
      </c>
      <c r="U1729">
        <v>0.1958618</v>
      </c>
      <c r="V1729">
        <v>8.9731529999999993E-3</v>
      </c>
      <c r="W1729">
        <v>5.8821859999999997E-2</v>
      </c>
      <c r="X1729">
        <v>0.99822820000000001</v>
      </c>
      <c r="Y1729">
        <v>3.5377579999999999E-2</v>
      </c>
      <c r="Z1729">
        <v>-3.161541E-4</v>
      </c>
      <c r="AA1729">
        <v>0.99937399999999998</v>
      </c>
      <c r="AB1729">
        <v>40</v>
      </c>
      <c r="AC1729">
        <v>-41.771500000000003</v>
      </c>
      <c r="AD1729">
        <v>-1.108647903567</v>
      </c>
      <c r="AE1729">
        <v>2.7390000000000301</v>
      </c>
      <c r="AF1729">
        <v>1.4943439188100001</v>
      </c>
      <c r="AG1729">
        <v>-1.108647903567</v>
      </c>
      <c r="AH1729">
        <v>41.805162994526199</v>
      </c>
      <c r="AI1729">
        <v>91.518124616575406</v>
      </c>
      <c r="AJ1729">
        <v>87.952808814454301</v>
      </c>
      <c r="AK1729">
        <v>41.846550836606198</v>
      </c>
      <c r="AL1729">
        <v>86.627809247451296</v>
      </c>
      <c r="AM1729">
        <v>89.484977534376</v>
      </c>
      <c r="AN1729">
        <v>1.0000000339819299</v>
      </c>
    </row>
    <row r="1730" spans="1:40" x14ac:dyDescent="0.25">
      <c r="A1730" t="str">
        <f>"20190312151259964"</f>
        <v>20190312151259964</v>
      </c>
      <c r="B1730" t="str">
        <f>"1552374779961820"</f>
        <v>1552374779961820</v>
      </c>
      <c r="C1730" t="s">
        <v>40</v>
      </c>
      <c r="D1730">
        <v>4.2866299999999997</v>
      </c>
      <c r="E1730">
        <v>0.51033070000000003</v>
      </c>
      <c r="F1730" t="s">
        <v>55</v>
      </c>
      <c r="G1730">
        <v>-313.11799999999999</v>
      </c>
      <c r="H1730" s="1">
        <v>3.567903E-6</v>
      </c>
      <c r="I1730">
        <v>284.98020000000002</v>
      </c>
      <c r="J1730">
        <v>-270.67899999999997</v>
      </c>
      <c r="K1730">
        <v>1.1086959999999999</v>
      </c>
      <c r="L1730">
        <v>282.20600000000002</v>
      </c>
      <c r="M1730">
        <v>-0.99953239999999999</v>
      </c>
      <c r="N1730">
        <v>0</v>
      </c>
      <c r="O1730">
        <v>2.9793879999999998E-2</v>
      </c>
      <c r="P1730">
        <v>-0.99793580000000004</v>
      </c>
      <c r="Q1730">
        <v>5.1378489999999999E-2</v>
      </c>
      <c r="R1730">
        <v>3.8530469999999997E-2</v>
      </c>
      <c r="S1730">
        <v>-3.0028079999999999</v>
      </c>
      <c r="T1730">
        <v>-7.7701930000000002E-2</v>
      </c>
      <c r="U1730">
        <v>0.19528200000000001</v>
      </c>
      <c r="V1730">
        <v>8.8100179999999993E-3</v>
      </c>
      <c r="W1730">
        <v>5.8253489999999998E-2</v>
      </c>
      <c r="X1730">
        <v>0.99826289999999995</v>
      </c>
      <c r="Y1730">
        <v>3.5133669999999999E-2</v>
      </c>
      <c r="Z1730">
        <v>-3.1575229999999998E-4</v>
      </c>
      <c r="AA1730">
        <v>0.99938260000000001</v>
      </c>
      <c r="AB1730">
        <v>40</v>
      </c>
      <c r="AC1730">
        <v>-42.438999999999901</v>
      </c>
      <c r="AD1730">
        <v>-1.108692432097</v>
      </c>
      <c r="AE1730">
        <v>2.77420000000006</v>
      </c>
      <c r="AF1730">
        <v>1.5074915323528399</v>
      </c>
      <c r="AG1730">
        <v>-1.108692432097</v>
      </c>
      <c r="AH1730">
        <v>42.473950626789403</v>
      </c>
      <c r="AI1730">
        <v>91.494304853930402</v>
      </c>
      <c r="AJ1730">
        <v>87.967303233845499</v>
      </c>
      <c r="AK1730">
        <v>42.515152727892797</v>
      </c>
      <c r="AL1730">
        <v>86.660430112002302</v>
      </c>
      <c r="AM1730">
        <v>89.494357904816894</v>
      </c>
      <c r="AN1730">
        <v>0.99999995151537302</v>
      </c>
    </row>
    <row r="1731" spans="1:40" x14ac:dyDescent="0.25">
      <c r="A1731" t="str">
        <f>"20190312151259988"</f>
        <v>20190312151259988</v>
      </c>
      <c r="B1731" t="str">
        <f>"1552374779981342"</f>
        <v>1552374779981342</v>
      </c>
      <c r="C1731" t="s">
        <v>40</v>
      </c>
      <c r="D1731">
        <v>4.3375870000000001</v>
      </c>
      <c r="E1731">
        <v>0.51007840000000004</v>
      </c>
      <c r="F1731" t="s">
        <v>55</v>
      </c>
      <c r="G1731">
        <v>-309.9393</v>
      </c>
      <c r="H1731" s="1">
        <v>2.1921589999999999E-6</v>
      </c>
      <c r="I1731">
        <v>284.7235</v>
      </c>
      <c r="J1731">
        <v>-271.10570000000001</v>
      </c>
      <c r="K1731">
        <v>1.108735</v>
      </c>
      <c r="L1731">
        <v>282.21879999999999</v>
      </c>
      <c r="M1731">
        <v>-0.99953130000000001</v>
      </c>
      <c r="N1731">
        <v>0</v>
      </c>
      <c r="O1731">
        <v>2.9824670000000001E-2</v>
      </c>
      <c r="P1731">
        <v>-0.99796200000000002</v>
      </c>
      <c r="Q1731">
        <v>5.1040380000000003E-2</v>
      </c>
      <c r="R1731">
        <v>3.8301219999999997E-2</v>
      </c>
      <c r="S1731">
        <v>-3.0031129999999999</v>
      </c>
      <c r="T1731">
        <v>-8.4806439999999997E-2</v>
      </c>
      <c r="U1731">
        <v>0.19256590000000001</v>
      </c>
      <c r="V1731">
        <v>8.5438230000000007E-3</v>
      </c>
      <c r="W1731">
        <v>5.7941220000000002E-2</v>
      </c>
      <c r="X1731">
        <v>0.99828340000000004</v>
      </c>
      <c r="Y1731">
        <v>3.4196249999999997E-2</v>
      </c>
      <c r="Z1731">
        <v>-3.5867709999999999E-4</v>
      </c>
      <c r="AA1731">
        <v>0.9994151</v>
      </c>
      <c r="AB1731">
        <v>40</v>
      </c>
      <c r="AC1731">
        <v>-38.833599999999898</v>
      </c>
      <c r="AD1731">
        <v>-1.1087328078409999</v>
      </c>
      <c r="AE1731">
        <v>2.5047000000000099</v>
      </c>
      <c r="AF1731">
        <v>1.34426756626288</v>
      </c>
      <c r="AG1731">
        <v>-1.1087328078409999</v>
      </c>
      <c r="AH1731">
        <v>38.859482360950501</v>
      </c>
      <c r="AI1731">
        <v>91.633334569598802</v>
      </c>
      <c r="AJ1731">
        <v>88.018754950330006</v>
      </c>
      <c r="AK1731">
        <v>38.898530988842097</v>
      </c>
      <c r="AL1731">
        <v>86.678352180228202</v>
      </c>
      <c r="AM1731">
        <v>89.5096452099055</v>
      </c>
      <c r="AN1731">
        <v>0.99999996430105098</v>
      </c>
    </row>
    <row r="1732" spans="1:40" x14ac:dyDescent="0.25">
      <c r="A1732" t="str">
        <f>"20190312151300011"</f>
        <v>20190312151300011</v>
      </c>
      <c r="B1732" t="str">
        <f>"1552374780001837"</f>
        <v>1552374780001837</v>
      </c>
      <c r="C1732" t="s">
        <v>40</v>
      </c>
      <c r="D1732">
        <v>4.3331629999999999</v>
      </c>
      <c r="E1732">
        <v>0.51002619999999999</v>
      </c>
      <c r="F1732" t="s">
        <v>55</v>
      </c>
      <c r="G1732">
        <v>-309.6748</v>
      </c>
      <c r="H1732" s="1">
        <v>2.2446559999999999E-6</v>
      </c>
      <c r="I1732">
        <v>284.65969999999999</v>
      </c>
      <c r="J1732">
        <v>-271.524</v>
      </c>
      <c r="K1732">
        <v>1.1087659999999999</v>
      </c>
      <c r="L1732">
        <v>282.23129999999998</v>
      </c>
      <c r="M1732">
        <v>-0.99953060000000005</v>
      </c>
      <c r="N1732">
        <v>0</v>
      </c>
      <c r="O1732">
        <v>2.984061E-2</v>
      </c>
      <c r="P1732">
        <v>-0.99800929999999999</v>
      </c>
      <c r="Q1732">
        <v>5.0443149999999999E-2</v>
      </c>
      <c r="R1732">
        <v>3.7859120000000003E-2</v>
      </c>
      <c r="S1732">
        <v>-3.0032350000000001</v>
      </c>
      <c r="T1732">
        <v>-8.6332800000000001E-2</v>
      </c>
      <c r="U1732">
        <v>0.1900635</v>
      </c>
      <c r="V1732">
        <v>8.080172E-3</v>
      </c>
      <c r="W1732">
        <v>5.7372819999999998E-2</v>
      </c>
      <c r="X1732">
        <v>0.99832010000000004</v>
      </c>
      <c r="Y1732">
        <v>3.3348580000000003E-2</v>
      </c>
      <c r="Z1732">
        <v>-3.7775409999999998E-4</v>
      </c>
      <c r="AA1732">
        <v>0.99944370000000005</v>
      </c>
      <c r="AB1732">
        <v>40</v>
      </c>
      <c r="AC1732">
        <v>-38.150799999999997</v>
      </c>
      <c r="AD1732">
        <v>-1.108763755344</v>
      </c>
      <c r="AE1732">
        <v>2.4284000000000101</v>
      </c>
      <c r="AF1732">
        <v>1.28776466749761</v>
      </c>
      <c r="AG1732">
        <v>-1.108763755344</v>
      </c>
      <c r="AH1732">
        <v>38.174162915121101</v>
      </c>
      <c r="AI1732">
        <v>91.662735699163903</v>
      </c>
      <c r="AJ1732">
        <v>88.0679206584539</v>
      </c>
      <c r="AK1732">
        <v>38.211966832057001</v>
      </c>
      <c r="AL1732">
        <v>86.710973407940401</v>
      </c>
      <c r="AM1732">
        <v>89.536271337841001</v>
      </c>
      <c r="AN1732">
        <v>0.99999997585915501</v>
      </c>
    </row>
    <row r="1733" spans="1:40" x14ac:dyDescent="0.25">
      <c r="A1733" t="str">
        <f>"20190312151300035"</f>
        <v>20190312151300035</v>
      </c>
      <c r="B1733" t="str">
        <f>"1552374780032094"</f>
        <v>1552374780032094</v>
      </c>
      <c r="C1733" t="s">
        <v>40</v>
      </c>
      <c r="D1733">
        <v>4.3549280000000001</v>
      </c>
      <c r="E1733">
        <v>0.50996009999999903</v>
      </c>
      <c r="F1733" t="s">
        <v>55</v>
      </c>
      <c r="G1733">
        <v>-307.77710000000002</v>
      </c>
      <c r="H1733" s="1">
        <v>2.5949240000000002E-6</v>
      </c>
      <c r="I1733">
        <v>284.50369999999998</v>
      </c>
      <c r="J1733">
        <v>-271.95</v>
      </c>
      <c r="K1733">
        <v>1.1087880000000001</v>
      </c>
      <c r="L1733">
        <v>282.2441</v>
      </c>
      <c r="M1733">
        <v>-0.99953020000000004</v>
      </c>
      <c r="N1733">
        <v>0</v>
      </c>
      <c r="O1733">
        <v>2.9848949999999999E-2</v>
      </c>
      <c r="P1733">
        <v>-0.99802860000000004</v>
      </c>
      <c r="Q1733">
        <v>5.0191069999999997E-2</v>
      </c>
      <c r="R1733">
        <v>3.7678870000000003E-2</v>
      </c>
      <c r="S1733">
        <v>-3.003479</v>
      </c>
      <c r="T1733">
        <v>-9.1858270000000006E-2</v>
      </c>
      <c r="U1733">
        <v>0.18826290000000001</v>
      </c>
      <c r="V1733">
        <v>7.8873940000000007E-3</v>
      </c>
      <c r="W1733">
        <v>5.7150510000000002E-2</v>
      </c>
      <c r="X1733">
        <v>0.99833439999999996</v>
      </c>
      <c r="Y1733">
        <v>3.2738419999999997E-2</v>
      </c>
      <c r="Z1733">
        <v>-4.1147139999999998E-4</v>
      </c>
      <c r="AA1733">
        <v>0.99946389999999996</v>
      </c>
      <c r="AB1733">
        <v>40</v>
      </c>
      <c r="AC1733">
        <v>-35.827100000000002</v>
      </c>
      <c r="AD1733">
        <v>-1.108785405076</v>
      </c>
      <c r="AE1733">
        <v>2.2595999999999701</v>
      </c>
      <c r="AF1733">
        <v>1.18803253212281</v>
      </c>
      <c r="AG1733">
        <v>-1.108785405076</v>
      </c>
      <c r="AH1733">
        <v>35.844388252616703</v>
      </c>
      <c r="AI1733">
        <v>91.770811099221206</v>
      </c>
      <c r="AJ1733">
        <v>88.101673811737896</v>
      </c>
      <c r="AK1733">
        <v>35.881206718506697</v>
      </c>
      <c r="AL1733">
        <v>86.723731790295702</v>
      </c>
      <c r="AM1733">
        <v>89.547341066012805</v>
      </c>
      <c r="AN1733">
        <v>0.99999998300036497</v>
      </c>
    </row>
    <row r="1734" spans="1:40" x14ac:dyDescent="0.25">
      <c r="A1734" t="str">
        <f>"20190312151300054"</f>
        <v>20190312151300054</v>
      </c>
      <c r="B1734" t="str">
        <f>"1552374780051612"</f>
        <v>1552374780051612</v>
      </c>
      <c r="C1734" t="s">
        <v>40</v>
      </c>
      <c r="D1734">
        <v>4.3526800000000003</v>
      </c>
      <c r="E1734">
        <v>0.50983080000000003</v>
      </c>
      <c r="F1734" t="s">
        <v>55</v>
      </c>
      <c r="G1734">
        <v>-306.4314</v>
      </c>
      <c r="H1734" s="1">
        <v>2.843325E-6</v>
      </c>
      <c r="I1734">
        <v>284.39260000000002</v>
      </c>
      <c r="J1734">
        <v>-272.31259999999997</v>
      </c>
      <c r="K1734">
        <v>1.10880499999999</v>
      </c>
      <c r="L1734">
        <v>282.25490000000002</v>
      </c>
      <c r="M1734">
        <v>-0.99952989999999997</v>
      </c>
      <c r="N1734">
        <v>0</v>
      </c>
      <c r="O1734">
        <v>2.9852719999999999E-2</v>
      </c>
      <c r="P1734">
        <v>-0.99805759999999999</v>
      </c>
      <c r="Q1734">
        <v>5.0080470000000002E-2</v>
      </c>
      <c r="R1734">
        <v>3.705543E-2</v>
      </c>
      <c r="S1734">
        <v>-3.0037229999999999</v>
      </c>
      <c r="T1734">
        <v>-9.6587660000000006E-2</v>
      </c>
      <c r="U1734">
        <v>0.18716430000000001</v>
      </c>
      <c r="V1734">
        <v>7.2573949999999998E-3</v>
      </c>
      <c r="W1734">
        <v>5.7065770000000002E-2</v>
      </c>
      <c r="X1734">
        <v>0.99834409999999896</v>
      </c>
      <c r="Y1734">
        <v>3.2365489999999997E-2</v>
      </c>
      <c r="Z1734">
        <v>-4.3872630000000001E-4</v>
      </c>
      <c r="AA1734">
        <v>0.99947600000000003</v>
      </c>
      <c r="AB1734">
        <v>40</v>
      </c>
      <c r="AC1734">
        <v>-34.1188</v>
      </c>
      <c r="AD1734">
        <v>-1.1088021566749999</v>
      </c>
      <c r="AE1734">
        <v>2.1376999999999899</v>
      </c>
      <c r="AF1734">
        <v>1.11700826302838</v>
      </c>
      <c r="AG1734">
        <v>-1.1088021566749999</v>
      </c>
      <c r="AH1734">
        <v>34.1315038862815</v>
      </c>
      <c r="AI1734">
        <v>91.8596716840498</v>
      </c>
      <c r="AJ1734">
        <v>88.125572625430905</v>
      </c>
      <c r="AK1734">
        <v>34.167772933300299</v>
      </c>
      <c r="AL1734">
        <v>86.728595213625596</v>
      </c>
      <c r="AM1734">
        <v>89.583499537479597</v>
      </c>
      <c r="AN1734">
        <v>1.0000000569463401</v>
      </c>
    </row>
    <row r="1735" spans="1:40" x14ac:dyDescent="0.25">
      <c r="A1735" t="str">
        <f>"20190312151300087"</f>
        <v>20190312151300087</v>
      </c>
      <c r="B1735" t="str">
        <f>"1552374780081868"</f>
        <v>1552374780081868</v>
      </c>
      <c r="C1735" t="s">
        <v>40</v>
      </c>
      <c r="D1735">
        <v>4.4397570000000002</v>
      </c>
      <c r="E1735">
        <v>0.50958190000000003</v>
      </c>
      <c r="F1735" t="s">
        <v>55</v>
      </c>
      <c r="G1735">
        <v>-305.89109999999999</v>
      </c>
      <c r="H1735" s="1">
        <v>2.9461090000000001E-6</v>
      </c>
      <c r="I1735">
        <v>284.31330000000003</v>
      </c>
      <c r="J1735">
        <v>-272.9067</v>
      </c>
      <c r="K1735">
        <v>1.108833</v>
      </c>
      <c r="L1735">
        <v>282.27269999999999</v>
      </c>
      <c r="M1735">
        <v>-0.99952940000000001</v>
      </c>
      <c r="N1735">
        <v>0</v>
      </c>
      <c r="O1735">
        <v>2.9858340000000001E-2</v>
      </c>
      <c r="P1735">
        <v>-0.99807509999999999</v>
      </c>
      <c r="Q1735">
        <v>4.9523610000000003E-2</v>
      </c>
      <c r="R1735">
        <v>3.7333039999999998E-2</v>
      </c>
      <c r="S1735">
        <v>-3.0039980000000002</v>
      </c>
      <c r="T1735">
        <v>-9.9195480000000003E-2</v>
      </c>
      <c r="U1735">
        <v>0.1841431</v>
      </c>
      <c r="V1735">
        <v>7.5253659999999899E-3</v>
      </c>
      <c r="W1735">
        <v>5.6549710000000003E-2</v>
      </c>
      <c r="X1735">
        <v>0.99837140000000002</v>
      </c>
      <c r="Y1735">
        <v>3.1353249999999999E-2</v>
      </c>
      <c r="Z1735">
        <v>-4.6742000000000002E-4</v>
      </c>
      <c r="AA1735">
        <v>0.99950830000000002</v>
      </c>
      <c r="AB1735">
        <v>41</v>
      </c>
      <c r="AC1735">
        <v>-32.984399999999901</v>
      </c>
      <c r="AD1735">
        <v>-1.1088300538910001</v>
      </c>
      <c r="AE1735">
        <v>2.0406000000000399</v>
      </c>
      <c r="AF1735">
        <v>1.0536202031856701</v>
      </c>
      <c r="AG1735">
        <v>-1.1088300538910001</v>
      </c>
      <c r="AH1735">
        <v>32.993479874697201</v>
      </c>
      <c r="AI1735">
        <v>91.923866375063199</v>
      </c>
      <c r="AJ1735">
        <v>88.170927023110394</v>
      </c>
      <c r="AK1735">
        <v>33.028916631688404</v>
      </c>
      <c r="AL1735">
        <v>86.758210837067395</v>
      </c>
      <c r="AM1735">
        <v>89.568133116046795</v>
      </c>
      <c r="AN1735">
        <v>0.99999997658623796</v>
      </c>
    </row>
    <row r="1736" spans="1:40" x14ac:dyDescent="0.25">
      <c r="A1736" t="str">
        <f>"20190312151300109"</f>
        <v>20190312151300109</v>
      </c>
      <c r="B1736" t="str">
        <f>"1552374780101388"</f>
        <v>1552374780101388</v>
      </c>
      <c r="C1736" t="s">
        <v>40</v>
      </c>
      <c r="D1736">
        <v>4.4644649999999997</v>
      </c>
      <c r="E1736">
        <v>0.50946859999999905</v>
      </c>
      <c r="F1736" t="s">
        <v>55</v>
      </c>
      <c r="G1736">
        <v>-305.06920000000002</v>
      </c>
      <c r="H1736" s="1">
        <v>3.0990779999999999E-6</v>
      </c>
      <c r="I1736">
        <v>284.23110000000003</v>
      </c>
      <c r="J1736">
        <v>-273.30959999999999</v>
      </c>
      <c r="K1736">
        <v>1.1088389999999999</v>
      </c>
      <c r="L1736">
        <v>282.28469999999999</v>
      </c>
      <c r="M1736">
        <v>-0.99952920000000001</v>
      </c>
      <c r="N1736">
        <v>0</v>
      </c>
      <c r="O1736">
        <v>2.9861660000000002E-2</v>
      </c>
      <c r="P1736">
        <v>-0.99806850000000003</v>
      </c>
      <c r="Q1736">
        <v>4.941342E-2</v>
      </c>
      <c r="R1736">
        <v>3.7657780000000002E-2</v>
      </c>
      <c r="S1736">
        <v>-3.004089</v>
      </c>
      <c r="T1736">
        <v>-0.1035684</v>
      </c>
      <c r="U1736">
        <v>0.18292240000000001</v>
      </c>
      <c r="V1736">
        <v>7.8451130000000008E-3</v>
      </c>
      <c r="W1736">
        <v>5.6466389999999998E-2</v>
      </c>
      <c r="X1736">
        <v>0.99837370000000003</v>
      </c>
      <c r="Y1736">
        <v>3.094361E-2</v>
      </c>
      <c r="Z1736">
        <v>-4.9517349999999996E-4</v>
      </c>
      <c r="AA1736">
        <v>0.99952099999999999</v>
      </c>
      <c r="AB1736">
        <v>41</v>
      </c>
      <c r="AC1736">
        <v>-31.759599999999999</v>
      </c>
      <c r="AD1736">
        <v>-1.1088359009219999</v>
      </c>
      <c r="AE1736">
        <v>1.9464000000000401</v>
      </c>
      <c r="AF1736">
        <v>0.99590460477404896</v>
      </c>
      <c r="AG1736">
        <v>-1.1088359009219999</v>
      </c>
      <c r="AH1736">
        <v>31.764985079600699</v>
      </c>
      <c r="AI1736">
        <v>91.998258999183506</v>
      </c>
      <c r="AJ1736">
        <v>88.204235098567594</v>
      </c>
      <c r="AK1736">
        <v>31.7999311342688</v>
      </c>
      <c r="AL1736">
        <v>86.762992508636998</v>
      </c>
      <c r="AM1736">
        <v>89.549785202140399</v>
      </c>
      <c r="AN1736">
        <v>1.0000000219246501</v>
      </c>
    </row>
    <row r="1737" spans="1:40" x14ac:dyDescent="0.25">
      <c r="A1737" t="str">
        <f>"20190312151300131"</f>
        <v>20190312151300131</v>
      </c>
      <c r="B1737" t="str">
        <f>"1552374780121888"</f>
        <v>1552374780121888</v>
      </c>
      <c r="C1737" t="s">
        <v>40</v>
      </c>
      <c r="D1737">
        <v>4.4177390000000001</v>
      </c>
      <c r="E1737">
        <v>0.50943309999999997</v>
      </c>
      <c r="F1737" t="s">
        <v>55</v>
      </c>
      <c r="G1737">
        <v>-305.30110000000002</v>
      </c>
      <c r="H1737" s="1">
        <v>3.0575730000000001E-6</v>
      </c>
      <c r="I1737">
        <v>284.23540000000003</v>
      </c>
      <c r="J1737">
        <v>-273.72559999999999</v>
      </c>
      <c r="K1737">
        <v>1.1088519999999999</v>
      </c>
      <c r="L1737">
        <v>282.2971</v>
      </c>
      <c r="M1737">
        <v>-0.9995288</v>
      </c>
      <c r="N1737">
        <v>0</v>
      </c>
      <c r="O1737">
        <v>2.9865099999999999E-2</v>
      </c>
      <c r="P1737">
        <v>-0.99808180000000002</v>
      </c>
      <c r="Q1737">
        <v>4.9206470000000002E-2</v>
      </c>
      <c r="R1737">
        <v>3.756963E-2</v>
      </c>
      <c r="S1737">
        <v>-3.0040589999999998</v>
      </c>
      <c r="T1737">
        <v>-0.1041214</v>
      </c>
      <c r="U1737">
        <v>0.18316650000000001</v>
      </c>
      <c r="V1737">
        <v>7.7514669999999997E-3</v>
      </c>
      <c r="W1737">
        <v>5.628644E-2</v>
      </c>
      <c r="X1737">
        <v>0.99838459999999996</v>
      </c>
      <c r="Y1737">
        <v>3.1021650000000001E-2</v>
      </c>
      <c r="Z1737">
        <v>-4.9658839999999998E-4</v>
      </c>
      <c r="AA1737">
        <v>0.99951860000000003</v>
      </c>
      <c r="AB1737">
        <v>41</v>
      </c>
      <c r="AC1737">
        <v>-31.575500000000002</v>
      </c>
      <c r="AD1737">
        <v>-1.1088489424270001</v>
      </c>
      <c r="AE1737">
        <v>1.9383000000000199</v>
      </c>
      <c r="AF1737">
        <v>0.99318596543598803</v>
      </c>
      <c r="AG1737">
        <v>-1.1088489424270001</v>
      </c>
      <c r="AH1737">
        <v>31.580503816047401</v>
      </c>
      <c r="AI1737">
        <v>92.009940025343397</v>
      </c>
      <c r="AJ1737">
        <v>88.198679331054805</v>
      </c>
      <c r="AK1737">
        <v>31.615568721983301</v>
      </c>
      <c r="AL1737">
        <v>86.773319330834397</v>
      </c>
      <c r="AM1737">
        <v>89.555163991408307</v>
      </c>
      <c r="AN1737">
        <v>1.0000000290428399</v>
      </c>
    </row>
    <row r="1738" spans="1:40" x14ac:dyDescent="0.25">
      <c r="A1738" t="str">
        <f>"20190312151300153"</f>
        <v>20190312151300153</v>
      </c>
      <c r="B1738" t="str">
        <f>"1552374780141408"</f>
        <v>1552374780141408</v>
      </c>
      <c r="C1738" t="s">
        <v>40</v>
      </c>
      <c r="D1738">
        <v>4.4264590000000004</v>
      </c>
      <c r="E1738">
        <v>0.50927829999999996</v>
      </c>
      <c r="F1738" t="s">
        <v>55</v>
      </c>
      <c r="G1738">
        <v>-306.745</v>
      </c>
      <c r="H1738" s="1">
        <v>2.795264E-6</v>
      </c>
      <c r="I1738">
        <v>284.30619999999999</v>
      </c>
      <c r="J1738">
        <v>-274.12009999999998</v>
      </c>
      <c r="K1738">
        <v>1.108867</v>
      </c>
      <c r="L1738">
        <v>282.30900000000003</v>
      </c>
      <c r="M1738">
        <v>-0.99952859999999999</v>
      </c>
      <c r="N1738">
        <v>0</v>
      </c>
      <c r="O1738">
        <v>2.986811E-2</v>
      </c>
      <c r="P1738">
        <v>-0.99808160000000001</v>
      </c>
      <c r="Q1738">
        <v>4.9336329999999998E-2</v>
      </c>
      <c r="R1738">
        <v>3.7409129999999999E-2</v>
      </c>
      <c r="S1738">
        <v>-3.0038450000000001</v>
      </c>
      <c r="T1738">
        <v>-0.1008744</v>
      </c>
      <c r="U1738">
        <v>0.18276980000000001</v>
      </c>
      <c r="V1738">
        <v>7.5870290000000003E-3</v>
      </c>
      <c r="W1738">
        <v>5.6440699999999899E-2</v>
      </c>
      <c r="X1738">
        <v>0.99837710000000002</v>
      </c>
      <c r="Y1738">
        <v>3.0891559999999998E-2</v>
      </c>
      <c r="Z1738">
        <v>-4.8343000000000003E-4</v>
      </c>
      <c r="AA1738">
        <v>0.99952260000000004</v>
      </c>
      <c r="AB1738">
        <v>41</v>
      </c>
      <c r="AC1738">
        <v>-32.624899999999997</v>
      </c>
      <c r="AD1738">
        <v>-1.108864204736</v>
      </c>
      <c r="AE1738">
        <v>1.9971999999999599</v>
      </c>
      <c r="AF1738">
        <v>1.0206655325012799</v>
      </c>
      <c r="AG1738">
        <v>-1.108864204736</v>
      </c>
      <c r="AH1738">
        <v>32.632441356728101</v>
      </c>
      <c r="AI1738">
        <v>91.945235525907805</v>
      </c>
      <c r="AJ1738">
        <v>88.208507669709704</v>
      </c>
      <c r="AK1738">
        <v>32.667224657966898</v>
      </c>
      <c r="AL1738">
        <v>86.764466635410798</v>
      </c>
      <c r="AM1738">
        <v>89.564597011566903</v>
      </c>
      <c r="AN1738">
        <v>0.99999997471497304</v>
      </c>
    </row>
    <row r="1739" spans="1:40" x14ac:dyDescent="0.25">
      <c r="A1739" t="str">
        <f>"20190312151300175"</f>
        <v>20190312151300175</v>
      </c>
      <c r="B1739" t="str">
        <f>"1552374780171661"</f>
        <v>1552374780171661</v>
      </c>
      <c r="C1739" t="s">
        <v>40</v>
      </c>
      <c r="D1739">
        <v>4.4714269999999896</v>
      </c>
      <c r="E1739">
        <v>0.5091831</v>
      </c>
      <c r="F1739" t="s">
        <v>55</v>
      </c>
      <c r="G1739">
        <v>-306.608</v>
      </c>
      <c r="H1739" s="1">
        <v>2.8230089999999999E-6</v>
      </c>
      <c r="I1739">
        <v>284.26679999999999</v>
      </c>
      <c r="J1739">
        <v>-274.52940000000001</v>
      </c>
      <c r="K1739">
        <v>1.1088789999999999</v>
      </c>
      <c r="L1739">
        <v>282.32119999999998</v>
      </c>
      <c r="M1739">
        <v>-0.99952819999999998</v>
      </c>
      <c r="N1739">
        <v>0</v>
      </c>
      <c r="O1739">
        <v>2.987076E-2</v>
      </c>
      <c r="P1739">
        <v>-0.99810929999999998</v>
      </c>
      <c r="Q1739">
        <v>4.9074979999999997E-2</v>
      </c>
      <c r="R1739">
        <v>3.7008439999999997E-2</v>
      </c>
      <c r="S1739">
        <v>-3.0039980000000002</v>
      </c>
      <c r="T1739">
        <v>-0.102531399999999</v>
      </c>
      <c r="U1739">
        <v>0.18103030000000001</v>
      </c>
      <c r="V1739">
        <v>7.1821100000000002E-3</v>
      </c>
      <c r="W1739">
        <v>5.6204549999999999E-2</v>
      </c>
      <c r="X1739">
        <v>0.99839339999999999</v>
      </c>
      <c r="Y1739">
        <v>3.030946E-2</v>
      </c>
      <c r="Z1739">
        <v>-5.0136530000000003E-4</v>
      </c>
      <c r="AA1739">
        <v>0.9995404</v>
      </c>
      <c r="AB1739">
        <v>41</v>
      </c>
      <c r="AC1739">
        <v>-32.078599999999902</v>
      </c>
      <c r="AD1739">
        <v>-1.1088761769910001</v>
      </c>
      <c r="AE1739">
        <v>1.94560000000001</v>
      </c>
      <c r="AF1739">
        <v>0.98532206059793004</v>
      </c>
      <c r="AG1739">
        <v>-1.1088761769910001</v>
      </c>
      <c r="AH1739">
        <v>32.084205611129299</v>
      </c>
      <c r="AI1739">
        <v>91.978504415448995</v>
      </c>
      <c r="AJ1739">
        <v>88.240970710300601</v>
      </c>
      <c r="AK1739">
        <v>32.118479348129497</v>
      </c>
      <c r="AL1739">
        <v>86.778018491107701</v>
      </c>
      <c r="AM1739">
        <v>89.587840331353704</v>
      </c>
      <c r="AN1739">
        <v>0.99999995765415595</v>
      </c>
    </row>
    <row r="1740" spans="1:40" x14ac:dyDescent="0.25">
      <c r="A1740" t="str">
        <f>"20190312151300199"</f>
        <v>20190312151300199</v>
      </c>
      <c r="B1740" t="str">
        <f>"1552374780191181"</f>
        <v>1552374780191181</v>
      </c>
      <c r="C1740" t="s">
        <v>40</v>
      </c>
      <c r="D1740">
        <v>4.5138480000000003</v>
      </c>
      <c r="E1740">
        <v>0.50906850000000003</v>
      </c>
      <c r="F1740" t="s">
        <v>55</v>
      </c>
      <c r="G1740">
        <v>-307.49340000000001</v>
      </c>
      <c r="H1740" s="1">
        <v>2.6641949999999999E-6</v>
      </c>
      <c r="I1740">
        <v>284.28699999999998</v>
      </c>
      <c r="J1740">
        <v>-274.9622</v>
      </c>
      <c r="K1740">
        <v>1.108876</v>
      </c>
      <c r="L1740">
        <v>282.33409999999998</v>
      </c>
      <c r="M1740">
        <v>-0.99952810000000003</v>
      </c>
      <c r="N1740">
        <v>0</v>
      </c>
      <c r="O1740">
        <v>2.9871990000000001E-2</v>
      </c>
      <c r="P1740">
        <v>-0.99814270000000005</v>
      </c>
      <c r="Q1740">
        <v>4.9100669999999999E-2</v>
      </c>
      <c r="R1740">
        <v>3.6061200000000002E-2</v>
      </c>
      <c r="S1740">
        <v>-3.0039980000000002</v>
      </c>
      <c r="T1740">
        <v>-0.10105160000000001</v>
      </c>
      <c r="U1740">
        <v>0.1791382</v>
      </c>
      <c r="V1740">
        <v>6.2322300000000001E-3</v>
      </c>
      <c r="W1740">
        <v>5.625645E-2</v>
      </c>
      <c r="X1740">
        <v>0.99839690000000003</v>
      </c>
      <c r="Y1740">
        <v>2.9681280000000001E-2</v>
      </c>
      <c r="Z1740">
        <v>-5.0473930000000003E-4</v>
      </c>
      <c r="AA1740">
        <v>0.99955930000000004</v>
      </c>
      <c r="AB1740">
        <v>41</v>
      </c>
      <c r="AC1740">
        <v>-32.531199999999998</v>
      </c>
      <c r="AD1740">
        <v>-1.108873335805</v>
      </c>
      <c r="AE1740">
        <v>1.95290000000005</v>
      </c>
      <c r="AF1740">
        <v>0.97909834380019201</v>
      </c>
      <c r="AG1740">
        <v>-1.108873335805</v>
      </c>
      <c r="AH1740">
        <v>32.537351184873899</v>
      </c>
      <c r="AI1740">
        <v>91.951003013130304</v>
      </c>
      <c r="AJ1740">
        <v>88.276403035900202</v>
      </c>
      <c r="AK1740">
        <v>32.5709603138978</v>
      </c>
      <c r="AL1740">
        <v>86.775040262448798</v>
      </c>
      <c r="AM1740">
        <v>89.642350814469793</v>
      </c>
      <c r="AN1740">
        <v>0.99999999939349205</v>
      </c>
    </row>
    <row r="1741" spans="1:40" x14ac:dyDescent="0.25">
      <c r="A1741" t="str">
        <f>"20190312151300223"</f>
        <v>20190312151300223</v>
      </c>
      <c r="B1741" t="str">
        <f>"1552374780211676"</f>
        <v>1552374780211676</v>
      </c>
      <c r="C1741" t="s">
        <v>40</v>
      </c>
      <c r="D1741">
        <v>4.5078139999999998</v>
      </c>
      <c r="E1741">
        <v>0.50895519999999905</v>
      </c>
      <c r="F1741" t="s">
        <v>55</v>
      </c>
      <c r="G1741">
        <v>-307.71179999999998</v>
      </c>
      <c r="H1741" s="1">
        <v>2.6288569999999998E-6</v>
      </c>
      <c r="I1741">
        <v>284.24799999999999</v>
      </c>
      <c r="J1741">
        <v>-275.40159999999997</v>
      </c>
      <c r="K1741">
        <v>1.1088830000000001</v>
      </c>
      <c r="L1741">
        <v>282.34730000000002</v>
      </c>
      <c r="M1741">
        <v>-0.99952799999999997</v>
      </c>
      <c r="N1741">
        <v>0</v>
      </c>
      <c r="O1741">
        <v>2.9870480000000001E-2</v>
      </c>
      <c r="P1741">
        <v>-0.99815929999999997</v>
      </c>
      <c r="Q1741">
        <v>4.9232959999999999E-2</v>
      </c>
      <c r="R1741">
        <v>3.5417860000000002E-2</v>
      </c>
      <c r="S1741">
        <v>-3.0042420000000001</v>
      </c>
      <c r="T1741">
        <v>-0.10172100000000001</v>
      </c>
      <c r="U1741">
        <v>0.17556759999999999</v>
      </c>
      <c r="V1741">
        <v>5.5893999999999996E-3</v>
      </c>
      <c r="W1741">
        <v>5.641355E-2</v>
      </c>
      <c r="X1741">
        <v>0.9983919</v>
      </c>
      <c r="Y1741">
        <v>2.8494749999999999E-2</v>
      </c>
      <c r="Z1741">
        <v>-5.2807599999999896E-4</v>
      </c>
      <c r="AA1741">
        <v>0.99959379999999998</v>
      </c>
      <c r="AB1741">
        <v>41</v>
      </c>
      <c r="AC1741">
        <v>-32.310200000000002</v>
      </c>
      <c r="AD1741">
        <v>-1.108880371143</v>
      </c>
      <c r="AE1741">
        <v>1.9006999999999701</v>
      </c>
      <c r="AF1741">
        <v>0.93360991006039495</v>
      </c>
      <c r="AG1741">
        <v>-1.108880371143</v>
      </c>
      <c r="AH1741">
        <v>32.3146274753367</v>
      </c>
      <c r="AI1741">
        <v>91.964521385415594</v>
      </c>
      <c r="AJ1741">
        <v>88.345113780386598</v>
      </c>
      <c r="AK1741">
        <v>32.347123396238104</v>
      </c>
      <c r="AL1741">
        <v>86.766024967924395</v>
      </c>
      <c r="AM1741">
        <v>89.679238499117602</v>
      </c>
      <c r="AN1741">
        <v>1.00000005800078</v>
      </c>
    </row>
    <row r="1742" spans="1:40" x14ac:dyDescent="0.25">
      <c r="A1742" t="str">
        <f>"20190312151300243"</f>
        <v>20190312151300243</v>
      </c>
      <c r="B1742" t="str">
        <f>"1552374780231200"</f>
        <v>1552374780231200</v>
      </c>
      <c r="C1742" t="s">
        <v>40</v>
      </c>
      <c r="D1742">
        <v>4.5950030000000002</v>
      </c>
      <c r="E1742">
        <v>0.50893029999999995</v>
      </c>
      <c r="F1742" t="s">
        <v>55</v>
      </c>
      <c r="G1742">
        <v>-307.85989999999998</v>
      </c>
      <c r="H1742" s="1">
        <v>2.6056780000000001E-6</v>
      </c>
      <c r="I1742">
        <v>284.21269999999998</v>
      </c>
      <c r="J1742">
        <v>-275.77300000000002</v>
      </c>
      <c r="K1742">
        <v>1.1088929999999999</v>
      </c>
      <c r="L1742">
        <v>282.35840000000002</v>
      </c>
      <c r="M1742">
        <v>-0.99952799999999997</v>
      </c>
      <c r="N1742">
        <v>0</v>
      </c>
      <c r="O1742">
        <v>2.986523E-2</v>
      </c>
      <c r="P1742">
        <v>-0.99816119999999997</v>
      </c>
      <c r="Q1742">
        <v>4.935842E-2</v>
      </c>
      <c r="R1742">
        <v>3.5185090000000002E-2</v>
      </c>
      <c r="S1742">
        <v>-3.0044559999999998</v>
      </c>
      <c r="T1742">
        <v>-0.1026421</v>
      </c>
      <c r="U1742">
        <v>0.1726685</v>
      </c>
      <c r="V1742">
        <v>5.361106E-3</v>
      </c>
      <c r="W1742">
        <v>5.6559709999999999E-2</v>
      </c>
      <c r="X1742">
        <v>0.99838479999999996</v>
      </c>
      <c r="Y1742">
        <v>2.7535069999999998E-2</v>
      </c>
      <c r="Z1742">
        <v>-5.4903120000000002E-4</v>
      </c>
      <c r="AA1742">
        <v>0.99962070000000003</v>
      </c>
      <c r="AB1742">
        <v>41</v>
      </c>
      <c r="AC1742">
        <v>-32.0869</v>
      </c>
      <c r="AD1742">
        <v>-1.1088903943220001</v>
      </c>
      <c r="AE1742">
        <v>1.8542999999999601</v>
      </c>
      <c r="AF1742">
        <v>0.89410103638934302</v>
      </c>
      <c r="AG1742">
        <v>-1.1088903943220001</v>
      </c>
      <c r="AH1742">
        <v>32.089768957621601</v>
      </c>
      <c r="AI1742">
        <v>91.978351751851605</v>
      </c>
      <c r="AJ1742">
        <v>88.404009526857905</v>
      </c>
      <c r="AK1742">
        <v>32.121368686957098</v>
      </c>
      <c r="AL1742">
        <v>86.757636957445996</v>
      </c>
      <c r="AM1742">
        <v>89.692337268137507</v>
      </c>
      <c r="AN1742">
        <v>0.99999997556193299</v>
      </c>
    </row>
    <row r="1743" spans="1:40" x14ac:dyDescent="0.25">
      <c r="A1743" t="str">
        <f>"20190312151300265"</f>
        <v>20190312151300265</v>
      </c>
      <c r="B1743" t="str">
        <f>"1552374780261453"</f>
        <v>1552374780261453</v>
      </c>
      <c r="C1743" t="s">
        <v>40</v>
      </c>
      <c r="D1743">
        <v>4.4747879999999904</v>
      </c>
      <c r="E1743">
        <v>0.48223329999999998</v>
      </c>
      <c r="F1743" t="s">
        <v>55</v>
      </c>
      <c r="G1743">
        <v>-308.01319999999998</v>
      </c>
      <c r="H1743" s="1">
        <v>2.5796229999999998E-6</v>
      </c>
      <c r="I1743">
        <v>284.19970000000001</v>
      </c>
      <c r="J1743">
        <v>-276.1823</v>
      </c>
      <c r="K1743">
        <v>1.1088990000000001</v>
      </c>
      <c r="L1743">
        <v>282.37060000000002</v>
      </c>
      <c r="M1743">
        <v>-0.99952819999999998</v>
      </c>
      <c r="N1743">
        <v>0</v>
      </c>
      <c r="O1743">
        <v>2.98515E-2</v>
      </c>
      <c r="P1743">
        <v>-0.99819049999999998</v>
      </c>
      <c r="Q1743">
        <v>4.904907E-2</v>
      </c>
      <c r="R1743">
        <v>3.4783099999999997E-2</v>
      </c>
      <c r="S1743">
        <v>-3.004578</v>
      </c>
      <c r="T1743">
        <v>-0.10334169999999999</v>
      </c>
      <c r="U1743">
        <v>0.17160029999999901</v>
      </c>
      <c r="V1743">
        <v>4.9712580000000001E-3</v>
      </c>
      <c r="W1743">
        <v>5.6273110000000001E-2</v>
      </c>
      <c r="X1743">
        <v>0.99840300000000004</v>
      </c>
      <c r="Y1743">
        <v>2.719249E-2</v>
      </c>
      <c r="Z1743">
        <v>-5.5816980000000002E-4</v>
      </c>
      <c r="AA1743">
        <v>0.99963000000000002</v>
      </c>
      <c r="AB1743">
        <v>41</v>
      </c>
      <c r="AC1743">
        <v>-31.8308999999999</v>
      </c>
      <c r="AD1743">
        <v>-1.108896420377</v>
      </c>
      <c r="AE1743">
        <v>1.82909999999998</v>
      </c>
      <c r="AF1743">
        <v>0.876999021543172</v>
      </c>
      <c r="AG1743">
        <v>-1.108896420377</v>
      </c>
      <c r="AH1743">
        <v>31.832810540008399</v>
      </c>
      <c r="AI1743">
        <v>91.994336470181693</v>
      </c>
      <c r="AJ1743">
        <v>88.421891297512005</v>
      </c>
      <c r="AK1743">
        <v>31.864190016866601</v>
      </c>
      <c r="AL1743">
        <v>86.774084083889406</v>
      </c>
      <c r="AM1743">
        <v>89.714714650894607</v>
      </c>
      <c r="AN1743">
        <v>0.99999996336208596</v>
      </c>
    </row>
    <row r="1744" spans="1:40" x14ac:dyDescent="0.25">
      <c r="A1744" t="str">
        <f>"20190312151300287"</f>
        <v>20190312151300287</v>
      </c>
      <c r="B1744" t="str">
        <f>"1552374780281949"</f>
        <v>1552374780281949</v>
      </c>
      <c r="C1744" t="s">
        <v>40</v>
      </c>
      <c r="D1744">
        <v>4.4578290000000003</v>
      </c>
      <c r="E1744">
        <v>0.47921730000000001</v>
      </c>
      <c r="F1744" t="s">
        <v>55</v>
      </c>
      <c r="G1744">
        <v>-306.68849999999998</v>
      </c>
      <c r="H1744" s="1">
        <v>3.0120499999999998E-6</v>
      </c>
      <c r="I1744">
        <v>281.94099999999997</v>
      </c>
      <c r="J1744">
        <v>-276.59899999999999</v>
      </c>
      <c r="K1744">
        <v>1.1089100000000001</v>
      </c>
      <c r="L1744">
        <v>282.38299999999998</v>
      </c>
      <c r="M1744">
        <v>-0.9995288</v>
      </c>
      <c r="N1744">
        <v>0</v>
      </c>
      <c r="O1744">
        <v>2.9821919999999998E-2</v>
      </c>
      <c r="P1744">
        <v>-0.99819789999999997</v>
      </c>
      <c r="Q1744">
        <v>4.8948249999999999E-2</v>
      </c>
      <c r="R1744">
        <v>3.4713229999999998E-2</v>
      </c>
      <c r="S1744">
        <v>-3.0122990000000001</v>
      </c>
      <c r="T1744">
        <v>-0.10949639999999999</v>
      </c>
      <c r="U1744">
        <v>-4.2419430000000001E-2</v>
      </c>
      <c r="V1744">
        <v>4.9293679999999999E-3</v>
      </c>
      <c r="W1744">
        <v>5.6198369999999997E-2</v>
      </c>
      <c r="X1744">
        <v>0.9984075</v>
      </c>
      <c r="Y1744">
        <v>-4.3845530000000001E-2</v>
      </c>
      <c r="Z1744">
        <v>-1.880158E-3</v>
      </c>
      <c r="AA1744">
        <v>0.99903660000000005</v>
      </c>
      <c r="AB1744">
        <v>41</v>
      </c>
      <c r="AC1744">
        <v>-30.089499999999902</v>
      </c>
      <c r="AD1744">
        <v>-1.10890698795</v>
      </c>
      <c r="AE1744">
        <v>-0.442000000000007</v>
      </c>
      <c r="AF1744">
        <v>-1.3373378003504</v>
      </c>
      <c r="AG1744">
        <v>-1.10890698795</v>
      </c>
      <c r="AH1744">
        <v>30.022167688224499</v>
      </c>
      <c r="AI1744">
        <v>92.113237279371305</v>
      </c>
      <c r="AJ1744">
        <v>92.550555053841506</v>
      </c>
      <c r="AK1744">
        <v>30.072390989079</v>
      </c>
      <c r="AL1744">
        <v>86.778373423716999</v>
      </c>
      <c r="AM1744">
        <v>89.717119826099704</v>
      </c>
      <c r="AN1744">
        <v>1.0000000457578899</v>
      </c>
    </row>
    <row r="1745" spans="1:40" x14ac:dyDescent="0.25">
      <c r="A1745" t="str">
        <f>"20190312151300310"</f>
        <v>20190312151300310</v>
      </c>
      <c r="B1745" t="str">
        <f>"1552374780302445"</f>
        <v>1552374780302445</v>
      </c>
      <c r="C1745" t="s">
        <v>40</v>
      </c>
      <c r="D1745">
        <v>4.4436080000000002</v>
      </c>
      <c r="E1745">
        <v>0.47769620000000002</v>
      </c>
      <c r="F1745" t="s">
        <v>55</v>
      </c>
      <c r="G1745">
        <v>-304.94600000000003</v>
      </c>
      <c r="H1745" s="1">
        <v>3.3372960000000001E-6</v>
      </c>
      <c r="I1745">
        <v>281.75630000000001</v>
      </c>
      <c r="J1745">
        <v>-277.00889999999998</v>
      </c>
      <c r="K1745">
        <v>1.1089249999999999</v>
      </c>
      <c r="L1745">
        <v>282.39519999999999</v>
      </c>
      <c r="M1745">
        <v>-0.99953009999999998</v>
      </c>
      <c r="N1745">
        <v>0</v>
      </c>
      <c r="O1745">
        <v>2.9773649999999999E-2</v>
      </c>
      <c r="P1745">
        <v>-0.99817659999999997</v>
      </c>
      <c r="Q1745">
        <v>4.9127909999999997E-2</v>
      </c>
      <c r="R1745">
        <v>3.506948E-2</v>
      </c>
      <c r="S1745">
        <v>-3.0134889999999999</v>
      </c>
      <c r="T1745">
        <v>-0.1178849</v>
      </c>
      <c r="U1745">
        <v>-6.6619869999999998E-2</v>
      </c>
      <c r="V1745">
        <v>5.332285E-3</v>
      </c>
      <c r="W1745">
        <v>5.6406419999999999E-2</v>
      </c>
      <c r="X1745">
        <v>0.99839370000000005</v>
      </c>
      <c r="Y1745">
        <v>-5.179682E-2</v>
      </c>
      <c r="Z1745">
        <v>-2.1767380000000001E-3</v>
      </c>
      <c r="AA1745">
        <v>0.99865530000000002</v>
      </c>
      <c r="AB1745">
        <v>42</v>
      </c>
      <c r="AC1745">
        <v>-27.937099999999901</v>
      </c>
      <c r="AD1745">
        <v>-1.1089216627039999</v>
      </c>
      <c r="AE1745">
        <v>-0.63889999999997804</v>
      </c>
      <c r="AF1745">
        <v>-1.4681163469566001</v>
      </c>
      <c r="AG1745">
        <v>-1.1089216627039999</v>
      </c>
      <c r="AH1745">
        <v>27.8618155686165</v>
      </c>
      <c r="AI1745">
        <v>92.276058792151801</v>
      </c>
      <c r="AJ1745">
        <v>93.016284017240807</v>
      </c>
      <c r="AK1745">
        <v>27.9224970165961</v>
      </c>
      <c r="AL1745">
        <v>86.766434108681906</v>
      </c>
      <c r="AM1745">
        <v>89.693993941701905</v>
      </c>
      <c r="AN1745">
        <v>1.00000004884011</v>
      </c>
    </row>
    <row r="1746" spans="1:40" x14ac:dyDescent="0.25">
      <c r="A1746" t="str">
        <f>"20190312151300332"</f>
        <v>20190312151300332</v>
      </c>
      <c r="B1746" t="str">
        <f>"1552374780321965"</f>
        <v>1552374780321965</v>
      </c>
      <c r="C1746" t="s">
        <v>40</v>
      </c>
      <c r="D1746">
        <v>4.6539210000000004</v>
      </c>
      <c r="E1746">
        <v>0.47691480000000003</v>
      </c>
      <c r="F1746" t="s">
        <v>55</v>
      </c>
      <c r="G1746">
        <v>-304.08049999999997</v>
      </c>
      <c r="H1746" s="1">
        <v>3.4961420000000002E-6</v>
      </c>
      <c r="I1746">
        <v>281.69549999999998</v>
      </c>
      <c r="J1746">
        <v>-277.43400000000003</v>
      </c>
      <c r="K1746">
        <v>1.1089439999999999</v>
      </c>
      <c r="L1746">
        <v>282.40780000000001</v>
      </c>
      <c r="M1746">
        <v>-0.99953199999999998</v>
      </c>
      <c r="N1746">
        <v>0</v>
      </c>
      <c r="O1746">
        <v>2.970501E-2</v>
      </c>
      <c r="P1746">
        <v>-0.99818070000000003</v>
      </c>
      <c r="Q1746">
        <v>4.9011480000000003E-2</v>
      </c>
      <c r="R1746">
        <v>3.51198E-2</v>
      </c>
      <c r="S1746">
        <v>-3.0142519999999999</v>
      </c>
      <c r="T1746">
        <v>-0.12347130000000001</v>
      </c>
      <c r="U1746">
        <v>-7.7911380000000002E-2</v>
      </c>
      <c r="V1746">
        <v>5.4487329999999999E-3</v>
      </c>
      <c r="W1746">
        <v>5.6320250000000002E-2</v>
      </c>
      <c r="X1746">
        <v>0.99839789999999995</v>
      </c>
      <c r="Y1746">
        <v>-5.5452139999999997E-2</v>
      </c>
      <c r="Z1746">
        <v>-2.351157E-3</v>
      </c>
      <c r="AA1746">
        <v>0.99845859999999997</v>
      </c>
      <c r="AB1746">
        <v>42</v>
      </c>
      <c r="AC1746">
        <v>-26.6464999999999</v>
      </c>
      <c r="AD1746">
        <v>-1.108940503858</v>
      </c>
      <c r="AE1746">
        <v>-0.71230000000002702</v>
      </c>
      <c r="AF1746">
        <v>-1.50094362482712</v>
      </c>
      <c r="AG1746">
        <v>-1.108940503858</v>
      </c>
      <c r="AH1746">
        <v>26.5676000803828</v>
      </c>
      <c r="AI1746">
        <v>92.386356694193495</v>
      </c>
      <c r="AJ1746">
        <v>93.233503068487593</v>
      </c>
      <c r="AK1746">
        <v>26.633061311782399</v>
      </c>
      <c r="AL1746">
        <v>86.771379030896099</v>
      </c>
      <c r="AM1746">
        <v>89.687312738510798</v>
      </c>
      <c r="AN1746">
        <v>1.0000000129878801</v>
      </c>
    </row>
    <row r="1747" spans="1:40" x14ac:dyDescent="0.25">
      <c r="A1747" t="str">
        <f>"20190312151300355"</f>
        <v>20190312151300355</v>
      </c>
      <c r="B1747" t="str">
        <f>"1552374780351245"</f>
        <v>1552374780351245</v>
      </c>
      <c r="C1747" t="s">
        <v>40</v>
      </c>
      <c r="D1747">
        <v>4.5764769999999997</v>
      </c>
      <c r="E1747">
        <v>0.46718130000000002</v>
      </c>
      <c r="F1747" t="s">
        <v>55</v>
      </c>
      <c r="G1747">
        <v>-303.75400000000002</v>
      </c>
      <c r="H1747" s="1">
        <v>3.5560529999999999E-6</v>
      </c>
      <c r="I1747">
        <v>281.67270000000002</v>
      </c>
      <c r="J1747">
        <v>-277.85879999999997</v>
      </c>
      <c r="K1747">
        <v>1.1089639999999901</v>
      </c>
      <c r="L1747">
        <v>282.4203</v>
      </c>
      <c r="M1747">
        <v>-0.99953449999999999</v>
      </c>
      <c r="N1747">
        <v>0</v>
      </c>
      <c r="O1747">
        <v>2.9613159999999999E-2</v>
      </c>
      <c r="P1747">
        <v>-0.99819310000000006</v>
      </c>
      <c r="Q1747">
        <v>4.8748939999999998E-2</v>
      </c>
      <c r="R1747">
        <v>3.5130689999999999E-2</v>
      </c>
      <c r="S1747">
        <v>-3.0146790000000001</v>
      </c>
      <c r="T1747">
        <v>-0.12701769999999901</v>
      </c>
      <c r="U1747">
        <v>-8.4197999999999995E-2</v>
      </c>
      <c r="V1747">
        <v>5.5480640000000001E-3</v>
      </c>
      <c r="W1747">
        <v>5.6087440000000002E-2</v>
      </c>
      <c r="X1747">
        <v>0.99841049999999998</v>
      </c>
      <c r="Y1747">
        <v>-5.743144E-2</v>
      </c>
      <c r="Z1747">
        <v>-2.4560329999999998E-3</v>
      </c>
      <c r="AA1747">
        <v>0.99834639999999997</v>
      </c>
      <c r="AB1747">
        <v>42</v>
      </c>
      <c r="AC1747">
        <v>-25.895199999999999</v>
      </c>
      <c r="AD1747">
        <v>-1.10896044394699</v>
      </c>
      <c r="AE1747">
        <v>-0.74759999999997695</v>
      </c>
      <c r="AF1747">
        <v>-1.5113619643380201</v>
      </c>
      <c r="AG1747">
        <v>-1.10896044394699</v>
      </c>
      <c r="AH1747">
        <v>25.814399690831898</v>
      </c>
      <c r="AI1747">
        <v>92.455656190448707</v>
      </c>
      <c r="AJ1747">
        <v>93.350685021774197</v>
      </c>
      <c r="AK1747">
        <v>25.882373145666399</v>
      </c>
      <c r="AL1747">
        <v>86.784739312100299</v>
      </c>
      <c r="AM1747">
        <v>89.681616549732894</v>
      </c>
      <c r="AN1747">
        <v>1.00000005422507</v>
      </c>
    </row>
    <row r="1748" spans="1:40" x14ac:dyDescent="0.25">
      <c r="A1748" t="str">
        <f>"20190312151300376"</f>
        <v>20190312151300376</v>
      </c>
      <c r="B1748" t="str">
        <f>"1552374780371741"</f>
        <v>1552374780371741</v>
      </c>
      <c r="C1748" t="s">
        <v>40</v>
      </c>
      <c r="D1748">
        <v>4.4304360000000003</v>
      </c>
      <c r="E1748">
        <v>0.47391119999999998</v>
      </c>
      <c r="F1748" t="s">
        <v>55</v>
      </c>
      <c r="G1748">
        <v>-289.2534</v>
      </c>
      <c r="H1748" s="1">
        <v>4.8808989999999999E-6</v>
      </c>
      <c r="I1748">
        <v>281.79899999999998</v>
      </c>
      <c r="J1748">
        <v>-278.2516</v>
      </c>
      <c r="K1748">
        <v>1.1089800000000001</v>
      </c>
      <c r="L1748">
        <v>282.43189999999998</v>
      </c>
      <c r="M1748">
        <v>-0.99953749999999997</v>
      </c>
      <c r="N1748">
        <v>0</v>
      </c>
      <c r="O1748">
        <v>2.9505110000000001E-2</v>
      </c>
      <c r="P1748">
        <v>-0.99821139999999997</v>
      </c>
      <c r="Q1748">
        <v>4.8715790000000002E-2</v>
      </c>
      <c r="R1748">
        <v>3.4656939999999997E-2</v>
      </c>
      <c r="S1748">
        <v>-3.025604</v>
      </c>
      <c r="T1748">
        <v>-0.29446080000000002</v>
      </c>
      <c r="U1748">
        <v>-0.16497800000000001</v>
      </c>
      <c r="V1748">
        <v>5.1793009999999999E-3</v>
      </c>
      <c r="W1748">
        <v>5.6081249999999999E-2</v>
      </c>
      <c r="X1748">
        <v>0.99841279999999999</v>
      </c>
      <c r="Y1748">
        <v>-8.3353029999999995E-2</v>
      </c>
      <c r="Z1748">
        <v>-6.9065259999999996E-3</v>
      </c>
      <c r="AA1748">
        <v>0.9964961</v>
      </c>
      <c r="AB1748">
        <v>42</v>
      </c>
      <c r="AC1748">
        <v>-11.001799999999999</v>
      </c>
      <c r="AD1748">
        <v>-1.10897511910099</v>
      </c>
      <c r="AE1748">
        <v>-0.63289999999994895</v>
      </c>
      <c r="AF1748">
        <v>-0.94764574287402503</v>
      </c>
      <c r="AG1748">
        <v>-1.10897511910099</v>
      </c>
      <c r="AH1748">
        <v>10.868272482170299</v>
      </c>
      <c r="AI1748">
        <v>95.804302270823896</v>
      </c>
      <c r="AJ1748">
        <v>94.983232242108599</v>
      </c>
      <c r="AK1748">
        <v>10.9657286586653</v>
      </c>
      <c r="AL1748">
        <v>86.785094439557199</v>
      </c>
      <c r="AM1748">
        <v>89.702778824296303</v>
      </c>
      <c r="AN1748">
        <v>1.00000002548212</v>
      </c>
    </row>
    <row r="1749" spans="1:40" x14ac:dyDescent="0.25">
      <c r="A1749" t="str">
        <f>"20190312151300401"</f>
        <v>20190312151300401</v>
      </c>
      <c r="B1749" t="str">
        <f>"1552374780391261"</f>
        <v>1552374780391261</v>
      </c>
      <c r="C1749" t="s">
        <v>40</v>
      </c>
      <c r="D1749">
        <v>4.4069039999999999</v>
      </c>
      <c r="E1749">
        <v>0.47260099999999999</v>
      </c>
      <c r="F1749" t="s">
        <v>55</v>
      </c>
      <c r="G1749">
        <v>-293.24160000000001</v>
      </c>
      <c r="H1749" s="1">
        <v>3.0199180000000002E-6</v>
      </c>
      <c r="I1749">
        <v>281.88069999999999</v>
      </c>
      <c r="J1749">
        <v>-278.70890000000003</v>
      </c>
      <c r="K1749">
        <v>1.109005</v>
      </c>
      <c r="L1749">
        <v>282.44529999999997</v>
      </c>
      <c r="M1749">
        <v>-0.99954180000000004</v>
      </c>
      <c r="N1749">
        <v>0</v>
      </c>
      <c r="O1749">
        <v>2.935014E-2</v>
      </c>
      <c r="P1749">
        <v>-0.99823799999999996</v>
      </c>
      <c r="Q1749">
        <v>4.8457479999999997E-2</v>
      </c>
      <c r="R1749">
        <v>3.4246289999999999E-2</v>
      </c>
      <c r="S1749">
        <v>-3.0201419999999999</v>
      </c>
      <c r="T1749">
        <v>-0.2234334</v>
      </c>
      <c r="U1749">
        <v>-0.1110535</v>
      </c>
      <c r="V1749">
        <v>4.9194470000000004E-3</v>
      </c>
      <c r="W1749">
        <v>5.5854149999999998E-2</v>
      </c>
      <c r="X1749">
        <v>0.99842679999999995</v>
      </c>
      <c r="Y1749">
        <v>-6.5801680000000001E-2</v>
      </c>
      <c r="Z1749">
        <v>-4.5976819999999996E-3</v>
      </c>
      <c r="AA1749">
        <v>0.99782210000000005</v>
      </c>
      <c r="AB1749">
        <v>42</v>
      </c>
      <c r="AC1749">
        <v>-14.532699999999901</v>
      </c>
      <c r="AD1749">
        <v>-1.1090019800819999</v>
      </c>
      <c r="AE1749">
        <v>-0.564599999999984</v>
      </c>
      <c r="AF1749">
        <v>-0.98517683889478702</v>
      </c>
      <c r="AG1749">
        <v>-1.1090019800819999</v>
      </c>
      <c r="AH1749">
        <v>14.4259865129836</v>
      </c>
      <c r="AI1749">
        <v>94.385808477246599</v>
      </c>
      <c r="AJ1749">
        <v>93.906767031720804</v>
      </c>
      <c r="AK1749">
        <v>14.502053153554</v>
      </c>
      <c r="AL1749">
        <v>86.798126595275207</v>
      </c>
      <c r="AM1749">
        <v>89.717694607445395</v>
      </c>
      <c r="AN1749">
        <v>0.99999998099462395</v>
      </c>
    </row>
    <row r="1750" spans="1:40" x14ac:dyDescent="0.25">
      <c r="A1750" t="str">
        <f>"20190312151300422"</f>
        <v>20190312151300422</v>
      </c>
      <c r="B1750" t="str">
        <f>"1552374780411757"</f>
        <v>1552374780411757</v>
      </c>
      <c r="C1750" t="s">
        <v>40</v>
      </c>
      <c r="D1750">
        <v>4.4093289999999996</v>
      </c>
      <c r="E1750">
        <v>0.47246339999999998</v>
      </c>
      <c r="F1750" t="s">
        <v>55</v>
      </c>
      <c r="G1750">
        <v>-294.28449999999998</v>
      </c>
      <c r="H1750" s="1">
        <v>3.210831E-6</v>
      </c>
      <c r="I1750">
        <v>281.81290000000001</v>
      </c>
      <c r="J1750">
        <v>-279.12810000000002</v>
      </c>
      <c r="K1750">
        <v>1.109027</v>
      </c>
      <c r="L1750">
        <v>282.45749999999998</v>
      </c>
      <c r="M1750">
        <v>-0.99954659999999995</v>
      </c>
      <c r="N1750">
        <v>0</v>
      </c>
      <c r="O1750">
        <v>2.9181550000000001E-2</v>
      </c>
      <c r="P1750">
        <v>-0.99826380000000003</v>
      </c>
      <c r="Q1750">
        <v>4.846288E-2</v>
      </c>
      <c r="R1750">
        <v>3.3481440000000001E-2</v>
      </c>
      <c r="S1750">
        <v>-3.0199280000000002</v>
      </c>
      <c r="T1750">
        <v>-0.21502270000000001</v>
      </c>
      <c r="U1750">
        <v>-0.1226196</v>
      </c>
      <c r="V1750">
        <v>4.319364E-3</v>
      </c>
      <c r="W1750">
        <v>5.5886999999999999E-2</v>
      </c>
      <c r="X1750">
        <v>0.99842770000000003</v>
      </c>
      <c r="Y1750">
        <v>-6.9461739999999994E-2</v>
      </c>
      <c r="Z1750">
        <v>-4.54317E-3</v>
      </c>
      <c r="AA1750">
        <v>0.99757430000000002</v>
      </c>
      <c r="AB1750">
        <v>42</v>
      </c>
      <c r="AC1750">
        <v>-15.1563999999999</v>
      </c>
      <c r="AD1750">
        <v>-1.109023789169</v>
      </c>
      <c r="AE1750">
        <v>-0.64459999999996798</v>
      </c>
      <c r="AF1750">
        <v>-1.08084831944368</v>
      </c>
      <c r="AG1750">
        <v>-1.109023789169</v>
      </c>
      <c r="AH1750">
        <v>15.0506959954362</v>
      </c>
      <c r="AI1750">
        <v>94.203487417088994</v>
      </c>
      <c r="AJ1750">
        <v>94.107578560338894</v>
      </c>
      <c r="AK1750">
        <v>15.130155874994299</v>
      </c>
      <c r="AL1750">
        <v>86.796241362205095</v>
      </c>
      <c r="AM1750">
        <v>89.752130491303106</v>
      </c>
      <c r="AN1750">
        <v>0.99999994290082495</v>
      </c>
    </row>
    <row r="1751" spans="1:40" x14ac:dyDescent="0.25">
      <c r="A1751" t="str">
        <f>"20190312151300443"</f>
        <v>20190312151300443</v>
      </c>
      <c r="B1751" t="str">
        <f>"1552374780431277"</f>
        <v>1552374780431277</v>
      </c>
      <c r="C1751" t="s">
        <v>40</v>
      </c>
      <c r="D1751">
        <v>4.380973</v>
      </c>
      <c r="E1751">
        <v>0.47238429999999998</v>
      </c>
      <c r="F1751" t="s">
        <v>55</v>
      </c>
      <c r="G1751">
        <v>-294.86540000000002</v>
      </c>
      <c r="H1751" s="1">
        <v>3.315007E-6</v>
      </c>
      <c r="I1751">
        <v>281.8</v>
      </c>
      <c r="J1751">
        <v>-279.52420000000001</v>
      </c>
      <c r="K1751">
        <v>1.1090500000000001</v>
      </c>
      <c r="L1751">
        <v>282.46890000000002</v>
      </c>
      <c r="M1751">
        <v>-0.99955150000000004</v>
      </c>
      <c r="N1751">
        <v>0</v>
      </c>
      <c r="O1751">
        <v>2.9003149999999998E-2</v>
      </c>
      <c r="P1751">
        <v>-0.99828850000000002</v>
      </c>
      <c r="Q1751">
        <v>4.8419619999999997E-2</v>
      </c>
      <c r="R1751">
        <v>3.2806910000000002E-2</v>
      </c>
      <c r="S1751">
        <v>-3.0197750000000001</v>
      </c>
      <c r="T1751">
        <v>-0.21280650000000001</v>
      </c>
      <c r="U1751">
        <v>-0.12615970000000001</v>
      </c>
      <c r="V1751">
        <v>3.8198170000000001E-3</v>
      </c>
      <c r="W1751">
        <v>5.5868920000000002E-2</v>
      </c>
      <c r="X1751">
        <v>0.99843079999999995</v>
      </c>
      <c r="Y1751">
        <v>-7.0456240000000003E-2</v>
      </c>
      <c r="Z1751">
        <v>-4.5190200000000003E-3</v>
      </c>
      <c r="AA1751">
        <v>0.99750470000000002</v>
      </c>
      <c r="AB1751">
        <v>42</v>
      </c>
      <c r="AC1751">
        <v>-15.341200000000001</v>
      </c>
      <c r="AD1751">
        <v>-1.1090466849930001</v>
      </c>
      <c r="AE1751">
        <v>-0.66890000000000704</v>
      </c>
      <c r="AF1751">
        <v>-1.1077955812262299</v>
      </c>
      <c r="AG1751">
        <v>-1.1090466849930001</v>
      </c>
      <c r="AH1751">
        <v>15.2358714592523</v>
      </c>
      <c r="AI1751">
        <v>94.152397350256507</v>
      </c>
      <c r="AJ1751">
        <v>94.158640515527395</v>
      </c>
      <c r="AK1751">
        <v>15.316297683256799</v>
      </c>
      <c r="AL1751">
        <v>86.797279057398498</v>
      </c>
      <c r="AM1751">
        <v>89.780797702941598</v>
      </c>
      <c r="AN1751">
        <v>0.99999999480625901</v>
      </c>
    </row>
    <row r="1752" spans="1:40" x14ac:dyDescent="0.25">
      <c r="A1752" t="str">
        <f>"20190312151300466"</f>
        <v>20190312151300466</v>
      </c>
      <c r="B1752" t="str">
        <f>"1552374780461533"</f>
        <v>1552374780461533</v>
      </c>
      <c r="C1752" t="s">
        <v>40</v>
      </c>
      <c r="D1752">
        <v>4.4264419999999998</v>
      </c>
      <c r="E1752">
        <v>0.47430070000000002</v>
      </c>
      <c r="F1752" t="s">
        <v>55</v>
      </c>
      <c r="G1752">
        <v>-295.33229999999998</v>
      </c>
      <c r="H1752" s="1">
        <v>3.3982619999999902E-6</v>
      </c>
      <c r="I1752">
        <v>281.79500000000002</v>
      </c>
      <c r="J1752">
        <v>-279.94009999999997</v>
      </c>
      <c r="K1752">
        <v>1.10907</v>
      </c>
      <c r="L1752">
        <v>282.48079999999999</v>
      </c>
      <c r="M1752">
        <v>-0.99955740000000004</v>
      </c>
      <c r="N1752">
        <v>0</v>
      </c>
      <c r="O1752">
        <v>2.879787E-2</v>
      </c>
      <c r="P1752">
        <v>-0.99829659999999998</v>
      </c>
      <c r="Q1752">
        <v>4.85656E-2</v>
      </c>
      <c r="R1752">
        <v>3.2338110000000003E-2</v>
      </c>
      <c r="S1752">
        <v>-3.0196529999999999</v>
      </c>
      <c r="T1752">
        <v>-0.2118485</v>
      </c>
      <c r="U1752">
        <v>-0.12872310000000001</v>
      </c>
      <c r="V1752">
        <v>3.553189E-3</v>
      </c>
      <c r="W1752">
        <v>5.6040310000000003E-2</v>
      </c>
      <c r="X1752">
        <v>0.99842220000000004</v>
      </c>
      <c r="Y1752">
        <v>-7.1099499999999996E-2</v>
      </c>
      <c r="Z1752">
        <v>-4.5069840000000003E-3</v>
      </c>
      <c r="AA1752">
        <v>0.99745910000000004</v>
      </c>
      <c r="AB1752">
        <v>42</v>
      </c>
      <c r="AC1752">
        <v>-15.392200000000001</v>
      </c>
      <c r="AD1752">
        <v>-1.109066601738</v>
      </c>
      <c r="AE1752">
        <v>-0.68579999999997199</v>
      </c>
      <c r="AF1752">
        <v>-1.1229718300373199</v>
      </c>
      <c r="AG1752">
        <v>-1.109066601738</v>
      </c>
      <c r="AH1752">
        <v>15.286857365215001</v>
      </c>
      <c r="AI1752">
        <v>94.138445284002401</v>
      </c>
      <c r="AJ1752">
        <v>94.201398712469697</v>
      </c>
      <c r="AK1752">
        <v>15.3681196820748</v>
      </c>
      <c r="AL1752">
        <v>86.787443791268302</v>
      </c>
      <c r="AM1752">
        <v>89.796096406856194</v>
      </c>
      <c r="AN1752">
        <v>1.0000000154749</v>
      </c>
    </row>
    <row r="1753" spans="1:40" x14ac:dyDescent="0.25">
      <c r="A1753" t="str">
        <f>"20190312151300488"</f>
        <v>20190312151300488</v>
      </c>
      <c r="B1753" t="str">
        <f>"1552374780482029"</f>
        <v>1552374780482029</v>
      </c>
      <c r="C1753" t="s">
        <v>40</v>
      </c>
      <c r="D1753">
        <v>4.436871</v>
      </c>
      <c r="E1753">
        <v>0.47461340000000002</v>
      </c>
      <c r="F1753" t="s">
        <v>55</v>
      </c>
      <c r="G1753">
        <v>-308.72050000000002</v>
      </c>
      <c r="H1753" s="1">
        <v>2.698797E-6</v>
      </c>
      <c r="I1753">
        <v>281.40129999999999</v>
      </c>
      <c r="J1753">
        <v>-280.36689999999999</v>
      </c>
      <c r="K1753">
        <v>1.1090930000000001</v>
      </c>
      <c r="L1753">
        <v>282.49299999999999</v>
      </c>
      <c r="M1753">
        <v>-0.99956350000000005</v>
      </c>
      <c r="N1753">
        <v>0</v>
      </c>
      <c r="O1753">
        <v>2.8570430000000001E-2</v>
      </c>
      <c r="P1753">
        <v>-0.99832240000000005</v>
      </c>
      <c r="Q1753">
        <v>4.8124199999999999E-2</v>
      </c>
      <c r="R1753">
        <v>3.2192770000000002E-2</v>
      </c>
      <c r="S1753">
        <v>-3.0144350000000002</v>
      </c>
      <c r="T1753">
        <v>-0.1161629</v>
      </c>
      <c r="U1753">
        <v>-0.1130676</v>
      </c>
      <c r="V1753">
        <v>3.6318869999999999E-3</v>
      </c>
      <c r="W1753">
        <v>5.5624680000000003E-2</v>
      </c>
      <c r="X1753">
        <v>0.99844520000000003</v>
      </c>
      <c r="Y1753">
        <v>-6.594817E-2</v>
      </c>
      <c r="Z1753">
        <v>-2.3700050000000001E-3</v>
      </c>
      <c r="AA1753">
        <v>0.99782029999999999</v>
      </c>
      <c r="AB1753">
        <v>42</v>
      </c>
      <c r="AC1753">
        <v>-28.3536</v>
      </c>
      <c r="AD1753">
        <v>-1.109090301203</v>
      </c>
      <c r="AE1753">
        <v>-1.0916999999999999</v>
      </c>
      <c r="AF1753">
        <v>-1.89845126480638</v>
      </c>
      <c r="AG1753">
        <v>-1.109090301203</v>
      </c>
      <c r="AH1753">
        <v>28.267645615469</v>
      </c>
      <c r="AI1753">
        <v>92.241821181165406</v>
      </c>
      <c r="AJ1753">
        <v>93.8422070607254</v>
      </c>
      <c r="AK1753">
        <v>28.353024303287501</v>
      </c>
      <c r="AL1753">
        <v>86.811294970979205</v>
      </c>
      <c r="AM1753">
        <v>89.791585077506596</v>
      </c>
      <c r="AN1753">
        <v>1.0000000565156599</v>
      </c>
    </row>
    <row r="1754" spans="1:40" x14ac:dyDescent="0.25">
      <c r="A1754" t="str">
        <f>"20190312151300511"</f>
        <v>20190312151300511</v>
      </c>
      <c r="B1754" t="str">
        <f>"1552374780501549"</f>
        <v>1552374780501549</v>
      </c>
      <c r="C1754" t="s">
        <v>40</v>
      </c>
      <c r="D1754">
        <v>4.3928310000000002</v>
      </c>
      <c r="E1754">
        <v>0.47372160000000002</v>
      </c>
      <c r="F1754" t="s">
        <v>55</v>
      </c>
      <c r="G1754">
        <v>-308.03899999999999</v>
      </c>
      <c r="H1754" s="1">
        <v>2.8134649999999999E-6</v>
      </c>
      <c r="I1754">
        <v>281.47239999999999</v>
      </c>
      <c r="J1754">
        <v>-280.79730000000001</v>
      </c>
      <c r="K1754">
        <v>1.1091120000000001</v>
      </c>
      <c r="L1754">
        <v>282.50510000000003</v>
      </c>
      <c r="M1754">
        <v>-0.99957039999999997</v>
      </c>
      <c r="N1754">
        <v>0</v>
      </c>
      <c r="O1754">
        <v>2.8327390000000001E-2</v>
      </c>
      <c r="P1754">
        <v>-0.99833320000000003</v>
      </c>
      <c r="Q1754">
        <v>4.7993380000000002E-2</v>
      </c>
      <c r="R1754">
        <v>3.2060470000000001E-2</v>
      </c>
      <c r="S1754">
        <v>-3.014465</v>
      </c>
      <c r="T1754">
        <v>-0.1208187</v>
      </c>
      <c r="U1754">
        <v>-0.1111755</v>
      </c>
      <c r="V1754">
        <v>3.740031E-3</v>
      </c>
      <c r="W1754">
        <v>5.5518030000000003E-2</v>
      </c>
      <c r="X1754">
        <v>0.99845070000000002</v>
      </c>
      <c r="Y1754">
        <v>-6.5074880000000002E-2</v>
      </c>
      <c r="Z1754">
        <v>-2.4377019999999999E-3</v>
      </c>
      <c r="AA1754">
        <v>0.99787740000000003</v>
      </c>
      <c r="AB1754">
        <v>42</v>
      </c>
      <c r="AC1754">
        <v>-27.241699999999899</v>
      </c>
      <c r="AD1754">
        <v>-1.109109186535</v>
      </c>
      <c r="AE1754">
        <v>-1.0327000000000299</v>
      </c>
      <c r="AF1754">
        <v>-1.80101256539225</v>
      </c>
      <c r="AG1754">
        <v>-1.109109186535</v>
      </c>
      <c r="AH1754">
        <v>27.156562567372401</v>
      </c>
      <c r="AI1754">
        <v>92.333613435628394</v>
      </c>
      <c r="AJ1754">
        <v>93.794277329626297</v>
      </c>
      <c r="AK1754">
        <v>27.2388079754598</v>
      </c>
      <c r="AL1754">
        <v>86.817414906100097</v>
      </c>
      <c r="AM1754">
        <v>89.785380500697798</v>
      </c>
      <c r="AN1754">
        <v>1.00000001990872</v>
      </c>
    </row>
    <row r="1755" spans="1:40" x14ac:dyDescent="0.25">
      <c r="A1755" t="str">
        <f>"20190312151300532"</f>
        <v>20190312151300532</v>
      </c>
      <c r="B1755" t="str">
        <f>"1552374780522045"</f>
        <v>1552374780522045</v>
      </c>
      <c r="C1755" t="s">
        <v>40</v>
      </c>
      <c r="D1755">
        <v>4.40815</v>
      </c>
      <c r="E1755">
        <v>0.47304439999999998</v>
      </c>
      <c r="F1755" t="s">
        <v>55</v>
      </c>
      <c r="G1755">
        <v>-306.70819999999998</v>
      </c>
      <c r="H1755" s="1">
        <v>3.0485870000000002E-6</v>
      </c>
      <c r="I1755">
        <v>281.48329999999999</v>
      </c>
      <c r="J1755">
        <v>-281.21069999999997</v>
      </c>
      <c r="K1755">
        <v>1.1091260000000001</v>
      </c>
      <c r="L1755">
        <v>282.51659999999998</v>
      </c>
      <c r="M1755">
        <v>-0.99957700000000005</v>
      </c>
      <c r="N1755">
        <v>0</v>
      </c>
      <c r="O1755">
        <v>2.8084020000000001E-2</v>
      </c>
      <c r="P1755">
        <v>-0.99834020000000001</v>
      </c>
      <c r="Q1755">
        <v>4.8013420000000001E-2</v>
      </c>
      <c r="R1755">
        <v>3.1805359999999998E-2</v>
      </c>
      <c r="S1755">
        <v>-3.0150450000000002</v>
      </c>
      <c r="T1755">
        <v>-0.12905849999999999</v>
      </c>
      <c r="U1755">
        <v>-0.1188965</v>
      </c>
      <c r="V1755">
        <v>3.725669E-3</v>
      </c>
      <c r="W1755">
        <v>5.5561350000000002E-2</v>
      </c>
      <c r="X1755">
        <v>0.99844829999999996</v>
      </c>
      <c r="Y1755">
        <v>-6.7363950000000006E-2</v>
      </c>
      <c r="Z1755">
        <v>-2.6417290000000002E-3</v>
      </c>
      <c r="AA1755">
        <v>0.99772499999999997</v>
      </c>
      <c r="AB1755">
        <v>42</v>
      </c>
      <c r="AC1755">
        <v>-25.497499999999999</v>
      </c>
      <c r="AD1755">
        <v>-1.1091229514129901</v>
      </c>
      <c r="AE1755">
        <v>-1.0332999999999899</v>
      </c>
      <c r="AF1755">
        <v>-1.7456874040310899</v>
      </c>
      <c r="AG1755">
        <v>-1.1091229514129901</v>
      </c>
      <c r="AH1755">
        <v>25.410419856060901</v>
      </c>
      <c r="AI1755">
        <v>92.493410333471402</v>
      </c>
      <c r="AJ1755">
        <v>93.9300260089896</v>
      </c>
      <c r="AK1755">
        <v>25.494450680397801</v>
      </c>
      <c r="AL1755">
        <v>86.814928875957605</v>
      </c>
      <c r="AM1755">
        <v>89.786204134131495</v>
      </c>
      <c r="AN1755">
        <v>0.99999997599810397</v>
      </c>
    </row>
    <row r="1756" spans="1:40" x14ac:dyDescent="0.25">
      <c r="A1756" t="str">
        <f>"20190312151300555"</f>
        <v>20190312151300555</v>
      </c>
      <c r="B1756" t="str">
        <f>"1552374780551326"</f>
        <v>1552374780551326</v>
      </c>
      <c r="C1756" t="s">
        <v>40</v>
      </c>
      <c r="D1756">
        <v>4.4219169999999997</v>
      </c>
      <c r="E1756">
        <v>0.47237709999999999</v>
      </c>
      <c r="F1756" t="s">
        <v>55</v>
      </c>
      <c r="G1756">
        <v>-304.99250000000001</v>
      </c>
      <c r="H1756" s="1">
        <v>3.348959E-6</v>
      </c>
      <c r="I1756">
        <v>281.52850000000001</v>
      </c>
      <c r="J1756">
        <v>-281.63600000000002</v>
      </c>
      <c r="K1756">
        <v>1.1091420000000001</v>
      </c>
      <c r="L1756">
        <v>282.52839999999998</v>
      </c>
      <c r="M1756">
        <v>-0.99958409999999998</v>
      </c>
      <c r="N1756">
        <v>0</v>
      </c>
      <c r="O1756">
        <v>2.782395E-2</v>
      </c>
      <c r="P1756">
        <v>-0.9983689</v>
      </c>
      <c r="Q1756">
        <v>4.753185E-2</v>
      </c>
      <c r="R1756">
        <v>3.1628049999999998E-2</v>
      </c>
      <c r="S1756">
        <v>-3.0157470000000002</v>
      </c>
      <c r="T1756">
        <v>-0.14064649999999901</v>
      </c>
      <c r="U1756">
        <v>-0.12530519999999901</v>
      </c>
      <c r="V1756">
        <v>3.8055820000000001E-3</v>
      </c>
      <c r="W1756">
        <v>5.5102869999999998E-2</v>
      </c>
      <c r="X1756">
        <v>0.99847339999999996</v>
      </c>
      <c r="Y1756">
        <v>-6.9193870000000005E-2</v>
      </c>
      <c r="Z1756">
        <v>-2.9084100000000002E-3</v>
      </c>
      <c r="AA1756">
        <v>0.99759900000000001</v>
      </c>
      <c r="AB1756">
        <v>43</v>
      </c>
      <c r="AC1756">
        <v>-23.3565</v>
      </c>
      <c r="AD1756">
        <v>-1.109138651041</v>
      </c>
      <c r="AE1756">
        <v>-0.99989999999996804</v>
      </c>
      <c r="AF1756">
        <v>-1.6456972731019099</v>
      </c>
      <c r="AG1756">
        <v>-1.109138651041</v>
      </c>
      <c r="AH1756">
        <v>23.2672619354707</v>
      </c>
      <c r="AI1756">
        <v>92.722403934284301</v>
      </c>
      <c r="AJ1756">
        <v>94.045802188517101</v>
      </c>
      <c r="AK1756">
        <v>23.351744817801801</v>
      </c>
      <c r="AL1756">
        <v>86.841238131324005</v>
      </c>
      <c r="AM1756">
        <v>89.781623895663202</v>
      </c>
      <c r="AN1756">
        <v>0.99999996962207705</v>
      </c>
    </row>
    <row r="1757" spans="1:40" x14ac:dyDescent="0.25">
      <c r="A1757" t="str">
        <f>"20190312151300577"</f>
        <v>20190312151300577</v>
      </c>
      <c r="B1757" t="str">
        <f>"1552374780571821"</f>
        <v>1552374780571821</v>
      </c>
      <c r="C1757" t="s">
        <v>40</v>
      </c>
      <c r="D1757">
        <v>6.2293430000000001</v>
      </c>
      <c r="E1757">
        <v>0.47248499999999999</v>
      </c>
      <c r="F1757" t="s">
        <v>55</v>
      </c>
      <c r="G1757">
        <v>-302.75940000000003</v>
      </c>
      <c r="H1757" s="1">
        <v>3.7381459999999998E-6</v>
      </c>
      <c r="I1757">
        <v>281.6078</v>
      </c>
      <c r="J1757">
        <v>-282.05439999999999</v>
      </c>
      <c r="K1757">
        <v>1.109151</v>
      </c>
      <c r="L1757">
        <v>282.53989999999999</v>
      </c>
      <c r="M1757">
        <v>-0.99959140000000002</v>
      </c>
      <c r="N1757">
        <v>0</v>
      </c>
      <c r="O1757">
        <v>2.755757E-2</v>
      </c>
      <c r="P1757">
        <v>-0.99837359999999997</v>
      </c>
      <c r="Q1757">
        <v>4.7408169999999999E-2</v>
      </c>
      <c r="R1757">
        <v>3.1671150000000002E-2</v>
      </c>
      <c r="S1757">
        <v>-3.0166019999999998</v>
      </c>
      <c r="T1757">
        <v>-0.15839449999999999</v>
      </c>
      <c r="U1757">
        <v>-0.13146969999999999</v>
      </c>
      <c r="V1757">
        <v>4.1126219999999998E-3</v>
      </c>
      <c r="W1757">
        <v>5.5001920000000003E-2</v>
      </c>
      <c r="X1757">
        <v>0.99847779999999997</v>
      </c>
      <c r="Y1757">
        <v>-7.0920999999999998E-2</v>
      </c>
      <c r="Z1757">
        <v>-3.3052049999999999E-3</v>
      </c>
      <c r="AA1757">
        <v>0.99747649999999999</v>
      </c>
      <c r="AB1757">
        <v>43</v>
      </c>
      <c r="AC1757">
        <v>-20.704999999999998</v>
      </c>
      <c r="AD1757">
        <v>-1.1091472618539999</v>
      </c>
      <c r="AE1757">
        <v>-0.93209999999999105</v>
      </c>
      <c r="AF1757">
        <v>-1.4980517290539701</v>
      </c>
      <c r="AG1757">
        <v>-1.1091472618539999</v>
      </c>
      <c r="AH1757">
        <v>20.612418350782001</v>
      </c>
      <c r="AI1757">
        <v>93.072009168637805</v>
      </c>
      <c r="AJ1757">
        <v>94.156785320082307</v>
      </c>
      <c r="AK1757">
        <v>20.696525237320699</v>
      </c>
      <c r="AL1757">
        <v>86.847031087495793</v>
      </c>
      <c r="AM1757">
        <v>89.764006219463099</v>
      </c>
      <c r="AN1757">
        <v>1.0000000209781199</v>
      </c>
    </row>
    <row r="1758" spans="1:40" x14ac:dyDescent="0.25">
      <c r="A1758" t="str">
        <f>"20190312151300601"</f>
        <v>20190312151300601</v>
      </c>
      <c r="B1758" t="str">
        <f>"1552374780591342"</f>
        <v>1552374780591342</v>
      </c>
      <c r="C1758" t="s">
        <v>40</v>
      </c>
      <c r="D1758">
        <v>4.5712229999999998</v>
      </c>
      <c r="E1758">
        <v>0.47268290000000002</v>
      </c>
      <c r="F1758" t="s">
        <v>55</v>
      </c>
      <c r="G1758">
        <v>-303.83980000000003</v>
      </c>
      <c r="H1758" s="1">
        <v>3.547497E-6</v>
      </c>
      <c r="I1758">
        <v>281.59629999999999</v>
      </c>
      <c r="J1758">
        <v>-282.50240000000002</v>
      </c>
      <c r="K1758">
        <v>1.109164</v>
      </c>
      <c r="L1758">
        <v>282.5521</v>
      </c>
      <c r="M1758">
        <v>-0.99959940000000003</v>
      </c>
      <c r="N1758">
        <v>0</v>
      </c>
      <c r="O1758">
        <v>2.7259410000000001E-2</v>
      </c>
      <c r="P1758">
        <v>-0.99837489999999995</v>
      </c>
      <c r="Q1758">
        <v>4.7451399999999998E-2</v>
      </c>
      <c r="R1758">
        <v>3.1560860000000003E-2</v>
      </c>
      <c r="S1758">
        <v>-3.016327</v>
      </c>
      <c r="T1758">
        <v>-0.15356839999999999</v>
      </c>
      <c r="U1758">
        <v>-0.13064580000000001</v>
      </c>
      <c r="V1758">
        <v>4.2980630000000004E-3</v>
      </c>
      <c r="W1758">
        <v>5.5068119999999998E-2</v>
      </c>
      <c r="X1758">
        <v>0.99847330000000001</v>
      </c>
      <c r="Y1758">
        <v>-7.0364629999999997E-2</v>
      </c>
      <c r="Z1758">
        <v>-3.1756290000000001E-3</v>
      </c>
      <c r="AA1758">
        <v>0.99751630000000002</v>
      </c>
      <c r="AB1758">
        <v>43</v>
      </c>
      <c r="AC1758">
        <v>-21.337399999999999</v>
      </c>
      <c r="AD1758">
        <v>-1.1091604525030001</v>
      </c>
      <c r="AE1758">
        <v>-0.95580000000000997</v>
      </c>
      <c r="AF1758">
        <v>-1.5329725990391201</v>
      </c>
      <c r="AG1758">
        <v>-1.1091604525030001</v>
      </c>
      <c r="AH1758">
        <v>21.246120368758501</v>
      </c>
      <c r="AI1758">
        <v>92.980696677605906</v>
      </c>
      <c r="AJ1758">
        <v>94.126914076161398</v>
      </c>
      <c r="AK1758">
        <v>21.3302103276685</v>
      </c>
      <c r="AL1758">
        <v>86.843232128568005</v>
      </c>
      <c r="AM1758">
        <v>89.753364112053205</v>
      </c>
      <c r="AN1758">
        <v>0.99999995099938699</v>
      </c>
    </row>
    <row r="1759" spans="1:40" x14ac:dyDescent="0.25">
      <c r="A1759" t="str">
        <f>"20190312151300623"</f>
        <v>20190312151300623</v>
      </c>
      <c r="B1759" t="str">
        <f>"1552374780611837"</f>
        <v>1552374780611837</v>
      </c>
      <c r="C1759" t="s">
        <v>40</v>
      </c>
      <c r="D1759">
        <v>4.3592380000000004</v>
      </c>
      <c r="E1759">
        <v>0.47218080000000001</v>
      </c>
      <c r="F1759" t="s">
        <v>55</v>
      </c>
      <c r="G1759">
        <v>-305.11270000000002</v>
      </c>
      <c r="H1759" s="1">
        <v>3.322808E-6</v>
      </c>
      <c r="I1759">
        <v>281.58390000000003</v>
      </c>
      <c r="J1759">
        <v>-282.93729999999999</v>
      </c>
      <c r="K1759">
        <v>1.1091770000000001</v>
      </c>
      <c r="L1759">
        <v>282.56369999999998</v>
      </c>
      <c r="M1759">
        <v>-0.99960749999999998</v>
      </c>
      <c r="N1759">
        <v>0</v>
      </c>
      <c r="O1759">
        <v>2.6957660000000001E-2</v>
      </c>
      <c r="P1759">
        <v>-0.99836230000000004</v>
      </c>
      <c r="Q1759">
        <v>4.7675830000000002E-2</v>
      </c>
      <c r="R1759">
        <v>3.1622789999999998E-2</v>
      </c>
      <c r="S1759">
        <v>-3.0159910000000001</v>
      </c>
      <c r="T1759">
        <v>-0.14795150000000001</v>
      </c>
      <c r="U1759">
        <v>-0.1291504</v>
      </c>
      <c r="V1759">
        <v>4.659257E-3</v>
      </c>
      <c r="W1759">
        <v>5.5314259999999997E-2</v>
      </c>
      <c r="X1759">
        <v>0.99845810000000002</v>
      </c>
      <c r="Y1759">
        <v>-6.9584969999999996E-2</v>
      </c>
      <c r="Z1759">
        <v>-3.0260999999999999E-3</v>
      </c>
      <c r="AA1759">
        <v>0.9975714</v>
      </c>
      <c r="AB1759">
        <v>43</v>
      </c>
      <c r="AC1759">
        <v>-22.1754</v>
      </c>
      <c r="AD1759">
        <v>-1.109173677192</v>
      </c>
      <c r="AE1759">
        <v>-0.97979999999995404</v>
      </c>
      <c r="AF1759">
        <v>-1.5733296468312601</v>
      </c>
      <c r="AG1759">
        <v>-1.109173677192</v>
      </c>
      <c r="AH1759">
        <v>22.085779580296599</v>
      </c>
      <c r="AI1759">
        <v>92.867790295299699</v>
      </c>
      <c r="AJ1759">
        <v>94.074708934209497</v>
      </c>
      <c r="AK1759">
        <v>22.1695126715321</v>
      </c>
      <c r="AL1759">
        <v>86.829107898180396</v>
      </c>
      <c r="AM1759">
        <v>89.732633924178501</v>
      </c>
      <c r="AN1759">
        <v>0.999999976745374</v>
      </c>
    </row>
    <row r="1760" spans="1:40" x14ac:dyDescent="0.25">
      <c r="A1760" t="str">
        <f>"20190312151300645"</f>
        <v>20190312151300645</v>
      </c>
      <c r="B1760" t="str">
        <f>"1552374780642093"</f>
        <v>1552374780642093</v>
      </c>
      <c r="C1760" t="s">
        <v>40</v>
      </c>
      <c r="D1760">
        <v>4.3945919999999896</v>
      </c>
      <c r="E1760">
        <v>0.47201850000000001</v>
      </c>
      <c r="F1760" t="s">
        <v>55</v>
      </c>
      <c r="G1760">
        <v>-304.53629999999998</v>
      </c>
      <c r="H1760" s="1">
        <v>3.422927E-6</v>
      </c>
      <c r="I1760">
        <v>281.60809999999998</v>
      </c>
      <c r="J1760">
        <v>-283.351</v>
      </c>
      <c r="K1760">
        <v>1.109191</v>
      </c>
      <c r="L1760">
        <v>282.57470000000001</v>
      </c>
      <c r="M1760">
        <v>-0.99961529999999998</v>
      </c>
      <c r="N1760">
        <v>0</v>
      </c>
      <c r="O1760">
        <v>2.6660050000000001E-2</v>
      </c>
      <c r="P1760">
        <v>-0.99835010000000002</v>
      </c>
      <c r="Q1760">
        <v>4.816074E-2</v>
      </c>
      <c r="R1760">
        <v>3.1268539999999997E-2</v>
      </c>
      <c r="S1760">
        <v>-3.0165099999999998</v>
      </c>
      <c r="T1760">
        <v>-0.15490699999999999</v>
      </c>
      <c r="U1760">
        <v>-0.1334534</v>
      </c>
      <c r="V1760">
        <v>4.6002930000000001E-3</v>
      </c>
      <c r="W1760">
        <v>5.5819880000000002E-2</v>
      </c>
      <c r="X1760">
        <v>0.99843029999999999</v>
      </c>
      <c r="Y1760">
        <v>-7.0688760000000003E-2</v>
      </c>
      <c r="Z1760">
        <v>-3.1805869999999999E-3</v>
      </c>
      <c r="AA1760">
        <v>0.99749330000000003</v>
      </c>
      <c r="AB1760">
        <v>43</v>
      </c>
      <c r="AC1760">
        <v>-21.185299999999899</v>
      </c>
      <c r="AD1760">
        <v>-1.109187577073</v>
      </c>
      <c r="AE1760">
        <v>-0.96660000000002799</v>
      </c>
      <c r="AF1760">
        <v>-1.52689725000025</v>
      </c>
      <c r="AG1760">
        <v>-1.109187577073</v>
      </c>
      <c r="AH1760">
        <v>21.094295485503899</v>
      </c>
      <c r="AI1760">
        <v>93.0021344021971</v>
      </c>
      <c r="AJ1760">
        <v>94.1400981949852</v>
      </c>
      <c r="AK1760">
        <v>21.178550807903299</v>
      </c>
      <c r="AL1760">
        <v>86.800093387835304</v>
      </c>
      <c r="AM1760">
        <v>89.736010106804201</v>
      </c>
      <c r="AN1760">
        <v>1.0000000428284901</v>
      </c>
    </row>
    <row r="1761" spans="1:40" x14ac:dyDescent="0.25">
      <c r="A1761" t="str">
        <f>"20190312151300666"</f>
        <v>20190312151300666</v>
      </c>
      <c r="B1761" t="str">
        <f>"1552374780661613"</f>
        <v>1552374780661613</v>
      </c>
      <c r="C1761" t="s">
        <v>40</v>
      </c>
      <c r="D1761">
        <v>4.380566</v>
      </c>
      <c r="E1761">
        <v>0.47220230000000002</v>
      </c>
      <c r="F1761" t="s">
        <v>55</v>
      </c>
      <c r="G1761">
        <v>-304.98520000000002</v>
      </c>
      <c r="H1761" s="1">
        <v>3.3438300000000001E-6</v>
      </c>
      <c r="I1761">
        <v>281.60210000000001</v>
      </c>
      <c r="J1761">
        <v>-283.75689999999997</v>
      </c>
      <c r="K1761">
        <v>1.109205</v>
      </c>
      <c r="L1761">
        <v>282.58530000000002</v>
      </c>
      <c r="M1761">
        <v>-0.99962300000000004</v>
      </c>
      <c r="N1761">
        <v>0</v>
      </c>
      <c r="O1761">
        <v>2.6360069999999999E-2</v>
      </c>
      <c r="P1761">
        <v>-0.99838870000000002</v>
      </c>
      <c r="Q1761">
        <v>4.8013670000000001E-2</v>
      </c>
      <c r="R1761">
        <v>3.0245589999999999E-2</v>
      </c>
      <c r="S1761">
        <v>-3.0166930000000001</v>
      </c>
      <c r="T1761">
        <v>-0.15466679999999999</v>
      </c>
      <c r="U1761">
        <v>-0.13562009999999999</v>
      </c>
      <c r="V1761">
        <v>3.8746029999999999E-3</v>
      </c>
      <c r="W1761">
        <v>5.56918E-2</v>
      </c>
      <c r="X1761">
        <v>0.99844049999999995</v>
      </c>
      <c r="Y1761">
        <v>-7.110205E-2</v>
      </c>
      <c r="Z1761">
        <v>-3.170642E-3</v>
      </c>
      <c r="AA1761">
        <v>0.99746400000000002</v>
      </c>
      <c r="AB1761">
        <v>43</v>
      </c>
      <c r="AC1761">
        <v>-21.228300000000001</v>
      </c>
      <c r="AD1761">
        <v>-1.10920165617</v>
      </c>
      <c r="AE1761">
        <v>-0.98320000000000995</v>
      </c>
      <c r="AF1761">
        <v>-1.53826357414042</v>
      </c>
      <c r="AG1761">
        <v>-1.10920165617</v>
      </c>
      <c r="AH1761">
        <v>21.137419680351801</v>
      </c>
      <c r="AI1761">
        <v>92.995974410321395</v>
      </c>
      <c r="AJ1761">
        <v>94.162329725797306</v>
      </c>
      <c r="AK1761">
        <v>21.222325364599001</v>
      </c>
      <c r="AL1761">
        <v>86.807443161151994</v>
      </c>
      <c r="AM1761">
        <v>89.7776559696795</v>
      </c>
      <c r="AN1761">
        <v>1.0000000105879401</v>
      </c>
    </row>
    <row r="1762" spans="1:40" x14ac:dyDescent="0.25">
      <c r="A1762" t="str">
        <f>"20190312151300689"</f>
        <v>20190312151300689</v>
      </c>
      <c r="B1762" t="str">
        <f>"1552374780682109"</f>
        <v>1552374780682109</v>
      </c>
      <c r="C1762" t="s">
        <v>40</v>
      </c>
      <c r="D1762">
        <v>4.3723989999999997</v>
      </c>
      <c r="E1762">
        <v>0.47239690000000001</v>
      </c>
      <c r="F1762" t="s">
        <v>55</v>
      </c>
      <c r="G1762">
        <v>-305.88900000000001</v>
      </c>
      <c r="H1762" s="1">
        <v>3.1853089999999998E-6</v>
      </c>
      <c r="I1762">
        <v>281.58139999999997</v>
      </c>
      <c r="J1762">
        <v>-284.20929999999998</v>
      </c>
      <c r="K1762">
        <v>1.1092200000000001</v>
      </c>
      <c r="L1762">
        <v>282.59699999999998</v>
      </c>
      <c r="M1762">
        <v>-0.99963179999999996</v>
      </c>
      <c r="N1762">
        <v>0</v>
      </c>
      <c r="O1762">
        <v>2.60173E-2</v>
      </c>
      <c r="P1762">
        <v>-0.99842540000000002</v>
      </c>
      <c r="Q1762">
        <v>4.7690410000000003E-2</v>
      </c>
      <c r="R1762">
        <v>2.9536949999999999E-2</v>
      </c>
      <c r="S1762">
        <v>-3.0162659999999999</v>
      </c>
      <c r="T1762">
        <v>-0.15116689999999999</v>
      </c>
      <c r="U1762">
        <v>-0.1368103</v>
      </c>
      <c r="V1762">
        <v>3.506117E-3</v>
      </c>
      <c r="W1762">
        <v>5.5390429999999997E-2</v>
      </c>
      <c r="X1762">
        <v>0.99845859999999997</v>
      </c>
      <c r="Y1762">
        <v>-7.1165190000000003E-2</v>
      </c>
      <c r="Z1762">
        <v>-3.0838189999999998E-3</v>
      </c>
      <c r="AA1762">
        <v>0.99745980000000001</v>
      </c>
      <c r="AB1762">
        <v>43</v>
      </c>
      <c r="AC1762">
        <v>-21.6797</v>
      </c>
      <c r="AD1762">
        <v>-1.109216814691</v>
      </c>
      <c r="AE1762">
        <v>-1.0156000000000001</v>
      </c>
      <c r="AF1762">
        <v>-1.5752057450118899</v>
      </c>
      <c r="AG1762">
        <v>-1.109216814691</v>
      </c>
      <c r="AH1762">
        <v>21.589544833115099</v>
      </c>
      <c r="AI1762">
        <v>92.933344197859697</v>
      </c>
      <c r="AJ1762">
        <v>94.172992139752694</v>
      </c>
      <c r="AK1762">
        <v>21.6753334733793</v>
      </c>
      <c r="AL1762">
        <v>86.8247370012853</v>
      </c>
      <c r="AM1762">
        <v>89.7988049971339</v>
      </c>
      <c r="AN1762">
        <v>0.99999998425298098</v>
      </c>
    </row>
    <row r="1763" spans="1:40" x14ac:dyDescent="0.25">
      <c r="A1763" t="str">
        <f>"20190312151300711"</f>
        <v>20190312151300711</v>
      </c>
      <c r="B1763" t="str">
        <f>"1552374780702202"</f>
        <v>1552374780702202</v>
      </c>
      <c r="C1763" t="s">
        <v>40</v>
      </c>
      <c r="D1763">
        <v>4.3710690000000003</v>
      </c>
      <c r="E1763">
        <v>0.47232790000000002</v>
      </c>
      <c r="F1763" t="s">
        <v>55</v>
      </c>
      <c r="G1763">
        <v>-306.79899999999998</v>
      </c>
      <c r="H1763" s="1">
        <v>3.025312E-6</v>
      </c>
      <c r="I1763">
        <v>281.56509999999997</v>
      </c>
      <c r="J1763">
        <v>-284.65300000000002</v>
      </c>
      <c r="K1763">
        <v>1.1092310000000001</v>
      </c>
      <c r="L1763">
        <v>282.60829999999999</v>
      </c>
      <c r="M1763">
        <v>-0.99964059999999999</v>
      </c>
      <c r="N1763">
        <v>0</v>
      </c>
      <c r="O1763">
        <v>2.56755E-2</v>
      </c>
      <c r="P1763">
        <v>-0.99845530000000005</v>
      </c>
      <c r="Q1763">
        <v>4.7541369999999999E-2</v>
      </c>
      <c r="R1763">
        <v>2.876515E-2</v>
      </c>
      <c r="S1763">
        <v>-3.0158999999999998</v>
      </c>
      <c r="T1763">
        <v>-0.1480891</v>
      </c>
      <c r="U1763">
        <v>-0.1377563</v>
      </c>
      <c r="V1763">
        <v>3.0741100000000001E-3</v>
      </c>
      <c r="W1763">
        <v>5.5262360000000003E-2</v>
      </c>
      <c r="X1763">
        <v>0.99846710000000005</v>
      </c>
      <c r="Y1763">
        <v>-7.1147169999999996E-2</v>
      </c>
      <c r="Z1763">
        <v>-3.0042440000000001E-3</v>
      </c>
      <c r="AA1763">
        <v>0.9974613</v>
      </c>
      <c r="AB1763">
        <v>43</v>
      </c>
      <c r="AC1763">
        <v>-22.146000000000001</v>
      </c>
      <c r="AD1763">
        <v>-1.1092279746879901</v>
      </c>
      <c r="AE1763">
        <v>-1.0432000000000099</v>
      </c>
      <c r="AF1763">
        <v>-1.6074588654244699</v>
      </c>
      <c r="AG1763">
        <v>-1.1092279746879901</v>
      </c>
      <c r="AH1763">
        <v>22.056701785525402</v>
      </c>
      <c r="AI1763">
        <v>92.871367691242199</v>
      </c>
      <c r="AJ1763">
        <v>94.168260066166397</v>
      </c>
      <c r="AK1763">
        <v>22.1429989919943</v>
      </c>
      <c r="AL1763">
        <v>86.832086064742398</v>
      </c>
      <c r="AM1763">
        <v>89.823596619029601</v>
      </c>
      <c r="AN1763">
        <v>0.99999996418373505</v>
      </c>
    </row>
    <row r="1764" spans="1:40" x14ac:dyDescent="0.25">
      <c r="A1764" t="str">
        <f>"20190312151300734"</f>
        <v>20190312151300734</v>
      </c>
      <c r="B1764" t="str">
        <f>"1552374780721726"</f>
        <v>1552374780721726</v>
      </c>
      <c r="C1764" t="s">
        <v>40</v>
      </c>
      <c r="D1764">
        <v>4.3820540000000001</v>
      </c>
      <c r="E1764">
        <v>0.47227279999999999</v>
      </c>
      <c r="F1764" t="s">
        <v>55</v>
      </c>
      <c r="G1764">
        <v>-306.92529999999999</v>
      </c>
      <c r="H1764" s="1">
        <v>3.0025539999999998E-6</v>
      </c>
      <c r="I1764">
        <v>281.5693</v>
      </c>
      <c r="J1764">
        <v>-285.07010000000002</v>
      </c>
      <c r="K1764">
        <v>1.109243</v>
      </c>
      <c r="L1764">
        <v>282.61869999999999</v>
      </c>
      <c r="M1764">
        <v>-0.9996486</v>
      </c>
      <c r="N1764">
        <v>0</v>
      </c>
      <c r="O1764">
        <v>2.5350660000000001E-2</v>
      </c>
      <c r="P1764">
        <v>-0.99847319999999995</v>
      </c>
      <c r="Q1764">
        <v>4.739587E-2</v>
      </c>
      <c r="R1764">
        <v>2.8372540000000002E-2</v>
      </c>
      <c r="S1764">
        <v>-3.0158390000000002</v>
      </c>
      <c r="T1764">
        <v>-0.15019849999999901</v>
      </c>
      <c r="U1764">
        <v>-0.14068599999999901</v>
      </c>
      <c r="V1764">
        <v>3.004605E-3</v>
      </c>
      <c r="W1764">
        <v>5.5137150000000003E-2</v>
      </c>
      <c r="X1764">
        <v>0.99847419999999998</v>
      </c>
      <c r="Y1764">
        <v>-7.1787139999999999E-2</v>
      </c>
      <c r="Z1764">
        <v>-3.04674E-3</v>
      </c>
      <c r="AA1764">
        <v>0.9974153</v>
      </c>
      <c r="AB1764">
        <v>43</v>
      </c>
      <c r="AC1764">
        <v>-21.8551999999999</v>
      </c>
      <c r="AD1764">
        <v>-1.1092399974460001</v>
      </c>
      <c r="AE1764">
        <v>-1.0493999999999899</v>
      </c>
      <c r="AF1764">
        <v>-1.59901355356649</v>
      </c>
      <c r="AG1764">
        <v>-1.1092399974460001</v>
      </c>
      <c r="AH1764">
        <v>21.765633245419401</v>
      </c>
      <c r="AI1764">
        <v>92.909607983831194</v>
      </c>
      <c r="AJ1764">
        <v>94.201689730514005</v>
      </c>
      <c r="AK1764">
        <v>21.852460920695599</v>
      </c>
      <c r="AL1764">
        <v>86.839270917710493</v>
      </c>
      <c r="AM1764">
        <v>89.827586265141306</v>
      </c>
      <c r="AN1764">
        <v>0.99999993051348102</v>
      </c>
    </row>
    <row r="1765" spans="1:40" x14ac:dyDescent="0.25">
      <c r="A1765" t="str">
        <f>"20190312151300755"</f>
        <v>20190312151300755</v>
      </c>
      <c r="B1765" t="str">
        <f>"1552374780751978"</f>
        <v>1552374780751978</v>
      </c>
      <c r="C1765" t="s">
        <v>40</v>
      </c>
      <c r="D1765">
        <v>4.3549230000000003</v>
      </c>
      <c r="E1765">
        <v>0.47229339999999997</v>
      </c>
      <c r="F1765" t="s">
        <v>55</v>
      </c>
      <c r="G1765">
        <v>-306.68630000000002</v>
      </c>
      <c r="H1765" s="1">
        <v>3.042289E-6</v>
      </c>
      <c r="I1765">
        <v>281.59969999999998</v>
      </c>
      <c r="J1765">
        <v>-285.48829999999998</v>
      </c>
      <c r="K1765">
        <v>1.1092519999999999</v>
      </c>
      <c r="L1765">
        <v>282.62909999999999</v>
      </c>
      <c r="M1765">
        <v>-0.99965669999999995</v>
      </c>
      <c r="N1765">
        <v>0</v>
      </c>
      <c r="O1765">
        <v>2.5022429999999998E-2</v>
      </c>
      <c r="P1765">
        <v>-0.99849580000000004</v>
      </c>
      <c r="Q1765">
        <v>4.7019289999999998E-2</v>
      </c>
      <c r="R1765">
        <v>2.8208779999999999E-2</v>
      </c>
      <c r="S1765">
        <v>-3.0159609999999999</v>
      </c>
      <c r="T1765">
        <v>-0.15476500000000001</v>
      </c>
      <c r="U1765">
        <v>-0.14218140000000001</v>
      </c>
      <c r="V1765">
        <v>3.1678079999999998E-3</v>
      </c>
      <c r="W1765">
        <v>5.4784819999999998E-2</v>
      </c>
      <c r="X1765">
        <v>0.99849310000000002</v>
      </c>
      <c r="Y1765">
        <v>-7.1944030000000006E-2</v>
      </c>
      <c r="Z1765">
        <v>-3.1262859999999998E-3</v>
      </c>
      <c r="AA1765">
        <v>0.99740379999999995</v>
      </c>
      <c r="AB1765">
        <v>43</v>
      </c>
      <c r="AC1765">
        <v>-21.198</v>
      </c>
      <c r="AD1765">
        <v>-1.1092489577110001</v>
      </c>
      <c r="AE1765">
        <v>-1.0294000000000001</v>
      </c>
      <c r="AF1765">
        <v>-1.55527049212924</v>
      </c>
      <c r="AG1765">
        <v>-1.1092489577110001</v>
      </c>
      <c r="AH1765">
        <v>21.107941225092901</v>
      </c>
      <c r="AI1765">
        <v>93.000080613344196</v>
      </c>
      <c r="AJ1765">
        <v>94.2140395042872</v>
      </c>
      <c r="AK1765">
        <v>21.1942086975628</v>
      </c>
      <c r="AL1765">
        <v>86.859488533410001</v>
      </c>
      <c r="AM1765">
        <v>89.818224662991796</v>
      </c>
      <c r="AN1765">
        <v>0.99999994112878099</v>
      </c>
    </row>
    <row r="1766" spans="1:40" x14ac:dyDescent="0.25">
      <c r="A1766" t="str">
        <f>"20190312151300779"</f>
        <v>20190312151300779</v>
      </c>
      <c r="B1766" t="str">
        <f>"1552374780771499"</f>
        <v>1552374780771499</v>
      </c>
      <c r="C1766" t="s">
        <v>40</v>
      </c>
      <c r="D1766">
        <v>4.3416699999999997</v>
      </c>
      <c r="E1766">
        <v>0.4722576</v>
      </c>
      <c r="F1766" t="s">
        <v>55</v>
      </c>
      <c r="G1766">
        <v>-306.67349999999999</v>
      </c>
      <c r="H1766" s="1">
        <v>3.0420950000000001E-6</v>
      </c>
      <c r="I1766">
        <v>281.62779999999998</v>
      </c>
      <c r="J1766">
        <v>-285.94909999999999</v>
      </c>
      <c r="K1766">
        <v>1.1092550000000001</v>
      </c>
      <c r="L1766">
        <v>282.6404</v>
      </c>
      <c r="M1766">
        <v>-0.99966549999999998</v>
      </c>
      <c r="N1766">
        <v>0</v>
      </c>
      <c r="O1766">
        <v>2.4659480000000001E-2</v>
      </c>
      <c r="P1766">
        <v>-0.99849429999999995</v>
      </c>
      <c r="Q1766">
        <v>4.6905950000000002E-2</v>
      </c>
      <c r="R1766">
        <v>2.8445060000000001E-2</v>
      </c>
      <c r="S1766">
        <v>-3.0159910000000001</v>
      </c>
      <c r="T1766">
        <v>-0.15791640000000001</v>
      </c>
      <c r="U1766">
        <v>-0.1425476</v>
      </c>
      <c r="V1766">
        <v>3.7657979999999999E-3</v>
      </c>
      <c r="W1766">
        <v>5.4700550000000001E-2</v>
      </c>
      <c r="X1766">
        <v>0.99849569999999999</v>
      </c>
      <c r="Y1766">
        <v>-7.1697880000000005E-2</v>
      </c>
      <c r="Z1766">
        <v>-3.1644009999999998E-3</v>
      </c>
      <c r="AA1766">
        <v>0.99742140000000001</v>
      </c>
      <c r="AB1766">
        <v>43</v>
      </c>
      <c r="AC1766">
        <v>-20.724399999999999</v>
      </c>
      <c r="AD1766">
        <v>-1.109251957905</v>
      </c>
      <c r="AE1766">
        <v>-1.0126000000000199</v>
      </c>
      <c r="AF1766">
        <v>-1.51901917841283</v>
      </c>
      <c r="AG1766">
        <v>-1.109251957905</v>
      </c>
      <c r="AH1766">
        <v>20.6341543258938</v>
      </c>
      <c r="AI1766">
        <v>93.068859025992595</v>
      </c>
      <c r="AJ1766">
        <v>94.2103336145219</v>
      </c>
      <c r="AK1766">
        <v>20.7197052082144</v>
      </c>
      <c r="AL1766">
        <v>86.864324275869194</v>
      </c>
      <c r="AM1766">
        <v>89.783911629366898</v>
      </c>
      <c r="AN1766">
        <v>0.99999999716168397</v>
      </c>
    </row>
    <row r="1767" spans="1:40" x14ac:dyDescent="0.25">
      <c r="A1767" t="str">
        <f>"20190312151300803"</f>
        <v>20190312151300803</v>
      </c>
      <c r="B1767" t="str">
        <f>"1552374780791994"</f>
        <v>1552374780791994</v>
      </c>
      <c r="C1767" t="s">
        <v>40</v>
      </c>
      <c r="D1767">
        <v>4.38293</v>
      </c>
      <c r="E1767">
        <v>0.4722922</v>
      </c>
      <c r="F1767" t="s">
        <v>55</v>
      </c>
      <c r="G1767">
        <v>-306.77789999999999</v>
      </c>
      <c r="H1767" s="1">
        <v>3.0208980000000001E-6</v>
      </c>
      <c r="I1767">
        <v>281.6585</v>
      </c>
      <c r="J1767">
        <v>-286.41149999999999</v>
      </c>
      <c r="K1767">
        <v>1.109259</v>
      </c>
      <c r="L1767">
        <v>282.65159999999997</v>
      </c>
      <c r="M1767">
        <v>-0.99967419999999996</v>
      </c>
      <c r="N1767">
        <v>0</v>
      </c>
      <c r="O1767">
        <v>2.4294929999999999E-2</v>
      </c>
      <c r="P1767">
        <v>-0.99852350000000001</v>
      </c>
      <c r="Q1767">
        <v>4.638888E-2</v>
      </c>
      <c r="R1767">
        <v>2.826236E-2</v>
      </c>
      <c r="S1767">
        <v>-3.0161129999999998</v>
      </c>
      <c r="T1767">
        <v>-0.1606253</v>
      </c>
      <c r="U1767">
        <v>-0.14218140000000001</v>
      </c>
      <c r="V1767">
        <v>3.9461870000000003E-3</v>
      </c>
      <c r="W1767">
        <v>5.4213459999999998E-2</v>
      </c>
      <c r="X1767">
        <v>0.99852160000000001</v>
      </c>
      <c r="Y1767">
        <v>-7.1208049999999995E-2</v>
      </c>
      <c r="Z1767">
        <v>-3.1860679999999998E-3</v>
      </c>
      <c r="AA1767">
        <v>0.99745640000000002</v>
      </c>
      <c r="AB1767">
        <v>43</v>
      </c>
      <c r="AC1767">
        <v>-20.366399999999999</v>
      </c>
      <c r="AD1767">
        <v>-1.109255979102</v>
      </c>
      <c r="AE1767">
        <v>-0.99309999999997001</v>
      </c>
      <c r="AF1767">
        <v>-1.4832327910393099</v>
      </c>
      <c r="AG1767">
        <v>-1.109255979102</v>
      </c>
      <c r="AH1767">
        <v>20.2762546005514</v>
      </c>
      <c r="AI1767">
        <v>93.123038904541602</v>
      </c>
      <c r="AJ1767">
        <v>94.183804222838205</v>
      </c>
      <c r="AK1767">
        <v>20.3606711325037</v>
      </c>
      <c r="AL1767">
        <v>86.892274049496294</v>
      </c>
      <c r="AM1767">
        <v>89.773566557634794</v>
      </c>
      <c r="AN1767">
        <v>1.0000000286517801</v>
      </c>
    </row>
    <row r="1768" spans="1:40" x14ac:dyDescent="0.25">
      <c r="A1768" t="str">
        <f>"20190312151300825"</f>
        <v>20190312151300825</v>
      </c>
      <c r="B1768" t="str">
        <f>"1552374780822251"</f>
        <v>1552374780822251</v>
      </c>
      <c r="C1768" t="s">
        <v>40</v>
      </c>
      <c r="D1768">
        <v>4.3941229999999996</v>
      </c>
      <c r="E1768">
        <v>0.47217609999999899</v>
      </c>
      <c r="F1768" t="s">
        <v>55</v>
      </c>
      <c r="G1768">
        <v>-306.8159</v>
      </c>
      <c r="H1768" s="1">
        <v>3.0115610000000001E-6</v>
      </c>
      <c r="I1768">
        <v>281.68810000000002</v>
      </c>
      <c r="J1768">
        <v>-286.83969999999999</v>
      </c>
      <c r="K1768">
        <v>1.109262</v>
      </c>
      <c r="L1768">
        <v>282.66180000000003</v>
      </c>
      <c r="M1768">
        <v>-0.99968219999999997</v>
      </c>
      <c r="N1768">
        <v>0</v>
      </c>
      <c r="O1768">
        <v>2.3957220000000001E-2</v>
      </c>
      <c r="P1768">
        <v>-0.99852819999999998</v>
      </c>
      <c r="Q1768">
        <v>4.6397910000000001E-2</v>
      </c>
      <c r="R1768">
        <v>2.8083919999999998E-2</v>
      </c>
      <c r="S1768">
        <v>-3.0160830000000001</v>
      </c>
      <c r="T1768">
        <v>-0.16396429999999901</v>
      </c>
      <c r="U1768">
        <v>-0.14242550000000001</v>
      </c>
      <c r="V1768">
        <v>4.1044260000000004E-3</v>
      </c>
      <c r="W1768">
        <v>5.4249650000000003E-2</v>
      </c>
      <c r="X1768">
        <v>0.99851889999999999</v>
      </c>
      <c r="Y1768">
        <v>-7.0947350000000006E-2</v>
      </c>
      <c r="Z1768">
        <v>-3.2268129999999998E-3</v>
      </c>
      <c r="AA1768">
        <v>0.99747479999999999</v>
      </c>
      <c r="AB1768">
        <v>44</v>
      </c>
      <c r="AC1768">
        <v>-19.976199999999999</v>
      </c>
      <c r="AD1768">
        <v>-1.1092589884390001</v>
      </c>
      <c r="AE1768">
        <v>-0.973700000000007</v>
      </c>
      <c r="AF1768">
        <v>-1.4475565410440701</v>
      </c>
      <c r="AG1768">
        <v>-1.1092589884390001</v>
      </c>
      <c r="AH1768">
        <v>19.885965806023801</v>
      </c>
      <c r="AI1768">
        <v>93.184299095955694</v>
      </c>
      <c r="AJ1768">
        <v>94.1633809976327</v>
      </c>
      <c r="AK1768">
        <v>19.969414400059399</v>
      </c>
      <c r="AL1768">
        <v>86.890197159264105</v>
      </c>
      <c r="AM1768">
        <v>89.764486217882194</v>
      </c>
      <c r="AN1768">
        <v>0.99999993224755801</v>
      </c>
    </row>
    <row r="1769" spans="1:40" x14ac:dyDescent="0.25">
      <c r="A1769" t="str">
        <f>"20190312151300847"</f>
        <v>20190312151300847</v>
      </c>
      <c r="B1769" t="str">
        <f>"1552374780841771"</f>
        <v>1552374780841771</v>
      </c>
      <c r="C1769" t="s">
        <v>40</v>
      </c>
      <c r="D1769">
        <v>4.4785969999999997</v>
      </c>
      <c r="E1769">
        <v>0.4725665</v>
      </c>
      <c r="F1769" t="s">
        <v>55</v>
      </c>
      <c r="G1769">
        <v>-307.21910000000003</v>
      </c>
      <c r="H1769" s="1">
        <v>2.9400339999999999E-6</v>
      </c>
      <c r="I1769">
        <v>281.68830000000003</v>
      </c>
      <c r="J1769">
        <v>-287.27249999999998</v>
      </c>
      <c r="K1769">
        <v>1.1092709999999999</v>
      </c>
      <c r="L1769">
        <v>282.67189999999999</v>
      </c>
      <c r="M1769">
        <v>-0.99968999999999997</v>
      </c>
      <c r="N1769">
        <v>0</v>
      </c>
      <c r="O1769">
        <v>2.361659E-2</v>
      </c>
      <c r="P1769">
        <v>-0.99855959999999999</v>
      </c>
      <c r="Q1769">
        <v>4.5909749999999999E-2</v>
      </c>
      <c r="R1769">
        <v>2.776913E-2</v>
      </c>
      <c r="S1769">
        <v>-3.0161129999999998</v>
      </c>
      <c r="T1769">
        <v>-0.16416839999999999</v>
      </c>
      <c r="U1769">
        <v>-0.14407349999999999</v>
      </c>
      <c r="V1769">
        <v>4.1292389999999998E-3</v>
      </c>
      <c r="W1769">
        <v>5.3788269999999999E-2</v>
      </c>
      <c r="X1769">
        <v>0.99854379999999998</v>
      </c>
      <c r="Y1769">
        <v>-7.1150660000000004E-2</v>
      </c>
      <c r="Z1769">
        <v>-3.2177600000000001E-3</v>
      </c>
      <c r="AA1769">
        <v>0.99746040000000002</v>
      </c>
      <c r="AB1769">
        <v>44</v>
      </c>
      <c r="AC1769">
        <v>-19.9466</v>
      </c>
      <c r="AD1769">
        <v>-1.1092680599660001</v>
      </c>
      <c r="AE1769">
        <v>-0.98359999999996695</v>
      </c>
      <c r="AF1769">
        <v>-1.44993764383445</v>
      </c>
      <c r="AG1769">
        <v>-1.1092680599660001</v>
      </c>
      <c r="AH1769">
        <v>19.856545322361299</v>
      </c>
      <c r="AI1769">
        <v>93.188980845623902</v>
      </c>
      <c r="AJ1769">
        <v>94.176362196283705</v>
      </c>
      <c r="AK1769">
        <v>19.940290542989999</v>
      </c>
      <c r="AL1769">
        <v>86.916671072747206</v>
      </c>
      <c r="AM1769">
        <v>89.763068361414696</v>
      </c>
      <c r="AN1769">
        <v>0.99999997456137502</v>
      </c>
    </row>
    <row r="1770" spans="1:40" x14ac:dyDescent="0.25">
      <c r="A1770" t="str">
        <f>"20190312151300868"</f>
        <v>20190312151300868</v>
      </c>
      <c r="B1770" t="str">
        <f>"1552374780861291"</f>
        <v>1552374780861291</v>
      </c>
      <c r="C1770" t="s">
        <v>40</v>
      </c>
      <c r="D1770">
        <v>4.4668409999999996</v>
      </c>
      <c r="E1770">
        <v>0.4923961</v>
      </c>
      <c r="F1770" t="s">
        <v>55</v>
      </c>
      <c r="G1770">
        <v>-307.54590000000002</v>
      </c>
      <c r="H1770" s="1">
        <v>2.8794089999999999E-6</v>
      </c>
      <c r="I1770">
        <v>281.71859999999998</v>
      </c>
      <c r="J1770">
        <v>-287.678</v>
      </c>
      <c r="K1770">
        <v>1.109272</v>
      </c>
      <c r="L1770">
        <v>282.68130000000002</v>
      </c>
      <c r="M1770">
        <v>-0.99969739999999996</v>
      </c>
      <c r="N1770">
        <v>0</v>
      </c>
      <c r="O1770">
        <v>2.3297209999999999E-2</v>
      </c>
      <c r="P1770">
        <v>-0.99857300000000004</v>
      </c>
      <c r="Q1770">
        <v>4.5927139999999998E-2</v>
      </c>
      <c r="R1770">
        <v>2.7254609999999999E-2</v>
      </c>
      <c r="S1770">
        <v>-3.0158689999999999</v>
      </c>
      <c r="T1770">
        <v>-0.16501469999999999</v>
      </c>
      <c r="U1770">
        <v>-0.1418152</v>
      </c>
      <c r="V1770">
        <v>3.9331380000000001E-3</v>
      </c>
      <c r="W1770">
        <v>5.3829689999999999E-2</v>
      </c>
      <c r="X1770">
        <v>0.99854240000000005</v>
      </c>
      <c r="Y1770">
        <v>-7.0091139999999996E-2</v>
      </c>
      <c r="Z1770">
        <v>-3.1882379999999999E-3</v>
      </c>
      <c r="AA1770">
        <v>0.99753550000000002</v>
      </c>
      <c r="AB1770">
        <v>44</v>
      </c>
      <c r="AC1770">
        <v>-19.867899999999999</v>
      </c>
      <c r="AD1770">
        <v>-1.1092691205909999</v>
      </c>
      <c r="AE1770">
        <v>-0.96270000000003997</v>
      </c>
      <c r="AF1770">
        <v>-1.4209008489311901</v>
      </c>
      <c r="AG1770">
        <v>-1.1092691205909999</v>
      </c>
      <c r="AH1770">
        <v>19.778568179160299</v>
      </c>
      <c r="AI1770">
        <v>93.201802071120298</v>
      </c>
      <c r="AJ1770">
        <v>94.1090940815686</v>
      </c>
      <c r="AK1770">
        <v>19.860543709125398</v>
      </c>
      <c r="AL1770">
        <v>86.914294562779503</v>
      </c>
      <c r="AM1770">
        <v>89.774320006617501</v>
      </c>
      <c r="AN1770">
        <v>1.0000000148488899</v>
      </c>
    </row>
    <row r="1771" spans="1:40" x14ac:dyDescent="0.25">
      <c r="A1771" t="str">
        <f>"20190312151300890"</f>
        <v>20190312151300890</v>
      </c>
      <c r="B1771" t="str">
        <f>"1552374780881790"</f>
        <v>1552374780881790</v>
      </c>
      <c r="C1771" t="s">
        <v>40</v>
      </c>
      <c r="D1771">
        <v>4.4039080000000004</v>
      </c>
      <c r="E1771">
        <v>0.4935891</v>
      </c>
      <c r="F1771" t="s">
        <v>55</v>
      </c>
      <c r="G1771">
        <v>-311.43509999999998</v>
      </c>
      <c r="H1771" s="1">
        <v>3.012049E-6</v>
      </c>
      <c r="I1771">
        <v>282.80149999999998</v>
      </c>
      <c r="J1771">
        <v>-288.12380000000002</v>
      </c>
      <c r="K1771">
        <v>1.1092770000000001</v>
      </c>
      <c r="L1771">
        <v>282.69150000000002</v>
      </c>
      <c r="M1771">
        <v>-0.99970530000000002</v>
      </c>
      <c r="N1771">
        <v>0</v>
      </c>
      <c r="O1771">
        <v>2.2946350000000001E-2</v>
      </c>
      <c r="P1771">
        <v>-0.99860170000000004</v>
      </c>
      <c r="Q1771">
        <v>4.5679240000000003E-2</v>
      </c>
      <c r="R1771">
        <v>2.660877E-2</v>
      </c>
      <c r="S1771">
        <v>-3.010345</v>
      </c>
      <c r="T1771">
        <v>-0.1405593</v>
      </c>
      <c r="U1771">
        <v>1.522827E-2</v>
      </c>
      <c r="V1771">
        <v>3.6371649999999999E-3</v>
      </c>
      <c r="W1771">
        <v>5.3606859999999999E-2</v>
      </c>
      <c r="X1771">
        <v>0.99855550000000004</v>
      </c>
      <c r="Y1771">
        <v>-1.7845090000000001E-2</v>
      </c>
      <c r="Z1771">
        <v>-1.487153E-3</v>
      </c>
      <c r="AA1771">
        <v>0.9998397</v>
      </c>
      <c r="AB1771">
        <v>44</v>
      </c>
      <c r="AC1771">
        <v>-23.3112999999999</v>
      </c>
      <c r="AD1771">
        <v>-1.1092739879510001</v>
      </c>
      <c r="AE1771">
        <v>0.10999999999995599</v>
      </c>
      <c r="AF1771">
        <v>-0.42399495085979599</v>
      </c>
      <c r="AG1771">
        <v>-1.1092739879510001</v>
      </c>
      <c r="AH1771">
        <v>23.255029388372702</v>
      </c>
      <c r="AI1771">
        <v>92.730507934204596</v>
      </c>
      <c r="AJ1771">
        <v>91.044523724641095</v>
      </c>
      <c r="AK1771">
        <v>23.285331269981501</v>
      </c>
      <c r="AL1771">
        <v>86.927080213236195</v>
      </c>
      <c r="AM1771">
        <v>89.791305258152804</v>
      </c>
      <c r="AN1771">
        <v>1.0000000054942699</v>
      </c>
    </row>
    <row r="1772" spans="1:40" x14ac:dyDescent="0.25">
      <c r="A1772" t="str">
        <f>"20190312151300912"</f>
        <v>20190312151300912</v>
      </c>
      <c r="B1772" t="str">
        <f>"1552374780901307"</f>
        <v>1552374780901307</v>
      </c>
      <c r="C1772" t="s">
        <v>40</v>
      </c>
      <c r="D1772">
        <v>4.5907589999999896</v>
      </c>
      <c r="E1772">
        <v>0.4939229</v>
      </c>
      <c r="F1772" t="s">
        <v>55</v>
      </c>
      <c r="G1772">
        <v>-319.90960000000001</v>
      </c>
      <c r="H1772" s="1">
        <v>6.75796399999999E-6</v>
      </c>
      <c r="I1772">
        <v>282.94099999999997</v>
      </c>
      <c r="J1772">
        <v>-288.55200000000002</v>
      </c>
      <c r="K1772">
        <v>1.1092770000000001</v>
      </c>
      <c r="L1772">
        <v>282.7011</v>
      </c>
      <c r="M1772">
        <v>-0.99971259999999995</v>
      </c>
      <c r="N1772">
        <v>0</v>
      </c>
      <c r="O1772">
        <v>2.2608909999999999E-2</v>
      </c>
      <c r="P1772">
        <v>-0.99861169999999999</v>
      </c>
      <c r="Q1772">
        <v>4.5855060000000003E-2</v>
      </c>
      <c r="R1772">
        <v>2.592274E-2</v>
      </c>
      <c r="S1772">
        <v>-3.0083920000000002</v>
      </c>
      <c r="T1772">
        <v>-0.1049876</v>
      </c>
      <c r="U1772">
        <v>2.362061E-2</v>
      </c>
      <c r="V1772">
        <v>3.2878199999999999E-3</v>
      </c>
      <c r="W1772">
        <v>5.3806359999999998E-2</v>
      </c>
      <c r="X1772">
        <v>0.99854600000000004</v>
      </c>
      <c r="Y1772">
        <v>-1.4736880000000001E-2</v>
      </c>
      <c r="Z1772">
        <v>-1.0457800000000001E-3</v>
      </c>
      <c r="AA1772">
        <v>0.99989090000000003</v>
      </c>
      <c r="AB1772">
        <v>44</v>
      </c>
      <c r="AC1772">
        <v>-31.357599999999898</v>
      </c>
      <c r="AD1772">
        <v>-1.1092702420360001</v>
      </c>
      <c r="AE1772">
        <v>0.23989999999997699</v>
      </c>
      <c r="AF1772">
        <v>-0.46855870135834399</v>
      </c>
      <c r="AG1772">
        <v>-1.1092702420360001</v>
      </c>
      <c r="AH1772">
        <v>31.315822406627799</v>
      </c>
      <c r="AI1772">
        <v>92.028458212777196</v>
      </c>
      <c r="AJ1772">
        <v>90.857216284192603</v>
      </c>
      <c r="AK1772">
        <v>31.3389655338197</v>
      </c>
      <c r="AL1772">
        <v>86.915633241964599</v>
      </c>
      <c r="AM1772">
        <v>89.811348171190403</v>
      </c>
      <c r="AN1772">
        <v>1.0000000241264</v>
      </c>
    </row>
    <row r="1773" spans="1:40" x14ac:dyDescent="0.25">
      <c r="A1773" t="str">
        <f>"20190312151300935"</f>
        <v>20190312151300935</v>
      </c>
      <c r="B1773" t="str">
        <f>"1552374780931563"</f>
        <v>1552374780931563</v>
      </c>
      <c r="C1773" t="s">
        <v>40</v>
      </c>
      <c r="D1773">
        <v>4.5207290000000002</v>
      </c>
      <c r="E1773">
        <v>0.49410559999999998</v>
      </c>
      <c r="F1773" t="s">
        <v>54</v>
      </c>
      <c r="G1773">
        <v>-325.06259999999997</v>
      </c>
      <c r="H1773" s="1">
        <v>1.2279820000000001E-6</v>
      </c>
      <c r="I1773">
        <v>282.99860000000001</v>
      </c>
      <c r="J1773">
        <v>-288.99059999999997</v>
      </c>
      <c r="K1773">
        <v>1.109278</v>
      </c>
      <c r="L1773">
        <v>282.71080000000001</v>
      </c>
      <c r="M1773">
        <v>-0.99972030000000001</v>
      </c>
      <c r="N1773">
        <v>0</v>
      </c>
      <c r="O1773">
        <v>2.2263249999999998E-2</v>
      </c>
      <c r="P1773">
        <v>-0.99860289999999996</v>
      </c>
      <c r="Q1773">
        <v>4.6399459999999997E-2</v>
      </c>
      <c r="R1773">
        <v>2.5283079999999999E-2</v>
      </c>
      <c r="S1773">
        <v>-3.0077509999999998</v>
      </c>
      <c r="T1773">
        <v>-9.1382500000000005E-2</v>
      </c>
      <c r="U1773">
        <v>2.4505619999999999E-2</v>
      </c>
      <c r="V1773">
        <v>2.992813E-3</v>
      </c>
      <c r="W1773">
        <v>5.4373919999999999E-2</v>
      </c>
      <c r="X1773">
        <v>0.99851610000000002</v>
      </c>
      <c r="Y1773">
        <v>-1.4101249999999999E-2</v>
      </c>
      <c r="Z1773">
        <v>-8.90368E-4</v>
      </c>
      <c r="AA1773">
        <v>0.99990020000000002</v>
      </c>
      <c r="AB1773">
        <v>44</v>
      </c>
      <c r="AC1773">
        <v>-36.071999999999903</v>
      </c>
      <c r="AD1773">
        <v>-1.1092767720179999</v>
      </c>
      <c r="AE1773">
        <v>0.287800000000004</v>
      </c>
      <c r="AF1773">
        <v>-0.51488997404253301</v>
      </c>
      <c r="AG1773">
        <v>-1.1092767720179999</v>
      </c>
      <c r="AH1773">
        <v>36.035390903212999</v>
      </c>
      <c r="AI1773">
        <v>91.7629982937748</v>
      </c>
      <c r="AJ1773">
        <v>90.818612322248896</v>
      </c>
      <c r="AK1773">
        <v>36.056136845059697</v>
      </c>
      <c r="AL1773">
        <v>86.883066514976903</v>
      </c>
      <c r="AM1773">
        <v>89.828270129758494</v>
      </c>
      <c r="AN1773">
        <v>0.999999941032512</v>
      </c>
    </row>
    <row r="1774" spans="1:40" x14ac:dyDescent="0.25">
      <c r="A1774" t="str">
        <f>"20190312151300956"</f>
        <v>20190312151300956</v>
      </c>
      <c r="B1774" t="str">
        <f>"1552374780952059"</f>
        <v>1552374780952059</v>
      </c>
      <c r="C1774" t="s">
        <v>40</v>
      </c>
      <c r="D1774">
        <v>4.4673280000000002</v>
      </c>
      <c r="E1774">
        <v>0.49392380000000002</v>
      </c>
      <c r="F1774" t="s">
        <v>54</v>
      </c>
      <c r="G1774">
        <v>-321.46879999999999</v>
      </c>
      <c r="H1774" s="1">
        <v>-6.8310699999999995E-7</v>
      </c>
      <c r="I1774">
        <v>282.9674</v>
      </c>
      <c r="J1774">
        <v>-289.42239999999998</v>
      </c>
      <c r="K1774">
        <v>1.1092820000000001</v>
      </c>
      <c r="L1774">
        <v>282.72019999999998</v>
      </c>
      <c r="M1774">
        <v>-0.99972760000000005</v>
      </c>
      <c r="N1774">
        <v>0</v>
      </c>
      <c r="O1774">
        <v>2.1923140000000001E-2</v>
      </c>
      <c r="P1774">
        <v>-0.99858559999999996</v>
      </c>
      <c r="Q1774">
        <v>4.7030200000000001E-2</v>
      </c>
      <c r="R1774">
        <v>2.4799749999999999E-2</v>
      </c>
      <c r="S1774">
        <v>-3.008362</v>
      </c>
      <c r="T1774">
        <v>-0.1027492</v>
      </c>
      <c r="U1774">
        <v>2.377319E-2</v>
      </c>
      <c r="V1774">
        <v>2.8489740000000002E-3</v>
      </c>
      <c r="W1774">
        <v>5.5027159999999999E-2</v>
      </c>
      <c r="X1774">
        <v>0.99848079999999995</v>
      </c>
      <c r="Y1774">
        <v>-1.4001990000000001E-2</v>
      </c>
      <c r="Z1774">
        <v>-9.8755010000000005E-4</v>
      </c>
      <c r="AA1774">
        <v>0.9999015</v>
      </c>
      <c r="AB1774">
        <v>44</v>
      </c>
      <c r="AC1774">
        <v>-32.046399999999998</v>
      </c>
      <c r="AD1774">
        <v>-1.109282683107</v>
      </c>
      <c r="AE1774">
        <v>0.24720000000001999</v>
      </c>
      <c r="AF1774">
        <v>-0.45489463032952898</v>
      </c>
      <c r="AG1774">
        <v>-1.109282683107</v>
      </c>
      <c r="AH1774">
        <v>32.005770282330303</v>
      </c>
      <c r="AI1774">
        <v>91.984810049572502</v>
      </c>
      <c r="AJ1774">
        <v>90.814284031390102</v>
      </c>
      <c r="AK1774">
        <v>32.028218316994199</v>
      </c>
      <c r="AL1774">
        <v>86.845582702838797</v>
      </c>
      <c r="AM1774">
        <v>89.836517894824496</v>
      </c>
      <c r="AN1774">
        <v>1.00000000647957</v>
      </c>
    </row>
    <row r="1775" spans="1:40" x14ac:dyDescent="0.25">
      <c r="A1775" t="str">
        <f>"20190312151300979"</f>
        <v>20190312151300979</v>
      </c>
      <c r="B1775" t="str">
        <f>"1552374780971582"</f>
        <v>1552374780971582</v>
      </c>
      <c r="C1775" t="s">
        <v>40</v>
      </c>
      <c r="D1775">
        <v>4.6500219999999999</v>
      </c>
      <c r="E1775">
        <v>0.49392970000000003</v>
      </c>
      <c r="F1775" t="s">
        <v>54</v>
      </c>
      <c r="G1775">
        <v>-321.62990000000002</v>
      </c>
      <c r="H1775" s="1">
        <v>-5.9625159999999999E-7</v>
      </c>
      <c r="I1775">
        <v>282.94170000000003</v>
      </c>
      <c r="J1775">
        <v>-289.87470000000002</v>
      </c>
      <c r="K1775">
        <v>1.1092850000000001</v>
      </c>
      <c r="L1775">
        <v>282.72989999999999</v>
      </c>
      <c r="M1775">
        <v>-0.99973529999999999</v>
      </c>
      <c r="N1775">
        <v>0</v>
      </c>
      <c r="O1775">
        <v>2.1567059999999999E-2</v>
      </c>
      <c r="P1775">
        <v>-0.99857370000000001</v>
      </c>
      <c r="Q1775">
        <v>4.7278630000000002E-2</v>
      </c>
      <c r="R1775">
        <v>2.481088E-2</v>
      </c>
      <c r="S1775">
        <v>-3.0086059999999999</v>
      </c>
      <c r="T1775">
        <v>-0.103621699999999</v>
      </c>
      <c r="U1775">
        <v>2.0690920000000002E-2</v>
      </c>
      <c r="V1775">
        <v>3.2155339999999999E-3</v>
      </c>
      <c r="W1775">
        <v>5.5299029999999999E-2</v>
      </c>
      <c r="X1775">
        <v>0.99846460000000004</v>
      </c>
      <c r="Y1775">
        <v>-1.4670280000000001E-2</v>
      </c>
      <c r="Z1775">
        <v>-9.95103E-4</v>
      </c>
      <c r="AA1775">
        <v>0.99989189999999994</v>
      </c>
      <c r="AB1775">
        <v>44</v>
      </c>
      <c r="AC1775">
        <v>-31.755199999999999</v>
      </c>
      <c r="AD1775">
        <v>-1.1092855962515999</v>
      </c>
      <c r="AE1775">
        <v>0.21180000000003901</v>
      </c>
      <c r="AF1775">
        <v>-0.47256092546402101</v>
      </c>
      <c r="AG1775">
        <v>-1.1092855962515999</v>
      </c>
      <c r="AH1775">
        <v>31.713683806161399</v>
      </c>
      <c r="AI1775">
        <v>92.003060759290705</v>
      </c>
      <c r="AJ1775">
        <v>90.853692781308197</v>
      </c>
      <c r="AK1775">
        <v>31.736596681426199</v>
      </c>
      <c r="AL1775">
        <v>86.829981733709502</v>
      </c>
      <c r="AM1775">
        <v>89.815480799069405</v>
      </c>
      <c r="AN1775">
        <v>0.99999993991550096</v>
      </c>
    </row>
    <row r="1776" spans="1:40" x14ac:dyDescent="0.25">
      <c r="A1776" t="str">
        <f>"20190312151301002"</f>
        <v>20190312151301002</v>
      </c>
      <c r="B1776" t="str">
        <f>"1552374780992074"</f>
        <v>1552374780992074</v>
      </c>
      <c r="C1776" t="s">
        <v>40</v>
      </c>
      <c r="D1776">
        <v>4.906542</v>
      </c>
      <c r="E1776">
        <v>0.4942918</v>
      </c>
      <c r="F1776" t="s">
        <v>54</v>
      </c>
      <c r="G1776">
        <v>-323.40300000000002</v>
      </c>
      <c r="H1776" s="1">
        <v>3.4647499999999998E-7</v>
      </c>
      <c r="I1776">
        <v>282.96080000000001</v>
      </c>
      <c r="J1776">
        <v>-290.33850000000001</v>
      </c>
      <c r="K1776">
        <v>1.109289</v>
      </c>
      <c r="L1776">
        <v>282.7396</v>
      </c>
      <c r="M1776">
        <v>-0.99974269999999998</v>
      </c>
      <c r="N1776">
        <v>0</v>
      </c>
      <c r="O1776">
        <v>2.1202039999999998E-2</v>
      </c>
      <c r="P1776">
        <v>-0.99858619999999998</v>
      </c>
      <c r="Q1776">
        <v>4.6964140000000001E-2</v>
      </c>
      <c r="R1776">
        <v>2.4897079999999999E-2</v>
      </c>
      <c r="S1776">
        <v>-3.0084529999999998</v>
      </c>
      <c r="T1776">
        <v>-9.9534750000000005E-2</v>
      </c>
      <c r="U1776">
        <v>2.0721440000000001E-2</v>
      </c>
      <c r="V1776">
        <v>3.666304E-3</v>
      </c>
      <c r="W1776">
        <v>5.5008590000000003E-2</v>
      </c>
      <c r="X1776">
        <v>0.99847909999999995</v>
      </c>
      <c r="Y1776">
        <v>-1.429678E-2</v>
      </c>
      <c r="Z1776">
        <v>-9.3767769999999996E-4</v>
      </c>
      <c r="AA1776">
        <v>0.99989740000000005</v>
      </c>
      <c r="AB1776">
        <v>44</v>
      </c>
      <c r="AC1776">
        <v>-33.064500000000002</v>
      </c>
      <c r="AD1776">
        <v>-1.1092886535249999</v>
      </c>
      <c r="AE1776">
        <v>0.22120000000001</v>
      </c>
      <c r="AF1776">
        <v>-0.47936783647821601</v>
      </c>
      <c r="AG1776">
        <v>-1.1092886535249999</v>
      </c>
      <c r="AH1776">
        <v>33.024587842474801</v>
      </c>
      <c r="AI1776">
        <v>91.923626843883198</v>
      </c>
      <c r="AJ1776">
        <v>90.831617497691497</v>
      </c>
      <c r="AK1776">
        <v>33.0466899553468</v>
      </c>
      <c r="AL1776">
        <v>86.8466481209976</v>
      </c>
      <c r="AM1776">
        <v>89.789617227301505</v>
      </c>
      <c r="AN1776">
        <v>0.99999994994780705</v>
      </c>
    </row>
    <row r="1777" spans="1:40" x14ac:dyDescent="0.25">
      <c r="A1777" t="str">
        <f>"20190312151301028"</f>
        <v>20190312151301028</v>
      </c>
      <c r="B1777" t="str">
        <f>"1552374781021355"</f>
        <v>1552374781021355</v>
      </c>
      <c r="C1777" t="s">
        <v>40</v>
      </c>
      <c r="D1777">
        <v>4.490119</v>
      </c>
      <c r="E1777">
        <v>0.49462390000000001</v>
      </c>
      <c r="F1777" t="s">
        <v>54</v>
      </c>
      <c r="G1777">
        <v>-325.17759999999998</v>
      </c>
      <c r="H1777" s="1">
        <v>1.288339E-6</v>
      </c>
      <c r="I1777">
        <v>283.0181</v>
      </c>
      <c r="J1777">
        <v>-290.79919999999998</v>
      </c>
      <c r="K1777">
        <v>1.1092879999999901</v>
      </c>
      <c r="L1777">
        <v>282.7491</v>
      </c>
      <c r="M1777">
        <v>-0.99975040000000004</v>
      </c>
      <c r="N1777">
        <v>0</v>
      </c>
      <c r="O1777">
        <v>2.083929E-2</v>
      </c>
      <c r="P1777">
        <v>-0.99857779999999996</v>
      </c>
      <c r="Q1777">
        <v>4.7082800000000001E-2</v>
      </c>
      <c r="R1777">
        <v>2.502188E-2</v>
      </c>
      <c r="S1777">
        <v>-3.0081479999999998</v>
      </c>
      <c r="T1777">
        <v>-9.5780249999999997E-2</v>
      </c>
      <c r="U1777">
        <v>2.4047849999999999E-2</v>
      </c>
      <c r="V1777">
        <v>4.1534129999999999E-3</v>
      </c>
      <c r="W1777">
        <v>5.5149999999999998E-2</v>
      </c>
      <c r="X1777">
        <v>0.99846939999999995</v>
      </c>
      <c r="Y1777">
        <v>-1.2829989999999999E-2</v>
      </c>
      <c r="Z1777">
        <v>-8.6752159999999999E-4</v>
      </c>
      <c r="AA1777">
        <v>0.99991730000000001</v>
      </c>
      <c r="AB1777">
        <v>44</v>
      </c>
      <c r="AC1777">
        <v>-34.378399999999999</v>
      </c>
      <c r="AD1777">
        <v>-1.1092867116609999</v>
      </c>
      <c r="AE1777">
        <v>0.26900000000000501</v>
      </c>
      <c r="AF1777">
        <v>-0.44703769486275602</v>
      </c>
      <c r="AG1777">
        <v>-1.1092867116609999</v>
      </c>
      <c r="AH1777">
        <v>34.340787829687699</v>
      </c>
      <c r="AI1777">
        <v>91.849985968605097</v>
      </c>
      <c r="AJ1777">
        <v>90.745816510005497</v>
      </c>
      <c r="AK1777">
        <v>34.361607478011301</v>
      </c>
      <c r="AL1777">
        <v>86.838533632038306</v>
      </c>
      <c r="AM1777">
        <v>89.761663539334407</v>
      </c>
      <c r="AN1777">
        <v>0.99999995803795305</v>
      </c>
    </row>
    <row r="1778" spans="1:40" x14ac:dyDescent="0.25">
      <c r="A1778" t="str">
        <f>"20190312151301045"</f>
        <v>20190312151301045</v>
      </c>
      <c r="B1778" t="str">
        <f>"1552374781041851"</f>
        <v>1552374781041851</v>
      </c>
      <c r="C1778" t="s">
        <v>40</v>
      </c>
      <c r="D1778">
        <v>4.510929</v>
      </c>
      <c r="E1778">
        <v>0.4947569</v>
      </c>
      <c r="F1778" t="s">
        <v>54</v>
      </c>
      <c r="G1778">
        <v>-327.3768</v>
      </c>
      <c r="H1778" s="1">
        <v>2.4559640000000001E-6</v>
      </c>
      <c r="I1778">
        <v>283.07909999999998</v>
      </c>
      <c r="J1778">
        <v>-291.19310000000002</v>
      </c>
      <c r="K1778">
        <v>1.109291</v>
      </c>
      <c r="L1778">
        <v>282.75720000000001</v>
      </c>
      <c r="M1778">
        <v>-0.9997566</v>
      </c>
      <c r="N1778">
        <v>0</v>
      </c>
      <c r="O1778">
        <v>2.0528890000000001E-2</v>
      </c>
      <c r="P1778">
        <v>-0.99857499999999999</v>
      </c>
      <c r="Q1778">
        <v>4.6978590000000001E-2</v>
      </c>
      <c r="R1778">
        <v>2.5312749999999998E-2</v>
      </c>
      <c r="S1778">
        <v>-3.0079349999999998</v>
      </c>
      <c r="T1778">
        <v>-9.1221330000000003E-2</v>
      </c>
      <c r="U1778">
        <v>2.7130129999999999E-2</v>
      </c>
      <c r="V1778">
        <v>4.7541179999999999E-3</v>
      </c>
      <c r="W1778">
        <v>5.506573E-2</v>
      </c>
      <c r="X1778">
        <v>0.99847140000000001</v>
      </c>
      <c r="Y1778">
        <v>-1.149675E-2</v>
      </c>
      <c r="Z1778">
        <v>-7.9668190000000002E-4</v>
      </c>
      <c r="AA1778">
        <v>0.99993359999999998</v>
      </c>
      <c r="AB1778">
        <v>44</v>
      </c>
      <c r="AC1778">
        <v>-36.183699999999902</v>
      </c>
      <c r="AD1778">
        <v>-1.1092885440360001</v>
      </c>
      <c r="AE1778">
        <v>0.32189999999997099</v>
      </c>
      <c r="AF1778">
        <v>-0.42060801336852499</v>
      </c>
      <c r="AG1778">
        <v>-1.1092885440360001</v>
      </c>
      <c r="AH1778">
        <v>36.148710585396103</v>
      </c>
      <c r="AI1778">
        <v>91.757554111895402</v>
      </c>
      <c r="AJ1778">
        <v>90.666634470375598</v>
      </c>
      <c r="AK1778">
        <v>36.168172599145301</v>
      </c>
      <c r="AL1778">
        <v>86.843369385563093</v>
      </c>
      <c r="AM1778">
        <v>89.727194150692</v>
      </c>
      <c r="AN1778">
        <v>0.999999986438175</v>
      </c>
    </row>
    <row r="1779" spans="1:40" x14ac:dyDescent="0.25">
      <c r="A1779" t="str">
        <f>"20190312151301068"</f>
        <v>20190312151301068</v>
      </c>
      <c r="B1779" t="str">
        <f>"1552374781061370"</f>
        <v>1552374781061370</v>
      </c>
      <c r="C1779" t="s">
        <v>40</v>
      </c>
      <c r="D1779">
        <v>4.5097329999999998</v>
      </c>
      <c r="E1779">
        <v>0.49484820000000002</v>
      </c>
      <c r="F1779" t="s">
        <v>54</v>
      </c>
      <c r="G1779">
        <v>-328.36090000000002</v>
      </c>
      <c r="H1779" s="1">
        <v>2.9780620000000001E-6</v>
      </c>
      <c r="I1779">
        <v>283.11579999999998</v>
      </c>
      <c r="J1779">
        <v>-291.64550000000003</v>
      </c>
      <c r="K1779">
        <v>1.109291</v>
      </c>
      <c r="L1779">
        <v>282.76620000000003</v>
      </c>
      <c r="M1779">
        <v>-0.99976370000000003</v>
      </c>
      <c r="N1779">
        <v>0</v>
      </c>
      <c r="O1779">
        <v>2.0172699999999998E-2</v>
      </c>
      <c r="P1779">
        <v>-0.99856239999999996</v>
      </c>
      <c r="Q1779">
        <v>4.7126750000000002E-2</v>
      </c>
      <c r="R1779">
        <v>2.554642E-2</v>
      </c>
      <c r="S1779">
        <v>-3.0077210000000001</v>
      </c>
      <c r="T1779">
        <v>-8.9766739999999998E-2</v>
      </c>
      <c r="U1779">
        <v>2.9022220000000001E-2</v>
      </c>
      <c r="V1779">
        <v>5.343726E-3</v>
      </c>
      <c r="W1779">
        <v>5.5235220000000002E-2</v>
      </c>
      <c r="X1779">
        <v>0.99845899999999999</v>
      </c>
      <c r="Y1779">
        <v>-1.0511940000000001E-2</v>
      </c>
      <c r="Z1779">
        <v>-7.5871779999999995E-4</v>
      </c>
      <c r="AA1779">
        <v>0.99994439999999996</v>
      </c>
      <c r="AB1779">
        <v>44</v>
      </c>
      <c r="AC1779">
        <v>-36.715399999999903</v>
      </c>
      <c r="AD1779">
        <v>-1.1092880219379999</v>
      </c>
      <c r="AE1779">
        <v>0.349599999999952</v>
      </c>
      <c r="AF1779">
        <v>-0.39078749900777898</v>
      </c>
      <c r="AG1779">
        <v>-1.1092880219379999</v>
      </c>
      <c r="AH1779">
        <v>36.681499805781698</v>
      </c>
      <c r="AI1779">
        <v>91.732059886741496</v>
      </c>
      <c r="AJ1779">
        <v>90.610379277470798</v>
      </c>
      <c r="AK1779">
        <v>36.7003496275793</v>
      </c>
      <c r="AL1779">
        <v>86.833643342021006</v>
      </c>
      <c r="AM1779">
        <v>89.693357440391495</v>
      </c>
      <c r="AN1779">
        <v>0.99999992980850305</v>
      </c>
    </row>
    <row r="1780" spans="1:40" x14ac:dyDescent="0.25">
      <c r="A1780" t="str">
        <f>"20190312151301091"</f>
        <v>20190312151301091</v>
      </c>
      <c r="B1780" t="str">
        <f>"1552374781081867"</f>
        <v>1552374781081867</v>
      </c>
      <c r="C1780" t="s">
        <v>40</v>
      </c>
      <c r="D1780">
        <v>4.4405250000000001</v>
      </c>
      <c r="E1780">
        <v>0.49500519999999998</v>
      </c>
      <c r="F1780" t="s">
        <v>54</v>
      </c>
      <c r="G1780">
        <v>-329.03030000000001</v>
      </c>
      <c r="H1780" s="1">
        <v>3.3330180000000002E-6</v>
      </c>
      <c r="I1780">
        <v>283.14479999999998</v>
      </c>
      <c r="J1780">
        <v>-292.11020000000002</v>
      </c>
      <c r="K1780">
        <v>1.109291</v>
      </c>
      <c r="L1780">
        <v>282.77539999999999</v>
      </c>
      <c r="M1780">
        <v>-0.99977079999999996</v>
      </c>
      <c r="N1780">
        <v>0</v>
      </c>
      <c r="O1780">
        <v>1.9807100000000001E-2</v>
      </c>
      <c r="P1780">
        <v>-0.99858899999999995</v>
      </c>
      <c r="Q1780">
        <v>4.6760320000000001E-2</v>
      </c>
      <c r="R1780">
        <v>2.5169339999999998E-2</v>
      </c>
      <c r="S1780">
        <v>-3.0077509999999998</v>
      </c>
      <c r="T1780">
        <v>-8.9246389999999995E-2</v>
      </c>
      <c r="U1780">
        <v>3.0456540000000001E-2</v>
      </c>
      <c r="V1780">
        <v>5.3314629999999998E-3</v>
      </c>
      <c r="W1780">
        <v>5.4890040000000001E-2</v>
      </c>
      <c r="X1780">
        <v>0.99847819999999998</v>
      </c>
      <c r="Y1780">
        <v>-9.6702590000000005E-3</v>
      </c>
      <c r="Z1780">
        <v>-7.3098379999999999E-4</v>
      </c>
      <c r="AA1780">
        <v>0.99995299999999998</v>
      </c>
      <c r="AB1780">
        <v>45</v>
      </c>
      <c r="AC1780">
        <v>-36.920099999999898</v>
      </c>
      <c r="AD1780">
        <v>-1.109287666982</v>
      </c>
      <c r="AE1780">
        <v>0.36939999999998402</v>
      </c>
      <c r="AF1780">
        <v>-0.361650285912967</v>
      </c>
      <c r="AG1780">
        <v>-1.109287666982</v>
      </c>
      <c r="AH1780">
        <v>36.886877603845797</v>
      </c>
      <c r="AI1780">
        <v>91.722436394804802</v>
      </c>
      <c r="AJ1780">
        <v>90.561727435178497</v>
      </c>
      <c r="AK1780">
        <v>36.905325488586698</v>
      </c>
      <c r="AL1780">
        <v>86.853451061089302</v>
      </c>
      <c r="AM1780">
        <v>89.694067005698798</v>
      </c>
      <c r="AN1780">
        <v>1.00000002843208</v>
      </c>
    </row>
    <row r="1781" spans="1:40" x14ac:dyDescent="0.25">
      <c r="A1781" t="str">
        <f>"20190312151301114"</f>
        <v>20190312151301114</v>
      </c>
      <c r="B1781" t="str">
        <f>"1552374781101387"</f>
        <v>1552374781101387</v>
      </c>
      <c r="C1781" t="s">
        <v>40</v>
      </c>
      <c r="D1781">
        <v>4.4811759999999996</v>
      </c>
      <c r="E1781">
        <v>0.49496980000000002</v>
      </c>
      <c r="F1781" t="s">
        <v>54</v>
      </c>
      <c r="G1781">
        <v>-328.8494</v>
      </c>
      <c r="H1781" s="1">
        <v>3.236734E-6</v>
      </c>
      <c r="I1781">
        <v>283.14510000000001</v>
      </c>
      <c r="J1781">
        <v>-292.55250000000001</v>
      </c>
      <c r="K1781">
        <v>1.1092900000000001</v>
      </c>
      <c r="L1781">
        <v>282.78379999999999</v>
      </c>
      <c r="M1781">
        <v>-0.99977740000000004</v>
      </c>
      <c r="N1781">
        <v>0</v>
      </c>
      <c r="O1781">
        <v>1.9458969999999999E-2</v>
      </c>
      <c r="P1781">
        <v>-0.99860289999999996</v>
      </c>
      <c r="Q1781">
        <v>4.6575760000000001E-2</v>
      </c>
      <c r="R1781">
        <v>2.496485E-2</v>
      </c>
      <c r="S1781">
        <v>-3.0077210000000001</v>
      </c>
      <c r="T1781">
        <v>-9.081388E-2</v>
      </c>
      <c r="U1781">
        <v>3.0273439999999999E-2</v>
      </c>
      <c r="V1781">
        <v>5.4747479999999998E-3</v>
      </c>
      <c r="W1781">
        <v>5.4725780000000002E-2</v>
      </c>
      <c r="X1781">
        <v>0.9984864</v>
      </c>
      <c r="Y1781">
        <v>-9.3826650000000001E-3</v>
      </c>
      <c r="Z1781">
        <v>-7.2897689999999998E-4</v>
      </c>
      <c r="AA1781">
        <v>0.9999557</v>
      </c>
      <c r="AB1781">
        <v>45</v>
      </c>
      <c r="AC1781">
        <v>-36.296900000000001</v>
      </c>
      <c r="AD1781">
        <v>-1.109286763266</v>
      </c>
      <c r="AE1781">
        <v>0.36130000000002799</v>
      </c>
      <c r="AF1781">
        <v>-0.34477020315676699</v>
      </c>
      <c r="AG1781">
        <v>-1.109286763266</v>
      </c>
      <c r="AH1781">
        <v>36.263191115147698</v>
      </c>
      <c r="AI1781">
        <v>91.752045666494894</v>
      </c>
      <c r="AJ1781">
        <v>90.544719914977804</v>
      </c>
      <c r="AK1781">
        <v>36.281791762120399</v>
      </c>
      <c r="AL1781">
        <v>86.862876504215194</v>
      </c>
      <c r="AM1781">
        <v>89.685847688177503</v>
      </c>
      <c r="AN1781">
        <v>0.99999998742361496</v>
      </c>
    </row>
    <row r="1782" spans="1:40" x14ac:dyDescent="0.25">
      <c r="A1782" t="str">
        <f>"20190312151301134"</f>
        <v>20190312151301134</v>
      </c>
      <c r="B1782" t="str">
        <f>"1552374781121883"</f>
        <v>1552374781121883</v>
      </c>
      <c r="C1782" t="s">
        <v>40</v>
      </c>
      <c r="D1782">
        <v>4.46</v>
      </c>
      <c r="E1782">
        <v>0.4945756</v>
      </c>
      <c r="F1782" t="s">
        <v>54</v>
      </c>
      <c r="G1782">
        <v>-327.8023</v>
      </c>
      <c r="H1782" s="1">
        <v>2.6802850000000002E-6</v>
      </c>
      <c r="I1782">
        <v>283.12790000000001</v>
      </c>
      <c r="J1782">
        <v>-292.96210000000002</v>
      </c>
      <c r="K1782">
        <v>1.109286</v>
      </c>
      <c r="L1782">
        <v>282.79160000000002</v>
      </c>
      <c r="M1782">
        <v>-0.99978359999999999</v>
      </c>
      <c r="N1782">
        <v>0</v>
      </c>
      <c r="O1782">
        <v>1.913695E-2</v>
      </c>
      <c r="P1782">
        <v>-0.9986119</v>
      </c>
      <c r="Q1782">
        <v>4.6608990000000003E-2</v>
      </c>
      <c r="R1782">
        <v>2.454017E-2</v>
      </c>
      <c r="S1782">
        <v>-3.0078740000000002</v>
      </c>
      <c r="T1782">
        <v>-9.4655630000000004E-2</v>
      </c>
      <c r="U1782">
        <v>2.9357910000000001E-2</v>
      </c>
      <c r="V1782">
        <v>5.3714219999999998E-3</v>
      </c>
      <c r="W1782">
        <v>5.4777199999999901E-2</v>
      </c>
      <c r="X1782">
        <v>0.99848409999999999</v>
      </c>
      <c r="Y1782">
        <v>-9.3644650000000006E-3</v>
      </c>
      <c r="Z1782">
        <v>-7.4934769999999995E-4</v>
      </c>
      <c r="AA1782">
        <v>0.99995590000000001</v>
      </c>
      <c r="AB1782">
        <v>45</v>
      </c>
      <c r="AC1782">
        <v>-34.840199999999903</v>
      </c>
      <c r="AD1782">
        <v>-1.109283319715</v>
      </c>
      <c r="AE1782">
        <v>0.33629999999999399</v>
      </c>
      <c r="AF1782">
        <v>-0.33018424809448099</v>
      </c>
      <c r="AG1782">
        <v>-1.109283319715</v>
      </c>
      <c r="AH1782">
        <v>34.804975649339902</v>
      </c>
      <c r="AI1782">
        <v>91.825396723687206</v>
      </c>
      <c r="AJ1782">
        <v>90.543531378103495</v>
      </c>
      <c r="AK1782">
        <v>34.824213717932402</v>
      </c>
      <c r="AL1782">
        <v>86.859925798798997</v>
      </c>
      <c r="AM1782">
        <v>89.691775921324506</v>
      </c>
      <c r="AN1782">
        <v>0.99999994588347396</v>
      </c>
    </row>
    <row r="1783" spans="1:40" x14ac:dyDescent="0.25">
      <c r="A1783" t="str">
        <f>"20190312151301157"</f>
        <v>20190312151301157</v>
      </c>
      <c r="B1783" t="str">
        <f>"1552374781152139"</f>
        <v>1552374781152139</v>
      </c>
      <c r="C1783" t="s">
        <v>40</v>
      </c>
      <c r="D1783">
        <v>4.4763849999999996</v>
      </c>
      <c r="E1783">
        <v>0.49494129999999997</v>
      </c>
      <c r="F1783" t="s">
        <v>55</v>
      </c>
      <c r="G1783">
        <v>-312.82819999999998</v>
      </c>
      <c r="H1783" s="1">
        <v>3.6173500000000002E-6</v>
      </c>
      <c r="I1783">
        <v>282.94420000000002</v>
      </c>
      <c r="J1783">
        <v>-293.42439999999999</v>
      </c>
      <c r="K1783">
        <v>1.1092850000000001</v>
      </c>
      <c r="L1783">
        <v>282.80020000000002</v>
      </c>
      <c r="M1783">
        <v>-0.99979030000000002</v>
      </c>
      <c r="N1783">
        <v>0</v>
      </c>
      <c r="O1783">
        <v>1.8774329999999999E-2</v>
      </c>
      <c r="P1783">
        <v>-0.99862439999999997</v>
      </c>
      <c r="Q1783">
        <v>4.6494439999999998E-2</v>
      </c>
      <c r="R1783">
        <v>2.424728E-2</v>
      </c>
      <c r="S1783">
        <v>-3.011444</v>
      </c>
      <c r="T1783">
        <v>-0.16815329999999901</v>
      </c>
      <c r="U1783">
        <v>2.3132320000000001E-2</v>
      </c>
      <c r="V1783">
        <v>5.4404500000000003E-3</v>
      </c>
      <c r="W1783">
        <v>5.4682460000000002E-2</v>
      </c>
      <c r="X1783">
        <v>0.99848899999999996</v>
      </c>
      <c r="Y1783">
        <v>-1.104806E-2</v>
      </c>
      <c r="Z1783">
        <v>-1.355668E-3</v>
      </c>
      <c r="AA1783">
        <v>0.99993810000000005</v>
      </c>
      <c r="AB1783">
        <v>45</v>
      </c>
      <c r="AC1783">
        <v>-19.403799999999901</v>
      </c>
      <c r="AD1783">
        <v>-1.1092813826500001</v>
      </c>
      <c r="AE1783">
        <v>0.14400000000000501</v>
      </c>
      <c r="AF1783">
        <v>-0.219613206893681</v>
      </c>
      <c r="AG1783">
        <v>-1.1092813826500001</v>
      </c>
      <c r="AH1783">
        <v>19.339880085860901</v>
      </c>
      <c r="AI1783">
        <v>93.282517616456204</v>
      </c>
      <c r="AJ1783">
        <v>90.650591887118495</v>
      </c>
      <c r="AK1783">
        <v>19.372911419866998</v>
      </c>
      <c r="AL1783">
        <v>86.865362402283395</v>
      </c>
      <c r="AM1783">
        <v>89.687816551848002</v>
      </c>
      <c r="AN1783">
        <v>1.00000002652442</v>
      </c>
    </row>
    <row r="1784" spans="1:40" x14ac:dyDescent="0.25">
      <c r="A1784" t="str">
        <f>"20190312151301181"</f>
        <v>20190312151301181</v>
      </c>
      <c r="B1784" t="str">
        <f>"1552374781171662"</f>
        <v>1552374781171662</v>
      </c>
      <c r="C1784" t="s">
        <v>40</v>
      </c>
      <c r="D1784">
        <v>4.5031030000000003</v>
      </c>
      <c r="E1784">
        <v>0.49532330000000002</v>
      </c>
      <c r="F1784" t="s">
        <v>55</v>
      </c>
      <c r="G1784">
        <v>-315.08479999999997</v>
      </c>
      <c r="H1784" s="1">
        <v>4.6147299999999996E-6</v>
      </c>
      <c r="I1784">
        <v>282.98250000000002</v>
      </c>
      <c r="J1784">
        <v>-293.8974</v>
      </c>
      <c r="K1784">
        <v>1.109289</v>
      </c>
      <c r="L1784">
        <v>282.80889999999999</v>
      </c>
      <c r="M1784">
        <v>-0.99979689999999999</v>
      </c>
      <c r="N1784">
        <v>0</v>
      </c>
      <c r="O1784">
        <v>1.8403300000000001E-2</v>
      </c>
      <c r="P1784">
        <v>-0.99861869999999997</v>
      </c>
      <c r="Q1784">
        <v>4.6597140000000002E-2</v>
      </c>
      <c r="R1784">
        <v>2.4283740000000002E-2</v>
      </c>
      <c r="S1784">
        <v>-3.0107119999999998</v>
      </c>
      <c r="T1784">
        <v>-0.1541854</v>
      </c>
      <c r="U1784">
        <v>2.5329589999999999E-2</v>
      </c>
      <c r="V1784">
        <v>5.8474010000000003E-3</v>
      </c>
      <c r="W1784">
        <v>5.4805769999999997E-2</v>
      </c>
      <c r="X1784">
        <v>0.99847989999999998</v>
      </c>
      <c r="Y1784">
        <v>-9.9546789999999993E-3</v>
      </c>
      <c r="Z1784">
        <v>-1.1965439999999999E-3</v>
      </c>
      <c r="AA1784">
        <v>0.9999498</v>
      </c>
      <c r="AB1784">
        <v>45</v>
      </c>
      <c r="AC1784">
        <v>-21.187399999999901</v>
      </c>
      <c r="AD1784">
        <v>-1.1092843852700001</v>
      </c>
      <c r="AE1784">
        <v>0.17360000000002099</v>
      </c>
      <c r="AF1784">
        <v>-0.21576922349393701</v>
      </c>
      <c r="AG1784">
        <v>-1.1092843852700001</v>
      </c>
      <c r="AH1784">
        <v>21.129092671816998</v>
      </c>
      <c r="AI1784">
        <v>93.0051319413637</v>
      </c>
      <c r="AJ1784">
        <v>90.585081258885296</v>
      </c>
      <c r="AK1784">
        <v>21.159291702215398</v>
      </c>
      <c r="AL1784">
        <v>86.858286526844495</v>
      </c>
      <c r="AM1784">
        <v>89.664462380876699</v>
      </c>
      <c r="AN1784">
        <v>0.99999998761387798</v>
      </c>
    </row>
    <row r="1785" spans="1:40" x14ac:dyDescent="0.25">
      <c r="A1785" t="str">
        <f>"20190312151301202"</f>
        <v>20190312151301202</v>
      </c>
      <c r="B1785" t="str">
        <f>"1552374781192155"</f>
        <v>1552374781192155</v>
      </c>
      <c r="C1785" t="s">
        <v>40</v>
      </c>
      <c r="D1785">
        <v>4.5030380000000001</v>
      </c>
      <c r="E1785">
        <v>0.49527559999999898</v>
      </c>
      <c r="F1785" t="s">
        <v>55</v>
      </c>
      <c r="G1785">
        <v>-317.03699999999998</v>
      </c>
      <c r="H1785" s="1">
        <v>5.4762369999999997E-6</v>
      </c>
      <c r="I1785">
        <v>283.03039999999999</v>
      </c>
      <c r="J1785">
        <v>-294.3331</v>
      </c>
      <c r="K1785">
        <v>1.109289</v>
      </c>
      <c r="L1785">
        <v>282.81670000000003</v>
      </c>
      <c r="M1785">
        <v>-0.999803</v>
      </c>
      <c r="N1785">
        <v>0</v>
      </c>
      <c r="O1785">
        <v>1.8061609999999999E-2</v>
      </c>
      <c r="P1785">
        <v>-0.99862569999999995</v>
      </c>
      <c r="Q1785">
        <v>4.6551120000000001E-2</v>
      </c>
      <c r="R1785">
        <v>2.4082389999999999E-2</v>
      </c>
      <c r="S1785">
        <v>-3.0101930000000001</v>
      </c>
      <c r="T1785">
        <v>-0.14430499999999999</v>
      </c>
      <c r="U1785">
        <v>2.8808589999999999E-2</v>
      </c>
      <c r="V1785">
        <v>5.9871389999999998E-3</v>
      </c>
      <c r="W1785">
        <v>5.4779109999999999E-2</v>
      </c>
      <c r="X1785">
        <v>0.99848060000000005</v>
      </c>
      <c r="Y1785">
        <v>-8.4625900000000007E-3</v>
      </c>
      <c r="Z1785">
        <v>-1.068032E-3</v>
      </c>
      <c r="AA1785">
        <v>0.99996359999999995</v>
      </c>
      <c r="AB1785">
        <v>45</v>
      </c>
      <c r="AC1785">
        <v>-22.703900000000001</v>
      </c>
      <c r="AD1785">
        <v>-1.1092835237630001</v>
      </c>
      <c r="AE1785">
        <v>0.21369999999996001</v>
      </c>
      <c r="AF1785">
        <v>-0.195950013437869</v>
      </c>
      <c r="AG1785">
        <v>-1.1092835237630001</v>
      </c>
      <c r="AH1785">
        <v>22.6499913952618</v>
      </c>
      <c r="AI1785">
        <v>92.803716273704495</v>
      </c>
      <c r="AJ1785">
        <v>90.495665913945402</v>
      </c>
      <c r="AK1785">
        <v>22.677985284175801</v>
      </c>
      <c r="AL1785">
        <v>86.859816534901995</v>
      </c>
      <c r="AM1785">
        <v>89.656444316657002</v>
      </c>
      <c r="AN1785">
        <v>1.0000000526510699</v>
      </c>
    </row>
    <row r="1786" spans="1:40" x14ac:dyDescent="0.25">
      <c r="A1786" t="str">
        <f>"20190312151301227"</f>
        <v>20190312151301227</v>
      </c>
      <c r="B1786" t="str">
        <f>"1552374781221435"</f>
        <v>1552374781221435</v>
      </c>
      <c r="C1786" t="s">
        <v>40</v>
      </c>
      <c r="D1786">
        <v>4.4183589999999997</v>
      </c>
      <c r="E1786">
        <v>0.4970715</v>
      </c>
      <c r="F1786" t="s">
        <v>55</v>
      </c>
      <c r="G1786">
        <v>-318.3682</v>
      </c>
      <c r="H1786" s="1">
        <v>6.0657399999999996E-6</v>
      </c>
      <c r="I1786">
        <v>283.04020000000003</v>
      </c>
      <c r="J1786">
        <v>-294.81180000000001</v>
      </c>
      <c r="K1786">
        <v>1.1092900000000001</v>
      </c>
      <c r="L1786">
        <v>282.82510000000002</v>
      </c>
      <c r="M1786">
        <v>-0.99980959999999997</v>
      </c>
      <c r="N1786">
        <v>0</v>
      </c>
      <c r="O1786">
        <v>1.7686589999999999E-2</v>
      </c>
      <c r="P1786">
        <v>-0.99863919999999995</v>
      </c>
      <c r="Q1786">
        <v>4.6306460000000001E-2</v>
      </c>
      <c r="R1786">
        <v>2.3989940000000001E-2</v>
      </c>
      <c r="S1786">
        <v>-3.0098880000000001</v>
      </c>
      <c r="T1786">
        <v>-0.13891400000000001</v>
      </c>
      <c r="U1786">
        <v>2.7984620000000002E-2</v>
      </c>
      <c r="V1786">
        <v>6.2690150000000002E-3</v>
      </c>
      <c r="W1786">
        <v>5.4554850000000002E-2</v>
      </c>
      <c r="X1786">
        <v>0.99849109999999996</v>
      </c>
      <c r="Y1786">
        <v>-8.3629989999999994E-3</v>
      </c>
      <c r="Z1786">
        <v>-1.0086889999999999E-3</v>
      </c>
      <c r="AA1786">
        <v>0.99996450000000003</v>
      </c>
      <c r="AB1786">
        <v>45</v>
      </c>
      <c r="AC1786">
        <v>-23.5564</v>
      </c>
      <c r="AD1786">
        <v>-1.1092839342599901</v>
      </c>
      <c r="AE1786">
        <v>0.21510000000000601</v>
      </c>
      <c r="AF1786">
        <v>-0.20113421033621701</v>
      </c>
      <c r="AG1786">
        <v>-1.1092839342599901</v>
      </c>
      <c r="AH1786">
        <v>23.5044024288853</v>
      </c>
      <c r="AI1786">
        <v>92.701955140125506</v>
      </c>
      <c r="AJ1786">
        <v>90.490285176191193</v>
      </c>
      <c r="AK1786">
        <v>23.531423657661701</v>
      </c>
      <c r="AL1786">
        <v>86.872684777857998</v>
      </c>
      <c r="AM1786">
        <v>89.640273827524595</v>
      </c>
      <c r="AN1786">
        <v>1.0000000044934001</v>
      </c>
    </row>
    <row r="1787" spans="1:40" x14ac:dyDescent="0.25">
      <c r="A1787" t="str">
        <f>"20190312151301248"</f>
        <v>20190312151301248</v>
      </c>
      <c r="B1787" t="str">
        <f>"1552374781241933"</f>
        <v>1552374781241933</v>
      </c>
      <c r="C1787" t="s">
        <v>40</v>
      </c>
      <c r="D1787">
        <v>4.4812399999999997</v>
      </c>
      <c r="E1787">
        <v>0.49529010000000001</v>
      </c>
      <c r="F1787" t="s">
        <v>54</v>
      </c>
      <c r="G1787">
        <v>-335.38699999999898</v>
      </c>
      <c r="H1787" s="1">
        <v>1.3826399999999999E-6</v>
      </c>
      <c r="I1787">
        <v>283.40949999999998</v>
      </c>
      <c r="J1787">
        <v>-295.24520000000001</v>
      </c>
      <c r="K1787">
        <v>1.1092919999999999</v>
      </c>
      <c r="L1787">
        <v>282.83260000000001</v>
      </c>
      <c r="M1787">
        <v>-0.99981529999999996</v>
      </c>
      <c r="N1787">
        <v>0</v>
      </c>
      <c r="O1787">
        <v>1.734662E-2</v>
      </c>
      <c r="P1787">
        <v>-0.99865510000000002</v>
      </c>
      <c r="Q1787">
        <v>4.6151879999999999E-2</v>
      </c>
      <c r="R1787">
        <v>2.3624309999999999E-2</v>
      </c>
      <c r="S1787">
        <v>-3.006866</v>
      </c>
      <c r="T1787">
        <v>-8.2205059999999996E-2</v>
      </c>
      <c r="U1787">
        <v>4.330444E-2</v>
      </c>
      <c r="V1787">
        <v>6.2429399999999998E-3</v>
      </c>
      <c r="W1787">
        <v>5.4421539999999997E-2</v>
      </c>
      <c r="X1787">
        <v>0.99849860000000001</v>
      </c>
      <c r="Y1787">
        <v>-2.9396489999999999E-3</v>
      </c>
      <c r="Z1787">
        <v>-5.1428589999999897E-4</v>
      </c>
      <c r="AA1787">
        <v>0.99999550000000004</v>
      </c>
      <c r="AB1787">
        <v>45</v>
      </c>
      <c r="AC1787">
        <v>-40.141799999999897</v>
      </c>
      <c r="AD1787">
        <v>-1.1092906173599999</v>
      </c>
      <c r="AE1787">
        <v>0.576899999999966</v>
      </c>
      <c r="AF1787">
        <v>-0.11944400081569299</v>
      </c>
      <c r="AG1787">
        <v>-1.1092906173599999</v>
      </c>
      <c r="AH1787">
        <v>40.115139514582403</v>
      </c>
      <c r="AI1787">
        <v>91.583970468174698</v>
      </c>
      <c r="AJ1787">
        <v>90.170599354590706</v>
      </c>
      <c r="AK1787">
        <v>40.130651761683403</v>
      </c>
      <c r="AL1787">
        <v>86.880334435005295</v>
      </c>
      <c r="AM1787">
        <v>89.641772704620493</v>
      </c>
      <c r="AN1787">
        <v>1.0000000662588799</v>
      </c>
    </row>
    <row r="1788" spans="1:40" x14ac:dyDescent="0.25">
      <c r="A1788" t="str">
        <f>"20190312151301270"</f>
        <v>20190312151301270</v>
      </c>
      <c r="B1788" t="str">
        <f>"1552374781261454"</f>
        <v>1552374781261454</v>
      </c>
      <c r="C1788" t="s">
        <v>40</v>
      </c>
      <c r="D1788">
        <v>4.4140829999999998</v>
      </c>
      <c r="E1788">
        <v>0.49402550000000001</v>
      </c>
      <c r="F1788" t="s">
        <v>54</v>
      </c>
      <c r="G1788">
        <v>-321.35419999999999</v>
      </c>
      <c r="H1788" s="1">
        <v>-7.48446E-7</v>
      </c>
      <c r="I1788">
        <v>283.06709999999998</v>
      </c>
      <c r="J1788">
        <v>-295.68439999999998</v>
      </c>
      <c r="K1788">
        <v>1.1092900000000001</v>
      </c>
      <c r="L1788">
        <v>282.83999999999997</v>
      </c>
      <c r="M1788">
        <v>-0.99982110000000002</v>
      </c>
      <c r="N1788">
        <v>0</v>
      </c>
      <c r="O1788">
        <v>1.7003170000000001E-2</v>
      </c>
      <c r="P1788">
        <v>-0.99867930000000005</v>
      </c>
      <c r="Q1788">
        <v>4.5977749999999998E-2</v>
      </c>
      <c r="R1788">
        <v>2.2931779999999999E-2</v>
      </c>
      <c r="S1788">
        <v>-3.009277</v>
      </c>
      <c r="T1788">
        <v>-0.12785539999999901</v>
      </c>
      <c r="U1788">
        <v>2.7038570000000001E-2</v>
      </c>
      <c r="V1788">
        <v>5.8932009999999998E-3</v>
      </c>
      <c r="W1788">
        <v>5.4271560000000003E-2</v>
      </c>
      <c r="X1788">
        <v>0.99850879999999997</v>
      </c>
      <c r="Y1788">
        <v>-7.99711E-3</v>
      </c>
      <c r="Z1788">
        <v>-8.9186690000000004E-4</v>
      </c>
      <c r="AA1788">
        <v>0.99996759999999996</v>
      </c>
      <c r="AB1788">
        <v>45</v>
      </c>
      <c r="AC1788">
        <v>-25.669799999999999</v>
      </c>
      <c r="AD1788">
        <v>-1.109290748446</v>
      </c>
      <c r="AE1788">
        <v>0.22710000000000699</v>
      </c>
      <c r="AF1788">
        <v>-0.20902547961207699</v>
      </c>
      <c r="AG1788">
        <v>-1.109290748446</v>
      </c>
      <c r="AH1788">
        <v>25.6221064511622</v>
      </c>
      <c r="AI1788">
        <v>92.478949231133797</v>
      </c>
      <c r="AJ1788">
        <v>90.467409349791694</v>
      </c>
      <c r="AK1788">
        <v>25.646959987694501</v>
      </c>
      <c r="AL1788">
        <v>86.888940098592002</v>
      </c>
      <c r="AM1788">
        <v>89.661844117332805</v>
      </c>
      <c r="AN1788">
        <v>0.99999997786014905</v>
      </c>
    </row>
    <row r="1789" spans="1:40" x14ac:dyDescent="0.25">
      <c r="A1789" t="str">
        <f>"20190312151301291"</f>
        <v>20190312151301291</v>
      </c>
      <c r="B1789" t="str">
        <f>"1552374781281950"</f>
        <v>1552374781281950</v>
      </c>
      <c r="C1789" t="s">
        <v>40</v>
      </c>
      <c r="D1789">
        <v>4.4284530000000002</v>
      </c>
      <c r="E1789">
        <v>0.49306030000000001</v>
      </c>
      <c r="F1789" t="s">
        <v>54</v>
      </c>
      <c r="G1789">
        <v>-321.17149999999998</v>
      </c>
      <c r="H1789" s="1">
        <v>-8.4115430000000002E-7</v>
      </c>
      <c r="I1789">
        <v>282.96429999999998</v>
      </c>
      <c r="J1789">
        <v>-296.13690000000003</v>
      </c>
      <c r="K1789">
        <v>1.109289</v>
      </c>
      <c r="L1789">
        <v>282.84739999999999</v>
      </c>
      <c r="M1789">
        <v>-0.99982680000000002</v>
      </c>
      <c r="N1789">
        <v>0</v>
      </c>
      <c r="O1789">
        <v>1.6649049999999999E-2</v>
      </c>
      <c r="P1789">
        <v>-0.99869629999999998</v>
      </c>
      <c r="Q1789">
        <v>4.6087620000000003E-2</v>
      </c>
      <c r="R1789">
        <v>2.195335E-2</v>
      </c>
      <c r="S1789">
        <v>-3.0097049999999999</v>
      </c>
      <c r="T1789">
        <v>-0.1309929</v>
      </c>
      <c r="U1789">
        <v>1.467896E-2</v>
      </c>
      <c r="V1789">
        <v>5.2681289999999999E-3</v>
      </c>
      <c r="W1789">
        <v>5.4406780000000002E-2</v>
      </c>
      <c r="X1789">
        <v>0.99850490000000003</v>
      </c>
      <c r="Y1789">
        <v>-1.1746080000000001E-2</v>
      </c>
      <c r="Z1789">
        <v>-9.7976329999999992E-4</v>
      </c>
      <c r="AA1789">
        <v>0.9999306</v>
      </c>
      <c r="AB1789">
        <v>45</v>
      </c>
      <c r="AC1789">
        <v>-25.034599999999902</v>
      </c>
      <c r="AD1789">
        <v>-1.1092898411543</v>
      </c>
      <c r="AE1789">
        <v>0.116899999999986</v>
      </c>
      <c r="AF1789">
        <v>-0.29934520741324899</v>
      </c>
      <c r="AG1789">
        <v>-1.1092898411543</v>
      </c>
      <c r="AH1789">
        <v>24.984023620305599</v>
      </c>
      <c r="AI1789">
        <v>92.542078848703198</v>
      </c>
      <c r="AJ1789">
        <v>90.686454536561399</v>
      </c>
      <c r="AK1789">
        <v>25.010429179941699</v>
      </c>
      <c r="AL1789">
        <v>86.881180990974102</v>
      </c>
      <c r="AM1789">
        <v>89.697709288202603</v>
      </c>
      <c r="AN1789">
        <v>0.99999994310856799</v>
      </c>
    </row>
    <row r="1790" spans="1:40" x14ac:dyDescent="0.25">
      <c r="A1790" t="str">
        <f>"20190312151301314"</f>
        <v>20190312151301314</v>
      </c>
      <c r="B1790" t="str">
        <f>"1552374781312203"</f>
        <v>1552374781312203</v>
      </c>
      <c r="C1790" t="s">
        <v>40</v>
      </c>
      <c r="D1790">
        <v>4.4245380000000001</v>
      </c>
      <c r="E1790">
        <v>0.4699663</v>
      </c>
      <c r="F1790" t="s">
        <v>54</v>
      </c>
      <c r="G1790">
        <v>-321.31689999999998</v>
      </c>
      <c r="H1790" s="1">
        <v>-7.6007319999999896E-7</v>
      </c>
      <c r="I1790">
        <v>282.87959999999998</v>
      </c>
      <c r="J1790">
        <v>-296.58929999999998</v>
      </c>
      <c r="K1790">
        <v>1.1092879999999901</v>
      </c>
      <c r="L1790">
        <v>282.85469999999998</v>
      </c>
      <c r="M1790">
        <v>-0.99983250000000001</v>
      </c>
      <c r="N1790">
        <v>0</v>
      </c>
      <c r="O1790">
        <v>1.6295279999999999E-2</v>
      </c>
      <c r="P1790">
        <v>-0.9987087</v>
      </c>
      <c r="Q1790">
        <v>4.6198759999999998E-2</v>
      </c>
      <c r="R1790">
        <v>2.1142290000000001E-2</v>
      </c>
      <c r="S1790">
        <v>-3.0099179999999999</v>
      </c>
      <c r="T1790">
        <v>-0.13259979999999999</v>
      </c>
      <c r="U1790">
        <v>3.8452149999999999E-3</v>
      </c>
      <c r="V1790">
        <v>4.8101759999999898E-3</v>
      </c>
      <c r="W1790">
        <v>5.4543420000000002E-2</v>
      </c>
      <c r="X1790">
        <v>0.99849980000000005</v>
      </c>
      <c r="Y1790">
        <v>-1.498816E-2</v>
      </c>
      <c r="Z1790">
        <v>-1.0475149999999999E-3</v>
      </c>
      <c r="AA1790">
        <v>0.99988710000000003</v>
      </c>
      <c r="AB1790">
        <v>45</v>
      </c>
      <c r="AC1790">
        <v>-24.727599999999899</v>
      </c>
      <c r="AD1790">
        <v>-1.10928876007319</v>
      </c>
      <c r="AE1790">
        <v>2.4900000000002299E-2</v>
      </c>
      <c r="AF1790">
        <v>-0.37730116287839499</v>
      </c>
      <c r="AG1790">
        <v>-1.10928876007319</v>
      </c>
      <c r="AH1790">
        <v>24.6750649785753</v>
      </c>
      <c r="AI1790">
        <v>92.573747425863999</v>
      </c>
      <c r="AJ1790">
        <v>90.876029290707507</v>
      </c>
      <c r="AK1790">
        <v>24.702868445135</v>
      </c>
      <c r="AL1790">
        <v>86.8733405889203</v>
      </c>
      <c r="AM1790">
        <v>89.723985271164395</v>
      </c>
      <c r="AN1790">
        <v>0.99999998652924305</v>
      </c>
    </row>
    <row r="1791" spans="1:40" x14ac:dyDescent="0.25">
      <c r="A1791" t="str">
        <f>"20190312151301335"</f>
        <v>20190312151301335</v>
      </c>
      <c r="B1791" t="str">
        <f>"1552374781331723"</f>
        <v>1552374781331723</v>
      </c>
      <c r="C1791" t="s">
        <v>40</v>
      </c>
      <c r="D1791">
        <v>4.5806040000000001</v>
      </c>
      <c r="E1791">
        <v>0.46944590000000003</v>
      </c>
      <c r="F1791" t="s">
        <v>54</v>
      </c>
      <c r="G1791">
        <v>-327.45249999999999</v>
      </c>
      <c r="H1791" s="1">
        <v>2.5876599999999898E-6</v>
      </c>
      <c r="I1791">
        <v>280.98739999999998</v>
      </c>
      <c r="J1791">
        <v>-297.00869999999998</v>
      </c>
      <c r="K1791">
        <v>1.109299</v>
      </c>
      <c r="L1791">
        <v>282.8614</v>
      </c>
      <c r="M1791">
        <v>-0.99983750000000005</v>
      </c>
      <c r="N1791">
        <v>0</v>
      </c>
      <c r="O1791">
        <v>1.59674E-2</v>
      </c>
      <c r="P1791">
        <v>-0.99871580000000004</v>
      </c>
      <c r="Q1791">
        <v>4.6291939999999997E-2</v>
      </c>
      <c r="R1791">
        <v>2.059271E-2</v>
      </c>
      <c r="S1791">
        <v>-3.012756</v>
      </c>
      <c r="T1791">
        <v>-0.1082847</v>
      </c>
      <c r="U1791">
        <v>-0.18228150000000001</v>
      </c>
      <c r="V1791">
        <v>4.5876679999999996E-3</v>
      </c>
      <c r="W1791">
        <v>5.466008E-2</v>
      </c>
      <c r="X1791">
        <v>0.99849449999999995</v>
      </c>
      <c r="Y1791">
        <v>-7.6264559999999995E-2</v>
      </c>
      <c r="Z1791">
        <v>-1.9421239999999999E-3</v>
      </c>
      <c r="AA1791">
        <v>0.99708580000000002</v>
      </c>
      <c r="AB1791">
        <v>45</v>
      </c>
      <c r="AC1791">
        <v>-30.4438</v>
      </c>
      <c r="AD1791">
        <v>-1.10929641234</v>
      </c>
      <c r="AE1791">
        <v>-1.8740000000000201</v>
      </c>
      <c r="AF1791">
        <v>-2.3567691701708502</v>
      </c>
      <c r="AG1791">
        <v>-1.10929641234</v>
      </c>
      <c r="AH1791">
        <v>30.369825002610199</v>
      </c>
      <c r="AI1791">
        <v>92.085606212585702</v>
      </c>
      <c r="AJ1791">
        <v>94.437392720744597</v>
      </c>
      <c r="AK1791">
        <v>30.481324940708699</v>
      </c>
      <c r="AL1791">
        <v>86.8666465781656</v>
      </c>
      <c r="AM1791">
        <v>89.736751514809598</v>
      </c>
      <c r="AN1791">
        <v>1.0000000187867599</v>
      </c>
    </row>
    <row r="1792" spans="1:40" x14ac:dyDescent="0.25">
      <c r="A1792" t="str">
        <f>"20190312151301359"</f>
        <v>20190312151301359</v>
      </c>
      <c r="B1792" t="str">
        <f>"1552374781352219"</f>
        <v>1552374781352219</v>
      </c>
      <c r="C1792" t="s">
        <v>40</v>
      </c>
      <c r="D1792">
        <v>4.3859539999999999</v>
      </c>
      <c r="E1792">
        <v>0.46936630000000001</v>
      </c>
      <c r="F1792" t="s">
        <v>54</v>
      </c>
      <c r="G1792">
        <v>-331.03539999999998</v>
      </c>
      <c r="H1792" s="1">
        <v>-8.1639279999999996E-7</v>
      </c>
      <c r="I1792">
        <v>280.74029999999999</v>
      </c>
      <c r="J1792">
        <v>-297.48430000000002</v>
      </c>
      <c r="K1792">
        <v>1.1093</v>
      </c>
      <c r="L1792">
        <v>282.86869999999999</v>
      </c>
      <c r="M1792">
        <v>-0.99984309999999998</v>
      </c>
      <c r="N1792">
        <v>0</v>
      </c>
      <c r="O1792">
        <v>1.55958E-2</v>
      </c>
      <c r="P1792">
        <v>-0.9987009</v>
      </c>
      <c r="Q1792">
        <v>4.6655490000000001E-2</v>
      </c>
      <c r="R1792">
        <v>2.050072E-2</v>
      </c>
      <c r="S1792">
        <v>-3.012238</v>
      </c>
      <c r="T1792">
        <v>-9.8201510000000006E-2</v>
      </c>
      <c r="U1792">
        <v>-0.18777469999999999</v>
      </c>
      <c r="V1792">
        <v>4.8668139999999997E-3</v>
      </c>
      <c r="W1792">
        <v>5.5050010000000003E-2</v>
      </c>
      <c r="X1792">
        <v>0.99847169999999996</v>
      </c>
      <c r="Y1792">
        <v>-7.7725669999999997E-2</v>
      </c>
      <c r="Z1792">
        <v>-1.7732710000000001E-3</v>
      </c>
      <c r="AA1792">
        <v>0.9969732</v>
      </c>
      <c r="AB1792">
        <v>45</v>
      </c>
      <c r="AC1792">
        <v>-33.551099999999899</v>
      </c>
      <c r="AD1792">
        <v>-1.1093008163928</v>
      </c>
      <c r="AE1792">
        <v>-2.1283999999999899</v>
      </c>
      <c r="AF1792">
        <v>-2.6485321510536299</v>
      </c>
      <c r="AG1792">
        <v>-1.1093008163928</v>
      </c>
      <c r="AH1792">
        <v>33.477374332248999</v>
      </c>
      <c r="AI1792">
        <v>91.891941889298906</v>
      </c>
      <c r="AJ1792">
        <v>94.523481854865196</v>
      </c>
      <c r="AK1792">
        <v>33.600295579621601</v>
      </c>
      <c r="AL1792">
        <v>86.844271368168293</v>
      </c>
      <c r="AM1792">
        <v>89.720727494253396</v>
      </c>
      <c r="AN1792">
        <v>0.99999996259019897</v>
      </c>
    </row>
    <row r="1793" spans="1:40" x14ac:dyDescent="0.25">
      <c r="A1793" t="str">
        <f>"20190312151301381"</f>
        <v>20190312151301381</v>
      </c>
      <c r="B1793" t="str">
        <f>"1552374781371742"</f>
        <v>1552374781371742</v>
      </c>
      <c r="C1793" t="s">
        <v>40</v>
      </c>
      <c r="D1793">
        <v>4.3723089999999996</v>
      </c>
      <c r="E1793">
        <v>0.46929759999999998</v>
      </c>
      <c r="F1793" t="s">
        <v>54</v>
      </c>
      <c r="G1793">
        <v>-334.25349999999997</v>
      </c>
      <c r="H1793" s="1">
        <v>9.0376600000000005E-7</v>
      </c>
      <c r="I1793">
        <v>280.56639999999999</v>
      </c>
      <c r="J1793">
        <v>-297.94299999999998</v>
      </c>
      <c r="K1793">
        <v>1.1093059999999999</v>
      </c>
      <c r="L1793">
        <v>282.87560000000002</v>
      </c>
      <c r="M1793">
        <v>-0.99984839999999997</v>
      </c>
      <c r="N1793">
        <v>0</v>
      </c>
      <c r="O1793">
        <v>1.523805E-2</v>
      </c>
      <c r="P1793">
        <v>-0.9987028</v>
      </c>
      <c r="Q1793">
        <v>4.670564E-2</v>
      </c>
      <c r="R1793">
        <v>2.027808E-2</v>
      </c>
      <c r="S1793">
        <v>-3.0120239999999998</v>
      </c>
      <c r="T1793">
        <v>-9.0870380000000001E-2</v>
      </c>
      <c r="U1793">
        <v>-0.18859860000000001</v>
      </c>
      <c r="V1793">
        <v>5.0011609999999996E-3</v>
      </c>
      <c r="W1793">
        <v>5.5125239999999999E-2</v>
      </c>
      <c r="X1793">
        <v>0.99846690000000005</v>
      </c>
      <c r="Y1793">
        <v>-7.7652310000000002E-2</v>
      </c>
      <c r="Z1793">
        <v>-1.6291669999999999E-3</v>
      </c>
      <c r="AA1793">
        <v>0.99697919999999995</v>
      </c>
      <c r="AB1793">
        <v>45</v>
      </c>
      <c r="AC1793">
        <v>-36.310499999999898</v>
      </c>
      <c r="AD1793">
        <v>-1.1093050962340001</v>
      </c>
      <c r="AE1793">
        <v>-2.3092000000000299</v>
      </c>
      <c r="AF1793">
        <v>-2.8595945126024001</v>
      </c>
      <c r="AG1793">
        <v>-1.1093050962340001</v>
      </c>
      <c r="AH1793">
        <v>36.237409481925901</v>
      </c>
      <c r="AI1793">
        <v>91.747968891620303</v>
      </c>
      <c r="AJ1793">
        <v>94.512018627983196</v>
      </c>
      <c r="AK1793">
        <v>36.366986189864697</v>
      </c>
      <c r="AL1793">
        <v>86.839954497105197</v>
      </c>
      <c r="AM1793">
        <v>89.713017004697903</v>
      </c>
      <c r="AN1793">
        <v>0.99999997704600696</v>
      </c>
    </row>
    <row r="1794" spans="1:40" x14ac:dyDescent="0.25">
      <c r="A1794" t="str">
        <f>"20190312151301402"</f>
        <v>20190312151301402</v>
      </c>
      <c r="B1794" t="str">
        <f>"1552374781391259"</f>
        <v>1552374781391259</v>
      </c>
      <c r="C1794" t="s">
        <v>40</v>
      </c>
      <c r="D1794">
        <v>4.4106480000000001</v>
      </c>
      <c r="E1794">
        <v>0.46900520000000001</v>
      </c>
      <c r="F1794" t="s">
        <v>54</v>
      </c>
      <c r="G1794">
        <v>-337.03109999999998</v>
      </c>
      <c r="H1794" s="1">
        <v>2.3884409999999999E-6</v>
      </c>
      <c r="I1794">
        <v>280.41559999999998</v>
      </c>
      <c r="J1794">
        <v>-298.39640000000003</v>
      </c>
      <c r="K1794">
        <v>1.1092979999999999</v>
      </c>
      <c r="L1794">
        <v>282.88229999999999</v>
      </c>
      <c r="M1794">
        <v>-0.99985360000000001</v>
      </c>
      <c r="N1794">
        <v>0</v>
      </c>
      <c r="O1794">
        <v>1.488424E-2</v>
      </c>
      <c r="P1794">
        <v>-0.99871529999999997</v>
      </c>
      <c r="Q1794">
        <v>4.6511320000000002E-2</v>
      </c>
      <c r="R1794">
        <v>2.0114E-2</v>
      </c>
      <c r="S1794">
        <v>-3.0117799999999999</v>
      </c>
      <c r="T1794">
        <v>-8.5473060000000003E-2</v>
      </c>
      <c r="U1794">
        <v>-0.18954470000000001</v>
      </c>
      <c r="V1794">
        <v>5.190488E-3</v>
      </c>
      <c r="W1794">
        <v>5.4954320000000001E-2</v>
      </c>
      <c r="X1794">
        <v>0.99847540000000001</v>
      </c>
      <c r="Y1794">
        <v>-7.7621490000000001E-2</v>
      </c>
      <c r="Z1794">
        <v>-1.5220829999999901E-3</v>
      </c>
      <c r="AA1794">
        <v>0.99698169999999997</v>
      </c>
      <c r="AB1794">
        <v>46</v>
      </c>
      <c r="AC1794">
        <v>-38.634699999999903</v>
      </c>
      <c r="AD1794">
        <v>-1.10929561155899</v>
      </c>
      <c r="AE1794">
        <v>-2.4666999999999999</v>
      </c>
      <c r="AF1794">
        <v>-3.0390001700592202</v>
      </c>
      <c r="AG1794">
        <v>-1.10929561155899</v>
      </c>
      <c r="AH1794">
        <v>38.562042025059</v>
      </c>
      <c r="AI1794">
        <v>91.642655236890505</v>
      </c>
      <c r="AJ1794">
        <v>94.506056688758207</v>
      </c>
      <c r="AK1794">
        <v>38.697508239289299</v>
      </c>
      <c r="AL1794">
        <v>86.849762499060105</v>
      </c>
      <c r="AM1794">
        <v>89.702155529130295</v>
      </c>
      <c r="AN1794">
        <v>1.0000000214287501</v>
      </c>
    </row>
    <row r="1795" spans="1:40" x14ac:dyDescent="0.25">
      <c r="A1795" t="str">
        <f>"20190312151301427"</f>
        <v>20190312151301427</v>
      </c>
      <c r="B1795" t="str">
        <f>"1552374781421515"</f>
        <v>1552374781421515</v>
      </c>
      <c r="C1795" t="s">
        <v>40</v>
      </c>
      <c r="D1795">
        <v>4.4000750000000002</v>
      </c>
      <c r="E1795">
        <v>0.46836179999999999</v>
      </c>
      <c r="F1795" t="s">
        <v>54</v>
      </c>
      <c r="G1795">
        <v>-338.67250000000001</v>
      </c>
      <c r="H1795" s="1">
        <v>3.2665060000000001E-6</v>
      </c>
      <c r="I1795">
        <v>280.3098</v>
      </c>
      <c r="J1795">
        <v>-298.875</v>
      </c>
      <c r="K1795">
        <v>1.109299</v>
      </c>
      <c r="L1795">
        <v>282.88920000000002</v>
      </c>
      <c r="M1795">
        <v>-0.99985889999999999</v>
      </c>
      <c r="N1795">
        <v>0</v>
      </c>
      <c r="O1795">
        <v>1.451028E-2</v>
      </c>
      <c r="P1795">
        <v>-0.99871889999999997</v>
      </c>
      <c r="Q1795">
        <v>4.6520069999999997E-2</v>
      </c>
      <c r="R1795">
        <v>1.9919719999999998E-2</v>
      </c>
      <c r="S1795">
        <v>-3.0115660000000002</v>
      </c>
      <c r="T1795">
        <v>-8.2945469999999993E-2</v>
      </c>
      <c r="U1795">
        <v>-0.1923523</v>
      </c>
      <c r="V1795">
        <v>5.3697149999999997E-3</v>
      </c>
      <c r="W1795">
        <v>5.4988130000000003E-2</v>
      </c>
      <c r="X1795">
        <v>0.99847260000000004</v>
      </c>
      <c r="Y1795">
        <v>-7.818087E-2</v>
      </c>
      <c r="Z1795">
        <v>-1.4745559999999999E-3</v>
      </c>
      <c r="AA1795">
        <v>0.99693810000000005</v>
      </c>
      <c r="AB1795">
        <v>46</v>
      </c>
      <c r="AC1795">
        <v>-39.797499999999999</v>
      </c>
      <c r="AD1795">
        <v>-1.1092957334939999</v>
      </c>
      <c r="AE1795">
        <v>-2.5794000000000201</v>
      </c>
      <c r="AF1795">
        <v>-3.1541816403777698</v>
      </c>
      <c r="AG1795">
        <v>-1.1092957334939999</v>
      </c>
      <c r="AH1795">
        <v>39.725146040396702</v>
      </c>
      <c r="AI1795">
        <v>91.594511490953195</v>
      </c>
      <c r="AJ1795">
        <v>94.539768014125599</v>
      </c>
      <c r="AK1795">
        <v>39.865607066438798</v>
      </c>
      <c r="AL1795">
        <v>86.847822424228397</v>
      </c>
      <c r="AM1795">
        <v>89.691870322069803</v>
      </c>
      <c r="AN1795">
        <v>1.00000003061541</v>
      </c>
    </row>
    <row r="1796" spans="1:40" x14ac:dyDescent="0.25">
      <c r="A1796" t="str">
        <f>"20190312151301448"</f>
        <v>20190312151301448</v>
      </c>
      <c r="B1796" t="str">
        <f>"1552374781442011"</f>
        <v>1552374781442011</v>
      </c>
      <c r="C1796" t="s">
        <v>40</v>
      </c>
      <c r="D1796">
        <v>4.4082179999999997</v>
      </c>
      <c r="E1796">
        <v>0.46456579999999897</v>
      </c>
      <c r="F1796" t="s">
        <v>54</v>
      </c>
      <c r="G1796">
        <v>-338.43329999999997</v>
      </c>
      <c r="H1796" s="1">
        <v>3.140161E-6</v>
      </c>
      <c r="I1796">
        <v>280.28809999999999</v>
      </c>
      <c r="J1796">
        <v>-299.32150000000001</v>
      </c>
      <c r="K1796">
        <v>1.1093</v>
      </c>
      <c r="L1796">
        <v>282.8954</v>
      </c>
      <c r="M1796">
        <v>-0.99986359999999996</v>
      </c>
      <c r="N1796">
        <v>0</v>
      </c>
      <c r="O1796">
        <v>1.416154E-2</v>
      </c>
      <c r="P1796">
        <v>-0.99873489999999998</v>
      </c>
      <c r="Q1796">
        <v>4.6205690000000001E-2</v>
      </c>
      <c r="R1796">
        <v>1.9843550000000001E-2</v>
      </c>
      <c r="S1796">
        <v>-3.0117189999999998</v>
      </c>
      <c r="T1796">
        <v>-8.4454769999999998E-2</v>
      </c>
      <c r="U1796">
        <v>-0.1980286</v>
      </c>
      <c r="V1796">
        <v>5.6418559999999998E-3</v>
      </c>
      <c r="W1796">
        <v>5.4695300000000002E-2</v>
      </c>
      <c r="X1796">
        <v>0.99848720000000002</v>
      </c>
      <c r="Y1796">
        <v>-7.9699210000000006E-2</v>
      </c>
      <c r="Z1796">
        <v>-1.5127039999999999E-3</v>
      </c>
      <c r="AA1796">
        <v>0.99681779999999998</v>
      </c>
      <c r="AB1796">
        <v>46</v>
      </c>
      <c r="AC1796">
        <v>-39.111799999999903</v>
      </c>
      <c r="AD1796">
        <v>-1.1092968598390001</v>
      </c>
      <c r="AE1796">
        <v>-2.6073</v>
      </c>
      <c r="AF1796">
        <v>-3.1584124148217398</v>
      </c>
      <c r="AG1796">
        <v>-1.1092968598390001</v>
      </c>
      <c r="AH1796">
        <v>39.039687726739899</v>
      </c>
      <c r="AI1796">
        <v>91.622300686144996</v>
      </c>
      <c r="AJ1796">
        <v>94.6253041122594</v>
      </c>
      <c r="AK1796">
        <v>39.182946881350198</v>
      </c>
      <c r="AL1796">
        <v>86.864625687606093</v>
      </c>
      <c r="AM1796">
        <v>89.676259147541401</v>
      </c>
      <c r="AN1796">
        <v>1.0000000474725199</v>
      </c>
    </row>
    <row r="1797" spans="1:40" x14ac:dyDescent="0.25">
      <c r="A1797" t="str">
        <f>"20190312151301525"</f>
        <v>20190312151301525</v>
      </c>
      <c r="B1797" t="str">
        <f>"1552374781522044"</f>
        <v>1552374781522044</v>
      </c>
      <c r="C1797" t="s">
        <v>40</v>
      </c>
      <c r="D1797">
        <v>4.3818349999999997</v>
      </c>
      <c r="E1797">
        <v>0.46825879999999998</v>
      </c>
      <c r="F1797" t="s">
        <v>54</v>
      </c>
      <c r="G1797">
        <v>-323.71899999999999</v>
      </c>
      <c r="H1797" s="1">
        <v>5.9876440000000002E-7</v>
      </c>
      <c r="I1797">
        <v>281.03620000000001</v>
      </c>
      <c r="J1797">
        <v>-300.89609999999999</v>
      </c>
      <c r="K1797">
        <v>1.109308</v>
      </c>
      <c r="L1797">
        <v>282.9162</v>
      </c>
      <c r="M1797">
        <v>-0.99987979999999999</v>
      </c>
      <c r="N1797">
        <v>0</v>
      </c>
      <c r="O1797">
        <v>1.293278E-2</v>
      </c>
      <c r="P1797">
        <v>-0.99877519999999997</v>
      </c>
      <c r="Q1797">
        <v>4.6279580000000001E-2</v>
      </c>
      <c r="R1797">
        <v>1.7512219999999998E-2</v>
      </c>
      <c r="S1797">
        <v>-3.0147089999999999</v>
      </c>
      <c r="T1797">
        <v>-0.13707230000000001</v>
      </c>
      <c r="U1797">
        <v>-0.2297363</v>
      </c>
      <c r="V1797">
        <v>4.5371530000000004E-3</v>
      </c>
      <c r="W1797">
        <v>5.4840529999999998E-2</v>
      </c>
      <c r="X1797">
        <v>0.99848479999999995</v>
      </c>
      <c r="Y1797">
        <v>-8.8769849999999997E-2</v>
      </c>
      <c r="Z1797">
        <v>-2.601084E-3</v>
      </c>
      <c r="AA1797">
        <v>0.99604870000000001</v>
      </c>
      <c r="AB1797">
        <v>46</v>
      </c>
      <c r="AC1797">
        <v>-22.822900000000001</v>
      </c>
      <c r="AD1797">
        <v>-1.1093074012355999</v>
      </c>
      <c r="AE1797">
        <v>-1.8799999999999899</v>
      </c>
      <c r="AF1797">
        <v>-2.1699253133102698</v>
      </c>
      <c r="AG1797">
        <v>-1.1093074012355999</v>
      </c>
      <c r="AH1797">
        <v>22.743308869682199</v>
      </c>
      <c r="AI1797">
        <v>92.779791437852595</v>
      </c>
      <c r="AJ1797">
        <v>95.450058339027095</v>
      </c>
      <c r="AK1797">
        <v>22.873505134053001</v>
      </c>
      <c r="AL1797">
        <v>86.856291910213102</v>
      </c>
      <c r="AM1797">
        <v>89.739647585334495</v>
      </c>
      <c r="AN1797">
        <v>0.99999998265953305</v>
      </c>
    </row>
    <row r="1798" spans="1:40" x14ac:dyDescent="0.25">
      <c r="A1798" t="str">
        <f>"20190312151301549"</f>
        <v>20190312151301549</v>
      </c>
      <c r="B1798" t="str">
        <f>"1552374781541563"</f>
        <v>1552374781541563</v>
      </c>
      <c r="C1798" t="s">
        <v>40</v>
      </c>
      <c r="D1798">
        <v>4.3715219999999997</v>
      </c>
      <c r="E1798">
        <v>0.4689624</v>
      </c>
      <c r="F1798" t="s">
        <v>56</v>
      </c>
      <c r="G1798">
        <v>-511.07560000000001</v>
      </c>
      <c r="H1798">
        <v>5.5750780000000004</v>
      </c>
      <c r="I1798">
        <v>268.7568</v>
      </c>
      <c r="J1798">
        <v>-301.37959999999998</v>
      </c>
      <c r="K1798">
        <v>1.1093010000000001</v>
      </c>
      <c r="L1798">
        <v>282.92219999999998</v>
      </c>
      <c r="M1798">
        <v>-0.99988440000000001</v>
      </c>
      <c r="N1798">
        <v>0</v>
      </c>
      <c r="O1798">
        <v>1.2556329999999999E-2</v>
      </c>
      <c r="P1798">
        <v>-0.99878619999999996</v>
      </c>
      <c r="Q1798">
        <v>4.6258340000000002E-2</v>
      </c>
      <c r="R1798">
        <v>1.6935749999999999E-2</v>
      </c>
      <c r="S1798">
        <v>-3.0042719999999998</v>
      </c>
      <c r="T1798">
        <v>6.3834070000000007E-2</v>
      </c>
      <c r="U1798">
        <v>-0.20239260000000001</v>
      </c>
      <c r="V1798">
        <v>4.3365369999999997E-3</v>
      </c>
      <c r="W1798">
        <v>5.4840050000000001E-2</v>
      </c>
      <c r="X1798">
        <v>0.99848570000000003</v>
      </c>
      <c r="Y1798">
        <v>-7.9718269999999994E-2</v>
      </c>
      <c r="Z1798">
        <v>1.1123579999999999E-3</v>
      </c>
      <c r="AA1798">
        <v>0.99681679999999995</v>
      </c>
      <c r="AB1798">
        <v>46</v>
      </c>
      <c r="AC1798">
        <v>-209.696</v>
      </c>
      <c r="AD1798">
        <v>4.4657769999999903</v>
      </c>
      <c r="AE1798">
        <v>-14.165399999999901</v>
      </c>
      <c r="AF1798">
        <v>-16.789811954092801</v>
      </c>
      <c r="AG1798">
        <v>4.4657769999999903</v>
      </c>
      <c r="AH1798">
        <v>209.407053020474</v>
      </c>
      <c r="AI1798">
        <v>88.782212549449596</v>
      </c>
      <c r="AJ1798">
        <v>94.584047638492095</v>
      </c>
      <c r="AK1798">
        <v>210.12652094485199</v>
      </c>
      <c r="AL1798">
        <v>86.856319397658595</v>
      </c>
      <c r="AM1798">
        <v>89.751159475210002</v>
      </c>
      <c r="AN1798">
        <v>0.99999996487082099</v>
      </c>
    </row>
    <row r="1799" spans="1:40" x14ac:dyDescent="0.25">
      <c r="A1799" t="str">
        <f>"20190312151301570"</f>
        <v>20190312151301570</v>
      </c>
      <c r="B1799" t="str">
        <f>"1552374781562059"</f>
        <v>1552374781562059</v>
      </c>
      <c r="C1799" t="s">
        <v>40</v>
      </c>
      <c r="D1799">
        <v>4.3722949999999896</v>
      </c>
      <c r="E1799">
        <v>0.46862300000000001</v>
      </c>
      <c r="F1799" t="s">
        <v>56</v>
      </c>
      <c r="G1799">
        <v>-511.07569999999998</v>
      </c>
      <c r="H1799">
        <v>5.8960410000000003</v>
      </c>
      <c r="I1799">
        <v>269.0598</v>
      </c>
      <c r="J1799">
        <v>-301.82499999999999</v>
      </c>
      <c r="K1799">
        <v>1.109308</v>
      </c>
      <c r="L1799">
        <v>282.92759999999998</v>
      </c>
      <c r="M1799">
        <v>-0.99988840000000001</v>
      </c>
      <c r="N1799">
        <v>0</v>
      </c>
      <c r="O1799">
        <v>1.22104E-2</v>
      </c>
      <c r="P1799">
        <v>-0.9988148</v>
      </c>
      <c r="Q1799">
        <v>4.5760479999999999E-2</v>
      </c>
      <c r="R1799">
        <v>1.6594640000000001E-2</v>
      </c>
      <c r="S1799">
        <v>-3.003876</v>
      </c>
      <c r="T1799">
        <v>6.8570610000000004E-2</v>
      </c>
      <c r="U1799">
        <v>-0.1985779</v>
      </c>
      <c r="V1799">
        <v>4.3410949999999997E-3</v>
      </c>
      <c r="W1799">
        <v>5.436154E-2</v>
      </c>
      <c r="X1799">
        <v>0.99851190000000001</v>
      </c>
      <c r="Y1799">
        <v>-7.8119140000000004E-2</v>
      </c>
      <c r="Z1799">
        <v>1.1689650000000001E-3</v>
      </c>
      <c r="AA1799">
        <v>0.99694340000000004</v>
      </c>
      <c r="AB1799">
        <v>46</v>
      </c>
      <c r="AC1799">
        <v>-209.25069999999999</v>
      </c>
      <c r="AD1799">
        <v>4.7867329999999999</v>
      </c>
      <c r="AE1799">
        <v>-13.8677999999999</v>
      </c>
      <c r="AF1799">
        <v>-16.413344069870799</v>
      </c>
      <c r="AG1799">
        <v>4.7867329999999999</v>
      </c>
      <c r="AH1799">
        <v>208.956894182273</v>
      </c>
      <c r="AI1799">
        <v>88.6917402554608</v>
      </c>
      <c r="AJ1799">
        <v>94.491301299053305</v>
      </c>
      <c r="AK1799">
        <v>209.65517952741101</v>
      </c>
      <c r="AL1799">
        <v>86.883777128410401</v>
      </c>
      <c r="AM1799">
        <v>89.750904466038506</v>
      </c>
      <c r="AN1799">
        <v>1.0000000182892901</v>
      </c>
    </row>
    <row r="1800" spans="1:40" x14ac:dyDescent="0.25">
      <c r="A1800" t="str">
        <f>"20190312151301593"</f>
        <v>20190312151301593</v>
      </c>
      <c r="B1800" t="str">
        <f>"1552374781581583"</f>
        <v>1552374781581583</v>
      </c>
      <c r="C1800" t="s">
        <v>40</v>
      </c>
      <c r="D1800">
        <v>4.6303650000000003</v>
      </c>
      <c r="E1800">
        <v>0.46898380000000001</v>
      </c>
      <c r="F1800" t="s">
        <v>56</v>
      </c>
      <c r="G1800">
        <v>-512.82680000000005</v>
      </c>
      <c r="H1800">
        <v>5.0536989999999999</v>
      </c>
      <c r="I1800">
        <v>268.71319999999997</v>
      </c>
      <c r="J1800">
        <v>-302.2903</v>
      </c>
      <c r="K1800">
        <v>1.1093109999999999</v>
      </c>
      <c r="L1800">
        <v>282.93299999999999</v>
      </c>
      <c r="M1800">
        <v>-0.99989260000000002</v>
      </c>
      <c r="N1800">
        <v>0</v>
      </c>
      <c r="O1800">
        <v>1.1849210000000001E-2</v>
      </c>
      <c r="P1800">
        <v>-0.99881489999999995</v>
      </c>
      <c r="Q1800">
        <v>4.5941040000000002E-2</v>
      </c>
      <c r="R1800">
        <v>1.60736E-2</v>
      </c>
      <c r="S1800">
        <v>-3.0043639999999998</v>
      </c>
      <c r="T1800">
        <v>5.616355E-2</v>
      </c>
      <c r="U1800">
        <v>-0.20239260000000001</v>
      </c>
      <c r="V1800">
        <v>4.1804210000000001E-3</v>
      </c>
      <c r="W1800">
        <v>5.4561520000000002E-2</v>
      </c>
      <c r="X1800">
        <v>0.99850170000000005</v>
      </c>
      <c r="Y1800">
        <v>-7.901619E-2</v>
      </c>
      <c r="Z1800">
        <v>9.589291E-4</v>
      </c>
      <c r="AA1800">
        <v>0.9968728</v>
      </c>
      <c r="AB1800">
        <v>46</v>
      </c>
      <c r="AC1800">
        <v>-210.53649999999999</v>
      </c>
      <c r="AD1800">
        <v>3.9443879999999898</v>
      </c>
      <c r="AE1800">
        <v>-14.219799999999999</v>
      </c>
      <c r="AF1800">
        <v>-16.707747870409499</v>
      </c>
      <c r="AG1800">
        <v>3.9443879999999898</v>
      </c>
      <c r="AH1800">
        <v>210.279746082907</v>
      </c>
      <c r="AI1800">
        <v>88.928757854697196</v>
      </c>
      <c r="AJ1800">
        <v>94.542884347435404</v>
      </c>
      <c r="AK1800">
        <v>210.97933227756599</v>
      </c>
      <c r="AL1800">
        <v>86.872302156579494</v>
      </c>
      <c r="AM1800">
        <v>89.760121509626003</v>
      </c>
      <c r="AN1800">
        <v>1.00000004014366</v>
      </c>
    </row>
    <row r="1801" spans="1:40" x14ac:dyDescent="0.25">
      <c r="A1801" t="str">
        <f>"20190312151301614"</f>
        <v>20190312151301614</v>
      </c>
      <c r="B1801" t="str">
        <f>"1552374781611836"</f>
        <v>1552374781611836</v>
      </c>
      <c r="C1801" t="s">
        <v>40</v>
      </c>
      <c r="D1801">
        <v>4.2800050000000001</v>
      </c>
      <c r="E1801">
        <v>0.46999780000000002</v>
      </c>
      <c r="F1801" t="s">
        <v>56</v>
      </c>
      <c r="G1801">
        <v>-512.82659999999998</v>
      </c>
      <c r="H1801">
        <v>4.4241599999999996</v>
      </c>
      <c r="I1801">
        <v>268.83030000000002</v>
      </c>
      <c r="J1801">
        <v>-302.74540000000002</v>
      </c>
      <c r="K1801">
        <v>1.109316</v>
      </c>
      <c r="L1801">
        <v>282.93819999999999</v>
      </c>
      <c r="M1801">
        <v>-0.99989660000000002</v>
      </c>
      <c r="N1801">
        <v>0</v>
      </c>
      <c r="O1801">
        <v>1.149613E-2</v>
      </c>
      <c r="P1801">
        <v>-0.99880659999999999</v>
      </c>
      <c r="Q1801">
        <v>4.6116570000000003E-2</v>
      </c>
      <c r="R1801">
        <v>1.6091540000000001E-2</v>
      </c>
      <c r="S1801">
        <v>-3.0046080000000002</v>
      </c>
      <c r="T1801">
        <v>4.7307969999999998E-2</v>
      </c>
      <c r="U1801">
        <v>-0.20126340000000001</v>
      </c>
      <c r="V1801">
        <v>4.5507960000000002E-3</v>
      </c>
      <c r="W1801">
        <v>5.4755289999999998E-2</v>
      </c>
      <c r="X1801">
        <v>0.99848939999999997</v>
      </c>
      <c r="Y1801">
        <v>-7.8290499999999999E-2</v>
      </c>
      <c r="Z1801">
        <v>7.9643509999999999E-4</v>
      </c>
      <c r="AA1801">
        <v>0.99693019999999999</v>
      </c>
      <c r="AB1801">
        <v>46</v>
      </c>
      <c r="AC1801">
        <v>-210.0812</v>
      </c>
      <c r="AD1801">
        <v>3.3148439999999999</v>
      </c>
      <c r="AE1801">
        <v>-14.1078999999999</v>
      </c>
      <c r="AF1801">
        <v>-16.5180844618462</v>
      </c>
      <c r="AG1801">
        <v>3.3148439999999999</v>
      </c>
      <c r="AH1801">
        <v>209.853110788968</v>
      </c>
      <c r="AI1801">
        <v>89.097819993376405</v>
      </c>
      <c r="AJ1801">
        <v>94.5006204243155</v>
      </c>
      <c r="AK1801">
        <v>210.52829599091899</v>
      </c>
      <c r="AL1801">
        <v>86.861183101721394</v>
      </c>
      <c r="AM1801">
        <v>89.738865932042401</v>
      </c>
      <c r="AN1801">
        <v>0.99999996671978797</v>
      </c>
    </row>
    <row r="1802" spans="1:40" x14ac:dyDescent="0.25">
      <c r="A1802" t="str">
        <f>"20190312151301639"</f>
        <v>20190312151301639</v>
      </c>
      <c r="B1802" t="str">
        <f>"1552374781631355"</f>
        <v>1552374781631355</v>
      </c>
      <c r="C1802" t="s">
        <v>40</v>
      </c>
      <c r="D1802">
        <v>4.5282650000000002</v>
      </c>
      <c r="E1802">
        <v>0.47043000000000001</v>
      </c>
      <c r="F1802" t="s">
        <v>56</v>
      </c>
      <c r="G1802">
        <v>-512.82640000000004</v>
      </c>
      <c r="H1802">
        <v>3.733282</v>
      </c>
      <c r="I1802">
        <v>269.42660000000001</v>
      </c>
      <c r="J1802">
        <v>-303.24950000000001</v>
      </c>
      <c r="K1802">
        <v>1.1093109999999999</v>
      </c>
      <c r="L1802">
        <v>282.94380000000001</v>
      </c>
      <c r="M1802">
        <v>-0.99990080000000003</v>
      </c>
      <c r="N1802">
        <v>0</v>
      </c>
      <c r="O1802">
        <v>1.110561E-2</v>
      </c>
      <c r="P1802">
        <v>-0.998838</v>
      </c>
      <c r="Q1802">
        <v>4.5521609999999997E-2</v>
      </c>
      <c r="R1802">
        <v>1.5838660000000001E-2</v>
      </c>
      <c r="S1802">
        <v>-3.0049739999999998</v>
      </c>
      <c r="T1802">
        <v>3.7533999999999998E-2</v>
      </c>
      <c r="U1802">
        <v>-0.19326779999999999</v>
      </c>
      <c r="V1802">
        <v>4.6882790000000001E-3</v>
      </c>
      <c r="W1802">
        <v>5.4181559999999997E-2</v>
      </c>
      <c r="X1802">
        <v>0.99852010000000002</v>
      </c>
      <c r="Y1802">
        <v>-7.5255829999999996E-2</v>
      </c>
      <c r="Z1802">
        <v>6.0807560000000001E-4</v>
      </c>
      <c r="AA1802">
        <v>0.9971641</v>
      </c>
      <c r="AB1802">
        <v>46</v>
      </c>
      <c r="AC1802">
        <v>-209.57689999999999</v>
      </c>
      <c r="AD1802">
        <v>2.6239710000000001</v>
      </c>
      <c r="AE1802">
        <v>-13.517200000000001</v>
      </c>
      <c r="AF1802">
        <v>-15.8414600123707</v>
      </c>
      <c r="AG1802">
        <v>2.6239710000000001</v>
      </c>
      <c r="AH1802">
        <v>209.38116589219999</v>
      </c>
      <c r="AI1802">
        <v>89.284051153554302</v>
      </c>
      <c r="AJ1802">
        <v>94.326668371097199</v>
      </c>
      <c r="AK1802">
        <v>209.995975460267</v>
      </c>
      <c r="AL1802">
        <v>86.894104403918305</v>
      </c>
      <c r="AM1802">
        <v>89.730985259092407</v>
      </c>
      <c r="AN1802">
        <v>1.0000000057540099</v>
      </c>
    </row>
    <row r="1803" spans="1:40" x14ac:dyDescent="0.25">
      <c r="A1803" t="str">
        <f>"20190312151301660"</f>
        <v>20190312151301660</v>
      </c>
      <c r="B1803" t="str">
        <f>"1552374781651851"</f>
        <v>1552374781651851</v>
      </c>
      <c r="C1803" t="s">
        <v>40</v>
      </c>
      <c r="D1803">
        <v>4.5893899999999999</v>
      </c>
      <c r="E1803">
        <v>0.47084369999999998</v>
      </c>
      <c r="F1803" t="s">
        <v>56</v>
      </c>
      <c r="G1803">
        <v>-512.82629999999995</v>
      </c>
      <c r="H1803">
        <v>3.400239</v>
      </c>
      <c r="I1803">
        <v>269.64569999999998</v>
      </c>
      <c r="J1803">
        <v>-303.69819999999999</v>
      </c>
      <c r="K1803">
        <v>1.1093120000000001</v>
      </c>
      <c r="L1803">
        <v>282.94850000000002</v>
      </c>
      <c r="M1803">
        <v>-0.99990449999999997</v>
      </c>
      <c r="N1803">
        <v>0</v>
      </c>
      <c r="O1803">
        <v>1.075796E-2</v>
      </c>
      <c r="P1803">
        <v>-0.99884620000000002</v>
      </c>
      <c r="Q1803">
        <v>4.5474699999999903E-2</v>
      </c>
      <c r="R1803">
        <v>1.544449E-2</v>
      </c>
      <c r="S1803">
        <v>-3.0050050000000001</v>
      </c>
      <c r="T1803">
        <v>3.2849429999999999E-2</v>
      </c>
      <c r="U1803">
        <v>-0.1906738</v>
      </c>
      <c r="V1803">
        <v>4.6412019999999997E-3</v>
      </c>
      <c r="W1803">
        <v>5.4152520000000003E-2</v>
      </c>
      <c r="X1803">
        <v>0.99852189999999996</v>
      </c>
      <c r="Y1803">
        <v>-7.4052809999999997E-2</v>
      </c>
      <c r="Z1803">
        <v>5.2183079999999998E-4</v>
      </c>
      <c r="AA1803">
        <v>0.99725419999999998</v>
      </c>
      <c r="AB1803">
        <v>46</v>
      </c>
      <c r="AC1803">
        <v>-209.12809999999999</v>
      </c>
      <c r="AD1803">
        <v>2.2909269999999999</v>
      </c>
      <c r="AE1803">
        <v>-13.3028</v>
      </c>
      <c r="AF1803">
        <v>-15.5500479683742</v>
      </c>
      <c r="AG1803">
        <v>2.2909269999999999</v>
      </c>
      <c r="AH1803">
        <v>208.94790713035201</v>
      </c>
      <c r="AI1803">
        <v>89.373560386060703</v>
      </c>
      <c r="AJ1803">
        <v>94.256145697898503</v>
      </c>
      <c r="AK1803">
        <v>209.538254818762</v>
      </c>
      <c r="AL1803">
        <v>86.895770734365399</v>
      </c>
      <c r="AM1803">
        <v>89.733686991288195</v>
      </c>
      <c r="AN1803">
        <v>1.0000000104789799</v>
      </c>
    </row>
    <row r="1804" spans="1:40" x14ac:dyDescent="0.25">
      <c r="A1804" t="str">
        <f>"20190312151301682"</f>
        <v>20190312151301682</v>
      </c>
      <c r="B1804" t="str">
        <f>"1552374781671375"</f>
        <v>1552374781671375</v>
      </c>
      <c r="C1804" t="s">
        <v>40</v>
      </c>
      <c r="D1804">
        <v>4.350282</v>
      </c>
      <c r="E1804">
        <v>0.47112789999999999</v>
      </c>
      <c r="F1804" t="s">
        <v>56</v>
      </c>
      <c r="G1804">
        <v>-512.82619999999997</v>
      </c>
      <c r="H1804">
        <v>3.215598</v>
      </c>
      <c r="I1804">
        <v>269.81479999999999</v>
      </c>
      <c r="J1804">
        <v>-304.14080000000001</v>
      </c>
      <c r="K1804">
        <v>1.1093090000000001</v>
      </c>
      <c r="L1804">
        <v>282.95310000000001</v>
      </c>
      <c r="M1804">
        <v>-0.99990800000000002</v>
      </c>
      <c r="N1804">
        <v>0</v>
      </c>
      <c r="O1804">
        <v>1.0414609999999999E-2</v>
      </c>
      <c r="P1804">
        <v>-0.9988494</v>
      </c>
      <c r="Q1804">
        <v>4.5714560000000001E-2</v>
      </c>
      <c r="R1804">
        <v>1.4508200000000001E-2</v>
      </c>
      <c r="S1804">
        <v>-3.0050050000000001</v>
      </c>
      <c r="T1804">
        <v>3.026676E-2</v>
      </c>
      <c r="U1804">
        <v>-0.18872069999999999</v>
      </c>
      <c r="V1804">
        <v>4.0476000000000002E-3</v>
      </c>
      <c r="W1804">
        <v>5.4409150000000003E-2</v>
      </c>
      <c r="X1804">
        <v>0.99851049999999997</v>
      </c>
      <c r="Y1804">
        <v>-7.3065560000000002E-2</v>
      </c>
      <c r="Z1804">
        <v>4.723935E-4</v>
      </c>
      <c r="AA1804">
        <v>0.99732699999999996</v>
      </c>
      <c r="AB1804">
        <v>46</v>
      </c>
      <c r="AC1804">
        <v>-208.68539999999999</v>
      </c>
      <c r="AD1804">
        <v>2.1062889999999999</v>
      </c>
      <c r="AE1804">
        <v>-13.138299999999999</v>
      </c>
      <c r="AF1804">
        <v>-15.3094931025788</v>
      </c>
      <c r="AG1804">
        <v>2.1062889999999999</v>
      </c>
      <c r="AH1804">
        <v>208.51608802343</v>
      </c>
      <c r="AI1804">
        <v>89.422809854813906</v>
      </c>
      <c r="AJ1804">
        <v>94.199187948164194</v>
      </c>
      <c r="AK1804">
        <v>209.08796234361401</v>
      </c>
      <c r="AL1804">
        <v>86.881045109465703</v>
      </c>
      <c r="AM1804">
        <v>89.767744929151306</v>
      </c>
      <c r="AN1804">
        <v>0.99999997863986601</v>
      </c>
    </row>
    <row r="1805" spans="1:40" x14ac:dyDescent="0.25">
      <c r="A1805" t="str">
        <f>"20190312151301704"</f>
        <v>20190312151301704</v>
      </c>
      <c r="B1805" t="str">
        <f>"1552374781701627"</f>
        <v>1552374781701627</v>
      </c>
      <c r="C1805" t="s">
        <v>40</v>
      </c>
      <c r="D1805">
        <v>4.2733749999999997</v>
      </c>
      <c r="E1805">
        <v>0.47125800000000001</v>
      </c>
      <c r="F1805" t="s">
        <v>56</v>
      </c>
      <c r="G1805">
        <v>-512.8261</v>
      </c>
      <c r="H1805">
        <v>2.9658190000000002</v>
      </c>
      <c r="I1805">
        <v>269.80680000000001</v>
      </c>
      <c r="J1805">
        <v>-304.61290000000002</v>
      </c>
      <c r="K1805">
        <v>1.1093139999999999</v>
      </c>
      <c r="L1805">
        <v>282.95780000000002</v>
      </c>
      <c r="M1805">
        <v>-0.99991149999999995</v>
      </c>
      <c r="N1805">
        <v>0</v>
      </c>
      <c r="O1805">
        <v>1.0048899999999999E-2</v>
      </c>
      <c r="P1805">
        <v>-0.99885809999999997</v>
      </c>
      <c r="Q1805">
        <v>4.5660159999999998E-2</v>
      </c>
      <c r="R1805">
        <v>1.4059749999999999E-2</v>
      </c>
      <c r="S1805">
        <v>-3.0049739999999998</v>
      </c>
      <c r="T1805">
        <v>2.6733989999999999E-2</v>
      </c>
      <c r="U1805">
        <v>-0.18930050000000001</v>
      </c>
      <c r="V1805">
        <v>3.9642219999999999E-3</v>
      </c>
      <c r="W1805">
        <v>5.437297E-2</v>
      </c>
      <c r="X1805">
        <v>0.99851279999999998</v>
      </c>
      <c r="Y1805">
        <v>-7.2894050000000002E-2</v>
      </c>
      <c r="Z1805">
        <v>4.1324629999999997E-4</v>
      </c>
      <c r="AA1805">
        <v>0.99733959999999999</v>
      </c>
      <c r="AB1805">
        <v>46</v>
      </c>
      <c r="AC1805">
        <v>-208.2132</v>
      </c>
      <c r="AD1805">
        <v>1.8565050000000001</v>
      </c>
      <c r="AE1805">
        <v>-13.151</v>
      </c>
      <c r="AF1805">
        <v>-15.2415221762147</v>
      </c>
      <c r="AG1805">
        <v>1.8565050000000001</v>
      </c>
      <c r="AH1805">
        <v>208.05405320262801</v>
      </c>
      <c r="AI1805">
        <v>89.4901189519436</v>
      </c>
      <c r="AJ1805">
        <v>94.189861725837602</v>
      </c>
      <c r="AK1805">
        <v>208.61984484488801</v>
      </c>
      <c r="AL1805">
        <v>86.8831211274195</v>
      </c>
      <c r="AM1805">
        <v>89.772529709870696</v>
      </c>
      <c r="AN1805">
        <v>0.99999997334326196</v>
      </c>
    </row>
    <row r="1806" spans="1:40" x14ac:dyDescent="0.25">
      <c r="A1806" t="str">
        <f>"20190312151301727"</f>
        <v>20190312151301727</v>
      </c>
      <c r="B1806" t="str">
        <f>"1552374781722124"</f>
        <v>1552374781722124</v>
      </c>
      <c r="C1806" t="s">
        <v>40</v>
      </c>
      <c r="D1806">
        <v>4.3002799999999999</v>
      </c>
      <c r="E1806">
        <v>0.47136339999999999</v>
      </c>
      <c r="F1806" t="s">
        <v>56</v>
      </c>
      <c r="G1806">
        <v>-512.82590000000005</v>
      </c>
      <c r="H1806">
        <v>2.3676020000000002</v>
      </c>
      <c r="I1806">
        <v>269.81299999999999</v>
      </c>
      <c r="J1806">
        <v>-305.06720000000001</v>
      </c>
      <c r="K1806">
        <v>1.1093150000000001</v>
      </c>
      <c r="L1806">
        <v>282.9622</v>
      </c>
      <c r="M1806">
        <v>-0.99991479999999999</v>
      </c>
      <c r="N1806">
        <v>0</v>
      </c>
      <c r="O1806">
        <v>9.6968409999999994E-3</v>
      </c>
      <c r="P1806">
        <v>-0.99885789999999997</v>
      </c>
      <c r="Q1806">
        <v>4.5932649999999998E-2</v>
      </c>
      <c r="R1806">
        <v>1.3177009999999999E-2</v>
      </c>
      <c r="S1806">
        <v>-3.00528</v>
      </c>
      <c r="T1806">
        <v>1.8162850000000001E-2</v>
      </c>
      <c r="U1806">
        <v>-0.1897278</v>
      </c>
      <c r="V1806">
        <v>3.4329679999999998E-3</v>
      </c>
      <c r="W1806">
        <v>5.4662450000000001E-2</v>
      </c>
      <c r="X1806">
        <v>0.99849900000000003</v>
      </c>
      <c r="Y1806">
        <v>-7.2679530000000006E-2</v>
      </c>
      <c r="Z1806">
        <v>2.7795579999999998E-4</v>
      </c>
      <c r="AA1806">
        <v>0.99735529999999994</v>
      </c>
      <c r="AB1806">
        <v>47</v>
      </c>
      <c r="AC1806">
        <v>-207.7587</v>
      </c>
      <c r="AD1806">
        <v>1.2582869999999999</v>
      </c>
      <c r="AE1806">
        <v>-13.1492</v>
      </c>
      <c r="AF1806">
        <v>-15.1627077792349</v>
      </c>
      <c r="AG1806">
        <v>1.2582869999999999</v>
      </c>
      <c r="AH1806">
        <v>207.613835715032</v>
      </c>
      <c r="AI1806">
        <v>89.653673592867804</v>
      </c>
      <c r="AJ1806">
        <v>94.177079395293305</v>
      </c>
      <c r="AK1806">
        <v>208.17059296087299</v>
      </c>
      <c r="AL1806">
        <v>86.866510558974696</v>
      </c>
      <c r="AM1806">
        <v>89.803010516200203</v>
      </c>
      <c r="AN1806">
        <v>1.0000000108551399</v>
      </c>
    </row>
    <row r="1807" spans="1:40" x14ac:dyDescent="0.25">
      <c r="A1807" t="str">
        <f>"20190312151301749"</f>
        <v>20190312151301749</v>
      </c>
      <c r="B1807" t="str">
        <f>"1552374781741647"</f>
        <v>1552374781741647</v>
      </c>
      <c r="C1807" t="s">
        <v>40</v>
      </c>
      <c r="D1807">
        <v>4.3185479999999998</v>
      </c>
      <c r="E1807">
        <v>0.47140609999999999</v>
      </c>
      <c r="F1807" t="s">
        <v>56</v>
      </c>
      <c r="G1807">
        <v>-512.82590000000005</v>
      </c>
      <c r="H1807">
        <v>2.3233969999999999</v>
      </c>
      <c r="I1807">
        <v>269.71890000000002</v>
      </c>
      <c r="J1807">
        <v>-305.5403</v>
      </c>
      <c r="K1807">
        <v>1.1093170000000001</v>
      </c>
      <c r="L1807">
        <v>282.9665</v>
      </c>
      <c r="M1807">
        <v>-0.99991819999999998</v>
      </c>
      <c r="N1807">
        <v>0</v>
      </c>
      <c r="O1807">
        <v>9.3306540000000007E-3</v>
      </c>
      <c r="P1807">
        <v>-0.99886070000000005</v>
      </c>
      <c r="Q1807">
        <v>4.594173E-2</v>
      </c>
      <c r="R1807">
        <v>1.291907E-2</v>
      </c>
      <c r="S1807">
        <v>-3.0051570000000001</v>
      </c>
      <c r="T1807">
        <v>1.7562390000000001E-2</v>
      </c>
      <c r="U1807">
        <v>-0.1915588</v>
      </c>
      <c r="V1807">
        <v>3.5404859999999998E-3</v>
      </c>
      <c r="W1807">
        <v>5.4689590000000003E-2</v>
      </c>
      <c r="X1807">
        <v>0.99849710000000003</v>
      </c>
      <c r="Y1807">
        <v>-7.2922199999999895E-2</v>
      </c>
      <c r="Z1807">
        <v>2.673428E-4</v>
      </c>
      <c r="AA1807">
        <v>0.99733760000000005</v>
      </c>
      <c r="AB1807">
        <v>47</v>
      </c>
      <c r="AC1807">
        <v>-207.28559999999999</v>
      </c>
      <c r="AD1807">
        <v>1.2140799999999901</v>
      </c>
      <c r="AE1807">
        <v>-13.247599999999901</v>
      </c>
      <c r="AF1807">
        <v>-15.1806888420496</v>
      </c>
      <c r="AG1807">
        <v>1.2140799999999901</v>
      </c>
      <c r="AH1807">
        <v>207.145885138902</v>
      </c>
      <c r="AI1807">
        <v>89.665091962926994</v>
      </c>
      <c r="AJ1807">
        <v>94.191429024636705</v>
      </c>
      <c r="AK1807">
        <v>207.704947061799</v>
      </c>
      <c r="AL1807">
        <v>86.864953101630206</v>
      </c>
      <c r="AM1807">
        <v>89.7968406166829</v>
      </c>
      <c r="AN1807">
        <v>0.99999997250194606</v>
      </c>
    </row>
    <row r="1808" spans="1:40" x14ac:dyDescent="0.25">
      <c r="A1808" t="str">
        <f>"20190312151301772"</f>
        <v>20190312151301772</v>
      </c>
      <c r="B1808" t="str">
        <f>"1552374781762140"</f>
        <v>1552374781762140</v>
      </c>
      <c r="C1808" t="s">
        <v>40</v>
      </c>
      <c r="D1808">
        <v>4.3080369999999997</v>
      </c>
      <c r="E1808">
        <v>0.47143649999999998</v>
      </c>
      <c r="F1808" t="s">
        <v>56</v>
      </c>
      <c r="G1808">
        <v>-512.82590000000005</v>
      </c>
      <c r="H1808">
        <v>2.2863570000000002</v>
      </c>
      <c r="I1808">
        <v>269.71539999999999</v>
      </c>
      <c r="J1808">
        <v>-306.03160000000003</v>
      </c>
      <c r="K1808">
        <v>1.1093120000000001</v>
      </c>
      <c r="L1808">
        <v>282.97089999999997</v>
      </c>
      <c r="M1808">
        <v>-0.99992159999999997</v>
      </c>
      <c r="N1808">
        <v>0</v>
      </c>
      <c r="O1808">
        <v>8.9508119999999903E-3</v>
      </c>
      <c r="P1808">
        <v>-0.99886980000000003</v>
      </c>
      <c r="Q1808">
        <v>4.5971570000000003E-2</v>
      </c>
      <c r="R1808">
        <v>1.208329E-2</v>
      </c>
      <c r="S1808">
        <v>-3.0051269999999999</v>
      </c>
      <c r="T1808">
        <v>1.706529E-2</v>
      </c>
      <c r="U1808">
        <v>-0.19210820000000001</v>
      </c>
      <c r="V1808">
        <v>3.0838939999999998E-3</v>
      </c>
      <c r="W1808">
        <v>5.4737199999999903E-2</v>
      </c>
      <c r="X1808">
        <v>0.9984961</v>
      </c>
      <c r="Y1808">
        <v>-7.2725650000000003E-2</v>
      </c>
      <c r="Z1808">
        <v>2.5706429999999998E-4</v>
      </c>
      <c r="AA1808">
        <v>0.99735189999999996</v>
      </c>
      <c r="AB1808">
        <v>47</v>
      </c>
      <c r="AC1808">
        <v>-206.79429999999999</v>
      </c>
      <c r="AD1808">
        <v>1.1770449999999899</v>
      </c>
      <c r="AE1808">
        <v>-13.2554999999999</v>
      </c>
      <c r="AF1808">
        <v>-15.105529446474501</v>
      </c>
      <c r="AG1808">
        <v>1.1770449999999899</v>
      </c>
      <c r="AH1808">
        <v>206.660695433635</v>
      </c>
      <c r="AI1808">
        <v>89.674541146893702</v>
      </c>
      <c r="AJ1808">
        <v>94.180507970082203</v>
      </c>
      <c r="AK1808">
        <v>207.215360173671</v>
      </c>
      <c r="AL1808">
        <v>86.862221452838597</v>
      </c>
      <c r="AM1808">
        <v>89.8230403215032</v>
      </c>
      <c r="AN1808">
        <v>1.0000000665906199</v>
      </c>
    </row>
    <row r="1809" spans="1:40" x14ac:dyDescent="0.25">
      <c r="A1809" t="str">
        <f>"20190312151301794"</f>
        <v>20190312151301794</v>
      </c>
      <c r="B1809" t="str">
        <f>"1552374781791420"</f>
        <v>1552374781791420</v>
      </c>
      <c r="C1809" t="s">
        <v>40</v>
      </c>
      <c r="D1809">
        <v>4.3200510000000003</v>
      </c>
      <c r="E1809">
        <v>0.47141189999999999</v>
      </c>
      <c r="F1809" t="s">
        <v>56</v>
      </c>
      <c r="G1809">
        <v>-512.82590000000005</v>
      </c>
      <c r="H1809">
        <v>2.272424</v>
      </c>
      <c r="I1809">
        <v>269.59930000000003</v>
      </c>
      <c r="J1809">
        <v>-306.49009999999998</v>
      </c>
      <c r="K1809">
        <v>1.1093150000000001</v>
      </c>
      <c r="L1809">
        <v>282.97469999999998</v>
      </c>
      <c r="M1809">
        <v>-0.99992449999999999</v>
      </c>
      <c r="N1809">
        <v>0</v>
      </c>
      <c r="O1809">
        <v>8.5960150000000003E-3</v>
      </c>
      <c r="P1809">
        <v>-0.99888529999999998</v>
      </c>
      <c r="Q1809">
        <v>4.573004E-2</v>
      </c>
      <c r="R1809">
        <v>1.1721229999999999E-2</v>
      </c>
      <c r="S1809">
        <v>-3.0049739999999998</v>
      </c>
      <c r="T1809">
        <v>1.6902569999999999E-2</v>
      </c>
      <c r="U1809">
        <v>-0.19430539999999999</v>
      </c>
      <c r="V1809">
        <v>3.076245E-3</v>
      </c>
      <c r="W1809">
        <v>5.4512949999999998E-2</v>
      </c>
      <c r="X1809">
        <v>0.99850830000000002</v>
      </c>
      <c r="Y1809">
        <v>-7.3101260000000001E-2</v>
      </c>
      <c r="Z1809">
        <v>2.5368150000000002E-4</v>
      </c>
      <c r="AA1809">
        <v>0.99732449999999995</v>
      </c>
      <c r="AB1809">
        <v>47</v>
      </c>
      <c r="AC1809">
        <v>-206.33580000000001</v>
      </c>
      <c r="AD1809">
        <v>1.1631089999999999</v>
      </c>
      <c r="AE1809">
        <v>-13.3753999999999</v>
      </c>
      <c r="AF1809">
        <v>-15.148160476465801</v>
      </c>
      <c r="AG1809">
        <v>1.1631089999999999</v>
      </c>
      <c r="AH1809">
        <v>206.20667158048499</v>
      </c>
      <c r="AI1809">
        <v>89.677694983541897</v>
      </c>
      <c r="AJ1809">
        <v>94.201461719915798</v>
      </c>
      <c r="AK1809">
        <v>206.76559431556399</v>
      </c>
      <c r="AL1809">
        <v>86.875088956767101</v>
      </c>
      <c r="AM1809">
        <v>89.823481389586206</v>
      </c>
      <c r="AN1809">
        <v>0.99999997508494598</v>
      </c>
    </row>
    <row r="1810" spans="1:40" x14ac:dyDescent="0.25">
      <c r="A1810" t="str">
        <f>"20190312151301817"</f>
        <v>20190312151301817</v>
      </c>
      <c r="B1810" t="str">
        <f>"1552374781811915"</f>
        <v>1552374781811915</v>
      </c>
      <c r="C1810" t="s">
        <v>40</v>
      </c>
      <c r="D1810">
        <v>4.3994309999999999</v>
      </c>
      <c r="E1810">
        <v>0.47132659999999998</v>
      </c>
      <c r="F1810" t="s">
        <v>56</v>
      </c>
      <c r="G1810">
        <v>-512.82569999999998</v>
      </c>
      <c r="H1810">
        <v>1.8111820000000001</v>
      </c>
      <c r="I1810">
        <v>269.53309999999999</v>
      </c>
      <c r="J1810">
        <v>-306.9649</v>
      </c>
      <c r="K1810">
        <v>1.1093170000000001</v>
      </c>
      <c r="L1810">
        <v>282.97859999999997</v>
      </c>
      <c r="M1810">
        <v>-0.99992749999999997</v>
      </c>
      <c r="N1810">
        <v>0</v>
      </c>
      <c r="O1810">
        <v>8.2296499999999998E-3</v>
      </c>
      <c r="P1810">
        <v>-0.99886439999999999</v>
      </c>
      <c r="Q1810">
        <v>4.6254280000000002E-2</v>
      </c>
      <c r="R1810">
        <v>1.143461E-2</v>
      </c>
      <c r="S1810">
        <v>-3.005188</v>
      </c>
      <c r="T1810">
        <v>1.022351E-2</v>
      </c>
      <c r="U1810">
        <v>-0.19577030000000001</v>
      </c>
      <c r="V1810">
        <v>3.1552339999999998E-3</v>
      </c>
      <c r="W1810">
        <v>5.5054779999999998E-2</v>
      </c>
      <c r="X1810">
        <v>0.99847839999999999</v>
      </c>
      <c r="Y1810">
        <v>-7.3216210000000004E-2</v>
      </c>
      <c r="Z1810">
        <v>1.5237669999999999E-4</v>
      </c>
      <c r="AA1810">
        <v>0.99731610000000004</v>
      </c>
      <c r="AB1810">
        <v>47</v>
      </c>
      <c r="AC1810">
        <v>-205.86080000000001</v>
      </c>
      <c r="AD1810">
        <v>0.70186499999999996</v>
      </c>
      <c r="AE1810">
        <v>-13.4454999999999</v>
      </c>
      <c r="AF1810">
        <v>-15.1390972018469</v>
      </c>
      <c r="AG1810">
        <v>0.70186499999999996</v>
      </c>
      <c r="AH1810">
        <v>205.74079073181301</v>
      </c>
      <c r="AI1810">
        <v>89.805068706883105</v>
      </c>
      <c r="AJ1810">
        <v>94.208430966920005</v>
      </c>
      <c r="AK1810">
        <v>206.29822551228301</v>
      </c>
      <c r="AL1810">
        <v>86.843997927654499</v>
      </c>
      <c r="AM1810">
        <v>89.818943514625701</v>
      </c>
      <c r="AN1810">
        <v>1.0000000497845001</v>
      </c>
    </row>
    <row r="1811" spans="1:40" x14ac:dyDescent="0.25">
      <c r="A1811" t="str">
        <f>"20190312151301840"</f>
        <v>20190312151301840</v>
      </c>
      <c r="B1811" t="str">
        <f>"1552374781831435"</f>
        <v>1552374781831435</v>
      </c>
      <c r="C1811" t="s">
        <v>40</v>
      </c>
      <c r="D1811">
        <v>4.3504569999999996</v>
      </c>
      <c r="E1811">
        <v>0.47137380000000001</v>
      </c>
      <c r="F1811" t="s">
        <v>56</v>
      </c>
      <c r="G1811">
        <v>-512.82569999999998</v>
      </c>
      <c r="H1811">
        <v>1.7925359999999999</v>
      </c>
      <c r="I1811">
        <v>269.45740000000001</v>
      </c>
      <c r="J1811">
        <v>-307.43939999999998</v>
      </c>
      <c r="K1811">
        <v>1.1093139999999999</v>
      </c>
      <c r="L1811">
        <v>282.98230000000001</v>
      </c>
      <c r="M1811">
        <v>-0.99993019999999999</v>
      </c>
      <c r="N1811">
        <v>0</v>
      </c>
      <c r="O1811">
        <v>7.8631680000000002E-3</v>
      </c>
      <c r="P1811">
        <v>-0.99885460000000004</v>
      </c>
      <c r="Q1811">
        <v>4.6488969999999998E-2</v>
      </c>
      <c r="R1811">
        <v>1.133698E-2</v>
      </c>
      <c r="S1811">
        <v>-3.0052490000000001</v>
      </c>
      <c r="T1811">
        <v>9.9750759999999994E-3</v>
      </c>
      <c r="U1811">
        <v>-0.1973877</v>
      </c>
      <c r="V1811">
        <v>3.4232770000000002E-3</v>
      </c>
      <c r="W1811">
        <v>5.5307120000000001E-2</v>
      </c>
      <c r="X1811">
        <v>0.99846349999999995</v>
      </c>
      <c r="Y1811">
        <v>-7.338385E-2</v>
      </c>
      <c r="Z1811">
        <v>1.4773100000000001E-4</v>
      </c>
      <c r="AA1811">
        <v>0.99730379999999996</v>
      </c>
      <c r="AB1811">
        <v>47</v>
      </c>
      <c r="AC1811">
        <v>-205.38630000000001</v>
      </c>
      <c r="AD1811">
        <v>0.683222</v>
      </c>
      <c r="AE1811">
        <v>-13.524900000000001</v>
      </c>
      <c r="AF1811">
        <v>-15.139364818432499</v>
      </c>
      <c r="AG1811">
        <v>0.683222</v>
      </c>
      <c r="AH1811">
        <v>205.271335581519</v>
      </c>
      <c r="AI1811">
        <v>89.809814851088106</v>
      </c>
      <c r="AJ1811">
        <v>94.218095236160906</v>
      </c>
      <c r="AK1811">
        <v>205.82999871454001</v>
      </c>
      <c r="AL1811">
        <v>86.829517623111698</v>
      </c>
      <c r="AM1811">
        <v>89.803559613670799</v>
      </c>
      <c r="AN1811">
        <v>0.99999997859018097</v>
      </c>
    </row>
    <row r="1812" spans="1:40" x14ac:dyDescent="0.25">
      <c r="A1812" t="str">
        <f>"20190312151301862"</f>
        <v>20190312151301862</v>
      </c>
      <c r="B1812" t="str">
        <f>"1552374781851932"</f>
        <v>1552374781851932</v>
      </c>
      <c r="C1812" t="s">
        <v>40</v>
      </c>
      <c r="D1812">
        <v>4.7221580000000003</v>
      </c>
      <c r="E1812">
        <v>0.47137970000000001</v>
      </c>
      <c r="F1812" t="s">
        <v>56</v>
      </c>
      <c r="G1812">
        <v>-512.82569999999998</v>
      </c>
      <c r="H1812">
        <v>1.525684</v>
      </c>
      <c r="I1812">
        <v>269.48039999999997</v>
      </c>
      <c r="J1812">
        <v>-307.91680000000002</v>
      </c>
      <c r="K1812">
        <v>1.1093170000000001</v>
      </c>
      <c r="L1812">
        <v>282.98579999999998</v>
      </c>
      <c r="M1812">
        <v>-0.99993290000000001</v>
      </c>
      <c r="N1812">
        <v>0</v>
      </c>
      <c r="O1812">
        <v>7.4939469999999999E-3</v>
      </c>
      <c r="P1812">
        <v>-0.99886330000000001</v>
      </c>
      <c r="Q1812">
        <v>4.633835E-2</v>
      </c>
      <c r="R1812">
        <v>1.117859E-2</v>
      </c>
      <c r="S1812">
        <v>-3.0054020000000001</v>
      </c>
      <c r="T1812">
        <v>6.0938600000000004E-3</v>
      </c>
      <c r="U1812">
        <v>-0.19757079999999999</v>
      </c>
      <c r="V1812">
        <v>3.6336060000000002E-3</v>
      </c>
      <c r="W1812">
        <v>5.5173809999999997E-2</v>
      </c>
      <c r="X1812">
        <v>0.99847010000000003</v>
      </c>
      <c r="Y1812">
        <v>-7.3073070000000004E-2</v>
      </c>
      <c r="Z1812" s="1">
        <v>8.9182859999999993E-5</v>
      </c>
      <c r="AA1812">
        <v>0.99732659999999995</v>
      </c>
      <c r="AB1812">
        <v>47</v>
      </c>
      <c r="AC1812">
        <v>-204.90889999999999</v>
      </c>
      <c r="AD1812">
        <v>0.41636699999999899</v>
      </c>
      <c r="AE1812">
        <v>-13.5054</v>
      </c>
      <c r="AF1812">
        <v>-15.040595261794801</v>
      </c>
      <c r="AG1812">
        <v>0.41636699999999899</v>
      </c>
      <c r="AH1812">
        <v>204.80109106574901</v>
      </c>
      <c r="AI1812">
        <v>89.883828913834407</v>
      </c>
      <c r="AJ1812">
        <v>94.200262472187504</v>
      </c>
      <c r="AK1812">
        <v>205.35306126042801</v>
      </c>
      <c r="AL1812">
        <v>86.837167302649306</v>
      </c>
      <c r="AM1812">
        <v>89.791491633891795</v>
      </c>
      <c r="AN1812">
        <v>0.99999994649824298</v>
      </c>
    </row>
    <row r="1813" spans="1:40" x14ac:dyDescent="0.25">
      <c r="A1813" t="str">
        <f>"20190312151301883"</f>
        <v>20190312151301883</v>
      </c>
      <c r="B1813" t="str">
        <f>"1552374781871451"</f>
        <v>1552374781871451</v>
      </c>
      <c r="C1813" t="s">
        <v>40</v>
      </c>
      <c r="D1813">
        <v>4.7013160000000003</v>
      </c>
      <c r="E1813">
        <v>0.47147270000000002</v>
      </c>
      <c r="F1813" t="s">
        <v>56</v>
      </c>
      <c r="G1813">
        <v>-512.82550000000003</v>
      </c>
      <c r="H1813">
        <v>1.126776</v>
      </c>
      <c r="I1813">
        <v>269.49770000000001</v>
      </c>
      <c r="J1813">
        <v>-308.35379999999998</v>
      </c>
      <c r="K1813">
        <v>1.1093139999999999</v>
      </c>
      <c r="L1813">
        <v>282.9889</v>
      </c>
      <c r="M1813">
        <v>-0.99993520000000002</v>
      </c>
      <c r="N1813">
        <v>0</v>
      </c>
      <c r="O1813">
        <v>7.1567990000000001E-3</v>
      </c>
      <c r="P1813">
        <v>-0.99885780000000002</v>
      </c>
      <c r="Q1813">
        <v>4.646045E-2</v>
      </c>
      <c r="R1813">
        <v>1.1167089999999999E-2</v>
      </c>
      <c r="S1813">
        <v>-3.0056150000000001</v>
      </c>
      <c r="T1813">
        <v>2.5725360000000003E-4</v>
      </c>
      <c r="U1813">
        <v>-0.19784550000000001</v>
      </c>
      <c r="V1813">
        <v>3.9588130000000003E-3</v>
      </c>
      <c r="W1813">
        <v>5.5312350000000003E-2</v>
      </c>
      <c r="X1813">
        <v>0.99846120000000005</v>
      </c>
      <c r="Y1813">
        <v>-7.2823089999999993E-2</v>
      </c>
      <c r="Z1813" s="1">
        <v>3.7250840000000001E-6</v>
      </c>
      <c r="AA1813">
        <v>0.99734489999999998</v>
      </c>
      <c r="AB1813">
        <v>47</v>
      </c>
      <c r="AC1813">
        <v>-204.4717</v>
      </c>
      <c r="AD1813">
        <v>1.7461999999999998E-2</v>
      </c>
      <c r="AE1813">
        <v>-13.4911999999999</v>
      </c>
      <c r="AF1813">
        <v>-14.9542745595515</v>
      </c>
      <c r="AG1813">
        <v>1.7461999999999998E-2</v>
      </c>
      <c r="AH1813">
        <v>204.36990395086201</v>
      </c>
      <c r="AI1813">
        <v>89.995117523966101</v>
      </c>
      <c r="AJ1813">
        <v>94.1850218545746</v>
      </c>
      <c r="AK1813">
        <v>204.91629577319699</v>
      </c>
      <c r="AL1813">
        <v>86.829217409947006</v>
      </c>
      <c r="AM1813">
        <v>89.772828340052101</v>
      </c>
      <c r="AN1813">
        <v>0.99999994808416404</v>
      </c>
    </row>
    <row r="1814" spans="1:40" x14ac:dyDescent="0.25">
      <c r="A1814" t="str">
        <f>"20190312151301905"</f>
        <v>20190312151301905</v>
      </c>
      <c r="B1814" t="str">
        <f>"1552374781901708"</f>
        <v>1552374781901708</v>
      </c>
      <c r="C1814" t="s">
        <v>40</v>
      </c>
      <c r="D1814">
        <v>4.3669699999999896</v>
      </c>
      <c r="E1814">
        <v>0.47171079999999999</v>
      </c>
      <c r="F1814" t="s">
        <v>56</v>
      </c>
      <c r="G1814">
        <v>-512.82539999999995</v>
      </c>
      <c r="H1814">
        <v>0.91451070000000001</v>
      </c>
      <c r="I1814">
        <v>269.5591</v>
      </c>
      <c r="J1814">
        <v>-308.82130000000001</v>
      </c>
      <c r="K1814">
        <v>1.109318</v>
      </c>
      <c r="L1814">
        <v>282.99209999999999</v>
      </c>
      <c r="M1814">
        <v>-0.99993770000000004</v>
      </c>
      <c r="N1814">
        <v>0</v>
      </c>
      <c r="O1814">
        <v>6.7961559999999898E-3</v>
      </c>
      <c r="P1814">
        <v>-0.99885119999999905</v>
      </c>
      <c r="Q1814">
        <v>4.6614780000000001E-2</v>
      </c>
      <c r="R1814">
        <v>1.111623E-2</v>
      </c>
      <c r="S1814">
        <v>-3.0057369999999999</v>
      </c>
      <c r="T1814">
        <v>-2.862453E-3</v>
      </c>
      <c r="U1814">
        <v>-0.19741819999999999</v>
      </c>
      <c r="V1814">
        <v>4.2677779999999998E-3</v>
      </c>
      <c r="W1814">
        <v>5.5484230000000002E-2</v>
      </c>
      <c r="X1814">
        <v>0.99845050000000002</v>
      </c>
      <c r="Y1814">
        <v>-7.2319519999999998E-2</v>
      </c>
      <c r="Z1814" s="1">
        <v>-4.0864749999999999E-5</v>
      </c>
      <c r="AA1814">
        <v>0.99738150000000003</v>
      </c>
      <c r="AB1814">
        <v>47</v>
      </c>
      <c r="AC1814">
        <v>-204.00409999999999</v>
      </c>
      <c r="AD1814">
        <v>-0.19480729999999999</v>
      </c>
      <c r="AE1814">
        <v>-13.4329999999999</v>
      </c>
      <c r="AF1814">
        <v>-14.819174343184701</v>
      </c>
      <c r="AG1814">
        <v>-0.19480729999999999</v>
      </c>
      <c r="AH1814">
        <v>203.90790685486201</v>
      </c>
      <c r="AI1814">
        <v>90.054594608623702</v>
      </c>
      <c r="AJ1814">
        <v>94.156709771739102</v>
      </c>
      <c r="AK1814">
        <v>204.44578830591999</v>
      </c>
      <c r="AL1814">
        <v>86.8193546121841</v>
      </c>
      <c r="AM1814">
        <v>89.755096343671894</v>
      </c>
      <c r="AN1814">
        <v>1.00000005732899</v>
      </c>
    </row>
    <row r="1815" spans="1:40" x14ac:dyDescent="0.25">
      <c r="A1815" t="str">
        <f>"20190312151301929"</f>
        <v>20190312151301929</v>
      </c>
      <c r="B1815" t="str">
        <f>"1552374781922204"</f>
        <v>1552374781922204</v>
      </c>
      <c r="C1815" t="s">
        <v>40</v>
      </c>
      <c r="D1815">
        <v>4.3943640000000004</v>
      </c>
      <c r="E1815">
        <v>0.4718657</v>
      </c>
      <c r="F1815" t="s">
        <v>56</v>
      </c>
      <c r="G1815">
        <v>-512.82539999999995</v>
      </c>
      <c r="H1815">
        <v>0.66517969999999904</v>
      </c>
      <c r="I1815">
        <v>269.7097</v>
      </c>
      <c r="J1815">
        <v>-309.31209999999999</v>
      </c>
      <c r="K1815">
        <v>1.1093420000000001</v>
      </c>
      <c r="L1815">
        <v>282.99509999999998</v>
      </c>
      <c r="M1815">
        <v>-0.99993920000000003</v>
      </c>
      <c r="N1815">
        <v>0</v>
      </c>
      <c r="O1815">
        <v>6.4188889999999997E-3</v>
      </c>
      <c r="P1815">
        <v>-0.99883750000000004</v>
      </c>
      <c r="Q1815">
        <v>4.6894129999999999E-2</v>
      </c>
      <c r="R1815">
        <v>1.117377E-2</v>
      </c>
      <c r="S1815">
        <v>-3.0059200000000001</v>
      </c>
      <c r="T1815">
        <v>-6.54304E-3</v>
      </c>
      <c r="U1815">
        <v>-0.1957092</v>
      </c>
      <c r="V1815">
        <v>4.7015269999999996E-3</v>
      </c>
      <c r="W1815">
        <v>5.5872239999999997E-2</v>
      </c>
      <c r="X1815">
        <v>0.99842690000000001</v>
      </c>
      <c r="Y1815">
        <v>-7.1374430000000003E-2</v>
      </c>
      <c r="Z1815" s="1">
        <v>-9.1557289999999998E-5</v>
      </c>
      <c r="AA1815">
        <v>0.99744960000000005</v>
      </c>
      <c r="AB1815">
        <v>47</v>
      </c>
      <c r="AC1815">
        <v>-203.51329999999999</v>
      </c>
      <c r="AD1815">
        <v>-0.44416230000000001</v>
      </c>
      <c r="AE1815">
        <v>-13.2853999999999</v>
      </c>
      <c r="AF1815">
        <v>-14.591438871411899</v>
      </c>
      <c r="AG1815">
        <v>-0.44416230000000001</v>
      </c>
      <c r="AH1815">
        <v>203.42286126249701</v>
      </c>
      <c r="AI1815">
        <v>90.124781296338796</v>
      </c>
      <c r="AJ1815">
        <v>94.1027760796824</v>
      </c>
      <c r="AK1815">
        <v>203.94599248994399</v>
      </c>
      <c r="AL1815">
        <v>86.797088692667302</v>
      </c>
      <c r="AM1815">
        <v>89.730199914157495</v>
      </c>
      <c r="AN1815">
        <v>1.00000004310117</v>
      </c>
    </row>
    <row r="1816" spans="1:40" x14ac:dyDescent="0.25">
      <c r="A1816" t="str">
        <f>"20190312151301950"</f>
        <v>20190312151301950</v>
      </c>
      <c r="B1816" t="str">
        <f>"1552374781941727"</f>
        <v>1552374781941727</v>
      </c>
      <c r="C1816" t="s">
        <v>40</v>
      </c>
      <c r="D1816">
        <v>4.6185309999999999</v>
      </c>
      <c r="E1816">
        <v>0.47200439999999999</v>
      </c>
      <c r="F1816" t="s">
        <v>56</v>
      </c>
      <c r="G1816">
        <v>-512.82539999999995</v>
      </c>
      <c r="H1816">
        <v>0.58453129999999998</v>
      </c>
      <c r="I1816">
        <v>269.83390000000003</v>
      </c>
      <c r="J1816">
        <v>-309.77359999999999</v>
      </c>
      <c r="K1816">
        <v>1.109416</v>
      </c>
      <c r="L1816">
        <v>282.99790000000002</v>
      </c>
      <c r="M1816">
        <v>-0.99993849999999995</v>
      </c>
      <c r="N1816">
        <v>0</v>
      </c>
      <c r="O1816">
        <v>6.0657239999999998E-3</v>
      </c>
      <c r="P1816">
        <v>-0.99886169999999996</v>
      </c>
      <c r="Q1816">
        <v>4.6460719999999997E-2</v>
      </c>
      <c r="R1816">
        <v>1.078222E-2</v>
      </c>
      <c r="S1816">
        <v>-3.0059809999999998</v>
      </c>
      <c r="T1816">
        <v>-7.7505109999999999E-3</v>
      </c>
      <c r="U1816">
        <v>-0.19439699999999999</v>
      </c>
      <c r="V1816">
        <v>4.662139E-3</v>
      </c>
      <c r="W1816">
        <v>5.5734649999999997E-2</v>
      </c>
      <c r="X1816">
        <v>0.99843470000000001</v>
      </c>
      <c r="Y1816">
        <v>-7.0587140000000007E-2</v>
      </c>
      <c r="Z1816">
        <v>-1.065292E-4</v>
      </c>
      <c r="AA1816">
        <v>0.99750559999999999</v>
      </c>
      <c r="AB1816">
        <v>47</v>
      </c>
      <c r="AC1816">
        <v>-203.05179999999999</v>
      </c>
      <c r="AD1816">
        <v>-0.52488469999999998</v>
      </c>
      <c r="AE1816">
        <v>-13.1639999999999</v>
      </c>
      <c r="AF1816">
        <v>-14.3953712826457</v>
      </c>
      <c r="AG1816">
        <v>-0.52488469999999998</v>
      </c>
      <c r="AH1816">
        <v>202.966860995774</v>
      </c>
      <c r="AI1816">
        <v>90.147798785710194</v>
      </c>
      <c r="AJ1816">
        <v>94.0568947167598</v>
      </c>
      <c r="AK1816">
        <v>203.47739157162201</v>
      </c>
      <c r="AL1816">
        <v>86.804984083077102</v>
      </c>
      <c r="AM1816">
        <v>89.732462276384396</v>
      </c>
      <c r="AN1816">
        <v>0.99999996845738304</v>
      </c>
    </row>
    <row r="1817" spans="1:40" x14ac:dyDescent="0.25">
      <c r="A1817" t="str">
        <f>"20190312151301972"</f>
        <v>20190312151301972</v>
      </c>
      <c r="B1817" t="str">
        <f>"1552374781962220"</f>
        <v>1552374781962220</v>
      </c>
      <c r="C1817" t="s">
        <v>40</v>
      </c>
      <c r="D1817">
        <v>4.4073859999999998</v>
      </c>
      <c r="E1817">
        <v>0.47207130000000003</v>
      </c>
      <c r="F1817" t="s">
        <v>56</v>
      </c>
      <c r="G1817">
        <v>-512.82529999999997</v>
      </c>
      <c r="H1817">
        <v>0.34004879999999998</v>
      </c>
      <c r="I1817">
        <v>269.86059999999998</v>
      </c>
      <c r="J1817">
        <v>-310.24939999999998</v>
      </c>
      <c r="K1817">
        <v>1.109545</v>
      </c>
      <c r="L1817">
        <v>283.00049999999999</v>
      </c>
      <c r="M1817">
        <v>-0.99993569999999998</v>
      </c>
      <c r="N1817">
        <v>0</v>
      </c>
      <c r="O1817">
        <v>5.7104900000000004E-3</v>
      </c>
      <c r="P1817">
        <v>-0.99888279999999996</v>
      </c>
      <c r="Q1817">
        <v>4.6002800000000003E-2</v>
      </c>
      <c r="R1817">
        <v>1.081874E-2</v>
      </c>
      <c r="S1817">
        <v>-3.0060419999999999</v>
      </c>
      <c r="T1817">
        <v>-1.1388779999999999E-2</v>
      </c>
      <c r="U1817">
        <v>-0.19448850000000001</v>
      </c>
      <c r="V1817">
        <v>5.0531780000000002E-3</v>
      </c>
      <c r="W1817">
        <v>5.5793210000000003E-2</v>
      </c>
      <c r="X1817">
        <v>0.99842949999999997</v>
      </c>
      <c r="Y1817">
        <v>-7.0261459999999998E-2</v>
      </c>
      <c r="Z1817">
        <v>-1.5457200000000001E-4</v>
      </c>
      <c r="AA1817">
        <v>0.99752859999999999</v>
      </c>
      <c r="AB1817">
        <v>47</v>
      </c>
      <c r="AC1817">
        <v>-202.57589999999999</v>
      </c>
      <c r="AD1817">
        <v>-0.76949619999999996</v>
      </c>
      <c r="AE1817">
        <v>-13.139900000000001</v>
      </c>
      <c r="AF1817">
        <v>-14.296343489339399</v>
      </c>
      <c r="AG1817">
        <v>-0.76949619999999996</v>
      </c>
      <c r="AH1817">
        <v>202.494648256132</v>
      </c>
      <c r="AI1817">
        <v>90.217186985358595</v>
      </c>
      <c r="AJ1817">
        <v>94.038443658898998</v>
      </c>
      <c r="AK1817">
        <v>203.000148113102</v>
      </c>
      <c r="AL1817">
        <v>86.801623527435893</v>
      </c>
      <c r="AM1817">
        <v>89.710021287933998</v>
      </c>
      <c r="AN1817">
        <v>0.99999994168012496</v>
      </c>
    </row>
    <row r="1818" spans="1:40" x14ac:dyDescent="0.25">
      <c r="A1818" t="str">
        <f>"20190312151301996"</f>
        <v>20190312151301996</v>
      </c>
      <c r="B1818" t="str">
        <f>"1552374781991500"</f>
        <v>1552374781991500</v>
      </c>
      <c r="C1818" t="s">
        <v>40</v>
      </c>
      <c r="D1818">
        <v>4.6949050000000003</v>
      </c>
      <c r="E1818">
        <v>0.47223540000000003</v>
      </c>
      <c r="F1818" t="s">
        <v>56</v>
      </c>
      <c r="G1818">
        <v>-512.8252</v>
      </c>
      <c r="H1818">
        <v>4.1882990000000002E-2</v>
      </c>
      <c r="I1818">
        <v>269.92320000000001</v>
      </c>
      <c r="J1818">
        <v>-310.72730000000001</v>
      </c>
      <c r="K1818">
        <v>1.1096490000000001</v>
      </c>
      <c r="L1818">
        <v>283.00299999999999</v>
      </c>
      <c r="M1818">
        <v>-0.99993240000000005</v>
      </c>
      <c r="N1818">
        <v>0</v>
      </c>
      <c r="O1818">
        <v>5.3513959999999996E-3</v>
      </c>
      <c r="P1818">
        <v>-0.99891099999999999</v>
      </c>
      <c r="Q1818">
        <v>4.5344620000000002E-2</v>
      </c>
      <c r="R1818">
        <v>1.0982810000000001E-2</v>
      </c>
      <c r="S1818">
        <v>-3.0061339999999999</v>
      </c>
      <c r="T1818">
        <v>-1.5842439999999999E-2</v>
      </c>
      <c r="U1818">
        <v>-0.19406129999999999</v>
      </c>
      <c r="V1818">
        <v>5.5754790000000004E-3</v>
      </c>
      <c r="W1818">
        <v>5.566753E-2</v>
      </c>
      <c r="X1818">
        <v>0.99843380000000004</v>
      </c>
      <c r="Y1818">
        <v>-6.975961E-2</v>
      </c>
      <c r="Z1818">
        <v>-2.1180069999999999E-4</v>
      </c>
      <c r="AA1818">
        <v>0.9975638</v>
      </c>
      <c r="AB1818">
        <v>47</v>
      </c>
      <c r="AC1818">
        <v>-202.09790000000001</v>
      </c>
      <c r="AD1818">
        <v>-1.0677660099999999</v>
      </c>
      <c r="AE1818">
        <v>-13.079799999999899</v>
      </c>
      <c r="AF1818">
        <v>-14.160782571367101</v>
      </c>
      <c r="AG1818">
        <v>-1.0677660099999999</v>
      </c>
      <c r="AH1818">
        <v>202.019391237544</v>
      </c>
      <c r="AI1818">
        <v>90.302090666874093</v>
      </c>
      <c r="AJ1818">
        <v>94.009655318704006</v>
      </c>
      <c r="AK1818">
        <v>202.51790617936399</v>
      </c>
      <c r="AL1818">
        <v>86.808835876962107</v>
      </c>
      <c r="AM1818">
        <v>89.680050800583004</v>
      </c>
      <c r="AN1818">
        <v>1.0000000064224099</v>
      </c>
    </row>
    <row r="1819" spans="1:40" x14ac:dyDescent="0.25">
      <c r="A1819" t="str">
        <f>"20190312151302017"</f>
        <v>20190312151302017</v>
      </c>
      <c r="B1819" t="str">
        <f>"1552374782012014"</f>
        <v>1552374782012014</v>
      </c>
      <c r="C1819" t="s">
        <v>40</v>
      </c>
      <c r="D1819">
        <v>4.7476820000000002</v>
      </c>
      <c r="E1819">
        <v>0.47230509999999898</v>
      </c>
      <c r="F1819" t="s">
        <v>43</v>
      </c>
      <c r="G1819">
        <v>-480.2122</v>
      </c>
      <c r="H1819">
        <v>-0.05</v>
      </c>
      <c r="I1819">
        <v>272.16059999999999</v>
      </c>
      <c r="J1819">
        <v>-311.19639999999998</v>
      </c>
      <c r="K1819">
        <v>1.1097090000000001</v>
      </c>
      <c r="L1819">
        <v>283.00529999999998</v>
      </c>
      <c r="M1819">
        <v>-0.99992970000000003</v>
      </c>
      <c r="N1819">
        <v>0</v>
      </c>
      <c r="O1819">
        <v>4.9922539999999998E-3</v>
      </c>
      <c r="P1819">
        <v>-0.99895040000000002</v>
      </c>
      <c r="Q1819">
        <v>4.4493560000000001E-2</v>
      </c>
      <c r="R1819">
        <v>1.0899010000000001E-2</v>
      </c>
      <c r="S1819">
        <v>-3.0063170000000001</v>
      </c>
      <c r="T1819">
        <v>-2.0569799999999999E-2</v>
      </c>
      <c r="U1819">
        <v>-0.19232179999999999</v>
      </c>
      <c r="V1819">
        <v>5.8500890000000002E-3</v>
      </c>
      <c r="W1819">
        <v>5.5259030000000001E-2</v>
      </c>
      <c r="X1819">
        <v>0.99845490000000003</v>
      </c>
      <c r="Y1819">
        <v>-6.8821880000000002E-2</v>
      </c>
      <c r="Z1819">
        <v>-2.6932909999999999E-4</v>
      </c>
      <c r="AA1819">
        <v>0.99762890000000004</v>
      </c>
      <c r="AB1819">
        <v>47</v>
      </c>
      <c r="AC1819">
        <v>-169.01580000000001</v>
      </c>
      <c r="AD1819">
        <v>-1.1597090000000001</v>
      </c>
      <c r="AE1819">
        <v>-10.8446999999999</v>
      </c>
      <c r="AF1819">
        <v>-11.687835436805299</v>
      </c>
      <c r="AG1819">
        <v>-1.1597090000000001</v>
      </c>
      <c r="AH1819">
        <v>168.95162920129599</v>
      </c>
      <c r="AI1819">
        <v>90.392342874700503</v>
      </c>
      <c r="AJ1819">
        <v>93.957336414081297</v>
      </c>
      <c r="AK1819">
        <v>169.35939133078699</v>
      </c>
      <c r="AL1819">
        <v>86.832277219707393</v>
      </c>
      <c r="AM1819">
        <v>89.664299735553897</v>
      </c>
      <c r="AN1819">
        <v>0.99999998563592896</v>
      </c>
    </row>
    <row r="1820" spans="1:40" x14ac:dyDescent="0.25">
      <c r="A1820" t="str">
        <f>"20190312151302043"</f>
        <v>20190312151302043</v>
      </c>
      <c r="B1820" t="str">
        <f>"1552374782031535"</f>
        <v>1552374782031535</v>
      </c>
      <c r="C1820" t="s">
        <v>40</v>
      </c>
      <c r="D1820">
        <v>4.4628249999999996</v>
      </c>
      <c r="E1820">
        <v>0.47236159999999999</v>
      </c>
      <c r="F1820" t="s">
        <v>55</v>
      </c>
      <c r="G1820">
        <v>-434.17559999999997</v>
      </c>
      <c r="H1820">
        <v>8.0001279999999994E-2</v>
      </c>
      <c r="I1820">
        <v>275.15309999999999</v>
      </c>
      <c r="J1820">
        <v>-311.7133</v>
      </c>
      <c r="K1820">
        <v>1.1097549999999901</v>
      </c>
      <c r="L1820">
        <v>283.00760000000002</v>
      </c>
      <c r="M1820">
        <v>-0.99992700000000001</v>
      </c>
      <c r="N1820">
        <v>0</v>
      </c>
      <c r="O1820">
        <v>4.5943650000000004E-3</v>
      </c>
      <c r="P1820">
        <v>-0.9989789</v>
      </c>
      <c r="Q1820">
        <v>4.3900109999999999E-2</v>
      </c>
      <c r="R1820">
        <v>1.067625E-2</v>
      </c>
      <c r="S1820">
        <v>-3.0063780000000002</v>
      </c>
      <c r="T1820">
        <v>-2.5172469999999999E-2</v>
      </c>
      <c r="U1820">
        <v>-0.1919556</v>
      </c>
      <c r="V1820">
        <v>6.0239209999999998E-3</v>
      </c>
      <c r="W1820">
        <v>5.5066669999999998E-2</v>
      </c>
      <c r="X1820">
        <v>0.99846449999999998</v>
      </c>
      <c r="Y1820">
        <v>-6.8301780000000006E-2</v>
      </c>
      <c r="Z1820">
        <v>-3.2408300000000002E-4</v>
      </c>
      <c r="AA1820">
        <v>0.99766460000000001</v>
      </c>
      <c r="AB1820">
        <v>47</v>
      </c>
      <c r="AC1820">
        <v>-122.462299999999</v>
      </c>
      <c r="AD1820">
        <v>-1.02975371999999</v>
      </c>
      <c r="AE1820">
        <v>-7.85450000000003</v>
      </c>
      <c r="AF1820">
        <v>-8.4164960666892608</v>
      </c>
      <c r="AG1820">
        <v>-1.02975371999999</v>
      </c>
      <c r="AH1820">
        <v>122.416298441181</v>
      </c>
      <c r="AI1820">
        <v>90.480820006805999</v>
      </c>
      <c r="AJ1820">
        <v>93.933071217361302</v>
      </c>
      <c r="AK1820">
        <v>122.709608111202</v>
      </c>
      <c r="AL1820">
        <v>86.843315462518106</v>
      </c>
      <c r="AM1820">
        <v>89.654328159060697</v>
      </c>
      <c r="AN1820">
        <v>0.99999999176467602</v>
      </c>
    </row>
    <row r="1821" spans="1:40" x14ac:dyDescent="0.25">
      <c r="A1821" t="str">
        <f>"20190312151302064"</f>
        <v>20190312151302064</v>
      </c>
      <c r="B1821" t="str">
        <f>"1552374782052031"</f>
        <v>1552374782052031</v>
      </c>
      <c r="C1821" t="s">
        <v>40</v>
      </c>
      <c r="D1821">
        <v>4.6756359999999999</v>
      </c>
      <c r="E1821">
        <v>0.47242060000000002</v>
      </c>
      <c r="F1821" t="s">
        <v>55</v>
      </c>
      <c r="G1821">
        <v>-427.32920000000001</v>
      </c>
      <c r="H1821" s="1">
        <v>4.191222E-6</v>
      </c>
      <c r="I1821">
        <v>275.60930000000002</v>
      </c>
      <c r="J1821">
        <v>-312.16640000000001</v>
      </c>
      <c r="K1821">
        <v>1.1097790000000001</v>
      </c>
      <c r="L1821">
        <v>283.00940000000003</v>
      </c>
      <c r="M1821">
        <v>-0.99992519999999996</v>
      </c>
      <c r="N1821">
        <v>0</v>
      </c>
      <c r="O1821">
        <v>4.250378E-3</v>
      </c>
      <c r="P1821">
        <v>-0.99899039999999995</v>
      </c>
      <c r="Q1821">
        <v>4.3640900000000003E-2</v>
      </c>
      <c r="R1821">
        <v>1.0680179999999999E-2</v>
      </c>
      <c r="S1821">
        <v>-3.0064389999999999</v>
      </c>
      <c r="T1821">
        <v>-2.8857589999999999E-2</v>
      </c>
      <c r="U1821">
        <v>-0.19238279999999999</v>
      </c>
      <c r="V1821">
        <v>6.3705300000000001E-3</v>
      </c>
      <c r="W1821">
        <v>5.5106679999999998E-2</v>
      </c>
      <c r="X1821">
        <v>0.99846020000000002</v>
      </c>
      <c r="Y1821">
        <v>-6.8097740000000004E-2</v>
      </c>
      <c r="Z1821">
        <v>-3.6723890000000002E-4</v>
      </c>
      <c r="AA1821">
        <v>0.99767859999999997</v>
      </c>
      <c r="AB1821">
        <v>47</v>
      </c>
      <c r="AC1821">
        <v>-115.1628</v>
      </c>
      <c r="AD1821">
        <v>-1.1097748087779999</v>
      </c>
      <c r="AE1821">
        <v>-7.4001000000000001</v>
      </c>
      <c r="AF1821">
        <v>-7.8888212007460998</v>
      </c>
      <c r="AG1821">
        <v>-1.1097748087779999</v>
      </c>
      <c r="AH1821">
        <v>115.11965785789801</v>
      </c>
      <c r="AI1821">
        <v>90.551032589095996</v>
      </c>
      <c r="AJ1821">
        <v>93.920187354112201</v>
      </c>
      <c r="AK1821">
        <v>115.394977037057</v>
      </c>
      <c r="AL1821">
        <v>86.841019757669301</v>
      </c>
      <c r="AM1821">
        <v>89.634437577579305</v>
      </c>
      <c r="AN1821">
        <v>1.00000005040857</v>
      </c>
    </row>
    <row r="1822" spans="1:40" x14ac:dyDescent="0.25">
      <c r="A1822" t="str">
        <f>"20190312151302087"</f>
        <v>20190312151302087</v>
      </c>
      <c r="B1822" t="str">
        <f>"1552374782081311"</f>
        <v>1552374782081311</v>
      </c>
      <c r="C1822" t="s">
        <v>40</v>
      </c>
      <c r="D1822">
        <v>4.8613720000000002</v>
      </c>
      <c r="E1822">
        <v>0.47251330000000002</v>
      </c>
      <c r="F1822" t="s">
        <v>55</v>
      </c>
      <c r="G1822">
        <v>-418.73570000000001</v>
      </c>
      <c r="H1822" s="1">
        <v>5.3978670000000002E-6</v>
      </c>
      <c r="I1822">
        <v>276.2063</v>
      </c>
      <c r="J1822">
        <v>-312.6361</v>
      </c>
      <c r="K1822">
        <v>1.109802</v>
      </c>
      <c r="L1822">
        <v>283.0111</v>
      </c>
      <c r="M1822">
        <v>-0.99992340000000002</v>
      </c>
      <c r="N1822">
        <v>0</v>
      </c>
      <c r="O1822">
        <v>3.897611E-3</v>
      </c>
      <c r="P1822">
        <v>-0.99902170000000001</v>
      </c>
      <c r="Q1822">
        <v>4.305457E-2</v>
      </c>
      <c r="R1822">
        <v>1.009765E-2</v>
      </c>
      <c r="S1822">
        <v>-3.0064700000000002</v>
      </c>
      <c r="T1822">
        <v>-3.1308290000000003E-2</v>
      </c>
      <c r="U1822">
        <v>-0.19192500000000001</v>
      </c>
      <c r="V1822">
        <v>6.1398989999999999E-3</v>
      </c>
      <c r="W1822">
        <v>5.479386E-2</v>
      </c>
      <c r="X1822">
        <v>0.9984788</v>
      </c>
      <c r="Y1822">
        <v>-6.759329E-2</v>
      </c>
      <c r="Z1822">
        <v>-3.9212870000000002E-4</v>
      </c>
      <c r="AA1822">
        <v>0.99771290000000001</v>
      </c>
      <c r="AB1822">
        <v>47</v>
      </c>
      <c r="AC1822">
        <v>-106.0996</v>
      </c>
      <c r="AD1822">
        <v>-1.1097966021329999</v>
      </c>
      <c r="AE1822">
        <v>-6.8048000000000002</v>
      </c>
      <c r="AF1822">
        <v>-7.2175253724147996</v>
      </c>
      <c r="AG1822">
        <v>-1.1097966021329999</v>
      </c>
      <c r="AH1822">
        <v>106.060713066874</v>
      </c>
      <c r="AI1822">
        <v>90.598125658246005</v>
      </c>
      <c r="AJ1822">
        <v>93.893026462258504</v>
      </c>
      <c r="AK1822">
        <v>106.311801683789</v>
      </c>
      <c r="AL1822">
        <v>86.858969953240802</v>
      </c>
      <c r="AM1822">
        <v>89.6476781827335</v>
      </c>
      <c r="AN1822">
        <v>0.999999989751434</v>
      </c>
    </row>
    <row r="1823" spans="1:40" x14ac:dyDescent="0.25">
      <c r="A1823" t="str">
        <f>"20190312151302119"</f>
        <v>20190312151302119</v>
      </c>
      <c r="B1823" t="str">
        <f>"1552374782111567"</f>
        <v>1552374782111567</v>
      </c>
      <c r="C1823" t="s">
        <v>40</v>
      </c>
      <c r="D1823">
        <v>4.4608759999999998</v>
      </c>
      <c r="E1823">
        <v>0.47260809999999998</v>
      </c>
      <c r="F1823" t="s">
        <v>54</v>
      </c>
      <c r="G1823">
        <v>-398.35129999999998</v>
      </c>
      <c r="H1823">
        <v>8.0000479999999999E-2</v>
      </c>
      <c r="I1823">
        <v>277.51139999999998</v>
      </c>
      <c r="J1823">
        <v>-313.32990000000001</v>
      </c>
      <c r="K1823">
        <v>1.109812</v>
      </c>
      <c r="L1823">
        <v>283.01319999999998</v>
      </c>
      <c r="M1823">
        <v>-0.99992119999999995</v>
      </c>
      <c r="N1823">
        <v>0</v>
      </c>
      <c r="O1823">
        <v>3.371247E-3</v>
      </c>
      <c r="P1823">
        <v>-0.99904130000000002</v>
      </c>
      <c r="Q1823">
        <v>4.2800970000000001E-2</v>
      </c>
      <c r="R1823">
        <v>9.2035539999999992E-3</v>
      </c>
      <c r="S1823">
        <v>-3.0064700000000002</v>
      </c>
      <c r="T1823">
        <v>-3.6120409999999999E-2</v>
      </c>
      <c r="U1823">
        <v>-0.19290160000000001</v>
      </c>
      <c r="V1823">
        <v>5.7720979999999998E-3</v>
      </c>
      <c r="W1823">
        <v>5.4885280000000002E-2</v>
      </c>
      <c r="X1823">
        <v>0.99847600000000003</v>
      </c>
      <c r="Y1823">
        <v>-6.7389619999999997E-2</v>
      </c>
      <c r="Z1823">
        <v>-4.448508E-4</v>
      </c>
      <c r="AA1823">
        <v>0.99772660000000002</v>
      </c>
      <c r="AB1823">
        <v>47</v>
      </c>
      <c r="AC1823">
        <v>-85.0213999999999</v>
      </c>
      <c r="AD1823">
        <v>-1.02981152</v>
      </c>
      <c r="AE1823">
        <v>-5.5018000000000002</v>
      </c>
      <c r="AF1823">
        <v>-5.7875722765359896</v>
      </c>
      <c r="AG1823">
        <v>-1.02981152</v>
      </c>
      <c r="AH1823">
        <v>84.989950638506301</v>
      </c>
      <c r="AI1823">
        <v>90.692607220016498</v>
      </c>
      <c r="AJ1823">
        <v>93.895664267180607</v>
      </c>
      <c r="AK1823">
        <v>85.193005664541403</v>
      </c>
      <c r="AL1823">
        <v>86.853724164187497</v>
      </c>
      <c r="AM1823">
        <v>89.668782053504103</v>
      </c>
      <c r="AN1823">
        <v>1.0000000168259899</v>
      </c>
    </row>
    <row r="1824" spans="1:40" x14ac:dyDescent="0.25">
      <c r="A1824" t="str">
        <f>"20190312151302143"</f>
        <v>20190312151302143</v>
      </c>
      <c r="B1824" t="str">
        <f>"1552374782132063"</f>
        <v>1552374782132063</v>
      </c>
      <c r="C1824" t="s">
        <v>40</v>
      </c>
      <c r="D1824">
        <v>4.4669349999999897</v>
      </c>
      <c r="E1824">
        <v>0.47266599999999998</v>
      </c>
      <c r="F1824" t="s">
        <v>54</v>
      </c>
      <c r="G1824">
        <v>-391.88600000000002</v>
      </c>
      <c r="H1824">
        <v>8.0000909999999995E-2</v>
      </c>
      <c r="I1824">
        <v>277.92079999999999</v>
      </c>
      <c r="J1824">
        <v>-313.82569999999998</v>
      </c>
      <c r="K1824">
        <v>1.109812</v>
      </c>
      <c r="L1824">
        <v>283.0145</v>
      </c>
      <c r="M1824">
        <v>-0.99992000000000003</v>
      </c>
      <c r="N1824">
        <v>0</v>
      </c>
      <c r="O1824">
        <v>2.9890730000000001E-3</v>
      </c>
      <c r="P1824">
        <v>-0.99905509999999997</v>
      </c>
      <c r="Q1824">
        <v>4.2630800000000003E-2</v>
      </c>
      <c r="R1824">
        <v>8.4739769999999902E-3</v>
      </c>
      <c r="S1824">
        <v>-3.006348</v>
      </c>
      <c r="T1824">
        <v>-3.941095E-2</v>
      </c>
      <c r="U1824">
        <v>-0.19488530000000001</v>
      </c>
      <c r="V1824">
        <v>5.4249629999999997E-3</v>
      </c>
      <c r="W1824">
        <v>5.4925750000000002E-2</v>
      </c>
      <c r="X1824">
        <v>0.99847569999999997</v>
      </c>
      <c r="Y1824">
        <v>-6.7665520000000007E-2</v>
      </c>
      <c r="Z1824">
        <v>-4.821836E-4</v>
      </c>
      <c r="AA1824">
        <v>0.99770800000000004</v>
      </c>
      <c r="AB1824">
        <v>47</v>
      </c>
      <c r="AC1824">
        <v>-78.060299999999899</v>
      </c>
      <c r="AD1824">
        <v>-1.0298110899999999</v>
      </c>
      <c r="AE1824">
        <v>-5.0937000000000099</v>
      </c>
      <c r="AF1824">
        <v>-5.3260997656700901</v>
      </c>
      <c r="AG1824">
        <v>-1.0298110899999999</v>
      </c>
      <c r="AH1824">
        <v>78.031201493696898</v>
      </c>
      <c r="AI1824">
        <v>90.754357986850394</v>
      </c>
      <c r="AJ1824">
        <v>93.904725876600295</v>
      </c>
      <c r="AK1824">
        <v>78.219538838738302</v>
      </c>
      <c r="AL1824">
        <v>86.851401834953293</v>
      </c>
      <c r="AM1824">
        <v>89.688701061617394</v>
      </c>
      <c r="AN1824">
        <v>0.99999999586355104</v>
      </c>
    </row>
    <row r="1825" spans="1:40" x14ac:dyDescent="0.25">
      <c r="A1825" t="str">
        <f>"20190312151302164"</f>
        <v>20190312151302164</v>
      </c>
      <c r="B1825" t="str">
        <f>"1552374782151583"</f>
        <v>1552374782151583</v>
      </c>
      <c r="C1825" t="s">
        <v>40</v>
      </c>
      <c r="D1825">
        <v>4.4499959999999996</v>
      </c>
      <c r="E1825">
        <v>0.47270279999999998</v>
      </c>
      <c r="F1825" t="s">
        <v>54</v>
      </c>
      <c r="G1825">
        <v>-388.21769999999998</v>
      </c>
      <c r="H1825">
        <v>8.0000520000000006E-2</v>
      </c>
      <c r="I1825">
        <v>278.14749999999998</v>
      </c>
      <c r="J1825">
        <v>-314.27249999999998</v>
      </c>
      <c r="K1825">
        <v>1.109809</v>
      </c>
      <c r="L1825">
        <v>283.01549999999997</v>
      </c>
      <c r="M1825">
        <v>-0.99991890000000005</v>
      </c>
      <c r="N1825">
        <v>0</v>
      </c>
      <c r="O1825">
        <v>2.6405819999999998E-3</v>
      </c>
      <c r="P1825">
        <v>-0.99906200000000001</v>
      </c>
      <c r="Q1825">
        <v>4.2574630000000002E-2</v>
      </c>
      <c r="R1825">
        <v>7.926354E-3</v>
      </c>
      <c r="S1825">
        <v>-3.0063170000000001</v>
      </c>
      <c r="T1825">
        <v>-4.1616559999999997E-2</v>
      </c>
      <c r="U1825">
        <v>-0.19668579999999999</v>
      </c>
      <c r="V1825">
        <v>5.2264169999999997E-3</v>
      </c>
      <c r="W1825">
        <v>5.5033829999999999E-2</v>
      </c>
      <c r="X1825">
        <v>0.99847079999999999</v>
      </c>
      <c r="Y1825">
        <v>-6.7912799999999995E-2</v>
      </c>
      <c r="Z1825">
        <v>-5.0605189999999997E-4</v>
      </c>
      <c r="AA1825">
        <v>0.9976912</v>
      </c>
      <c r="AB1825">
        <v>47</v>
      </c>
      <c r="AC1825">
        <v>-73.9452</v>
      </c>
      <c r="AD1825">
        <v>-1.02980848</v>
      </c>
      <c r="AE1825">
        <v>-4.8679999999999897</v>
      </c>
      <c r="AF1825">
        <v>-5.0622789464713902</v>
      </c>
      <c r="AG1825">
        <v>-1.02980848</v>
      </c>
      <c r="AH1825">
        <v>73.917812211508704</v>
      </c>
      <c r="AI1825">
        <v>90.796316909877007</v>
      </c>
      <c r="AJ1825">
        <v>93.917797605527397</v>
      </c>
      <c r="AK1825">
        <v>74.098111553353604</v>
      </c>
      <c r="AL1825">
        <v>86.845199902177299</v>
      </c>
      <c r="AM1825">
        <v>89.700092480208895</v>
      </c>
      <c r="AN1825">
        <v>0.99999998816588298</v>
      </c>
    </row>
    <row r="1826" spans="1:40" x14ac:dyDescent="0.25">
      <c r="A1826" t="str">
        <f>"20190312151302188"</f>
        <v>20190312151302188</v>
      </c>
      <c r="B1826" t="str">
        <f>"1552374782181839"</f>
        <v>1552374782181839</v>
      </c>
      <c r="C1826" t="s">
        <v>40</v>
      </c>
      <c r="D1826">
        <v>4.6729070000000004</v>
      </c>
      <c r="E1826">
        <v>0.47270849999999998</v>
      </c>
      <c r="F1826" t="s">
        <v>54</v>
      </c>
      <c r="G1826">
        <v>-385.77179999999998</v>
      </c>
      <c r="H1826">
        <v>8.0001240000000001E-2</v>
      </c>
      <c r="I1826">
        <v>278.29989999999998</v>
      </c>
      <c r="J1826">
        <v>-314.7638</v>
      </c>
      <c r="K1826">
        <v>1.109807</v>
      </c>
      <c r="L1826">
        <v>283.01650000000001</v>
      </c>
      <c r="M1826">
        <v>-0.99991790000000003</v>
      </c>
      <c r="N1826">
        <v>0</v>
      </c>
      <c r="O1826">
        <v>2.2573820000000001E-3</v>
      </c>
      <c r="P1826">
        <v>-0.99906640000000002</v>
      </c>
      <c r="Q1826">
        <v>4.2544319999999997E-2</v>
      </c>
      <c r="R1826">
        <v>7.5341059999999996E-3</v>
      </c>
      <c r="S1826">
        <v>-3.0062259999999998</v>
      </c>
      <c r="T1826">
        <v>-4.3298839999999998E-2</v>
      </c>
      <c r="U1826">
        <v>-0.1982727</v>
      </c>
      <c r="V1826">
        <v>5.2175930000000004E-3</v>
      </c>
      <c r="W1826">
        <v>5.5159519999999997E-2</v>
      </c>
      <c r="X1826">
        <v>0.99846389999999996</v>
      </c>
      <c r="Y1826">
        <v>-6.80563E-2</v>
      </c>
      <c r="Z1826">
        <v>-5.2203169999999997E-4</v>
      </c>
      <c r="AA1826">
        <v>0.99768129999999999</v>
      </c>
      <c r="AB1826">
        <v>47</v>
      </c>
      <c r="AC1826">
        <v>-71.007999999999896</v>
      </c>
      <c r="AD1826">
        <v>-1.0298057599999999</v>
      </c>
      <c r="AE1826">
        <v>-4.7166000000000201</v>
      </c>
      <c r="AF1826">
        <v>-4.8758718892011004</v>
      </c>
      <c r="AG1826">
        <v>-1.0298057599999999</v>
      </c>
      <c r="AH1826">
        <v>70.982307084969904</v>
      </c>
      <c r="AI1826">
        <v>90.8292305879217</v>
      </c>
      <c r="AJ1826">
        <v>93.929552786002901</v>
      </c>
      <c r="AK1826">
        <v>71.1570273809144</v>
      </c>
      <c r="AL1826">
        <v>86.837987407080504</v>
      </c>
      <c r="AM1826">
        <v>89.700596749622605</v>
      </c>
      <c r="AN1826">
        <v>0.99999997776327598</v>
      </c>
    </row>
    <row r="1827" spans="1:40" x14ac:dyDescent="0.25">
      <c r="A1827" t="str">
        <f>"20190312151302210"</f>
        <v>20190312151302210</v>
      </c>
      <c r="B1827" t="str">
        <f>"1552374782201359"</f>
        <v>1552374782201359</v>
      </c>
      <c r="C1827" t="s">
        <v>40</v>
      </c>
      <c r="D1827">
        <v>4.6372280000000003</v>
      </c>
      <c r="E1827">
        <v>0.46627990000000002</v>
      </c>
      <c r="F1827" t="s">
        <v>54</v>
      </c>
      <c r="G1827">
        <v>-383.11840000000001</v>
      </c>
      <c r="H1827">
        <v>8.0000539999999995E-2</v>
      </c>
      <c r="I1827">
        <v>278.48599999999999</v>
      </c>
      <c r="J1827">
        <v>-315.2253</v>
      </c>
      <c r="K1827">
        <v>1.109807</v>
      </c>
      <c r="L1827">
        <v>283.0172</v>
      </c>
      <c r="M1827">
        <v>-0.9999169</v>
      </c>
      <c r="N1827">
        <v>0</v>
      </c>
      <c r="O1827">
        <v>1.899078E-3</v>
      </c>
      <c r="P1827">
        <v>-0.99907420000000002</v>
      </c>
      <c r="Q1827">
        <v>4.239395E-2</v>
      </c>
      <c r="R1827">
        <v>7.3371349999999998E-3</v>
      </c>
      <c r="S1827">
        <v>-3.006195</v>
      </c>
      <c r="T1827">
        <v>-4.5290230000000001E-2</v>
      </c>
      <c r="U1827">
        <v>-0.19924929999999999</v>
      </c>
      <c r="V1827">
        <v>5.3792099999999997E-3</v>
      </c>
      <c r="W1827">
        <v>5.5136200000000003E-2</v>
      </c>
      <c r="X1827">
        <v>0.99846429999999997</v>
      </c>
      <c r="Y1827">
        <v>-6.8021520000000002E-2</v>
      </c>
      <c r="Z1827">
        <v>-5.4038380000000002E-4</v>
      </c>
      <c r="AA1827">
        <v>0.99768369999999995</v>
      </c>
      <c r="AB1827">
        <v>47</v>
      </c>
      <c r="AC1827">
        <v>-67.893100000000004</v>
      </c>
      <c r="AD1827">
        <v>-1.0298064600000001</v>
      </c>
      <c r="AE1827">
        <v>-4.5312000000000099</v>
      </c>
      <c r="AF1827">
        <v>-4.6590694445240297</v>
      </c>
      <c r="AG1827">
        <v>-1.0298064600000001</v>
      </c>
      <c r="AH1827">
        <v>67.868826413686605</v>
      </c>
      <c r="AI1827">
        <v>90.867268987805204</v>
      </c>
      <c r="AJ1827">
        <v>93.927088166685493</v>
      </c>
      <c r="AK1827">
        <v>68.036350785481403</v>
      </c>
      <c r="AL1827">
        <v>86.839325485097305</v>
      </c>
      <c r="AM1827">
        <v>89.691322916327294</v>
      </c>
      <c r="AN1827">
        <v>0.99999994741257503</v>
      </c>
    </row>
    <row r="1828" spans="1:40" x14ac:dyDescent="0.25">
      <c r="A1828" t="str">
        <f>"20190312151302232"</f>
        <v>20190312151302232</v>
      </c>
      <c r="B1828" t="str">
        <f>"1552374782221855"</f>
        <v>1552374782221855</v>
      </c>
      <c r="C1828" t="s">
        <v>40</v>
      </c>
      <c r="D1828">
        <v>4.6693419999999897</v>
      </c>
      <c r="E1828">
        <v>0.46630149999999998</v>
      </c>
      <c r="F1828" t="s">
        <v>54</v>
      </c>
      <c r="G1828">
        <v>-329.87189999999998</v>
      </c>
      <c r="H1828" s="1">
        <v>3.840766E-6</v>
      </c>
      <c r="I1828">
        <v>281.77480000000003</v>
      </c>
      <c r="J1828">
        <v>-315.71129999999999</v>
      </c>
      <c r="K1828">
        <v>1.109807</v>
      </c>
      <c r="L1828">
        <v>283.01780000000002</v>
      </c>
      <c r="M1828">
        <v>-0.99991629999999998</v>
      </c>
      <c r="N1828">
        <v>0</v>
      </c>
      <c r="O1828">
        <v>1.5234669999999999E-3</v>
      </c>
      <c r="P1828">
        <v>-0.99907670000000004</v>
      </c>
      <c r="Q1828">
        <v>4.2358630000000001E-2</v>
      </c>
      <c r="R1828">
        <v>7.2068749999999997E-3</v>
      </c>
      <c r="S1828">
        <v>-3.014313</v>
      </c>
      <c r="T1828">
        <v>-0.22839989999999999</v>
      </c>
      <c r="U1828">
        <v>-0.25567630000000002</v>
      </c>
      <c r="V1828">
        <v>5.6246630000000002E-3</v>
      </c>
      <c r="W1828">
        <v>5.520999E-2</v>
      </c>
      <c r="X1828">
        <v>0.99845890000000004</v>
      </c>
      <c r="Y1828">
        <v>-8.5786790000000002E-2</v>
      </c>
      <c r="Z1828">
        <v>-3.354742E-3</v>
      </c>
      <c r="AA1828">
        <v>0.99630779999999997</v>
      </c>
      <c r="AB1828">
        <v>47</v>
      </c>
      <c r="AC1828">
        <v>-14.160599999999899</v>
      </c>
      <c r="AD1828">
        <v>-1.1098031592340001</v>
      </c>
      <c r="AE1828">
        <v>-1.2429999999999899</v>
      </c>
      <c r="AF1828">
        <v>-1.2569122864353801</v>
      </c>
      <c r="AG1828">
        <v>-1.1098031592340001</v>
      </c>
      <c r="AH1828">
        <v>14.0729111123492</v>
      </c>
      <c r="AI1828">
        <v>94.491263419560994</v>
      </c>
      <c r="AJ1828">
        <v>95.1037904646074</v>
      </c>
      <c r="AK1828">
        <v>14.1724492845845</v>
      </c>
      <c r="AL1828">
        <v>86.835091274663</v>
      </c>
      <c r="AM1828">
        <v>89.677236547122007</v>
      </c>
      <c r="AN1828">
        <v>0.99999997740943602</v>
      </c>
    </row>
    <row r="1829" spans="1:40" x14ac:dyDescent="0.25">
      <c r="A1829" t="str">
        <f>"20190312151302255"</f>
        <v>20190312151302255</v>
      </c>
      <c r="B1829" t="str">
        <f>"1552374782241375"</f>
        <v>1552374782241375</v>
      </c>
      <c r="C1829" t="s">
        <v>40</v>
      </c>
      <c r="D1829">
        <v>4.4897460000000002</v>
      </c>
      <c r="E1829">
        <v>0.4752093</v>
      </c>
      <c r="F1829" t="s">
        <v>54</v>
      </c>
      <c r="G1829">
        <v>-329.92899999999997</v>
      </c>
      <c r="H1829" s="1">
        <v>3.8696189999999997E-6</v>
      </c>
      <c r="I1829">
        <v>281.81009999999998</v>
      </c>
      <c r="J1829">
        <v>-316.17</v>
      </c>
      <c r="K1829">
        <v>1.109685</v>
      </c>
      <c r="L1829">
        <v>283.01819999999998</v>
      </c>
      <c r="M1829">
        <v>-0.99992119999999995</v>
      </c>
      <c r="N1829">
        <v>0</v>
      </c>
      <c r="O1829">
        <v>1.1751649999999999E-3</v>
      </c>
      <c r="P1829">
        <v>-0.99905880000000002</v>
      </c>
      <c r="Q1829">
        <v>4.282714E-2</v>
      </c>
      <c r="R1829">
        <v>6.9019110000000002E-3</v>
      </c>
      <c r="S1829">
        <v>-3.014618</v>
      </c>
      <c r="T1829">
        <v>-0.23531450000000001</v>
      </c>
      <c r="U1829">
        <v>-0.256073</v>
      </c>
      <c r="V1829">
        <v>5.668831E-3</v>
      </c>
      <c r="W1829">
        <v>5.5320920000000003E-2</v>
      </c>
      <c r="X1829">
        <v>0.99845249999999997</v>
      </c>
      <c r="Y1829">
        <v>-8.5548029999999997E-2</v>
      </c>
      <c r="Z1829">
        <v>-3.4192469999999998E-3</v>
      </c>
      <c r="AA1829">
        <v>0.9963282</v>
      </c>
      <c r="AB1829">
        <v>47</v>
      </c>
      <c r="AC1829">
        <v>-13.759</v>
      </c>
      <c r="AD1829">
        <v>-1.1096811303809999</v>
      </c>
      <c r="AE1829">
        <v>-1.2081</v>
      </c>
      <c r="AF1829">
        <v>-1.2164177100518501</v>
      </c>
      <c r="AG1829">
        <v>-1.1096811303809999</v>
      </c>
      <c r="AH1829">
        <v>13.6693369252939</v>
      </c>
      <c r="AI1829">
        <v>94.622923423544407</v>
      </c>
      <c r="AJ1829">
        <v>95.085286671609296</v>
      </c>
      <c r="AK1829">
        <v>13.768145707888801</v>
      </c>
      <c r="AL1829">
        <v>86.828725693098093</v>
      </c>
      <c r="AM1829">
        <v>89.674699997118495</v>
      </c>
      <c r="AN1829">
        <v>0.99999996729539997</v>
      </c>
    </row>
    <row r="1830" spans="1:40" x14ac:dyDescent="0.25">
      <c r="A1830" t="str">
        <f>"20190312151302276"</f>
        <v>20190312151302276</v>
      </c>
      <c r="B1830" t="str">
        <f>"1552374782271631"</f>
        <v>1552374782271631</v>
      </c>
      <c r="C1830" t="s">
        <v>40</v>
      </c>
      <c r="D1830">
        <v>4.4990500000000004</v>
      </c>
      <c r="E1830">
        <v>0.47055760000000002</v>
      </c>
      <c r="F1830" t="s">
        <v>54</v>
      </c>
      <c r="G1830">
        <v>-337.89580000000001</v>
      </c>
      <c r="H1830" s="1">
        <v>2.792847E-6</v>
      </c>
      <c r="I1830">
        <v>281.69049999999999</v>
      </c>
      <c r="J1830">
        <v>-316.6277</v>
      </c>
      <c r="K1830">
        <v>1.109335</v>
      </c>
      <c r="L1830">
        <v>283.01839999999999</v>
      </c>
      <c r="M1830">
        <v>-0.99993580000000004</v>
      </c>
      <c r="N1830">
        <v>0</v>
      </c>
      <c r="O1830">
        <v>8.4010770000000001E-4</v>
      </c>
      <c r="P1830">
        <v>-0.99900339999999999</v>
      </c>
      <c r="Q1830">
        <v>4.4106480000000003E-2</v>
      </c>
      <c r="R1830">
        <v>6.8531859999999998E-3</v>
      </c>
      <c r="S1830">
        <v>-3.0106510000000002</v>
      </c>
      <c r="T1830">
        <v>-0.1537743</v>
      </c>
      <c r="U1830">
        <v>-0.1839905</v>
      </c>
      <c r="V1830">
        <v>5.9583550000000002E-3</v>
      </c>
      <c r="W1830">
        <v>5.5409949999999999E-2</v>
      </c>
      <c r="X1830">
        <v>0.9984459</v>
      </c>
      <c r="Y1830">
        <v>-6.1756659999999998E-2</v>
      </c>
      <c r="Z1830">
        <v>-1.617517E-3</v>
      </c>
      <c r="AA1830">
        <v>0.99808989999999997</v>
      </c>
      <c r="AB1830">
        <v>47</v>
      </c>
      <c r="AC1830">
        <v>-21.2681</v>
      </c>
      <c r="AD1830">
        <v>-1.1093322071529901</v>
      </c>
      <c r="AE1830">
        <v>-1.3278999999999901</v>
      </c>
      <c r="AF1830">
        <v>-1.34213093453316</v>
      </c>
      <c r="AG1830">
        <v>-1.1093322071529901</v>
      </c>
      <c r="AH1830">
        <v>21.209498196197998</v>
      </c>
      <c r="AI1830">
        <v>92.988079077215701</v>
      </c>
      <c r="AJ1830">
        <v>93.620832575202002</v>
      </c>
      <c r="AK1830">
        <v>21.2808540036763</v>
      </c>
      <c r="AL1830">
        <v>86.823616885307601</v>
      </c>
      <c r="AM1830">
        <v>89.658084086630097</v>
      </c>
      <c r="AN1830">
        <v>0.999999989890059</v>
      </c>
    </row>
    <row r="1831" spans="1:40" x14ac:dyDescent="0.25">
      <c r="A1831" t="str">
        <f>"20190312151302297"</f>
        <v>20190312151302297</v>
      </c>
      <c r="B1831" t="str">
        <f>"1552374782292127"</f>
        <v>1552374782292127</v>
      </c>
      <c r="C1831" t="s">
        <v>40</v>
      </c>
      <c r="D1831">
        <v>4.638344</v>
      </c>
      <c r="E1831">
        <v>0.47107840000000001</v>
      </c>
      <c r="F1831" t="s">
        <v>54</v>
      </c>
      <c r="G1831">
        <v>-334.56360000000001</v>
      </c>
      <c r="H1831" s="1">
        <v>1.019381E-6</v>
      </c>
      <c r="I1831">
        <v>281.69650000000001</v>
      </c>
      <c r="J1831">
        <v>-317.08780000000002</v>
      </c>
      <c r="K1831">
        <v>1.1089789999999999</v>
      </c>
      <c r="L1831">
        <v>283.01859999999999</v>
      </c>
      <c r="M1831">
        <v>-0.99995089999999998</v>
      </c>
      <c r="N1831">
        <v>0</v>
      </c>
      <c r="O1831">
        <v>5.0874500000000001E-4</v>
      </c>
      <c r="P1831">
        <v>-0.99895009999999995</v>
      </c>
      <c r="Q1831">
        <v>4.5308429999999997E-2</v>
      </c>
      <c r="R1831">
        <v>6.812767E-3</v>
      </c>
      <c r="S1831">
        <v>-3.0127259999999998</v>
      </c>
      <c r="T1831">
        <v>-0.18633659999999999</v>
      </c>
      <c r="U1831">
        <v>-0.22204589999999999</v>
      </c>
      <c r="V1831">
        <v>6.2537599999999997E-3</v>
      </c>
      <c r="W1831">
        <v>5.52138E-2</v>
      </c>
      <c r="X1831">
        <v>0.99845499999999998</v>
      </c>
      <c r="Y1831">
        <v>-7.3869309999999994E-2</v>
      </c>
      <c r="Z1831">
        <v>-2.3105349999999998E-3</v>
      </c>
      <c r="AA1831">
        <v>0.99726530000000002</v>
      </c>
      <c r="AB1831">
        <v>47</v>
      </c>
      <c r="AC1831">
        <v>-17.4757999999999</v>
      </c>
      <c r="AD1831">
        <v>-1.1089779806190001</v>
      </c>
      <c r="AE1831">
        <v>-1.3220999999999701</v>
      </c>
      <c r="AF1831">
        <v>-1.32568296670597</v>
      </c>
      <c r="AG1831">
        <v>-1.1089779806190001</v>
      </c>
      <c r="AH1831">
        <v>17.405433882501299</v>
      </c>
      <c r="AI1831">
        <v>93.635142011275505</v>
      </c>
      <c r="AJ1831">
        <v>94.355517514739702</v>
      </c>
      <c r="AK1831">
        <v>17.491037594374902</v>
      </c>
      <c r="AL1831">
        <v>86.834872811273101</v>
      </c>
      <c r="AM1831">
        <v>89.641136186840896</v>
      </c>
      <c r="AN1831">
        <v>1.00000003012478</v>
      </c>
    </row>
    <row r="1832" spans="1:40" x14ac:dyDescent="0.25">
      <c r="A1832" t="str">
        <f>"20190312151302320"</f>
        <v>20190312151302320</v>
      </c>
      <c r="B1832" t="str">
        <f>"1552374782311306"</f>
        <v>1552374782311306</v>
      </c>
      <c r="C1832" t="s">
        <v>40</v>
      </c>
      <c r="D1832">
        <v>4.4991199999999996</v>
      </c>
      <c r="E1832">
        <v>0.47099790000000002</v>
      </c>
      <c r="F1832" t="s">
        <v>54</v>
      </c>
      <c r="G1832">
        <v>-337.91919999999999</v>
      </c>
      <c r="H1832" s="1">
        <v>2.813E-6</v>
      </c>
      <c r="I1832">
        <v>281.51420000000002</v>
      </c>
      <c r="J1832">
        <v>-317.57499999999999</v>
      </c>
      <c r="K1832">
        <v>1.1086879999999999</v>
      </c>
      <c r="L1832">
        <v>283.0188</v>
      </c>
      <c r="M1832">
        <v>-0.99996379999999996</v>
      </c>
      <c r="N1832">
        <v>0</v>
      </c>
      <c r="O1832">
        <v>1.5910619999999999E-4</v>
      </c>
      <c r="P1832">
        <v>-0.99888829999999995</v>
      </c>
      <c r="Q1832">
        <v>4.6672959999999999E-2</v>
      </c>
      <c r="R1832">
        <v>6.6329789999999998E-3</v>
      </c>
      <c r="S1832">
        <v>-3.0119319999999998</v>
      </c>
      <c r="T1832">
        <v>-0.1603426</v>
      </c>
      <c r="U1832">
        <v>-0.21752929999999901</v>
      </c>
      <c r="V1832">
        <v>6.4268980000000003E-3</v>
      </c>
      <c r="W1832">
        <v>5.5186180000000001E-2</v>
      </c>
      <c r="X1832">
        <v>0.99845539999999999</v>
      </c>
      <c r="Y1832">
        <v>-7.2091799999999998E-2</v>
      </c>
      <c r="Z1832">
        <v>-1.923538E-3</v>
      </c>
      <c r="AA1832">
        <v>0.99739619999999996</v>
      </c>
      <c r="AB1832">
        <v>48</v>
      </c>
      <c r="AC1832">
        <v>-20.344200000000001</v>
      </c>
      <c r="AD1832">
        <v>-1.1086851869999901</v>
      </c>
      <c r="AE1832">
        <v>-1.50459999999998</v>
      </c>
      <c r="AF1832">
        <v>-1.5033964055023401</v>
      </c>
      <c r="AG1832">
        <v>-1.1086851869999901</v>
      </c>
      <c r="AH1832">
        <v>20.284047365660399</v>
      </c>
      <c r="AI1832">
        <v>93.120017931393207</v>
      </c>
      <c r="AJ1832">
        <v>94.238851145500107</v>
      </c>
      <c r="AK1832">
        <v>20.3698787705844</v>
      </c>
      <c r="AL1832">
        <v>86.836457650109594</v>
      </c>
      <c r="AM1832">
        <v>89.631201308324293</v>
      </c>
      <c r="AN1832">
        <v>1.00000000263502</v>
      </c>
    </row>
    <row r="1833" spans="1:40" x14ac:dyDescent="0.25">
      <c r="A1833" t="str">
        <f>"20190312151302342"</f>
        <v>20190312151302342</v>
      </c>
      <c r="B1833" t="str">
        <f>"1552374782331802"</f>
        <v>1552374782331802</v>
      </c>
      <c r="C1833" t="s">
        <v>40</v>
      </c>
      <c r="D1833">
        <v>4.8445720000000003</v>
      </c>
      <c r="E1833">
        <v>0.47134969999999998</v>
      </c>
      <c r="F1833" t="s">
        <v>54</v>
      </c>
      <c r="G1833">
        <v>-339.79469999999998</v>
      </c>
      <c r="H1833" s="1">
        <v>3.8157959999999998E-6</v>
      </c>
      <c r="I1833">
        <v>281.40589999999997</v>
      </c>
      <c r="J1833">
        <v>-318.05930000000001</v>
      </c>
      <c r="K1833">
        <v>1.1085240000000001</v>
      </c>
      <c r="L1833">
        <v>283.0188</v>
      </c>
      <c r="M1833">
        <v>-0.9999728</v>
      </c>
      <c r="N1833">
        <v>0</v>
      </c>
      <c r="O1833">
        <v>-1.8179320000000001E-4</v>
      </c>
      <c r="P1833">
        <v>-0.99883429999999995</v>
      </c>
      <c r="Q1833">
        <v>4.7810239999999997E-2</v>
      </c>
      <c r="R1833">
        <v>6.6891549999999996E-3</v>
      </c>
      <c r="S1833">
        <v>-3.0118100000000001</v>
      </c>
      <c r="T1833">
        <v>-0.15027889999999999</v>
      </c>
      <c r="U1833">
        <v>-0.21862789999999999</v>
      </c>
      <c r="V1833">
        <v>6.8249259999999898E-3</v>
      </c>
      <c r="W1833">
        <v>5.5200939999999997E-2</v>
      </c>
      <c r="X1833">
        <v>0.99845189999999995</v>
      </c>
      <c r="Y1833">
        <v>-7.2129349999999995E-2</v>
      </c>
      <c r="Z1833">
        <v>-1.786972E-3</v>
      </c>
      <c r="AA1833">
        <v>0.99739370000000005</v>
      </c>
      <c r="AB1833">
        <v>48</v>
      </c>
      <c r="AC1833">
        <v>-21.735399999999899</v>
      </c>
      <c r="AD1833">
        <v>-1.108520184204</v>
      </c>
      <c r="AE1833">
        <v>-1.61290000000002</v>
      </c>
      <c r="AF1833">
        <v>-1.60479718868815</v>
      </c>
      <c r="AG1833">
        <v>-1.108520184204</v>
      </c>
      <c r="AH1833">
        <v>21.679611504211302</v>
      </c>
      <c r="AI1833">
        <v>92.919121314962297</v>
      </c>
      <c r="AJ1833">
        <v>94.233503632473401</v>
      </c>
      <c r="AK1833">
        <v>21.767171290480999</v>
      </c>
      <c r="AL1833">
        <v>86.835610538294603</v>
      </c>
      <c r="AM1833">
        <v>89.608360337510007</v>
      </c>
      <c r="AN1833">
        <v>0.99999996000269797</v>
      </c>
    </row>
    <row r="1834" spans="1:40" x14ac:dyDescent="0.25">
      <c r="A1834" t="str">
        <f>"20190312151302365"</f>
        <v>20190312151302365</v>
      </c>
      <c r="B1834" t="str">
        <f>"1552374782362059"</f>
        <v>1552374782362059</v>
      </c>
      <c r="C1834" t="s">
        <v>40</v>
      </c>
      <c r="D1834">
        <v>4.4735079999999998</v>
      </c>
      <c r="E1834">
        <v>0.47152549999999999</v>
      </c>
      <c r="F1834" t="s">
        <v>54</v>
      </c>
      <c r="G1834">
        <v>-343.08679999999998</v>
      </c>
      <c r="H1834" s="1">
        <v>1.058348E-7</v>
      </c>
      <c r="I1834">
        <v>281.23059999999998</v>
      </c>
      <c r="J1834">
        <v>-318.5539</v>
      </c>
      <c r="K1834">
        <v>1.108519</v>
      </c>
      <c r="L1834">
        <v>283.01859999999999</v>
      </c>
      <c r="M1834">
        <v>-0.99997760000000002</v>
      </c>
      <c r="N1834">
        <v>0</v>
      </c>
      <c r="O1834">
        <v>-5.1723229999999995E-4</v>
      </c>
      <c r="P1834">
        <v>-0.99878469999999997</v>
      </c>
      <c r="Q1834">
        <v>4.8852560000000003E-2</v>
      </c>
      <c r="R1834">
        <v>6.5505110000000002E-3</v>
      </c>
      <c r="S1834">
        <v>-3.0112610000000002</v>
      </c>
      <c r="T1834">
        <v>-0.13337560000000001</v>
      </c>
      <c r="U1834">
        <v>-0.2151489</v>
      </c>
      <c r="V1834">
        <v>7.0190900000000004E-3</v>
      </c>
      <c r="W1834">
        <v>5.5546119999999997E-2</v>
      </c>
      <c r="X1834">
        <v>0.99843139999999997</v>
      </c>
      <c r="Y1834">
        <v>-7.068207E-2</v>
      </c>
      <c r="Z1834">
        <v>-1.5397099999999999E-3</v>
      </c>
      <c r="AA1834">
        <v>0.99749770000000004</v>
      </c>
      <c r="AB1834">
        <v>48</v>
      </c>
      <c r="AC1834">
        <v>-24.532899999999898</v>
      </c>
      <c r="AD1834">
        <v>-1.1085188941652</v>
      </c>
      <c r="AE1834">
        <v>-1.78800000000001</v>
      </c>
      <c r="AF1834">
        <v>-1.77171210709848</v>
      </c>
      <c r="AG1834">
        <v>-1.1085188941652</v>
      </c>
      <c r="AH1834">
        <v>24.4840968978056</v>
      </c>
      <c r="AI1834">
        <v>92.585548213925193</v>
      </c>
      <c r="AJ1834">
        <v>94.138809043291701</v>
      </c>
      <c r="AK1834">
        <v>24.5731312378031</v>
      </c>
      <c r="AL1834">
        <v>86.815802756822904</v>
      </c>
      <c r="AM1834">
        <v>89.597210576619005</v>
      </c>
      <c r="AN1834">
        <v>0.99999994978871998</v>
      </c>
    </row>
    <row r="1835" spans="1:40" x14ac:dyDescent="0.25">
      <c r="A1835" t="str">
        <f>"20190312151302386"</f>
        <v>20190312151302386</v>
      </c>
      <c r="B1835" t="str">
        <f>"1552374782381579"</f>
        <v>1552374782381579</v>
      </c>
      <c r="C1835" t="s">
        <v>40</v>
      </c>
      <c r="D1835">
        <v>4.4833030000000003</v>
      </c>
      <c r="E1835">
        <v>0.47169630000000001</v>
      </c>
      <c r="F1835" t="s">
        <v>54</v>
      </c>
      <c r="G1835">
        <v>-346.79570000000001</v>
      </c>
      <c r="H1835" s="1">
        <v>2.0795519999999999E-6</v>
      </c>
      <c r="I1835">
        <v>281.0102</v>
      </c>
      <c r="J1835">
        <v>-319.01170000000002</v>
      </c>
      <c r="K1835">
        <v>1.1086400000000001</v>
      </c>
      <c r="L1835">
        <v>283.01819999999998</v>
      </c>
      <c r="M1835">
        <v>-0.99997860000000005</v>
      </c>
      <c r="N1835">
        <v>0</v>
      </c>
      <c r="O1835">
        <v>-8.1614640000000004E-4</v>
      </c>
      <c r="P1835">
        <v>-0.99875440000000004</v>
      </c>
      <c r="Q1835">
        <v>4.9541099999999998E-2</v>
      </c>
      <c r="R1835">
        <v>5.9649000000000004E-3</v>
      </c>
      <c r="S1835">
        <v>-3.0108030000000001</v>
      </c>
      <c r="T1835">
        <v>-0.1181767</v>
      </c>
      <c r="U1835">
        <v>-0.2141113</v>
      </c>
      <c r="V1835">
        <v>6.7284290000000002E-3</v>
      </c>
      <c r="W1835">
        <v>5.603412E-2</v>
      </c>
      <c r="X1835">
        <v>0.99840620000000002</v>
      </c>
      <c r="Y1835">
        <v>-7.0068030000000003E-2</v>
      </c>
      <c r="Z1835">
        <v>-1.34087299999999E-3</v>
      </c>
      <c r="AA1835">
        <v>0.99754129999999996</v>
      </c>
      <c r="AB1835">
        <v>48</v>
      </c>
      <c r="AC1835">
        <v>-27.783999999999899</v>
      </c>
      <c r="AD1835">
        <v>-1.1086379204479999</v>
      </c>
      <c r="AE1835">
        <v>-2.00799999999998</v>
      </c>
      <c r="AF1835">
        <v>-1.9821834640587299</v>
      </c>
      <c r="AG1835">
        <v>-1.1086379204479999</v>
      </c>
      <c r="AH1835">
        <v>27.741689576043299</v>
      </c>
      <c r="AI1835">
        <v>92.2826735648745</v>
      </c>
      <c r="AJ1835">
        <v>94.086919979789698</v>
      </c>
      <c r="AK1835">
        <v>27.834501430012999</v>
      </c>
      <c r="AL1835">
        <v>86.787799016104003</v>
      </c>
      <c r="AM1835">
        <v>89.613879853266695</v>
      </c>
      <c r="AN1835">
        <v>1.0000000172797101</v>
      </c>
    </row>
    <row r="1836" spans="1:40" x14ac:dyDescent="0.25">
      <c r="A1836" t="str">
        <f>"20190312151302410"</f>
        <v>20190312151302410</v>
      </c>
      <c r="B1836" t="str">
        <f>"1552374782402075"</f>
        <v>1552374782402075</v>
      </c>
      <c r="C1836" t="s">
        <v>40</v>
      </c>
      <c r="D1836">
        <v>4.5064929999999999</v>
      </c>
      <c r="E1836">
        <v>0.47165119999999999</v>
      </c>
      <c r="F1836" t="s">
        <v>54</v>
      </c>
      <c r="G1836">
        <v>-348.81150000000002</v>
      </c>
      <c r="H1836" s="1">
        <v>3.1522430000000002E-6</v>
      </c>
      <c r="I1836">
        <v>280.89980000000003</v>
      </c>
      <c r="J1836">
        <v>-319.53230000000002</v>
      </c>
      <c r="K1836">
        <v>1.1088089999999999</v>
      </c>
      <c r="L1836">
        <v>283.01769999999999</v>
      </c>
      <c r="M1836">
        <v>-0.99997809999999998</v>
      </c>
      <c r="N1836">
        <v>0</v>
      </c>
      <c r="O1836">
        <v>-1.1591399999999999E-3</v>
      </c>
      <c r="P1836">
        <v>-0.99875429999999998</v>
      </c>
      <c r="Q1836">
        <v>4.9586930000000001E-2</v>
      </c>
      <c r="R1836">
        <v>5.6012559999999998E-3</v>
      </c>
      <c r="S1836">
        <v>-3.0105900000000001</v>
      </c>
      <c r="T1836">
        <v>-0.1120024</v>
      </c>
      <c r="U1836">
        <v>-0.21401980000000001</v>
      </c>
      <c r="V1836">
        <v>6.7036509999999997E-3</v>
      </c>
      <c r="W1836">
        <v>5.611791E-2</v>
      </c>
      <c r="X1836">
        <v>0.9984016</v>
      </c>
      <c r="Y1836">
        <v>-6.9706580000000004E-2</v>
      </c>
      <c r="Z1836">
        <v>-1.2515060000000001E-3</v>
      </c>
      <c r="AA1836">
        <v>0.99756679999999998</v>
      </c>
      <c r="AB1836">
        <v>49</v>
      </c>
      <c r="AC1836">
        <v>-29.279199999999999</v>
      </c>
      <c r="AD1836">
        <v>-1.108805847757</v>
      </c>
      <c r="AE1836">
        <v>-2.1178999999999601</v>
      </c>
      <c r="AF1836">
        <v>-2.0809902603468902</v>
      </c>
      <c r="AG1836">
        <v>-1.108805847757</v>
      </c>
      <c r="AH1836">
        <v>29.239919354717699</v>
      </c>
      <c r="AI1836">
        <v>92.166196648760504</v>
      </c>
      <c r="AJ1836">
        <v>94.070847806410598</v>
      </c>
      <c r="AK1836">
        <v>29.3348402883341</v>
      </c>
      <c r="AL1836">
        <v>86.782990442146001</v>
      </c>
      <c r="AM1836">
        <v>89.615299957650294</v>
      </c>
      <c r="AN1836">
        <v>0.99999995682102805</v>
      </c>
    </row>
    <row r="1837" spans="1:40" x14ac:dyDescent="0.25">
      <c r="A1837" t="str">
        <f>"20190312151302431"</f>
        <v>20190312151302431</v>
      </c>
      <c r="B1837" t="str">
        <f>"1552374782421594"</f>
        <v>1552374782421594</v>
      </c>
      <c r="C1837" t="s">
        <v>40</v>
      </c>
      <c r="D1837">
        <v>4.487152</v>
      </c>
      <c r="E1837">
        <v>0.47159190000000001</v>
      </c>
      <c r="F1837" t="s">
        <v>54</v>
      </c>
      <c r="G1837">
        <v>-349.44929999999999</v>
      </c>
      <c r="H1837" s="1">
        <v>3.4916869999999998E-6</v>
      </c>
      <c r="I1837">
        <v>280.87299999999999</v>
      </c>
      <c r="J1837">
        <v>-319.99959999999999</v>
      </c>
      <c r="K1837">
        <v>1.10894</v>
      </c>
      <c r="L1837">
        <v>283.01690000000002</v>
      </c>
      <c r="M1837">
        <v>-0.99997689999999995</v>
      </c>
      <c r="N1837">
        <v>0</v>
      </c>
      <c r="O1837">
        <v>-1.4757289999999901E-3</v>
      </c>
      <c r="P1837">
        <v>-0.99877039999999995</v>
      </c>
      <c r="Q1837">
        <v>4.9244240000000002E-2</v>
      </c>
      <c r="R1837">
        <v>5.7238690000000004E-3</v>
      </c>
      <c r="S1837">
        <v>-3.0104980000000001</v>
      </c>
      <c r="T1837">
        <v>-0.1115773</v>
      </c>
      <c r="U1837">
        <v>-0.21582029999999999</v>
      </c>
      <c r="V1837">
        <v>7.1398109999999898E-3</v>
      </c>
      <c r="W1837">
        <v>5.587748E-2</v>
      </c>
      <c r="X1837">
        <v>0.99841210000000002</v>
      </c>
      <c r="Y1837">
        <v>-6.9986880000000001E-2</v>
      </c>
      <c r="Z1837">
        <v>-1.240241E-3</v>
      </c>
      <c r="AA1837">
        <v>0.99754710000000002</v>
      </c>
      <c r="AB1837">
        <v>49</v>
      </c>
      <c r="AC1837">
        <v>-29.4497</v>
      </c>
      <c r="AD1837">
        <v>-1.1089365083130001</v>
      </c>
      <c r="AE1837">
        <v>-2.1439000000000301</v>
      </c>
      <c r="AF1837">
        <v>-2.0974785548474801</v>
      </c>
      <c r="AG1837">
        <v>-1.1089365083130001</v>
      </c>
      <c r="AH1837">
        <v>29.4113487335493</v>
      </c>
      <c r="AI1837">
        <v>92.153813803289395</v>
      </c>
      <c r="AJ1837">
        <v>94.079158527561503</v>
      </c>
      <c r="AK1837">
        <v>29.506890564645499</v>
      </c>
      <c r="AL1837">
        <v>86.796787840559105</v>
      </c>
      <c r="AM1837">
        <v>89.590275334524904</v>
      </c>
      <c r="AN1837">
        <v>0.99999999554933805</v>
      </c>
    </row>
    <row r="1838" spans="1:40" x14ac:dyDescent="0.25">
      <c r="A1838" t="str">
        <f>"20190312151302454"</f>
        <v>20190312151302454</v>
      </c>
      <c r="B1838" t="str">
        <f>"1552374782442090"</f>
        <v>1552374782442090</v>
      </c>
      <c r="C1838" t="s">
        <v>40</v>
      </c>
      <c r="D1838">
        <v>4.4628940000000004</v>
      </c>
      <c r="E1838">
        <v>0.47153339999999999</v>
      </c>
      <c r="F1838" t="s">
        <v>54</v>
      </c>
      <c r="G1838">
        <v>-349.6474</v>
      </c>
      <c r="H1838" s="1">
        <v>3.597092E-6</v>
      </c>
      <c r="I1838">
        <v>280.88760000000002</v>
      </c>
      <c r="J1838">
        <v>-320.49849999999998</v>
      </c>
      <c r="K1838">
        <v>1.1090359999999999</v>
      </c>
      <c r="L1838">
        <v>283.01600000000002</v>
      </c>
      <c r="M1838">
        <v>-0.99997539999999996</v>
      </c>
      <c r="N1838">
        <v>0</v>
      </c>
      <c r="O1838">
        <v>-1.8261250000000001E-3</v>
      </c>
      <c r="P1838">
        <v>-0.99878880000000003</v>
      </c>
      <c r="Q1838">
        <v>4.8882370000000001E-2</v>
      </c>
      <c r="R1838">
        <v>5.5842069999999999E-3</v>
      </c>
      <c r="S1838">
        <v>-3.0104980000000001</v>
      </c>
      <c r="T1838">
        <v>-0.1126037</v>
      </c>
      <c r="U1838">
        <v>-0.21621699999999999</v>
      </c>
      <c r="V1838">
        <v>7.3483759999999898E-3</v>
      </c>
      <c r="W1838">
        <v>5.5646569999999999E-2</v>
      </c>
      <c r="X1838">
        <v>0.99842350000000002</v>
      </c>
      <c r="Y1838">
        <v>-6.976765E-2</v>
      </c>
      <c r="Z1838">
        <v>-1.234459E-3</v>
      </c>
      <c r="AA1838">
        <v>0.99756250000000002</v>
      </c>
      <c r="AB1838">
        <v>49</v>
      </c>
      <c r="AC1838">
        <v>-29.148900000000001</v>
      </c>
      <c r="AD1838">
        <v>-1.1090324029080001</v>
      </c>
      <c r="AE1838">
        <v>-2.1283999999999401</v>
      </c>
      <c r="AF1838">
        <v>-2.0721819437353801</v>
      </c>
      <c r="AG1838">
        <v>-1.1090324029080001</v>
      </c>
      <c r="AH1838">
        <v>29.110821302323799</v>
      </c>
      <c r="AI1838">
        <v>92.176236021550693</v>
      </c>
      <c r="AJ1838">
        <v>94.071591023368399</v>
      </c>
      <c r="AK1838">
        <v>29.205544127347999</v>
      </c>
      <c r="AL1838">
        <v>86.810038679858096</v>
      </c>
      <c r="AM1838">
        <v>89.578311879671602</v>
      </c>
      <c r="AN1838">
        <v>1.00000001236742</v>
      </c>
    </row>
    <row r="1839" spans="1:40" x14ac:dyDescent="0.25">
      <c r="A1839" t="str">
        <f>"20190312151302477"</f>
        <v>20190312151302477</v>
      </c>
      <c r="B1839" t="str">
        <f>"1552374782471370"</f>
        <v>1552374782471370</v>
      </c>
      <c r="C1839" t="s">
        <v>40</v>
      </c>
      <c r="D1839">
        <v>4.7093230000000004</v>
      </c>
      <c r="E1839">
        <v>0.47140860000000001</v>
      </c>
      <c r="F1839" t="s">
        <v>54</v>
      </c>
      <c r="G1839">
        <v>-349.99400000000003</v>
      </c>
      <c r="H1839" s="1">
        <v>-1.539975E-6</v>
      </c>
      <c r="I1839">
        <v>280.8879</v>
      </c>
      <c r="J1839">
        <v>-320.99009999999998</v>
      </c>
      <c r="K1839">
        <v>1.109105</v>
      </c>
      <c r="L1839">
        <v>283.01490000000001</v>
      </c>
      <c r="M1839">
        <v>-0.99997380000000002</v>
      </c>
      <c r="N1839">
        <v>0</v>
      </c>
      <c r="O1839">
        <v>-2.1841569999999999E-3</v>
      </c>
      <c r="P1839">
        <v>-0.99880939999999996</v>
      </c>
      <c r="Q1839">
        <v>4.8499260000000002E-2</v>
      </c>
      <c r="R1839">
        <v>5.2952579999999997E-3</v>
      </c>
      <c r="S1839">
        <v>-3.010345</v>
      </c>
      <c r="T1839">
        <v>-0.1131897</v>
      </c>
      <c r="U1839">
        <v>-0.21719359999999999</v>
      </c>
      <c r="V1839">
        <v>7.4165489999999997E-3</v>
      </c>
      <c r="W1839">
        <v>5.5409470000000002E-2</v>
      </c>
      <c r="X1839">
        <v>0.9984362</v>
      </c>
      <c r="Y1839">
        <v>-6.9735809999999995E-2</v>
      </c>
      <c r="Z1839">
        <v>-1.2268890000000001E-3</v>
      </c>
      <c r="AA1839">
        <v>0.99756469999999997</v>
      </c>
      <c r="AB1839">
        <v>49</v>
      </c>
      <c r="AC1839">
        <v>-29.003900000000002</v>
      </c>
      <c r="AD1839">
        <v>-1.109106539975</v>
      </c>
      <c r="AE1839">
        <v>-2.1269999999999998</v>
      </c>
      <c r="AF1839">
        <v>-2.0606471997530198</v>
      </c>
      <c r="AG1839">
        <v>-1.109106539975</v>
      </c>
      <c r="AH1839">
        <v>28.9663459864183</v>
      </c>
      <c r="AI1839">
        <v>92.187232650193806</v>
      </c>
      <c r="AJ1839">
        <v>94.069129735185797</v>
      </c>
      <c r="AK1839">
        <v>29.060722358602099</v>
      </c>
      <c r="AL1839">
        <v>86.823644557188302</v>
      </c>
      <c r="AM1839">
        <v>89.574405314192106</v>
      </c>
      <c r="AN1839">
        <v>1.00000003001759</v>
      </c>
    </row>
    <row r="1840" spans="1:40" x14ac:dyDescent="0.25">
      <c r="A1840" t="str">
        <f>"20190312151302499"</f>
        <v>20190312151302499</v>
      </c>
      <c r="B1840" t="str">
        <f>"1552374782491868"</f>
        <v>1552374782491868</v>
      </c>
      <c r="C1840" t="s">
        <v>40</v>
      </c>
      <c r="D1840">
        <v>4.4672269999999896</v>
      </c>
      <c r="E1840">
        <v>0.4651843</v>
      </c>
      <c r="F1840" t="s">
        <v>54</v>
      </c>
      <c r="G1840">
        <v>-349.6388</v>
      </c>
      <c r="H1840" s="1">
        <v>3.592504E-6</v>
      </c>
      <c r="I1840">
        <v>280.93169999999998</v>
      </c>
      <c r="J1840">
        <v>-321.4692</v>
      </c>
      <c r="K1840">
        <v>1.1091580000000001</v>
      </c>
      <c r="L1840">
        <v>283.01369999999997</v>
      </c>
      <c r="M1840">
        <v>-0.99997179999999997</v>
      </c>
      <c r="N1840">
        <v>0</v>
      </c>
      <c r="O1840">
        <v>-2.5427900000000001E-3</v>
      </c>
      <c r="P1840">
        <v>-0.99881629999999999</v>
      </c>
      <c r="Q1840">
        <v>4.8353300000000002E-2</v>
      </c>
      <c r="R1840">
        <v>5.2997399999999998E-3</v>
      </c>
      <c r="S1840">
        <v>-3.010345</v>
      </c>
      <c r="T1840">
        <v>-0.11654200000000001</v>
      </c>
      <c r="U1840">
        <v>-0.2189026</v>
      </c>
      <c r="V1840">
        <v>7.7788110000000001E-3</v>
      </c>
      <c r="W1840">
        <v>5.5418040000000002E-2</v>
      </c>
      <c r="X1840">
        <v>0.99843289999999996</v>
      </c>
      <c r="Y1840">
        <v>-6.9938650000000005E-2</v>
      </c>
      <c r="Z1840">
        <v>-1.253232E-3</v>
      </c>
      <c r="AA1840">
        <v>0.99755050000000001</v>
      </c>
      <c r="AB1840">
        <v>49</v>
      </c>
      <c r="AC1840">
        <v>-28.169599999999999</v>
      </c>
      <c r="AD1840">
        <v>-1.109154407496</v>
      </c>
      <c r="AE1840">
        <v>-2.0819999999999901</v>
      </c>
      <c r="AF1840">
        <v>-2.0072670942981898</v>
      </c>
      <c r="AG1840">
        <v>-1.109154407496</v>
      </c>
      <c r="AH1840">
        <v>28.131427246903201</v>
      </c>
      <c r="AI1840">
        <v>92.2521451171324</v>
      </c>
      <c r="AJ1840">
        <v>94.081319685812701</v>
      </c>
      <c r="AK1840">
        <v>28.2247505504535</v>
      </c>
      <c r="AL1840">
        <v>86.823152561805799</v>
      </c>
      <c r="AM1840">
        <v>89.553616449935802</v>
      </c>
      <c r="AN1840">
        <v>0.99999996243021105</v>
      </c>
    </row>
    <row r="1841" spans="1:40" x14ac:dyDescent="0.25">
      <c r="A1841" t="str">
        <f>"20190312151302520"</f>
        <v>20190312151302520</v>
      </c>
      <c r="B1841" t="str">
        <f>"1552374782511892"</f>
        <v>1552374782511892</v>
      </c>
      <c r="C1841" t="s">
        <v>40</v>
      </c>
      <c r="D1841">
        <v>4.4603739999999998</v>
      </c>
      <c r="E1841">
        <v>0.47293380000000002</v>
      </c>
      <c r="F1841" t="s">
        <v>54</v>
      </c>
      <c r="G1841">
        <v>-336.1705</v>
      </c>
      <c r="H1841" s="1">
        <v>1.874707E-6</v>
      </c>
      <c r="I1841">
        <v>281.69080000000002</v>
      </c>
      <c r="J1841">
        <v>-321.94850000000002</v>
      </c>
      <c r="K1841">
        <v>1.1091899999999999</v>
      </c>
      <c r="L1841">
        <v>283.01229999999998</v>
      </c>
      <c r="M1841">
        <v>-0.99996969999999996</v>
      </c>
      <c r="N1841">
        <v>0</v>
      </c>
      <c r="O1841">
        <v>-2.908229E-3</v>
      </c>
      <c r="P1841">
        <v>-0.99882099999999996</v>
      </c>
      <c r="Q1841">
        <v>4.8304920000000001E-2</v>
      </c>
      <c r="R1841">
        <v>4.8460999999999999E-3</v>
      </c>
      <c r="S1841">
        <v>-3.016022</v>
      </c>
      <c r="T1841">
        <v>-0.22754720000000001</v>
      </c>
      <c r="U1841">
        <v>-0.27139279999999999</v>
      </c>
      <c r="V1841">
        <v>7.690044E-3</v>
      </c>
      <c r="W1841">
        <v>5.5528979999999999E-2</v>
      </c>
      <c r="X1841">
        <v>0.99842750000000002</v>
      </c>
      <c r="Y1841">
        <v>-8.6489010000000005E-2</v>
      </c>
      <c r="Z1841">
        <v>-3.0327990000000001E-3</v>
      </c>
      <c r="AA1841">
        <v>0.99624820000000003</v>
      </c>
      <c r="AB1841">
        <v>49</v>
      </c>
      <c r="AC1841">
        <v>-14.2219999999999</v>
      </c>
      <c r="AD1841">
        <v>-1.10918812529299</v>
      </c>
      <c r="AE1841">
        <v>-1.3214999999999499</v>
      </c>
      <c r="AF1841">
        <v>-1.27245889880921</v>
      </c>
      <c r="AG1841">
        <v>-1.10918812529299</v>
      </c>
      <c r="AH1841">
        <v>14.140508421785301</v>
      </c>
      <c r="AI1841">
        <v>94.467147395913003</v>
      </c>
      <c r="AJ1841">
        <v>95.142013507837305</v>
      </c>
      <c r="AK1841">
        <v>14.240906866243799</v>
      </c>
      <c r="AL1841">
        <v>86.816786607493796</v>
      </c>
      <c r="AM1841">
        <v>89.5587077148421</v>
      </c>
      <c r="AN1841">
        <v>1.0000000385764001</v>
      </c>
    </row>
    <row r="1842" spans="1:40" x14ac:dyDescent="0.25">
      <c r="A1842" t="str">
        <f>"20190312151302553"</f>
        <v>20190312151302553</v>
      </c>
      <c r="B1842" t="str">
        <f>"1552374782542149"</f>
        <v>1552374782542149</v>
      </c>
      <c r="C1842" t="s">
        <v>40</v>
      </c>
      <c r="D1842">
        <v>4.6779729999999997</v>
      </c>
      <c r="E1842">
        <v>0.46598230000000002</v>
      </c>
      <c r="F1842" t="s">
        <v>54</v>
      </c>
      <c r="G1842">
        <v>-361.57479999999998</v>
      </c>
      <c r="H1842" s="1">
        <v>-6.9877969999999898E-7</v>
      </c>
      <c r="I1842">
        <v>280.28100000000001</v>
      </c>
      <c r="J1842">
        <v>-322.67079999999999</v>
      </c>
      <c r="K1842">
        <v>1.1092249999999999</v>
      </c>
      <c r="L1842">
        <v>283.00979999999998</v>
      </c>
      <c r="M1842">
        <v>-0.99996629999999997</v>
      </c>
      <c r="N1842">
        <v>0</v>
      </c>
      <c r="O1842">
        <v>-3.4615240000000001E-3</v>
      </c>
      <c r="P1842">
        <v>-0.99883080000000002</v>
      </c>
      <c r="Q1842">
        <v>4.8167290000000001E-2</v>
      </c>
      <c r="R1842">
        <v>4.1560219999999997E-3</v>
      </c>
      <c r="S1842">
        <v>-3.0086059999999999</v>
      </c>
      <c r="T1842">
        <v>-8.4214810000000001E-2</v>
      </c>
      <c r="U1842">
        <v>-0.20736689999999999</v>
      </c>
      <c r="V1842">
        <v>7.5522810000000001E-3</v>
      </c>
      <c r="W1842">
        <v>5.5622770000000002E-2</v>
      </c>
      <c r="X1842">
        <v>0.99842330000000001</v>
      </c>
      <c r="Y1842">
        <v>-6.5283519999999998E-2</v>
      </c>
      <c r="Z1842">
        <v>-8.1566620000000001E-4</v>
      </c>
      <c r="AA1842">
        <v>0.99786649999999999</v>
      </c>
      <c r="AB1842">
        <v>49</v>
      </c>
      <c r="AC1842">
        <v>-38.904000000000003</v>
      </c>
      <c r="AD1842">
        <v>-1.1092256987797</v>
      </c>
      <c r="AE1842">
        <v>-2.7287999999999699</v>
      </c>
      <c r="AF1842">
        <v>-2.5920159866384598</v>
      </c>
      <c r="AG1842">
        <v>-1.1092256987797</v>
      </c>
      <c r="AH1842">
        <v>38.881759707932403</v>
      </c>
      <c r="AI1842">
        <v>91.630483853846599</v>
      </c>
      <c r="AJ1842">
        <v>93.813926180147206</v>
      </c>
      <c r="AK1842">
        <v>38.983844942632601</v>
      </c>
      <c r="AL1842">
        <v>86.811404419904804</v>
      </c>
      <c r="AM1842">
        <v>89.566611101339504</v>
      </c>
      <c r="AN1842">
        <v>1.0000000077368301</v>
      </c>
    </row>
    <row r="1843" spans="1:40" x14ac:dyDescent="0.25">
      <c r="A1843" t="str">
        <f>"20190312151302575"</f>
        <v>20190312151302575</v>
      </c>
      <c r="B1843" t="str">
        <f>"1552374782571429"</f>
        <v>1552374782571429</v>
      </c>
      <c r="C1843" t="s">
        <v>40</v>
      </c>
      <c r="D1843">
        <v>4.8209569999999999</v>
      </c>
      <c r="E1843">
        <v>0.48810009999999998</v>
      </c>
      <c r="F1843" t="s">
        <v>54</v>
      </c>
      <c r="G1843">
        <v>-337.99930000000001</v>
      </c>
      <c r="H1843" s="1">
        <v>2.8499590000000002E-6</v>
      </c>
      <c r="I1843">
        <v>281.64460000000003</v>
      </c>
      <c r="J1843">
        <v>-323.15499999999997</v>
      </c>
      <c r="K1843">
        <v>1.1092409999999999</v>
      </c>
      <c r="L1843">
        <v>283.00790000000001</v>
      </c>
      <c r="M1843">
        <v>-0.99996359999999995</v>
      </c>
      <c r="N1843">
        <v>0</v>
      </c>
      <c r="O1843">
        <v>-3.8311280000000001E-3</v>
      </c>
      <c r="P1843">
        <v>-0.99884209999999995</v>
      </c>
      <c r="Q1843">
        <v>4.7940789999999997E-2</v>
      </c>
      <c r="R1843">
        <v>4.0200409999999898E-3</v>
      </c>
      <c r="S1843">
        <v>-3.0151669999999999</v>
      </c>
      <c r="T1843">
        <v>-0.21818670000000001</v>
      </c>
      <c r="U1843">
        <v>-0.26852419999999999</v>
      </c>
      <c r="V1843">
        <v>7.7850419999999998E-3</v>
      </c>
      <c r="W1843">
        <v>5.5541840000000002E-2</v>
      </c>
      <c r="X1843">
        <v>0.99842600000000004</v>
      </c>
      <c r="Y1843">
        <v>-8.468022E-2</v>
      </c>
      <c r="Z1843">
        <v>-2.7775180000000001E-3</v>
      </c>
      <c r="AA1843">
        <v>0.99640430000000002</v>
      </c>
      <c r="AB1843">
        <v>49</v>
      </c>
      <c r="AC1843">
        <v>-14.8443</v>
      </c>
      <c r="AD1843">
        <v>-1.109238150041</v>
      </c>
      <c r="AE1843">
        <v>-1.36329999999998</v>
      </c>
      <c r="AF1843">
        <v>-1.29922399423321</v>
      </c>
      <c r="AG1843">
        <v>-1.109238150041</v>
      </c>
      <c r="AH1843">
        <v>14.7676442497967</v>
      </c>
      <c r="AI1843">
        <v>94.2791097241915</v>
      </c>
      <c r="AJ1843">
        <v>95.027808083951996</v>
      </c>
      <c r="AK1843">
        <v>14.866126225390801</v>
      </c>
      <c r="AL1843">
        <v>86.816048490639901</v>
      </c>
      <c r="AM1843">
        <v>89.553255814057707</v>
      </c>
      <c r="AN1843">
        <v>0.99999999017276298</v>
      </c>
    </row>
    <row r="1844" spans="1:40" x14ac:dyDescent="0.25">
      <c r="A1844" t="str">
        <f>"20190312151302597"</f>
        <v>20190312151302597</v>
      </c>
      <c r="B1844" t="str">
        <f>"1552374782591925"</f>
        <v>1552374782591925</v>
      </c>
      <c r="C1844" t="s">
        <v>40</v>
      </c>
      <c r="D1844">
        <v>4.7658490000000002</v>
      </c>
      <c r="E1844">
        <v>0.49036489999999999</v>
      </c>
      <c r="F1844" t="s">
        <v>54</v>
      </c>
      <c r="G1844">
        <v>-370.52100000000002</v>
      </c>
      <c r="H1844" s="1">
        <v>-1.259531E-6</v>
      </c>
      <c r="I1844">
        <v>281.613</v>
      </c>
      <c r="J1844">
        <v>-323.64890000000003</v>
      </c>
      <c r="K1844">
        <v>1.109251</v>
      </c>
      <c r="L1844">
        <v>283.0059</v>
      </c>
      <c r="M1844">
        <v>-0.99996130000000005</v>
      </c>
      <c r="N1844">
        <v>0</v>
      </c>
      <c r="O1844">
        <v>-4.2065560000000002E-3</v>
      </c>
      <c r="P1844">
        <v>-0.99885000000000002</v>
      </c>
      <c r="Q1844">
        <v>4.7809459999999998E-2</v>
      </c>
      <c r="R1844">
        <v>3.6311469999999999E-3</v>
      </c>
      <c r="S1844">
        <v>-3.0072019999999999</v>
      </c>
      <c r="T1844">
        <v>-7.0424319999999999E-2</v>
      </c>
      <c r="U1844">
        <v>-8.8562009999999997E-2</v>
      </c>
      <c r="V1844">
        <v>7.770758E-3</v>
      </c>
      <c r="W1844">
        <v>5.5547539999999999E-2</v>
      </c>
      <c r="X1844">
        <v>0.99842580000000003</v>
      </c>
      <c r="Y1844">
        <v>-2.5226330000000002E-2</v>
      </c>
      <c r="Z1844">
        <v>-1.967998E-4</v>
      </c>
      <c r="AA1844">
        <v>0.99968179999999995</v>
      </c>
      <c r="AB1844">
        <v>49</v>
      </c>
      <c r="AC1844">
        <v>-46.872099999999897</v>
      </c>
      <c r="AD1844">
        <v>-1.1092522595309999</v>
      </c>
      <c r="AE1844">
        <v>-1.39289999999999</v>
      </c>
      <c r="AF1844">
        <v>-1.1950429748128399</v>
      </c>
      <c r="AG1844">
        <v>-1.1092522595309999</v>
      </c>
      <c r="AH1844">
        <v>46.851328518435601</v>
      </c>
      <c r="AI1844">
        <v>91.355840914337307</v>
      </c>
      <c r="AJ1844">
        <v>91.461134131709301</v>
      </c>
      <c r="AK1844">
        <v>46.879692322255003</v>
      </c>
      <c r="AL1844">
        <v>86.815721418282905</v>
      </c>
      <c r="AM1844">
        <v>89.554075378121098</v>
      </c>
      <c r="AN1844">
        <v>0.99999999599279299</v>
      </c>
    </row>
    <row r="1845" spans="1:40" x14ac:dyDescent="0.25">
      <c r="A1845" t="str">
        <f>"20190312151302621"</f>
        <v>20190312151302621</v>
      </c>
      <c r="B1845" t="str">
        <f>"1552374782611952"</f>
        <v>1552374782611952</v>
      </c>
      <c r="C1845" t="s">
        <v>40</v>
      </c>
      <c r="D1845">
        <v>4.6632660000000001</v>
      </c>
      <c r="E1845">
        <v>0.49014259999999898</v>
      </c>
      <c r="F1845" t="s">
        <v>54</v>
      </c>
      <c r="G1845">
        <v>-360.54219999999998</v>
      </c>
      <c r="H1845" s="1">
        <v>-1.2482519999999999E-6</v>
      </c>
      <c r="I1845">
        <v>282.11950000000002</v>
      </c>
      <c r="J1845">
        <v>-324.16919999999999</v>
      </c>
      <c r="K1845">
        <v>1.1092519999999999</v>
      </c>
      <c r="L1845">
        <v>283.00349999999997</v>
      </c>
      <c r="M1845">
        <v>-0.99995849999999997</v>
      </c>
      <c r="N1845">
        <v>0</v>
      </c>
      <c r="O1845">
        <v>-4.5998590000000004E-3</v>
      </c>
      <c r="P1845">
        <v>-0.99885230000000003</v>
      </c>
      <c r="Q1845">
        <v>4.7757540000000001E-2</v>
      </c>
      <c r="R1845">
        <v>3.6412139999999998E-3</v>
      </c>
      <c r="S1845">
        <v>-3.008057</v>
      </c>
      <c r="T1845">
        <v>-9.0441579999999994E-2</v>
      </c>
      <c r="U1845">
        <v>-7.2265629999999997E-2</v>
      </c>
      <c r="V1845">
        <v>8.1727769999999905E-3</v>
      </c>
      <c r="W1845">
        <v>5.562752E-2</v>
      </c>
      <c r="X1845">
        <v>0.99841820000000003</v>
      </c>
      <c r="Y1845">
        <v>-1.9411479999999998E-2</v>
      </c>
      <c r="Z1845">
        <v>-1.5345690000000001E-4</v>
      </c>
      <c r="AA1845">
        <v>0.99981160000000002</v>
      </c>
      <c r="AB1845">
        <v>49</v>
      </c>
      <c r="AC1845">
        <v>-36.372999999999898</v>
      </c>
      <c r="AD1845">
        <v>-1.1092532482519999</v>
      </c>
      <c r="AE1845">
        <v>-0.88399999999995704</v>
      </c>
      <c r="AF1845">
        <v>-0.71600927583909602</v>
      </c>
      <c r="AG1845">
        <v>-1.1092532482519999</v>
      </c>
      <c r="AH1845">
        <v>36.342901053722699</v>
      </c>
      <c r="AI1845">
        <v>91.747892532062096</v>
      </c>
      <c r="AJ1845">
        <v>91.128666171395693</v>
      </c>
      <c r="AK1845">
        <v>36.366874612104397</v>
      </c>
      <c r="AL1845">
        <v>86.811132005542902</v>
      </c>
      <c r="AM1845">
        <v>89.5310029699598</v>
      </c>
      <c r="AN1845">
        <v>1.0000000586782301</v>
      </c>
    </row>
    <row r="1846" spans="1:40" x14ac:dyDescent="0.25">
      <c r="A1846" t="str">
        <f>"20190312151302643"</f>
        <v>20190312151302643</v>
      </c>
      <c r="B1846" t="str">
        <f>"1552374782631472"</f>
        <v>1552374782631472</v>
      </c>
      <c r="C1846" t="s">
        <v>40</v>
      </c>
      <c r="D1846">
        <v>4.5325850000000001</v>
      </c>
      <c r="E1846">
        <v>0.49086760000000002</v>
      </c>
      <c r="F1846" t="s">
        <v>54</v>
      </c>
      <c r="G1846">
        <v>-361.26870000000002</v>
      </c>
      <c r="H1846" s="1">
        <v>-8.616269E-7</v>
      </c>
      <c r="I1846">
        <v>282.09410000000003</v>
      </c>
      <c r="J1846">
        <v>-324.63990000000001</v>
      </c>
      <c r="K1846">
        <v>1.109256</v>
      </c>
      <c r="L1846">
        <v>283.00119999999998</v>
      </c>
      <c r="M1846">
        <v>-0.99995599999999996</v>
      </c>
      <c r="N1846">
        <v>0</v>
      </c>
      <c r="O1846">
        <v>-4.9545500000000003E-3</v>
      </c>
      <c r="P1846">
        <v>-0.99887040000000005</v>
      </c>
      <c r="Q1846">
        <v>4.7376830000000002E-2</v>
      </c>
      <c r="R1846">
        <v>3.6756110000000001E-3</v>
      </c>
      <c r="S1846">
        <v>-3.008057</v>
      </c>
      <c r="T1846">
        <v>-8.9939000000000005E-2</v>
      </c>
      <c r="U1846">
        <v>-7.3730470000000006E-2</v>
      </c>
      <c r="V1846">
        <v>8.5615469999999992E-3</v>
      </c>
      <c r="W1846">
        <v>5.5354729999999998E-2</v>
      </c>
      <c r="X1846">
        <v>0.99843009999999999</v>
      </c>
      <c r="Y1846">
        <v>-1.9543600000000001E-2</v>
      </c>
      <c r="Z1846">
        <v>-1.4397699999999999E-4</v>
      </c>
      <c r="AA1846">
        <v>0.99980899999999995</v>
      </c>
      <c r="AB1846">
        <v>49</v>
      </c>
      <c r="AC1846">
        <v>-36.628799999999998</v>
      </c>
      <c r="AD1846">
        <v>-1.1092568616268901</v>
      </c>
      <c r="AE1846">
        <v>-0.90709999999995705</v>
      </c>
      <c r="AF1846">
        <v>-0.72493944908701902</v>
      </c>
      <c r="AG1846">
        <v>-1.1092568616268901</v>
      </c>
      <c r="AH1846">
        <v>36.599299996399402</v>
      </c>
      <c r="AI1846">
        <v>91.735657085848501</v>
      </c>
      <c r="AJ1846">
        <v>91.134735913034206</v>
      </c>
      <c r="AK1846">
        <v>36.623281505298699</v>
      </c>
      <c r="AL1846">
        <v>86.826785829696504</v>
      </c>
      <c r="AM1846">
        <v>89.508700222020195</v>
      </c>
      <c r="AN1846">
        <v>1.0000000554032</v>
      </c>
    </row>
    <row r="1847" spans="1:40" x14ac:dyDescent="0.25">
      <c r="A1847" t="str">
        <f>"20190312151302666"</f>
        <v>20190312151302666</v>
      </c>
      <c r="B1847" t="str">
        <f>"1552374782661728"</f>
        <v>1552374782661728</v>
      </c>
      <c r="C1847" t="s">
        <v>40</v>
      </c>
      <c r="D1847">
        <v>4.5328790000000003</v>
      </c>
      <c r="E1847">
        <v>0.49137999999999998</v>
      </c>
      <c r="F1847" t="s">
        <v>54</v>
      </c>
      <c r="G1847">
        <v>-364.62860000000001</v>
      </c>
      <c r="H1847" s="1">
        <v>9.2632329999999995E-7</v>
      </c>
      <c r="I1847">
        <v>282.10000000000002</v>
      </c>
      <c r="J1847">
        <v>-325.15089999999998</v>
      </c>
      <c r="K1847">
        <v>1.109248</v>
      </c>
      <c r="L1847">
        <v>282.9984</v>
      </c>
      <c r="M1847">
        <v>-0.99995319999999999</v>
      </c>
      <c r="N1847">
        <v>0</v>
      </c>
      <c r="O1847">
        <v>-5.3396349999999997E-3</v>
      </c>
      <c r="P1847">
        <v>-0.99885020000000002</v>
      </c>
      <c r="Q1847">
        <v>4.7815030000000001E-2</v>
      </c>
      <c r="R1847">
        <v>3.5076199999999999E-3</v>
      </c>
      <c r="S1847">
        <v>-3.0075989999999999</v>
      </c>
      <c r="T1847">
        <v>-8.3428379999999996E-2</v>
      </c>
      <c r="U1847">
        <v>-6.7779539999999999E-2</v>
      </c>
      <c r="V1847">
        <v>8.7769660000000006E-3</v>
      </c>
      <c r="W1847">
        <v>5.5898429999999999E-2</v>
      </c>
      <c r="X1847">
        <v>0.99839789999999995</v>
      </c>
      <c r="Y1847">
        <v>-1.7187049999999999E-2</v>
      </c>
      <c r="Z1847" s="1">
        <v>-9.0229429999999996E-5</v>
      </c>
      <c r="AA1847">
        <v>0.99985230000000003</v>
      </c>
      <c r="AB1847">
        <v>49</v>
      </c>
      <c r="AC1847">
        <v>-39.477699999999999</v>
      </c>
      <c r="AD1847">
        <v>-1.1092470736766999</v>
      </c>
      <c r="AE1847">
        <v>-0.89839999999997999</v>
      </c>
      <c r="AF1847">
        <v>-0.68704168308634594</v>
      </c>
      <c r="AG1847">
        <v>-1.1092470736766999</v>
      </c>
      <c r="AH1847">
        <v>39.450804112731397</v>
      </c>
      <c r="AI1847">
        <v>91.610329845980502</v>
      </c>
      <c r="AJ1847">
        <v>90.997713755252605</v>
      </c>
      <c r="AK1847">
        <v>39.472375156378199</v>
      </c>
      <c r="AL1847">
        <v>86.795585687501003</v>
      </c>
      <c r="AM1847">
        <v>89.496322904292896</v>
      </c>
      <c r="AN1847">
        <v>1.0000000181665101</v>
      </c>
    </row>
    <row r="1848" spans="1:40" x14ac:dyDescent="0.25">
      <c r="A1848" t="str">
        <f>"20190312151302710"</f>
        <v>20190312151302710</v>
      </c>
      <c r="B1848" t="str">
        <f>"1552374782701743"</f>
        <v>1552374782701743</v>
      </c>
      <c r="C1848" t="s">
        <v>40</v>
      </c>
      <c r="D1848">
        <v>4.6275690000000003</v>
      </c>
      <c r="E1848">
        <v>0.49103799999999997</v>
      </c>
      <c r="F1848" t="s">
        <v>54</v>
      </c>
      <c r="G1848">
        <v>-372.94760000000002</v>
      </c>
      <c r="H1848" s="1">
        <v>3.178553E-8</v>
      </c>
      <c r="I1848">
        <v>281.97969999999998</v>
      </c>
      <c r="J1848">
        <v>-326.12970000000001</v>
      </c>
      <c r="K1848">
        <v>1.10924</v>
      </c>
      <c r="L1848">
        <v>282.99259999999998</v>
      </c>
      <c r="M1848">
        <v>-0.99994749999999999</v>
      </c>
      <c r="N1848">
        <v>0</v>
      </c>
      <c r="O1848">
        <v>-6.0780069999999999E-3</v>
      </c>
      <c r="P1848">
        <v>-0.99885579999999996</v>
      </c>
      <c r="Q1848">
        <v>4.7768680000000001E-2</v>
      </c>
      <c r="R1848">
        <v>2.3511949999999999E-3</v>
      </c>
      <c r="S1848">
        <v>-3.0070190000000001</v>
      </c>
      <c r="T1848">
        <v>-6.9785710000000001E-2</v>
      </c>
      <c r="U1848">
        <v>-6.4086909999999997E-2</v>
      </c>
      <c r="V1848">
        <v>8.3573620000000001E-3</v>
      </c>
      <c r="W1848">
        <v>5.6020309999999997E-2</v>
      </c>
      <c r="X1848">
        <v>0.99839469999999997</v>
      </c>
      <c r="Y1848">
        <v>-1.5227910000000001E-2</v>
      </c>
      <c r="Z1848" s="1">
        <v>-3.5635010000000001E-5</v>
      </c>
      <c r="AA1848">
        <v>0.99988410000000005</v>
      </c>
      <c r="AB1848">
        <v>50</v>
      </c>
      <c r="AC1848">
        <v>-46.817900000000002</v>
      </c>
      <c r="AD1848">
        <v>-1.10923996821447</v>
      </c>
      <c r="AE1848">
        <v>-1.0128999999999999</v>
      </c>
      <c r="AF1848">
        <v>-0.72790367053036997</v>
      </c>
      <c r="AG1848">
        <v>-1.10923996821447</v>
      </c>
      <c r="AH1848">
        <v>46.7969350062667</v>
      </c>
      <c r="AI1848">
        <v>91.357678390906599</v>
      </c>
      <c r="AJ1848">
        <v>90.891136251133204</v>
      </c>
      <c r="AK1848">
        <v>46.8157386253962</v>
      </c>
      <c r="AL1848">
        <v>86.788591616993401</v>
      </c>
      <c r="AM1848">
        <v>89.520399710911406</v>
      </c>
      <c r="AN1848">
        <v>1.00000004881009</v>
      </c>
    </row>
    <row r="1849" spans="1:40" x14ac:dyDescent="0.25">
      <c r="A1849" t="str">
        <f>"20190312151302732"</f>
        <v>20190312151302732</v>
      </c>
      <c r="B1849" t="str">
        <f>"1552374782721264"</f>
        <v>1552374782721264</v>
      </c>
      <c r="C1849" t="s">
        <v>40</v>
      </c>
      <c r="D1849">
        <v>4.4888560000000002</v>
      </c>
      <c r="E1849">
        <v>0.49121789999999999</v>
      </c>
      <c r="F1849" t="s">
        <v>54</v>
      </c>
      <c r="G1849">
        <v>-370.5444</v>
      </c>
      <c r="H1849" s="1">
        <v>-1.247096E-6</v>
      </c>
      <c r="I1849">
        <v>281.95010000000002</v>
      </c>
      <c r="J1849">
        <v>-326.6277</v>
      </c>
      <c r="K1849">
        <v>1.1092379999999999</v>
      </c>
      <c r="L1849">
        <v>282.98939999999999</v>
      </c>
      <c r="M1849">
        <v>-0.99994450000000001</v>
      </c>
      <c r="N1849">
        <v>0</v>
      </c>
      <c r="O1849">
        <v>-6.4542289999999997E-3</v>
      </c>
      <c r="P1849">
        <v>-0.99886390000000003</v>
      </c>
      <c r="Q1849">
        <v>4.7621719999999999E-2</v>
      </c>
      <c r="R1849">
        <v>1.8277300000000001E-3</v>
      </c>
      <c r="S1849">
        <v>-3.0071720000000002</v>
      </c>
      <c r="T1849">
        <v>-7.5103039999999996E-2</v>
      </c>
      <c r="U1849">
        <v>-7.0587159999999996E-2</v>
      </c>
      <c r="V1849">
        <v>8.2095699999999994E-3</v>
      </c>
      <c r="W1849">
        <v>5.594557E-2</v>
      </c>
      <c r="X1849">
        <v>0.99840010000000001</v>
      </c>
      <c r="Y1849">
        <v>-1.7010029999999999E-2</v>
      </c>
      <c r="Z1849" s="1">
        <v>-5.1200830000000002E-5</v>
      </c>
      <c r="AA1849">
        <v>0.9998553</v>
      </c>
      <c r="AB1849">
        <v>50</v>
      </c>
      <c r="AC1849">
        <v>-43.916699999999899</v>
      </c>
      <c r="AD1849">
        <v>-1.109239247096</v>
      </c>
      <c r="AE1849">
        <v>-1.0392999999999599</v>
      </c>
      <c r="AF1849">
        <v>-0.75533848144068005</v>
      </c>
      <c r="AG1849">
        <v>-1.109239247096</v>
      </c>
      <c r="AH1849">
        <v>43.894506208339301</v>
      </c>
      <c r="AI1849">
        <v>91.447374798403004</v>
      </c>
      <c r="AJ1849">
        <v>90.985850846420803</v>
      </c>
      <c r="AK1849">
        <v>43.9150159194186</v>
      </c>
      <c r="AL1849">
        <v>86.792880574959696</v>
      </c>
      <c r="AM1849">
        <v>89.528883148261301</v>
      </c>
      <c r="AN1849">
        <v>1.0000000317611</v>
      </c>
    </row>
    <row r="1850" spans="1:40" x14ac:dyDescent="0.25">
      <c r="A1850" t="str">
        <f>"20190312151302754"</f>
        <v>20190312151302754</v>
      </c>
      <c r="B1850" t="str">
        <f>"1552374782741761"</f>
        <v>1552374782741761</v>
      </c>
      <c r="C1850" t="s">
        <v>40</v>
      </c>
      <c r="D1850">
        <v>4.6947289999999997</v>
      </c>
      <c r="E1850">
        <v>0.49127219999999999</v>
      </c>
      <c r="F1850" t="s">
        <v>54</v>
      </c>
      <c r="G1850">
        <v>-372.19229999999999</v>
      </c>
      <c r="H1850" s="1">
        <v>-3.7017110000000001E-7</v>
      </c>
      <c r="I1850">
        <v>281.92079999999999</v>
      </c>
      <c r="J1850">
        <v>-327.1155</v>
      </c>
      <c r="K1850">
        <v>1.1092340000000001</v>
      </c>
      <c r="L1850">
        <v>282.98610000000002</v>
      </c>
      <c r="M1850">
        <v>-0.99994159999999999</v>
      </c>
      <c r="N1850">
        <v>0</v>
      </c>
      <c r="O1850">
        <v>-6.8228969999999996E-3</v>
      </c>
      <c r="P1850">
        <v>-0.99886620000000004</v>
      </c>
      <c r="Q1850">
        <v>4.7601879999999999E-2</v>
      </c>
      <c r="R1850">
        <v>7.6885829999999997E-4</v>
      </c>
      <c r="S1850">
        <v>-3.0069889999999999</v>
      </c>
      <c r="T1850">
        <v>-7.3203089999999998E-2</v>
      </c>
      <c r="U1850">
        <v>-7.0526119999999998E-2</v>
      </c>
      <c r="V1850">
        <v>7.5188540000000002E-3</v>
      </c>
      <c r="W1850">
        <v>5.5988400000000001E-2</v>
      </c>
      <c r="X1850">
        <v>0.99840309999999999</v>
      </c>
      <c r="Y1850">
        <v>-1.6622910000000001E-2</v>
      </c>
      <c r="Z1850" s="1">
        <v>-3.6226110000000003E-5</v>
      </c>
      <c r="AA1850">
        <v>0.99986180000000002</v>
      </c>
      <c r="AB1850">
        <v>50</v>
      </c>
      <c r="AC1850">
        <v>-45.076799999999899</v>
      </c>
      <c r="AD1850">
        <v>-1.1092343701711</v>
      </c>
      <c r="AE1850">
        <v>-1.0653000000000299</v>
      </c>
      <c r="AF1850">
        <v>-0.75725174822869501</v>
      </c>
      <c r="AG1850">
        <v>-1.1092343701711</v>
      </c>
      <c r="AH1850">
        <v>45.055751713334701</v>
      </c>
      <c r="AI1850">
        <v>91.410089523414499</v>
      </c>
      <c r="AJ1850">
        <v>90.962879165603496</v>
      </c>
      <c r="AK1850">
        <v>45.07576503568</v>
      </c>
      <c r="AL1850">
        <v>86.790422617001298</v>
      </c>
      <c r="AM1850">
        <v>89.568520513281598</v>
      </c>
      <c r="AN1850">
        <v>0.99999999209482104</v>
      </c>
    </row>
    <row r="1851" spans="1:40" x14ac:dyDescent="0.25">
      <c r="A1851" t="str">
        <f>"20190312151302777"</f>
        <v>20190312151302777</v>
      </c>
      <c r="B1851" t="str">
        <f>"1552374782772016"</f>
        <v>1552374782772016</v>
      </c>
      <c r="C1851" t="s">
        <v>40</v>
      </c>
      <c r="D1851">
        <v>4.5480429999999998</v>
      </c>
      <c r="E1851">
        <v>0.49199880000000001</v>
      </c>
      <c r="F1851" t="s">
        <v>54</v>
      </c>
      <c r="G1851">
        <v>-376.00200000000001</v>
      </c>
      <c r="H1851" s="1">
        <v>1.657192E-6</v>
      </c>
      <c r="I1851">
        <v>281.7962</v>
      </c>
      <c r="J1851">
        <v>-327.6311</v>
      </c>
      <c r="K1851">
        <v>1.109232</v>
      </c>
      <c r="L1851">
        <v>282.98239999999998</v>
      </c>
      <c r="M1851">
        <v>-0.99993840000000001</v>
      </c>
      <c r="N1851">
        <v>0</v>
      </c>
      <c r="O1851">
        <v>-7.2121719999999898E-3</v>
      </c>
      <c r="P1851">
        <v>-0.99886439999999999</v>
      </c>
      <c r="Q1851">
        <v>4.7647330000000002E-2</v>
      </c>
      <c r="R1851">
        <v>3.7350350000000003E-4</v>
      </c>
      <c r="S1851">
        <v>-3.0067439999999999</v>
      </c>
      <c r="T1851">
        <v>-6.822288E-2</v>
      </c>
      <c r="U1851">
        <v>-7.318115E-2</v>
      </c>
      <c r="V1851">
        <v>7.5119180000000002E-3</v>
      </c>
      <c r="W1851">
        <v>5.6093150000000001E-2</v>
      </c>
      <c r="X1851">
        <v>0.99839730000000004</v>
      </c>
      <c r="Y1851">
        <v>-1.7118330000000001E-2</v>
      </c>
      <c r="Z1851" s="1">
        <v>-3.0553509999999999E-5</v>
      </c>
      <c r="AA1851">
        <v>0.99985349999999995</v>
      </c>
      <c r="AB1851">
        <v>50</v>
      </c>
      <c r="AC1851">
        <v>-48.370899999999899</v>
      </c>
      <c r="AD1851">
        <v>-1.1092303428079999</v>
      </c>
      <c r="AE1851">
        <v>-1.1861999999999799</v>
      </c>
      <c r="AF1851">
        <v>-0.83685766920228499</v>
      </c>
      <c r="AG1851">
        <v>-1.1092303428079999</v>
      </c>
      <c r="AH1851">
        <v>48.352785453619198</v>
      </c>
      <c r="AI1851">
        <v>91.313958645800597</v>
      </c>
      <c r="AJ1851">
        <v>90.991538033651096</v>
      </c>
      <c r="AK1851">
        <v>48.372746292056199</v>
      </c>
      <c r="AL1851">
        <v>86.784411525638205</v>
      </c>
      <c r="AM1851">
        <v>89.568916025692999</v>
      </c>
      <c r="AN1851">
        <v>1.00000001951812</v>
      </c>
    </row>
    <row r="1852" spans="1:40" x14ac:dyDescent="0.25">
      <c r="A1852" t="str">
        <f>"20190312151302800"</f>
        <v>20190312151302800</v>
      </c>
      <c r="B1852" t="str">
        <f>"1552374782791536"</f>
        <v>1552374782791536</v>
      </c>
      <c r="C1852" t="s">
        <v>40</v>
      </c>
      <c r="D1852">
        <v>4.4445059999999996</v>
      </c>
      <c r="E1852">
        <v>0.52098520000000004</v>
      </c>
      <c r="F1852" t="s">
        <v>54</v>
      </c>
      <c r="G1852">
        <v>-377.33819999999997</v>
      </c>
      <c r="H1852" s="1">
        <v>2.3682309999999998E-6</v>
      </c>
      <c r="I1852">
        <v>281.84769999999997</v>
      </c>
      <c r="J1852">
        <v>-328.13350000000003</v>
      </c>
      <c r="K1852">
        <v>1.1092219999999999</v>
      </c>
      <c r="L1852">
        <v>282.97859999999997</v>
      </c>
      <c r="M1852">
        <v>-0.99993500000000002</v>
      </c>
      <c r="N1852">
        <v>0</v>
      </c>
      <c r="O1852">
        <v>-7.5910379999999996E-3</v>
      </c>
      <c r="P1852">
        <v>-0.99886470000000005</v>
      </c>
      <c r="Q1852">
        <v>4.763912E-2</v>
      </c>
      <c r="R1852" s="1">
        <v>2.208549E-5</v>
      </c>
      <c r="S1852">
        <v>-3.006653</v>
      </c>
      <c r="T1852">
        <v>-6.709445E-2</v>
      </c>
      <c r="U1852">
        <v>-6.8634029999999999E-2</v>
      </c>
      <c r="V1852">
        <v>7.5387880000000003E-3</v>
      </c>
      <c r="W1852">
        <v>5.6136470000000001E-2</v>
      </c>
      <c r="X1852">
        <v>0.99839469999999997</v>
      </c>
      <c r="Y1852">
        <v>-1.522955E-2</v>
      </c>
      <c r="Z1852" s="1">
        <v>-5.283073E-7</v>
      </c>
      <c r="AA1852">
        <v>0.999884</v>
      </c>
      <c r="AB1852">
        <v>50</v>
      </c>
      <c r="AC1852">
        <v>-49.204699999999903</v>
      </c>
      <c r="AD1852">
        <v>-1.109219631769</v>
      </c>
      <c r="AE1852">
        <v>-1.13089999999999</v>
      </c>
      <c r="AF1852">
        <v>-0.75695467957307405</v>
      </c>
      <c r="AG1852">
        <v>-1.109219631769</v>
      </c>
      <c r="AH1852">
        <v>49.186884366009501</v>
      </c>
      <c r="AI1852">
        <v>91.291712485514395</v>
      </c>
      <c r="AJ1852">
        <v>90.881675788904303</v>
      </c>
      <c r="AK1852">
        <v>49.205212551249303</v>
      </c>
      <c r="AL1852">
        <v>86.781925675495799</v>
      </c>
      <c r="AM1852">
        <v>89.5673729777277</v>
      </c>
      <c r="AN1852">
        <v>1.00000005678832</v>
      </c>
    </row>
    <row r="1853" spans="1:40" x14ac:dyDescent="0.25">
      <c r="A1853" t="str">
        <f>"20190312151302834"</f>
        <v>20190312151302834</v>
      </c>
      <c r="B1853" t="str">
        <f>"1552374782821324"</f>
        <v>1552374782821324</v>
      </c>
      <c r="C1853" t="s">
        <v>40</v>
      </c>
      <c r="D1853">
        <v>4.452966</v>
      </c>
      <c r="E1853">
        <v>0.52253679999999902</v>
      </c>
      <c r="F1853" t="s">
        <v>54</v>
      </c>
      <c r="G1853">
        <v>-369.839</v>
      </c>
      <c r="H1853" s="1">
        <v>3.6990309999999999E-6</v>
      </c>
      <c r="I1853">
        <v>285.21449999999999</v>
      </c>
      <c r="J1853">
        <v>-328.87349999999998</v>
      </c>
      <c r="K1853">
        <v>1.1092139999999999</v>
      </c>
      <c r="L1853">
        <v>282.9726</v>
      </c>
      <c r="M1853">
        <v>-0.99993010000000004</v>
      </c>
      <c r="N1853">
        <v>0</v>
      </c>
      <c r="O1853">
        <v>-8.1493869999999993E-3</v>
      </c>
      <c r="P1853">
        <v>-0.99888909999999997</v>
      </c>
      <c r="Q1853">
        <v>4.7121530000000002E-2</v>
      </c>
      <c r="R1853">
        <v>-6.4089370000000004E-4</v>
      </c>
      <c r="S1853">
        <v>-3.0072329999999998</v>
      </c>
      <c r="T1853">
        <v>-7.9981799999999895E-2</v>
      </c>
      <c r="U1853">
        <v>0.16122439999999999</v>
      </c>
      <c r="V1853">
        <v>7.4340730000000002E-3</v>
      </c>
      <c r="W1853">
        <v>5.5684659999999997E-2</v>
      </c>
      <c r="X1853">
        <v>0.99842070000000005</v>
      </c>
      <c r="Y1853">
        <v>6.1646920000000001E-2</v>
      </c>
      <c r="Z1853">
        <v>1.0356320000000001E-3</v>
      </c>
      <c r="AA1853">
        <v>0.99809749999999997</v>
      </c>
      <c r="AB1853">
        <v>50</v>
      </c>
      <c r="AC1853">
        <v>-40.965499999999999</v>
      </c>
      <c r="AD1853">
        <v>-1.109210300969</v>
      </c>
      <c r="AE1853">
        <v>2.2418999999999798</v>
      </c>
      <c r="AF1853">
        <v>2.5738001710137102</v>
      </c>
      <c r="AG1853">
        <v>-1.109210300969</v>
      </c>
      <c r="AH1853">
        <v>40.915960931237599</v>
      </c>
      <c r="AI1853">
        <v>91.549816501852206</v>
      </c>
      <c r="AJ1853">
        <v>86.400577306013901</v>
      </c>
      <c r="AK1853">
        <v>41.011835532424598</v>
      </c>
      <c r="AL1853">
        <v>86.807852760709594</v>
      </c>
      <c r="AM1853">
        <v>89.573393123454906</v>
      </c>
      <c r="AN1853">
        <v>0.999999970494587</v>
      </c>
    </row>
    <row r="1854" spans="1:40" x14ac:dyDescent="0.25">
      <c r="A1854" t="str">
        <f>"20190312151302855"</f>
        <v>20190312151302855</v>
      </c>
      <c r="B1854" t="str">
        <f>"1552374782851581"</f>
        <v>1552374782851581</v>
      </c>
      <c r="C1854" t="s">
        <v>40</v>
      </c>
      <c r="D1854">
        <v>4.4549560000000001</v>
      </c>
      <c r="E1854">
        <v>0.52261219999999997</v>
      </c>
      <c r="F1854" t="s">
        <v>55</v>
      </c>
      <c r="G1854">
        <v>-404.36430000000001</v>
      </c>
      <c r="H1854" s="1">
        <v>5.9100500000000003E-6</v>
      </c>
      <c r="I1854">
        <v>287.31119999999999</v>
      </c>
      <c r="J1854">
        <v>-329.37029999999999</v>
      </c>
      <c r="K1854">
        <v>1.1092059999999999</v>
      </c>
      <c r="L1854">
        <v>282.96839999999997</v>
      </c>
      <c r="M1854">
        <v>-0.99992669999999995</v>
      </c>
      <c r="N1854">
        <v>0</v>
      </c>
      <c r="O1854">
        <v>-8.5234249999999994E-3</v>
      </c>
      <c r="P1854">
        <v>-0.99892219999999998</v>
      </c>
      <c r="Q1854">
        <v>4.6408289999999998E-2</v>
      </c>
      <c r="R1854">
        <v>-9.2252060000000001E-4</v>
      </c>
      <c r="S1854">
        <v>-3.005493</v>
      </c>
      <c r="T1854">
        <v>-4.4160600000000001E-2</v>
      </c>
      <c r="U1854">
        <v>0.17272950000000001</v>
      </c>
      <c r="V1854">
        <v>7.5267519999999899E-3</v>
      </c>
      <c r="W1854">
        <v>5.5009540000000003E-2</v>
      </c>
      <c r="X1854">
        <v>0.99845740000000005</v>
      </c>
      <c r="Y1854">
        <v>6.5876199999999996E-2</v>
      </c>
      <c r="Z1854">
        <v>6.0868269999999995E-4</v>
      </c>
      <c r="AA1854">
        <v>0.99782760000000004</v>
      </c>
      <c r="AB1854">
        <v>50</v>
      </c>
      <c r="AC1854">
        <v>-74.994</v>
      </c>
      <c r="AD1854">
        <v>-1.1092000899500001</v>
      </c>
      <c r="AE1854">
        <v>4.3428000000000102</v>
      </c>
      <c r="AF1854">
        <v>4.9807856528705097</v>
      </c>
      <c r="AG1854">
        <v>-1.1092000899500001</v>
      </c>
      <c r="AH1854">
        <v>74.937920153577906</v>
      </c>
      <c r="AI1854">
        <v>90.846139850055195</v>
      </c>
      <c r="AJ1854">
        <v>86.197400836682306</v>
      </c>
      <c r="AK1854">
        <v>75.1114533709966</v>
      </c>
      <c r="AL1854">
        <v>86.846593577800107</v>
      </c>
      <c r="AM1854">
        <v>89.568090782449701</v>
      </c>
      <c r="AN1854">
        <v>0.99999994055071895</v>
      </c>
    </row>
    <row r="1855" spans="1:40" x14ac:dyDescent="0.25">
      <c r="A1855" t="str">
        <f>"20190312151302877"</f>
        <v>20190312151302877</v>
      </c>
      <c r="B1855" t="str">
        <f>"1552374782872077"</f>
        <v>1552374782872077</v>
      </c>
      <c r="C1855" t="s">
        <v>40</v>
      </c>
      <c r="D1855">
        <v>4.4449199999999998</v>
      </c>
      <c r="E1855">
        <v>0.52267710000000001</v>
      </c>
      <c r="F1855" t="s">
        <v>54</v>
      </c>
      <c r="G1855">
        <v>-386.11070000000001</v>
      </c>
      <c r="H1855" s="1">
        <v>1.71500999999999E-6</v>
      </c>
      <c r="I1855">
        <v>286.2165</v>
      </c>
      <c r="J1855">
        <v>-329.87209999999999</v>
      </c>
      <c r="K1855">
        <v>1.1092040000000001</v>
      </c>
      <c r="L1855">
        <v>282.96390000000002</v>
      </c>
      <c r="M1855">
        <v>-0.99992309999999995</v>
      </c>
      <c r="N1855">
        <v>0</v>
      </c>
      <c r="O1855">
        <v>-8.9012589999999999E-3</v>
      </c>
      <c r="P1855">
        <v>-0.99893520000000002</v>
      </c>
      <c r="Q1855">
        <v>4.611879E-2</v>
      </c>
      <c r="R1855">
        <v>-1.3736620000000001E-3</v>
      </c>
      <c r="S1855">
        <v>-3.0061040000000001</v>
      </c>
      <c r="T1855">
        <v>-5.8765650000000003E-2</v>
      </c>
      <c r="U1855">
        <v>0.17208860000000001</v>
      </c>
      <c r="V1855">
        <v>7.4536139999999999E-3</v>
      </c>
      <c r="W1855">
        <v>5.4754810000000001E-2</v>
      </c>
      <c r="X1855">
        <v>0.99847200000000003</v>
      </c>
      <c r="Y1855">
        <v>6.602334E-2</v>
      </c>
      <c r="Z1855">
        <v>8.1861409999999999E-4</v>
      </c>
      <c r="AA1855">
        <v>0.99781779999999998</v>
      </c>
      <c r="AB1855">
        <v>50</v>
      </c>
      <c r="AC1855">
        <v>-56.238599999999998</v>
      </c>
      <c r="AD1855">
        <v>-1.1092022849900001</v>
      </c>
      <c r="AE1855">
        <v>3.25259999999997</v>
      </c>
      <c r="AF1855">
        <v>3.7516296118481001</v>
      </c>
      <c r="AG1855">
        <v>-1.1092022849900001</v>
      </c>
      <c r="AH1855">
        <v>56.185635022092001</v>
      </c>
      <c r="AI1855">
        <v>91.128459387366107</v>
      </c>
      <c r="AJ1855">
        <v>86.179914329962898</v>
      </c>
      <c r="AK1855">
        <v>56.321671115914597</v>
      </c>
      <c r="AL1855">
        <v>86.861210718732806</v>
      </c>
      <c r="AM1855">
        <v>89.572293773169704</v>
      </c>
      <c r="AN1855">
        <v>0.999999990181898</v>
      </c>
    </row>
    <row r="1856" spans="1:40" x14ac:dyDescent="0.25">
      <c r="A1856" t="str">
        <f>"20190312151302900"</f>
        <v>20190312151302900</v>
      </c>
      <c r="B1856" t="str">
        <f>"1552374782891596"</f>
        <v>1552374782891596</v>
      </c>
      <c r="C1856" t="s">
        <v>40</v>
      </c>
      <c r="D1856">
        <v>4.4238989999999996</v>
      </c>
      <c r="E1856">
        <v>0.52256619999999998</v>
      </c>
      <c r="F1856" t="s">
        <v>54</v>
      </c>
      <c r="G1856">
        <v>-382.31689999999998</v>
      </c>
      <c r="H1856" s="1">
        <v>-3.0383889999999998E-7</v>
      </c>
      <c r="I1856">
        <v>285.94880000000001</v>
      </c>
      <c r="J1856">
        <v>-330.37869999999998</v>
      </c>
      <c r="K1856">
        <v>1.1092029999999999</v>
      </c>
      <c r="L1856">
        <v>282.95920000000001</v>
      </c>
      <c r="M1856">
        <v>-0.99991940000000001</v>
      </c>
      <c r="N1856">
        <v>0</v>
      </c>
      <c r="O1856">
        <v>-9.2828919999999992E-3</v>
      </c>
      <c r="P1856">
        <v>-0.99895979999999995</v>
      </c>
      <c r="Q1856">
        <v>4.5570069999999997E-2</v>
      </c>
      <c r="R1856">
        <v>-1.609231E-3</v>
      </c>
      <c r="S1856">
        <v>-3.0064389999999999</v>
      </c>
      <c r="T1856">
        <v>-6.3586000000000004E-2</v>
      </c>
      <c r="U1856">
        <v>0.17111209999999999</v>
      </c>
      <c r="V1856">
        <v>7.599771E-3</v>
      </c>
      <c r="W1856">
        <v>5.4238700000000001E-2</v>
      </c>
      <c r="X1856">
        <v>0.99849909999999997</v>
      </c>
      <c r="Y1856">
        <v>6.6072229999999996E-2</v>
      </c>
      <c r="Z1856">
        <v>8.9423919999999997E-4</v>
      </c>
      <c r="AA1856">
        <v>0.99781439999999999</v>
      </c>
      <c r="AB1856">
        <v>50</v>
      </c>
      <c r="AC1856">
        <v>-51.938200000000002</v>
      </c>
      <c r="AD1856">
        <v>-1.1092033038389</v>
      </c>
      <c r="AE1856">
        <v>2.98959999999999</v>
      </c>
      <c r="AF1856">
        <v>3.4700485444355702</v>
      </c>
      <c r="AG1856">
        <v>-1.1092033038389</v>
      </c>
      <c r="AH1856">
        <v>51.884622995678399</v>
      </c>
      <c r="AI1856">
        <v>91.221968877229301</v>
      </c>
      <c r="AJ1856">
        <v>86.173750871844604</v>
      </c>
      <c r="AK1856">
        <v>52.012360764280501</v>
      </c>
      <c r="AL1856">
        <v>86.890825755286102</v>
      </c>
      <c r="AM1856">
        <v>89.563919090592094</v>
      </c>
      <c r="AN1856">
        <v>1.0000000228988699</v>
      </c>
    </row>
    <row r="1857" spans="1:40" x14ac:dyDescent="0.25">
      <c r="A1857" t="str">
        <f>"20190312151302922"</f>
        <v>20190312151302922</v>
      </c>
      <c r="B1857" t="str">
        <f>"1552374782911623"</f>
        <v>1552374782911623</v>
      </c>
      <c r="C1857" t="s">
        <v>40</v>
      </c>
      <c r="D1857">
        <v>4.4684569999999999</v>
      </c>
      <c r="E1857">
        <v>0.52268329999999996</v>
      </c>
      <c r="F1857" t="s">
        <v>54</v>
      </c>
      <c r="G1857">
        <v>-380.75040000000001</v>
      </c>
      <c r="H1857" s="1">
        <v>-1.1374769999999999E-6</v>
      </c>
      <c r="I1857">
        <v>285.79899999999998</v>
      </c>
      <c r="J1857">
        <v>-330.88499999999999</v>
      </c>
      <c r="K1857">
        <v>1.1092</v>
      </c>
      <c r="L1857">
        <v>282.95429999999999</v>
      </c>
      <c r="M1857">
        <v>-0.99991549999999996</v>
      </c>
      <c r="N1857">
        <v>0</v>
      </c>
      <c r="O1857">
        <v>-9.6647429999999999E-3</v>
      </c>
      <c r="P1857">
        <v>-0.99895160000000005</v>
      </c>
      <c r="Q1857">
        <v>4.5725910000000002E-2</v>
      </c>
      <c r="R1857">
        <v>-2.2127800000000001E-3</v>
      </c>
      <c r="S1857">
        <v>-3.0064389999999999</v>
      </c>
      <c r="T1857">
        <v>-6.6202999999999998E-2</v>
      </c>
      <c r="U1857">
        <v>0.1694946</v>
      </c>
      <c r="V1857">
        <v>7.3774959999999999E-3</v>
      </c>
      <c r="W1857">
        <v>5.4422970000000001E-2</v>
      </c>
      <c r="X1857">
        <v>0.99849069999999995</v>
      </c>
      <c r="Y1857">
        <v>6.5916719999999998E-2</v>
      </c>
      <c r="Z1857">
        <v>9.3773999999999995E-4</v>
      </c>
      <c r="AA1857">
        <v>0.99782470000000001</v>
      </c>
      <c r="AB1857">
        <v>50</v>
      </c>
      <c r="AC1857">
        <v>-49.865400000000001</v>
      </c>
      <c r="AD1857">
        <v>-1.1092011374770001</v>
      </c>
      <c r="AE1857">
        <v>2.84470000000004</v>
      </c>
      <c r="AF1857">
        <v>3.32488183355823</v>
      </c>
      <c r="AG1857">
        <v>-1.1092011374770001</v>
      </c>
      <c r="AH1857">
        <v>49.811010438064301</v>
      </c>
      <c r="AI1857">
        <v>91.272831086409496</v>
      </c>
      <c r="AJ1857">
        <v>86.181175235576902</v>
      </c>
      <c r="AK1857">
        <v>49.9341759442515</v>
      </c>
      <c r="AL1857">
        <v>86.880252119028896</v>
      </c>
      <c r="AM1857">
        <v>89.576669374678303</v>
      </c>
      <c r="AN1857">
        <v>0.99999998254866995</v>
      </c>
    </row>
    <row r="1858" spans="1:40" x14ac:dyDescent="0.25">
      <c r="A1858" t="str">
        <f>"20190312151302944"</f>
        <v>20190312151302944</v>
      </c>
      <c r="B1858" t="str">
        <f>"1552374782932119"</f>
        <v>1552374782932119</v>
      </c>
      <c r="C1858" t="s">
        <v>40</v>
      </c>
      <c r="D1858">
        <v>4.453335</v>
      </c>
      <c r="E1858">
        <v>0.52269880000000002</v>
      </c>
      <c r="F1858" t="s">
        <v>54</v>
      </c>
      <c r="G1858">
        <v>-379.91370000000001</v>
      </c>
      <c r="H1858" s="1">
        <v>3.7387840000000001E-6</v>
      </c>
      <c r="I1858">
        <v>285.7029</v>
      </c>
      <c r="J1858">
        <v>-331.3811</v>
      </c>
      <c r="K1858">
        <v>1.1092</v>
      </c>
      <c r="L1858">
        <v>282.94929999999999</v>
      </c>
      <c r="M1858">
        <v>-0.99991149999999995</v>
      </c>
      <c r="N1858">
        <v>0</v>
      </c>
      <c r="O1858">
        <v>-1.00386E-2</v>
      </c>
      <c r="P1858">
        <v>-0.9989422</v>
      </c>
      <c r="Q1858">
        <v>4.5878889999999999E-2</v>
      </c>
      <c r="R1858">
        <v>-3.1028890000000002E-3</v>
      </c>
      <c r="S1858">
        <v>-3.0065919999999999</v>
      </c>
      <c r="T1858">
        <v>-6.8019389999999999E-2</v>
      </c>
      <c r="U1858">
        <v>0.16854859999999999</v>
      </c>
      <c r="V1858">
        <v>6.8602840000000003E-3</v>
      </c>
      <c r="W1858">
        <v>5.4600559999999999E-2</v>
      </c>
      <c r="X1858">
        <v>0.9984847</v>
      </c>
      <c r="Y1858">
        <v>6.5972829999999996E-2</v>
      </c>
      <c r="Z1858">
        <v>9.7250690000000002E-4</v>
      </c>
      <c r="AA1858">
        <v>0.99782099999999996</v>
      </c>
      <c r="AB1858">
        <v>50</v>
      </c>
      <c r="AC1858">
        <v>-48.532600000000002</v>
      </c>
      <c r="AD1858">
        <v>-1.109196261216</v>
      </c>
      <c r="AE1858">
        <v>2.7536</v>
      </c>
      <c r="AF1858">
        <v>3.2389927545619202</v>
      </c>
      <c r="AG1858">
        <v>-1.109196261216</v>
      </c>
      <c r="AH1858">
        <v>48.477270853039499</v>
      </c>
      <c r="AI1858">
        <v>91.307826705383604</v>
      </c>
      <c r="AJ1858">
        <v>86.177482921970693</v>
      </c>
      <c r="AK1858">
        <v>48.598016212279198</v>
      </c>
      <c r="AL1858">
        <v>86.870061834243302</v>
      </c>
      <c r="AM1858">
        <v>89.606344359044002</v>
      </c>
      <c r="AN1858">
        <v>0.99999999039148202</v>
      </c>
    </row>
    <row r="1859" spans="1:40" x14ac:dyDescent="0.25">
      <c r="A1859" t="str">
        <f>"20190312151302967"</f>
        <v>20190312151302967</v>
      </c>
      <c r="B1859" t="str">
        <f>"1552374782961399"</f>
        <v>1552374782961399</v>
      </c>
      <c r="C1859" t="s">
        <v>40</v>
      </c>
      <c r="D1859">
        <v>4.45059</v>
      </c>
      <c r="E1859">
        <v>0.52248790000000001</v>
      </c>
      <c r="F1859" t="s">
        <v>54</v>
      </c>
      <c r="G1859">
        <v>-379.02940000000001</v>
      </c>
      <c r="H1859" s="1">
        <v>3.2682420000000002E-6</v>
      </c>
      <c r="I1859">
        <v>285.57769999999999</v>
      </c>
      <c r="J1859">
        <v>-331.87689999999998</v>
      </c>
      <c r="K1859">
        <v>1.109202</v>
      </c>
      <c r="L1859">
        <v>282.94420000000002</v>
      </c>
      <c r="M1859">
        <v>-0.99990760000000001</v>
      </c>
      <c r="N1859">
        <v>0</v>
      </c>
      <c r="O1859">
        <v>-1.04122E-2</v>
      </c>
      <c r="P1859">
        <v>-0.99894329999999998</v>
      </c>
      <c r="Q1859">
        <v>4.5800550000000002E-2</v>
      </c>
      <c r="R1859">
        <v>-3.8298809999999998E-3</v>
      </c>
      <c r="S1859">
        <v>-3.0068969999999999</v>
      </c>
      <c r="T1859">
        <v>-6.9996950000000002E-2</v>
      </c>
      <c r="U1859">
        <v>0.16586300000000001</v>
      </c>
      <c r="V1859">
        <v>6.5064830000000004E-3</v>
      </c>
      <c r="W1859">
        <v>5.4545320000000001E-2</v>
      </c>
      <c r="X1859">
        <v>0.99849010000000005</v>
      </c>
      <c r="Y1859">
        <v>6.5450439999999999E-2</v>
      </c>
      <c r="Z1859">
        <v>1.0033119999999999E-3</v>
      </c>
      <c r="AA1859">
        <v>0.9978553</v>
      </c>
      <c r="AB1859">
        <v>50</v>
      </c>
      <c r="AC1859">
        <v>-47.152500000000003</v>
      </c>
      <c r="AD1859">
        <v>-1.1091987317579901</v>
      </c>
      <c r="AE1859">
        <v>2.6334999999999602</v>
      </c>
      <c r="AF1859">
        <v>3.1226146790860998</v>
      </c>
      <c r="AG1859">
        <v>-1.1091987317579901</v>
      </c>
      <c r="AH1859">
        <v>47.096541773308097</v>
      </c>
      <c r="AI1859">
        <v>91.346203022171593</v>
      </c>
      <c r="AJ1859">
        <v>86.206703136685107</v>
      </c>
      <c r="AK1859">
        <v>47.212977996156297</v>
      </c>
      <c r="AL1859">
        <v>86.873231616272804</v>
      </c>
      <c r="AM1859">
        <v>89.626647536189495</v>
      </c>
      <c r="AN1859">
        <v>1.00000000302647</v>
      </c>
    </row>
    <row r="1860" spans="1:40" x14ac:dyDescent="0.25">
      <c r="A1860" t="str">
        <f>"20190312151302989"</f>
        <v>20190312151302989</v>
      </c>
      <c r="B1860" t="str">
        <f>"1552374782981896"</f>
        <v>1552374782981896</v>
      </c>
      <c r="C1860" t="s">
        <v>40</v>
      </c>
      <c r="D1860">
        <v>4.4711619999999996</v>
      </c>
      <c r="E1860">
        <v>0.52266999999999997</v>
      </c>
      <c r="F1860" t="s">
        <v>54</v>
      </c>
      <c r="G1860">
        <v>-379.01580000000001</v>
      </c>
      <c r="H1860" s="1">
        <v>3.2609820000000001E-6</v>
      </c>
      <c r="I1860">
        <v>285.48930000000001</v>
      </c>
      <c r="J1860">
        <v>-332.39150000000001</v>
      </c>
      <c r="K1860">
        <v>1.1092040000000001</v>
      </c>
      <c r="L1860">
        <v>282.93860000000001</v>
      </c>
      <c r="M1860">
        <v>-0.99990310000000004</v>
      </c>
      <c r="N1860">
        <v>0</v>
      </c>
      <c r="O1860">
        <v>-1.079893E-2</v>
      </c>
      <c r="P1860">
        <v>-0.9989595</v>
      </c>
      <c r="Q1860">
        <v>4.5353350000000001E-2</v>
      </c>
      <c r="R1860">
        <v>-4.7739610000000002E-3</v>
      </c>
      <c r="S1860">
        <v>-3.0070190000000001</v>
      </c>
      <c r="T1860">
        <v>-7.0756440000000004E-2</v>
      </c>
      <c r="U1860">
        <v>0.16235350000000001</v>
      </c>
      <c r="V1860">
        <v>5.949406E-3</v>
      </c>
      <c r="W1860">
        <v>5.4122999999999998E-2</v>
      </c>
      <c r="X1860">
        <v>0.99851659999999998</v>
      </c>
      <c r="Y1860">
        <v>6.4672660000000007E-2</v>
      </c>
      <c r="Z1860">
        <v>1.014137E-3</v>
      </c>
      <c r="AA1860">
        <v>0.99790599999999996</v>
      </c>
      <c r="AB1860">
        <v>50</v>
      </c>
      <c r="AC1860">
        <v>-46.624299999999998</v>
      </c>
      <c r="AD1860">
        <v>-1.1092007390180001</v>
      </c>
      <c r="AE1860">
        <v>2.5507</v>
      </c>
      <c r="AF1860">
        <v>3.0523408508491499</v>
      </c>
      <c r="AG1860">
        <v>-1.1092007390180001</v>
      </c>
      <c r="AH1860">
        <v>46.567757783105499</v>
      </c>
      <c r="AI1860">
        <v>91.361553658865802</v>
      </c>
      <c r="AJ1860">
        <v>86.249842266681497</v>
      </c>
      <c r="AK1860">
        <v>46.680865200799197</v>
      </c>
      <c r="AL1860">
        <v>86.897464704866195</v>
      </c>
      <c r="AM1860">
        <v>89.658621778825506</v>
      </c>
      <c r="AN1860">
        <v>1.0000000475181501</v>
      </c>
    </row>
    <row r="1861" spans="1:40" x14ac:dyDescent="0.25">
      <c r="A1861" t="str">
        <f>"20190312151303011"</f>
        <v>20190312151303011</v>
      </c>
      <c r="B1861" t="str">
        <f>"1552374783001415"</f>
        <v>1552374783001415</v>
      </c>
      <c r="C1861" t="s">
        <v>40</v>
      </c>
      <c r="D1861">
        <v>4.4612309999999997</v>
      </c>
      <c r="E1861">
        <v>0.52268939999999997</v>
      </c>
      <c r="F1861" t="s">
        <v>54</v>
      </c>
      <c r="G1861">
        <v>-381.09429999999998</v>
      </c>
      <c r="H1861" s="1">
        <v>-9.5444260000000008E-7</v>
      </c>
      <c r="I1861">
        <v>285.5444</v>
      </c>
      <c r="J1861">
        <v>-332.89909999999998</v>
      </c>
      <c r="K1861">
        <v>1.1091959999999901</v>
      </c>
      <c r="L1861">
        <v>282.93290000000002</v>
      </c>
      <c r="M1861">
        <v>-0.99989890000000003</v>
      </c>
      <c r="N1861">
        <v>0</v>
      </c>
      <c r="O1861">
        <v>-1.118042E-2</v>
      </c>
      <c r="P1861">
        <v>-0.99899329999999997</v>
      </c>
      <c r="Q1861">
        <v>4.452366E-2</v>
      </c>
      <c r="R1861">
        <v>-5.5186860000000001E-3</v>
      </c>
      <c r="S1861">
        <v>-3.0070190000000001</v>
      </c>
      <c r="T1861">
        <v>-6.8484779999999995E-2</v>
      </c>
      <c r="U1861">
        <v>0.1608887</v>
      </c>
      <c r="V1861">
        <v>5.5871740000000003E-3</v>
      </c>
      <c r="W1861">
        <v>5.332021E-2</v>
      </c>
      <c r="X1861">
        <v>0.9985619</v>
      </c>
      <c r="Y1861">
        <v>6.4569909999999994E-2</v>
      </c>
      <c r="Z1861">
        <v>9.8911229999999999E-4</v>
      </c>
      <c r="AA1861">
        <v>0.99791269999999999</v>
      </c>
      <c r="AB1861">
        <v>51</v>
      </c>
      <c r="AC1861">
        <v>-48.1952</v>
      </c>
      <c r="AD1861">
        <v>-1.1091969544425999</v>
      </c>
      <c r="AE1861">
        <v>2.6114999999999702</v>
      </c>
      <c r="AF1861">
        <v>3.1485373161011498</v>
      </c>
      <c r="AG1861">
        <v>-1.1091969544425999</v>
      </c>
      <c r="AH1861">
        <v>48.137565997916496</v>
      </c>
      <c r="AI1861">
        <v>91.317175559636496</v>
      </c>
      <c r="AJ1861">
        <v>86.257781175609296</v>
      </c>
      <c r="AK1861">
        <v>48.253174665698303</v>
      </c>
      <c r="AL1861">
        <v>86.943527752563497</v>
      </c>
      <c r="AM1861">
        <v>89.679420826048897</v>
      </c>
      <c r="AN1861">
        <v>1.0000000647196701</v>
      </c>
    </row>
    <row r="1862" spans="1:40" x14ac:dyDescent="0.25">
      <c r="A1862" t="str">
        <f>"20190312151303034"</f>
        <v>20190312151303034</v>
      </c>
      <c r="B1862" t="str">
        <f>"1552374783021442"</f>
        <v>1552374783021442</v>
      </c>
      <c r="C1862" t="s">
        <v>40</v>
      </c>
      <c r="D1862">
        <v>4.4909869999999996</v>
      </c>
      <c r="E1862">
        <v>0.53130829999999996</v>
      </c>
      <c r="F1862" t="s">
        <v>54</v>
      </c>
      <c r="G1862">
        <v>-380.60989999999998</v>
      </c>
      <c r="H1862" s="1">
        <v>-1.2122339999999999E-6</v>
      </c>
      <c r="I1862">
        <v>285.4522</v>
      </c>
      <c r="J1862">
        <v>-333.40170000000001</v>
      </c>
      <c r="K1862">
        <v>1.1091979999999999</v>
      </c>
      <c r="L1862">
        <v>282.9271</v>
      </c>
      <c r="M1862">
        <v>-0.99989419999999996</v>
      </c>
      <c r="N1862">
        <v>0</v>
      </c>
      <c r="O1862">
        <v>-1.15575E-2</v>
      </c>
      <c r="P1862">
        <v>-0.9990135</v>
      </c>
      <c r="Q1862">
        <v>4.397773E-2</v>
      </c>
      <c r="R1862">
        <v>-6.1558960000000001E-3</v>
      </c>
      <c r="S1862">
        <v>-3.0070190000000001</v>
      </c>
      <c r="T1862">
        <v>-6.990826E-2</v>
      </c>
      <c r="U1862">
        <v>0.15878299999999901</v>
      </c>
      <c r="V1862">
        <v>5.327249E-3</v>
      </c>
      <c r="W1862">
        <v>5.2799279999999997E-2</v>
      </c>
      <c r="X1862">
        <v>0.99859089999999995</v>
      </c>
      <c r="Y1862">
        <v>6.4248550000000001E-2</v>
      </c>
      <c r="Z1862">
        <v>1.0147120000000001E-3</v>
      </c>
      <c r="AA1862">
        <v>0.99793339999999997</v>
      </c>
      <c r="AB1862">
        <v>51</v>
      </c>
      <c r="AC1862">
        <v>-47.208199999999898</v>
      </c>
      <c r="AD1862">
        <v>-1.109199212234</v>
      </c>
      <c r="AE1862">
        <v>2.5251000000000001</v>
      </c>
      <c r="AF1862">
        <v>3.0688720299580199</v>
      </c>
      <c r="AG1862">
        <v>-1.109199212234</v>
      </c>
      <c r="AH1862">
        <v>47.149906534923701</v>
      </c>
      <c r="AI1862">
        <v>91.344787341022695</v>
      </c>
      <c r="AJ1862">
        <v>86.276010755774195</v>
      </c>
      <c r="AK1862">
        <v>47.262691255161599</v>
      </c>
      <c r="AL1862">
        <v>86.973416641678199</v>
      </c>
      <c r="AM1862">
        <v>89.694343310571398</v>
      </c>
      <c r="AN1862">
        <v>0.99999996455661699</v>
      </c>
    </row>
    <row r="1863" spans="1:40" x14ac:dyDescent="0.25">
      <c r="A1863" t="str">
        <f>"20190312151303056"</f>
        <v>20190312151303056</v>
      </c>
      <c r="B1863" t="str">
        <f>"1552374783051700"</f>
        <v>1552374783051700</v>
      </c>
      <c r="C1863" t="s">
        <v>40</v>
      </c>
      <c r="D1863">
        <v>4.4886239999999997</v>
      </c>
      <c r="E1863">
        <v>0.53903330000000005</v>
      </c>
      <c r="F1863" t="s">
        <v>41</v>
      </c>
      <c r="G1863">
        <v>-334.36599999999999</v>
      </c>
      <c r="H1863">
        <v>0.98470840000000004</v>
      </c>
      <c r="I1863">
        <v>282.99619999999999</v>
      </c>
      <c r="J1863">
        <v>-333.89159999999998</v>
      </c>
      <c r="K1863">
        <v>1.109199</v>
      </c>
      <c r="L1863">
        <v>282.92129999999997</v>
      </c>
      <c r="M1863">
        <v>-0.9998899</v>
      </c>
      <c r="N1863">
        <v>0</v>
      </c>
      <c r="O1863">
        <v>-1.1925379999999999E-2</v>
      </c>
      <c r="P1863">
        <v>-0.99900449999999996</v>
      </c>
      <c r="Q1863">
        <v>4.4126640000000002E-2</v>
      </c>
      <c r="R1863">
        <v>-6.5996519999999897E-3</v>
      </c>
      <c r="S1863">
        <v>-3.0214840000000001</v>
      </c>
      <c r="T1863">
        <v>-0.38994060000000003</v>
      </c>
      <c r="U1863">
        <v>0.21719359999999999</v>
      </c>
      <c r="V1863">
        <v>5.2508930000000004E-3</v>
      </c>
      <c r="W1863">
        <v>5.2971659999999997E-2</v>
      </c>
      <c r="X1863">
        <v>0.99858219999999998</v>
      </c>
      <c r="Y1863">
        <v>8.2806340000000006E-2</v>
      </c>
      <c r="Z1863">
        <v>6.8454190000000002E-3</v>
      </c>
      <c r="AA1863">
        <v>0.99654219999999905</v>
      </c>
      <c r="AB1863">
        <v>51</v>
      </c>
      <c r="AC1863">
        <v>-0.47440000000000199</v>
      </c>
      <c r="AD1863">
        <v>-0.12449059999999899</v>
      </c>
      <c r="AE1863">
        <v>7.4900000000013706E-2</v>
      </c>
      <c r="AF1863">
        <v>7.5480895478589993E-2</v>
      </c>
      <c r="AG1863">
        <v>-0.12449059999999899</v>
      </c>
      <c r="AH1863">
        <v>0.44366417644348699</v>
      </c>
      <c r="AI1863">
        <v>105.46259868716</v>
      </c>
      <c r="AJ1863">
        <v>80.344676802033305</v>
      </c>
      <c r="AK1863">
        <v>0.46694022800556301</v>
      </c>
      <c r="AL1863">
        <v>86.963526229441797</v>
      </c>
      <c r="AM1863">
        <v>89.6987216127756</v>
      </c>
      <c r="AN1863">
        <v>0.99999998939864598</v>
      </c>
    </row>
    <row r="1864" spans="1:40" x14ac:dyDescent="0.25">
      <c r="A1864" t="str">
        <f>"20190312151303079"</f>
        <v>20190312151303079</v>
      </c>
      <c r="B1864" t="str">
        <f>"1552374783072195"</f>
        <v>1552374783072195</v>
      </c>
      <c r="C1864" t="s">
        <v>40</v>
      </c>
      <c r="D1864">
        <v>4.5135449999999997</v>
      </c>
      <c r="E1864">
        <v>0.53825409999999996</v>
      </c>
      <c r="F1864" t="s">
        <v>41</v>
      </c>
      <c r="G1864">
        <v>-334.76710000000003</v>
      </c>
      <c r="H1864">
        <v>0.86764439999999998</v>
      </c>
      <c r="I1864">
        <v>282.99799999999999</v>
      </c>
      <c r="J1864">
        <v>-334.41289999999998</v>
      </c>
      <c r="K1864">
        <v>1.109205</v>
      </c>
      <c r="L1864">
        <v>282.91489999999999</v>
      </c>
      <c r="M1864">
        <v>-0.99988480000000002</v>
      </c>
      <c r="N1864">
        <v>0</v>
      </c>
      <c r="O1864">
        <v>-1.2315919999999999E-2</v>
      </c>
      <c r="P1864">
        <v>-0.99901549999999995</v>
      </c>
      <c r="Q1864">
        <v>4.3833129999999998E-2</v>
      </c>
      <c r="R1864">
        <v>-6.8403190000000001E-3</v>
      </c>
      <c r="S1864">
        <v>-3.041779</v>
      </c>
      <c r="T1864">
        <v>-0.839288699999999</v>
      </c>
      <c r="U1864">
        <v>0.26580809999999999</v>
      </c>
      <c r="V1864">
        <v>5.4004709999999996E-3</v>
      </c>
      <c r="W1864">
        <v>5.2703100000000003E-2</v>
      </c>
      <c r="X1864">
        <v>0.99859560000000003</v>
      </c>
      <c r="Y1864">
        <v>9.5323619999999998E-2</v>
      </c>
      <c r="Z1864">
        <v>1.6216810000000002E-2</v>
      </c>
      <c r="AA1864">
        <v>0.99531420000000004</v>
      </c>
      <c r="AB1864">
        <v>51</v>
      </c>
      <c r="AC1864">
        <v>-0.35420000000004798</v>
      </c>
      <c r="AD1864">
        <v>-0.24156059999999999</v>
      </c>
      <c r="AE1864">
        <v>8.31000000000017E-2</v>
      </c>
      <c r="AF1864">
        <v>6.0697880620269803E-2</v>
      </c>
      <c r="AG1864">
        <v>-0.24156059999999999</v>
      </c>
      <c r="AH1864">
        <v>0.24509917788883101</v>
      </c>
      <c r="AI1864">
        <v>133.731217721609</v>
      </c>
      <c r="AJ1864">
        <v>76.090756230171195</v>
      </c>
      <c r="AK1864">
        <v>0.34944150180814698</v>
      </c>
      <c r="AL1864">
        <v>86.978935071172998</v>
      </c>
      <c r="AM1864">
        <v>89.690143658613295</v>
      </c>
      <c r="AN1864">
        <v>0.99999997708799504</v>
      </c>
    </row>
    <row r="1865" spans="1:40" x14ac:dyDescent="0.25">
      <c r="A1865" t="str">
        <f>"20190312151303102"</f>
        <v>20190312151303102</v>
      </c>
      <c r="B1865" t="str">
        <f>"1552374783091715"</f>
        <v>1552374783091715</v>
      </c>
      <c r="C1865" t="s">
        <v>40</v>
      </c>
      <c r="D1865">
        <v>4.5415640000000002</v>
      </c>
      <c r="E1865">
        <v>0.53824369999999999</v>
      </c>
      <c r="F1865" t="s">
        <v>41</v>
      </c>
      <c r="G1865">
        <v>-335.22750000000002</v>
      </c>
      <c r="H1865">
        <v>0.88265780000000005</v>
      </c>
      <c r="I1865">
        <v>282.98439999999999</v>
      </c>
      <c r="J1865">
        <v>-334.94819999999999</v>
      </c>
      <c r="K1865">
        <v>1.1092070000000001</v>
      </c>
      <c r="L1865">
        <v>282.90809999999999</v>
      </c>
      <c r="M1865">
        <v>-0.99987950000000003</v>
      </c>
      <c r="N1865">
        <v>0</v>
      </c>
      <c r="O1865">
        <v>-1.271744E-2</v>
      </c>
      <c r="P1865">
        <v>-0.99900990000000001</v>
      </c>
      <c r="Q1865">
        <v>4.3915490000000001E-2</v>
      </c>
      <c r="R1865">
        <v>-7.1462419999999997E-3</v>
      </c>
      <c r="S1865">
        <v>-3.0418699999999999</v>
      </c>
      <c r="T1865">
        <v>-0.84600379999999997</v>
      </c>
      <c r="U1865">
        <v>0.25891110000000001</v>
      </c>
      <c r="V1865">
        <v>5.4954799999999996E-3</v>
      </c>
      <c r="W1865">
        <v>5.2813579999999999E-2</v>
      </c>
      <c r="X1865">
        <v>0.99858930000000001</v>
      </c>
      <c r="Y1865">
        <v>9.3471360000000003E-2</v>
      </c>
      <c r="Z1865">
        <v>1.6199959999999999E-2</v>
      </c>
      <c r="AA1865">
        <v>0.99549019999999999</v>
      </c>
      <c r="AB1865">
        <v>51</v>
      </c>
      <c r="AC1865">
        <v>-0.27930000000003402</v>
      </c>
      <c r="AD1865">
        <v>-0.22654919999999901</v>
      </c>
      <c r="AE1865">
        <v>7.6300000000003296E-2</v>
      </c>
      <c r="AF1865">
        <v>4.9524725693759201E-2</v>
      </c>
      <c r="AG1865">
        <v>-0.22654919999999901</v>
      </c>
      <c r="AH1865">
        <v>0.172620893996317</v>
      </c>
      <c r="AI1865">
        <v>141.59626666648299</v>
      </c>
      <c r="AJ1865">
        <v>73.991878675021496</v>
      </c>
      <c r="AK1865">
        <v>0.28909377634215799</v>
      </c>
      <c r="AL1865">
        <v>86.972596372537893</v>
      </c>
      <c r="AM1865">
        <v>89.6846905611811</v>
      </c>
      <c r="AN1865">
        <v>1.00000003230366</v>
      </c>
    </row>
    <row r="1866" spans="1:40" x14ac:dyDescent="0.25">
      <c r="A1866" t="str">
        <f>"20190312151303123"</f>
        <v>20190312151303123</v>
      </c>
      <c r="B1866" t="str">
        <f>"1552374783111741"</f>
        <v>1552374783111741</v>
      </c>
      <c r="C1866" t="s">
        <v>40</v>
      </c>
      <c r="D1866">
        <v>4.4790010000000002</v>
      </c>
      <c r="E1866">
        <v>0.53774889999999997</v>
      </c>
      <c r="F1866" t="s">
        <v>41</v>
      </c>
      <c r="G1866">
        <v>-335.68990000000002</v>
      </c>
      <c r="H1866">
        <v>0.90101589999999998</v>
      </c>
      <c r="I1866">
        <v>282.97109999999998</v>
      </c>
      <c r="J1866">
        <v>-335.43380000000002</v>
      </c>
      <c r="K1866">
        <v>1.1092109999999999</v>
      </c>
      <c r="L1866">
        <v>282.90179999999998</v>
      </c>
      <c r="M1866">
        <v>-0.99987470000000001</v>
      </c>
      <c r="N1866">
        <v>0</v>
      </c>
      <c r="O1866">
        <v>-1.3081529999999999E-2</v>
      </c>
      <c r="P1866">
        <v>-0.99903120000000001</v>
      </c>
      <c r="Q1866">
        <v>4.3402080000000003E-2</v>
      </c>
      <c r="R1866">
        <v>-7.2862719999999999E-3</v>
      </c>
      <c r="S1866">
        <v>-3.0423580000000001</v>
      </c>
      <c r="T1866">
        <v>-0.85393439999999998</v>
      </c>
      <c r="U1866">
        <v>0.25778200000000001</v>
      </c>
      <c r="V1866">
        <v>5.719979E-3</v>
      </c>
      <c r="W1866">
        <v>5.2325959999999998E-2</v>
      </c>
      <c r="X1866">
        <v>0.99861369999999905</v>
      </c>
      <c r="Y1866">
        <v>9.3370419999999996E-2</v>
      </c>
      <c r="Z1866">
        <v>1.6430179999999999E-2</v>
      </c>
      <c r="AA1866">
        <v>0.99549589999999999</v>
      </c>
      <c r="AB1866">
        <v>51</v>
      </c>
      <c r="AC1866">
        <v>-0.25610000000000299</v>
      </c>
      <c r="AD1866">
        <v>-0.20819509999999999</v>
      </c>
      <c r="AE1866">
        <v>6.9299999999998294E-2</v>
      </c>
      <c r="AF1866">
        <v>4.49590786904039E-2</v>
      </c>
      <c r="AG1866">
        <v>-0.20819509999999999</v>
      </c>
      <c r="AH1866">
        <v>0.15792377962668899</v>
      </c>
      <c r="AI1866">
        <v>141.737952327562</v>
      </c>
      <c r="AJ1866">
        <v>74.108958050212294</v>
      </c>
      <c r="AK1866">
        <v>0.26515361319861203</v>
      </c>
      <c r="AL1866">
        <v>87.000573597548197</v>
      </c>
      <c r="AM1866">
        <v>89.671817969756006</v>
      </c>
      <c r="AN1866">
        <v>1.0000000230386801</v>
      </c>
    </row>
    <row r="1867" spans="1:40" x14ac:dyDescent="0.25">
      <c r="A1867" t="str">
        <f>"20190312151303144"</f>
        <v>20190312151303144</v>
      </c>
      <c r="B1867" t="str">
        <f>"1552374783141997"</f>
        <v>1552374783141997</v>
      </c>
      <c r="C1867" t="s">
        <v>40</v>
      </c>
      <c r="D1867">
        <v>4.5474360000000003</v>
      </c>
      <c r="E1867">
        <v>0.53769960000000006</v>
      </c>
      <c r="F1867" t="s">
        <v>41</v>
      </c>
      <c r="G1867">
        <v>-336.14949999999999</v>
      </c>
      <c r="H1867">
        <v>0.91019799999999995</v>
      </c>
      <c r="I1867">
        <v>282.96159999999998</v>
      </c>
      <c r="J1867">
        <v>-335.92790000000002</v>
      </c>
      <c r="K1867">
        <v>1.1092089999999999</v>
      </c>
      <c r="L1867">
        <v>282.89510000000001</v>
      </c>
      <c r="M1867">
        <v>-0.99986949999999997</v>
      </c>
      <c r="N1867">
        <v>0</v>
      </c>
      <c r="O1867">
        <v>-1.3451090000000001E-2</v>
      </c>
      <c r="P1867">
        <v>-0.99903920000000002</v>
      </c>
      <c r="Q1867">
        <v>4.3200490000000001E-2</v>
      </c>
      <c r="R1867">
        <v>-7.3920840000000002E-3</v>
      </c>
      <c r="S1867">
        <v>-3.0415040000000002</v>
      </c>
      <c r="T1867">
        <v>-0.84575809999999996</v>
      </c>
      <c r="U1867">
        <v>0.25372309999999998</v>
      </c>
      <c r="V1867">
        <v>5.9836230000000004E-3</v>
      </c>
      <c r="W1867">
        <v>5.214978E-2</v>
      </c>
      <c r="X1867">
        <v>0.99862130000000005</v>
      </c>
      <c r="Y1867">
        <v>9.2533909999999997E-2</v>
      </c>
      <c r="Z1867">
        <v>1.6270610000000001E-2</v>
      </c>
      <c r="AA1867">
        <v>0.99557660000000003</v>
      </c>
      <c r="AB1867">
        <v>51</v>
      </c>
      <c r="AC1867">
        <v>-0.22159999999996599</v>
      </c>
      <c r="AD1867">
        <v>-0.19901099999999999</v>
      </c>
      <c r="AE1867">
        <v>6.64999999999622E-2</v>
      </c>
      <c r="AF1867">
        <v>3.9930629947319302E-2</v>
      </c>
      <c r="AG1867">
        <v>-0.19901099999999999</v>
      </c>
      <c r="AH1867">
        <v>0.12683879026738301</v>
      </c>
      <c r="AI1867">
        <v>146.24984269720801</v>
      </c>
      <c r="AJ1867">
        <v>72.525266974993102</v>
      </c>
      <c r="AK1867">
        <v>0.239348933662724</v>
      </c>
      <c r="AL1867">
        <v>87.010681556365398</v>
      </c>
      <c r="AM1867">
        <v>89.656694443357097</v>
      </c>
      <c r="AN1867">
        <v>0.99999995205597103</v>
      </c>
    </row>
    <row r="1868" spans="1:40" x14ac:dyDescent="0.25">
      <c r="A1868" t="str">
        <f>"20190312151303167"</f>
        <v>20190312151303167</v>
      </c>
      <c r="B1868" t="str">
        <f>"1552374783161517"</f>
        <v>1552374783161517</v>
      </c>
      <c r="C1868" t="s">
        <v>40</v>
      </c>
      <c r="D1868">
        <v>4.6093710000000003</v>
      </c>
      <c r="E1868">
        <v>0.53790789999999999</v>
      </c>
      <c r="F1868" t="s">
        <v>41</v>
      </c>
      <c r="G1868">
        <v>-336.60989999999998</v>
      </c>
      <c r="H1868">
        <v>0.91963740000000005</v>
      </c>
      <c r="I1868">
        <v>282.95229999999998</v>
      </c>
      <c r="J1868">
        <v>-336.43079999999998</v>
      </c>
      <c r="K1868">
        <v>1.1092139999999999</v>
      </c>
      <c r="L1868">
        <v>282.88819999999998</v>
      </c>
      <c r="M1868">
        <v>-0.99986419999999998</v>
      </c>
      <c r="N1868">
        <v>0</v>
      </c>
      <c r="O1868">
        <v>-1.382768E-2</v>
      </c>
      <c r="P1868">
        <v>-0.99902219999999997</v>
      </c>
      <c r="Q1868">
        <v>4.3658710000000003E-2</v>
      </c>
      <c r="R1868">
        <v>-6.9907140000000003E-3</v>
      </c>
      <c r="S1868">
        <v>-3.041382</v>
      </c>
      <c r="T1868">
        <v>-0.84557289999999996</v>
      </c>
      <c r="U1868">
        <v>0.25375370000000003</v>
      </c>
      <c r="V1868">
        <v>6.7603089999999999E-3</v>
      </c>
      <c r="W1868">
        <v>5.263263E-2</v>
      </c>
      <c r="X1868">
        <v>0.99859109999999995</v>
      </c>
      <c r="Y1868">
        <v>9.2895580000000005E-2</v>
      </c>
      <c r="Z1868">
        <v>1.6419670000000001E-2</v>
      </c>
      <c r="AA1868">
        <v>0.99554039999999999</v>
      </c>
      <c r="AB1868">
        <v>51</v>
      </c>
      <c r="AC1868">
        <v>-0.17910000000000501</v>
      </c>
      <c r="AD1868">
        <v>-0.18957660000000001</v>
      </c>
      <c r="AE1868">
        <v>6.4099999999996202E-2</v>
      </c>
      <c r="AF1868">
        <v>3.3398935284224503E-2</v>
      </c>
      <c r="AG1868">
        <v>-0.18957660000000001</v>
      </c>
      <c r="AH1868">
        <v>8.9402545587606005E-2</v>
      </c>
      <c r="AI1868">
        <v>153.27821326518401</v>
      </c>
      <c r="AJ1868">
        <v>69.515355451776301</v>
      </c>
      <c r="AK1868">
        <v>0.21224417849077401</v>
      </c>
      <c r="AL1868">
        <v>86.982978507294604</v>
      </c>
      <c r="AM1868">
        <v>89.612122262316205</v>
      </c>
      <c r="AN1868">
        <v>1.00000004025885</v>
      </c>
    </row>
    <row r="1869" spans="1:40" x14ac:dyDescent="0.25">
      <c r="A1869" t="str">
        <f>"20190312151303189"</f>
        <v>20190312151303189</v>
      </c>
      <c r="B1869" t="str">
        <f>"1552374783182013"</f>
        <v>1552374783182013</v>
      </c>
      <c r="C1869" t="s">
        <v>40</v>
      </c>
      <c r="D1869">
        <v>4.4334309999999997</v>
      </c>
      <c r="E1869">
        <v>0.53803000000000001</v>
      </c>
      <c r="F1869" t="s">
        <v>41</v>
      </c>
      <c r="G1869">
        <v>-337.48270000000002</v>
      </c>
      <c r="H1869">
        <v>0.81564919999999996</v>
      </c>
      <c r="I1869">
        <v>282.97699999999998</v>
      </c>
      <c r="J1869">
        <v>-336.94889999999998</v>
      </c>
      <c r="K1869">
        <v>1.1092139999999999</v>
      </c>
      <c r="L1869">
        <v>282.88080000000002</v>
      </c>
      <c r="M1869">
        <v>-0.99985860000000004</v>
      </c>
      <c r="N1869">
        <v>0</v>
      </c>
      <c r="O1869">
        <v>-1.4214890000000001E-2</v>
      </c>
      <c r="P1869">
        <v>-0.99902290000000005</v>
      </c>
      <c r="Q1869">
        <v>4.3533380000000003E-2</v>
      </c>
      <c r="R1869">
        <v>-7.6450709999999998E-3</v>
      </c>
      <c r="S1869">
        <v>-3.0418400000000001</v>
      </c>
      <c r="T1869">
        <v>-0.84896779999999905</v>
      </c>
      <c r="U1869">
        <v>0.25613399999999997</v>
      </c>
      <c r="V1869">
        <v>6.4929080000000004E-3</v>
      </c>
      <c r="W1869">
        <v>5.2533589999999998E-2</v>
      </c>
      <c r="X1869">
        <v>0.99859799999999999</v>
      </c>
      <c r="Y1869">
        <v>9.3956890000000001E-2</v>
      </c>
      <c r="Z1869">
        <v>1.6731280000000001E-2</v>
      </c>
      <c r="AA1869">
        <v>0.99543570000000003</v>
      </c>
      <c r="AB1869">
        <v>51</v>
      </c>
      <c r="AC1869">
        <v>-0.53380000000004202</v>
      </c>
      <c r="AD1869">
        <v>-0.29356480000000001</v>
      </c>
      <c r="AE1869">
        <v>9.6200000000010194E-2</v>
      </c>
      <c r="AF1869">
        <v>8.0265881911852105E-2</v>
      </c>
      <c r="AG1869">
        <v>-0.29356480000000001</v>
      </c>
      <c r="AH1869">
        <v>0.41175999899839499</v>
      </c>
      <c r="AI1869">
        <v>124.98354746835599</v>
      </c>
      <c r="AJ1869">
        <v>78.969453038354899</v>
      </c>
      <c r="AK1869">
        <v>0.51202460914812098</v>
      </c>
      <c r="AL1869">
        <v>86.988660672693399</v>
      </c>
      <c r="AM1869">
        <v>89.627466725541098</v>
      </c>
      <c r="AN1869">
        <v>0.99999995076829096</v>
      </c>
    </row>
    <row r="1870" spans="1:40" x14ac:dyDescent="0.25">
      <c r="A1870" t="str">
        <f>"20190312151303212"</f>
        <v>20190312151303212</v>
      </c>
      <c r="B1870" t="str">
        <f>"1552374783201534"</f>
        <v>1552374783201534</v>
      </c>
      <c r="C1870" t="s">
        <v>40</v>
      </c>
      <c r="D1870">
        <v>4.7019019999999996</v>
      </c>
      <c r="E1870">
        <v>0.53883449999999999</v>
      </c>
      <c r="F1870" t="s">
        <v>41</v>
      </c>
      <c r="G1870">
        <v>-337.94600000000003</v>
      </c>
      <c r="H1870">
        <v>0.82981939999999998</v>
      </c>
      <c r="I1870">
        <v>282.96460000000002</v>
      </c>
      <c r="J1870">
        <v>-337.45519999999999</v>
      </c>
      <c r="K1870">
        <v>1.109208</v>
      </c>
      <c r="L1870">
        <v>282.8734</v>
      </c>
      <c r="M1870">
        <v>-0.99985279999999999</v>
      </c>
      <c r="N1870">
        <v>0</v>
      </c>
      <c r="O1870">
        <v>-1.459352E-2</v>
      </c>
      <c r="P1870">
        <v>-0.99902639999999998</v>
      </c>
      <c r="Q1870">
        <v>4.330258E-2</v>
      </c>
      <c r="R1870">
        <v>-8.4451349999999994E-3</v>
      </c>
      <c r="S1870">
        <v>-3.0420530000000001</v>
      </c>
      <c r="T1870">
        <v>-0.85237339999999995</v>
      </c>
      <c r="U1870">
        <v>0.25592039999999999</v>
      </c>
      <c r="V1870">
        <v>6.0713649999999996E-3</v>
      </c>
      <c r="W1870">
        <v>5.2329769999999998E-2</v>
      </c>
      <c r="X1870">
        <v>0.99861140000000004</v>
      </c>
      <c r="Y1870">
        <v>9.42027E-2</v>
      </c>
      <c r="Z1870">
        <v>1.6932510000000001E-2</v>
      </c>
      <c r="AA1870">
        <v>0.99540899999999999</v>
      </c>
      <c r="AB1870">
        <v>51</v>
      </c>
      <c r="AC1870">
        <v>-0.49079999999997798</v>
      </c>
      <c r="AD1870">
        <v>-0.27938859999999999</v>
      </c>
      <c r="AE1870">
        <v>9.1200000000014797E-2</v>
      </c>
      <c r="AF1870">
        <v>7.48939267938976E-2</v>
      </c>
      <c r="AG1870">
        <v>-0.27938859999999999</v>
      </c>
      <c r="AH1870">
        <v>0.37268118698452801</v>
      </c>
      <c r="AI1870">
        <v>126.315059600067</v>
      </c>
      <c r="AJ1870">
        <v>78.637201384333906</v>
      </c>
      <c r="AK1870">
        <v>0.47176091106911999</v>
      </c>
      <c r="AL1870">
        <v>87.000354923736296</v>
      </c>
      <c r="AM1870">
        <v>89.651656986562998</v>
      </c>
      <c r="AN1870">
        <v>0.99999999725558797</v>
      </c>
    </row>
    <row r="1871" spans="1:40" x14ac:dyDescent="0.25">
      <c r="A1871" t="str">
        <f>"20190312151303234"</f>
        <v>20190312151303234</v>
      </c>
      <c r="B1871" t="str">
        <f>"1552374783231789"</f>
        <v>1552374783231789</v>
      </c>
      <c r="C1871" t="s">
        <v>40</v>
      </c>
      <c r="D1871">
        <v>4.7067889999999997</v>
      </c>
      <c r="E1871">
        <v>0.56662089999999998</v>
      </c>
      <c r="F1871" t="s">
        <v>41</v>
      </c>
      <c r="G1871">
        <v>-338.40899999999999</v>
      </c>
      <c r="H1871">
        <v>0.84160709999999905</v>
      </c>
      <c r="I1871">
        <v>282.95530000000002</v>
      </c>
      <c r="J1871">
        <v>-337.97730000000001</v>
      </c>
      <c r="K1871">
        <v>1.109216</v>
      </c>
      <c r="L1871">
        <v>282.86559999999997</v>
      </c>
      <c r="M1871">
        <v>-0.99984680000000004</v>
      </c>
      <c r="N1871">
        <v>0</v>
      </c>
      <c r="O1871">
        <v>-1.49836E-2</v>
      </c>
      <c r="P1871">
        <v>-0.99901010000000001</v>
      </c>
      <c r="Q1871">
        <v>4.3444660000000003E-2</v>
      </c>
      <c r="R1871">
        <v>-9.5669299999999995E-3</v>
      </c>
      <c r="S1871">
        <v>-3.0421140000000002</v>
      </c>
      <c r="T1871">
        <v>-0.85363659999999997</v>
      </c>
      <c r="U1871">
        <v>0.25997920000000002</v>
      </c>
      <c r="V1871">
        <v>5.3386859999999996E-3</v>
      </c>
      <c r="W1871">
        <v>5.2498339999999998E-2</v>
      </c>
      <c r="X1871">
        <v>0.99860669999999996</v>
      </c>
      <c r="Y1871">
        <v>9.5819329999999994E-2</v>
      </c>
      <c r="Z1871">
        <v>1.7284819999999999E-2</v>
      </c>
      <c r="AA1871">
        <v>0.99524869999999999</v>
      </c>
      <c r="AB1871">
        <v>51</v>
      </c>
      <c r="AC1871">
        <v>-0.43169999999997699</v>
      </c>
      <c r="AD1871">
        <v>-0.26760889999999998</v>
      </c>
      <c r="AE1871">
        <v>8.9700000000050295E-2</v>
      </c>
      <c r="AF1871">
        <v>7.0272549854251395E-2</v>
      </c>
      <c r="AG1871">
        <v>-0.26760889999999998</v>
      </c>
      <c r="AH1871">
        <v>0.31446794332088801</v>
      </c>
      <c r="AI1871">
        <v>129.70982632026099</v>
      </c>
      <c r="AJ1871">
        <v>77.403360170873398</v>
      </c>
      <c r="AK1871">
        <v>0.41885897626611401</v>
      </c>
      <c r="AL1871">
        <v>86.990683165486402</v>
      </c>
      <c r="AM1871">
        <v>89.693691959185699</v>
      </c>
      <c r="AN1871">
        <v>0.99999995927792495</v>
      </c>
    </row>
    <row r="1872" spans="1:40" x14ac:dyDescent="0.25">
      <c r="A1872" t="str">
        <f>"20190312151303257"</f>
        <v>20190312151303257</v>
      </c>
      <c r="B1872" t="str">
        <f>"1552374783252285"</f>
        <v>1552374783252285</v>
      </c>
      <c r="C1872" t="s">
        <v>40</v>
      </c>
      <c r="D1872">
        <v>4.7691359999999996</v>
      </c>
      <c r="E1872">
        <v>0.56928859999999903</v>
      </c>
      <c r="F1872" t="s">
        <v>41</v>
      </c>
      <c r="G1872">
        <v>-338.8648</v>
      </c>
      <c r="H1872">
        <v>0.82824660000000005</v>
      </c>
      <c r="I1872">
        <v>283.00380000000001</v>
      </c>
      <c r="J1872">
        <v>-338.4889</v>
      </c>
      <c r="K1872">
        <v>1.1092229999999901</v>
      </c>
      <c r="L1872">
        <v>282.8578</v>
      </c>
      <c r="M1872">
        <v>-0.99984070000000003</v>
      </c>
      <c r="N1872">
        <v>0</v>
      </c>
      <c r="O1872">
        <v>-1.536556E-2</v>
      </c>
      <c r="P1872">
        <v>-0.9989924</v>
      </c>
      <c r="Q1872">
        <v>4.3650990000000001E-2</v>
      </c>
      <c r="R1872">
        <v>-1.041722E-2</v>
      </c>
      <c r="S1872">
        <v>-3.0495000000000001</v>
      </c>
      <c r="T1872">
        <v>-0.96542609999999995</v>
      </c>
      <c r="U1872">
        <v>0.47424319999999998</v>
      </c>
      <c r="V1872">
        <v>4.8695769999999999E-3</v>
      </c>
      <c r="W1872">
        <v>5.2728339999999999E-2</v>
      </c>
      <c r="X1872">
        <v>0.99859699999999996</v>
      </c>
      <c r="Y1872">
        <v>0.1604276</v>
      </c>
      <c r="Z1872">
        <v>2.9373639999999999E-2</v>
      </c>
      <c r="AA1872">
        <v>0.98661049999999995</v>
      </c>
      <c r="AB1872">
        <v>51</v>
      </c>
      <c r="AC1872">
        <v>-0.37590000000000101</v>
      </c>
      <c r="AD1872">
        <v>-0.28097639999999902</v>
      </c>
      <c r="AE1872">
        <v>0.14600000000001501</v>
      </c>
      <c r="AF1872">
        <v>0.102161309776829</v>
      </c>
      <c r="AG1872">
        <v>-0.28097639999999902</v>
      </c>
      <c r="AH1872">
        <v>0.251508830187267</v>
      </c>
      <c r="AI1872">
        <v>135.986292128804</v>
      </c>
      <c r="AJ1872">
        <v>67.893319045095097</v>
      </c>
      <c r="AK1872">
        <v>0.39069343766493497</v>
      </c>
      <c r="AL1872">
        <v>86.977486919426099</v>
      </c>
      <c r="AM1872">
        <v>89.720604008817702</v>
      </c>
      <c r="AN1872">
        <v>0.99999997951415698</v>
      </c>
    </row>
    <row r="1873" spans="1:40" x14ac:dyDescent="0.25">
      <c r="A1873" t="str">
        <f>"20190312151303279"</f>
        <v>20190312151303279</v>
      </c>
      <c r="B1873" t="str">
        <f>"1552374783271805"</f>
        <v>1552374783271805</v>
      </c>
      <c r="C1873" t="s">
        <v>40</v>
      </c>
      <c r="D1873">
        <v>4.584435</v>
      </c>
      <c r="E1873">
        <v>0.56787379999999998</v>
      </c>
      <c r="F1873" t="s">
        <v>41</v>
      </c>
      <c r="G1873">
        <v>-339.33030000000002</v>
      </c>
      <c r="H1873">
        <v>0.84342410000000001</v>
      </c>
      <c r="I1873">
        <v>282.99360000000001</v>
      </c>
      <c r="J1873">
        <v>-339.01010000000002</v>
      </c>
      <c r="K1873">
        <v>1.1092229999999901</v>
      </c>
      <c r="L1873">
        <v>282.84960000000001</v>
      </c>
      <c r="M1873">
        <v>-0.99983449999999996</v>
      </c>
      <c r="N1873">
        <v>0</v>
      </c>
      <c r="O1873">
        <v>-1.5754440000000001E-2</v>
      </c>
      <c r="P1873">
        <v>-0.99897780000000003</v>
      </c>
      <c r="Q1873">
        <v>4.3860679999999999E-2</v>
      </c>
      <c r="R1873">
        <v>-1.095081E-2</v>
      </c>
      <c r="S1873">
        <v>-3.0502929999999999</v>
      </c>
      <c r="T1873">
        <v>-0.96363719999999997</v>
      </c>
      <c r="U1873">
        <v>0.49111939999999998</v>
      </c>
      <c r="V1873">
        <v>4.7239609999999996E-3</v>
      </c>
      <c r="W1873">
        <v>5.2963570000000001E-2</v>
      </c>
      <c r="X1873">
        <v>0.99858530000000001</v>
      </c>
      <c r="Y1873">
        <v>0.1658606</v>
      </c>
      <c r="Z1873">
        <v>3.025489E-2</v>
      </c>
      <c r="AA1873">
        <v>0.98568500000000003</v>
      </c>
      <c r="AB1873">
        <v>51</v>
      </c>
      <c r="AC1873">
        <v>-0.32019999999999899</v>
      </c>
      <c r="AD1873">
        <v>-0.26579889999999901</v>
      </c>
      <c r="AE1873">
        <v>0.14400000000000501</v>
      </c>
      <c r="AF1873">
        <v>9.47313983155713E-2</v>
      </c>
      <c r="AG1873">
        <v>-0.26579889999999901</v>
      </c>
      <c r="AH1873">
        <v>0.202072961886922</v>
      </c>
      <c r="AI1873">
        <v>139.98176098101399</v>
      </c>
      <c r="AJ1873">
        <v>64.8829108713457</v>
      </c>
      <c r="AK1873">
        <v>0.34706854509417401</v>
      </c>
      <c r="AL1873">
        <v>86.963990522615006</v>
      </c>
      <c r="AM1873">
        <v>89.728955544560705</v>
      </c>
      <c r="AN1873">
        <v>1.0000000284653801</v>
      </c>
    </row>
    <row r="1874" spans="1:40" x14ac:dyDescent="0.25">
      <c r="A1874" t="str">
        <f>"20190312151303313"</f>
        <v>20190312151303313</v>
      </c>
      <c r="B1874" t="str">
        <f>"1552374783302061"</f>
        <v>1552374783302061</v>
      </c>
      <c r="C1874" t="s">
        <v>40</v>
      </c>
      <c r="D1874">
        <v>4.8069839999999999</v>
      </c>
      <c r="E1874">
        <v>0.5669978</v>
      </c>
      <c r="F1874" t="s">
        <v>41</v>
      </c>
      <c r="G1874">
        <v>-339.7978</v>
      </c>
      <c r="H1874">
        <v>0.86308119999999999</v>
      </c>
      <c r="I1874">
        <v>282.97329999999999</v>
      </c>
      <c r="J1874">
        <v>-339.7731</v>
      </c>
      <c r="K1874">
        <v>1.1092280000000001</v>
      </c>
      <c r="L1874">
        <v>282.83730000000003</v>
      </c>
      <c r="M1874">
        <v>-0.99982499999999996</v>
      </c>
      <c r="N1874">
        <v>0</v>
      </c>
      <c r="O1874">
        <v>-1.6322920000000001E-2</v>
      </c>
      <c r="P1874">
        <v>-0.99899300000000002</v>
      </c>
      <c r="Q1874">
        <v>4.3463960000000003E-2</v>
      </c>
      <c r="R1874">
        <v>-1.114648E-2</v>
      </c>
      <c r="S1874">
        <v>-3.0502009999999999</v>
      </c>
      <c r="T1874">
        <v>-0.95316719999999999</v>
      </c>
      <c r="U1874">
        <v>0.4789429</v>
      </c>
      <c r="V1874">
        <v>5.0968059999999997E-3</v>
      </c>
      <c r="W1874">
        <v>5.2608340000000003E-2</v>
      </c>
      <c r="X1874">
        <v>0.9986022</v>
      </c>
      <c r="Y1874">
        <v>0.16287470000000001</v>
      </c>
      <c r="Z1874">
        <v>2.967001E-2</v>
      </c>
      <c r="AA1874">
        <v>0.98620059999999998</v>
      </c>
      <c r="AB1874">
        <v>51</v>
      </c>
      <c r="AC1874">
        <v>-2.4699999999995701E-2</v>
      </c>
      <c r="AD1874">
        <v>-0.2461468</v>
      </c>
      <c r="AE1874">
        <v>0.13599999999996701</v>
      </c>
      <c r="AF1874">
        <v>3.2697247541161198E-2</v>
      </c>
      <c r="AG1874">
        <v>-0.2461468</v>
      </c>
      <c r="AH1874">
        <v>5.38861169266936E-3</v>
      </c>
      <c r="AI1874">
        <v>172.332473972598</v>
      </c>
      <c r="AJ1874">
        <v>9.3584089253507692</v>
      </c>
      <c r="AK1874">
        <v>0.248367458180379</v>
      </c>
      <c r="AL1874">
        <v>86.984371983767801</v>
      </c>
      <c r="AM1874">
        <v>89.707568301910399</v>
      </c>
      <c r="AN1874">
        <v>0.99999998435689796</v>
      </c>
    </row>
    <row r="1875" spans="1:40" x14ac:dyDescent="0.25">
      <c r="A1875" t="str">
        <f>"20190312151303334"</f>
        <v>20190312151303334</v>
      </c>
      <c r="B1875" t="str">
        <f>"1552374783321583"</f>
        <v>1552374783321583</v>
      </c>
      <c r="C1875" t="s">
        <v>40</v>
      </c>
      <c r="D1875">
        <v>4.507949</v>
      </c>
      <c r="E1875">
        <v>0.56602819999999898</v>
      </c>
      <c r="F1875" t="s">
        <v>41</v>
      </c>
      <c r="G1875">
        <v>-340.70179999999999</v>
      </c>
      <c r="H1875">
        <v>0.81863640000000004</v>
      </c>
      <c r="I1875">
        <v>282.9812</v>
      </c>
      <c r="J1875">
        <v>-340.2672</v>
      </c>
      <c r="K1875">
        <v>1.109229</v>
      </c>
      <c r="L1875">
        <v>282.82900000000001</v>
      </c>
      <c r="M1875">
        <v>-0.9998186</v>
      </c>
      <c r="N1875">
        <v>0</v>
      </c>
      <c r="O1875">
        <v>-1.6688310000000001E-2</v>
      </c>
      <c r="P1875">
        <v>-0.99900129999999998</v>
      </c>
      <c r="Q1875">
        <v>4.323946E-2</v>
      </c>
      <c r="R1875">
        <v>-1.1254449999999999E-2</v>
      </c>
      <c r="S1875">
        <v>-3.0498050000000001</v>
      </c>
      <c r="T1875">
        <v>-0.95433389999999996</v>
      </c>
      <c r="U1875">
        <v>0.47186280000000003</v>
      </c>
      <c r="V1875">
        <v>5.3542269999999996E-3</v>
      </c>
      <c r="W1875">
        <v>5.241026E-2</v>
      </c>
      <c r="X1875">
        <v>0.99861129999999998</v>
      </c>
      <c r="Y1875">
        <v>0.16106089999999901</v>
      </c>
      <c r="Z1875">
        <v>2.9548729999999999E-2</v>
      </c>
      <c r="AA1875">
        <v>0.98650210000000005</v>
      </c>
      <c r="AB1875">
        <v>52</v>
      </c>
      <c r="AC1875">
        <v>-0.434599999999989</v>
      </c>
      <c r="AD1875">
        <v>-0.29059259999999998</v>
      </c>
      <c r="AE1875">
        <v>0.15219999999999301</v>
      </c>
      <c r="AF1875">
        <v>0.1140230607014</v>
      </c>
      <c r="AG1875">
        <v>-0.29059259999999998</v>
      </c>
      <c r="AH1875">
        <v>0.30895893745499697</v>
      </c>
      <c r="AI1875">
        <v>131.42455921346701</v>
      </c>
      <c r="AJ1875">
        <v>69.743129707601298</v>
      </c>
      <c r="AK1875">
        <v>0.43920489817372899</v>
      </c>
      <c r="AL1875">
        <v>86.995736905018006</v>
      </c>
      <c r="AM1875">
        <v>89.692801723719199</v>
      </c>
      <c r="AN1875">
        <v>1.00000001579386</v>
      </c>
    </row>
    <row r="1876" spans="1:40" x14ac:dyDescent="0.25">
      <c r="A1876" t="str">
        <f>"20190312151303356"</f>
        <v>20190312151303356</v>
      </c>
      <c r="B1876" t="str">
        <f>"1552374783351838"</f>
        <v>1552374783351838</v>
      </c>
      <c r="C1876" t="s">
        <v>40</v>
      </c>
      <c r="D1876">
        <v>4.7811300000000001</v>
      </c>
      <c r="E1876">
        <v>0.56509670000000001</v>
      </c>
      <c r="F1876" t="s">
        <v>41</v>
      </c>
      <c r="G1876">
        <v>-341.16680000000002</v>
      </c>
      <c r="H1876">
        <v>0.82836599999999905</v>
      </c>
      <c r="I1876">
        <v>282.96589999999998</v>
      </c>
      <c r="J1876">
        <v>-340.7842</v>
      </c>
      <c r="K1876">
        <v>1.109227</v>
      </c>
      <c r="L1876">
        <v>282.82029999999997</v>
      </c>
      <c r="M1876">
        <v>-0.99981220000000004</v>
      </c>
      <c r="N1876">
        <v>0</v>
      </c>
      <c r="O1876">
        <v>-1.706703E-2</v>
      </c>
      <c r="P1876">
        <v>-0.99899510000000002</v>
      </c>
      <c r="Q1876">
        <v>4.3157069999999999E-2</v>
      </c>
      <c r="R1876">
        <v>-1.2115330000000001E-2</v>
      </c>
      <c r="S1876">
        <v>-3.0493769999999998</v>
      </c>
      <c r="T1876">
        <v>-0.9520923</v>
      </c>
      <c r="U1876">
        <v>0.46374510000000002</v>
      </c>
      <c r="V1876">
        <v>4.8723029999999997E-3</v>
      </c>
      <c r="W1876">
        <v>5.2353110000000001E-2</v>
      </c>
      <c r="X1876">
        <v>0.99861679999999997</v>
      </c>
      <c r="Y1876">
        <v>0.15899929999999901</v>
      </c>
      <c r="Z1876">
        <v>2.929408E-2</v>
      </c>
      <c r="AA1876">
        <v>0.98684400000000005</v>
      </c>
      <c r="AB1876">
        <v>52</v>
      </c>
      <c r="AC1876">
        <v>-0.38260000000002398</v>
      </c>
      <c r="AD1876">
        <v>-0.28086100000000003</v>
      </c>
      <c r="AE1876">
        <v>0.14560000000000101</v>
      </c>
      <c r="AF1876">
        <v>0.103425361632229</v>
      </c>
      <c r="AG1876">
        <v>-0.28086100000000003</v>
      </c>
      <c r="AH1876">
        <v>0.25841852470648302</v>
      </c>
      <c r="AI1876">
        <v>135.25760058619301</v>
      </c>
      <c r="AJ1876">
        <v>68.187514742721604</v>
      </c>
      <c r="AK1876">
        <v>0.39542362177952001</v>
      </c>
      <c r="AL1876">
        <v>86.999015964127196</v>
      </c>
      <c r="AM1876">
        <v>89.720453147520203</v>
      </c>
      <c r="AN1876">
        <v>1.00000005035271</v>
      </c>
    </row>
    <row r="1877" spans="1:40" x14ac:dyDescent="0.25">
      <c r="A1877" t="str">
        <f>"20190312151303380"</f>
        <v>20190312151303380</v>
      </c>
      <c r="B1877" t="str">
        <f>"1552374783372338"</f>
        <v>1552374783372338</v>
      </c>
      <c r="C1877" t="s">
        <v>40</v>
      </c>
      <c r="D1877">
        <v>4.5437349999999999</v>
      </c>
      <c r="E1877">
        <v>0.56400539999999999</v>
      </c>
      <c r="F1877" t="s">
        <v>41</v>
      </c>
      <c r="G1877">
        <v>-341.63529999999997</v>
      </c>
      <c r="H1877">
        <v>0.8457808</v>
      </c>
      <c r="I1877">
        <v>282.947</v>
      </c>
      <c r="J1877">
        <v>-341.31299999999999</v>
      </c>
      <c r="K1877">
        <v>1.1092219999999999</v>
      </c>
      <c r="L1877">
        <v>282.81099999999998</v>
      </c>
      <c r="M1877">
        <v>-0.99980530000000001</v>
      </c>
      <c r="N1877">
        <v>0</v>
      </c>
      <c r="O1877">
        <v>-1.7443670000000001E-2</v>
      </c>
      <c r="P1877">
        <v>-0.99900250000000002</v>
      </c>
      <c r="Q1877">
        <v>4.2799909999999997E-2</v>
      </c>
      <c r="R1877">
        <v>-1.275836E-2</v>
      </c>
      <c r="S1877">
        <v>-3.049255</v>
      </c>
      <c r="T1877">
        <v>-0.94388879999999997</v>
      </c>
      <c r="U1877">
        <v>0.45364379999999999</v>
      </c>
      <c r="V1877">
        <v>4.6069919999999999E-3</v>
      </c>
      <c r="W1877">
        <v>5.2020259999999999E-2</v>
      </c>
      <c r="X1877">
        <v>0.99863539999999995</v>
      </c>
      <c r="Y1877">
        <v>0.15641279999999999</v>
      </c>
      <c r="Z1877">
        <v>2.8784779999999999E-2</v>
      </c>
      <c r="AA1877">
        <v>0.98727229999999999</v>
      </c>
      <c r="AB1877">
        <v>52</v>
      </c>
      <c r="AC1877">
        <v>-0.32229999999992698</v>
      </c>
      <c r="AD1877">
        <v>-0.26344119999999899</v>
      </c>
      <c r="AE1877">
        <v>0.13600000000002399</v>
      </c>
      <c r="AF1877">
        <v>9.0357442998357296E-2</v>
      </c>
      <c r="AG1877">
        <v>-0.26344119999999899</v>
      </c>
      <c r="AH1877">
        <v>0.20411772749895199</v>
      </c>
      <c r="AI1877">
        <v>139.72421812661699</v>
      </c>
      <c r="AJ1877">
        <v>66.122312856196601</v>
      </c>
      <c r="AK1877">
        <v>0.34529665512711999</v>
      </c>
      <c r="AL1877">
        <v>87.018112726653897</v>
      </c>
      <c r="AM1877">
        <v>89.735679983608804</v>
      </c>
      <c r="AN1877">
        <v>0.99999999697945696</v>
      </c>
    </row>
    <row r="1878" spans="1:40" x14ac:dyDescent="0.25">
      <c r="A1878" t="str">
        <f>"20190312151303401"</f>
        <v>20190312151303401</v>
      </c>
      <c r="B1878" t="str">
        <f>"1552374783391853"</f>
        <v>1552374783391853</v>
      </c>
      <c r="C1878" t="s">
        <v>40</v>
      </c>
      <c r="D1878">
        <v>4.4910819999999996</v>
      </c>
      <c r="E1878">
        <v>0.56326500000000002</v>
      </c>
      <c r="F1878" t="s">
        <v>41</v>
      </c>
      <c r="G1878">
        <v>-342.1062</v>
      </c>
      <c r="H1878">
        <v>0.86753919999999995</v>
      </c>
      <c r="I1878">
        <v>282.92680000000001</v>
      </c>
      <c r="J1878">
        <v>-341.81990000000002</v>
      </c>
      <c r="K1878">
        <v>1.1092059999999999</v>
      </c>
      <c r="L1878">
        <v>282.8021</v>
      </c>
      <c r="M1878">
        <v>-0.99979910000000005</v>
      </c>
      <c r="N1878">
        <v>0</v>
      </c>
      <c r="O1878">
        <v>-1.7789360000000001E-2</v>
      </c>
      <c r="P1878">
        <v>-0.99899059999999995</v>
      </c>
      <c r="Q1878">
        <v>4.264685E-2</v>
      </c>
      <c r="R1878">
        <v>-1.4108259999999999E-2</v>
      </c>
      <c r="S1878">
        <v>-3.0484309999999999</v>
      </c>
      <c r="T1878">
        <v>-0.92882589999999998</v>
      </c>
      <c r="U1878">
        <v>0.44320680000000001</v>
      </c>
      <c r="V1878">
        <v>3.603584E-3</v>
      </c>
      <c r="W1878">
        <v>5.18874E-2</v>
      </c>
      <c r="X1878">
        <v>0.99864640000000005</v>
      </c>
      <c r="Y1878">
        <v>0.15382179999999901</v>
      </c>
      <c r="Z1878">
        <v>2.807747E-2</v>
      </c>
      <c r="AA1878">
        <v>0.98769960000000001</v>
      </c>
      <c r="AB1878">
        <v>52</v>
      </c>
      <c r="AC1878">
        <v>-0.28629999999998201</v>
      </c>
      <c r="AD1878">
        <v>-0.24166679999999999</v>
      </c>
      <c r="AE1878">
        <v>0.124700000000018</v>
      </c>
      <c r="AF1878">
        <v>8.1164575229302094E-2</v>
      </c>
      <c r="AG1878">
        <v>-0.24166679999999999</v>
      </c>
      <c r="AH1878">
        <v>0.17764542907811801</v>
      </c>
      <c r="AI1878">
        <v>141.05573936956199</v>
      </c>
      <c r="AJ1878">
        <v>65.444771797655804</v>
      </c>
      <c r="AK1878">
        <v>0.310722430742844</v>
      </c>
      <c r="AL1878">
        <v>87.025735228783304</v>
      </c>
      <c r="AM1878">
        <v>89.793250886224001</v>
      </c>
      <c r="AN1878">
        <v>0.99999996016468096</v>
      </c>
    </row>
    <row r="1879" spans="1:40" x14ac:dyDescent="0.25">
      <c r="A1879" t="str">
        <f>"20190312151303424"</f>
        <v>20190312151303424</v>
      </c>
      <c r="B1879" t="str">
        <f>"1552374783411373"</f>
        <v>1552374783411373</v>
      </c>
      <c r="C1879" t="s">
        <v>40</v>
      </c>
      <c r="D1879">
        <v>4.7006410000000001</v>
      </c>
      <c r="E1879">
        <v>0.56303760000000003</v>
      </c>
      <c r="F1879" t="s">
        <v>41</v>
      </c>
      <c r="G1879">
        <v>-342.57470000000001</v>
      </c>
      <c r="H1879">
        <v>0.88191559999999902</v>
      </c>
      <c r="I1879">
        <v>282.90960000000001</v>
      </c>
      <c r="J1879">
        <v>-342.34010000000001</v>
      </c>
      <c r="K1879">
        <v>1.109192</v>
      </c>
      <c r="L1879">
        <v>282.79270000000002</v>
      </c>
      <c r="M1879">
        <v>-0.99979289999999998</v>
      </c>
      <c r="N1879">
        <v>0</v>
      </c>
      <c r="O1879">
        <v>-1.8121379999999999E-2</v>
      </c>
      <c r="P1879">
        <v>-0.99896510000000005</v>
      </c>
      <c r="Q1879">
        <v>4.2924759999999999E-2</v>
      </c>
      <c r="R1879">
        <v>-1.504984E-2</v>
      </c>
      <c r="S1879">
        <v>-3.04834</v>
      </c>
      <c r="T1879">
        <v>-0.91796880000000003</v>
      </c>
      <c r="U1879">
        <v>0.43301390000000001</v>
      </c>
      <c r="V1879">
        <v>2.9950519999999998E-3</v>
      </c>
      <c r="W1879">
        <v>5.2185009999999997E-2</v>
      </c>
      <c r="X1879">
        <v>0.99863299999999999</v>
      </c>
      <c r="Y1879">
        <v>0.15118670000000001</v>
      </c>
      <c r="Z1879">
        <v>2.7481080000000001E-2</v>
      </c>
      <c r="AA1879">
        <v>0.98812319999999998</v>
      </c>
      <c r="AB1879">
        <v>52</v>
      </c>
      <c r="AC1879">
        <v>-0.2346</v>
      </c>
      <c r="AD1879">
        <v>-0.22727639999999999</v>
      </c>
      <c r="AE1879">
        <v>0.116899999999986</v>
      </c>
      <c r="AF1879">
        <v>6.91451174144114E-2</v>
      </c>
      <c r="AG1879">
        <v>-0.22727639999999999</v>
      </c>
      <c r="AH1879">
        <v>0.132683877920131</v>
      </c>
      <c r="AI1879">
        <v>146.642446384457</v>
      </c>
      <c r="AJ1879">
        <v>62.474774957554096</v>
      </c>
      <c r="AK1879">
        <v>0.27210406229811601</v>
      </c>
      <c r="AL1879">
        <v>87.008660588334493</v>
      </c>
      <c r="AM1879">
        <v>89.828161772638595</v>
      </c>
      <c r="AN1879">
        <v>1.00000005714708</v>
      </c>
    </row>
    <row r="1880" spans="1:40" x14ac:dyDescent="0.25">
      <c r="A1880" t="str">
        <f>"20190312151303446"</f>
        <v>20190312151303446</v>
      </c>
      <c r="B1880" t="str">
        <f>"1552374783441629"</f>
        <v>1552374783441629</v>
      </c>
      <c r="C1880" t="s">
        <v>40</v>
      </c>
      <c r="D1880">
        <v>4.7435989999999997</v>
      </c>
      <c r="E1880">
        <v>0.56317649999999997</v>
      </c>
      <c r="F1880" t="s">
        <v>41</v>
      </c>
      <c r="G1880">
        <v>-343.04419999999999</v>
      </c>
      <c r="H1880">
        <v>0.89756440000000004</v>
      </c>
      <c r="I1880">
        <v>282.89210000000003</v>
      </c>
      <c r="J1880">
        <v>-342.84679999999997</v>
      </c>
      <c r="K1880">
        <v>1.109167</v>
      </c>
      <c r="L1880">
        <v>282.78339999999997</v>
      </c>
      <c r="M1880">
        <v>-0.99978739999999999</v>
      </c>
      <c r="N1880">
        <v>0</v>
      </c>
      <c r="O1880">
        <v>-1.8414819999999998E-2</v>
      </c>
      <c r="P1880">
        <v>-0.99895350000000005</v>
      </c>
      <c r="Q1880">
        <v>4.3227689999999999E-2</v>
      </c>
      <c r="R1880">
        <v>-1.4948670000000001E-2</v>
      </c>
      <c r="S1880">
        <v>-3.04895</v>
      </c>
      <c r="T1880">
        <v>-0.91648169999999995</v>
      </c>
      <c r="U1880">
        <v>0.42877199999999999</v>
      </c>
      <c r="V1880">
        <v>3.3916469999999998E-3</v>
      </c>
      <c r="W1880">
        <v>5.2509300000000002E-2</v>
      </c>
      <c r="X1880">
        <v>0.99861469999999997</v>
      </c>
      <c r="Y1880">
        <v>0.1501574</v>
      </c>
      <c r="Z1880">
        <v>2.7370990000000001E-2</v>
      </c>
      <c r="AA1880">
        <v>0.98828320000000003</v>
      </c>
      <c r="AB1880">
        <v>52</v>
      </c>
      <c r="AC1880">
        <v>-0.19740000000001601</v>
      </c>
      <c r="AD1880">
        <v>-0.2116026</v>
      </c>
      <c r="AE1880">
        <v>0.108700000000055</v>
      </c>
      <c r="AF1880">
        <v>5.9688525485544201E-2</v>
      </c>
      <c r="AG1880">
        <v>-0.2116026</v>
      </c>
      <c r="AH1880">
        <v>0.103822694773173</v>
      </c>
      <c r="AI1880">
        <v>150.49209053927899</v>
      </c>
      <c r="AJ1880">
        <v>60.105048293948698</v>
      </c>
      <c r="AK1880">
        <v>0.24314097217738101</v>
      </c>
      <c r="AL1880">
        <v>86.990054532750904</v>
      </c>
      <c r="AM1880">
        <v>89.805404114817804</v>
      </c>
      <c r="AN1880">
        <v>1.0000000244559699</v>
      </c>
    </row>
    <row r="1881" spans="1:40" x14ac:dyDescent="0.25">
      <c r="A1881" t="str">
        <f>"20190312151303468"</f>
        <v>20190312151303468</v>
      </c>
      <c r="B1881" t="str">
        <f>"1552374783462125"</f>
        <v>1552374783462125</v>
      </c>
      <c r="C1881" t="s">
        <v>40</v>
      </c>
      <c r="D1881">
        <v>4.5067209999999998</v>
      </c>
      <c r="E1881">
        <v>0.5631853</v>
      </c>
      <c r="F1881" t="s">
        <v>41</v>
      </c>
      <c r="G1881">
        <v>-343.92790000000002</v>
      </c>
      <c r="H1881">
        <v>0.78115579999999996</v>
      </c>
      <c r="I1881">
        <v>282.93619999999999</v>
      </c>
      <c r="J1881">
        <v>-343.37290000000002</v>
      </c>
      <c r="K1881">
        <v>1.109143</v>
      </c>
      <c r="L1881">
        <v>282.77359999999999</v>
      </c>
      <c r="M1881">
        <v>-0.99978210000000001</v>
      </c>
      <c r="N1881">
        <v>0</v>
      </c>
      <c r="O1881">
        <v>-1.867825E-2</v>
      </c>
      <c r="P1881">
        <v>-0.99893469999999995</v>
      </c>
      <c r="Q1881">
        <v>4.3561210000000003E-2</v>
      </c>
      <c r="R1881">
        <v>-1.5227950000000001E-2</v>
      </c>
      <c r="S1881">
        <v>-3.049652</v>
      </c>
      <c r="T1881">
        <v>-0.92532369999999997</v>
      </c>
      <c r="U1881">
        <v>0.42980960000000001</v>
      </c>
      <c r="V1881">
        <v>3.3787629999999999E-3</v>
      </c>
      <c r="W1881">
        <v>5.286739E-2</v>
      </c>
      <c r="X1881">
        <v>0.99859580000000003</v>
      </c>
      <c r="Y1881">
        <v>0.15055170000000001</v>
      </c>
      <c r="Z1881">
        <v>2.775333E-2</v>
      </c>
      <c r="AA1881">
        <v>0.98821250000000005</v>
      </c>
      <c r="AB1881">
        <v>52</v>
      </c>
      <c r="AC1881">
        <v>-0.55500000000000604</v>
      </c>
      <c r="AD1881">
        <v>-0.32798719999999898</v>
      </c>
      <c r="AE1881">
        <v>0.162599999999997</v>
      </c>
      <c r="AF1881">
        <v>0.13085184090379501</v>
      </c>
      <c r="AG1881">
        <v>-0.32798719999999898</v>
      </c>
      <c r="AH1881">
        <v>0.41756272725353299</v>
      </c>
      <c r="AI1881">
        <v>126.852989578159</v>
      </c>
      <c r="AJ1881">
        <v>72.600547984475398</v>
      </c>
      <c r="AK1881">
        <v>0.54686052958972997</v>
      </c>
      <c r="AL1881">
        <v>86.969508797811898</v>
      </c>
      <c r="AM1881">
        <v>89.806139660176697</v>
      </c>
      <c r="AN1881">
        <v>0.99999997437123</v>
      </c>
    </row>
    <row r="1882" spans="1:40" x14ac:dyDescent="0.25">
      <c r="A1882" t="str">
        <f>"20190312151303492"</f>
        <v>20190312151303492</v>
      </c>
      <c r="B1882" t="str">
        <f>"1552374783481645"</f>
        <v>1552374783481645</v>
      </c>
      <c r="C1882" t="s">
        <v>40</v>
      </c>
      <c r="D1882">
        <v>4.5027039999999996</v>
      </c>
      <c r="E1882">
        <v>0.56328440000000002</v>
      </c>
      <c r="F1882" t="s">
        <v>41</v>
      </c>
      <c r="G1882">
        <v>-344.39870000000002</v>
      </c>
      <c r="H1882">
        <v>0.79695389999999999</v>
      </c>
      <c r="I1882">
        <v>282.91829999999999</v>
      </c>
      <c r="J1882">
        <v>-343.91480000000001</v>
      </c>
      <c r="K1882">
        <v>1.1091139999999999</v>
      </c>
      <c r="L1882">
        <v>282.76339999999999</v>
      </c>
      <c r="M1882">
        <v>-0.99977760000000004</v>
      </c>
      <c r="N1882">
        <v>0</v>
      </c>
      <c r="O1882">
        <v>-1.8912189999999999E-2</v>
      </c>
      <c r="P1882">
        <v>-0.99892380000000003</v>
      </c>
      <c r="Q1882">
        <v>4.3779459999999999E-2</v>
      </c>
      <c r="R1882">
        <v>-1.5320540000000001E-2</v>
      </c>
      <c r="S1882">
        <v>-3.050262</v>
      </c>
      <c r="T1882">
        <v>-0.92819209999999996</v>
      </c>
      <c r="U1882">
        <v>0.43011470000000002</v>
      </c>
      <c r="V1882">
        <v>3.5239730000000001E-3</v>
      </c>
      <c r="W1882">
        <v>5.3111180000000001E-2</v>
      </c>
      <c r="X1882">
        <v>0.99858239999999998</v>
      </c>
      <c r="Y1882">
        <v>0.15078900000000001</v>
      </c>
      <c r="Z1882">
        <v>2.7934690000000002E-2</v>
      </c>
      <c r="AA1882">
        <v>0.98817120000000003</v>
      </c>
      <c r="AB1882">
        <v>52</v>
      </c>
      <c r="AC1882">
        <v>-0.48390000000000499</v>
      </c>
      <c r="AD1882">
        <v>-0.312160099999999</v>
      </c>
      <c r="AE1882">
        <v>0.15489999999999701</v>
      </c>
      <c r="AF1882">
        <v>0.11907688693248999</v>
      </c>
      <c r="AG1882">
        <v>-0.312160099999999</v>
      </c>
      <c r="AH1882">
        <v>0.349107711866185</v>
      </c>
      <c r="AI1882">
        <v>130.24091268226701</v>
      </c>
      <c r="AJ1882">
        <v>71.166042982450094</v>
      </c>
      <c r="AK1882">
        <v>0.48321778476995902</v>
      </c>
      <c r="AL1882">
        <v>86.955521124443493</v>
      </c>
      <c r="AM1882">
        <v>89.797805427117495</v>
      </c>
      <c r="AN1882">
        <v>1.00000001270822</v>
      </c>
    </row>
    <row r="1883" spans="1:40" x14ac:dyDescent="0.25">
      <c r="A1883" t="str">
        <f>"20190312151303513"</f>
        <v>20190312151303513</v>
      </c>
      <c r="B1883" t="str">
        <f>"1552374783502141"</f>
        <v>1552374783502141</v>
      </c>
      <c r="C1883" t="s">
        <v>40</v>
      </c>
      <c r="D1883">
        <v>4.4726689999999998</v>
      </c>
      <c r="E1883">
        <v>0.56323780000000001</v>
      </c>
      <c r="F1883" t="s">
        <v>41</v>
      </c>
      <c r="G1883">
        <v>-344.8716</v>
      </c>
      <c r="H1883">
        <v>0.81671359999999904</v>
      </c>
      <c r="I1883">
        <v>282.89909999999998</v>
      </c>
      <c r="J1883">
        <v>-344.43009999999998</v>
      </c>
      <c r="K1883">
        <v>1.109084</v>
      </c>
      <c r="L1883">
        <v>282.75360000000001</v>
      </c>
      <c r="M1883">
        <v>-0.99977380000000005</v>
      </c>
      <c r="N1883">
        <v>0</v>
      </c>
      <c r="O1883">
        <v>-1.9097619999999999E-2</v>
      </c>
      <c r="P1883">
        <v>-0.99892309999999995</v>
      </c>
      <c r="Q1883">
        <v>4.389668E-2</v>
      </c>
      <c r="R1883">
        <v>-1.5034580000000001E-2</v>
      </c>
      <c r="S1883">
        <v>-3.050751</v>
      </c>
      <c r="T1883">
        <v>-0.93231699999999995</v>
      </c>
      <c r="U1883">
        <v>0.4316101</v>
      </c>
      <c r="V1883">
        <v>3.9996320000000004E-3</v>
      </c>
      <c r="W1883">
        <v>5.325498E-2</v>
      </c>
      <c r="X1883">
        <v>0.99857289999999999</v>
      </c>
      <c r="Y1883">
        <v>0.15132979999999999</v>
      </c>
      <c r="Z1883">
        <v>2.8183940000000001E-2</v>
      </c>
      <c r="AA1883">
        <v>0.98808149999999995</v>
      </c>
      <c r="AB1883">
        <v>52</v>
      </c>
      <c r="AC1883">
        <v>-0.44150000000001899</v>
      </c>
      <c r="AD1883">
        <v>-0.29237039999999997</v>
      </c>
      <c r="AE1883">
        <v>0.14549999999996999</v>
      </c>
      <c r="AF1883">
        <v>0.11028114152615701</v>
      </c>
      <c r="AG1883">
        <v>-0.29237039999999997</v>
      </c>
      <c r="AH1883">
        <v>0.31430854147575099</v>
      </c>
      <c r="AI1883">
        <v>131.27474275643101</v>
      </c>
      <c r="AJ1883">
        <v>70.665606525560094</v>
      </c>
      <c r="AK1883">
        <v>0.44320676914628299</v>
      </c>
      <c r="AL1883">
        <v>86.947270163698903</v>
      </c>
      <c r="AM1883">
        <v>89.770511689482603</v>
      </c>
      <c r="AN1883">
        <v>0.99999996328267204</v>
      </c>
    </row>
    <row r="1884" spans="1:40" x14ac:dyDescent="0.25">
      <c r="A1884" t="str">
        <f>"20190312151303535"</f>
        <v>20190312151303535</v>
      </c>
      <c r="B1884" t="str">
        <f>"1552374783531421"</f>
        <v>1552374783531421</v>
      </c>
      <c r="C1884" t="s">
        <v>40</v>
      </c>
      <c r="D1884">
        <v>4.4887129999999997</v>
      </c>
      <c r="E1884">
        <v>0.56320859999999995</v>
      </c>
      <c r="F1884" t="s">
        <v>41</v>
      </c>
      <c r="G1884">
        <v>-345.34230000000002</v>
      </c>
      <c r="H1884">
        <v>0.8294513</v>
      </c>
      <c r="I1884">
        <v>282.88249999999999</v>
      </c>
      <c r="J1884">
        <v>-344.92570000000001</v>
      </c>
      <c r="K1884">
        <v>1.109046</v>
      </c>
      <c r="L1884">
        <v>282.7441</v>
      </c>
      <c r="M1884">
        <v>-0.99977079999999996</v>
      </c>
      <c r="N1884">
        <v>0</v>
      </c>
      <c r="O1884">
        <v>-1.9239409999999998E-2</v>
      </c>
      <c r="P1884">
        <v>-0.99890840000000003</v>
      </c>
      <c r="Q1884">
        <v>4.4179219999999998E-2</v>
      </c>
      <c r="R1884">
        <v>-1.517275E-2</v>
      </c>
      <c r="S1884">
        <v>-3.0508120000000001</v>
      </c>
      <c r="T1884">
        <v>-0.93513179999999996</v>
      </c>
      <c r="U1884">
        <v>0.43087769999999997</v>
      </c>
      <c r="V1884">
        <v>4.0071610000000004E-3</v>
      </c>
      <c r="W1884">
        <v>5.3565439999999999E-2</v>
      </c>
      <c r="X1884">
        <v>0.99855629999999995</v>
      </c>
      <c r="Y1884">
        <v>0.1511892</v>
      </c>
      <c r="Z1884">
        <v>2.828661E-2</v>
      </c>
      <c r="AA1884">
        <v>0.98810010000000004</v>
      </c>
      <c r="AB1884">
        <v>52</v>
      </c>
      <c r="AC1884">
        <v>-0.41660000000001601</v>
      </c>
      <c r="AD1884">
        <v>-0.27959469999999897</v>
      </c>
      <c r="AE1884">
        <v>0.13839999999999</v>
      </c>
      <c r="AF1884">
        <v>0.104143770276504</v>
      </c>
      <c r="AG1884">
        <v>-0.27959469999999897</v>
      </c>
      <c r="AH1884">
        <v>0.29442572300665998</v>
      </c>
      <c r="AI1884">
        <v>131.8371558728</v>
      </c>
      <c r="AJ1884">
        <v>70.520380331771307</v>
      </c>
      <c r="AK1884">
        <v>0.41917255101388701</v>
      </c>
      <c r="AL1884">
        <v>86.929456799042299</v>
      </c>
      <c r="AM1884">
        <v>89.770075877845898</v>
      </c>
      <c r="AN1884">
        <v>0.99999999898568104</v>
      </c>
    </row>
    <row r="1885" spans="1:40" x14ac:dyDescent="0.25">
      <c r="A1885" t="str">
        <f>"20190312151303558"</f>
        <v>20190312151303558</v>
      </c>
      <c r="B1885" t="str">
        <f>"1552374783551917"</f>
        <v>1552374783551917</v>
      </c>
      <c r="C1885" t="s">
        <v>40</v>
      </c>
      <c r="D1885">
        <v>4.5036699999999996</v>
      </c>
      <c r="E1885">
        <v>0.56330930000000001</v>
      </c>
      <c r="F1885" t="s">
        <v>41</v>
      </c>
      <c r="G1885">
        <v>-345.81119999999999</v>
      </c>
      <c r="H1885">
        <v>0.83638040000000002</v>
      </c>
      <c r="I1885">
        <v>282.86939999999998</v>
      </c>
      <c r="J1885">
        <v>-345.47210000000001</v>
      </c>
      <c r="K1885">
        <v>1.1090100000000001</v>
      </c>
      <c r="L1885">
        <v>282.73349999999999</v>
      </c>
      <c r="M1885">
        <v>-0.99976830000000005</v>
      </c>
      <c r="N1885">
        <v>0</v>
      </c>
      <c r="O1885">
        <v>-1.935651E-2</v>
      </c>
      <c r="P1885">
        <v>-0.99890780000000001</v>
      </c>
      <c r="Q1885">
        <v>4.4161029999999997E-2</v>
      </c>
      <c r="R1885">
        <v>-1.5284600000000001E-2</v>
      </c>
      <c r="S1885">
        <v>-3.0513919999999999</v>
      </c>
      <c r="T1885">
        <v>-0.93958719999999996</v>
      </c>
      <c r="U1885">
        <v>0.43075560000000002</v>
      </c>
      <c r="V1885">
        <v>4.0178719999999996E-3</v>
      </c>
      <c r="W1885">
        <v>5.3584010000000001E-2</v>
      </c>
      <c r="X1885">
        <v>0.99855519999999998</v>
      </c>
      <c r="Y1885">
        <v>0.15116679999999999</v>
      </c>
      <c r="Z1885">
        <v>2.8442200000000001E-2</v>
      </c>
      <c r="AA1885">
        <v>0.98809899999999995</v>
      </c>
      <c r="AB1885">
        <v>52</v>
      </c>
      <c r="AC1885">
        <v>-0.33909999999997298</v>
      </c>
      <c r="AD1885">
        <v>-0.27262959999999897</v>
      </c>
      <c r="AE1885">
        <v>0.135899999999992</v>
      </c>
      <c r="AF1885">
        <v>9.1486696431727896E-2</v>
      </c>
      <c r="AG1885">
        <v>-0.27262959999999897</v>
      </c>
      <c r="AH1885">
        <v>0.21606959531919201</v>
      </c>
      <c r="AI1885">
        <v>139.28291748215</v>
      </c>
      <c r="AJ1885">
        <v>67.0515644513236</v>
      </c>
      <c r="AK1885">
        <v>0.35969818520747399</v>
      </c>
      <c r="AL1885">
        <v>86.928391100005797</v>
      </c>
      <c r="AM1885">
        <v>89.769461051445703</v>
      </c>
      <c r="AN1885">
        <v>0.99999993843506196</v>
      </c>
    </row>
    <row r="1886" spans="1:40" x14ac:dyDescent="0.25">
      <c r="A1886" t="str">
        <f>"20190312151303580"</f>
        <v>20190312151303580</v>
      </c>
      <c r="B1886" t="str">
        <f>"1552374783571441"</f>
        <v>1552374783571441</v>
      </c>
      <c r="C1886" t="s">
        <v>40</v>
      </c>
      <c r="D1886">
        <v>4.4983420000000001</v>
      </c>
      <c r="E1886">
        <v>0.56317539999999999</v>
      </c>
      <c r="F1886" t="s">
        <v>41</v>
      </c>
      <c r="G1886">
        <v>-346.286</v>
      </c>
      <c r="H1886">
        <v>0.85727379999999997</v>
      </c>
      <c r="I1886">
        <v>282.84879999999998</v>
      </c>
      <c r="J1886">
        <v>-345.98790000000002</v>
      </c>
      <c r="K1886">
        <v>1.108976</v>
      </c>
      <c r="L1886">
        <v>282.7235</v>
      </c>
      <c r="M1886">
        <v>-0.99976620000000005</v>
      </c>
      <c r="N1886">
        <v>0</v>
      </c>
      <c r="O1886">
        <v>-1.943543E-2</v>
      </c>
      <c r="P1886">
        <v>-0.9989228</v>
      </c>
      <c r="Q1886">
        <v>4.381471E-2</v>
      </c>
      <c r="R1886">
        <v>-1.5284290000000001E-2</v>
      </c>
      <c r="S1886">
        <v>-3.0515750000000001</v>
      </c>
      <c r="T1886">
        <v>-0.94390549999999995</v>
      </c>
      <c r="U1886">
        <v>0.43185420000000002</v>
      </c>
      <c r="V1886">
        <v>4.1021520000000004E-3</v>
      </c>
      <c r="W1886">
        <v>5.328451E-2</v>
      </c>
      <c r="X1886">
        <v>0.99857090000000004</v>
      </c>
      <c r="Y1886">
        <v>0.15149789999999999</v>
      </c>
      <c r="Z1886">
        <v>2.8638460000000001E-2</v>
      </c>
      <c r="AA1886">
        <v>0.98804270000000005</v>
      </c>
      <c r="AB1886">
        <v>52</v>
      </c>
      <c r="AC1886">
        <v>-0.298099999999976</v>
      </c>
      <c r="AD1886">
        <v>-0.25170219999999899</v>
      </c>
      <c r="AE1886">
        <v>0.12529999999998101</v>
      </c>
      <c r="AF1886">
        <v>8.1618524629537795E-2</v>
      </c>
      <c r="AG1886">
        <v>-0.25170219999999899</v>
      </c>
      <c r="AH1886">
        <v>0.18407767664831801</v>
      </c>
      <c r="AI1886">
        <v>141.34032402075599</v>
      </c>
      <c r="AJ1886">
        <v>66.087896413196006</v>
      </c>
      <c r="AK1886">
        <v>0.32233549616476498</v>
      </c>
      <c r="AL1886">
        <v>86.945575786683705</v>
      </c>
      <c r="AM1886">
        <v>89.764628956851794</v>
      </c>
      <c r="AN1886">
        <v>0.99999995449188905</v>
      </c>
    </row>
    <row r="1887" spans="1:40" x14ac:dyDescent="0.25">
      <c r="A1887" t="str">
        <f>"20190312151303602"</f>
        <v>20190312151303602</v>
      </c>
      <c r="B1887" t="str">
        <f>"1552374783591933"</f>
        <v>1552374783591933</v>
      </c>
      <c r="C1887" t="s">
        <v>40</v>
      </c>
      <c r="D1887">
        <v>4.5002329999999997</v>
      </c>
      <c r="E1887">
        <v>0.56305799999999995</v>
      </c>
      <c r="F1887" t="s">
        <v>41</v>
      </c>
      <c r="G1887">
        <v>-346.75830000000002</v>
      </c>
      <c r="H1887">
        <v>0.87031630000000004</v>
      </c>
      <c r="I1887">
        <v>282.83240000000001</v>
      </c>
      <c r="J1887">
        <v>-346.50599999999997</v>
      </c>
      <c r="K1887">
        <v>1.108948</v>
      </c>
      <c r="L1887">
        <v>282.71350000000001</v>
      </c>
      <c r="M1887">
        <v>-0.9997646</v>
      </c>
      <c r="N1887">
        <v>0</v>
      </c>
      <c r="O1887">
        <v>-1.9491100000000001E-2</v>
      </c>
      <c r="P1887">
        <v>-0.99894050000000001</v>
      </c>
      <c r="Q1887">
        <v>4.3281809999999997E-2</v>
      </c>
      <c r="R1887">
        <v>-1.5645539999999999E-2</v>
      </c>
      <c r="S1887">
        <v>-3.0513309999999998</v>
      </c>
      <c r="T1887">
        <v>-0.94536790000000004</v>
      </c>
      <c r="U1887">
        <v>0.43099979999999899</v>
      </c>
      <c r="V1887">
        <v>3.801717E-3</v>
      </c>
      <c r="W1887">
        <v>5.2812619999999998E-2</v>
      </c>
      <c r="X1887">
        <v>0.99859719999999996</v>
      </c>
      <c r="Y1887">
        <v>0.15127489999999999</v>
      </c>
      <c r="Z1887">
        <v>2.8666750000000001E-2</v>
      </c>
      <c r="AA1887">
        <v>0.98807599999999995</v>
      </c>
      <c r="AB1887">
        <v>52</v>
      </c>
      <c r="AC1887">
        <v>-0.25230000000004699</v>
      </c>
      <c r="AD1887">
        <v>-0.2386317</v>
      </c>
      <c r="AE1887">
        <v>0.118899999999996</v>
      </c>
      <c r="AF1887">
        <v>7.1474791961655099E-2</v>
      </c>
      <c r="AG1887">
        <v>-0.2386317</v>
      </c>
      <c r="AH1887">
        <v>0.144302918392266</v>
      </c>
      <c r="AI1887">
        <v>145.98762908809499</v>
      </c>
      <c r="AJ1887">
        <v>63.650289449573499</v>
      </c>
      <c r="AK1887">
        <v>0.28788377235852802</v>
      </c>
      <c r="AL1887">
        <v>86.972651345971201</v>
      </c>
      <c r="AM1887">
        <v>89.7818727243951</v>
      </c>
      <c r="AN1887">
        <v>0.99999999686562602</v>
      </c>
    </row>
    <row r="1888" spans="1:40" x14ac:dyDescent="0.25">
      <c r="A1888" t="str">
        <f>"20190312151303625"</f>
        <v>20190312151303625</v>
      </c>
      <c r="B1888" t="str">
        <f>"1552374783622190"</f>
        <v>1552374783622190</v>
      </c>
      <c r="C1888" t="s">
        <v>40</v>
      </c>
      <c r="D1888">
        <v>4.6999550000000001</v>
      </c>
      <c r="E1888">
        <v>0.56279769999999996</v>
      </c>
      <c r="F1888" t="s">
        <v>41</v>
      </c>
      <c r="G1888">
        <v>-347.23090000000002</v>
      </c>
      <c r="H1888">
        <v>0.88329579999999996</v>
      </c>
      <c r="I1888">
        <v>282.81549999999999</v>
      </c>
      <c r="J1888">
        <v>-347.01650000000001</v>
      </c>
      <c r="K1888">
        <v>1.1089310000000001</v>
      </c>
      <c r="L1888">
        <v>282.70350000000002</v>
      </c>
      <c r="M1888">
        <v>-0.99976319999999996</v>
      </c>
      <c r="N1888">
        <v>0</v>
      </c>
      <c r="O1888">
        <v>-1.952957E-2</v>
      </c>
      <c r="P1888">
        <v>-0.99893469999999995</v>
      </c>
      <c r="Q1888">
        <v>4.3119379999999999E-2</v>
      </c>
      <c r="R1888">
        <v>-1.6442809999999999E-2</v>
      </c>
      <c r="S1888">
        <v>-3.051056</v>
      </c>
      <c r="T1888">
        <v>-0.94975089999999995</v>
      </c>
      <c r="U1888">
        <v>0.428894</v>
      </c>
      <c r="V1888">
        <v>3.0469189999999999E-3</v>
      </c>
      <c r="W1888">
        <v>5.2720719999999999E-2</v>
      </c>
      <c r="X1888">
        <v>0.99860470000000001</v>
      </c>
      <c r="Y1888">
        <v>0.15061179999999999</v>
      </c>
      <c r="Z1888">
        <v>2.8708770000000002E-2</v>
      </c>
      <c r="AA1888">
        <v>0.98817600000000005</v>
      </c>
      <c r="AB1888">
        <v>52</v>
      </c>
      <c r="AC1888">
        <v>-0.214400000000011</v>
      </c>
      <c r="AD1888">
        <v>-0.22563519999999901</v>
      </c>
      <c r="AE1888">
        <v>0.111999999999966</v>
      </c>
      <c r="AF1888">
        <v>6.21172287937597E-2</v>
      </c>
      <c r="AG1888">
        <v>-0.22563519999999901</v>
      </c>
      <c r="AH1888">
        <v>0.113454203498152</v>
      </c>
      <c r="AI1888">
        <v>150.17637630818501</v>
      </c>
      <c r="AJ1888">
        <v>61.298886149975203</v>
      </c>
      <c r="AK1888">
        <v>0.26008008359629597</v>
      </c>
      <c r="AL1888">
        <v>86.977924341995802</v>
      </c>
      <c r="AM1888">
        <v>89.825181017600002</v>
      </c>
      <c r="AN1888">
        <v>1.00000005244739</v>
      </c>
    </row>
    <row r="1889" spans="1:40" x14ac:dyDescent="0.25">
      <c r="A1889" t="str">
        <f>"20190312151303647"</f>
        <v>20190312151303647</v>
      </c>
      <c r="B1889" t="str">
        <f>"1552374783641709"</f>
        <v>1552374783641709</v>
      </c>
      <c r="C1889" t="s">
        <v>40</v>
      </c>
      <c r="D1889">
        <v>4.747522</v>
      </c>
      <c r="E1889">
        <v>0.56255390000000005</v>
      </c>
      <c r="F1889" t="s">
        <v>41</v>
      </c>
      <c r="G1889">
        <v>-347.70370000000003</v>
      </c>
      <c r="H1889">
        <v>0.89574069999999995</v>
      </c>
      <c r="I1889">
        <v>282.79930000000002</v>
      </c>
      <c r="J1889">
        <v>-347.54649999999998</v>
      </c>
      <c r="K1889">
        <v>1.108916</v>
      </c>
      <c r="L1889">
        <v>282.69319999999999</v>
      </c>
      <c r="M1889">
        <v>-0.99976189999999998</v>
      </c>
      <c r="N1889">
        <v>0</v>
      </c>
      <c r="O1889">
        <v>-1.9556210000000001E-2</v>
      </c>
      <c r="P1889">
        <v>-0.99893220000000005</v>
      </c>
      <c r="Q1889">
        <v>4.2963550000000003E-2</v>
      </c>
      <c r="R1889">
        <v>-1.7000310000000001E-2</v>
      </c>
      <c r="S1889">
        <v>-3.051056</v>
      </c>
      <c r="T1889">
        <v>-0.94659780000000004</v>
      </c>
      <c r="U1889">
        <v>0.4242554</v>
      </c>
      <c r="V1889">
        <v>2.5199570000000002E-3</v>
      </c>
      <c r="W1889">
        <v>5.264452E-2</v>
      </c>
      <c r="X1889">
        <v>0.99861009999999995</v>
      </c>
      <c r="Y1889">
        <v>0.1492743</v>
      </c>
      <c r="Z1889">
        <v>2.8426699999999999E-2</v>
      </c>
      <c r="AA1889">
        <v>0.98838709999999996</v>
      </c>
      <c r="AB1889">
        <v>52</v>
      </c>
      <c r="AC1889">
        <v>-0.157200000000045</v>
      </c>
      <c r="AD1889">
        <v>-0.21317530000000001</v>
      </c>
      <c r="AE1889">
        <v>0.10610000000002601</v>
      </c>
      <c r="AF1889">
        <v>4.8225473603081298E-2</v>
      </c>
      <c r="AG1889">
        <v>-0.21317530000000001</v>
      </c>
      <c r="AH1889">
        <v>6.8522638725781404E-2</v>
      </c>
      <c r="AI1889">
        <v>158.54195976602799</v>
      </c>
      <c r="AJ1889">
        <v>54.862541767866702</v>
      </c>
      <c r="AK1889">
        <v>0.229051864983185</v>
      </c>
      <c r="AL1889">
        <v>86.982296083623893</v>
      </c>
      <c r="AM1889">
        <v>89.855416449137607</v>
      </c>
      <c r="AN1889">
        <v>0.99999996374566003</v>
      </c>
    </row>
    <row r="1890" spans="1:40" x14ac:dyDescent="0.25">
      <c r="A1890" t="str">
        <f>"20190312151303670"</f>
        <v>20190312151303670</v>
      </c>
      <c r="B1890" t="str">
        <f>"1552374783662205"</f>
        <v>1552374783662205</v>
      </c>
      <c r="C1890" t="s">
        <v>40</v>
      </c>
      <c r="D1890">
        <v>4.5841089999999998</v>
      </c>
      <c r="E1890">
        <v>0.56232289999999996</v>
      </c>
      <c r="F1890" t="s">
        <v>41</v>
      </c>
      <c r="G1890">
        <v>-348.59789999999998</v>
      </c>
      <c r="H1890">
        <v>0.78434630000000005</v>
      </c>
      <c r="I1890">
        <v>282.8383</v>
      </c>
      <c r="J1890">
        <v>-348.07319999999999</v>
      </c>
      <c r="K1890">
        <v>1.1089</v>
      </c>
      <c r="L1890">
        <v>282.68290000000002</v>
      </c>
      <c r="M1890">
        <v>-0.99976069999999995</v>
      </c>
      <c r="N1890">
        <v>0</v>
      </c>
      <c r="O1890">
        <v>-1.9574299999999999E-2</v>
      </c>
      <c r="P1890">
        <v>-0.99892820000000004</v>
      </c>
      <c r="Q1890">
        <v>4.2941050000000001E-2</v>
      </c>
      <c r="R1890">
        <v>-1.7287569999999999E-2</v>
      </c>
      <c r="S1890">
        <v>-3.0509029999999999</v>
      </c>
      <c r="T1890">
        <v>-0.94188380000000005</v>
      </c>
      <c r="U1890">
        <v>0.42098999999999998</v>
      </c>
      <c r="V1890">
        <v>2.253817E-3</v>
      </c>
      <c r="W1890">
        <v>5.269977E-2</v>
      </c>
      <c r="X1890">
        <v>0.99860789999999999</v>
      </c>
      <c r="Y1890">
        <v>0.1483749</v>
      </c>
      <c r="Z1890">
        <v>2.8164999999999999E-2</v>
      </c>
      <c r="AA1890">
        <v>0.98853000000000002</v>
      </c>
      <c r="AB1890">
        <v>52</v>
      </c>
      <c r="AC1890">
        <v>-0.52469999999999495</v>
      </c>
      <c r="AD1890">
        <v>-0.324553699999999</v>
      </c>
      <c r="AE1890">
        <v>0.15539999999998599</v>
      </c>
      <c r="AF1890">
        <v>0.12253835422577</v>
      </c>
      <c r="AG1890">
        <v>-0.324553699999999</v>
      </c>
      <c r="AH1890">
        <v>0.38583840646582201</v>
      </c>
      <c r="AI1890">
        <v>128.719313802465</v>
      </c>
      <c r="AJ1890">
        <v>72.380681224748898</v>
      </c>
      <c r="AK1890">
        <v>0.51886609866528699</v>
      </c>
      <c r="AL1890">
        <v>86.979126326990198</v>
      </c>
      <c r="AM1890">
        <v>89.870685999348098</v>
      </c>
      <c r="AN1890">
        <v>1.00000004169576</v>
      </c>
    </row>
    <row r="1891" spans="1:40" x14ac:dyDescent="0.25">
      <c r="A1891" t="str">
        <f>"20190312151303693"</f>
        <v>20190312151303693</v>
      </c>
      <c r="B1891" t="str">
        <f>"1552374783681725"</f>
        <v>1552374783681725</v>
      </c>
      <c r="C1891" t="s">
        <v>40</v>
      </c>
      <c r="D1891">
        <v>4.6568290000000001</v>
      </c>
      <c r="E1891">
        <v>0.5622916</v>
      </c>
      <c r="F1891" t="s">
        <v>41</v>
      </c>
      <c r="G1891">
        <v>-349.07350000000002</v>
      </c>
      <c r="H1891">
        <v>0.8015428</v>
      </c>
      <c r="I1891">
        <v>282.82010000000002</v>
      </c>
      <c r="J1891">
        <v>-348.61200000000002</v>
      </c>
      <c r="K1891">
        <v>1.108881</v>
      </c>
      <c r="L1891">
        <v>282.67230000000001</v>
      </c>
      <c r="M1891">
        <v>-0.99975970000000003</v>
      </c>
      <c r="N1891">
        <v>0</v>
      </c>
      <c r="O1891">
        <v>-1.9588350000000001E-2</v>
      </c>
      <c r="P1891">
        <v>-0.99893209999999999</v>
      </c>
      <c r="Q1891">
        <v>4.282159E-2</v>
      </c>
      <c r="R1891">
        <v>-1.7349440000000001E-2</v>
      </c>
      <c r="S1891">
        <v>-3.050751</v>
      </c>
      <c r="T1891">
        <v>-0.93735119999999905</v>
      </c>
      <c r="U1891">
        <v>0.41812129999999997</v>
      </c>
      <c r="V1891">
        <v>2.2088889999999999E-3</v>
      </c>
      <c r="W1891">
        <v>5.2656439999999999E-2</v>
      </c>
      <c r="X1891">
        <v>0.99861029999999995</v>
      </c>
      <c r="Y1891">
        <v>0.14758850000000001</v>
      </c>
      <c r="Z1891">
        <v>2.792499E-2</v>
      </c>
      <c r="AA1891">
        <v>0.98865460000000005</v>
      </c>
      <c r="AB1891">
        <v>52</v>
      </c>
      <c r="AC1891">
        <v>-0.46150000000005698</v>
      </c>
      <c r="AD1891">
        <v>-0.30733819999999901</v>
      </c>
      <c r="AE1891">
        <v>0.147800000000017</v>
      </c>
      <c r="AF1891">
        <v>0.11182974239603501</v>
      </c>
      <c r="AG1891">
        <v>-0.30733819999999901</v>
      </c>
      <c r="AH1891">
        <v>0.32698842975418002</v>
      </c>
      <c r="AI1891">
        <v>131.647769309842</v>
      </c>
      <c r="AJ1891">
        <v>71.119359187843003</v>
      </c>
      <c r="AK1891">
        <v>0.46247604657615299</v>
      </c>
      <c r="AL1891">
        <v>86.981612446722494</v>
      </c>
      <c r="AM1891">
        <v>89.873264064366793</v>
      </c>
      <c r="AN1891">
        <v>1.0000000555650801</v>
      </c>
    </row>
    <row r="1892" spans="1:40" x14ac:dyDescent="0.25">
      <c r="A1892" t="str">
        <f>"20190312151303715"</f>
        <v>20190312151303715</v>
      </c>
      <c r="B1892" t="str">
        <f>"1552374783711982"</f>
        <v>1552374783711982</v>
      </c>
      <c r="C1892" t="s">
        <v>40</v>
      </c>
      <c r="D1892">
        <v>4.6643699999999999</v>
      </c>
      <c r="E1892">
        <v>0.56245990000000001</v>
      </c>
      <c r="F1892" t="s">
        <v>41</v>
      </c>
      <c r="G1892">
        <v>-349.55</v>
      </c>
      <c r="H1892">
        <v>0.820281699999999</v>
      </c>
      <c r="I1892">
        <v>282.80099999999999</v>
      </c>
      <c r="J1892">
        <v>-349.14620000000002</v>
      </c>
      <c r="K1892">
        <v>1.108867</v>
      </c>
      <c r="L1892">
        <v>282.66180000000003</v>
      </c>
      <c r="M1892">
        <v>-0.99975879999999995</v>
      </c>
      <c r="N1892">
        <v>0</v>
      </c>
      <c r="O1892">
        <v>-1.9599800000000001E-2</v>
      </c>
      <c r="P1892">
        <v>-0.99892259999999999</v>
      </c>
      <c r="Q1892">
        <v>4.314958E-2</v>
      </c>
      <c r="R1892">
        <v>-1.708782E-2</v>
      </c>
      <c r="S1892">
        <v>-3.0506899999999999</v>
      </c>
      <c r="T1892">
        <v>-0.93866559999999999</v>
      </c>
      <c r="U1892">
        <v>0.41735840000000002</v>
      </c>
      <c r="V1892">
        <v>2.4840309999999998E-3</v>
      </c>
      <c r="W1892">
        <v>5.3057840000000002E-2</v>
      </c>
      <c r="X1892">
        <v>0.99858829999999998</v>
      </c>
      <c r="Y1892">
        <v>0.1473487</v>
      </c>
      <c r="Z1892">
        <v>2.793095E-2</v>
      </c>
      <c r="AA1892">
        <v>0.98869010000000002</v>
      </c>
      <c r="AB1892">
        <v>52</v>
      </c>
      <c r="AC1892">
        <v>-0.403799999999989</v>
      </c>
      <c r="AD1892">
        <v>-0.28858529999999999</v>
      </c>
      <c r="AE1892">
        <v>0.139199999999959</v>
      </c>
      <c r="AF1892">
        <v>0.100986688352817</v>
      </c>
      <c r="AG1892">
        <v>-0.28858529999999999</v>
      </c>
      <c r="AH1892">
        <v>0.27531167323122102</v>
      </c>
      <c r="AI1892">
        <v>134.540779350581</v>
      </c>
      <c r="AJ1892">
        <v>69.856528670741795</v>
      </c>
      <c r="AK1892">
        <v>0.41143201627721399</v>
      </c>
      <c r="AL1892">
        <v>86.958581402064297</v>
      </c>
      <c r="AM1892">
        <v>89.857474597970906</v>
      </c>
      <c r="AN1892">
        <v>0.99999994884618004</v>
      </c>
    </row>
    <row r="1893" spans="1:40" x14ac:dyDescent="0.25">
      <c r="A1893" t="str">
        <f>"20190312151303737"</f>
        <v>20190312151303737</v>
      </c>
      <c r="B1893" t="str">
        <f>"1552374783731501"</f>
        <v>1552374783731501</v>
      </c>
      <c r="C1893" t="s">
        <v>40</v>
      </c>
      <c r="D1893">
        <v>4.7822279999999999</v>
      </c>
      <c r="E1893">
        <v>0.56227369999999899</v>
      </c>
      <c r="F1893" t="s">
        <v>41</v>
      </c>
      <c r="G1893">
        <v>-350.02600000000001</v>
      </c>
      <c r="H1893">
        <v>0.83689899999999995</v>
      </c>
      <c r="I1893">
        <v>282.78289999999998</v>
      </c>
      <c r="J1893">
        <v>-349.65609999999998</v>
      </c>
      <c r="K1893">
        <v>1.1088610000000001</v>
      </c>
      <c r="L1893">
        <v>282.65179999999998</v>
      </c>
      <c r="M1893">
        <v>-0.99975780000000003</v>
      </c>
      <c r="N1893">
        <v>0</v>
      </c>
      <c r="O1893">
        <v>-1.960949E-2</v>
      </c>
      <c r="P1893">
        <v>-0.99893209999999999</v>
      </c>
      <c r="Q1893">
        <v>4.3084160000000003E-2</v>
      </c>
      <c r="R1893">
        <v>-1.668965E-2</v>
      </c>
      <c r="S1893">
        <v>-3.0511170000000001</v>
      </c>
      <c r="T1893">
        <v>-0.94322050000000002</v>
      </c>
      <c r="U1893">
        <v>0.4190063</v>
      </c>
      <c r="V1893">
        <v>2.8941029999999999E-3</v>
      </c>
      <c r="W1893">
        <v>5.3064510000000002E-2</v>
      </c>
      <c r="X1893">
        <v>0.99858690000000006</v>
      </c>
      <c r="Y1893">
        <v>0.1477744</v>
      </c>
      <c r="Z1893">
        <v>2.8122790000000002E-2</v>
      </c>
      <c r="AA1893">
        <v>0.98862119999999998</v>
      </c>
      <c r="AB1893">
        <v>53</v>
      </c>
      <c r="AC1893">
        <v>-0.36990000000002898</v>
      </c>
      <c r="AD1893">
        <v>-0.27196199999999998</v>
      </c>
      <c r="AE1893">
        <v>0.13110000000000299</v>
      </c>
      <c r="AF1893">
        <v>9.3450176189007195E-2</v>
      </c>
      <c r="AG1893">
        <v>-0.27196199999999998</v>
      </c>
      <c r="AH1893">
        <v>0.24810699691000301</v>
      </c>
      <c r="AI1893">
        <v>135.729577638157</v>
      </c>
      <c r="AJ1893">
        <v>69.360980438106296</v>
      </c>
      <c r="AK1893">
        <v>0.37980698623044901</v>
      </c>
      <c r="AL1893">
        <v>86.958198878506096</v>
      </c>
      <c r="AM1893">
        <v>89.8339459258804</v>
      </c>
      <c r="AN1893">
        <v>1.00000000745266</v>
      </c>
    </row>
    <row r="1894" spans="1:40" x14ac:dyDescent="0.25">
      <c r="A1894" t="str">
        <f>"20190312151303760"</f>
        <v>20190312151303760</v>
      </c>
      <c r="B1894" t="str">
        <f>"1552374783751997"</f>
        <v>1552374783751997</v>
      </c>
      <c r="C1894" t="s">
        <v>40</v>
      </c>
      <c r="D1894">
        <v>4.4605870000000003</v>
      </c>
      <c r="E1894">
        <v>0.56219419999999898</v>
      </c>
      <c r="F1894" t="s">
        <v>41</v>
      </c>
      <c r="G1894">
        <v>-350.50049999999999</v>
      </c>
      <c r="H1894">
        <v>0.84854169999999995</v>
      </c>
      <c r="I1894">
        <v>282.76819999999998</v>
      </c>
      <c r="J1894">
        <v>-350.19709999999998</v>
      </c>
      <c r="K1894">
        <v>1.1088519999999999</v>
      </c>
      <c r="L1894">
        <v>282.64120000000003</v>
      </c>
      <c r="M1894">
        <v>-0.9997568</v>
      </c>
      <c r="N1894">
        <v>0</v>
      </c>
      <c r="O1894">
        <v>-1.9618630000000001E-2</v>
      </c>
      <c r="P1894">
        <v>-0.998942</v>
      </c>
      <c r="Q1894">
        <v>4.3052890000000003E-2</v>
      </c>
      <c r="R1894">
        <v>-1.616954E-2</v>
      </c>
      <c r="S1894">
        <v>-3.0508419999999998</v>
      </c>
      <c r="T1894">
        <v>-0.94058739999999996</v>
      </c>
      <c r="U1894">
        <v>0.41921999999999998</v>
      </c>
      <c r="V1894">
        <v>3.4257200000000002E-3</v>
      </c>
      <c r="W1894">
        <v>5.311308E-2</v>
      </c>
      <c r="X1894">
        <v>0.99858259999999999</v>
      </c>
      <c r="Y1894">
        <v>0.147898</v>
      </c>
      <c r="Z1894">
        <v>2.8071280000000001E-2</v>
      </c>
      <c r="AA1894">
        <v>0.98860420000000004</v>
      </c>
      <c r="AB1894">
        <v>53</v>
      </c>
      <c r="AC1894">
        <v>-0.30340000000001</v>
      </c>
      <c r="AD1894">
        <v>-0.26031029999999999</v>
      </c>
      <c r="AE1894">
        <v>0.12699999999995201</v>
      </c>
      <c r="AF1894">
        <v>8.1732847099505401E-2</v>
      </c>
      <c r="AG1894">
        <v>-0.26031029999999999</v>
      </c>
      <c r="AH1894">
        <v>0.18498203536316701</v>
      </c>
      <c r="AI1894">
        <v>142.15650610930899</v>
      </c>
      <c r="AJ1894">
        <v>66.162141186402906</v>
      </c>
      <c r="AK1894">
        <v>0.32963626012345898</v>
      </c>
      <c r="AL1894">
        <v>86.955411984304803</v>
      </c>
      <c r="AM1894">
        <v>89.803442872124805</v>
      </c>
      <c r="AN1894">
        <v>0.99999997192368195</v>
      </c>
    </row>
    <row r="1895" spans="1:40" x14ac:dyDescent="0.25">
      <c r="A1895" t="str">
        <f>"20190312151303782"</f>
        <v>20190312151303782</v>
      </c>
      <c r="B1895" t="str">
        <f>"1552374783771517"</f>
        <v>1552374783771517</v>
      </c>
      <c r="C1895" t="s">
        <v>40</v>
      </c>
      <c r="D1895">
        <v>4.7606460000000004</v>
      </c>
      <c r="E1895">
        <v>0.56230530000000001</v>
      </c>
      <c r="F1895" t="s">
        <v>41</v>
      </c>
      <c r="G1895">
        <v>-350.97820000000002</v>
      </c>
      <c r="H1895">
        <v>0.86763119999999905</v>
      </c>
      <c r="I1895">
        <v>282.74889999999999</v>
      </c>
      <c r="J1895">
        <v>-350.71100000000001</v>
      </c>
      <c r="K1895">
        <v>1.1088480000000001</v>
      </c>
      <c r="L1895">
        <v>282.6311</v>
      </c>
      <c r="M1895">
        <v>-0.99975590000000003</v>
      </c>
      <c r="N1895">
        <v>0</v>
      </c>
      <c r="O1895">
        <v>-1.9626620000000001E-2</v>
      </c>
      <c r="P1895">
        <v>-0.99896529999999994</v>
      </c>
      <c r="Q1895">
        <v>4.2659849999999999E-2</v>
      </c>
      <c r="R1895">
        <v>-1.5773390000000002E-2</v>
      </c>
      <c r="S1895">
        <v>-3.0505680000000002</v>
      </c>
      <c r="T1895">
        <v>-0.9420326</v>
      </c>
      <c r="U1895">
        <v>0.41989140000000003</v>
      </c>
      <c r="V1895">
        <v>3.83177E-3</v>
      </c>
      <c r="W1895">
        <v>5.2798329999999997E-2</v>
      </c>
      <c r="X1895">
        <v>0.99859790000000004</v>
      </c>
      <c r="Y1895">
        <v>0.148097799999999</v>
      </c>
      <c r="Z1895">
        <v>2.814695E-2</v>
      </c>
      <c r="AA1895">
        <v>0.98857209999999995</v>
      </c>
      <c r="AB1895">
        <v>53</v>
      </c>
      <c r="AC1895">
        <v>-0.26720000000000199</v>
      </c>
      <c r="AD1895">
        <v>-0.24121680000000001</v>
      </c>
      <c r="AE1895">
        <v>0.117799999999988</v>
      </c>
      <c r="AF1895">
        <v>7.3125116699089707E-2</v>
      </c>
      <c r="AG1895">
        <v>-0.24121680000000001</v>
      </c>
      <c r="AH1895">
        <v>0.15742080272964001</v>
      </c>
      <c r="AI1895">
        <v>144.26179036974699</v>
      </c>
      <c r="AJ1895">
        <v>65.084187443845494</v>
      </c>
      <c r="AK1895">
        <v>0.29717694464163902</v>
      </c>
      <c r="AL1895">
        <v>86.973471425707103</v>
      </c>
      <c r="AM1895">
        <v>89.780148574744999</v>
      </c>
      <c r="AN1895">
        <v>1.00000005599826</v>
      </c>
    </row>
    <row r="1896" spans="1:40" x14ac:dyDescent="0.25">
      <c r="A1896" t="str">
        <f>"20190312151303804"</f>
        <v>20190312151303804</v>
      </c>
      <c r="B1896" t="str">
        <f>"1552374783801774"</f>
        <v>1552374783801774</v>
      </c>
      <c r="C1896" t="s">
        <v>40</v>
      </c>
      <c r="D1896">
        <v>4.4879540000000002</v>
      </c>
      <c r="E1896">
        <v>0.56216949999999999</v>
      </c>
      <c r="F1896" t="s">
        <v>41</v>
      </c>
      <c r="G1896">
        <v>-351.45319999999998</v>
      </c>
      <c r="H1896">
        <v>0.87861199999999995</v>
      </c>
      <c r="I1896">
        <v>282.73419999999999</v>
      </c>
      <c r="J1896">
        <v>-351.24520000000001</v>
      </c>
      <c r="K1896">
        <v>1.108843</v>
      </c>
      <c r="L1896">
        <v>282.62060000000002</v>
      </c>
      <c r="M1896">
        <v>-0.99975499999999995</v>
      </c>
      <c r="N1896">
        <v>0</v>
      </c>
      <c r="O1896">
        <v>-1.9633810000000002E-2</v>
      </c>
      <c r="P1896">
        <v>-0.99896819999999997</v>
      </c>
      <c r="Q1896">
        <v>4.2608640000000003E-2</v>
      </c>
      <c r="R1896">
        <v>-1.5715929999999999E-2</v>
      </c>
      <c r="S1896">
        <v>-3.0501710000000002</v>
      </c>
      <c r="T1896">
        <v>-0.94612680000000005</v>
      </c>
      <c r="U1896">
        <v>0.4220276</v>
      </c>
      <c r="V1896">
        <v>3.8978659999999998E-3</v>
      </c>
      <c r="W1896">
        <v>5.2830240000000001E-2</v>
      </c>
      <c r="X1896">
        <v>0.99859589999999998</v>
      </c>
      <c r="Y1896">
        <v>0.1487068</v>
      </c>
      <c r="Z1896">
        <v>2.8360150000000001E-2</v>
      </c>
      <c r="AA1896">
        <v>0.98847459999999998</v>
      </c>
      <c r="AB1896">
        <v>53</v>
      </c>
      <c r="AC1896">
        <v>-0.20799999999996999</v>
      </c>
      <c r="AD1896">
        <v>-0.23023099999999999</v>
      </c>
      <c r="AE1896">
        <v>0.113599999999962</v>
      </c>
      <c r="AF1896">
        <v>6.0535322282476101E-2</v>
      </c>
      <c r="AG1896">
        <v>-0.23023099999999999</v>
      </c>
      <c r="AH1896">
        <v>0.105844530425245</v>
      </c>
      <c r="AI1896">
        <v>152.09384125471499</v>
      </c>
      <c r="AJ1896">
        <v>60.233604262769099</v>
      </c>
      <c r="AK1896">
        <v>0.26052620448965202</v>
      </c>
      <c r="AL1896">
        <v>86.971640391161202</v>
      </c>
      <c r="AM1896">
        <v>89.776355844557102</v>
      </c>
      <c r="AN1896">
        <v>0.99999999955731</v>
      </c>
    </row>
    <row r="1897" spans="1:40" x14ac:dyDescent="0.25">
      <c r="A1897" t="str">
        <f>"20190312151303827"</f>
        <v>20190312151303827</v>
      </c>
      <c r="B1897" t="str">
        <f>"1552374783822270"</f>
        <v>1552374783822270</v>
      </c>
      <c r="C1897" t="s">
        <v>40</v>
      </c>
      <c r="D1897">
        <v>4.5014659999999997</v>
      </c>
      <c r="E1897">
        <v>0.56207559999999901</v>
      </c>
      <c r="F1897" t="s">
        <v>41</v>
      </c>
      <c r="G1897">
        <v>-351.93079999999998</v>
      </c>
      <c r="H1897">
        <v>0.8956385</v>
      </c>
      <c r="I1897">
        <v>282.71550000000002</v>
      </c>
      <c r="J1897">
        <v>-351.76</v>
      </c>
      <c r="K1897">
        <v>1.1088439999999999</v>
      </c>
      <c r="L1897">
        <v>282.61040000000003</v>
      </c>
      <c r="M1897">
        <v>-0.99975400000000003</v>
      </c>
      <c r="N1897">
        <v>0</v>
      </c>
      <c r="O1897">
        <v>-1.9638880000000001E-2</v>
      </c>
      <c r="P1897">
        <v>-0.99896940000000001</v>
      </c>
      <c r="Q1897">
        <v>4.2565819999999997E-2</v>
      </c>
      <c r="R1897">
        <v>-1.5767409999999999E-2</v>
      </c>
      <c r="S1897">
        <v>-3.0501399999999999</v>
      </c>
      <c r="T1897">
        <v>-0.94863679999999995</v>
      </c>
      <c r="U1897">
        <v>0.42105100000000001</v>
      </c>
      <c r="V1897">
        <v>3.852861E-3</v>
      </c>
      <c r="W1897">
        <v>5.2868329999999998E-2</v>
      </c>
      <c r="X1897">
        <v>0.99859399999999998</v>
      </c>
      <c r="Y1897">
        <v>0.1483767</v>
      </c>
      <c r="Z1897">
        <v>2.83845E-2</v>
      </c>
      <c r="AA1897">
        <v>0.9885235</v>
      </c>
      <c r="AB1897">
        <v>53</v>
      </c>
      <c r="AC1897">
        <v>-0.17079999999998499</v>
      </c>
      <c r="AD1897">
        <v>-0.21320549999999899</v>
      </c>
      <c r="AE1897">
        <v>0.105099999999993</v>
      </c>
      <c r="AF1897">
        <v>5.0902436549380502E-2</v>
      </c>
      <c r="AG1897">
        <v>-0.21320549999999899</v>
      </c>
      <c r="AH1897">
        <v>7.9194447071601198E-2</v>
      </c>
      <c r="AI1897">
        <v>156.17577198708301</v>
      </c>
      <c r="AJ1897">
        <v>57.269012353370101</v>
      </c>
      <c r="AK1897">
        <v>0.23306523491050801</v>
      </c>
      <c r="AL1897">
        <v>86.969454762656497</v>
      </c>
      <c r="AM1897">
        <v>89.778937607317403</v>
      </c>
      <c r="AN1897">
        <v>0.99999994084543498</v>
      </c>
    </row>
    <row r="1898" spans="1:40" x14ac:dyDescent="0.25">
      <c r="A1898" t="str">
        <f>"20190312151303849"</f>
        <v>20190312151303849</v>
      </c>
      <c r="B1898" t="str">
        <f>"1552374783841793"</f>
        <v>1552374783841793</v>
      </c>
      <c r="C1898" t="s">
        <v>40</v>
      </c>
      <c r="D1898">
        <v>4.5046559999999998</v>
      </c>
      <c r="E1898">
        <v>0.56197649999999999</v>
      </c>
      <c r="F1898" t="s">
        <v>41</v>
      </c>
      <c r="G1898">
        <v>-352.82769999999999</v>
      </c>
      <c r="H1898">
        <v>0.7768043</v>
      </c>
      <c r="I1898">
        <v>282.75760000000002</v>
      </c>
      <c r="J1898">
        <v>-352.286</v>
      </c>
      <c r="K1898">
        <v>1.108846</v>
      </c>
      <c r="L1898">
        <v>282.6001</v>
      </c>
      <c r="M1898">
        <v>-0.999753</v>
      </c>
      <c r="N1898">
        <v>0</v>
      </c>
      <c r="O1898">
        <v>-1.9642320000000001E-2</v>
      </c>
      <c r="P1898">
        <v>-0.99898050000000005</v>
      </c>
      <c r="Q1898">
        <v>4.2333379999999997E-2</v>
      </c>
      <c r="R1898">
        <v>-1.5684879999999998E-2</v>
      </c>
      <c r="S1898">
        <v>-3.0501399999999999</v>
      </c>
      <c r="T1898">
        <v>-0.94857250000000004</v>
      </c>
      <c r="U1898">
        <v>0.41992190000000001</v>
      </c>
      <c r="V1898">
        <v>3.9398810000000001E-3</v>
      </c>
      <c r="W1898">
        <v>5.2720240000000002E-2</v>
      </c>
      <c r="X1898">
        <v>0.99860159999999998</v>
      </c>
      <c r="Y1898">
        <v>0.14803720000000001</v>
      </c>
      <c r="Z1898">
        <v>2.833302E-2</v>
      </c>
      <c r="AA1898">
        <v>0.98857589999999995</v>
      </c>
      <c r="AB1898">
        <v>53</v>
      </c>
      <c r="AC1898">
        <v>-0.54169999999999097</v>
      </c>
      <c r="AD1898">
        <v>-0.3320417</v>
      </c>
      <c r="AE1898">
        <v>0.15750000000002701</v>
      </c>
      <c r="AF1898">
        <v>0.12485583006199499</v>
      </c>
      <c r="AG1898">
        <v>-0.3320417</v>
      </c>
      <c r="AH1898">
        <v>0.39994585639867403</v>
      </c>
      <c r="AI1898">
        <v>128.39671550046901</v>
      </c>
      <c r="AJ1898">
        <v>72.662584705044097</v>
      </c>
      <c r="AK1898">
        <v>0.53460018414683397</v>
      </c>
      <c r="AL1898">
        <v>86.977951877724806</v>
      </c>
      <c r="AM1898">
        <v>89.773946504992495</v>
      </c>
      <c r="AN1898">
        <v>1.00000005094525</v>
      </c>
    </row>
    <row r="1899" spans="1:40" x14ac:dyDescent="0.25">
      <c r="A1899" t="str">
        <f>"20190312151303871"</f>
        <v>20190312151303871</v>
      </c>
      <c r="B1899" t="str">
        <f>"1552374783862289"</f>
        <v>1552374783862289</v>
      </c>
      <c r="C1899" t="s">
        <v>40</v>
      </c>
      <c r="D1899">
        <v>4.6115370000000002</v>
      </c>
      <c r="E1899">
        <v>0.56175299999999995</v>
      </c>
      <c r="F1899" t="s">
        <v>41</v>
      </c>
      <c r="G1899">
        <v>-353.30509999999998</v>
      </c>
      <c r="H1899">
        <v>0.79178149999999903</v>
      </c>
      <c r="I1899">
        <v>282.74059999999997</v>
      </c>
      <c r="J1899">
        <v>-352.81040000000002</v>
      </c>
      <c r="K1899">
        <v>1.108849</v>
      </c>
      <c r="L1899">
        <v>282.58980000000003</v>
      </c>
      <c r="M1899">
        <v>-0.99975219999999998</v>
      </c>
      <c r="N1899">
        <v>0</v>
      </c>
      <c r="O1899">
        <v>-1.9644809999999999E-2</v>
      </c>
      <c r="P1899">
        <v>-0.99895909999999999</v>
      </c>
      <c r="Q1899">
        <v>4.273859E-2</v>
      </c>
      <c r="R1899">
        <v>-1.5949080000000001E-2</v>
      </c>
      <c r="S1899">
        <v>-3.0498660000000002</v>
      </c>
      <c r="T1899">
        <v>-0.94883629999999997</v>
      </c>
      <c r="U1899">
        <v>0.41918949999999999</v>
      </c>
      <c r="V1899">
        <v>3.678391E-3</v>
      </c>
      <c r="W1899">
        <v>5.320689E-2</v>
      </c>
      <c r="X1899">
        <v>0.99857680000000004</v>
      </c>
      <c r="Y1899">
        <v>0.1478227</v>
      </c>
      <c r="Z1899">
        <v>2.8311699999999999E-2</v>
      </c>
      <c r="AA1899">
        <v>0.98860859999999995</v>
      </c>
      <c r="AB1899">
        <v>53</v>
      </c>
      <c r="AC1899">
        <v>-0.494699999999966</v>
      </c>
      <c r="AD1899">
        <v>-0.3170675</v>
      </c>
      <c r="AE1899">
        <v>0.15079999999994601</v>
      </c>
      <c r="AF1899">
        <v>0.11664651829591401</v>
      </c>
      <c r="AG1899">
        <v>-0.3170675</v>
      </c>
      <c r="AH1899">
        <v>0.35733329266517699</v>
      </c>
      <c r="AI1899">
        <v>130.147993004206</v>
      </c>
      <c r="AJ1899">
        <v>71.921443546756194</v>
      </c>
      <c r="AK1899">
        <v>0.49175735056402198</v>
      </c>
      <c r="AL1899">
        <v>86.950029739155795</v>
      </c>
      <c r="AM1899">
        <v>89.788944299081393</v>
      </c>
      <c r="AN1899">
        <v>1.0000000646010201</v>
      </c>
    </row>
    <row r="1900" spans="1:40" x14ac:dyDescent="0.25">
      <c r="A1900" t="str">
        <f>"20190312151303894"</f>
        <v>20190312151303894</v>
      </c>
      <c r="B1900" t="str">
        <f>"1552374783891567"</f>
        <v>1552374783891567</v>
      </c>
      <c r="C1900" t="s">
        <v>40</v>
      </c>
      <c r="D1900">
        <v>4.891127</v>
      </c>
      <c r="E1900">
        <v>0.51004519999999998</v>
      </c>
      <c r="F1900" t="s">
        <v>41</v>
      </c>
      <c r="G1900">
        <v>-353.78289999999998</v>
      </c>
      <c r="H1900">
        <v>0.80718760000000001</v>
      </c>
      <c r="I1900">
        <v>282.72280000000001</v>
      </c>
      <c r="J1900">
        <v>-353.3612</v>
      </c>
      <c r="K1900">
        <v>1.108854</v>
      </c>
      <c r="L1900">
        <v>282.57900000000001</v>
      </c>
      <c r="M1900">
        <v>-0.99975119999999895</v>
      </c>
      <c r="N1900">
        <v>0</v>
      </c>
      <c r="O1900">
        <v>-1.9646739999999999E-2</v>
      </c>
      <c r="P1900">
        <v>-0.99894170000000004</v>
      </c>
      <c r="Q1900">
        <v>4.3134539999999999E-2</v>
      </c>
      <c r="R1900">
        <v>-1.5978590000000001E-2</v>
      </c>
      <c r="S1900">
        <v>-3.0502319999999998</v>
      </c>
      <c r="T1900">
        <v>-0.94614240000000005</v>
      </c>
      <c r="U1900">
        <v>0.41647339999999999</v>
      </c>
      <c r="V1900">
        <v>3.6513819999999999E-3</v>
      </c>
      <c r="W1900">
        <v>5.3686369999999997E-2</v>
      </c>
      <c r="X1900">
        <v>0.99855119999999997</v>
      </c>
      <c r="Y1900">
        <v>0.14702499999999999</v>
      </c>
      <c r="Z1900">
        <v>2.8113490000000001E-2</v>
      </c>
      <c r="AA1900">
        <v>0.98873319999999998</v>
      </c>
      <c r="AB1900">
        <v>53</v>
      </c>
      <c r="AC1900">
        <v>-0.42169999999998697</v>
      </c>
      <c r="AD1900">
        <v>-0.3016664</v>
      </c>
      <c r="AE1900">
        <v>0.14379999999999801</v>
      </c>
      <c r="AF1900">
        <v>0.10426125464538701</v>
      </c>
      <c r="AG1900">
        <v>-0.3016664</v>
      </c>
      <c r="AH1900">
        <v>0.28715348657994699</v>
      </c>
      <c r="AI1900">
        <v>134.63866064805799</v>
      </c>
      <c r="AJ1900">
        <v>70.044776700550102</v>
      </c>
      <c r="AK1900">
        <v>0.42933687352032801</v>
      </c>
      <c r="AL1900">
        <v>86.922518128558906</v>
      </c>
      <c r="AM1900">
        <v>89.790488614371895</v>
      </c>
      <c r="AN1900">
        <v>1.0000000289678601</v>
      </c>
    </row>
    <row r="1901" spans="1:40" x14ac:dyDescent="0.25">
      <c r="A1901" t="str">
        <f>"20190312151303916"</f>
        <v>20190312151303916</v>
      </c>
      <c r="B1901" t="str">
        <f>"1552374783912061"</f>
        <v>1552374783912061</v>
      </c>
      <c r="C1901" t="s">
        <v>40</v>
      </c>
      <c r="D1901">
        <v>4.6787619999999999</v>
      </c>
      <c r="E1901">
        <v>0.50593120000000003</v>
      </c>
      <c r="F1901" t="s">
        <v>41</v>
      </c>
      <c r="G1901">
        <v>-354.33420000000001</v>
      </c>
      <c r="H1901">
        <v>0.99480869999999999</v>
      </c>
      <c r="I1901">
        <v>282.5856</v>
      </c>
      <c r="J1901">
        <v>-353.8682</v>
      </c>
      <c r="K1901">
        <v>1.1088629999999999</v>
      </c>
      <c r="L1901">
        <v>282.56900000000002</v>
      </c>
      <c r="M1901">
        <v>-0.99975049999999999</v>
      </c>
      <c r="N1901">
        <v>0</v>
      </c>
      <c r="O1901">
        <v>-1.964745E-2</v>
      </c>
      <c r="P1901">
        <v>-0.99892599999999998</v>
      </c>
      <c r="Q1901">
        <v>4.3442080000000001E-2</v>
      </c>
      <c r="R1901">
        <v>-1.6120260000000001E-2</v>
      </c>
      <c r="S1901">
        <v>-3.0187680000000001</v>
      </c>
      <c r="T1901">
        <v>-0.35403370000000001</v>
      </c>
      <c r="U1901">
        <v>1.9409180000000002E-2</v>
      </c>
      <c r="V1901">
        <v>3.5104200000000002E-3</v>
      </c>
      <c r="W1901">
        <v>5.4072050000000003E-2</v>
      </c>
      <c r="X1901">
        <v>0.9985309</v>
      </c>
      <c r="Y1901">
        <v>2.5765059999999999E-2</v>
      </c>
      <c r="Z1901">
        <v>3.8020240000000002E-3</v>
      </c>
      <c r="AA1901">
        <v>0.99966080000000002</v>
      </c>
      <c r="AB1901">
        <v>53</v>
      </c>
      <c r="AC1901">
        <v>-0.46600000000000802</v>
      </c>
      <c r="AD1901">
        <v>-0.114054299999999</v>
      </c>
      <c r="AE1901">
        <v>1.6599999999982601E-2</v>
      </c>
      <c r="AF1901">
        <v>2.4299260368224301E-2</v>
      </c>
      <c r="AG1901">
        <v>-0.114054299999999</v>
      </c>
      <c r="AH1901">
        <v>0.43930156422863798</v>
      </c>
      <c r="AI1901">
        <v>104.53289353678601</v>
      </c>
      <c r="AJ1901">
        <v>86.834002226723797</v>
      </c>
      <c r="AK1901">
        <v>0.45451589822212002</v>
      </c>
      <c r="AL1901">
        <v>86.900388163596801</v>
      </c>
      <c r="AM1901">
        <v>89.798572661392697</v>
      </c>
      <c r="AN1901">
        <v>1.0000000339472901</v>
      </c>
    </row>
    <row r="1902" spans="1:40" x14ac:dyDescent="0.25">
      <c r="A1902" t="str">
        <f>"20190312151303938"</f>
        <v>20190312151303938</v>
      </c>
      <c r="B1902" t="str">
        <f>"1552374783931585"</f>
        <v>1552374783931585</v>
      </c>
      <c r="C1902" t="s">
        <v>40</v>
      </c>
      <c r="D1902">
        <v>4.7561019999999896</v>
      </c>
      <c r="E1902">
        <v>0.5029344</v>
      </c>
      <c r="F1902" t="s">
        <v>41</v>
      </c>
      <c r="G1902">
        <v>-354.8193</v>
      </c>
      <c r="H1902">
        <v>1.021028</v>
      </c>
      <c r="I1902">
        <v>282.56549999999999</v>
      </c>
      <c r="J1902">
        <v>-354.39870000000002</v>
      </c>
      <c r="K1902">
        <v>1.1088789999999999</v>
      </c>
      <c r="L1902">
        <v>282.55860000000001</v>
      </c>
      <c r="M1902">
        <v>-0.99974949999999996</v>
      </c>
      <c r="N1902">
        <v>0</v>
      </c>
      <c r="O1902">
        <v>-1.9647850000000001E-2</v>
      </c>
      <c r="P1902">
        <v>-0.99889740000000005</v>
      </c>
      <c r="Q1902">
        <v>4.4087179999999997E-2</v>
      </c>
      <c r="R1902">
        <v>-1.614374E-2</v>
      </c>
      <c r="S1902">
        <v>-3.0151979999999998</v>
      </c>
      <c r="T1902">
        <v>-0.27855600000000003</v>
      </c>
      <c r="U1902">
        <v>-1.1810299999999999E-2</v>
      </c>
      <c r="V1902">
        <v>3.4872029999999999E-3</v>
      </c>
      <c r="W1902">
        <v>5.4799569999999999E-2</v>
      </c>
      <c r="X1902">
        <v>0.99849129999999997</v>
      </c>
      <c r="Y1902">
        <v>1.558268E-2</v>
      </c>
      <c r="Z1902">
        <v>2.5295449999999998E-3</v>
      </c>
      <c r="AA1902">
        <v>0.99987539999999997</v>
      </c>
      <c r="AB1902">
        <v>53</v>
      </c>
      <c r="AC1902">
        <v>-0.42059999999997899</v>
      </c>
      <c r="AD1902">
        <v>-8.7851000000000096E-2</v>
      </c>
      <c r="AE1902">
        <v>6.89999999997326E-3</v>
      </c>
      <c r="AF1902">
        <v>1.45293286055311E-2</v>
      </c>
      <c r="AG1902">
        <v>-8.7851000000000096E-2</v>
      </c>
      <c r="AH1902">
        <v>0.40281438510814799</v>
      </c>
      <c r="AI1902">
        <v>102.29540619188001</v>
      </c>
      <c r="AJ1902">
        <v>87.934263265613396</v>
      </c>
      <c r="AK1902">
        <v>0.41253888112611098</v>
      </c>
      <c r="AL1902">
        <v>86.858642380867494</v>
      </c>
      <c r="AM1902">
        <v>89.799896902598107</v>
      </c>
      <c r="AN1902">
        <v>1.00000001481631</v>
      </c>
    </row>
    <row r="1903" spans="1:40" x14ac:dyDescent="0.25">
      <c r="A1903" t="str">
        <f>"20190312151303960"</f>
        <v>20190312151303960</v>
      </c>
      <c r="B1903" t="str">
        <f>"1552374783952077"</f>
        <v>1552374783952077</v>
      </c>
      <c r="C1903" t="s">
        <v>40</v>
      </c>
      <c r="D1903">
        <v>4.7629159999999997</v>
      </c>
      <c r="E1903">
        <v>0.50162019999999996</v>
      </c>
      <c r="F1903" t="s">
        <v>41</v>
      </c>
      <c r="G1903">
        <v>-355.30169999999998</v>
      </c>
      <c r="H1903">
        <v>1.0382670000000001</v>
      </c>
      <c r="I1903">
        <v>282.54849999999999</v>
      </c>
      <c r="J1903">
        <v>-354.93369999999999</v>
      </c>
      <c r="K1903">
        <v>1.1088880000000001</v>
      </c>
      <c r="L1903">
        <v>282.54809999999998</v>
      </c>
      <c r="M1903">
        <v>-0.99974850000000004</v>
      </c>
      <c r="N1903">
        <v>0</v>
      </c>
      <c r="O1903">
        <v>-1.9647910000000001E-2</v>
      </c>
      <c r="P1903">
        <v>-0.99888730000000003</v>
      </c>
      <c r="Q1903">
        <v>4.4176109999999998E-2</v>
      </c>
      <c r="R1903">
        <v>-1.6513739999999999E-2</v>
      </c>
      <c r="S1903">
        <v>-3.013153</v>
      </c>
      <c r="T1903">
        <v>-0.23578270000000001</v>
      </c>
      <c r="U1903">
        <v>-3.4790040000000001E-2</v>
      </c>
      <c r="V1903">
        <v>3.1174039999999998E-3</v>
      </c>
      <c r="W1903">
        <v>5.4973359999999999E-2</v>
      </c>
      <c r="X1903">
        <v>0.99848289999999995</v>
      </c>
      <c r="Y1903">
        <v>8.0201219999999993E-3</v>
      </c>
      <c r="Z1903">
        <v>1.848349E-3</v>
      </c>
      <c r="AA1903">
        <v>0.99996609999999997</v>
      </c>
      <c r="AB1903">
        <v>53</v>
      </c>
      <c r="AC1903">
        <v>-0.367999999999995</v>
      </c>
      <c r="AD1903">
        <v>-7.0620999999999795E-2</v>
      </c>
      <c r="AE1903">
        <v>4.0000000001327803E-4</v>
      </c>
      <c r="AF1903">
        <v>7.3597360330046402E-3</v>
      </c>
      <c r="AG1903">
        <v>-7.0620999999999795E-2</v>
      </c>
      <c r="AH1903">
        <v>0.35485277322480302</v>
      </c>
      <c r="AI1903">
        <v>101.253294355588</v>
      </c>
      <c r="AJ1903">
        <v>88.811841425070497</v>
      </c>
      <c r="AK1903">
        <v>0.36188669776714499</v>
      </c>
      <c r="AL1903">
        <v>86.848669694941407</v>
      </c>
      <c r="AM1903">
        <v>89.821115101842906</v>
      </c>
      <c r="AN1903">
        <v>0.99999994505489698</v>
      </c>
    </row>
    <row r="1904" spans="1:40" x14ac:dyDescent="0.25">
      <c r="A1904" t="str">
        <f>"20190312151303983"</f>
        <v>20190312151303983</v>
      </c>
      <c r="B1904" t="str">
        <f>"1552374783971602"</f>
        <v>1552374783971602</v>
      </c>
      <c r="C1904" t="s">
        <v>40</v>
      </c>
      <c r="D1904">
        <v>4.9461639999999996</v>
      </c>
      <c r="E1904">
        <v>0.50063939999999996</v>
      </c>
      <c r="F1904" t="s">
        <v>54</v>
      </c>
      <c r="G1904">
        <v>-370.6046</v>
      </c>
      <c r="H1904" s="1">
        <v>-1.21502999999999E-6</v>
      </c>
      <c r="I1904">
        <v>282.31060000000002</v>
      </c>
      <c r="J1904">
        <v>-355.46109999999999</v>
      </c>
      <c r="K1904">
        <v>1.108897</v>
      </c>
      <c r="L1904">
        <v>282.53769999999997</v>
      </c>
      <c r="M1904">
        <v>-0.99974759999999996</v>
      </c>
      <c r="N1904">
        <v>0</v>
      </c>
      <c r="O1904">
        <v>-1.9647990000000001E-2</v>
      </c>
      <c r="P1904">
        <v>-0.99888120000000002</v>
      </c>
      <c r="Q1904">
        <v>4.4358580000000002E-2</v>
      </c>
      <c r="R1904">
        <v>-1.6395799999999999E-2</v>
      </c>
      <c r="S1904">
        <v>-3.0120239999999998</v>
      </c>
      <c r="T1904">
        <v>-0.21313270000000001</v>
      </c>
      <c r="U1904">
        <v>-4.5654300000000002E-2</v>
      </c>
      <c r="V1904">
        <v>3.2357200000000001E-3</v>
      </c>
      <c r="W1904">
        <v>5.5243319999999999E-2</v>
      </c>
      <c r="X1904">
        <v>0.99846769999999996</v>
      </c>
      <c r="Y1904">
        <v>4.4340200000000003E-3</v>
      </c>
      <c r="Z1904">
        <v>1.5451250000000001E-3</v>
      </c>
      <c r="AA1904">
        <v>0.99998900000000002</v>
      </c>
      <c r="AB1904">
        <v>53</v>
      </c>
      <c r="AC1904">
        <v>-15.1435</v>
      </c>
      <c r="AD1904">
        <v>-1.10889821503</v>
      </c>
      <c r="AE1904">
        <v>-0.22709999999995001</v>
      </c>
      <c r="AF1904">
        <v>7.0124911972758899E-2</v>
      </c>
      <c r="AG1904">
        <v>-1.10889821503</v>
      </c>
      <c r="AH1904">
        <v>15.064281403750901</v>
      </c>
      <c r="AI1904">
        <v>94.209966331228898</v>
      </c>
      <c r="AJ1904">
        <v>89.733287478782003</v>
      </c>
      <c r="AK1904">
        <v>15.105202645644001</v>
      </c>
      <c r="AL1904">
        <v>86.833178825933103</v>
      </c>
      <c r="AM1904">
        <v>89.814323036500795</v>
      </c>
      <c r="AN1904">
        <v>1.0000000211159099</v>
      </c>
    </row>
    <row r="1905" spans="1:40" x14ac:dyDescent="0.25">
      <c r="A1905" t="str">
        <f>"20190312151304004"</f>
        <v>20190312151304004</v>
      </c>
      <c r="B1905" t="str">
        <f>"1552374784001854"</f>
        <v>1552374784001854</v>
      </c>
      <c r="C1905" t="s">
        <v>40</v>
      </c>
      <c r="D1905">
        <v>4.6923529999999998</v>
      </c>
      <c r="E1905">
        <v>0.49923319999999999</v>
      </c>
      <c r="F1905" t="s">
        <v>54</v>
      </c>
      <c r="G1905">
        <v>-372.20159999999998</v>
      </c>
      <c r="H1905" s="1">
        <v>-3.6520280000000001E-7</v>
      </c>
      <c r="I1905">
        <v>282.2439</v>
      </c>
      <c r="J1905">
        <v>-355.97460000000001</v>
      </c>
      <c r="K1905">
        <v>1.108914</v>
      </c>
      <c r="L1905">
        <v>282.52760000000001</v>
      </c>
      <c r="M1905">
        <v>-0.99974669999999999</v>
      </c>
      <c r="N1905">
        <v>0</v>
      </c>
      <c r="O1905">
        <v>-1.9648079999999998E-2</v>
      </c>
      <c r="P1905">
        <v>-0.99888250000000001</v>
      </c>
      <c r="Q1905">
        <v>4.4470990000000002E-2</v>
      </c>
      <c r="R1905">
        <v>-1.6004529999999999E-2</v>
      </c>
      <c r="S1905">
        <v>-3.0113530000000002</v>
      </c>
      <c r="T1905">
        <v>-0.1994725</v>
      </c>
      <c r="U1905">
        <v>-5.2856449999999999E-2</v>
      </c>
      <c r="V1905">
        <v>3.6272309999999999E-3</v>
      </c>
      <c r="W1905">
        <v>5.5445179999999997E-2</v>
      </c>
      <c r="X1905">
        <v>0.99845519999999999</v>
      </c>
      <c r="Y1905">
        <v>2.0524039999999999E-3</v>
      </c>
      <c r="Z1905">
        <v>1.3678239999999999E-3</v>
      </c>
      <c r="AA1905">
        <v>0.99999700000000002</v>
      </c>
      <c r="AB1905">
        <v>53</v>
      </c>
      <c r="AC1905">
        <v>-16.226999999999901</v>
      </c>
      <c r="AD1905">
        <v>-1.1089143652028</v>
      </c>
      <c r="AE1905">
        <v>-0.28370000000001</v>
      </c>
      <c r="AF1905">
        <v>3.5039789421221802E-2</v>
      </c>
      <c r="AG1905">
        <v>-1.1089143652028</v>
      </c>
      <c r="AH1905">
        <v>16.154024916139999</v>
      </c>
      <c r="AI1905">
        <v>93.926974545634295</v>
      </c>
      <c r="AJ1905">
        <v>89.875719586255101</v>
      </c>
      <c r="AK1905">
        <v>16.192079540549098</v>
      </c>
      <c r="AL1905">
        <v>86.821595456194899</v>
      </c>
      <c r="AM1905">
        <v>89.791854343223406</v>
      </c>
      <c r="AN1905">
        <v>1.00000005559849</v>
      </c>
    </row>
    <row r="1906" spans="1:40" x14ac:dyDescent="0.25">
      <c r="A1906" t="str">
        <f>"20190312151304027"</f>
        <v>20190312151304027</v>
      </c>
      <c r="B1906" t="str">
        <f>"1552374784022350"</f>
        <v>1552374784022350</v>
      </c>
      <c r="C1906" t="s">
        <v>40</v>
      </c>
      <c r="D1906">
        <v>4.8162149999999997</v>
      </c>
      <c r="E1906">
        <v>0.49840190000000001</v>
      </c>
      <c r="F1906" t="s">
        <v>54</v>
      </c>
      <c r="G1906">
        <v>-373.45179999999999</v>
      </c>
      <c r="H1906" s="1">
        <v>3.000668E-7</v>
      </c>
      <c r="I1906">
        <v>282.1628</v>
      </c>
      <c r="J1906">
        <v>-356.49279999999999</v>
      </c>
      <c r="K1906">
        <v>1.108932</v>
      </c>
      <c r="L1906">
        <v>282.51740000000001</v>
      </c>
      <c r="M1906">
        <v>-0.99974549999999995</v>
      </c>
      <c r="N1906">
        <v>0</v>
      </c>
      <c r="O1906">
        <v>-1.9647649999999999E-2</v>
      </c>
      <c r="P1906">
        <v>-0.99888980000000005</v>
      </c>
      <c r="Q1906">
        <v>4.4374950000000003E-2</v>
      </c>
      <c r="R1906">
        <v>-1.581221E-2</v>
      </c>
      <c r="S1906">
        <v>-3.0108950000000001</v>
      </c>
      <c r="T1906">
        <v>-0.19103919999999999</v>
      </c>
      <c r="U1906">
        <v>-6.283569E-2</v>
      </c>
      <c r="V1906">
        <v>3.8193649999999999E-3</v>
      </c>
      <c r="W1906">
        <v>5.5449459999999999E-2</v>
      </c>
      <c r="X1906">
        <v>0.99845419999999996</v>
      </c>
      <c r="Y1906">
        <v>-1.2532579999999999E-3</v>
      </c>
      <c r="Z1906">
        <v>1.2054800000000001E-3</v>
      </c>
      <c r="AA1906">
        <v>0.99999850000000001</v>
      </c>
      <c r="AB1906">
        <v>53</v>
      </c>
      <c r="AC1906">
        <v>-16.959</v>
      </c>
      <c r="AD1906">
        <v>-1.1089316999332</v>
      </c>
      <c r="AE1906">
        <v>-0.35460000000000402</v>
      </c>
      <c r="AF1906">
        <v>-2.12158937831416E-2</v>
      </c>
      <c r="AG1906">
        <v>-1.1089316999332</v>
      </c>
      <c r="AH1906">
        <v>16.890505933335699</v>
      </c>
      <c r="AI1906">
        <v>93.756311407987496</v>
      </c>
      <c r="AJ1906">
        <v>90.071968272464801</v>
      </c>
      <c r="AK1906">
        <v>16.926883065506001</v>
      </c>
      <c r="AL1906">
        <v>86.821349706808903</v>
      </c>
      <c r="AM1906">
        <v>89.780828777573802</v>
      </c>
      <c r="AN1906">
        <v>1.00000000983046</v>
      </c>
    </row>
    <row r="1907" spans="1:40" x14ac:dyDescent="0.25">
      <c r="A1907" t="str">
        <f>"20190312151304050"</f>
        <v>20190312151304050</v>
      </c>
      <c r="B1907" t="str">
        <f>"1552374784041882"</f>
        <v>1552374784041882</v>
      </c>
      <c r="C1907" t="s">
        <v>40</v>
      </c>
      <c r="D1907">
        <v>4.6992070000000004</v>
      </c>
      <c r="E1907">
        <v>0.49804559999999998</v>
      </c>
      <c r="F1907" t="s">
        <v>41</v>
      </c>
      <c r="G1907">
        <v>-357.66800000000001</v>
      </c>
      <c r="H1907">
        <v>1.0374969999999999</v>
      </c>
      <c r="I1907">
        <v>282.49079999999998</v>
      </c>
      <c r="J1907">
        <v>-357.04039999999998</v>
      </c>
      <c r="K1907">
        <v>1.108949</v>
      </c>
      <c r="L1907">
        <v>282.50670000000002</v>
      </c>
      <c r="M1907">
        <v>-0.99974419999999997</v>
      </c>
      <c r="N1907">
        <v>0</v>
      </c>
      <c r="O1907">
        <v>-1.9646839999999999E-2</v>
      </c>
      <c r="P1907">
        <v>-0.99888710000000003</v>
      </c>
      <c r="Q1907">
        <v>4.4495369999999999E-2</v>
      </c>
      <c r="R1907">
        <v>-1.5641120000000001E-2</v>
      </c>
      <c r="S1907">
        <v>-3.0103759999999999</v>
      </c>
      <c r="T1907">
        <v>-0.18306210000000001</v>
      </c>
      <c r="U1907">
        <v>-6.8756100000000001E-2</v>
      </c>
      <c r="V1907">
        <v>3.9899009999999997E-3</v>
      </c>
      <c r="W1907">
        <v>5.5685619999999998E-2</v>
      </c>
      <c r="X1907">
        <v>0.99844040000000001</v>
      </c>
      <c r="Y1907">
        <v>-3.2167229999999999E-3</v>
      </c>
      <c r="Z1907">
        <v>1.0957219999999999E-3</v>
      </c>
      <c r="AA1907">
        <v>0.99999420000000006</v>
      </c>
      <c r="AB1907">
        <v>53</v>
      </c>
      <c r="AC1907">
        <v>-0.62760000000002902</v>
      </c>
      <c r="AD1907">
        <v>-7.1452000000000002E-2</v>
      </c>
      <c r="AE1907">
        <v>-1.5900000000044601E-2</v>
      </c>
      <c r="AF1907">
        <v>-3.5202011977297702E-3</v>
      </c>
      <c r="AG1907">
        <v>-7.1452000000000002E-2</v>
      </c>
      <c r="AH1907">
        <v>0.61976320178209099</v>
      </c>
      <c r="AI1907">
        <v>96.576444033403305</v>
      </c>
      <c r="AJ1907">
        <v>90.325431555415406</v>
      </c>
      <c r="AK1907">
        <v>0.62387835865949204</v>
      </c>
      <c r="AL1907">
        <v>86.807797829376</v>
      </c>
      <c r="AM1907">
        <v>89.771039642307301</v>
      </c>
      <c r="AN1907">
        <v>1.00000001996846</v>
      </c>
    </row>
    <row r="1908" spans="1:40" x14ac:dyDescent="0.25">
      <c r="A1908" t="str">
        <f>"20190312151304072"</f>
        <v>20190312151304072</v>
      </c>
      <c r="B1908" t="str">
        <f>"1552374784062370"</f>
        <v>1552374784062370</v>
      </c>
      <c r="C1908" t="s">
        <v>40</v>
      </c>
      <c r="D1908">
        <v>4.8195040000000002</v>
      </c>
      <c r="E1908">
        <v>0.49779830000000003</v>
      </c>
      <c r="F1908" t="s">
        <v>54</v>
      </c>
      <c r="G1908">
        <v>-376.09429999999998</v>
      </c>
      <c r="H1908" s="1">
        <v>1.7062770000000001E-6</v>
      </c>
      <c r="I1908">
        <v>282.05869999999999</v>
      </c>
      <c r="J1908">
        <v>-357.55720000000002</v>
      </c>
      <c r="K1908">
        <v>1.1089629999999999</v>
      </c>
      <c r="L1908">
        <v>282.49650000000003</v>
      </c>
      <c r="M1908">
        <v>-0.99974300000000005</v>
      </c>
      <c r="N1908">
        <v>0</v>
      </c>
      <c r="O1908">
        <v>-1.9646130000000001E-2</v>
      </c>
      <c r="P1908">
        <v>-0.9988783</v>
      </c>
      <c r="Q1908">
        <v>4.4809990000000001E-2</v>
      </c>
      <c r="R1908">
        <v>-1.531368E-2</v>
      </c>
      <c r="S1908">
        <v>-3.009979</v>
      </c>
      <c r="T1908">
        <v>-0.1751828</v>
      </c>
      <c r="U1908">
        <v>-7.0770260000000001E-2</v>
      </c>
      <c r="V1908">
        <v>4.3166749999999999E-3</v>
      </c>
      <c r="W1908">
        <v>5.6112200000000001E-2</v>
      </c>
      <c r="X1908">
        <v>0.9984151</v>
      </c>
      <c r="Y1908">
        <v>-3.8855349999999999E-3</v>
      </c>
      <c r="Z1908">
        <v>1.029287E-3</v>
      </c>
      <c r="AA1908">
        <v>0.99999190000000004</v>
      </c>
      <c r="AB1908">
        <v>53</v>
      </c>
      <c r="AC1908">
        <v>-18.537099999999899</v>
      </c>
      <c r="AD1908">
        <v>-1.108961293723</v>
      </c>
      <c r="AE1908">
        <v>-0.43780000000003799</v>
      </c>
      <c r="AF1908">
        <v>-7.3247911835161994E-2</v>
      </c>
      <c r="AG1908">
        <v>-1.108961293723</v>
      </c>
      <c r="AH1908">
        <v>18.476036469003201</v>
      </c>
      <c r="AI1908">
        <v>93.434836653898103</v>
      </c>
      <c r="AJ1908">
        <v>90.227146889776407</v>
      </c>
      <c r="AK1908">
        <v>18.509432298466098</v>
      </c>
      <c r="AL1908">
        <v>86.783318134986402</v>
      </c>
      <c r="AM1908">
        <v>89.752281673263994</v>
      </c>
      <c r="AN1908">
        <v>0.99999996228995203</v>
      </c>
    </row>
    <row r="1909" spans="1:40" x14ac:dyDescent="0.25">
      <c r="A1909" t="str">
        <f>"20190312151304094"</f>
        <v>20190312151304094</v>
      </c>
      <c r="B1909" t="str">
        <f>"1552374784081886"</f>
        <v>1552374784081886</v>
      </c>
      <c r="C1909" t="s">
        <v>40</v>
      </c>
      <c r="D1909">
        <v>4.9255380000000004</v>
      </c>
      <c r="E1909">
        <v>0.49760209999999999</v>
      </c>
      <c r="F1909" t="s">
        <v>54</v>
      </c>
      <c r="G1909">
        <v>-377.21899999999999</v>
      </c>
      <c r="H1909" s="1">
        <v>2.3047830000000001E-6</v>
      </c>
      <c r="I1909">
        <v>282.03039999999999</v>
      </c>
      <c r="J1909">
        <v>-358.08940000000001</v>
      </c>
      <c r="K1909">
        <v>1.1089819999999999</v>
      </c>
      <c r="L1909">
        <v>282.48599999999999</v>
      </c>
      <c r="M1909">
        <v>-0.99974160000000001</v>
      </c>
      <c r="N1909">
        <v>0</v>
      </c>
      <c r="O1909">
        <v>-1.964515E-2</v>
      </c>
      <c r="P1909">
        <v>-0.99887570000000003</v>
      </c>
      <c r="Q1909">
        <v>4.4931770000000003E-2</v>
      </c>
      <c r="R1909">
        <v>-1.511056E-2</v>
      </c>
      <c r="S1909">
        <v>-3.0098880000000001</v>
      </c>
      <c r="T1909">
        <v>-0.16976329999999901</v>
      </c>
      <c r="U1909">
        <v>-7.13501E-2</v>
      </c>
      <c r="V1909">
        <v>4.5186970000000003E-3</v>
      </c>
      <c r="W1909">
        <v>5.6357850000000001E-2</v>
      </c>
      <c r="X1909">
        <v>0.99840039999999997</v>
      </c>
      <c r="Y1909">
        <v>-4.0778139999999999E-3</v>
      </c>
      <c r="Z1909">
        <v>9.920523000000001E-4</v>
      </c>
      <c r="AA1909">
        <v>0.99999119999999997</v>
      </c>
      <c r="AB1909">
        <v>53</v>
      </c>
      <c r="AC1909">
        <v>-19.1295999999999</v>
      </c>
      <c r="AD1909">
        <v>-1.1089796952169999</v>
      </c>
      <c r="AE1909">
        <v>-0.455600000000003</v>
      </c>
      <c r="AF1909">
        <v>-7.9416874586196798E-2</v>
      </c>
      <c r="AG1909">
        <v>-1.1089796952169999</v>
      </c>
      <c r="AH1909">
        <v>19.070802965419698</v>
      </c>
      <c r="AI1909">
        <v>93.328010473369005</v>
      </c>
      <c r="AJ1909">
        <v>90.238596426256606</v>
      </c>
      <c r="AK1909">
        <v>19.103184780298701</v>
      </c>
      <c r="AL1909">
        <v>86.769221215540398</v>
      </c>
      <c r="AM1909">
        <v>89.7406847000195</v>
      </c>
      <c r="AN1909">
        <v>0.99999999229967995</v>
      </c>
    </row>
    <row r="1910" spans="1:40" x14ac:dyDescent="0.25">
      <c r="A1910" t="str">
        <f>"20190312151304117"</f>
        <v>20190312151304117</v>
      </c>
      <c r="B1910" t="str">
        <f>"1552374784112142"</f>
        <v>1552374784112142</v>
      </c>
      <c r="C1910" t="s">
        <v>40</v>
      </c>
      <c r="D1910">
        <v>5.0481309999999997</v>
      </c>
      <c r="E1910">
        <v>0.4974384</v>
      </c>
      <c r="F1910" t="s">
        <v>54</v>
      </c>
      <c r="G1910">
        <v>-378.06639999999999</v>
      </c>
      <c r="H1910" s="1">
        <v>2.755765E-6</v>
      </c>
      <c r="I1910">
        <v>282.00639999999999</v>
      </c>
      <c r="J1910">
        <v>-358.62459999999999</v>
      </c>
      <c r="K1910">
        <v>1.108994</v>
      </c>
      <c r="L1910">
        <v>282.47550000000001</v>
      </c>
      <c r="M1910">
        <v>-0.99973990000000001</v>
      </c>
      <c r="N1910">
        <v>0</v>
      </c>
      <c r="O1910">
        <v>-1.9643569999999999E-2</v>
      </c>
      <c r="P1910">
        <v>-0.99888069999999896</v>
      </c>
      <c r="Q1910">
        <v>4.4724069999999998E-2</v>
      </c>
      <c r="R1910">
        <v>-1.5410200000000001E-2</v>
      </c>
      <c r="S1910">
        <v>-3.0097659999999999</v>
      </c>
      <c r="T1910">
        <v>-0.1670799</v>
      </c>
      <c r="U1910">
        <v>-7.2265629999999997E-2</v>
      </c>
      <c r="V1910">
        <v>4.2178900000000002E-3</v>
      </c>
      <c r="W1910">
        <v>5.6294539999999997E-2</v>
      </c>
      <c r="X1910">
        <v>0.99840530000000005</v>
      </c>
      <c r="Y1910">
        <v>-4.3830869999999999E-3</v>
      </c>
      <c r="Z1910">
        <v>9.6787909999999997E-4</v>
      </c>
      <c r="AA1910">
        <v>0.99998989999999999</v>
      </c>
      <c r="AB1910">
        <v>53</v>
      </c>
      <c r="AC1910">
        <v>-19.441800000000001</v>
      </c>
      <c r="AD1910">
        <v>-1.1089912442350001</v>
      </c>
      <c r="AE1910">
        <v>-0.469100000000025</v>
      </c>
      <c r="AF1910">
        <v>-8.67952286007901E-2</v>
      </c>
      <c r="AG1910">
        <v>-1.1089912442350001</v>
      </c>
      <c r="AH1910">
        <v>19.384228941211301</v>
      </c>
      <c r="AI1910">
        <v>93.274347106956498</v>
      </c>
      <c r="AJ1910">
        <v>90.256547065218399</v>
      </c>
      <c r="AK1910">
        <v>19.416120277666</v>
      </c>
      <c r="AL1910">
        <v>86.772854418558396</v>
      </c>
      <c r="AM1910">
        <v>89.757948142153296</v>
      </c>
      <c r="AN1910">
        <v>1.0000000044489701</v>
      </c>
    </row>
    <row r="1911" spans="1:40" x14ac:dyDescent="0.25">
      <c r="A1911" t="str">
        <f>"20190312151304139"</f>
        <v>20190312151304139</v>
      </c>
      <c r="B1911" t="str">
        <f>"1552374784131662"</f>
        <v>1552374784131662</v>
      </c>
      <c r="C1911" t="s">
        <v>40</v>
      </c>
      <c r="D1911">
        <v>4.6898239999999998</v>
      </c>
      <c r="E1911">
        <v>0.49727109999999902</v>
      </c>
      <c r="F1911" t="s">
        <v>54</v>
      </c>
      <c r="G1911">
        <v>-378.95490000000001</v>
      </c>
      <c r="H1911" s="1">
        <v>3.2285769999999999E-6</v>
      </c>
      <c r="I1911">
        <v>281.97430000000003</v>
      </c>
      <c r="J1911">
        <v>-359.15499999999997</v>
      </c>
      <c r="K1911">
        <v>1.1090150000000001</v>
      </c>
      <c r="L1911">
        <v>282.46510000000001</v>
      </c>
      <c r="M1911">
        <v>-0.99973809999999996</v>
      </c>
      <c r="N1911">
        <v>0</v>
      </c>
      <c r="O1911">
        <v>-1.9641749999999999E-2</v>
      </c>
      <c r="P1911">
        <v>-0.99889090000000003</v>
      </c>
      <c r="Q1911">
        <v>4.4273930000000003E-2</v>
      </c>
      <c r="R1911">
        <v>-1.6029270000000002E-2</v>
      </c>
      <c r="S1911">
        <v>-3.0095830000000001</v>
      </c>
      <c r="T1911">
        <v>-0.164168799999999</v>
      </c>
      <c r="U1911">
        <v>-7.4188229999999994E-2</v>
      </c>
      <c r="V1911">
        <v>3.5973680000000001E-3</v>
      </c>
      <c r="W1911">
        <v>5.6008410000000002E-2</v>
      </c>
      <c r="X1911">
        <v>0.99842379999999997</v>
      </c>
      <c r="Y1911">
        <v>-5.0230070000000003E-3</v>
      </c>
      <c r="Z1911">
        <v>9.3355480000000002E-4</v>
      </c>
      <c r="AA1911">
        <v>0.99998690000000001</v>
      </c>
      <c r="AB1911">
        <v>53</v>
      </c>
      <c r="AC1911">
        <v>-19.799900000000001</v>
      </c>
      <c r="AD1911">
        <v>-1.1090117714229999</v>
      </c>
      <c r="AE1911">
        <v>-0.49079999999997798</v>
      </c>
      <c r="AF1911">
        <v>-0.10145569850336</v>
      </c>
      <c r="AG1911">
        <v>-1.1090117714229999</v>
      </c>
      <c r="AH1911">
        <v>19.743817700647</v>
      </c>
      <c r="AI1911">
        <v>93.214887745020206</v>
      </c>
      <c r="AJ1911">
        <v>90.294417840372702</v>
      </c>
      <c r="AK1911">
        <v>19.775200068881599</v>
      </c>
      <c r="AL1911">
        <v>86.789274299718201</v>
      </c>
      <c r="AM1911">
        <v>89.793561499793995</v>
      </c>
      <c r="AN1911">
        <v>0.99999998372684695</v>
      </c>
    </row>
    <row r="1912" spans="1:40" x14ac:dyDescent="0.25">
      <c r="A1912" t="str">
        <f>"20190312151304160"</f>
        <v>20190312151304160</v>
      </c>
      <c r="B1912" t="str">
        <f>"1552374784152175"</f>
        <v>1552374784152175</v>
      </c>
      <c r="C1912" t="s">
        <v>40</v>
      </c>
      <c r="D1912">
        <v>4.9657809999999998</v>
      </c>
      <c r="E1912">
        <v>0.4971274</v>
      </c>
      <c r="F1912" t="s">
        <v>54</v>
      </c>
      <c r="G1912">
        <v>-379.36099999999999</v>
      </c>
      <c r="H1912" s="1">
        <v>3.4446550000000001E-6</v>
      </c>
      <c r="I1912">
        <v>281.94600000000003</v>
      </c>
      <c r="J1912">
        <v>-359.66849999999999</v>
      </c>
      <c r="K1912">
        <v>1.1090409999999999</v>
      </c>
      <c r="L1912">
        <v>282.45490000000001</v>
      </c>
      <c r="M1912">
        <v>-0.99973599999999996</v>
      </c>
      <c r="N1912">
        <v>0</v>
      </c>
      <c r="O1912">
        <v>-1.9640040000000001E-2</v>
      </c>
      <c r="P1912">
        <v>-0.99892219999999998</v>
      </c>
      <c r="Q1912">
        <v>4.336889E-2</v>
      </c>
      <c r="R1912">
        <v>-1.6532910000000001E-2</v>
      </c>
      <c r="S1912">
        <v>-3.0093990000000002</v>
      </c>
      <c r="T1912">
        <v>-0.16517219999999999</v>
      </c>
      <c r="U1912">
        <v>-7.7301030000000007E-2</v>
      </c>
      <c r="V1912">
        <v>3.092544E-3</v>
      </c>
      <c r="W1912">
        <v>5.528425E-2</v>
      </c>
      <c r="X1912">
        <v>0.99846590000000002</v>
      </c>
      <c r="Y1912">
        <v>-6.0585689999999998E-3</v>
      </c>
      <c r="Z1912">
        <v>9.1081039999999999E-4</v>
      </c>
      <c r="AA1912">
        <v>0.99998120000000001</v>
      </c>
      <c r="AB1912">
        <v>53</v>
      </c>
      <c r="AC1912">
        <v>-19.6924999999999</v>
      </c>
      <c r="AD1912">
        <v>-1.109037555345</v>
      </c>
      <c r="AE1912">
        <v>-0.50890000000003899</v>
      </c>
      <c r="AF1912">
        <v>-0.12162733127199001</v>
      </c>
      <c r="AG1912">
        <v>-1.109037555345</v>
      </c>
      <c r="AH1912">
        <v>19.636457414993199</v>
      </c>
      <c r="AI1912">
        <v>93.232483341643501</v>
      </c>
      <c r="AJ1912">
        <v>90.354882934912496</v>
      </c>
      <c r="AK1912">
        <v>19.6681269397398</v>
      </c>
      <c r="AL1912">
        <v>86.8308301574599</v>
      </c>
      <c r="AM1912">
        <v>89.822538603918304</v>
      </c>
      <c r="AN1912">
        <v>1.0000000327946299</v>
      </c>
    </row>
    <row r="1913" spans="1:40" x14ac:dyDescent="0.25">
      <c r="A1913" t="str">
        <f>"20190312151304195"</f>
        <v>20190312151304195</v>
      </c>
      <c r="B1913" t="str">
        <f>"1552374784192174"</f>
        <v>1552374784192174</v>
      </c>
      <c r="C1913" t="s">
        <v>40</v>
      </c>
      <c r="D1913">
        <v>4.6171139999999999</v>
      </c>
      <c r="E1913">
        <v>0.49699019999999999</v>
      </c>
      <c r="F1913" t="s">
        <v>54</v>
      </c>
      <c r="G1913">
        <v>-379.65940000000001</v>
      </c>
      <c r="H1913" s="1">
        <v>3.6034429999999998E-6</v>
      </c>
      <c r="I1913">
        <v>281.92189999999999</v>
      </c>
      <c r="J1913">
        <v>-360.45549999999997</v>
      </c>
      <c r="K1913">
        <v>1.109092</v>
      </c>
      <c r="L1913">
        <v>282.43950000000001</v>
      </c>
      <c r="M1913">
        <v>-0.99973199999999995</v>
      </c>
      <c r="N1913">
        <v>0</v>
      </c>
      <c r="O1913">
        <v>-1.9637479999999999E-2</v>
      </c>
      <c r="P1913">
        <v>-0.99895670000000003</v>
      </c>
      <c r="Q1913">
        <v>4.2564440000000002E-2</v>
      </c>
      <c r="R1913">
        <v>-1.65592E-2</v>
      </c>
      <c r="S1913">
        <v>-3.0091860000000001</v>
      </c>
      <c r="T1913">
        <v>-0.16694120000000001</v>
      </c>
      <c r="U1913">
        <v>-8.0230709999999997E-2</v>
      </c>
      <c r="V1913">
        <v>3.0648369999999999E-3</v>
      </c>
      <c r="W1913">
        <v>5.4812909999999999E-2</v>
      </c>
      <c r="X1913">
        <v>0.99849189999999999</v>
      </c>
      <c r="Y1913">
        <v>-7.0347099999999996E-3</v>
      </c>
      <c r="Z1913">
        <v>8.9341159999999998E-4</v>
      </c>
      <c r="AA1913">
        <v>0.99997480000000005</v>
      </c>
      <c r="AB1913">
        <v>53</v>
      </c>
      <c r="AC1913">
        <v>-19.203900000000001</v>
      </c>
      <c r="AD1913">
        <v>-1.109088396557</v>
      </c>
      <c r="AE1913">
        <v>-0.51760000000001505</v>
      </c>
      <c r="AF1913">
        <v>-0.13988937473298399</v>
      </c>
      <c r="AG1913">
        <v>-1.109088396557</v>
      </c>
      <c r="AH1913">
        <v>19.146545562470401</v>
      </c>
      <c r="AI1913">
        <v>93.315139071985897</v>
      </c>
      <c r="AJ1913">
        <v>90.418609619746903</v>
      </c>
      <c r="AK1913">
        <v>19.179151521490599</v>
      </c>
      <c r="AL1913">
        <v>86.857876736500302</v>
      </c>
      <c r="AM1913">
        <v>89.824133101617804</v>
      </c>
      <c r="AN1913">
        <v>0.99999996134705604</v>
      </c>
    </row>
    <row r="1914" spans="1:40" x14ac:dyDescent="0.25">
      <c r="A1914" t="str">
        <f>"20190312151304217"</f>
        <v>20190312151304217</v>
      </c>
      <c r="B1914" t="str">
        <f>"1552374784211694"</f>
        <v>1552374784211694</v>
      </c>
      <c r="C1914" t="s">
        <v>40</v>
      </c>
      <c r="D1914">
        <v>4.9158819999999999</v>
      </c>
      <c r="E1914">
        <v>0.4969808</v>
      </c>
      <c r="F1914" t="s">
        <v>54</v>
      </c>
      <c r="G1914">
        <v>-380.62299999999999</v>
      </c>
      <c r="H1914" s="1">
        <v>-1.205235E-6</v>
      </c>
      <c r="I1914">
        <v>281.89499999999998</v>
      </c>
      <c r="J1914">
        <v>-360.98910000000001</v>
      </c>
      <c r="K1914">
        <v>1.109137</v>
      </c>
      <c r="L1914">
        <v>282.42899999999997</v>
      </c>
      <c r="M1914">
        <v>-0.99972890000000003</v>
      </c>
      <c r="N1914">
        <v>0</v>
      </c>
      <c r="O1914">
        <v>-1.9635940000000001E-2</v>
      </c>
      <c r="P1914">
        <v>-0.99899579999999999</v>
      </c>
      <c r="Q1914">
        <v>4.1673410000000001E-2</v>
      </c>
      <c r="R1914">
        <v>-1.6464429999999999E-2</v>
      </c>
      <c r="S1914">
        <v>-3.0088200000000001</v>
      </c>
      <c r="T1914">
        <v>-0.16546710000000001</v>
      </c>
      <c r="U1914">
        <v>-8.1237790000000004E-2</v>
      </c>
      <c r="V1914">
        <v>3.1588369999999998E-3</v>
      </c>
      <c r="W1914">
        <v>5.4181090000000001E-2</v>
      </c>
      <c r="X1914">
        <v>0.99852620000000003</v>
      </c>
      <c r="Y1914">
        <v>-7.3730359999999899E-3</v>
      </c>
      <c r="Z1914">
        <v>8.7626269999999996E-4</v>
      </c>
      <c r="AA1914">
        <v>0.99997250000000004</v>
      </c>
      <c r="AB1914">
        <v>53</v>
      </c>
      <c r="AC1914">
        <v>-19.633900000000001</v>
      </c>
      <c r="AD1914">
        <v>-1.1091382052350001</v>
      </c>
      <c r="AE1914">
        <v>-0.53400000000004799</v>
      </c>
      <c r="AF1914">
        <v>-0.14786523894954001</v>
      </c>
      <c r="AG1914">
        <v>-1.1091382052350001</v>
      </c>
      <c r="AH1914">
        <v>19.578168066887901</v>
      </c>
      <c r="AI1914">
        <v>93.242350188118394</v>
      </c>
      <c r="AJ1914">
        <v>90.432721438487405</v>
      </c>
      <c r="AK1914">
        <v>19.610117708532702</v>
      </c>
      <c r="AL1914">
        <v>86.894131573606799</v>
      </c>
      <c r="AM1914">
        <v>89.818745442519401</v>
      </c>
      <c r="AN1914">
        <v>1.0000000704256</v>
      </c>
    </row>
    <row r="1915" spans="1:40" x14ac:dyDescent="0.25">
      <c r="A1915" t="str">
        <f>"20190312151304239"</f>
        <v>20190312151304239</v>
      </c>
      <c r="B1915" t="str">
        <f>"1552374784232193"</f>
        <v>1552374784232193</v>
      </c>
      <c r="C1915" t="s">
        <v>40</v>
      </c>
      <c r="D1915">
        <v>4.8215659999999998</v>
      </c>
      <c r="E1915">
        <v>0.49691459999999998</v>
      </c>
      <c r="F1915" t="s">
        <v>54</v>
      </c>
      <c r="G1915">
        <v>-381.05549999999999</v>
      </c>
      <c r="H1915" s="1">
        <v>-9.7512980000000009E-7</v>
      </c>
      <c r="I1915">
        <v>281.89269999999999</v>
      </c>
      <c r="J1915">
        <v>-361.51280000000003</v>
      </c>
      <c r="K1915">
        <v>1.109178</v>
      </c>
      <c r="L1915">
        <v>282.4187</v>
      </c>
      <c r="M1915">
        <v>-0.99972550000000004</v>
      </c>
      <c r="N1915">
        <v>0</v>
      </c>
      <c r="O1915">
        <v>-1.963411E-2</v>
      </c>
      <c r="P1915">
        <v>-0.99900529999999998</v>
      </c>
      <c r="Q1915">
        <v>4.116131E-2</v>
      </c>
      <c r="R1915">
        <v>-1.7153390000000001E-2</v>
      </c>
      <c r="S1915">
        <v>-3.0086360000000001</v>
      </c>
      <c r="T1915">
        <v>-0.16629820000000001</v>
      </c>
      <c r="U1915">
        <v>-8.0413819999999997E-2</v>
      </c>
      <c r="V1915">
        <v>2.4683690000000002E-3</v>
      </c>
      <c r="W1915">
        <v>5.3932550000000003E-2</v>
      </c>
      <c r="X1915">
        <v>0.99854149999999997</v>
      </c>
      <c r="Y1915">
        <v>-7.1033729999999996E-3</v>
      </c>
      <c r="Z1915">
        <v>8.880626E-4</v>
      </c>
      <c r="AA1915">
        <v>0.99997440000000004</v>
      </c>
      <c r="AB1915">
        <v>53</v>
      </c>
      <c r="AC1915">
        <v>-19.5426999999999</v>
      </c>
      <c r="AD1915">
        <v>-1.1091789751298</v>
      </c>
      <c r="AE1915">
        <v>-0.52600000000001002</v>
      </c>
      <c r="AF1915">
        <v>-0.141707553437038</v>
      </c>
      <c r="AG1915">
        <v>-1.1091789751298</v>
      </c>
      <c r="AH1915">
        <v>19.486533612508801</v>
      </c>
      <c r="AI1915">
        <v>93.257690660930507</v>
      </c>
      <c r="AJ1915">
        <v>90.416651918677502</v>
      </c>
      <c r="AK1915">
        <v>19.518589889154601</v>
      </c>
      <c r="AL1915">
        <v>86.908392406698795</v>
      </c>
      <c r="AM1915">
        <v>89.858366589760095</v>
      </c>
      <c r="AN1915">
        <v>0.99999997000863505</v>
      </c>
    </row>
    <row r="1916" spans="1:40" x14ac:dyDescent="0.25">
      <c r="A1916" t="str">
        <f>"20190312151304261"</f>
        <v>20190312151304261</v>
      </c>
      <c r="B1916" t="str">
        <f>"1552374784251710"</f>
        <v>1552374784251710</v>
      </c>
      <c r="C1916" t="s">
        <v>40</v>
      </c>
      <c r="D1916">
        <v>4.6123450000000004</v>
      </c>
      <c r="E1916">
        <v>0.49687300000000001</v>
      </c>
      <c r="F1916" t="s">
        <v>54</v>
      </c>
      <c r="G1916">
        <v>-381.6232</v>
      </c>
      <c r="H1916" s="1">
        <v>-6.7300250000000002E-7</v>
      </c>
      <c r="I1916">
        <v>281.86610000000002</v>
      </c>
      <c r="J1916">
        <v>-362.04129999999998</v>
      </c>
      <c r="K1916">
        <v>1.1092139999999999</v>
      </c>
      <c r="L1916">
        <v>282.4083</v>
      </c>
      <c r="M1916">
        <v>-0.99972209999999995</v>
      </c>
      <c r="N1916">
        <v>0</v>
      </c>
      <c r="O1916">
        <v>-1.9632460000000001E-2</v>
      </c>
      <c r="P1916">
        <v>-0.99899499999999997</v>
      </c>
      <c r="Q1916">
        <v>4.1341629999999997E-2</v>
      </c>
      <c r="R1916">
        <v>-1.7322830000000001E-2</v>
      </c>
      <c r="S1916">
        <v>-3.0084230000000001</v>
      </c>
      <c r="T1916">
        <v>-0.1659281</v>
      </c>
      <c r="U1916">
        <v>-8.2672120000000002E-2</v>
      </c>
      <c r="V1916">
        <v>2.2973009999999999E-3</v>
      </c>
      <c r="W1916">
        <v>5.4379629999999998E-2</v>
      </c>
      <c r="X1916">
        <v>0.99851769999999995</v>
      </c>
      <c r="Y1916">
        <v>-7.8557160000000004E-3</v>
      </c>
      <c r="Z1916">
        <v>8.6532600000000003E-4</v>
      </c>
      <c r="AA1916">
        <v>0.99996879999999999</v>
      </c>
      <c r="AB1916">
        <v>53</v>
      </c>
      <c r="AC1916">
        <v>-19.581900000000001</v>
      </c>
      <c r="AD1916">
        <v>-1.1092146730025001</v>
      </c>
      <c r="AE1916">
        <v>-0.54219999999997903</v>
      </c>
      <c r="AF1916">
        <v>-0.15711812543235801</v>
      </c>
      <c r="AG1916">
        <v>-1.1092146730025001</v>
      </c>
      <c r="AH1916">
        <v>19.526166337424801</v>
      </c>
      <c r="AI1916">
        <v>93.251177812397799</v>
      </c>
      <c r="AJ1916">
        <v>90.461022969697893</v>
      </c>
      <c r="AK1916">
        <v>19.558277407096099</v>
      </c>
      <c r="AL1916">
        <v>86.882739084889906</v>
      </c>
      <c r="AM1916">
        <v>89.868179182673998</v>
      </c>
      <c r="AN1916">
        <v>1.00000000948205</v>
      </c>
    </row>
    <row r="1917" spans="1:40" x14ac:dyDescent="0.25">
      <c r="A1917" t="str">
        <f>"20190312151304283"</f>
        <v>20190312151304283</v>
      </c>
      <c r="B1917" t="str">
        <f>"1552374784272205"</f>
        <v>1552374784272205</v>
      </c>
      <c r="C1917" t="s">
        <v>40</v>
      </c>
      <c r="D1917">
        <v>4.6296010000000001</v>
      </c>
      <c r="E1917">
        <v>0.49676759999999898</v>
      </c>
      <c r="F1917" t="s">
        <v>54</v>
      </c>
      <c r="G1917">
        <v>-382.47699999999998</v>
      </c>
      <c r="H1917" s="1">
        <v>-2.1866940000000001E-7</v>
      </c>
      <c r="I1917">
        <v>281.84339999999997</v>
      </c>
      <c r="J1917">
        <v>-362.56569999999999</v>
      </c>
      <c r="K1917">
        <v>1.1092439999999999</v>
      </c>
      <c r="L1917">
        <v>282.39800000000002</v>
      </c>
      <c r="M1917">
        <v>-0.99971880000000002</v>
      </c>
      <c r="N1917">
        <v>0</v>
      </c>
      <c r="O1917">
        <v>-1.9630620000000001E-2</v>
      </c>
      <c r="P1917">
        <v>-0.99900230000000001</v>
      </c>
      <c r="Q1917">
        <v>4.0975820000000003E-2</v>
      </c>
      <c r="R1917">
        <v>-1.7771060000000002E-2</v>
      </c>
      <c r="S1917">
        <v>-3.0083009999999999</v>
      </c>
      <c r="T1917">
        <v>-0.1632855</v>
      </c>
      <c r="U1917">
        <v>-8.3160399999999995E-2</v>
      </c>
      <c r="V1917">
        <v>1.847553E-3</v>
      </c>
      <c r="W1917">
        <v>5.4265840000000003E-2</v>
      </c>
      <c r="X1917">
        <v>0.99852479999999999</v>
      </c>
      <c r="Y1917">
        <v>-8.019979E-3</v>
      </c>
      <c r="Z1917">
        <v>8.4704720000000004E-4</v>
      </c>
      <c r="AA1917">
        <v>0.99996750000000001</v>
      </c>
      <c r="AB1917">
        <v>53</v>
      </c>
      <c r="AC1917">
        <v>-19.911299999999901</v>
      </c>
      <c r="AD1917">
        <v>-1.10924421866939</v>
      </c>
      <c r="AE1917">
        <v>-0.55459999999999299</v>
      </c>
      <c r="AF1917">
        <v>-0.16308162192045</v>
      </c>
      <c r="AG1917">
        <v>-1.10924421866939</v>
      </c>
      <c r="AH1917">
        <v>19.856772337702498</v>
      </c>
      <c r="AI1917">
        <v>93.197241131342807</v>
      </c>
      <c r="AJ1917">
        <v>90.470553744325002</v>
      </c>
      <c r="AK1917">
        <v>19.888399282581901</v>
      </c>
      <c r="AL1917">
        <v>86.889268338006204</v>
      </c>
      <c r="AM1917">
        <v>89.893986740714993</v>
      </c>
      <c r="AN1917">
        <v>0.99999998552901603</v>
      </c>
    </row>
    <row r="1918" spans="1:40" x14ac:dyDescent="0.25">
      <c r="A1918" t="str">
        <f>"20190312151304307"</f>
        <v>20190312151304307</v>
      </c>
      <c r="B1918" t="str">
        <f>"1552374784301487"</f>
        <v>1552374784301487</v>
      </c>
      <c r="C1918" t="s">
        <v>40</v>
      </c>
      <c r="D1918">
        <v>4.5914400000000004</v>
      </c>
      <c r="E1918">
        <v>0.49672719999999998</v>
      </c>
      <c r="F1918" t="s">
        <v>54</v>
      </c>
      <c r="G1918">
        <v>-382.95</v>
      </c>
      <c r="H1918" s="1">
        <v>3.3049159999999998E-8</v>
      </c>
      <c r="I1918">
        <v>281.81720000000001</v>
      </c>
      <c r="J1918">
        <v>-363.1069</v>
      </c>
      <c r="K1918">
        <v>1.1092690000000001</v>
      </c>
      <c r="L1918">
        <v>282.38740000000001</v>
      </c>
      <c r="M1918">
        <v>-0.99971569999999998</v>
      </c>
      <c r="N1918">
        <v>0</v>
      </c>
      <c r="O1918">
        <v>-1.9628940000000001E-2</v>
      </c>
      <c r="P1918">
        <v>-0.99899300000000002</v>
      </c>
      <c r="Q1918">
        <v>4.1078900000000002E-2</v>
      </c>
      <c r="R1918">
        <v>-1.8048160000000001E-2</v>
      </c>
      <c r="S1918">
        <v>-3.0082089999999999</v>
      </c>
      <c r="T1918">
        <v>-0.163696799999999</v>
      </c>
      <c r="U1918">
        <v>-8.5723880000000002E-2</v>
      </c>
      <c r="V1918">
        <v>1.568612E-3</v>
      </c>
      <c r="W1918">
        <v>5.4603890000000002E-2</v>
      </c>
      <c r="X1918">
        <v>0.99850680000000003</v>
      </c>
      <c r="Y1918">
        <v>-8.87271699999999E-3</v>
      </c>
      <c r="Z1918">
        <v>8.2592349999999995E-4</v>
      </c>
      <c r="AA1918">
        <v>0.99996030000000002</v>
      </c>
      <c r="AB1918">
        <v>53</v>
      </c>
      <c r="AC1918">
        <v>-19.8431</v>
      </c>
      <c r="AD1918">
        <v>-1.10926896695084</v>
      </c>
      <c r="AE1918">
        <v>-0.57019999999999904</v>
      </c>
      <c r="AF1918">
        <v>-0.17999339329810399</v>
      </c>
      <c r="AG1918">
        <v>-1.10926896695084</v>
      </c>
      <c r="AH1918">
        <v>19.788680382475199</v>
      </c>
      <c r="AI1918">
        <v>93.2082667199859</v>
      </c>
      <c r="AJ1918">
        <v>90.521135173538596</v>
      </c>
      <c r="AK1918">
        <v>19.820563729178598</v>
      </c>
      <c r="AL1918">
        <v>86.869870588506799</v>
      </c>
      <c r="AM1918">
        <v>89.909990824940394</v>
      </c>
      <c r="AN1918">
        <v>0.99999993749648697</v>
      </c>
    </row>
    <row r="1919" spans="1:40" x14ac:dyDescent="0.25">
      <c r="A1919" t="str">
        <f>"20190312151304330"</f>
        <v>20190312151304330</v>
      </c>
      <c r="B1919" t="str">
        <f>"1552374784321981"</f>
        <v>1552374784321981</v>
      </c>
      <c r="C1919" t="s">
        <v>40</v>
      </c>
      <c r="D1919">
        <v>4.6151390000000001</v>
      </c>
      <c r="E1919">
        <v>0.49666169999999998</v>
      </c>
      <c r="F1919" t="s">
        <v>54</v>
      </c>
      <c r="G1919">
        <v>-383.91129999999998</v>
      </c>
      <c r="H1919" s="1">
        <v>5.4461319999999997E-7</v>
      </c>
      <c r="I1919">
        <v>281.78710000000001</v>
      </c>
      <c r="J1919">
        <v>-363.6524</v>
      </c>
      <c r="K1919">
        <v>1.109291</v>
      </c>
      <c r="L1919">
        <v>282.37670000000003</v>
      </c>
      <c r="M1919">
        <v>-0.99971279999999996</v>
      </c>
      <c r="N1919">
        <v>0</v>
      </c>
      <c r="O1919">
        <v>-1.9627120000000001E-2</v>
      </c>
      <c r="P1919">
        <v>-0.99898140000000002</v>
      </c>
      <c r="Q1919">
        <v>4.1161610000000001E-2</v>
      </c>
      <c r="R1919">
        <v>-1.8486679999999998E-2</v>
      </c>
      <c r="S1919">
        <v>-3.0081180000000001</v>
      </c>
      <c r="T1919">
        <v>-0.1603898</v>
      </c>
      <c r="U1919">
        <v>-8.6791989999999999E-2</v>
      </c>
      <c r="V1919">
        <v>1.128195E-3</v>
      </c>
      <c r="W1919">
        <v>5.48967E-2</v>
      </c>
      <c r="X1919">
        <v>0.99849140000000003</v>
      </c>
      <c r="Y1919">
        <v>-9.2289750000000004E-3</v>
      </c>
      <c r="Z1919">
        <v>7.9969899999999996E-4</v>
      </c>
      <c r="AA1919">
        <v>0.99995710000000004</v>
      </c>
      <c r="AB1919">
        <v>53</v>
      </c>
      <c r="AC1919">
        <v>-20.258899999999901</v>
      </c>
      <c r="AD1919">
        <v>-1.1092904553867999</v>
      </c>
      <c r="AE1919">
        <v>-0.589600000000018</v>
      </c>
      <c r="AF1919">
        <v>-0.19125201861114199</v>
      </c>
      <c r="AG1919">
        <v>-1.1092904553867999</v>
      </c>
      <c r="AH1919">
        <v>20.206039791904502</v>
      </c>
      <c r="AI1919">
        <v>93.142183570904294</v>
      </c>
      <c r="AJ1919">
        <v>90.542293610585901</v>
      </c>
      <c r="AK1919">
        <v>20.237370054457799</v>
      </c>
      <c r="AL1919">
        <v>86.853068799703905</v>
      </c>
      <c r="AM1919">
        <v>89.935261551116596</v>
      </c>
      <c r="AN1919">
        <v>0.99999999818440399</v>
      </c>
    </row>
    <row r="1920" spans="1:40" x14ac:dyDescent="0.25">
      <c r="A1920" t="str">
        <f>"20190312151304351"</f>
        <v>20190312151304351</v>
      </c>
      <c r="B1920" t="str">
        <f>"1552374784341502"</f>
        <v>1552374784341502</v>
      </c>
      <c r="C1920" t="s">
        <v>40</v>
      </c>
      <c r="D1920">
        <v>4.6064319999999999</v>
      </c>
      <c r="E1920">
        <v>0.49637189999999998</v>
      </c>
      <c r="F1920" t="s">
        <v>54</v>
      </c>
      <c r="G1920">
        <v>-384.61180000000002</v>
      </c>
      <c r="H1920" s="1">
        <v>9.1736499999999998E-7</v>
      </c>
      <c r="I1920">
        <v>281.7602</v>
      </c>
      <c r="J1920">
        <v>-364.14440000000002</v>
      </c>
      <c r="K1920">
        <v>1.1093090000000001</v>
      </c>
      <c r="L1920">
        <v>282.36700000000002</v>
      </c>
      <c r="M1920">
        <v>-0.9997106</v>
      </c>
      <c r="N1920">
        <v>0</v>
      </c>
      <c r="O1920">
        <v>-1.9625650000000001E-2</v>
      </c>
      <c r="P1920">
        <v>-0.99897659999999999</v>
      </c>
      <c r="Q1920">
        <v>4.1437769999999999E-2</v>
      </c>
      <c r="R1920">
        <v>-1.8131089999999999E-2</v>
      </c>
      <c r="S1920">
        <v>-3.007965</v>
      </c>
      <c r="T1920">
        <v>-0.15919849999999999</v>
      </c>
      <c r="U1920">
        <v>-8.8470460000000001E-2</v>
      </c>
      <c r="V1920">
        <v>1.482351E-3</v>
      </c>
      <c r="W1920">
        <v>5.5341870000000001E-2</v>
      </c>
      <c r="X1920">
        <v>0.99846639999999998</v>
      </c>
      <c r="Y1920">
        <v>-9.7883759999999997E-3</v>
      </c>
      <c r="Z1920">
        <v>7.7893459999999999E-4</v>
      </c>
      <c r="AA1920">
        <v>0.99995179999999995</v>
      </c>
      <c r="AB1920">
        <v>53</v>
      </c>
      <c r="AC1920">
        <v>-20.467400000000001</v>
      </c>
      <c r="AD1920">
        <v>-1.1093080826349999</v>
      </c>
      <c r="AE1920">
        <v>-0.60680000000002099</v>
      </c>
      <c r="AF1920">
        <v>-0.20435842182776501</v>
      </c>
      <c r="AG1920">
        <v>-1.1093080826349999</v>
      </c>
      <c r="AH1920">
        <v>20.415449306846298</v>
      </c>
      <c r="AI1920">
        <v>93.110049376460296</v>
      </c>
      <c r="AJ1920">
        <v>90.573510964674895</v>
      </c>
      <c r="AK1920">
        <v>20.446586443394001</v>
      </c>
      <c r="AL1920">
        <v>86.827523722757405</v>
      </c>
      <c r="AM1920">
        <v>89.914937153962597</v>
      </c>
      <c r="AN1920">
        <v>1.00000003593427</v>
      </c>
    </row>
    <row r="1921" spans="1:40" x14ac:dyDescent="0.25">
      <c r="A1921" t="str">
        <f>"20190312151304373"</f>
        <v>20190312151304373</v>
      </c>
      <c r="B1921" t="str">
        <f>"1552374784361998"</f>
        <v>1552374784361998</v>
      </c>
      <c r="C1921" t="s">
        <v>40</v>
      </c>
      <c r="D1921">
        <v>4.571078</v>
      </c>
      <c r="E1921">
        <v>0.4836936</v>
      </c>
      <c r="F1921" t="s">
        <v>54</v>
      </c>
      <c r="G1921">
        <v>-385.35059999999999</v>
      </c>
      <c r="H1921" s="1">
        <v>1.310522E-6</v>
      </c>
      <c r="I1921">
        <v>281.73489999999998</v>
      </c>
      <c r="J1921">
        <v>-364.6789</v>
      </c>
      <c r="K1921">
        <v>1.1093189999999999</v>
      </c>
      <c r="L1921">
        <v>282.35649999999998</v>
      </c>
      <c r="M1921">
        <v>-0.99970820000000005</v>
      </c>
      <c r="N1921">
        <v>0</v>
      </c>
      <c r="O1921">
        <v>-1.9623789999999999E-2</v>
      </c>
      <c r="P1921">
        <v>-0.99899020000000005</v>
      </c>
      <c r="Q1921">
        <v>4.097315E-2</v>
      </c>
      <c r="R1921">
        <v>-1.8436810000000001E-2</v>
      </c>
      <c r="S1921">
        <v>-3.007965</v>
      </c>
      <c r="T1921">
        <v>-0.1573483</v>
      </c>
      <c r="U1921">
        <v>-8.966064E-2</v>
      </c>
      <c r="V1921">
        <v>1.17512E-3</v>
      </c>
      <c r="W1921">
        <v>5.5041439999999997E-2</v>
      </c>
      <c r="X1921">
        <v>0.99848340000000002</v>
      </c>
      <c r="Y1921">
        <v>-1.018464E-2</v>
      </c>
      <c r="Z1921">
        <v>7.5943880000000003E-4</v>
      </c>
      <c r="AA1921">
        <v>0.99994780000000005</v>
      </c>
      <c r="AB1921">
        <v>53</v>
      </c>
      <c r="AC1921">
        <v>-20.671699999999898</v>
      </c>
      <c r="AD1921">
        <v>-1.1093176894779999</v>
      </c>
      <c r="AE1921">
        <v>-0.62160000000000004</v>
      </c>
      <c r="AF1921">
        <v>-0.21516386137466501</v>
      </c>
      <c r="AG1921">
        <v>-1.1093176894779999</v>
      </c>
      <c r="AH1921">
        <v>20.620588782501301</v>
      </c>
      <c r="AI1921">
        <v>93.079182840663606</v>
      </c>
      <c r="AJ1921">
        <v>90.597826468882801</v>
      </c>
      <c r="AK1921">
        <v>20.651526891744599</v>
      </c>
      <c r="AL1921">
        <v>86.844763321684198</v>
      </c>
      <c r="AM1921">
        <v>89.932568347820904</v>
      </c>
      <c r="AN1921">
        <v>1.00000002054992</v>
      </c>
    </row>
    <row r="1922" spans="1:40" x14ac:dyDescent="0.25">
      <c r="A1922" t="str">
        <f>"20190312151304395"</f>
        <v>20190312151304395</v>
      </c>
      <c r="B1922" t="str">
        <f>"1552374784392254"</f>
        <v>1552374784392254</v>
      </c>
      <c r="C1922" t="s">
        <v>40</v>
      </c>
      <c r="D1922">
        <v>4.5307930000000001</v>
      </c>
      <c r="E1922">
        <v>0.48318159999999999</v>
      </c>
      <c r="F1922" t="s">
        <v>54</v>
      </c>
      <c r="G1922">
        <v>-386.3734</v>
      </c>
      <c r="H1922" s="1">
        <v>1.854845E-6</v>
      </c>
      <c r="I1922">
        <v>280.97379999999998</v>
      </c>
      <c r="J1922">
        <v>-365.1816</v>
      </c>
      <c r="K1922">
        <v>1.1093280000000001</v>
      </c>
      <c r="L1922">
        <v>282.34660000000002</v>
      </c>
      <c r="M1922">
        <v>-0.9997064</v>
      </c>
      <c r="N1922">
        <v>0</v>
      </c>
      <c r="O1922">
        <v>-1.9622110000000002E-2</v>
      </c>
      <c r="P1922">
        <v>-0.99898180000000003</v>
      </c>
      <c r="Q1922">
        <v>4.1104960000000003E-2</v>
      </c>
      <c r="R1922">
        <v>-1.86021E-2</v>
      </c>
      <c r="S1922">
        <v>-3.0058289999999999</v>
      </c>
      <c r="T1922">
        <v>-0.15369829999999901</v>
      </c>
      <c r="U1922">
        <v>-0.19158939999999999</v>
      </c>
      <c r="V1922">
        <v>1.008124E-3</v>
      </c>
      <c r="W1922">
        <v>5.5309490000000003E-2</v>
      </c>
      <c r="X1922">
        <v>0.99846880000000005</v>
      </c>
      <c r="Y1922">
        <v>-4.3981909999999999E-2</v>
      </c>
      <c r="Z1922">
        <v>-1.21029E-4</v>
      </c>
      <c r="AA1922">
        <v>0.99903229999999998</v>
      </c>
      <c r="AB1922">
        <v>53</v>
      </c>
      <c r="AC1922">
        <v>-21.191800000000001</v>
      </c>
      <c r="AD1922">
        <v>-1.1093261451549901</v>
      </c>
      <c r="AE1922">
        <v>-1.37280000000004</v>
      </c>
      <c r="AF1922">
        <v>-0.95406238471930305</v>
      </c>
      <c r="AG1922">
        <v>-1.1093261451549901</v>
      </c>
      <c r="AH1922">
        <v>21.1569270115086</v>
      </c>
      <c r="AI1922">
        <v>92.998413011551094</v>
      </c>
      <c r="AJ1922">
        <v>92.581978936829003</v>
      </c>
      <c r="AK1922">
        <v>21.207460953649299</v>
      </c>
      <c r="AL1922">
        <v>86.8293818514923</v>
      </c>
      <c r="AM1922">
        <v>89.942150189572303</v>
      </c>
      <c r="AN1922">
        <v>1.00000005028574</v>
      </c>
    </row>
    <row r="1923" spans="1:40" x14ac:dyDescent="0.25">
      <c r="A1923" t="str">
        <f>"20190312151304418"</f>
        <v>20190312151304418</v>
      </c>
      <c r="B1923" t="str">
        <f>"1552374784411777"</f>
        <v>1552374784411777</v>
      </c>
      <c r="C1923" t="s">
        <v>40</v>
      </c>
      <c r="D1923">
        <v>4.5154969999999999</v>
      </c>
      <c r="E1923">
        <v>0.48316189999999998</v>
      </c>
      <c r="F1923" t="s">
        <v>54</v>
      </c>
      <c r="G1923">
        <v>-386.56709999999998</v>
      </c>
      <c r="H1923" s="1">
        <v>1.9578970000000001E-6</v>
      </c>
      <c r="I1923">
        <v>280.94990000000001</v>
      </c>
      <c r="J1923">
        <v>-365.71879999999999</v>
      </c>
      <c r="K1923">
        <v>1.1093409999999999</v>
      </c>
      <c r="L1923">
        <v>282.33609999999999</v>
      </c>
      <c r="M1923">
        <v>-0.9997047</v>
      </c>
      <c r="N1923">
        <v>0</v>
      </c>
      <c r="O1923">
        <v>-1.962038E-2</v>
      </c>
      <c r="P1923">
        <v>-0.99897190000000002</v>
      </c>
      <c r="Q1923">
        <v>4.104679E-2</v>
      </c>
      <c r="R1923">
        <v>-1.9247589999999998E-2</v>
      </c>
      <c r="S1923">
        <v>-3.0058289999999999</v>
      </c>
      <c r="T1923">
        <v>-0.155921</v>
      </c>
      <c r="U1923">
        <v>-0.19631960000000001</v>
      </c>
      <c r="V1923">
        <v>3.6083090000000001E-4</v>
      </c>
      <c r="W1923">
        <v>5.5379480000000002E-2</v>
      </c>
      <c r="X1923">
        <v>0.9984653</v>
      </c>
      <c r="Y1923">
        <v>-4.5546179999999999E-2</v>
      </c>
      <c r="Z1923">
        <v>-1.6336359999999999E-4</v>
      </c>
      <c r="AA1923">
        <v>0.99896220000000002</v>
      </c>
      <c r="AB1923">
        <v>53</v>
      </c>
      <c r="AC1923">
        <v>-20.848299999999899</v>
      </c>
      <c r="AD1923">
        <v>-1.1093390421029901</v>
      </c>
      <c r="AE1923">
        <v>-1.3861999999999699</v>
      </c>
      <c r="AF1923">
        <v>-0.97409366696232103</v>
      </c>
      <c r="AG1923">
        <v>-1.1093390421029901</v>
      </c>
      <c r="AH1923">
        <v>20.812818323365299</v>
      </c>
      <c r="AI1923">
        <v>93.047691680761801</v>
      </c>
      <c r="AJ1923">
        <v>92.679635081115805</v>
      </c>
      <c r="AK1923">
        <v>20.865111984932199</v>
      </c>
      <c r="AL1923">
        <v>86.825365360597203</v>
      </c>
      <c r="AM1923">
        <v>89.979294135922501</v>
      </c>
      <c r="AN1923">
        <v>0.99999998615404895</v>
      </c>
    </row>
    <row r="1924" spans="1:40" x14ac:dyDescent="0.25">
      <c r="A1924" t="str">
        <f>"20190312151304441"</f>
        <v>20190312151304441</v>
      </c>
      <c r="B1924" t="str">
        <f>"1552374784432273"</f>
        <v>1552374784432273</v>
      </c>
      <c r="C1924" t="s">
        <v>40</v>
      </c>
      <c r="D1924">
        <v>4.5104439999999997</v>
      </c>
      <c r="E1924">
        <v>0.48323240000000001</v>
      </c>
      <c r="F1924" t="s">
        <v>54</v>
      </c>
      <c r="G1924">
        <v>-386.85390000000001</v>
      </c>
      <c r="H1924" s="1">
        <v>2.1105189999999998E-6</v>
      </c>
      <c r="I1924">
        <v>280.94110000000001</v>
      </c>
      <c r="J1924">
        <v>-366.25920000000002</v>
      </c>
      <c r="K1924">
        <v>1.1093459999999999</v>
      </c>
      <c r="L1924">
        <v>282.32549999999998</v>
      </c>
      <c r="M1924">
        <v>-0.99970300000000001</v>
      </c>
      <c r="N1924">
        <v>0</v>
      </c>
      <c r="O1924">
        <v>-1.9618420000000001E-2</v>
      </c>
      <c r="P1924">
        <v>-0.9989751</v>
      </c>
      <c r="Q1924">
        <v>4.0507769999999999E-2</v>
      </c>
      <c r="R1924">
        <v>-2.0196140000000001E-2</v>
      </c>
      <c r="S1924">
        <v>-3.0057369999999999</v>
      </c>
      <c r="T1924">
        <v>-0.15776490000000001</v>
      </c>
      <c r="U1924">
        <v>-0.19839480000000001</v>
      </c>
      <c r="V1924">
        <v>-5.8925779999999999E-4</v>
      </c>
      <c r="W1924">
        <v>5.4952889999999997E-2</v>
      </c>
      <c r="X1924">
        <v>0.99848879999999995</v>
      </c>
      <c r="Y1924">
        <v>-4.6235030000000003E-2</v>
      </c>
      <c r="Z1924">
        <v>-1.8344269999999999E-4</v>
      </c>
      <c r="AA1924">
        <v>0.9989306</v>
      </c>
      <c r="AB1924">
        <v>52</v>
      </c>
      <c r="AC1924">
        <v>-20.5946999999999</v>
      </c>
      <c r="AD1924">
        <v>-1.1093438894809999</v>
      </c>
      <c r="AE1924">
        <v>-1.3843999999999701</v>
      </c>
      <c r="AF1924">
        <v>-0.97723311467198704</v>
      </c>
      <c r="AG1924">
        <v>-1.1093438894809999</v>
      </c>
      <c r="AH1924">
        <v>20.55851604962</v>
      </c>
      <c r="AI1924">
        <v>93.085225684588906</v>
      </c>
      <c r="AJ1924">
        <v>92.721461955861301</v>
      </c>
      <c r="AK1924">
        <v>20.611603784956198</v>
      </c>
      <c r="AL1924">
        <v>86.849844568966205</v>
      </c>
      <c r="AM1924">
        <v>90.033813079391194</v>
      </c>
      <c r="AN1924">
        <v>1.0000000255347701</v>
      </c>
    </row>
    <row r="1925" spans="1:40" x14ac:dyDescent="0.25">
      <c r="A1925" t="str">
        <f>"20190312151304462"</f>
        <v>20190312151304462</v>
      </c>
      <c r="B1925" t="str">
        <f>"1552374784451791"</f>
        <v>1552374784451791</v>
      </c>
      <c r="C1925" t="s">
        <v>40</v>
      </c>
      <c r="D1925">
        <v>4.4987069999999996</v>
      </c>
      <c r="E1925">
        <v>0.48325430000000003</v>
      </c>
      <c r="F1925" t="s">
        <v>54</v>
      </c>
      <c r="G1925">
        <v>-387.31369999999998</v>
      </c>
      <c r="H1925" s="1">
        <v>2.3552130000000001E-6</v>
      </c>
      <c r="I1925">
        <v>280.9194</v>
      </c>
      <c r="J1925">
        <v>-366.76429999999999</v>
      </c>
      <c r="K1925">
        <v>1.109353</v>
      </c>
      <c r="L1925">
        <v>282.31560000000002</v>
      </c>
      <c r="M1925">
        <v>-0.99970170000000003</v>
      </c>
      <c r="N1925">
        <v>0</v>
      </c>
      <c r="O1925">
        <v>-1.9616689999999999E-2</v>
      </c>
      <c r="P1925">
        <v>-0.99895290000000003</v>
      </c>
      <c r="Q1925">
        <v>4.0724679999999999E-2</v>
      </c>
      <c r="R1925">
        <v>-2.0853770000000001E-2</v>
      </c>
      <c r="S1925">
        <v>-3.0054319999999999</v>
      </c>
      <c r="T1925">
        <v>-0.15835360000000001</v>
      </c>
      <c r="U1925">
        <v>-0.20071410000000001</v>
      </c>
      <c r="V1925">
        <v>-1.2491339999999901E-3</v>
      </c>
      <c r="W1925">
        <v>5.526093E-2</v>
      </c>
      <c r="X1925">
        <v>0.99847109999999994</v>
      </c>
      <c r="Y1925">
        <v>-4.7009549999999997E-2</v>
      </c>
      <c r="Z1925">
        <v>-2.045998E-4</v>
      </c>
      <c r="AA1925">
        <v>0.99889439999999996</v>
      </c>
      <c r="AB1925">
        <v>52</v>
      </c>
      <c r="AC1925">
        <v>-20.549399999999899</v>
      </c>
      <c r="AD1925">
        <v>-1.1093506447870001</v>
      </c>
      <c r="AE1925">
        <v>-1.3962000000000201</v>
      </c>
      <c r="AF1925">
        <v>-0.98990573352368605</v>
      </c>
      <c r="AG1925">
        <v>-1.1093506447870001</v>
      </c>
      <c r="AH1925">
        <v>20.513328658911401</v>
      </c>
      <c r="AI1925">
        <v>93.091920991826896</v>
      </c>
      <c r="AJ1925">
        <v>92.762762536513307</v>
      </c>
      <c r="AK1925">
        <v>20.567139443366099</v>
      </c>
      <c r="AL1925">
        <v>86.832168027793202</v>
      </c>
      <c r="AM1925">
        <v>90.071679659939804</v>
      </c>
      <c r="AN1925">
        <v>0.99999993412771004</v>
      </c>
    </row>
    <row r="1926" spans="1:40" x14ac:dyDescent="0.25">
      <c r="A1926" t="str">
        <f>"20190312151304485"</f>
        <v>20190312151304485</v>
      </c>
      <c r="B1926" t="str">
        <f>"1552374784482046"</f>
        <v>1552374784482046</v>
      </c>
      <c r="C1926" t="s">
        <v>40</v>
      </c>
      <c r="D1926">
        <v>4.7551069999999998</v>
      </c>
      <c r="E1926">
        <v>0.4853016</v>
      </c>
      <c r="F1926" t="s">
        <v>54</v>
      </c>
      <c r="G1926">
        <v>-387.95499999999998</v>
      </c>
      <c r="H1926" s="1">
        <v>2.6964359999999999E-6</v>
      </c>
      <c r="I1926">
        <v>280.88659999999999</v>
      </c>
      <c r="J1926">
        <v>-367.27929999999998</v>
      </c>
      <c r="K1926">
        <v>1.1093630000000001</v>
      </c>
      <c r="L1926">
        <v>282.30549999999999</v>
      </c>
      <c r="M1926">
        <v>-0.99970060000000005</v>
      </c>
      <c r="N1926">
        <v>0</v>
      </c>
      <c r="O1926">
        <v>-1.9615E-2</v>
      </c>
      <c r="P1926">
        <v>-0.998946</v>
      </c>
      <c r="Q1926">
        <v>4.0589310000000003E-2</v>
      </c>
      <c r="R1926">
        <v>-2.1444689999999999E-2</v>
      </c>
      <c r="S1926">
        <v>-3.005341</v>
      </c>
      <c r="T1926">
        <v>-0.15733279999999999</v>
      </c>
      <c r="U1926">
        <v>-0.20266719999999999</v>
      </c>
      <c r="V1926">
        <v>-1.841894E-3</v>
      </c>
      <c r="W1926">
        <v>5.5206659999999998E-2</v>
      </c>
      <c r="X1926">
        <v>0.99847319999999995</v>
      </c>
      <c r="Y1926">
        <v>-4.7659079999999999E-2</v>
      </c>
      <c r="Z1926">
        <v>-2.203439E-4</v>
      </c>
      <c r="AA1926">
        <v>0.99886359999999996</v>
      </c>
      <c r="AB1926">
        <v>52</v>
      </c>
      <c r="AC1926">
        <v>-20.675699999999999</v>
      </c>
      <c r="AD1926">
        <v>-1.1093603035639901</v>
      </c>
      <c r="AE1926">
        <v>-1.4189000000000001</v>
      </c>
      <c r="AF1926">
        <v>-1.01013527173143</v>
      </c>
      <c r="AG1926">
        <v>-1.1093603035639901</v>
      </c>
      <c r="AH1926">
        <v>20.640413095243002</v>
      </c>
      <c r="AI1926">
        <v>93.072845566288905</v>
      </c>
      <c r="AJ1926">
        <v>92.801801849286903</v>
      </c>
      <c r="AK1926">
        <v>20.694871497368599</v>
      </c>
      <c r="AL1926">
        <v>86.835282272631801</v>
      </c>
      <c r="AM1926">
        <v>90.105694006411895</v>
      </c>
      <c r="AN1926">
        <v>0.99999994950005</v>
      </c>
    </row>
    <row r="1927" spans="1:40" x14ac:dyDescent="0.25">
      <c r="A1927" t="str">
        <f>"20190312151304508"</f>
        <v>20190312151304508</v>
      </c>
      <c r="B1927" t="str">
        <f>"1552374784501566"</f>
        <v>1552374784501566</v>
      </c>
      <c r="C1927" t="s">
        <v>40</v>
      </c>
      <c r="D1927">
        <v>4.4990809999999897</v>
      </c>
      <c r="E1927">
        <v>0.48529129999999998</v>
      </c>
      <c r="F1927" t="s">
        <v>54</v>
      </c>
      <c r="G1927">
        <v>-397.49669999999998</v>
      </c>
      <c r="H1927" s="1">
        <v>2.4525600000000002E-6</v>
      </c>
      <c r="I1927">
        <v>280.42349999999999</v>
      </c>
      <c r="J1927">
        <v>-367.81830000000002</v>
      </c>
      <c r="K1927">
        <v>1.10938</v>
      </c>
      <c r="L1927">
        <v>282.29500000000002</v>
      </c>
      <c r="M1927">
        <v>-0.99969949999999996</v>
      </c>
      <c r="N1927">
        <v>0</v>
      </c>
      <c r="O1927">
        <v>-1.9612649999999999E-2</v>
      </c>
      <c r="P1927">
        <v>-0.99887309999999996</v>
      </c>
      <c r="Q1927">
        <v>4.1867670000000003E-2</v>
      </c>
      <c r="R1927">
        <v>-2.2356689999999999E-2</v>
      </c>
      <c r="S1927">
        <v>-3.0036619999999998</v>
      </c>
      <c r="T1927">
        <v>-0.11027240000000001</v>
      </c>
      <c r="U1927">
        <v>-0.18707280000000001</v>
      </c>
      <c r="V1927">
        <v>-2.757242E-3</v>
      </c>
      <c r="W1927">
        <v>5.6556380000000003E-2</v>
      </c>
      <c r="X1927">
        <v>0.99839560000000005</v>
      </c>
      <c r="Y1927">
        <v>-4.255693E-2</v>
      </c>
      <c r="Z1927" s="1">
        <v>-6.1143069999999999E-5</v>
      </c>
      <c r="AA1927">
        <v>0.99909409999999998</v>
      </c>
      <c r="AB1927">
        <v>52</v>
      </c>
      <c r="AC1927">
        <v>-29.6783999999999</v>
      </c>
      <c r="AD1927">
        <v>-1.1093775474400001</v>
      </c>
      <c r="AE1927">
        <v>-1.8715000000000199</v>
      </c>
      <c r="AF1927">
        <v>-1.2872134755301099</v>
      </c>
      <c r="AG1927">
        <v>-1.1093775474400001</v>
      </c>
      <c r="AH1927">
        <v>29.668109345712701</v>
      </c>
      <c r="AI1927">
        <v>92.139448508299196</v>
      </c>
      <c r="AJ1927">
        <v>92.484340102353201</v>
      </c>
      <c r="AK1927">
        <v>29.716735171002799</v>
      </c>
      <c r="AL1927">
        <v>86.757828138582397</v>
      </c>
      <c r="AM1927">
        <v>90.158231795165193</v>
      </c>
      <c r="AN1927">
        <v>1.0000000003007501</v>
      </c>
    </row>
    <row r="1928" spans="1:40" x14ac:dyDescent="0.25">
      <c r="A1928" t="str">
        <f>"20190312151304530"</f>
        <v>20190312151304530</v>
      </c>
      <c r="B1928" t="str">
        <f>"1552374784522062"</f>
        <v>1552374784522062</v>
      </c>
      <c r="C1928" t="s">
        <v>40</v>
      </c>
      <c r="D1928">
        <v>4.4601810000000004</v>
      </c>
      <c r="E1928">
        <v>0.48419630000000002</v>
      </c>
      <c r="F1928" t="s">
        <v>54</v>
      </c>
      <c r="G1928">
        <v>-398.16359999999997</v>
      </c>
      <c r="H1928" s="1">
        <v>2.807499E-6</v>
      </c>
      <c r="I1928">
        <v>280.37729999999999</v>
      </c>
      <c r="J1928">
        <v>-368.35430000000002</v>
      </c>
      <c r="K1928">
        <v>1.1094139999999999</v>
      </c>
      <c r="L1928">
        <v>282.28440000000001</v>
      </c>
      <c r="M1928">
        <v>-0.9996988</v>
      </c>
      <c r="N1928">
        <v>0</v>
      </c>
      <c r="O1928">
        <v>-1.9609149999999999E-2</v>
      </c>
      <c r="P1928">
        <v>-0.99863659999999999</v>
      </c>
      <c r="Q1928">
        <v>4.6179060000000001E-2</v>
      </c>
      <c r="R1928">
        <v>-2.4343730000000001E-2</v>
      </c>
      <c r="S1928">
        <v>-3.0037229999999999</v>
      </c>
      <c r="T1928">
        <v>-0.1098113</v>
      </c>
      <c r="U1928">
        <v>-0.1898193</v>
      </c>
      <c r="V1928">
        <v>-4.7517059999999996E-3</v>
      </c>
      <c r="W1928">
        <v>6.0925699999999902E-2</v>
      </c>
      <c r="X1928">
        <v>0.99813099999999999</v>
      </c>
      <c r="Y1928">
        <v>-4.3468619999999999E-2</v>
      </c>
      <c r="Z1928" s="1">
        <v>-7.765653E-5</v>
      </c>
      <c r="AA1928">
        <v>0.99905480000000002</v>
      </c>
      <c r="AB1928">
        <v>52</v>
      </c>
      <c r="AC1928">
        <v>-29.809299999999901</v>
      </c>
      <c r="AD1928">
        <v>-1.109411192501</v>
      </c>
      <c r="AE1928">
        <v>-1.90710000000001</v>
      </c>
      <c r="AF1928">
        <v>-1.3203132155420101</v>
      </c>
      <c r="AG1928">
        <v>-1.109411192501</v>
      </c>
      <c r="AH1928">
        <v>29.799860195051799</v>
      </c>
      <c r="AI1928">
        <v>92.129977292853297</v>
      </c>
      <c r="AJ1928">
        <v>92.536888856741996</v>
      </c>
      <c r="AK1928">
        <v>29.8497183877137</v>
      </c>
      <c r="AL1928">
        <v>86.507051334920405</v>
      </c>
      <c r="AM1928">
        <v>90.272760431842997</v>
      </c>
      <c r="AN1928">
        <v>1.0000000063957</v>
      </c>
    </row>
    <row r="1929" spans="1:40" x14ac:dyDescent="0.25">
      <c r="A1929" t="str">
        <f>"20190312151304552"</f>
        <v>20190312151304552</v>
      </c>
      <c r="B1929" t="str">
        <f>"1552374784541582"</f>
        <v>1552374784541582</v>
      </c>
      <c r="C1929" t="s">
        <v>40</v>
      </c>
      <c r="D1929">
        <v>4.6639689999999998</v>
      </c>
      <c r="E1929">
        <v>0.48420289999999999</v>
      </c>
      <c r="F1929" t="s">
        <v>54</v>
      </c>
      <c r="G1929">
        <v>-392.15069999999997</v>
      </c>
      <c r="H1929" s="1">
        <v>-3.9229879999999997E-7</v>
      </c>
      <c r="I1929">
        <v>280.65910000000002</v>
      </c>
      <c r="J1929">
        <v>-368.85980000000001</v>
      </c>
      <c r="K1929">
        <v>1.1094409999999999</v>
      </c>
      <c r="L1929">
        <v>282.27449999999999</v>
      </c>
      <c r="M1929">
        <v>-0.99969810000000003</v>
      </c>
      <c r="N1929">
        <v>0</v>
      </c>
      <c r="O1929">
        <v>-1.9604010000000002E-2</v>
      </c>
      <c r="P1929">
        <v>-0.99851570000000001</v>
      </c>
      <c r="Q1929">
        <v>4.741095E-2</v>
      </c>
      <c r="R1929">
        <v>-2.6810960000000002E-2</v>
      </c>
      <c r="S1929">
        <v>-3.005585</v>
      </c>
      <c r="T1929">
        <v>-0.14012369999999999</v>
      </c>
      <c r="U1929">
        <v>-0.20529169999999999</v>
      </c>
      <c r="V1929">
        <v>-7.2255599999999998E-3</v>
      </c>
      <c r="W1929">
        <v>6.2206909999999997E-2</v>
      </c>
      <c r="X1929">
        <v>0.99803710000000001</v>
      </c>
      <c r="Y1929">
        <v>-4.853971E-2</v>
      </c>
      <c r="Z1929">
        <v>-2.172528E-4</v>
      </c>
      <c r="AA1929">
        <v>0.99882130000000002</v>
      </c>
      <c r="AB1929">
        <v>52</v>
      </c>
      <c r="AC1929">
        <v>-23.290899999999901</v>
      </c>
      <c r="AD1929">
        <v>-1.10944139229879</v>
      </c>
      <c r="AE1929">
        <v>-1.61539999999996</v>
      </c>
      <c r="AF1929">
        <v>-1.15583431496349</v>
      </c>
      <c r="AG1929">
        <v>-1.10944139229879</v>
      </c>
      <c r="AH1929">
        <v>23.265557804443301</v>
      </c>
      <c r="AI1929">
        <v>92.726780562290898</v>
      </c>
      <c r="AJ1929">
        <v>92.844119454937996</v>
      </c>
      <c r="AK1929">
        <v>23.320655932423701</v>
      </c>
      <c r="AL1929">
        <v>86.433503792937998</v>
      </c>
      <c r="AM1929">
        <v>90.414801072803897</v>
      </c>
      <c r="AN1929">
        <v>0.99999998067273499</v>
      </c>
    </row>
    <row r="1930" spans="1:40" x14ac:dyDescent="0.25">
      <c r="A1930" t="str">
        <f>"20190312151304573"</f>
        <v>20190312151304573</v>
      </c>
      <c r="B1930" t="str">
        <f>"1552374784562078"</f>
        <v>1552374784562078</v>
      </c>
      <c r="C1930" t="s">
        <v>40</v>
      </c>
      <c r="D1930">
        <v>4.8679009999999998</v>
      </c>
      <c r="E1930">
        <v>0.48410839999999999</v>
      </c>
      <c r="F1930" t="s">
        <v>55</v>
      </c>
      <c r="G1930">
        <v>-408.66910000000001</v>
      </c>
      <c r="H1930" s="1">
        <v>5.6133500000000002E-6</v>
      </c>
      <c r="I1930">
        <v>279.47840000000002</v>
      </c>
      <c r="J1930">
        <v>-369.36329999999998</v>
      </c>
      <c r="K1930">
        <v>1.109451</v>
      </c>
      <c r="L1930">
        <v>282.26459999999997</v>
      </c>
      <c r="M1930">
        <v>-0.99969770000000002</v>
      </c>
      <c r="N1930">
        <v>0</v>
      </c>
      <c r="O1930">
        <v>-1.9591730000000002E-2</v>
      </c>
      <c r="P1930">
        <v>-0.99838159999999998</v>
      </c>
      <c r="Q1930">
        <v>4.8439660000000002E-2</v>
      </c>
      <c r="R1930">
        <v>-2.980271E-2</v>
      </c>
      <c r="S1930">
        <v>-3.002777</v>
      </c>
      <c r="T1930">
        <v>-8.3683610000000005E-2</v>
      </c>
      <c r="U1930">
        <v>-0.21090700000000001</v>
      </c>
      <c r="V1930">
        <v>-1.02311E-2</v>
      </c>
      <c r="W1930">
        <v>6.3277699999999895E-2</v>
      </c>
      <c r="X1930">
        <v>0.99794349999999998</v>
      </c>
      <c r="Y1930">
        <v>-5.0493570000000002E-2</v>
      </c>
      <c r="Z1930">
        <v>-1.5743469999999999E-4</v>
      </c>
      <c r="AA1930">
        <v>0.99872439999999996</v>
      </c>
      <c r="AB1930">
        <v>52</v>
      </c>
      <c r="AC1930">
        <v>-39.305799999999998</v>
      </c>
      <c r="AD1930">
        <v>-1.10944538665</v>
      </c>
      <c r="AE1930">
        <v>-2.7861999999999498</v>
      </c>
      <c r="AF1930">
        <v>-2.0139150290396302</v>
      </c>
      <c r="AG1930">
        <v>-1.10944538665</v>
      </c>
      <c r="AH1930">
        <v>39.321675400854701</v>
      </c>
      <c r="AI1930">
        <v>91.6140344072913</v>
      </c>
      <c r="AJ1930">
        <v>92.931922300920604</v>
      </c>
      <c r="AK1930">
        <v>39.388842063969498</v>
      </c>
      <c r="AL1930">
        <v>86.372030943963793</v>
      </c>
      <c r="AM1930">
        <v>90.587386273021806</v>
      </c>
      <c r="AN1930">
        <v>0.99999998595837403</v>
      </c>
    </row>
    <row r="1931" spans="1:40" x14ac:dyDescent="0.25">
      <c r="A1931" t="str">
        <f>"20190312151304596"</f>
        <v>20190312151304596</v>
      </c>
      <c r="B1931" t="str">
        <f>"1552374784592334"</f>
        <v>1552374784592334</v>
      </c>
      <c r="C1931" t="s">
        <v>40</v>
      </c>
      <c r="D1931">
        <v>4.6041109999999996</v>
      </c>
      <c r="E1931">
        <v>0.48694270000000001</v>
      </c>
      <c r="F1931" t="s">
        <v>55</v>
      </c>
      <c r="G1931">
        <v>-405.59699999999998</v>
      </c>
      <c r="H1931">
        <v>6.6956929999999998E-2</v>
      </c>
      <c r="I1931">
        <v>279.59899999999999</v>
      </c>
      <c r="J1931">
        <v>-369.88839999999999</v>
      </c>
      <c r="K1931">
        <v>1.109445</v>
      </c>
      <c r="L1931">
        <v>282.2543</v>
      </c>
      <c r="M1931">
        <v>-0.99969759999999996</v>
      </c>
      <c r="N1931">
        <v>0</v>
      </c>
      <c r="O1931">
        <v>-1.9562510000000002E-2</v>
      </c>
      <c r="P1931">
        <v>-0.99827619999999895</v>
      </c>
      <c r="Q1931">
        <v>4.832471E-2</v>
      </c>
      <c r="R1931">
        <v>-3.3305880000000003E-2</v>
      </c>
      <c r="S1931">
        <v>-3.002472</v>
      </c>
      <c r="T1931">
        <v>-8.6385370000000003E-2</v>
      </c>
      <c r="U1931">
        <v>-0.2208862</v>
      </c>
      <c r="V1931">
        <v>-1.376338E-2</v>
      </c>
      <c r="W1931">
        <v>6.3201069999999998E-2</v>
      </c>
      <c r="X1931">
        <v>0.99790590000000001</v>
      </c>
      <c r="Y1931">
        <v>-5.3829759999999997E-2</v>
      </c>
      <c r="Z1931">
        <v>-2.1127470000000001E-4</v>
      </c>
      <c r="AA1931">
        <v>0.9985501</v>
      </c>
      <c r="AB1931">
        <v>52</v>
      </c>
      <c r="AC1931">
        <v>-35.708599999999898</v>
      </c>
      <c r="AD1931">
        <v>-1.0424880700000001</v>
      </c>
      <c r="AE1931">
        <v>-2.6553000000000102</v>
      </c>
      <c r="AF1931">
        <v>-1.95450767347995</v>
      </c>
      <c r="AG1931">
        <v>-1.0424880700000001</v>
      </c>
      <c r="AH1931">
        <v>35.723435297694799</v>
      </c>
      <c r="AI1931">
        <v>91.669047124744296</v>
      </c>
      <c r="AJ1931">
        <v>93.131655745119602</v>
      </c>
      <c r="AK1931">
        <v>35.7920481544487</v>
      </c>
      <c r="AL1931">
        <v>86.376430360332904</v>
      </c>
      <c r="AM1931">
        <v>90.790188321740104</v>
      </c>
      <c r="AN1931">
        <v>0.999999995566489</v>
      </c>
    </row>
    <row r="1932" spans="1:40" x14ac:dyDescent="0.25">
      <c r="A1932" t="str">
        <f>"20190312151304619"</f>
        <v>20190312151304619</v>
      </c>
      <c r="B1932" t="str">
        <f>"1552374784611857"</f>
        <v>1552374784611857</v>
      </c>
      <c r="C1932" t="s">
        <v>40</v>
      </c>
      <c r="D1932">
        <v>4.5691699999999997</v>
      </c>
      <c r="E1932">
        <v>0.48834959999999999</v>
      </c>
      <c r="F1932" t="s">
        <v>54</v>
      </c>
      <c r="G1932">
        <v>-393.31139999999999</v>
      </c>
      <c r="H1932" s="1">
        <v>2.2538E-7</v>
      </c>
      <c r="I1932">
        <v>280.61610000000002</v>
      </c>
      <c r="J1932">
        <v>-370.40699999999998</v>
      </c>
      <c r="K1932">
        <v>1.109421</v>
      </c>
      <c r="L1932">
        <v>282.24430000000001</v>
      </c>
      <c r="M1932">
        <v>-0.99969830000000004</v>
      </c>
      <c r="N1932">
        <v>0</v>
      </c>
      <c r="O1932">
        <v>-1.9505539999999998E-2</v>
      </c>
      <c r="P1932">
        <v>-0.9981757</v>
      </c>
      <c r="Q1932">
        <v>4.7796859999999997E-2</v>
      </c>
      <c r="R1932">
        <v>-3.6890069999999997E-2</v>
      </c>
      <c r="S1932">
        <v>-3.0050659999999998</v>
      </c>
      <c r="T1932">
        <v>-0.14233680000000001</v>
      </c>
      <c r="U1932">
        <v>-0.21017459999999999</v>
      </c>
      <c r="V1932">
        <v>-1.7402560000000001E-2</v>
      </c>
      <c r="W1932">
        <v>6.2706620000000005E-2</v>
      </c>
      <c r="X1932">
        <v>0.99788030000000005</v>
      </c>
      <c r="Y1932">
        <v>-5.0261889999999997E-2</v>
      </c>
      <c r="Z1932">
        <v>-2.6607550000000001E-4</v>
      </c>
      <c r="AA1932">
        <v>0.99873599999999996</v>
      </c>
      <c r="AB1932">
        <v>52</v>
      </c>
      <c r="AC1932">
        <v>-22.904399999999999</v>
      </c>
      <c r="AD1932">
        <v>-1.10942077462</v>
      </c>
      <c r="AE1932">
        <v>-1.6281999999999901</v>
      </c>
      <c r="AF1932">
        <v>-1.1783270607138301</v>
      </c>
      <c r="AG1932">
        <v>-1.10942077462</v>
      </c>
      <c r="AH1932">
        <v>22.878397752609899</v>
      </c>
      <c r="AI1932">
        <v>92.772546892022802</v>
      </c>
      <c r="AJ1932">
        <v>92.948351833239798</v>
      </c>
      <c r="AK1932">
        <v>22.9355695992882</v>
      </c>
      <c r="AL1932">
        <v>86.404816692991105</v>
      </c>
      <c r="AM1932">
        <v>90.999109988262902</v>
      </c>
      <c r="AN1932">
        <v>1.0000000312072299</v>
      </c>
    </row>
    <row r="1933" spans="1:40" x14ac:dyDescent="0.25">
      <c r="A1933" t="str">
        <f>"20190312151304653"</f>
        <v>20190312151304653</v>
      </c>
      <c r="B1933" t="str">
        <f>"1552374784641590"</f>
        <v>1552374784641590</v>
      </c>
      <c r="C1933" t="s">
        <v>40</v>
      </c>
      <c r="D1933">
        <v>4.3835480000000002</v>
      </c>
      <c r="E1933">
        <v>0.54408009999999996</v>
      </c>
      <c r="F1933" t="s">
        <v>54</v>
      </c>
      <c r="G1933">
        <v>-393.07569999999998</v>
      </c>
      <c r="H1933" s="1">
        <v>9.9968300000000002E-8</v>
      </c>
      <c r="I1933">
        <v>280.65730000000002</v>
      </c>
      <c r="J1933">
        <v>-371.19799999999998</v>
      </c>
      <c r="K1933">
        <v>1.109359</v>
      </c>
      <c r="L1933">
        <v>282.22890000000001</v>
      </c>
      <c r="M1933">
        <v>-0.99970119999999896</v>
      </c>
      <c r="N1933">
        <v>0</v>
      </c>
      <c r="O1933">
        <v>-1.932774E-2</v>
      </c>
      <c r="P1933">
        <v>-0.9982415</v>
      </c>
      <c r="Q1933">
        <v>4.3877590000000001E-2</v>
      </c>
      <c r="R1933">
        <v>-3.9857829999999997E-2</v>
      </c>
      <c r="S1933">
        <v>-3.0047299999999999</v>
      </c>
      <c r="T1933">
        <v>-0.1470532</v>
      </c>
      <c r="U1933">
        <v>-0.21035770000000001</v>
      </c>
      <c r="V1933">
        <v>-2.0539209999999999E-2</v>
      </c>
      <c r="W1933">
        <v>5.8833759999999999E-2</v>
      </c>
      <c r="X1933">
        <v>0.99805650000000001</v>
      </c>
      <c r="Y1933">
        <v>-5.0505029999999999E-2</v>
      </c>
      <c r="Z1933">
        <v>-2.8953280000000001E-4</v>
      </c>
      <c r="AA1933">
        <v>0.99872369999999999</v>
      </c>
      <c r="AB1933">
        <v>52</v>
      </c>
      <c r="AC1933">
        <v>-21.877699999999901</v>
      </c>
      <c r="AD1933">
        <v>-1.1093589000316999</v>
      </c>
      <c r="AE1933">
        <v>-1.5715999999999799</v>
      </c>
      <c r="AF1933">
        <v>-1.1454823317363201</v>
      </c>
      <c r="AG1933">
        <v>-1.1093589000316999</v>
      </c>
      <c r="AH1933">
        <v>21.848103166041899</v>
      </c>
      <c r="AI1933">
        <v>92.902773081211294</v>
      </c>
      <c r="AJ1933">
        <v>93.001233790239695</v>
      </c>
      <c r="AK1933">
        <v>21.906218726549099</v>
      </c>
      <c r="AL1933">
        <v>86.627126210548198</v>
      </c>
      <c r="AM1933">
        <v>91.1789352225328</v>
      </c>
      <c r="AN1933">
        <v>1.0000000238277</v>
      </c>
    </row>
    <row r="1934" spans="1:40" x14ac:dyDescent="0.25">
      <c r="A1934" t="str">
        <f>"20190312151304673"</f>
        <v>20190312151304673</v>
      </c>
      <c r="B1934" t="str">
        <f>"1552374784662086"</f>
        <v>1552374784662086</v>
      </c>
      <c r="C1934" t="s">
        <v>40</v>
      </c>
      <c r="D1934">
        <v>5.0225559999999998</v>
      </c>
      <c r="E1934">
        <v>0.55609540000000002</v>
      </c>
      <c r="F1934" t="s">
        <v>41</v>
      </c>
      <c r="G1934">
        <v>-372.17989999999998</v>
      </c>
      <c r="H1934">
        <v>0.93954499999999996</v>
      </c>
      <c r="I1934">
        <v>282.2989</v>
      </c>
      <c r="J1934">
        <v>-371.69560000000001</v>
      </c>
      <c r="K1934">
        <v>1.109308</v>
      </c>
      <c r="L1934">
        <v>282.21949999999998</v>
      </c>
      <c r="M1934">
        <v>-0.9997045</v>
      </c>
      <c r="N1934">
        <v>0</v>
      </c>
      <c r="O1934">
        <v>-1.9141990000000001E-2</v>
      </c>
      <c r="P1934">
        <v>-0.99829380000000001</v>
      </c>
      <c r="Q1934">
        <v>4.1983680000000002E-2</v>
      </c>
      <c r="R1934">
        <v>-4.0586129999999998E-2</v>
      </c>
      <c r="S1934">
        <v>-3.0369869999999999</v>
      </c>
      <c r="T1934">
        <v>-0.52533039999999998</v>
      </c>
      <c r="U1934">
        <v>0.2153931</v>
      </c>
      <c r="V1934">
        <v>-2.1445280000000001E-2</v>
      </c>
      <c r="W1934">
        <v>5.6963880000000001E-2</v>
      </c>
      <c r="X1934">
        <v>0.99814590000000003</v>
      </c>
      <c r="Y1934">
        <v>8.8241479999999997E-2</v>
      </c>
      <c r="Z1934">
        <v>1.084982E-2</v>
      </c>
      <c r="AA1934">
        <v>0.99604000000000004</v>
      </c>
      <c r="AB1934">
        <v>52</v>
      </c>
      <c r="AC1934">
        <v>-0.48429999999996198</v>
      </c>
      <c r="AD1934">
        <v>-0.169762999999999</v>
      </c>
      <c r="AE1934">
        <v>7.9400000000020995E-2</v>
      </c>
      <c r="AF1934">
        <v>7.9182249403638202E-2</v>
      </c>
      <c r="AG1934">
        <v>-0.169762999999999</v>
      </c>
      <c r="AH1934">
        <v>0.43110633413981603</v>
      </c>
      <c r="AI1934">
        <v>111.17167138293</v>
      </c>
      <c r="AJ1934">
        <v>79.592358970184094</v>
      </c>
      <c r="AK1934">
        <v>0.47004465333103301</v>
      </c>
      <c r="AL1934">
        <v>86.734442440740906</v>
      </c>
      <c r="AM1934">
        <v>91.230817080927906</v>
      </c>
      <c r="AN1934">
        <v>1.0000000106728699</v>
      </c>
    </row>
    <row r="1935" spans="1:40" x14ac:dyDescent="0.25">
      <c r="A1935" t="str">
        <f>"20190312151304697"</f>
        <v>20190312151304697</v>
      </c>
      <c r="B1935" t="str">
        <f>"1552374784692344"</f>
        <v>1552374784692344</v>
      </c>
      <c r="C1935" t="s">
        <v>40</v>
      </c>
      <c r="D1935">
        <v>4.3679790000000001</v>
      </c>
      <c r="E1935">
        <v>0.55997319999999995</v>
      </c>
      <c r="F1935" t="s">
        <v>41</v>
      </c>
      <c r="G1935">
        <v>-372.60669999999999</v>
      </c>
      <c r="H1935">
        <v>0.8522689</v>
      </c>
      <c r="I1935">
        <v>282.30950000000001</v>
      </c>
      <c r="J1935">
        <v>-372.22399999999999</v>
      </c>
      <c r="K1935">
        <v>1.109237</v>
      </c>
      <c r="L1935">
        <v>282.20949999999999</v>
      </c>
      <c r="M1935">
        <v>-0.99970919999999996</v>
      </c>
      <c r="N1935">
        <v>0</v>
      </c>
      <c r="O1935">
        <v>-1.887434E-2</v>
      </c>
      <c r="P1935">
        <v>-0.99839219999999895</v>
      </c>
      <c r="Q1935">
        <v>4.0330310000000001E-2</v>
      </c>
      <c r="R1935">
        <v>-3.9833029999999998E-2</v>
      </c>
      <c r="S1935">
        <v>-3.0535580000000002</v>
      </c>
      <c r="T1935">
        <v>-0.86149509999999996</v>
      </c>
      <c r="U1935">
        <v>0.30090329999999998</v>
      </c>
      <c r="V1935">
        <v>-2.0949829999999999E-2</v>
      </c>
      <c r="W1935">
        <v>5.5333769999999997E-2</v>
      </c>
      <c r="X1935">
        <v>0.99824809999999997</v>
      </c>
      <c r="Y1935">
        <v>0.1117803</v>
      </c>
      <c r="Z1935">
        <v>2.0643700000000001E-2</v>
      </c>
      <c r="AA1935">
        <v>0.99351849999999997</v>
      </c>
      <c r="AB1935">
        <v>52</v>
      </c>
      <c r="AC1935">
        <v>-0.38269999999999899</v>
      </c>
      <c r="AD1935">
        <v>-0.25696809999999998</v>
      </c>
      <c r="AE1935">
        <v>0.100000000000022</v>
      </c>
      <c r="AF1935">
        <v>7.5388844711728603E-2</v>
      </c>
      <c r="AG1935">
        <v>-0.25696809999999998</v>
      </c>
      <c r="AH1935">
        <v>0.26774441345992001</v>
      </c>
      <c r="AI1935">
        <v>132.73263329670499</v>
      </c>
      <c r="AJ1935">
        <v>74.274362970732895</v>
      </c>
      <c r="AK1935">
        <v>0.37868608802486498</v>
      </c>
      <c r="AL1935">
        <v>86.827988401813499</v>
      </c>
      <c r="AM1935">
        <v>91.202266914134199</v>
      </c>
      <c r="AN1935">
        <v>0.99999999531652495</v>
      </c>
    </row>
    <row r="1936" spans="1:40" x14ac:dyDescent="0.25">
      <c r="A1936" t="str">
        <f>"20190312151304720"</f>
        <v>20190312151304720</v>
      </c>
      <c r="B1936" t="str">
        <f>"1552374784711863"</f>
        <v>1552374784711863</v>
      </c>
      <c r="C1936" t="s">
        <v>40</v>
      </c>
      <c r="D1936">
        <v>4.3932929999999999</v>
      </c>
      <c r="E1936">
        <v>0.56210190000000004</v>
      </c>
      <c r="F1936" t="s">
        <v>41</v>
      </c>
      <c r="G1936">
        <v>-373.08339999999998</v>
      </c>
      <c r="H1936">
        <v>0.88183219999999995</v>
      </c>
      <c r="I1936">
        <v>282.30470000000003</v>
      </c>
      <c r="J1936">
        <v>-372.76209999999998</v>
      </c>
      <c r="K1936">
        <v>1.1091519999999999</v>
      </c>
      <c r="L1936">
        <v>282.19959999999998</v>
      </c>
      <c r="M1936">
        <v>-0.99971589999999999</v>
      </c>
      <c r="N1936">
        <v>0</v>
      </c>
      <c r="O1936">
        <v>-1.8506740000000001E-2</v>
      </c>
      <c r="P1936">
        <v>-0.99858250000000004</v>
      </c>
      <c r="Q1936">
        <v>3.686743E-2</v>
      </c>
      <c r="R1936">
        <v>-3.8392210000000003E-2</v>
      </c>
      <c r="S1936">
        <v>-3.0508419999999998</v>
      </c>
      <c r="T1936">
        <v>-0.80725789999999997</v>
      </c>
      <c r="U1936">
        <v>0.33596799999999999</v>
      </c>
      <c r="V1936">
        <v>-1.9865359999999999E-2</v>
      </c>
      <c r="W1936">
        <v>5.1893120000000001E-2</v>
      </c>
      <c r="X1936">
        <v>0.99845499999999998</v>
      </c>
      <c r="Y1936">
        <v>0.1230243</v>
      </c>
      <c r="Z1936">
        <v>2.0756859999999999E-2</v>
      </c>
      <c r="AA1936">
        <v>0.99218649999999997</v>
      </c>
      <c r="AB1936">
        <v>52</v>
      </c>
      <c r="AC1936">
        <v>-0.32130000000000702</v>
      </c>
      <c r="AD1936">
        <v>-0.22731979999999999</v>
      </c>
      <c r="AE1936">
        <v>0.105100000000049</v>
      </c>
      <c r="AF1936">
        <v>7.6457018436731597E-2</v>
      </c>
      <c r="AG1936">
        <v>-0.22731979999999999</v>
      </c>
      <c r="AH1936">
        <v>0.21987703702019701</v>
      </c>
      <c r="AI1936">
        <v>134.31874173850801</v>
      </c>
      <c r="AJ1936">
        <v>70.8260947999254</v>
      </c>
      <c r="AK1936">
        <v>0.32537037134480401</v>
      </c>
      <c r="AL1936">
        <v>87.025407047538806</v>
      </c>
      <c r="AM1936">
        <v>91.139812144461402</v>
      </c>
      <c r="AN1936">
        <v>0.99999995772813099</v>
      </c>
    </row>
    <row r="1937" spans="1:40" x14ac:dyDescent="0.25">
      <c r="A1937" t="str">
        <f>"20190312151304742"</f>
        <v>20190312151304742</v>
      </c>
      <c r="B1937" t="str">
        <f>"1552374784731768"</f>
        <v>1552374784731768</v>
      </c>
      <c r="C1937" t="s">
        <v>40</v>
      </c>
      <c r="D1937">
        <v>4.3549879999999996</v>
      </c>
      <c r="E1937">
        <v>0.56279219999999996</v>
      </c>
      <c r="F1937" t="s">
        <v>41</v>
      </c>
      <c r="G1937">
        <v>-373.55259999999998</v>
      </c>
      <c r="H1937">
        <v>0.8950844</v>
      </c>
      <c r="I1937">
        <v>282.29250000000002</v>
      </c>
      <c r="J1937">
        <v>-373.27730000000003</v>
      </c>
      <c r="K1937">
        <v>1.1090519999999999</v>
      </c>
      <c r="L1937">
        <v>282.19040000000001</v>
      </c>
      <c r="M1937">
        <v>-0.99972399999999995</v>
      </c>
      <c r="N1937">
        <v>0</v>
      </c>
      <c r="O1937">
        <v>-1.8050119999999999E-2</v>
      </c>
      <c r="P1937">
        <v>-0.99876830000000005</v>
      </c>
      <c r="Q1937">
        <v>3.3807869999999997E-2</v>
      </c>
      <c r="R1937">
        <v>-3.6318719999999999E-2</v>
      </c>
      <c r="S1937">
        <v>-3.0484309999999999</v>
      </c>
      <c r="T1937">
        <v>-0.82553399999999999</v>
      </c>
      <c r="U1937">
        <v>0.3569946</v>
      </c>
      <c r="V1937">
        <v>-1.8236059999999998E-2</v>
      </c>
      <c r="W1937">
        <v>4.8852369999999999E-2</v>
      </c>
      <c r="X1937">
        <v>0.99863950000000001</v>
      </c>
      <c r="Y1937">
        <v>0.12899459999999999</v>
      </c>
      <c r="Z1937">
        <v>2.1889539999999999E-2</v>
      </c>
      <c r="AA1937">
        <v>0.99140360000000005</v>
      </c>
      <c r="AB1937">
        <v>52</v>
      </c>
      <c r="AC1937">
        <v>-0.27529999999995802</v>
      </c>
      <c r="AD1937">
        <v>-0.21396760000000001</v>
      </c>
      <c r="AE1937">
        <v>0.102100000000007</v>
      </c>
      <c r="AF1937">
        <v>6.9922475677600404E-2</v>
      </c>
      <c r="AG1937">
        <v>-0.21396760000000001</v>
      </c>
      <c r="AH1937">
        <v>0.17858091777457</v>
      </c>
      <c r="AI1937">
        <v>138.129720457198</v>
      </c>
      <c r="AJ1937">
        <v>68.617418420702904</v>
      </c>
      <c r="AK1937">
        <v>0.28733678958297798</v>
      </c>
      <c r="AL1937">
        <v>87.199850783588005</v>
      </c>
      <c r="AM1937">
        <v>91.046156453340004</v>
      </c>
      <c r="AN1937">
        <v>0.99999997944959496</v>
      </c>
    </row>
    <row r="1938" spans="1:40" x14ac:dyDescent="0.25">
      <c r="A1938" t="str">
        <f>"20190312151304763"</f>
        <v>20190312151304763</v>
      </c>
      <c r="B1938" t="str">
        <f>"1552374784752267"</f>
        <v>1552374784752267</v>
      </c>
      <c r="C1938" t="s">
        <v>40</v>
      </c>
      <c r="D1938">
        <v>4.4094610000000003</v>
      </c>
      <c r="E1938">
        <v>0.56321709999999903</v>
      </c>
      <c r="F1938" t="s">
        <v>41</v>
      </c>
      <c r="G1938">
        <v>-374.0204</v>
      </c>
      <c r="H1938">
        <v>0.90583630000000004</v>
      </c>
      <c r="I1938">
        <v>282.2808</v>
      </c>
      <c r="J1938">
        <v>-373.77949999999998</v>
      </c>
      <c r="K1938">
        <v>1.1089469999999999</v>
      </c>
      <c r="L1938">
        <v>282.18169999999998</v>
      </c>
      <c r="M1938">
        <v>-0.9997336</v>
      </c>
      <c r="N1938">
        <v>0</v>
      </c>
      <c r="O1938">
        <v>-1.7499150000000002E-2</v>
      </c>
      <c r="P1938">
        <v>-0.99888060000000001</v>
      </c>
      <c r="Q1938">
        <v>3.2723269999999999E-2</v>
      </c>
      <c r="R1938">
        <v>-3.4161400000000001E-2</v>
      </c>
      <c r="S1938">
        <v>-3.0453190000000001</v>
      </c>
      <c r="T1938">
        <v>-0.8327118</v>
      </c>
      <c r="U1938">
        <v>0.36923220000000001</v>
      </c>
      <c r="V1938">
        <v>-1.6616909999999999E-2</v>
      </c>
      <c r="W1938">
        <v>4.7781690000000002E-2</v>
      </c>
      <c r="X1938">
        <v>0.99871960000000004</v>
      </c>
      <c r="Y1938">
        <v>0.132296</v>
      </c>
      <c r="Z1938">
        <v>2.2384129999999999E-2</v>
      </c>
      <c r="AA1938">
        <v>0.99095750000000005</v>
      </c>
      <c r="AB1938">
        <v>52</v>
      </c>
      <c r="AC1938">
        <v>-0.24090000000001</v>
      </c>
      <c r="AD1938">
        <v>-0.20311069999999901</v>
      </c>
      <c r="AE1938">
        <v>9.9100000000021199E-2</v>
      </c>
      <c r="AF1938">
        <v>6.4242433985366595E-2</v>
      </c>
      <c r="AG1938">
        <v>-0.20311069999999901</v>
      </c>
      <c r="AH1938">
        <v>0.14871332811509699</v>
      </c>
      <c r="AI1938">
        <v>141.42499434009201</v>
      </c>
      <c r="AJ1938">
        <v>66.636215202064804</v>
      </c>
      <c r="AK1938">
        <v>0.25980127162491401</v>
      </c>
      <c r="AL1938">
        <v>87.261268091445203</v>
      </c>
      <c r="AM1938">
        <v>90.953211463389096</v>
      </c>
      <c r="AN1938">
        <v>1.00000002551068</v>
      </c>
    </row>
    <row r="1939" spans="1:40" x14ac:dyDescent="0.25">
      <c r="A1939" t="str">
        <f>"20190312151304788"</f>
        <v>20190312151304788</v>
      </c>
      <c r="B1939" t="str">
        <f>"1552374784781546"</f>
        <v>1552374784781546</v>
      </c>
      <c r="C1939" t="s">
        <v>40</v>
      </c>
      <c r="D1939">
        <v>4.6240249999999996</v>
      </c>
      <c r="E1939">
        <v>0.5632123</v>
      </c>
      <c r="F1939" t="s">
        <v>41</v>
      </c>
      <c r="G1939">
        <v>-374.48790000000002</v>
      </c>
      <c r="H1939">
        <v>0.91536119999999999</v>
      </c>
      <c r="I1939">
        <v>282.27019999999999</v>
      </c>
      <c r="J1939">
        <v>-374.31139999999999</v>
      </c>
      <c r="K1939">
        <v>1.108835</v>
      </c>
      <c r="L1939">
        <v>282.17290000000003</v>
      </c>
      <c r="M1939">
        <v>-0.99974549999999995</v>
      </c>
      <c r="N1939">
        <v>0</v>
      </c>
      <c r="O1939">
        <v>-1.679713E-2</v>
      </c>
      <c r="P1939">
        <v>-0.9988785</v>
      </c>
      <c r="Q1939">
        <v>3.4405749999999999E-2</v>
      </c>
      <c r="R1939">
        <v>-3.2531310000000001E-2</v>
      </c>
      <c r="S1939">
        <v>-3.0435789999999998</v>
      </c>
      <c r="T1939">
        <v>-0.83176399999999995</v>
      </c>
      <c r="U1939">
        <v>0.3796387</v>
      </c>
      <c r="V1939">
        <v>-1.5672200000000001E-2</v>
      </c>
      <c r="W1939">
        <v>4.947675E-2</v>
      </c>
      <c r="X1939">
        <v>0.99865230000000005</v>
      </c>
      <c r="Y1939">
        <v>0.13494400000000001</v>
      </c>
      <c r="Z1939">
        <v>2.2533600000000001E-2</v>
      </c>
      <c r="AA1939">
        <v>0.99059699999999995</v>
      </c>
      <c r="AB1939">
        <v>52</v>
      </c>
      <c r="AC1939">
        <v>-0.17650000000003199</v>
      </c>
      <c r="AD1939">
        <v>-0.1934738</v>
      </c>
      <c r="AE1939">
        <v>9.7299999999961501E-2</v>
      </c>
      <c r="AF1939">
        <v>5.2172652283520797E-2</v>
      </c>
      <c r="AG1939">
        <v>-0.1934738</v>
      </c>
      <c r="AH1939">
        <v>9.0990292814778495E-2</v>
      </c>
      <c r="AI1939">
        <v>151.536837640069</v>
      </c>
      <c r="AJ1939">
        <v>60.170600625669898</v>
      </c>
      <c r="AK1939">
        <v>0.22007573768877001</v>
      </c>
      <c r="AL1939">
        <v>87.164033162984097</v>
      </c>
      <c r="AM1939">
        <v>90.899088912550795</v>
      </c>
      <c r="AN1939">
        <v>0.99999999146934604</v>
      </c>
    </row>
    <row r="1940" spans="1:40" x14ac:dyDescent="0.25">
      <c r="A1940" t="str">
        <f>"20190312151304809"</f>
        <v>20190312151304809</v>
      </c>
      <c r="B1940" t="str">
        <f>"1552374784802041"</f>
        <v>1552374784802041</v>
      </c>
      <c r="C1940" t="s">
        <v>40</v>
      </c>
      <c r="D1940">
        <v>4.6152249999999997</v>
      </c>
      <c r="E1940">
        <v>0.56312759999999995</v>
      </c>
      <c r="F1940" t="s">
        <v>41</v>
      </c>
      <c r="G1940">
        <v>-375.37889999999999</v>
      </c>
      <c r="H1940">
        <v>0.82815190000000005</v>
      </c>
      <c r="I1940">
        <v>282.30880000000002</v>
      </c>
      <c r="J1940">
        <v>-374.84399999999999</v>
      </c>
      <c r="K1940">
        <v>1.1087070000000001</v>
      </c>
      <c r="L1940">
        <v>282.16460000000001</v>
      </c>
      <c r="M1940">
        <v>-0.99975899999999995</v>
      </c>
      <c r="N1940">
        <v>0</v>
      </c>
      <c r="O1940">
        <v>-1.5971200000000001E-2</v>
      </c>
      <c r="P1940">
        <v>-0.99895610000000001</v>
      </c>
      <c r="Q1940">
        <v>3.4272660000000003E-2</v>
      </c>
      <c r="R1940">
        <v>-3.0201059999999998E-2</v>
      </c>
      <c r="S1940">
        <v>-3.0435490000000001</v>
      </c>
      <c r="T1940">
        <v>-0.80015519999999996</v>
      </c>
      <c r="U1940">
        <v>0.3868103</v>
      </c>
      <c r="V1940">
        <v>-1.41513E-2</v>
      </c>
      <c r="W1940">
        <v>4.9354339999999997E-2</v>
      </c>
      <c r="X1940">
        <v>0.99868109999999999</v>
      </c>
      <c r="Y1940">
        <v>0.13679450000000001</v>
      </c>
      <c r="Z1940">
        <v>2.1728310000000001E-2</v>
      </c>
      <c r="AA1940">
        <v>0.99036109999999999</v>
      </c>
      <c r="AB1940">
        <v>52</v>
      </c>
      <c r="AC1940">
        <v>-0.53489999999999305</v>
      </c>
      <c r="AD1940">
        <v>-0.280555099999999</v>
      </c>
      <c r="AE1940">
        <v>0.14420000000001201</v>
      </c>
      <c r="AF1940">
        <v>0.12155208200682301</v>
      </c>
      <c r="AG1940">
        <v>-0.280555099999999</v>
      </c>
      <c r="AH1940">
        <v>0.42383173284306702</v>
      </c>
      <c r="AI1940">
        <v>122.468531513914</v>
      </c>
      <c r="AJ1940">
        <v>73.997465734737702</v>
      </c>
      <c r="AK1940">
        <v>0.522608276380082</v>
      </c>
      <c r="AL1940">
        <v>87.171055412806297</v>
      </c>
      <c r="AM1940">
        <v>90.811826221649497</v>
      </c>
      <c r="AN1940">
        <v>1.00000002483286</v>
      </c>
    </row>
    <row r="1941" spans="1:40" x14ac:dyDescent="0.25">
      <c r="A1941" t="str">
        <f>"20190312151304842"</f>
        <v>20190312151304842</v>
      </c>
      <c r="B1941" t="str">
        <f>"1552374784831829"</f>
        <v>1552374784831829</v>
      </c>
      <c r="C1941" t="s">
        <v>40</v>
      </c>
      <c r="D1941">
        <v>4.9535650000000002</v>
      </c>
      <c r="E1941">
        <v>0.56288479999999996</v>
      </c>
      <c r="F1941" t="s">
        <v>41</v>
      </c>
      <c r="G1941">
        <v>-375.8485</v>
      </c>
      <c r="H1941">
        <v>0.84637549999999995</v>
      </c>
      <c r="I1941">
        <v>282.29520000000002</v>
      </c>
      <c r="J1941">
        <v>-375.59449999999998</v>
      </c>
      <c r="K1941">
        <v>1.1085430000000001</v>
      </c>
      <c r="L1941">
        <v>282.15359999999998</v>
      </c>
      <c r="M1941">
        <v>-0.99977919999999998</v>
      </c>
      <c r="N1941">
        <v>0</v>
      </c>
      <c r="O1941">
        <v>-1.464527E-2</v>
      </c>
      <c r="P1941">
        <v>-0.99897840000000004</v>
      </c>
      <c r="Q1941">
        <v>3.5141779999999997E-2</v>
      </c>
      <c r="R1941">
        <v>-2.8423250000000001E-2</v>
      </c>
      <c r="S1941">
        <v>-3.042297</v>
      </c>
      <c r="T1941">
        <v>-0.79449269999999905</v>
      </c>
      <c r="U1941">
        <v>0.39419559999999998</v>
      </c>
      <c r="V1941">
        <v>-1.367639E-2</v>
      </c>
      <c r="W1941">
        <v>5.0236830000000003E-2</v>
      </c>
      <c r="X1941">
        <v>0.99864370000000002</v>
      </c>
      <c r="Y1941">
        <v>0.1379716</v>
      </c>
      <c r="Z1941">
        <v>2.1396060000000001E-2</v>
      </c>
      <c r="AA1941">
        <v>0.990205</v>
      </c>
      <c r="AB1941">
        <v>52</v>
      </c>
      <c r="AC1941">
        <v>-0.25400000000001899</v>
      </c>
      <c r="AD1941">
        <v>-0.2621675</v>
      </c>
      <c r="AE1941">
        <v>0.141600000000039</v>
      </c>
      <c r="AF1941">
        <v>8.0157121425019504E-2</v>
      </c>
      <c r="AG1941">
        <v>-0.2621675</v>
      </c>
      <c r="AH1941">
        <v>0.13895915642689499</v>
      </c>
      <c r="AI1941">
        <v>148.537466497948</v>
      </c>
      <c r="AJ1941">
        <v>60.021956293496302</v>
      </c>
      <c r="AK1941">
        <v>0.30735420824558402</v>
      </c>
      <c r="AL1941">
        <v>87.120429615706499</v>
      </c>
      <c r="AM1941">
        <v>90.784614615730106</v>
      </c>
      <c r="AN1941">
        <v>1.0000000111407801</v>
      </c>
    </row>
    <row r="1942" spans="1:40" x14ac:dyDescent="0.25">
      <c r="A1942" t="str">
        <f>"20190312151304864"</f>
        <v>20190312151304864</v>
      </c>
      <c r="B1942" t="str">
        <f>"1552374784852325"</f>
        <v>1552374784852325</v>
      </c>
      <c r="C1942" t="s">
        <v>40</v>
      </c>
      <c r="D1942">
        <v>4.6982619999999997</v>
      </c>
      <c r="E1942">
        <v>0.56265369999999904</v>
      </c>
      <c r="F1942" t="s">
        <v>41</v>
      </c>
      <c r="G1942">
        <v>-376.3383</v>
      </c>
      <c r="H1942">
        <v>0.91632259999999999</v>
      </c>
      <c r="I1942">
        <v>282.25080000000003</v>
      </c>
      <c r="J1942">
        <v>-376.0967</v>
      </c>
      <c r="K1942">
        <v>1.1084339999999999</v>
      </c>
      <c r="L1942">
        <v>282.14690000000002</v>
      </c>
      <c r="M1942">
        <v>-0.99979289999999998</v>
      </c>
      <c r="N1942">
        <v>0</v>
      </c>
      <c r="O1942">
        <v>-1.3654579999999999E-2</v>
      </c>
      <c r="P1942">
        <v>-0.99896059999999998</v>
      </c>
      <c r="Q1942">
        <v>3.5015079999999997E-2</v>
      </c>
      <c r="R1942">
        <v>-2.918256E-2</v>
      </c>
      <c r="S1942">
        <v>-3.0420229999999999</v>
      </c>
      <c r="T1942">
        <v>-0.78610219999999997</v>
      </c>
      <c r="U1942">
        <v>0.39739989999999997</v>
      </c>
      <c r="V1942">
        <v>-1.541265E-2</v>
      </c>
      <c r="W1942">
        <v>5.0122529999999998E-2</v>
      </c>
      <c r="X1942">
        <v>0.99862410000000001</v>
      </c>
      <c r="Y1942">
        <v>0.13815820000000001</v>
      </c>
      <c r="Z1942">
        <v>2.0950360000000001E-2</v>
      </c>
      <c r="AA1942">
        <v>0.99018850000000003</v>
      </c>
      <c r="AB1942">
        <v>52</v>
      </c>
      <c r="AC1942">
        <v>-0.24160000000000501</v>
      </c>
      <c r="AD1942">
        <v>-0.19211139999999899</v>
      </c>
      <c r="AE1942">
        <v>0.10390000000001</v>
      </c>
      <c r="AF1942">
        <v>6.9894170011616102E-2</v>
      </c>
      <c r="AG1942">
        <v>-0.19211139999999899</v>
      </c>
      <c r="AH1942">
        <v>0.15659803429348601</v>
      </c>
      <c r="AI1942">
        <v>138.24634235201199</v>
      </c>
      <c r="AJ1942">
        <v>65.947430281286401</v>
      </c>
      <c r="AK1942">
        <v>0.25751685256727602</v>
      </c>
      <c r="AL1942">
        <v>87.126986623771799</v>
      </c>
      <c r="AM1942">
        <v>90.8842262951366</v>
      </c>
      <c r="AN1942">
        <v>0.99999995544721498</v>
      </c>
    </row>
    <row r="1943" spans="1:40" x14ac:dyDescent="0.25">
      <c r="A1943" t="str">
        <f>"20190312151304887"</f>
        <v>20190312151304887</v>
      </c>
      <c r="B1943" t="str">
        <f>"1552374784881605"</f>
        <v>1552374784881605</v>
      </c>
      <c r="C1943" t="s">
        <v>40</v>
      </c>
      <c r="D1943">
        <v>4.6225779999999999</v>
      </c>
      <c r="E1943">
        <v>0.57031480000000001</v>
      </c>
      <c r="F1943" t="s">
        <v>41</v>
      </c>
      <c r="G1943">
        <v>-376.80450000000002</v>
      </c>
      <c r="H1943">
        <v>0.92676539999999996</v>
      </c>
      <c r="I1943">
        <v>282.23869999999999</v>
      </c>
      <c r="J1943">
        <v>-376.61790000000002</v>
      </c>
      <c r="K1943">
        <v>1.108322</v>
      </c>
      <c r="L1943">
        <v>282.14049999999997</v>
      </c>
      <c r="M1943">
        <v>-0.99980749999999996</v>
      </c>
      <c r="N1943">
        <v>0</v>
      </c>
      <c r="O1943">
        <v>-1.2542319999999999E-2</v>
      </c>
      <c r="P1943">
        <v>-0.99896099999999999</v>
      </c>
      <c r="Q1943">
        <v>3.3957029999999999E-2</v>
      </c>
      <c r="R1943">
        <v>-3.0389329999999999E-2</v>
      </c>
      <c r="S1943">
        <v>-3.041992</v>
      </c>
      <c r="T1943">
        <v>-0.78088639999999998</v>
      </c>
      <c r="U1943">
        <v>0.39373780000000003</v>
      </c>
      <c r="V1943">
        <v>-1.7720619999999999E-2</v>
      </c>
      <c r="W1943">
        <v>4.9079070000000002E-2</v>
      </c>
      <c r="X1943">
        <v>0.99863769999999996</v>
      </c>
      <c r="Y1943">
        <v>0.1360517</v>
      </c>
      <c r="Z1943">
        <v>2.0272419999999999E-2</v>
      </c>
      <c r="AA1943">
        <v>0.99049430000000005</v>
      </c>
      <c r="AB1943">
        <v>52</v>
      </c>
      <c r="AC1943">
        <v>-0.18659999999999799</v>
      </c>
      <c r="AD1943">
        <v>-0.18155660000000001</v>
      </c>
      <c r="AE1943">
        <v>9.8200000000019799E-2</v>
      </c>
      <c r="AF1943">
        <v>5.7732532209241898E-2</v>
      </c>
      <c r="AG1943">
        <v>-0.18155660000000001</v>
      </c>
      <c r="AH1943">
        <v>0.10644201310694</v>
      </c>
      <c r="AI1943">
        <v>146.298371122937</v>
      </c>
      <c r="AJ1943">
        <v>61.525267804262803</v>
      </c>
      <c r="AK1943">
        <v>0.21823323860747901</v>
      </c>
      <c r="AL1943">
        <v>87.186846332575897</v>
      </c>
      <c r="AM1943">
        <v>91.016595097116905</v>
      </c>
      <c r="AN1943">
        <v>1.00000001567326</v>
      </c>
    </row>
    <row r="1944" spans="1:40" x14ac:dyDescent="0.25">
      <c r="A1944" t="str">
        <f>"20190312151304908"</f>
        <v>20190312151304908</v>
      </c>
      <c r="B1944" t="str">
        <f>"1552374784902101"</f>
        <v>1552374784902101</v>
      </c>
      <c r="C1944" t="s">
        <v>40</v>
      </c>
      <c r="D1944">
        <v>4.6845670000000004</v>
      </c>
      <c r="E1944">
        <v>0.57274619999999998</v>
      </c>
      <c r="F1944" t="s">
        <v>41</v>
      </c>
      <c r="G1944">
        <v>-377.666</v>
      </c>
      <c r="H1944">
        <v>0.77657889999999996</v>
      </c>
      <c r="I1944">
        <v>282.2944</v>
      </c>
      <c r="J1944">
        <v>-377.12869999999998</v>
      </c>
      <c r="K1944">
        <v>1.1082240000000001</v>
      </c>
      <c r="L1944">
        <v>282.13479999999998</v>
      </c>
      <c r="M1944">
        <v>-0.99982139999999997</v>
      </c>
      <c r="N1944">
        <v>0</v>
      </c>
      <c r="O1944">
        <v>-1.1381809999999999E-2</v>
      </c>
      <c r="P1944">
        <v>-0.99890389999999996</v>
      </c>
      <c r="Q1944">
        <v>3.4370659999999997E-2</v>
      </c>
      <c r="R1944">
        <v>-3.177746E-2</v>
      </c>
      <c r="S1944">
        <v>-3.0495610000000002</v>
      </c>
      <c r="T1944">
        <v>-0.96526959999999995</v>
      </c>
      <c r="U1944">
        <v>0.44744869999999998</v>
      </c>
      <c r="V1944">
        <v>-2.025536E-2</v>
      </c>
      <c r="W1944">
        <v>4.9506750000000002E-2</v>
      </c>
      <c r="X1944">
        <v>0.99856840000000002</v>
      </c>
      <c r="Y1944">
        <v>0.14875189999999999</v>
      </c>
      <c r="Z1944">
        <v>2.6366489999999999E-2</v>
      </c>
      <c r="AA1944">
        <v>0.98852289999999998</v>
      </c>
      <c r="AB1944">
        <v>52</v>
      </c>
      <c r="AC1944">
        <v>-0.53730000000001599</v>
      </c>
      <c r="AD1944">
        <v>-0.33164509999999903</v>
      </c>
      <c r="AE1944">
        <v>0.15960000000001101</v>
      </c>
      <c r="AF1944">
        <v>0.122735990959859</v>
      </c>
      <c r="AG1944">
        <v>-0.33164509999999903</v>
      </c>
      <c r="AH1944">
        <v>0.39659924162047899</v>
      </c>
      <c r="AI1944">
        <v>128.619370682708</v>
      </c>
      <c r="AJ1944">
        <v>72.804216477804104</v>
      </c>
      <c r="AK1944">
        <v>0.53136009850651</v>
      </c>
      <c r="AL1944">
        <v>87.162312272086893</v>
      </c>
      <c r="AM1944">
        <v>91.162051100536203</v>
      </c>
      <c r="AN1944">
        <v>1.0000000236914199</v>
      </c>
    </row>
    <row r="1945" spans="1:40" x14ac:dyDescent="0.25">
      <c r="A1945" t="str">
        <f>"20190312151304933"</f>
        <v>20190312151304933</v>
      </c>
      <c r="B1945" t="str">
        <f>"1552374784921621"</f>
        <v>1552374784921621</v>
      </c>
      <c r="C1945" t="s">
        <v>40</v>
      </c>
      <c r="D1945">
        <v>4.5766780000000002</v>
      </c>
      <c r="E1945">
        <v>0.57152919999999996</v>
      </c>
      <c r="F1945" t="s">
        <v>41</v>
      </c>
      <c r="G1945">
        <v>-378.13350000000003</v>
      </c>
      <c r="H1945">
        <v>0.79399469999999905</v>
      </c>
      <c r="I1945">
        <v>282.28699999999998</v>
      </c>
      <c r="J1945">
        <v>-377.6626</v>
      </c>
      <c r="K1945">
        <v>1.108139</v>
      </c>
      <c r="L1945">
        <v>282.12959999999998</v>
      </c>
      <c r="M1945">
        <v>-0.99983509999999998</v>
      </c>
      <c r="N1945">
        <v>0</v>
      </c>
      <c r="O1945">
        <v>-1.011624E-2</v>
      </c>
      <c r="P1945">
        <v>-0.99874430000000003</v>
      </c>
      <c r="Q1945">
        <v>3.7268639999999999E-2</v>
      </c>
      <c r="R1945">
        <v>-3.3482690000000002E-2</v>
      </c>
      <c r="S1945">
        <v>-3.0508419999999998</v>
      </c>
      <c r="T1945">
        <v>-0.95403769999999999</v>
      </c>
      <c r="U1945">
        <v>0.46185300000000001</v>
      </c>
      <c r="V1945">
        <v>-2.3205880000000002E-2</v>
      </c>
      <c r="W1945">
        <v>5.2418350000000002E-2</v>
      </c>
      <c r="X1945">
        <v>0.99835560000000001</v>
      </c>
      <c r="Y1945">
        <v>0.15209600000000001</v>
      </c>
      <c r="Z1945">
        <v>2.6178110000000001E-2</v>
      </c>
      <c r="AA1945">
        <v>0.98801899999999998</v>
      </c>
      <c r="AB1945">
        <v>52</v>
      </c>
      <c r="AC1945">
        <v>-0.47090000000002802</v>
      </c>
      <c r="AD1945">
        <v>-0.31414429999999999</v>
      </c>
      <c r="AE1945">
        <v>0.157400000000052</v>
      </c>
      <c r="AF1945">
        <v>0.115799698327349</v>
      </c>
      <c r="AG1945">
        <v>-0.31414429999999999</v>
      </c>
      <c r="AH1945">
        <v>0.33512669158983099</v>
      </c>
      <c r="AI1945">
        <v>131.54056273869</v>
      </c>
      <c r="AJ1945">
        <v>70.937918173977096</v>
      </c>
      <c r="AK1945">
        <v>0.473715221173165</v>
      </c>
      <c r="AL1945">
        <v>86.995272847523097</v>
      </c>
      <c r="AM1945">
        <v>91.331549205401302</v>
      </c>
      <c r="AN1945">
        <v>1.0000000501673201</v>
      </c>
    </row>
    <row r="1946" spans="1:40" x14ac:dyDescent="0.25">
      <c r="A1946" t="str">
        <f>"20190312151304954"</f>
        <v>20190312151304954</v>
      </c>
      <c r="B1946" t="str">
        <f>"1552374784942117"</f>
        <v>1552374784942117</v>
      </c>
      <c r="C1946" t="s">
        <v>40</v>
      </c>
      <c r="D1946">
        <v>4.7701200000000004</v>
      </c>
      <c r="E1946">
        <v>0.51802950000000003</v>
      </c>
      <c r="F1946" t="s">
        <v>41</v>
      </c>
      <c r="G1946">
        <v>-378.60419999999999</v>
      </c>
      <c r="H1946">
        <v>0.82085239999999904</v>
      </c>
      <c r="I1946">
        <v>282.26749999999998</v>
      </c>
      <c r="J1946">
        <v>-378.18040000000002</v>
      </c>
      <c r="K1946">
        <v>1.108066</v>
      </c>
      <c r="L1946">
        <v>282.12509999999997</v>
      </c>
      <c r="M1946">
        <v>-0.99984700000000004</v>
      </c>
      <c r="N1946">
        <v>0</v>
      </c>
      <c r="O1946">
        <v>-8.851009E-3</v>
      </c>
      <c r="P1946">
        <v>-0.99860110000000002</v>
      </c>
      <c r="Q1946">
        <v>3.9000279999999998E-2</v>
      </c>
      <c r="R1946">
        <v>-3.5708520000000001E-2</v>
      </c>
      <c r="S1946">
        <v>-3.053528</v>
      </c>
      <c r="T1946">
        <v>-0.93157599999999996</v>
      </c>
      <c r="U1946">
        <v>0.4465942</v>
      </c>
      <c r="V1946">
        <v>-2.6679850000000001E-2</v>
      </c>
      <c r="W1946">
        <v>5.416584E-2</v>
      </c>
      <c r="X1946">
        <v>0.99817540000000005</v>
      </c>
      <c r="Y1946">
        <v>0.1465407</v>
      </c>
      <c r="Z1946">
        <v>2.4375790000000001E-2</v>
      </c>
      <c r="AA1946">
        <v>0.98890429999999996</v>
      </c>
      <c r="AB1946">
        <v>51</v>
      </c>
      <c r="AC1946">
        <v>-0.42379999999997098</v>
      </c>
      <c r="AD1946">
        <v>-0.28721360000000001</v>
      </c>
      <c r="AE1946">
        <v>0.14240000000000899</v>
      </c>
      <c r="AF1946">
        <v>0.103451683906961</v>
      </c>
      <c r="AG1946">
        <v>-0.28721360000000001</v>
      </c>
      <c r="AH1946">
        <v>0.29908947570623201</v>
      </c>
      <c r="AI1946">
        <v>132.22493885346</v>
      </c>
      <c r="AJ1946">
        <v>70.920072938457807</v>
      </c>
      <c r="AK1946">
        <v>0.42737386139816103</v>
      </c>
      <c r="AL1946">
        <v>86.895006216557306</v>
      </c>
      <c r="AM1946">
        <v>91.531072523404802</v>
      </c>
      <c r="AN1946">
        <v>0.99999994089204203</v>
      </c>
    </row>
    <row r="1947" spans="1:40" x14ac:dyDescent="0.25">
      <c r="A1947" t="str">
        <f>"20190312151304976"</f>
        <v>20190312151304976</v>
      </c>
      <c r="B1947" t="str">
        <f>"1552374784972372"</f>
        <v>1552374784972372</v>
      </c>
      <c r="C1947" t="s">
        <v>40</v>
      </c>
      <c r="D1947">
        <v>4.7000739999999999</v>
      </c>
      <c r="E1947">
        <v>0.5053339</v>
      </c>
      <c r="F1947" t="s">
        <v>41</v>
      </c>
      <c r="G1947">
        <v>-379.14920000000001</v>
      </c>
      <c r="H1947">
        <v>1.0118849999999999</v>
      </c>
      <c r="I1947">
        <v>282.1336</v>
      </c>
      <c r="J1947">
        <v>-378.66239999999999</v>
      </c>
      <c r="K1947">
        <v>1.108001</v>
      </c>
      <c r="L1947">
        <v>282.12150000000003</v>
      </c>
      <c r="M1947">
        <v>-0.99985679999999999</v>
      </c>
      <c r="N1947">
        <v>0</v>
      </c>
      <c r="O1947">
        <v>-7.6482349999999998E-3</v>
      </c>
      <c r="P1947">
        <v>-0.9985136</v>
      </c>
      <c r="Q1947">
        <v>3.9722590000000002E-2</v>
      </c>
      <c r="R1947">
        <v>-3.7323210000000002E-2</v>
      </c>
      <c r="S1947">
        <v>-3.0168759999999999</v>
      </c>
      <c r="T1947">
        <v>-0.29952489999999998</v>
      </c>
      <c r="U1947">
        <v>2.6916499999999999E-2</v>
      </c>
      <c r="V1947">
        <v>-2.9485339999999999E-2</v>
      </c>
      <c r="W1947">
        <v>5.4900989999999997E-2</v>
      </c>
      <c r="X1947">
        <v>0.99805639999999995</v>
      </c>
      <c r="Y1947">
        <v>1.645168E-2</v>
      </c>
      <c r="Z1947">
        <v>1.5722189999999999E-3</v>
      </c>
      <c r="AA1947">
        <v>0.99986339999999996</v>
      </c>
      <c r="AB1947">
        <v>51</v>
      </c>
      <c r="AC1947">
        <v>-0.486800000000016</v>
      </c>
      <c r="AD1947">
        <v>-9.6115999999999799E-2</v>
      </c>
      <c r="AE1947">
        <v>1.2099999999975301E-2</v>
      </c>
      <c r="AF1947">
        <v>1.5229871160378401E-2</v>
      </c>
      <c r="AG1947">
        <v>-9.6115999999999799E-2</v>
      </c>
      <c r="AH1947">
        <v>0.46844255435822901</v>
      </c>
      <c r="AI1947">
        <v>101.58917791855301</v>
      </c>
      <c r="AJ1947">
        <v>88.137871816513794</v>
      </c>
      <c r="AK1947">
        <v>0.47844400003054099</v>
      </c>
      <c r="AL1947">
        <v>86.852822763754503</v>
      </c>
      <c r="AM1947">
        <v>91.692183239787497</v>
      </c>
      <c r="AN1947">
        <v>1.0000000407794201</v>
      </c>
    </row>
    <row r="1948" spans="1:40" x14ac:dyDescent="0.25">
      <c r="A1948" t="str">
        <f>"20190312151304998"</f>
        <v>20190312151304998</v>
      </c>
      <c r="B1948" t="str">
        <f>"1552374784991893"</f>
        <v>1552374784991893</v>
      </c>
      <c r="C1948" t="s">
        <v>40</v>
      </c>
      <c r="D1948">
        <v>4.6406919999999996</v>
      </c>
      <c r="E1948">
        <v>0.50297740000000002</v>
      </c>
      <c r="F1948" t="s">
        <v>54</v>
      </c>
      <c r="G1948">
        <v>-398.73050000000001</v>
      </c>
      <c r="H1948" s="1">
        <v>3.1091609999999998E-6</v>
      </c>
      <c r="I1948">
        <v>281.61500000000001</v>
      </c>
      <c r="J1948">
        <v>-379.19400000000002</v>
      </c>
      <c r="K1948">
        <v>1.107945</v>
      </c>
      <c r="L1948">
        <v>282.1182</v>
      </c>
      <c r="M1948">
        <v>-0.99986620000000004</v>
      </c>
      <c r="N1948">
        <v>0</v>
      </c>
      <c r="O1948">
        <v>-6.3012830000000004E-3</v>
      </c>
      <c r="P1948">
        <v>-0.9984478</v>
      </c>
      <c r="Q1948">
        <v>4.0565959999999998E-2</v>
      </c>
      <c r="R1948">
        <v>-3.8162939999999999E-2</v>
      </c>
      <c r="S1948">
        <v>-3.0082399999999998</v>
      </c>
      <c r="T1948">
        <v>-0.1660905</v>
      </c>
      <c r="U1948">
        <v>-7.5927729999999999E-2</v>
      </c>
      <c r="V1948">
        <v>-3.165867E-2</v>
      </c>
      <c r="W1948">
        <v>5.5755600000000002E-2</v>
      </c>
      <c r="X1948">
        <v>0.99794240000000001</v>
      </c>
      <c r="Y1948">
        <v>-1.8912200000000001E-2</v>
      </c>
      <c r="Z1948">
        <v>-1.7399209999999999E-4</v>
      </c>
      <c r="AA1948">
        <v>0.99982110000000002</v>
      </c>
      <c r="AB1948">
        <v>51</v>
      </c>
      <c r="AC1948">
        <v>-19.536499999999901</v>
      </c>
      <c r="AD1948">
        <v>-1.107941890839</v>
      </c>
      <c r="AE1948">
        <v>-0.50319999999999199</v>
      </c>
      <c r="AF1948">
        <v>-0.37885331059375799</v>
      </c>
      <c r="AG1948">
        <v>-1.107941890839</v>
      </c>
      <c r="AH1948">
        <v>19.4766842082003</v>
      </c>
      <c r="AI1948">
        <v>93.255178628206806</v>
      </c>
      <c r="AJ1948">
        <v>91.114355937020903</v>
      </c>
      <c r="AK1948">
        <v>19.5118500611906</v>
      </c>
      <c r="AL1948">
        <v>86.803781955230406</v>
      </c>
      <c r="AM1948">
        <v>91.817038771166693</v>
      </c>
      <c r="AN1948">
        <v>0.999999996017644</v>
      </c>
    </row>
    <row r="1949" spans="1:40" x14ac:dyDescent="0.25">
      <c r="A1949" t="str">
        <f>"20190312151305021"</f>
        <v>20190312151305021</v>
      </c>
      <c r="B1949" t="str">
        <f>"1552374785012392"</f>
        <v>1552374785012392</v>
      </c>
      <c r="C1949" t="s">
        <v>40</v>
      </c>
      <c r="D1949">
        <v>5.0798860000000001</v>
      </c>
      <c r="E1949">
        <v>0.50217369999999995</v>
      </c>
      <c r="F1949" t="s">
        <v>55</v>
      </c>
      <c r="G1949">
        <v>-401.61970000000002</v>
      </c>
      <c r="H1949" s="1">
        <v>8.3494869999999997E-6</v>
      </c>
      <c r="I1949">
        <v>281.3956</v>
      </c>
      <c r="J1949">
        <v>-379.70609999999999</v>
      </c>
      <c r="K1949">
        <v>1.1079060000000001</v>
      </c>
      <c r="L1949">
        <v>282.11579999999998</v>
      </c>
      <c r="M1949">
        <v>-0.99987360000000003</v>
      </c>
      <c r="N1949">
        <v>0</v>
      </c>
      <c r="O1949">
        <v>-4.9894279999999997E-3</v>
      </c>
      <c r="P1949">
        <v>-0.99836979999999997</v>
      </c>
      <c r="Q1949">
        <v>4.2252329999999998E-2</v>
      </c>
      <c r="R1949">
        <v>-3.837293E-2</v>
      </c>
      <c r="S1949">
        <v>-3.006958</v>
      </c>
      <c r="T1949">
        <v>-0.14855829999999901</v>
      </c>
      <c r="U1949">
        <v>-9.6893309999999996E-2</v>
      </c>
      <c r="V1949">
        <v>-3.3165340000000001E-2</v>
      </c>
      <c r="W1949">
        <v>5.7449470000000002E-2</v>
      </c>
      <c r="X1949">
        <v>0.99779739999999995</v>
      </c>
      <c r="Y1949">
        <v>-2.7191460000000001E-2</v>
      </c>
      <c r="Z1949">
        <v>-4.2480129999999998E-4</v>
      </c>
      <c r="AA1949">
        <v>0.99963020000000002</v>
      </c>
      <c r="AB1949">
        <v>51</v>
      </c>
      <c r="AC1949">
        <v>-21.913599999999999</v>
      </c>
      <c r="AD1949">
        <v>-1.107897650513</v>
      </c>
      <c r="AE1949">
        <v>-0.72019999999997697</v>
      </c>
      <c r="AF1949">
        <v>-0.60928654816904204</v>
      </c>
      <c r="AG1949">
        <v>-1.107897650513</v>
      </c>
      <c r="AH1949">
        <v>21.861102869213202</v>
      </c>
      <c r="AI1949">
        <v>92.900083410043095</v>
      </c>
      <c r="AJ1949">
        <v>91.5964662491929</v>
      </c>
      <c r="AK1949">
        <v>21.897636538222901</v>
      </c>
      <c r="AL1949">
        <v>86.706574564458805</v>
      </c>
      <c r="AM1949">
        <v>91.903727828886403</v>
      </c>
      <c r="AN1949">
        <v>1.00000001641367</v>
      </c>
    </row>
    <row r="1950" spans="1:40" x14ac:dyDescent="0.25">
      <c r="A1950" t="str">
        <f>"20190312151305042"</f>
        <v>20190312151305042</v>
      </c>
      <c r="B1950" t="str">
        <f>"1552374785031909"</f>
        <v>1552374785031909</v>
      </c>
      <c r="C1950" t="s">
        <v>40</v>
      </c>
      <c r="D1950">
        <v>4.7155329999999998</v>
      </c>
      <c r="E1950">
        <v>0.50173519999999905</v>
      </c>
      <c r="F1950" t="s">
        <v>55</v>
      </c>
      <c r="G1950">
        <v>-405.35449999999997</v>
      </c>
      <c r="H1950" s="1">
        <v>6.7267729999999898E-6</v>
      </c>
      <c r="I1950">
        <v>281.23340000000002</v>
      </c>
      <c r="J1950">
        <v>-380.2088</v>
      </c>
      <c r="K1950">
        <v>1.107893</v>
      </c>
      <c r="L1950">
        <v>282.11399999999998</v>
      </c>
      <c r="M1950">
        <v>-0.99987939999999997</v>
      </c>
      <c r="N1950">
        <v>0</v>
      </c>
      <c r="O1950">
        <v>-3.6922399999999998E-3</v>
      </c>
      <c r="P1950">
        <v>-0.99829270000000003</v>
      </c>
      <c r="Q1950">
        <v>4.4563739999999998E-2</v>
      </c>
      <c r="R1950">
        <v>-3.7758659999999999E-2</v>
      </c>
      <c r="S1950">
        <v>-3.0064090000000001</v>
      </c>
      <c r="T1950">
        <v>-0.12986349999999999</v>
      </c>
      <c r="U1950">
        <v>-0.1034241</v>
      </c>
      <c r="V1950">
        <v>-3.3831100000000003E-2</v>
      </c>
      <c r="W1950">
        <v>5.9763860000000002E-2</v>
      </c>
      <c r="X1950">
        <v>0.9976391</v>
      </c>
      <c r="Y1950">
        <v>-3.0665029999999999E-2</v>
      </c>
      <c r="Z1950">
        <v>-5.0241010000000004E-4</v>
      </c>
      <c r="AA1950">
        <v>0.99952960000000002</v>
      </c>
      <c r="AB1950">
        <v>51</v>
      </c>
      <c r="AC1950">
        <v>-25.145699999999898</v>
      </c>
      <c r="AD1950">
        <v>-1.1078862732269901</v>
      </c>
      <c r="AE1950">
        <v>-0.88060000000001504</v>
      </c>
      <c r="AF1950">
        <v>-0.78621516599154695</v>
      </c>
      <c r="AG1950">
        <v>-1.1078862732269901</v>
      </c>
      <c r="AH1950">
        <v>25.100116478681699</v>
      </c>
      <c r="AI1950">
        <v>92.526082957980904</v>
      </c>
      <c r="AJ1950">
        <v>91.794098727918495</v>
      </c>
      <c r="AK1950">
        <v>25.136853294018898</v>
      </c>
      <c r="AL1950">
        <v>86.573741443240493</v>
      </c>
      <c r="AM1950">
        <v>91.9422221268089</v>
      </c>
      <c r="AN1950">
        <v>1.00000001806905</v>
      </c>
    </row>
    <row r="1951" spans="1:40" x14ac:dyDescent="0.25">
      <c r="A1951" t="str">
        <f>"20190312151305066"</f>
        <v>20190312151305066</v>
      </c>
      <c r="B1951" t="str">
        <f>"1552374785062165"</f>
        <v>1552374785062165</v>
      </c>
      <c r="C1951" t="s">
        <v>40</v>
      </c>
      <c r="D1951">
        <v>4.7095140000000004</v>
      </c>
      <c r="E1951">
        <v>0.50130710000000001</v>
      </c>
      <c r="F1951" t="s">
        <v>55</v>
      </c>
      <c r="G1951">
        <v>-410.60059999999999</v>
      </c>
      <c r="H1951" s="1">
        <v>2.6234019999999998E-6</v>
      </c>
      <c r="I1951">
        <v>281.05759999999998</v>
      </c>
      <c r="J1951">
        <v>-380.72019999999998</v>
      </c>
      <c r="K1951">
        <v>1.1078680000000001</v>
      </c>
      <c r="L1951">
        <v>282.11290000000002</v>
      </c>
      <c r="M1951">
        <v>-0.99988339999999998</v>
      </c>
      <c r="N1951">
        <v>0</v>
      </c>
      <c r="O1951">
        <v>-2.3662930000000002E-3</v>
      </c>
      <c r="P1951">
        <v>-0.99820319999999996</v>
      </c>
      <c r="Q1951">
        <v>4.7206640000000001E-2</v>
      </c>
      <c r="R1951">
        <v>-3.690848E-2</v>
      </c>
      <c r="S1951">
        <v>-3.0060730000000002</v>
      </c>
      <c r="T1951">
        <v>-0.1095821</v>
      </c>
      <c r="U1951">
        <v>-0.10449219999999999</v>
      </c>
      <c r="V1951">
        <v>-3.4288409999999998E-2</v>
      </c>
      <c r="W1951">
        <v>6.2408690000000003E-2</v>
      </c>
      <c r="X1951">
        <v>0.9974615</v>
      </c>
      <c r="Y1951">
        <v>-3.2354260000000003E-2</v>
      </c>
      <c r="Z1951">
        <v>-5.0312649999999996E-4</v>
      </c>
      <c r="AA1951">
        <v>0.99947629999999998</v>
      </c>
      <c r="AB1951">
        <v>51</v>
      </c>
      <c r="AC1951">
        <v>-29.880400000000002</v>
      </c>
      <c r="AD1951">
        <v>-1.107865376598</v>
      </c>
      <c r="AE1951">
        <v>-1.0553000000000401</v>
      </c>
      <c r="AF1951">
        <v>-0.98323327034152697</v>
      </c>
      <c r="AG1951">
        <v>-1.107865376598</v>
      </c>
      <c r="AH1951">
        <v>29.841841922984202</v>
      </c>
      <c r="AI1951">
        <v>92.124952415976907</v>
      </c>
      <c r="AJ1951">
        <v>91.887106856639903</v>
      </c>
      <c r="AK1951">
        <v>29.8785816717084</v>
      </c>
      <c r="AL1951">
        <v>86.421920182976095</v>
      </c>
      <c r="AM1951">
        <v>91.968805700756704</v>
      </c>
      <c r="AN1951">
        <v>0.99999999181504695</v>
      </c>
    </row>
    <row r="1952" spans="1:40" x14ac:dyDescent="0.25">
      <c r="A1952" t="str">
        <f>"20190312151305088"</f>
        <v>20190312151305088</v>
      </c>
      <c r="B1952" t="str">
        <f>"1552374785081688"</f>
        <v>1552374785081688</v>
      </c>
      <c r="C1952" t="s">
        <v>40</v>
      </c>
      <c r="D1952">
        <v>4.7305760000000001</v>
      </c>
      <c r="E1952">
        <v>0.501027</v>
      </c>
      <c r="F1952" t="s">
        <v>55</v>
      </c>
      <c r="G1952">
        <v>-414.11270000000002</v>
      </c>
      <c r="H1952" s="1">
        <v>3.2562310000000001E-6</v>
      </c>
      <c r="I1952">
        <v>280.94510000000002</v>
      </c>
      <c r="J1952">
        <v>-381.2328</v>
      </c>
      <c r="K1952">
        <v>1.1078460000000001</v>
      </c>
      <c r="L1952">
        <v>282.11250000000001</v>
      </c>
      <c r="M1952">
        <v>-0.99988569999999999</v>
      </c>
      <c r="N1952">
        <v>0</v>
      </c>
      <c r="O1952">
        <v>-1.0319719999999999E-3</v>
      </c>
      <c r="P1952">
        <v>-0.99816499999999997</v>
      </c>
      <c r="Q1952">
        <v>4.840879E-2</v>
      </c>
      <c r="R1952">
        <v>-3.6379929999999998E-2</v>
      </c>
      <c r="S1952">
        <v>-3.006195</v>
      </c>
      <c r="T1952">
        <v>-9.9736450000000004E-2</v>
      </c>
      <c r="U1952">
        <v>-0.10513309999999999</v>
      </c>
      <c r="V1952">
        <v>-3.50824E-2</v>
      </c>
      <c r="W1952">
        <v>6.3614130000000005E-2</v>
      </c>
      <c r="X1952">
        <v>0.99735770000000001</v>
      </c>
      <c r="Y1952">
        <v>-3.3901229999999997E-2</v>
      </c>
      <c r="Z1952">
        <v>-5.2782220000000002E-4</v>
      </c>
      <c r="AA1952">
        <v>0.99942509999999996</v>
      </c>
      <c r="AB1952">
        <v>51</v>
      </c>
      <c r="AC1952">
        <v>-32.879899999999999</v>
      </c>
      <c r="AD1952">
        <v>-1.1078427437689999</v>
      </c>
      <c r="AE1952">
        <v>-1.16739999999998</v>
      </c>
      <c r="AF1952">
        <v>-1.1321806804032899</v>
      </c>
      <c r="AG1952">
        <v>-1.1078427437689999</v>
      </c>
      <c r="AH1952">
        <v>32.8438479930131</v>
      </c>
      <c r="AI1952">
        <v>91.930742715131004</v>
      </c>
      <c r="AJ1952">
        <v>91.974296630222398</v>
      </c>
      <c r="AK1952">
        <v>32.882023958785602</v>
      </c>
      <c r="AL1952">
        <v>86.352715904657799</v>
      </c>
      <c r="AM1952">
        <v>92.0145681389739</v>
      </c>
      <c r="AN1952">
        <v>0.99999995703735201</v>
      </c>
    </row>
    <row r="1953" spans="1:40" x14ac:dyDescent="0.25">
      <c r="A1953" t="str">
        <f>"20190312151305109"</f>
        <v>20190312151305109</v>
      </c>
      <c r="B1953" t="str">
        <f>"1552374785102181"</f>
        <v>1552374785102181</v>
      </c>
      <c r="C1953" t="s">
        <v>40</v>
      </c>
      <c r="D1953">
        <v>4.6870440000000002</v>
      </c>
      <c r="E1953">
        <v>0.50071869999999996</v>
      </c>
      <c r="F1953" t="s">
        <v>55</v>
      </c>
      <c r="G1953">
        <v>-416.2697</v>
      </c>
      <c r="H1953" s="1">
        <v>3.6445220000000002E-6</v>
      </c>
      <c r="I1953">
        <v>280.88010000000003</v>
      </c>
      <c r="J1953">
        <v>-381.73930000000001</v>
      </c>
      <c r="K1953">
        <v>1.107826</v>
      </c>
      <c r="L1953">
        <v>282.11279999999999</v>
      </c>
      <c r="M1953">
        <v>-0.99988619999999995</v>
      </c>
      <c r="N1953">
        <v>0</v>
      </c>
      <c r="O1953">
        <v>2.9005030000000002E-4</v>
      </c>
      <c r="P1953">
        <v>-0.99818530000000005</v>
      </c>
      <c r="Q1953">
        <v>4.9000340000000003E-2</v>
      </c>
      <c r="R1953">
        <v>-3.5004109999999998E-2</v>
      </c>
      <c r="S1953">
        <v>-3.0062869999999999</v>
      </c>
      <c r="T1953">
        <v>-9.5056890000000005E-2</v>
      </c>
      <c r="U1953">
        <v>-0.1057434</v>
      </c>
      <c r="V1953">
        <v>-3.501924E-2</v>
      </c>
      <c r="W1953">
        <v>6.4205620000000005E-2</v>
      </c>
      <c r="X1953">
        <v>0.99732209999999999</v>
      </c>
      <c r="Y1953">
        <v>-3.542443E-2</v>
      </c>
      <c r="Z1953">
        <v>-5.6890350000000001E-4</v>
      </c>
      <c r="AA1953">
        <v>0.99937220000000004</v>
      </c>
      <c r="AB1953">
        <v>51</v>
      </c>
      <c r="AC1953">
        <v>-34.530399999999901</v>
      </c>
      <c r="AD1953">
        <v>-1.107822355478</v>
      </c>
      <c r="AE1953">
        <v>-1.2326999999999599</v>
      </c>
      <c r="AF1953">
        <v>-1.2414404667372201</v>
      </c>
      <c r="AG1953">
        <v>-1.107822355478</v>
      </c>
      <c r="AH1953">
        <v>34.494581283378501</v>
      </c>
      <c r="AI1953">
        <v>91.838280368593203</v>
      </c>
      <c r="AJ1953">
        <v>92.061153103944307</v>
      </c>
      <c r="AK1953">
        <v>34.534686660216799</v>
      </c>
      <c r="AL1953">
        <v>86.318756903936205</v>
      </c>
      <c r="AM1953">
        <v>92.011015948966701</v>
      </c>
      <c r="AN1953">
        <v>1.00000003997908</v>
      </c>
    </row>
    <row r="1954" spans="1:40" x14ac:dyDescent="0.25">
      <c r="A1954" t="str">
        <f>"20190312151305133"</f>
        <v>20190312151305133</v>
      </c>
      <c r="B1954" t="str">
        <f>"1552374785121701"</f>
        <v>1552374785121701</v>
      </c>
      <c r="C1954" t="s">
        <v>40</v>
      </c>
      <c r="D1954">
        <v>4.7555579999999997</v>
      </c>
      <c r="E1954">
        <v>0.50051089999999998</v>
      </c>
      <c r="F1954" t="s">
        <v>55</v>
      </c>
      <c r="G1954">
        <v>-416.05829999999997</v>
      </c>
      <c r="H1954" s="1">
        <v>3.6034239999999999E-6</v>
      </c>
      <c r="I1954">
        <v>280.92140000000001</v>
      </c>
      <c r="J1954">
        <v>-382.26979999999998</v>
      </c>
      <c r="K1954">
        <v>1.1078030000000001</v>
      </c>
      <c r="L1954">
        <v>282.11380000000003</v>
      </c>
      <c r="M1954">
        <v>-0.99988500000000002</v>
      </c>
      <c r="N1954">
        <v>0</v>
      </c>
      <c r="O1954">
        <v>1.6774089999999999E-3</v>
      </c>
      <c r="P1954">
        <v>-0.99818379999999995</v>
      </c>
      <c r="Q1954">
        <v>4.970654E-2</v>
      </c>
      <c r="R1954">
        <v>-3.4041050000000003E-2</v>
      </c>
      <c r="S1954">
        <v>-3.006561</v>
      </c>
      <c r="T1954">
        <v>-9.7052100000000002E-2</v>
      </c>
      <c r="U1954">
        <v>-0.10437009999999999</v>
      </c>
      <c r="V1954">
        <v>-3.5434689999999998E-2</v>
      </c>
      <c r="W1954">
        <v>6.4912739999999997E-2</v>
      </c>
      <c r="X1954">
        <v>0.99726159999999997</v>
      </c>
      <c r="Y1954">
        <v>-3.6349970000000002E-2</v>
      </c>
      <c r="Z1954">
        <v>-6.4048419999999896E-4</v>
      </c>
      <c r="AA1954">
        <v>0.99933890000000003</v>
      </c>
      <c r="AB1954">
        <v>51</v>
      </c>
      <c r="AC1954">
        <v>-33.788499999999999</v>
      </c>
      <c r="AD1954">
        <v>-1.107799396576</v>
      </c>
      <c r="AE1954">
        <v>-1.1924000000000201</v>
      </c>
      <c r="AF1954">
        <v>-1.24774231450325</v>
      </c>
      <c r="AG1954">
        <v>-1.107799396576</v>
      </c>
      <c r="AH1954">
        <v>33.7502177342786</v>
      </c>
      <c r="AI1954">
        <v>91.878689066221</v>
      </c>
      <c r="AJ1954">
        <v>92.117255224823396</v>
      </c>
      <c r="AK1954">
        <v>33.791437931784799</v>
      </c>
      <c r="AL1954">
        <v>86.278157030829803</v>
      </c>
      <c r="AM1954">
        <v>92.034976997553599</v>
      </c>
      <c r="AN1954">
        <v>0.99999998995213102</v>
      </c>
    </row>
    <row r="1955" spans="1:40" x14ac:dyDescent="0.25">
      <c r="A1955" t="str">
        <f>"20190312151305154"</f>
        <v>20190312151305154</v>
      </c>
      <c r="B1955" t="str">
        <f>"1552374785151957"</f>
        <v>1552374785151957</v>
      </c>
      <c r="C1955" t="s">
        <v>40</v>
      </c>
      <c r="D1955">
        <v>4.7362609999999998</v>
      </c>
      <c r="E1955">
        <v>0.50011969999999994</v>
      </c>
      <c r="F1955" t="s">
        <v>55</v>
      </c>
      <c r="G1955">
        <v>-418.13799999999998</v>
      </c>
      <c r="H1955" s="1">
        <v>3.975244E-6</v>
      </c>
      <c r="I1955">
        <v>280.88799999999998</v>
      </c>
      <c r="J1955">
        <v>-382.76889999999997</v>
      </c>
      <c r="K1955">
        <v>1.107785</v>
      </c>
      <c r="L1955">
        <v>282.11540000000002</v>
      </c>
      <c r="M1955">
        <v>-0.99988169999999998</v>
      </c>
      <c r="N1955">
        <v>0</v>
      </c>
      <c r="O1955">
        <v>2.9856050000000001E-3</v>
      </c>
      <c r="P1955">
        <v>-0.99822060000000001</v>
      </c>
      <c r="Q1955">
        <v>4.9524680000000001E-2</v>
      </c>
      <c r="R1955">
        <v>-3.3216509999999998E-2</v>
      </c>
      <c r="S1955">
        <v>-3.0066220000000001</v>
      </c>
      <c r="T1955">
        <v>-9.2860219999999993E-2</v>
      </c>
      <c r="U1955">
        <v>-0.1027527</v>
      </c>
      <c r="V1955">
        <v>-3.5914439999999999E-2</v>
      </c>
      <c r="W1955">
        <v>6.4732399999999995E-2</v>
      </c>
      <c r="X1955">
        <v>0.99725620000000004</v>
      </c>
      <c r="Y1955">
        <v>-3.7120470000000003E-2</v>
      </c>
      <c r="Z1955">
        <v>-6.6510720000000003E-4</v>
      </c>
      <c r="AA1955">
        <v>0.99931060000000005</v>
      </c>
      <c r="AB1955">
        <v>51</v>
      </c>
      <c r="AC1955">
        <v>-35.369100000000003</v>
      </c>
      <c r="AD1955">
        <v>-1.107781024756</v>
      </c>
      <c r="AE1955">
        <v>-1.22740000000004</v>
      </c>
      <c r="AF1955">
        <v>-1.33169991439383</v>
      </c>
      <c r="AG1955">
        <v>-1.107781024756</v>
      </c>
      <c r="AH1955">
        <v>35.330660420810098</v>
      </c>
      <c r="AI1955">
        <v>91.794628058282498</v>
      </c>
      <c r="AJ1955">
        <v>92.158597672861305</v>
      </c>
      <c r="AK1955">
        <v>35.373099514057301</v>
      </c>
      <c r="AL1955">
        <v>86.288511676427703</v>
      </c>
      <c r="AM1955">
        <v>92.062516057916994</v>
      </c>
      <c r="AN1955">
        <v>1.0000000295243501</v>
      </c>
    </row>
    <row r="1956" spans="1:40" x14ac:dyDescent="0.25">
      <c r="A1956" t="str">
        <f>"20190312151305177"</f>
        <v>20190312151305177</v>
      </c>
      <c r="B1956" t="str">
        <f>"1552374785172453"</f>
        <v>1552374785172453</v>
      </c>
      <c r="C1956" t="s">
        <v>40</v>
      </c>
      <c r="D1956">
        <v>4.6809960000000004</v>
      </c>
      <c r="E1956">
        <v>0.4998245</v>
      </c>
      <c r="F1956" t="s">
        <v>55</v>
      </c>
      <c r="G1956">
        <v>-417.02030000000002</v>
      </c>
      <c r="H1956" s="1">
        <v>3.772674E-6</v>
      </c>
      <c r="I1956">
        <v>280.93729999999999</v>
      </c>
      <c r="J1956">
        <v>-383.27890000000002</v>
      </c>
      <c r="K1956">
        <v>1.1077859999999999</v>
      </c>
      <c r="L1956">
        <v>282.11770000000001</v>
      </c>
      <c r="M1956">
        <v>-0.99987700000000002</v>
      </c>
      <c r="N1956">
        <v>0</v>
      </c>
      <c r="O1956">
        <v>4.3243960000000003E-3</v>
      </c>
      <c r="P1956">
        <v>-0.99824369999999996</v>
      </c>
      <c r="Q1956">
        <v>4.9636930000000003E-2</v>
      </c>
      <c r="R1956">
        <v>-3.2337940000000003E-2</v>
      </c>
      <c r="S1956">
        <v>-3.0067439999999999</v>
      </c>
      <c r="T1956">
        <v>-9.7245929999999994E-2</v>
      </c>
      <c r="U1956">
        <v>-0.1034241</v>
      </c>
      <c r="V1956">
        <v>-3.6369720000000001E-2</v>
      </c>
      <c r="W1956">
        <v>6.4845150000000004E-2</v>
      </c>
      <c r="X1956">
        <v>0.99723229999999996</v>
      </c>
      <c r="Y1956">
        <v>-3.8676589999999997E-2</v>
      </c>
      <c r="Z1956">
        <v>-7.6490509999999903E-4</v>
      </c>
      <c r="AA1956">
        <v>0.99925149999999996</v>
      </c>
      <c r="AB1956">
        <v>51</v>
      </c>
      <c r="AC1956">
        <v>-33.741399999999999</v>
      </c>
      <c r="AD1956">
        <v>-1.1077822273260001</v>
      </c>
      <c r="AE1956">
        <v>-1.1804000000000101</v>
      </c>
      <c r="AF1956">
        <v>-1.3248903529796501</v>
      </c>
      <c r="AG1956">
        <v>-1.1077822273260001</v>
      </c>
      <c r="AH1956">
        <v>33.699698494021</v>
      </c>
      <c r="AI1956">
        <v>91.881306356474795</v>
      </c>
      <c r="AJ1956">
        <v>92.251401497427807</v>
      </c>
      <c r="AK1956">
        <v>33.743920852481203</v>
      </c>
      <c r="AL1956">
        <v>86.282037699089798</v>
      </c>
      <c r="AM1956">
        <v>92.088689151997997</v>
      </c>
      <c r="AN1956">
        <v>0.99999995508734396</v>
      </c>
    </row>
    <row r="1957" spans="1:40" x14ac:dyDescent="0.25">
      <c r="A1957" t="str">
        <f>"20190312151305199"</f>
        <v>20190312151305199</v>
      </c>
      <c r="B1957" t="str">
        <f>"1552374785191973"</f>
        <v>1552374785191973</v>
      </c>
      <c r="C1957" t="s">
        <v>40</v>
      </c>
      <c r="D1957">
        <v>4.7320820000000001</v>
      </c>
      <c r="E1957">
        <v>0.49966080000000002</v>
      </c>
      <c r="F1957" t="s">
        <v>55</v>
      </c>
      <c r="G1957">
        <v>-416.39030000000002</v>
      </c>
      <c r="H1957" s="1">
        <v>3.6570249999999999E-6</v>
      </c>
      <c r="I1957">
        <v>280.9819</v>
      </c>
      <c r="J1957">
        <v>-383.7876</v>
      </c>
      <c r="K1957">
        <v>1.1077709999999901</v>
      </c>
      <c r="L1957">
        <v>282.1207</v>
      </c>
      <c r="M1957">
        <v>-0.99987040000000005</v>
      </c>
      <c r="N1957">
        <v>0</v>
      </c>
      <c r="O1957">
        <v>5.6620730000000001E-3</v>
      </c>
      <c r="P1957">
        <v>-0.99831369999999997</v>
      </c>
      <c r="Q1957">
        <v>4.8934600000000002E-2</v>
      </c>
      <c r="R1957">
        <v>-3.123631E-2</v>
      </c>
      <c r="S1957">
        <v>-3.0069270000000001</v>
      </c>
      <c r="T1957">
        <v>-0.1006002</v>
      </c>
      <c r="U1957">
        <v>-0.1031494</v>
      </c>
      <c r="V1957">
        <v>-3.6604390000000001E-2</v>
      </c>
      <c r="W1957">
        <v>6.4142820000000003E-2</v>
      </c>
      <c r="X1957">
        <v>0.99726919999999997</v>
      </c>
      <c r="Y1957">
        <v>-3.991712E-2</v>
      </c>
      <c r="Z1957">
        <v>-8.5670179999999905E-4</v>
      </c>
      <c r="AA1957">
        <v>0.99920260000000005</v>
      </c>
      <c r="AB1957">
        <v>51</v>
      </c>
      <c r="AC1957">
        <v>-32.602699999999999</v>
      </c>
      <c r="AD1957">
        <v>-1.1077673429749999</v>
      </c>
      <c r="AE1957">
        <v>-1.1388</v>
      </c>
      <c r="AF1957">
        <v>-1.32187734186728</v>
      </c>
      <c r="AG1957">
        <v>-1.1077673429749999</v>
      </c>
      <c r="AH1957">
        <v>32.558186290769903</v>
      </c>
      <c r="AI1957">
        <v>91.947090371277696</v>
      </c>
      <c r="AJ1957">
        <v>92.324958083418394</v>
      </c>
      <c r="AK1957">
        <v>32.603834172342097</v>
      </c>
      <c r="AL1957">
        <v>86.322362437357398</v>
      </c>
      <c r="AM1957">
        <v>92.102076331552993</v>
      </c>
      <c r="AN1957">
        <v>1.00000001999673</v>
      </c>
    </row>
    <row r="1958" spans="1:40" x14ac:dyDescent="0.25">
      <c r="A1958" t="str">
        <f>"20190312151305221"</f>
        <v>20190312151305221</v>
      </c>
      <c r="B1958" t="str">
        <f>"1552374785212474"</f>
        <v>1552374785212474</v>
      </c>
      <c r="C1958" t="s">
        <v>40</v>
      </c>
      <c r="D1958">
        <v>4.7696550000000002</v>
      </c>
      <c r="E1958">
        <v>0.4994903</v>
      </c>
      <c r="F1958" t="s">
        <v>55</v>
      </c>
      <c r="G1958">
        <v>-415.26580000000001</v>
      </c>
      <c r="H1958" s="1">
        <v>3.4506480000000001E-6</v>
      </c>
      <c r="I1958">
        <v>281.06079999999997</v>
      </c>
      <c r="J1958">
        <v>-384.29289999999997</v>
      </c>
      <c r="K1958">
        <v>1.1077429999999999</v>
      </c>
      <c r="L1958">
        <v>282.12439999999998</v>
      </c>
      <c r="M1958">
        <v>-0.99986189999999997</v>
      </c>
      <c r="N1958">
        <v>0</v>
      </c>
      <c r="O1958">
        <v>6.9931000000000004E-3</v>
      </c>
      <c r="P1958">
        <v>-0.99847140000000001</v>
      </c>
      <c r="Q1958">
        <v>4.6056779999999999E-2</v>
      </c>
      <c r="R1958">
        <v>-3.0556699999999999E-2</v>
      </c>
      <c r="S1958">
        <v>-3.0070800000000002</v>
      </c>
      <c r="T1958">
        <v>-0.1058239</v>
      </c>
      <c r="U1958">
        <v>-0.10125729999999999</v>
      </c>
      <c r="V1958">
        <v>-3.7266420000000001E-2</v>
      </c>
      <c r="W1958">
        <v>6.1268870000000003E-2</v>
      </c>
      <c r="X1958">
        <v>0.99742540000000002</v>
      </c>
      <c r="Y1958">
        <v>-4.0613570000000002E-2</v>
      </c>
      <c r="Z1958">
        <v>-9.6019029999999997E-4</v>
      </c>
      <c r="AA1958">
        <v>0.99917449999999997</v>
      </c>
      <c r="AB1958">
        <v>51</v>
      </c>
      <c r="AC1958">
        <v>-30.972899999999999</v>
      </c>
      <c r="AD1958">
        <v>-1.1077395493519999</v>
      </c>
      <c r="AE1958">
        <v>-1.0636000000000001</v>
      </c>
      <c r="AF1958">
        <v>-1.2785616832009199</v>
      </c>
      <c r="AG1958">
        <v>-1.1077395493519999</v>
      </c>
      <c r="AH1958">
        <v>30.925193302645901</v>
      </c>
      <c r="AI1958">
        <v>92.049706574752705</v>
      </c>
      <c r="AJ1958">
        <v>92.367470798841495</v>
      </c>
      <c r="AK1958">
        <v>30.971428570425498</v>
      </c>
      <c r="AL1958">
        <v>86.487352475057605</v>
      </c>
      <c r="AM1958">
        <v>92.139724791613403</v>
      </c>
      <c r="AN1958">
        <v>1.00000004452792</v>
      </c>
    </row>
    <row r="1959" spans="1:40" x14ac:dyDescent="0.25">
      <c r="A1959" t="str">
        <f>"20190312151305243"</f>
        <v>20190312151305243</v>
      </c>
      <c r="B1959" t="str">
        <f>"1552374785231990"</f>
        <v>1552374785231990</v>
      </c>
      <c r="C1959" t="s">
        <v>40</v>
      </c>
      <c r="D1959">
        <v>4.889335</v>
      </c>
      <c r="E1959">
        <v>0.49931619999999999</v>
      </c>
      <c r="F1959" t="s">
        <v>55</v>
      </c>
      <c r="G1959">
        <v>-412.86959999999999</v>
      </c>
      <c r="H1959" s="1">
        <v>3.0163170000000001E-6</v>
      </c>
      <c r="I1959">
        <v>281.16699999999997</v>
      </c>
      <c r="J1959">
        <v>-384.79129999999998</v>
      </c>
      <c r="K1959">
        <v>1.1077140000000001</v>
      </c>
      <c r="L1959">
        <v>282.12869999999998</v>
      </c>
      <c r="M1959">
        <v>-0.99985190000000002</v>
      </c>
      <c r="N1959">
        <v>0</v>
      </c>
      <c r="O1959">
        <v>8.3075279999999998E-3</v>
      </c>
      <c r="P1959">
        <v>-0.99861690000000003</v>
      </c>
      <c r="Q1959">
        <v>4.3116660000000001E-2</v>
      </c>
      <c r="R1959">
        <v>-3.0089359999999999E-2</v>
      </c>
      <c r="S1959">
        <v>-3.0068969999999999</v>
      </c>
      <c r="T1959">
        <v>-0.1165587</v>
      </c>
      <c r="U1959">
        <v>-0.10073849999999999</v>
      </c>
      <c r="V1959">
        <v>-3.8124940000000003E-2</v>
      </c>
      <c r="W1959">
        <v>5.8332040000000002E-2</v>
      </c>
      <c r="X1959">
        <v>0.99756900000000004</v>
      </c>
      <c r="Y1959">
        <v>-4.1748790000000001E-2</v>
      </c>
      <c r="Z1959">
        <v>-1.130505E-3</v>
      </c>
      <c r="AA1959">
        <v>0.99912749999999995</v>
      </c>
      <c r="AB1959">
        <v>51</v>
      </c>
      <c r="AC1959">
        <v>-28.078299999999999</v>
      </c>
      <c r="AD1959">
        <v>-1.1077109836829999</v>
      </c>
      <c r="AE1959">
        <v>-0.96169999999995004</v>
      </c>
      <c r="AF1959">
        <v>-1.1930998457339901</v>
      </c>
      <c r="AG1959">
        <v>-1.1077109836829999</v>
      </c>
      <c r="AH1959">
        <v>28.025773385018098</v>
      </c>
      <c r="AI1959">
        <v>92.261375645153393</v>
      </c>
      <c r="AJ1959">
        <v>92.437696644267703</v>
      </c>
      <c r="AK1959">
        <v>28.073020583714399</v>
      </c>
      <c r="AL1959">
        <v>86.655922104332504</v>
      </c>
      <c r="AM1959">
        <v>92.188656196986301</v>
      </c>
      <c r="AN1959">
        <v>1.00000002385078</v>
      </c>
    </row>
    <row r="1960" spans="1:40" x14ac:dyDescent="0.25">
      <c r="A1960" t="str">
        <f>"20190312151305266"</f>
        <v>20190312151305266</v>
      </c>
      <c r="B1960" t="str">
        <f>"1552374785262245"</f>
        <v>1552374785262245</v>
      </c>
      <c r="C1960" t="s">
        <v>40</v>
      </c>
      <c r="D1960">
        <v>4.7421759999999997</v>
      </c>
      <c r="E1960">
        <v>0.49915920000000003</v>
      </c>
      <c r="F1960" t="s">
        <v>55</v>
      </c>
      <c r="G1960">
        <v>-411.2704</v>
      </c>
      <c r="H1960" s="1">
        <v>2.7261040000000001E-6</v>
      </c>
      <c r="I1960">
        <v>281.24200000000002</v>
      </c>
      <c r="J1960">
        <v>-385.30380000000002</v>
      </c>
      <c r="K1960">
        <v>1.107696</v>
      </c>
      <c r="L1960">
        <v>282.13380000000001</v>
      </c>
      <c r="M1960">
        <v>-0.9998399</v>
      </c>
      <c r="N1960">
        <v>0</v>
      </c>
      <c r="O1960">
        <v>9.6612739999999992E-3</v>
      </c>
      <c r="P1960">
        <v>-0.99875040000000004</v>
      </c>
      <c r="Q1960">
        <v>4.0282249999999999E-2</v>
      </c>
      <c r="R1960">
        <v>-2.9591659999999999E-2</v>
      </c>
      <c r="S1960">
        <v>-3.006561</v>
      </c>
      <c r="T1960">
        <v>-0.12577430000000001</v>
      </c>
      <c r="U1960">
        <v>-0.1006775</v>
      </c>
      <c r="V1960">
        <v>-3.8992199999999998E-2</v>
      </c>
      <c r="W1960">
        <v>5.5500889999999997E-2</v>
      </c>
      <c r="X1960">
        <v>0.99769699999999994</v>
      </c>
      <c r="Y1960">
        <v>-4.307648E-2</v>
      </c>
      <c r="Z1960">
        <v>-1.3042990000000001E-3</v>
      </c>
      <c r="AA1960">
        <v>0.99907089999999998</v>
      </c>
      <c r="AB1960">
        <v>51</v>
      </c>
      <c r="AC1960">
        <v>-25.9665999999999</v>
      </c>
      <c r="AD1960">
        <v>-1.1076932738959999</v>
      </c>
      <c r="AE1960">
        <v>-0.89179999999998905</v>
      </c>
      <c r="AF1960">
        <v>-1.1405841454488299</v>
      </c>
      <c r="AG1960">
        <v>-1.1076932738959999</v>
      </c>
      <c r="AH1960">
        <v>25.909677653928899</v>
      </c>
      <c r="AI1960">
        <v>92.445658796816403</v>
      </c>
      <c r="AJ1960">
        <v>92.520621573374697</v>
      </c>
      <c r="AK1960">
        <v>25.958415065492499</v>
      </c>
      <c r="AL1960">
        <v>86.818398479317196</v>
      </c>
      <c r="AM1960">
        <v>92.238106431374803</v>
      </c>
      <c r="AN1960">
        <v>1.00000002213031</v>
      </c>
    </row>
    <row r="1961" spans="1:40" x14ac:dyDescent="0.25">
      <c r="A1961" t="str">
        <f>"20190312151305289"</f>
        <v>20190312151305289</v>
      </c>
      <c r="B1961" t="str">
        <f>"1552374785281765"</f>
        <v>1552374785281765</v>
      </c>
      <c r="C1961" t="s">
        <v>40</v>
      </c>
      <c r="D1961">
        <v>4.7031970000000003</v>
      </c>
      <c r="E1961">
        <v>0.49902489999999999</v>
      </c>
      <c r="F1961" t="s">
        <v>55</v>
      </c>
      <c r="G1961">
        <v>-410.58670000000001</v>
      </c>
      <c r="H1961" s="1">
        <v>2.6007649999999998E-6</v>
      </c>
      <c r="I1961">
        <v>281.28829999999999</v>
      </c>
      <c r="J1961">
        <v>-385.82569999999998</v>
      </c>
      <c r="K1961">
        <v>1.1076900000000001</v>
      </c>
      <c r="L1961">
        <v>282.1397</v>
      </c>
      <c r="M1961">
        <v>-0.99982559999999998</v>
      </c>
      <c r="N1961">
        <v>0</v>
      </c>
      <c r="O1961">
        <v>1.1041820000000001E-2</v>
      </c>
      <c r="P1961">
        <v>-0.9987994</v>
      </c>
      <c r="Q1961">
        <v>3.9768730000000002E-2</v>
      </c>
      <c r="R1961">
        <v>-2.8609599999999999E-2</v>
      </c>
      <c r="S1961">
        <v>-3.0061339999999999</v>
      </c>
      <c r="T1961">
        <v>-0.13170490000000001</v>
      </c>
      <c r="U1961">
        <v>-0.1005249</v>
      </c>
      <c r="V1961">
        <v>-3.9391040000000002E-2</v>
      </c>
      <c r="W1961">
        <v>5.4986689999999998E-2</v>
      </c>
      <c r="X1961">
        <v>0.99770979999999998</v>
      </c>
      <c r="Y1961">
        <v>-4.440297E-2</v>
      </c>
      <c r="Z1961">
        <v>-1.455423E-3</v>
      </c>
      <c r="AA1961">
        <v>0.99901260000000003</v>
      </c>
      <c r="AB1961">
        <v>51</v>
      </c>
      <c r="AC1961">
        <v>-24.760999999999999</v>
      </c>
      <c r="AD1961">
        <v>-1.107687399235</v>
      </c>
      <c r="AE1961">
        <v>-0.85140000000001204</v>
      </c>
      <c r="AF1961">
        <v>-1.1225417887321101</v>
      </c>
      <c r="AG1961">
        <v>-1.107687399235</v>
      </c>
      <c r="AH1961">
        <v>24.700714529300299</v>
      </c>
      <c r="AI1961">
        <v>92.565027612509894</v>
      </c>
      <c r="AJ1961">
        <v>92.602057658678504</v>
      </c>
      <c r="AK1961">
        <v>24.751007448179902</v>
      </c>
      <c r="AL1961">
        <v>86.847905013980096</v>
      </c>
      <c r="AM1961">
        <v>92.260946763018595</v>
      </c>
      <c r="AN1961">
        <v>1.0000000175627299</v>
      </c>
    </row>
    <row r="1962" spans="1:40" x14ac:dyDescent="0.25">
      <c r="A1962" t="str">
        <f>"20190312151305311"</f>
        <v>20190312151305311</v>
      </c>
      <c r="B1962" t="str">
        <f>"1552374785302261"</f>
        <v>1552374785302261</v>
      </c>
      <c r="C1962" t="s">
        <v>40</v>
      </c>
      <c r="D1962">
        <v>4.7560729999999998</v>
      </c>
      <c r="E1962">
        <v>0.49885839999999998</v>
      </c>
      <c r="F1962" t="s">
        <v>55</v>
      </c>
      <c r="G1962">
        <v>-410.43810000000002</v>
      </c>
      <c r="H1962" s="1">
        <v>2.570676E-6</v>
      </c>
      <c r="I1962">
        <v>281.33089999999999</v>
      </c>
      <c r="J1962">
        <v>-386.32780000000002</v>
      </c>
      <c r="K1962">
        <v>1.1076870000000001</v>
      </c>
      <c r="L1962">
        <v>282.14609999999999</v>
      </c>
      <c r="M1962">
        <v>-0.99980999999999998</v>
      </c>
      <c r="N1962">
        <v>0</v>
      </c>
      <c r="O1962">
        <v>1.237134E-2</v>
      </c>
      <c r="P1962">
        <v>-0.99879280000000004</v>
      </c>
      <c r="Q1962">
        <v>4.0420659999999997E-2</v>
      </c>
      <c r="R1962">
        <v>-2.791457E-2</v>
      </c>
      <c r="S1962">
        <v>-3.006195</v>
      </c>
      <c r="T1962">
        <v>-0.13529479999999999</v>
      </c>
      <c r="U1962">
        <v>-9.8785399999999995E-2</v>
      </c>
      <c r="V1962">
        <v>-4.0020420000000001E-2</v>
      </c>
      <c r="W1962">
        <v>5.5637529999999998E-2</v>
      </c>
      <c r="X1962">
        <v>0.99764870000000005</v>
      </c>
      <c r="Y1962">
        <v>-4.5148279999999999E-2</v>
      </c>
      <c r="Z1962">
        <v>-1.5715950000000001E-3</v>
      </c>
      <c r="AA1962">
        <v>0.99897899999999995</v>
      </c>
      <c r="AB1962">
        <v>51</v>
      </c>
      <c r="AC1962">
        <v>-24.110299999999899</v>
      </c>
      <c r="AD1962">
        <v>-1.107684429324</v>
      </c>
      <c r="AE1962">
        <v>-0.81520000000000403</v>
      </c>
      <c r="AF1962">
        <v>-1.1111056317457</v>
      </c>
      <c r="AG1962">
        <v>-1.107684429324</v>
      </c>
      <c r="AH1962">
        <v>24.047668711460801</v>
      </c>
      <c r="AI1962">
        <v>92.634489119251199</v>
      </c>
      <c r="AJ1962">
        <v>92.645429774036501</v>
      </c>
      <c r="AK1962">
        <v>24.0987943884343</v>
      </c>
      <c r="AL1962">
        <v>86.810557553325097</v>
      </c>
      <c r="AM1962">
        <v>92.297173731020095</v>
      </c>
      <c r="AN1962">
        <v>1.0000000486865801</v>
      </c>
    </row>
    <row r="1963" spans="1:40" x14ac:dyDescent="0.25">
      <c r="A1963" t="str">
        <f>"20190312151305333"</f>
        <v>20190312151305333</v>
      </c>
      <c r="B1963" t="str">
        <f>"1552374785321781"</f>
        <v>1552374785321781</v>
      </c>
      <c r="C1963" t="s">
        <v>40</v>
      </c>
      <c r="D1963">
        <v>4.8278470000000002</v>
      </c>
      <c r="E1963">
        <v>0.4987856</v>
      </c>
      <c r="F1963" t="s">
        <v>55</v>
      </c>
      <c r="G1963">
        <v>-411.03579999999999</v>
      </c>
      <c r="H1963" s="1">
        <v>2.675675E-6</v>
      </c>
      <c r="I1963">
        <v>281.34269999999998</v>
      </c>
      <c r="J1963">
        <v>-386.83190000000002</v>
      </c>
      <c r="K1963">
        <v>1.1076820000000001</v>
      </c>
      <c r="L1963">
        <v>282.15309999999999</v>
      </c>
      <c r="M1963">
        <v>-0.99979260000000003</v>
      </c>
      <c r="N1963">
        <v>0</v>
      </c>
      <c r="O1963">
        <v>1.370645E-2</v>
      </c>
      <c r="P1963">
        <v>-0.99874450000000004</v>
      </c>
      <c r="Q1963">
        <v>4.1401479999999997E-2</v>
      </c>
      <c r="R1963">
        <v>-2.8203599999999999E-2</v>
      </c>
      <c r="S1963">
        <v>-3.006348</v>
      </c>
      <c r="T1963">
        <v>-0.13477729999999999</v>
      </c>
      <c r="U1963">
        <v>-9.7747799999999996E-2</v>
      </c>
      <c r="V1963">
        <v>-4.1637390000000003E-2</v>
      </c>
      <c r="W1963">
        <v>5.6621600000000001E-2</v>
      </c>
      <c r="X1963">
        <v>0.9975271</v>
      </c>
      <c r="Y1963">
        <v>-4.6134290000000001E-2</v>
      </c>
      <c r="Z1963">
        <v>-1.647421E-3</v>
      </c>
      <c r="AA1963">
        <v>0.99893390000000004</v>
      </c>
      <c r="AB1963">
        <v>51</v>
      </c>
      <c r="AC1963">
        <v>-24.203899999999901</v>
      </c>
      <c r="AD1963">
        <v>-1.107679324325</v>
      </c>
      <c r="AE1963">
        <v>-0.810400000000015</v>
      </c>
      <c r="AF1963">
        <v>-1.1397266841506699</v>
      </c>
      <c r="AG1963">
        <v>-1.107679324325</v>
      </c>
      <c r="AH1963">
        <v>24.140014883641399</v>
      </c>
      <c r="AI1963">
        <v>92.624289852814201</v>
      </c>
      <c r="AJ1963">
        <v>92.703108222974507</v>
      </c>
      <c r="AK1963">
        <v>24.192276639095599</v>
      </c>
      <c r="AL1963">
        <v>86.754085297940705</v>
      </c>
      <c r="AM1963">
        <v>92.390173336089106</v>
      </c>
      <c r="AN1963">
        <v>0.99999999653349103</v>
      </c>
    </row>
    <row r="1964" spans="1:40" x14ac:dyDescent="0.25">
      <c r="A1964" t="str">
        <f>"20190312151305356"</f>
        <v>20190312151305356</v>
      </c>
      <c r="B1964" t="str">
        <f>"1552374785352037"</f>
        <v>1552374785352037</v>
      </c>
      <c r="C1964" t="s">
        <v>40</v>
      </c>
      <c r="D1964">
        <v>4.7407690000000002</v>
      </c>
      <c r="E1964">
        <v>0.49860399999999999</v>
      </c>
      <c r="F1964" t="s">
        <v>55</v>
      </c>
      <c r="G1964">
        <v>-411.84230000000002</v>
      </c>
      <c r="H1964" s="1">
        <v>2.8200699999999999E-6</v>
      </c>
      <c r="I1964">
        <v>281.32729999999998</v>
      </c>
      <c r="J1964">
        <v>-387.3519</v>
      </c>
      <c r="K1964">
        <v>1.1076820000000001</v>
      </c>
      <c r="L1964">
        <v>282.16109999999998</v>
      </c>
      <c r="M1964">
        <v>-0.99977280000000002</v>
      </c>
      <c r="N1964">
        <v>0</v>
      </c>
      <c r="O1964">
        <v>1.5084699999999999E-2</v>
      </c>
      <c r="P1964">
        <v>-0.99869620000000003</v>
      </c>
      <c r="Q1964">
        <v>4.1912459999999999E-2</v>
      </c>
      <c r="R1964">
        <v>-2.9142000000000001E-2</v>
      </c>
      <c r="S1964">
        <v>-3.0065</v>
      </c>
      <c r="T1964">
        <v>-0.13315450000000001</v>
      </c>
      <c r="U1964">
        <v>-9.9273680000000003E-2</v>
      </c>
      <c r="V1964">
        <v>-4.3948630000000002E-2</v>
      </c>
      <c r="W1964">
        <v>5.7138130000000002E-2</v>
      </c>
      <c r="X1964">
        <v>0.99739849999999997</v>
      </c>
      <c r="Y1964">
        <v>-4.8014340000000003E-2</v>
      </c>
      <c r="Z1964">
        <v>-1.730114E-3</v>
      </c>
      <c r="AA1964">
        <v>0.99884519999999999</v>
      </c>
      <c r="AB1964">
        <v>51</v>
      </c>
      <c r="AC1964">
        <v>-24.490400000000001</v>
      </c>
      <c r="AD1964">
        <v>-1.1076791799299901</v>
      </c>
      <c r="AE1964">
        <v>-0.83379999999999599</v>
      </c>
      <c r="AF1964">
        <v>-1.2007239010008499</v>
      </c>
      <c r="AG1964">
        <v>-1.1076791799299901</v>
      </c>
      <c r="AH1964">
        <v>24.4251258146422</v>
      </c>
      <c r="AI1964">
        <v>92.593456310217405</v>
      </c>
      <c r="AJ1964">
        <v>92.814359025776</v>
      </c>
      <c r="AK1964">
        <v>24.479694894201302</v>
      </c>
      <c r="AL1964">
        <v>86.724442354656006</v>
      </c>
      <c r="AM1964">
        <v>92.523006841361905</v>
      </c>
      <c r="AN1964">
        <v>1.00000000789051</v>
      </c>
    </row>
    <row r="1965" spans="1:40" x14ac:dyDescent="0.25">
      <c r="A1965" t="str">
        <f>"20190312151305379"</f>
        <v>20190312151305379</v>
      </c>
      <c r="B1965" t="str">
        <f>"1552374785371557"</f>
        <v>1552374785371557</v>
      </c>
      <c r="C1965" t="s">
        <v>40</v>
      </c>
      <c r="D1965">
        <v>4.7132649999999998</v>
      </c>
      <c r="E1965">
        <v>0.49847209999999997</v>
      </c>
      <c r="F1965" t="s">
        <v>55</v>
      </c>
      <c r="G1965">
        <v>-412.60629999999998</v>
      </c>
      <c r="H1965" s="1">
        <v>2.958933E-6</v>
      </c>
      <c r="I1965">
        <v>281.28919999999999</v>
      </c>
      <c r="J1965">
        <v>-387.86239999999998</v>
      </c>
      <c r="K1965">
        <v>1.107683</v>
      </c>
      <c r="L1965">
        <v>282.1696</v>
      </c>
      <c r="M1965">
        <v>-0.99975159999999996</v>
      </c>
      <c r="N1965">
        <v>0</v>
      </c>
      <c r="O1965">
        <v>1.6439039999999999E-2</v>
      </c>
      <c r="P1965">
        <v>-0.99869189999999997</v>
      </c>
      <c r="Q1965">
        <v>4.1042719999999998E-2</v>
      </c>
      <c r="R1965">
        <v>-3.0501759999999999E-2</v>
      </c>
      <c r="S1965">
        <v>-3.0063780000000002</v>
      </c>
      <c r="T1965">
        <v>-0.1318619</v>
      </c>
      <c r="U1965">
        <v>-0.1037903</v>
      </c>
      <c r="V1965">
        <v>-4.6664039999999997E-2</v>
      </c>
      <c r="W1965">
        <v>5.6275970000000002E-2</v>
      </c>
      <c r="X1965">
        <v>0.99732419999999999</v>
      </c>
      <c r="Y1965">
        <v>-5.0864630000000001E-2</v>
      </c>
      <c r="Z1965">
        <v>-1.835188E-3</v>
      </c>
      <c r="AA1965">
        <v>0.99870389999999998</v>
      </c>
      <c r="AB1965">
        <v>51</v>
      </c>
      <c r="AC1965">
        <v>-24.7439</v>
      </c>
      <c r="AD1965">
        <v>-1.107680041067</v>
      </c>
      <c r="AE1965">
        <v>-0.88040000000000795</v>
      </c>
      <c r="AF1965">
        <v>-1.2845221437058001</v>
      </c>
      <c r="AG1965">
        <v>-1.107680041067</v>
      </c>
      <c r="AH1965">
        <v>24.676692069875401</v>
      </c>
      <c r="AI1965">
        <v>92.566680332089007</v>
      </c>
      <c r="AJ1965">
        <v>92.979788826996199</v>
      </c>
      <c r="AK1965">
        <v>24.734916286951599</v>
      </c>
      <c r="AL1965">
        <v>86.773920201065906</v>
      </c>
      <c r="AM1965">
        <v>92.678872149285993</v>
      </c>
      <c r="AN1965">
        <v>1.0000000386671</v>
      </c>
    </row>
    <row r="1966" spans="1:40" x14ac:dyDescent="0.25">
      <c r="A1966" t="str">
        <f>"20190312151305400"</f>
        <v>20190312151305400</v>
      </c>
      <c r="B1966" t="str">
        <f>"1552374785392053"</f>
        <v>1552374785392053</v>
      </c>
      <c r="C1966" t="s">
        <v>40</v>
      </c>
      <c r="D1966">
        <v>4.6799850000000003</v>
      </c>
      <c r="E1966">
        <v>0.48511919999999997</v>
      </c>
      <c r="F1966" t="s">
        <v>55</v>
      </c>
      <c r="G1966">
        <v>-412.57769999999999</v>
      </c>
      <c r="H1966" s="1">
        <v>2.9554320000000001E-6</v>
      </c>
      <c r="I1966">
        <v>281.27120000000002</v>
      </c>
      <c r="J1966">
        <v>-388.35390000000001</v>
      </c>
      <c r="K1966">
        <v>1.1076820000000001</v>
      </c>
      <c r="L1966">
        <v>282.17849999999999</v>
      </c>
      <c r="M1966">
        <v>-0.99972950000000005</v>
      </c>
      <c r="N1966">
        <v>0</v>
      </c>
      <c r="O1966">
        <v>1.7743140000000001E-2</v>
      </c>
      <c r="P1966">
        <v>-0.99865749999999998</v>
      </c>
      <c r="Q1966">
        <v>4.0943830000000001E-2</v>
      </c>
      <c r="R1966">
        <v>-3.1738519999999999E-2</v>
      </c>
      <c r="S1966">
        <v>-3.0061339999999999</v>
      </c>
      <c r="T1966">
        <v>-0.13472799999999999</v>
      </c>
      <c r="U1966">
        <v>-0.1092834</v>
      </c>
      <c r="V1966">
        <v>-4.9202210000000003E-2</v>
      </c>
      <c r="W1966">
        <v>5.6184089999999999E-2</v>
      </c>
      <c r="X1966">
        <v>0.99720730000000002</v>
      </c>
      <c r="Y1966">
        <v>-5.3985279999999997E-2</v>
      </c>
      <c r="Z1966">
        <v>-2.0034100000000002E-3</v>
      </c>
      <c r="AA1966">
        <v>0.99853970000000003</v>
      </c>
      <c r="AB1966">
        <v>51</v>
      </c>
      <c r="AC1966">
        <v>-24.223799999999901</v>
      </c>
      <c r="AD1966">
        <v>-1.107679044568</v>
      </c>
      <c r="AE1966">
        <v>-0.90729999999996302</v>
      </c>
      <c r="AF1966">
        <v>-1.3342261231952199</v>
      </c>
      <c r="AG1966">
        <v>-1.107679044568</v>
      </c>
      <c r="AH1966">
        <v>24.153452734812898</v>
      </c>
      <c r="AI1966">
        <v>92.621757349165406</v>
      </c>
      <c r="AJ1966">
        <v>93.161780352416798</v>
      </c>
      <c r="AK1966">
        <v>24.2156228750456</v>
      </c>
      <c r="AL1966">
        <v>86.779192607306001</v>
      </c>
      <c r="AM1966">
        <v>92.824683181838907</v>
      </c>
      <c r="AN1966">
        <v>0.99999995430565003</v>
      </c>
    </row>
    <row r="1967" spans="1:40" x14ac:dyDescent="0.25">
      <c r="A1967" t="str">
        <f>"20190312151305423"</f>
        <v>20190312151305423</v>
      </c>
      <c r="B1967" t="str">
        <f>"1552374785411573"</f>
        <v>1552374785411573</v>
      </c>
      <c r="C1967" t="s">
        <v>40</v>
      </c>
      <c r="D1967">
        <v>4.6072040000000003</v>
      </c>
      <c r="E1967">
        <v>0.48526330000000001</v>
      </c>
      <c r="F1967" t="s">
        <v>55</v>
      </c>
      <c r="G1967">
        <v>-404.29629999999997</v>
      </c>
      <c r="H1967" s="1">
        <v>7.2438399999999901E-6</v>
      </c>
      <c r="I1967">
        <v>281.00220000000002</v>
      </c>
      <c r="J1967">
        <v>-388.85899999999998</v>
      </c>
      <c r="K1967">
        <v>1.1076919999999999</v>
      </c>
      <c r="L1967">
        <v>282.18830000000003</v>
      </c>
      <c r="M1967">
        <v>-0.99970460000000005</v>
      </c>
      <c r="N1967">
        <v>0</v>
      </c>
      <c r="O1967">
        <v>1.9084480000000001E-2</v>
      </c>
      <c r="P1967">
        <v>-0.99855430000000001</v>
      </c>
      <c r="Q1967">
        <v>4.3024880000000001E-2</v>
      </c>
      <c r="R1967">
        <v>-3.2220899999999997E-2</v>
      </c>
      <c r="S1967">
        <v>-3.0055540000000001</v>
      </c>
      <c r="T1967">
        <v>-0.2088265</v>
      </c>
      <c r="U1967">
        <v>-0.2217712</v>
      </c>
      <c r="V1967">
        <v>-5.1012460000000003E-2</v>
      </c>
      <c r="W1967">
        <v>5.8266829999999999E-2</v>
      </c>
      <c r="X1967">
        <v>0.99699680000000002</v>
      </c>
      <c r="Y1967">
        <v>-9.2341300000000001E-2</v>
      </c>
      <c r="Z1967">
        <v>-4.5226779999999996E-3</v>
      </c>
      <c r="AA1967">
        <v>0.99571719999999997</v>
      </c>
      <c r="AB1967">
        <v>51</v>
      </c>
      <c r="AC1967">
        <v>-15.437299999999899</v>
      </c>
      <c r="AD1967">
        <v>-1.1076847561599901</v>
      </c>
      <c r="AE1967">
        <v>-1.1861000000000099</v>
      </c>
      <c r="AF1967">
        <v>-1.4729908032938399</v>
      </c>
      <c r="AG1967">
        <v>-1.1076847561599901</v>
      </c>
      <c r="AH1967">
        <v>15.3333670165015</v>
      </c>
      <c r="AI1967">
        <v>94.113009000949802</v>
      </c>
      <c r="AJ1967">
        <v>95.487246948641797</v>
      </c>
      <c r="AK1967">
        <v>15.443730491314399</v>
      </c>
      <c r="AL1967">
        <v>86.6596645037462</v>
      </c>
      <c r="AM1967">
        <v>92.929048576496299</v>
      </c>
      <c r="AN1967">
        <v>0.99999995688186905</v>
      </c>
    </row>
    <row r="1968" spans="1:40" x14ac:dyDescent="0.25">
      <c r="A1968" t="str">
        <f>"20190312151305444"</f>
        <v>20190312151305444</v>
      </c>
      <c r="B1968" t="str">
        <f>"1552374785432069"</f>
        <v>1552374785432069</v>
      </c>
      <c r="C1968" t="s">
        <v>40</v>
      </c>
      <c r="D1968">
        <v>4.5902260000000004</v>
      </c>
      <c r="E1968">
        <v>0.48529240000000001</v>
      </c>
      <c r="F1968" t="s">
        <v>55</v>
      </c>
      <c r="G1968">
        <v>-405.52879999999999</v>
      </c>
      <c r="H1968" s="1">
        <v>6.706889E-6</v>
      </c>
      <c r="I1968">
        <v>280.95549999999997</v>
      </c>
      <c r="J1968">
        <v>-389.34519999999998</v>
      </c>
      <c r="K1968">
        <v>1.107702</v>
      </c>
      <c r="L1968">
        <v>282.19830000000002</v>
      </c>
      <c r="M1968">
        <v>-0.99967930000000005</v>
      </c>
      <c r="N1968">
        <v>0</v>
      </c>
      <c r="O1968">
        <v>2.037479E-2</v>
      </c>
      <c r="P1968">
        <v>-0.99850700000000003</v>
      </c>
      <c r="Q1968">
        <v>4.3796469999999997E-2</v>
      </c>
      <c r="R1968">
        <v>-3.2648539999999997E-2</v>
      </c>
      <c r="S1968">
        <v>-3.0057680000000002</v>
      </c>
      <c r="T1968">
        <v>-0.19972909999999999</v>
      </c>
      <c r="U1968">
        <v>-0.22228999999999999</v>
      </c>
      <c r="V1968">
        <v>-5.2723819999999998E-2</v>
      </c>
      <c r="W1968">
        <v>5.9040349999999998E-2</v>
      </c>
      <c r="X1968">
        <v>0.99686229999999998</v>
      </c>
      <c r="Y1968">
        <v>-9.3808840000000004E-2</v>
      </c>
      <c r="Z1968">
        <v>-4.459953E-3</v>
      </c>
      <c r="AA1968">
        <v>0.99558029999999997</v>
      </c>
      <c r="AB1968">
        <v>51</v>
      </c>
      <c r="AC1968">
        <v>-16.183599999999998</v>
      </c>
      <c r="AD1968">
        <v>-1.107695293111</v>
      </c>
      <c r="AE1968">
        <v>-1.2428000000000401</v>
      </c>
      <c r="AF1968">
        <v>-1.56502785096106</v>
      </c>
      <c r="AG1968">
        <v>-1.107695293111</v>
      </c>
      <c r="AH1968">
        <v>16.080025140671601</v>
      </c>
      <c r="AI1968">
        <v>93.922200718797896</v>
      </c>
      <c r="AJ1968">
        <v>95.558943654096495</v>
      </c>
      <c r="AK1968">
        <v>16.193934344725999</v>
      </c>
      <c r="AL1968">
        <v>86.615268799093201</v>
      </c>
      <c r="AM1968">
        <v>93.027539824105205</v>
      </c>
      <c r="AN1968">
        <v>1.0000000046424</v>
      </c>
    </row>
    <row r="1969" spans="1:40" x14ac:dyDescent="0.25">
      <c r="A1969" t="str">
        <f>"20190312151305467"</f>
        <v>20190312151305467</v>
      </c>
      <c r="B1969" t="str">
        <f>"1552374785462325"</f>
        <v>1552374785462325</v>
      </c>
      <c r="C1969" t="s">
        <v>40</v>
      </c>
      <c r="D1969">
        <v>4.5787610000000001</v>
      </c>
      <c r="E1969">
        <v>0.48551430000000001</v>
      </c>
      <c r="F1969" t="s">
        <v>55</v>
      </c>
      <c r="G1969">
        <v>-406.27449999999999</v>
      </c>
      <c r="H1969" s="1">
        <v>6.3790939999999999E-6</v>
      </c>
      <c r="I1969">
        <v>280.94159999999999</v>
      </c>
      <c r="J1969">
        <v>-389.85719999999998</v>
      </c>
      <c r="K1969">
        <v>1.107712</v>
      </c>
      <c r="L1969">
        <v>282.2097</v>
      </c>
      <c r="M1969">
        <v>-0.99965079999999995</v>
      </c>
      <c r="N1969">
        <v>0</v>
      </c>
      <c r="O1969">
        <v>2.1728480000000001E-2</v>
      </c>
      <c r="P1969">
        <v>-0.99842790000000003</v>
      </c>
      <c r="Q1969">
        <v>4.5853350000000001E-2</v>
      </c>
      <c r="R1969">
        <v>-3.224167E-2</v>
      </c>
      <c r="S1969">
        <v>-3.0058590000000001</v>
      </c>
      <c r="T1969">
        <v>-0.19667509999999999</v>
      </c>
      <c r="U1969">
        <v>-0.2231445</v>
      </c>
      <c r="V1969">
        <v>-5.3657370000000003E-2</v>
      </c>
      <c r="W1969">
        <v>6.1095139999999999E-2</v>
      </c>
      <c r="X1969">
        <v>0.99668869999999998</v>
      </c>
      <c r="Y1969">
        <v>-9.5437380000000002E-2</v>
      </c>
      <c r="Z1969">
        <v>-4.5332590000000004E-3</v>
      </c>
      <c r="AA1969">
        <v>0.99542509999999995</v>
      </c>
      <c r="AB1969">
        <v>51</v>
      </c>
      <c r="AC1969">
        <v>-16.417300000000001</v>
      </c>
      <c r="AD1969">
        <v>-1.1077056209059899</v>
      </c>
      <c r="AE1969">
        <v>-1.2681</v>
      </c>
      <c r="AF1969">
        <v>-1.6172451003242501</v>
      </c>
      <c r="AG1969">
        <v>-1.1077056209059899</v>
      </c>
      <c r="AH1969">
        <v>16.312046778179798</v>
      </c>
      <c r="AI1969">
        <v>93.865936588374396</v>
      </c>
      <c r="AJ1969">
        <v>95.662041736078294</v>
      </c>
      <c r="AK1969">
        <v>16.4294054533521</v>
      </c>
      <c r="AL1969">
        <v>86.497325161963005</v>
      </c>
      <c r="AM1969">
        <v>93.081579934854403</v>
      </c>
      <c r="AN1969">
        <v>1.0000000470973101</v>
      </c>
    </row>
    <row r="1970" spans="1:40" x14ac:dyDescent="0.25">
      <c r="A1970" t="str">
        <f>"20190312151305489"</f>
        <v>20190312151305489</v>
      </c>
      <c r="B1970" t="str">
        <f>"1552374785481849"</f>
        <v>1552374785481849</v>
      </c>
      <c r="C1970" t="s">
        <v>40</v>
      </c>
      <c r="D1970">
        <v>4.5527160000000002</v>
      </c>
      <c r="E1970">
        <v>0.48552109999999898</v>
      </c>
      <c r="F1970" t="s">
        <v>55</v>
      </c>
      <c r="G1970">
        <v>-407.83800000000002</v>
      </c>
      <c r="H1970" s="1">
        <v>5.6949310000000001E-6</v>
      </c>
      <c r="I1970">
        <v>280.89699999999999</v>
      </c>
      <c r="J1970">
        <v>-390.37290000000002</v>
      </c>
      <c r="K1970">
        <v>1.1077239999999999</v>
      </c>
      <c r="L1970">
        <v>282.2217</v>
      </c>
      <c r="M1970">
        <v>-0.99962039999999996</v>
      </c>
      <c r="N1970">
        <v>0</v>
      </c>
      <c r="O1970">
        <v>2.3082600000000002E-2</v>
      </c>
      <c r="P1970">
        <v>-0.99846919999999995</v>
      </c>
      <c r="Q1970">
        <v>4.5088690000000001E-2</v>
      </c>
      <c r="R1970">
        <v>-3.2034739999999999E-2</v>
      </c>
      <c r="S1970">
        <v>-3.0061339999999999</v>
      </c>
      <c r="T1970">
        <v>-0.1851923</v>
      </c>
      <c r="U1970">
        <v>-0.21945190000000001</v>
      </c>
      <c r="V1970">
        <v>-5.4807160000000001E-2</v>
      </c>
      <c r="W1970">
        <v>6.0331240000000001E-2</v>
      </c>
      <c r="X1970">
        <v>0.99667260000000002</v>
      </c>
      <c r="Y1970">
        <v>-9.5588309999999996E-2</v>
      </c>
      <c r="Z1970">
        <v>-4.3568000000000001E-3</v>
      </c>
      <c r="AA1970">
        <v>0.99541139999999995</v>
      </c>
      <c r="AB1970">
        <v>50</v>
      </c>
      <c r="AC1970">
        <v>-17.4651</v>
      </c>
      <c r="AD1970">
        <v>-1.1077183050689901</v>
      </c>
      <c r="AE1970">
        <v>-1.3247</v>
      </c>
      <c r="AF1970">
        <v>-1.72065044867233</v>
      </c>
      <c r="AG1970">
        <v>-1.1077183050689901</v>
      </c>
      <c r="AH1970">
        <v>17.360428439916401</v>
      </c>
      <c r="AI1970">
        <v>93.633173698278199</v>
      </c>
      <c r="AJ1970">
        <v>95.660291161766693</v>
      </c>
      <c r="AK1970">
        <v>17.480622226550199</v>
      </c>
      <c r="AL1970">
        <v>86.541174056322404</v>
      </c>
      <c r="AM1970">
        <v>93.147532533763197</v>
      </c>
      <c r="AN1970">
        <v>0.99999997744898095</v>
      </c>
    </row>
    <row r="1971" spans="1:40" x14ac:dyDescent="0.25">
      <c r="A1971" t="str">
        <f>"20190312151305512"</f>
        <v>20190312151305512</v>
      </c>
      <c r="B1971" t="str">
        <f>"1552374785502341"</f>
        <v>1552374785502341</v>
      </c>
      <c r="C1971" t="s">
        <v>40</v>
      </c>
      <c r="D1971">
        <v>4.5122179999999998</v>
      </c>
      <c r="E1971">
        <v>0.48541339999999999</v>
      </c>
      <c r="F1971" t="s">
        <v>55</v>
      </c>
      <c r="G1971">
        <v>-408.39609999999999</v>
      </c>
      <c r="H1971" s="1">
        <v>5.4440870000000004E-6</v>
      </c>
      <c r="I1971">
        <v>280.9135</v>
      </c>
      <c r="J1971">
        <v>-390.87220000000002</v>
      </c>
      <c r="K1971">
        <v>1.10775</v>
      </c>
      <c r="L1971">
        <v>282.23410000000001</v>
      </c>
      <c r="M1971">
        <v>-0.99958970000000003</v>
      </c>
      <c r="N1971">
        <v>0</v>
      </c>
      <c r="O1971">
        <v>2.4384070000000001E-2</v>
      </c>
      <c r="P1971">
        <v>-0.99853700000000001</v>
      </c>
      <c r="Q1971">
        <v>4.3502029999999997E-2</v>
      </c>
      <c r="R1971">
        <v>-3.2117920000000001E-2</v>
      </c>
      <c r="S1971">
        <v>-3.005951</v>
      </c>
      <c r="T1971">
        <v>-0.18474860000000001</v>
      </c>
      <c r="U1971">
        <v>-0.2182007</v>
      </c>
      <c r="V1971">
        <v>-5.6199209999999999E-2</v>
      </c>
      <c r="W1971">
        <v>5.8746659999999999E-2</v>
      </c>
      <c r="X1971">
        <v>0.99668970000000001</v>
      </c>
      <c r="Y1971">
        <v>-9.6473429999999999E-2</v>
      </c>
      <c r="Z1971">
        <v>-4.4536819999999996E-3</v>
      </c>
      <c r="AA1971">
        <v>0.99532560000000003</v>
      </c>
      <c r="AB1971">
        <v>50</v>
      </c>
      <c r="AC1971">
        <v>-17.523899999999902</v>
      </c>
      <c r="AD1971">
        <v>-1.1077445559129999</v>
      </c>
      <c r="AE1971">
        <v>-1.32060000000001</v>
      </c>
      <c r="AF1971">
        <v>-1.7406433069907401</v>
      </c>
      <c r="AG1971">
        <v>-1.1077445559129999</v>
      </c>
      <c r="AH1971">
        <v>17.417277928984099</v>
      </c>
      <c r="AI1971">
        <v>93.621138908408199</v>
      </c>
      <c r="AJ1971">
        <v>95.707060918953999</v>
      </c>
      <c r="AK1971">
        <v>17.5390566330918</v>
      </c>
      <c r="AL1971">
        <v>86.632125035746398</v>
      </c>
      <c r="AM1971">
        <v>93.227254725925604</v>
      </c>
      <c r="AN1971">
        <v>0.99999993967593304</v>
      </c>
    </row>
    <row r="1972" spans="1:40" x14ac:dyDescent="0.25">
      <c r="A1972" t="str">
        <f>"20190312151305534"</f>
        <v>20190312151305534</v>
      </c>
      <c r="B1972" t="str">
        <f>"1552374785521861"</f>
        <v>1552374785521861</v>
      </c>
      <c r="C1972" t="s">
        <v>40</v>
      </c>
      <c r="D1972">
        <v>4.493868</v>
      </c>
      <c r="E1972">
        <v>0.48518339999999999</v>
      </c>
      <c r="F1972" t="s">
        <v>55</v>
      </c>
      <c r="G1972">
        <v>-409.1617</v>
      </c>
      <c r="H1972" s="1">
        <v>5.1063359999999999E-6</v>
      </c>
      <c r="I1972">
        <v>280.90480000000002</v>
      </c>
      <c r="J1972">
        <v>-391.36739999999998</v>
      </c>
      <c r="K1972">
        <v>1.107785</v>
      </c>
      <c r="L1972">
        <v>282.24700000000001</v>
      </c>
      <c r="M1972">
        <v>-0.99955769999999999</v>
      </c>
      <c r="N1972">
        <v>0</v>
      </c>
      <c r="O1972">
        <v>2.566309E-2</v>
      </c>
      <c r="P1972">
        <v>-0.99845030000000001</v>
      </c>
      <c r="Q1972">
        <v>4.5640960000000001E-2</v>
      </c>
      <c r="R1972">
        <v>-3.1849219999999998E-2</v>
      </c>
      <c r="S1972">
        <v>-3.00528</v>
      </c>
      <c r="T1972">
        <v>-0.18202160000000001</v>
      </c>
      <c r="U1972">
        <v>-0.21841430000000001</v>
      </c>
      <c r="V1972">
        <v>-5.7197020000000001E-2</v>
      </c>
      <c r="W1972">
        <v>6.0882390000000002E-2</v>
      </c>
      <c r="X1972">
        <v>0.99650479999999997</v>
      </c>
      <c r="Y1972">
        <v>-9.783509E-2</v>
      </c>
      <c r="Z1972">
        <v>-4.5074929999999996E-3</v>
      </c>
      <c r="AA1972">
        <v>0.99519239999999998</v>
      </c>
      <c r="AB1972">
        <v>50</v>
      </c>
      <c r="AC1972">
        <v>-17.7943</v>
      </c>
      <c r="AD1972">
        <v>-1.107779893664</v>
      </c>
      <c r="AE1972">
        <v>-1.3421999999999901</v>
      </c>
      <c r="AF1972">
        <v>-1.7915619395939699</v>
      </c>
      <c r="AG1972">
        <v>-1.107779893664</v>
      </c>
      <c r="AH1972">
        <v>17.685832794268901</v>
      </c>
      <c r="AI1972">
        <v>93.565926905769203</v>
      </c>
      <c r="AJ1972">
        <v>95.784289209814702</v>
      </c>
      <c r="AK1972">
        <v>17.810826822555001</v>
      </c>
      <c r="AL1972">
        <v>86.509537374568296</v>
      </c>
      <c r="AM1972">
        <v>93.285037966413498</v>
      </c>
      <c r="AN1972">
        <v>0.99999999046601595</v>
      </c>
    </row>
    <row r="1973" spans="1:40" x14ac:dyDescent="0.25">
      <c r="A1973" t="str">
        <f>"20190312151305556"</f>
        <v>20190312151305556</v>
      </c>
      <c r="B1973" t="str">
        <f>"1552374785552117"</f>
        <v>1552374785552117</v>
      </c>
      <c r="C1973" t="s">
        <v>40</v>
      </c>
      <c r="D1973">
        <v>4.4645149999999996</v>
      </c>
      <c r="E1973">
        <v>0.48535410000000001</v>
      </c>
      <c r="F1973" t="s">
        <v>55</v>
      </c>
      <c r="G1973">
        <v>-410.79880000000003</v>
      </c>
      <c r="H1973" s="1">
        <v>2.6781420000000001E-6</v>
      </c>
      <c r="I1973">
        <v>280.83350000000002</v>
      </c>
      <c r="J1973">
        <v>-391.88209999999998</v>
      </c>
      <c r="K1973">
        <v>1.1078220000000001</v>
      </c>
      <c r="L1973">
        <v>282.26100000000002</v>
      </c>
      <c r="M1973">
        <v>-0.9995231</v>
      </c>
      <c r="N1973">
        <v>0</v>
      </c>
      <c r="O1973">
        <v>2.6977190000000002E-2</v>
      </c>
      <c r="P1973">
        <v>-0.99829330000000005</v>
      </c>
      <c r="Q1973">
        <v>4.8920409999999998E-2</v>
      </c>
      <c r="R1973">
        <v>-3.1894760000000001E-2</v>
      </c>
      <c r="S1973">
        <v>-3.0055239999999999</v>
      </c>
      <c r="T1973">
        <v>-0.17134540000000001</v>
      </c>
      <c r="U1973">
        <v>-0.21862789999999999</v>
      </c>
      <c r="V1973">
        <v>-5.8537260000000001E-2</v>
      </c>
      <c r="W1973">
        <v>6.415804E-2</v>
      </c>
      <c r="X1973">
        <v>0.99622140000000003</v>
      </c>
      <c r="Y1973">
        <v>-9.9229139999999993E-2</v>
      </c>
      <c r="Z1973">
        <v>-4.3576329999999996E-3</v>
      </c>
      <c r="AA1973">
        <v>0.99505509999999997</v>
      </c>
      <c r="AB1973">
        <v>50</v>
      </c>
      <c r="AC1973">
        <v>-18.916699999999999</v>
      </c>
      <c r="AD1973">
        <v>-1.1078193218579999</v>
      </c>
      <c r="AE1973">
        <v>-1.42749999999995</v>
      </c>
      <c r="AF1973">
        <v>-1.9307730391848099</v>
      </c>
      <c r="AG1973">
        <v>-1.1078193218579999</v>
      </c>
      <c r="AH1973">
        <v>18.8071630540284</v>
      </c>
      <c r="AI1973">
        <v>93.353477058189696</v>
      </c>
      <c r="AJ1973">
        <v>95.861540330401297</v>
      </c>
      <c r="AK1973">
        <v>18.938440546136199</v>
      </c>
      <c r="AL1973">
        <v>86.321488416554899</v>
      </c>
      <c r="AM1973">
        <v>93.362792571291706</v>
      </c>
      <c r="AN1973">
        <v>0.99999997136145402</v>
      </c>
    </row>
    <row r="1974" spans="1:40" x14ac:dyDescent="0.25">
      <c r="A1974" t="str">
        <f>"20190312151305579"</f>
        <v>20190312151305579</v>
      </c>
      <c r="B1974" t="str">
        <f>"1552374785571637"</f>
        <v>1552374785571637</v>
      </c>
      <c r="C1974" t="s">
        <v>40</v>
      </c>
      <c r="D1974">
        <v>4.4990269999999999</v>
      </c>
      <c r="E1974">
        <v>0.48533379999999998</v>
      </c>
      <c r="F1974" t="s">
        <v>55</v>
      </c>
      <c r="G1974">
        <v>-413.82069999999999</v>
      </c>
      <c r="H1974" s="1">
        <v>3.2279390000000001E-6</v>
      </c>
      <c r="I1974">
        <v>280.67610000000002</v>
      </c>
      <c r="J1974">
        <v>-392.38589999999999</v>
      </c>
      <c r="K1974">
        <v>1.107845</v>
      </c>
      <c r="L1974">
        <v>282.27539999999999</v>
      </c>
      <c r="M1974">
        <v>-0.99948800000000004</v>
      </c>
      <c r="N1974">
        <v>0</v>
      </c>
      <c r="O1974">
        <v>2.82507E-2</v>
      </c>
      <c r="P1974">
        <v>-0.99813240000000003</v>
      </c>
      <c r="Q1974">
        <v>5.1903959999999999E-2</v>
      </c>
      <c r="R1974">
        <v>-3.221719E-2</v>
      </c>
      <c r="S1974">
        <v>-3.005646</v>
      </c>
      <c r="T1974">
        <v>-0.1517744</v>
      </c>
      <c r="U1974">
        <v>-0.21713260000000001</v>
      </c>
      <c r="V1974">
        <v>-6.0114840000000003E-2</v>
      </c>
      <c r="W1974">
        <v>6.7138980000000001E-2</v>
      </c>
      <c r="X1974">
        <v>0.99593100000000001</v>
      </c>
      <c r="Y1974">
        <v>-0.1000428</v>
      </c>
      <c r="Z1974">
        <v>-3.9451970000000001E-3</v>
      </c>
      <c r="AA1974">
        <v>0.99497530000000001</v>
      </c>
      <c r="AB1974">
        <v>50</v>
      </c>
      <c r="AC1974">
        <v>-21.434799999999999</v>
      </c>
      <c r="AD1974">
        <v>-1.1078417720610001</v>
      </c>
      <c r="AE1974">
        <v>-1.59929999999997</v>
      </c>
      <c r="AF1974">
        <v>-2.1984378654952099</v>
      </c>
      <c r="AG1974">
        <v>-1.1078417720610001</v>
      </c>
      <c r="AH1974">
        <v>21.324408600177101</v>
      </c>
      <c r="AI1974">
        <v>92.958294641210799</v>
      </c>
      <c r="AJ1974">
        <v>95.886108071996105</v>
      </c>
      <c r="AK1974">
        <v>21.466039331643699</v>
      </c>
      <c r="AL1974">
        <v>86.150323929428595</v>
      </c>
      <c r="AM1974">
        <v>93.454207909577804</v>
      </c>
      <c r="AN1974">
        <v>0.99999999669233297</v>
      </c>
    </row>
    <row r="1975" spans="1:40" x14ac:dyDescent="0.25">
      <c r="A1975" t="str">
        <f>"20190312151305601"</f>
        <v>20190312151305601</v>
      </c>
      <c r="B1975" t="str">
        <f>"1552374785592133"</f>
        <v>1552374785592133</v>
      </c>
      <c r="C1975" t="s">
        <v>40</v>
      </c>
      <c r="D1975">
        <v>4.4597680000000004</v>
      </c>
      <c r="E1975">
        <v>0.4852805</v>
      </c>
      <c r="F1975" t="s">
        <v>55</v>
      </c>
      <c r="G1975">
        <v>-416.54840000000002</v>
      </c>
      <c r="H1975" s="1">
        <v>3.7251289999999999E-6</v>
      </c>
      <c r="I1975">
        <v>280.52350000000001</v>
      </c>
      <c r="J1975">
        <v>-392.88490000000002</v>
      </c>
      <c r="K1975">
        <v>1.1078479999999999</v>
      </c>
      <c r="L1975">
        <v>282.2903</v>
      </c>
      <c r="M1975">
        <v>-0.99945189999999995</v>
      </c>
      <c r="N1975">
        <v>0</v>
      </c>
      <c r="O1975">
        <v>2.9501449999999999E-2</v>
      </c>
      <c r="P1975">
        <v>-0.99821979999999999</v>
      </c>
      <c r="Q1975">
        <v>4.9969640000000003E-2</v>
      </c>
      <c r="R1975">
        <v>-3.2561510000000002E-2</v>
      </c>
      <c r="S1975">
        <v>-3.0057369999999999</v>
      </c>
      <c r="T1975">
        <v>-0.13781199999999999</v>
      </c>
      <c r="U1975">
        <v>-0.21792600000000001</v>
      </c>
      <c r="V1975">
        <v>-6.171977E-2</v>
      </c>
      <c r="W1975">
        <v>6.5205830000000006E-2</v>
      </c>
      <c r="X1975">
        <v>0.99596119999999999</v>
      </c>
      <c r="Y1975">
        <v>-0.1015725</v>
      </c>
      <c r="Z1975">
        <v>-3.6747820000000001E-3</v>
      </c>
      <c r="AA1975">
        <v>0.99482139999999997</v>
      </c>
      <c r="AB1975">
        <v>50</v>
      </c>
      <c r="AC1975">
        <v>-23.663499999999999</v>
      </c>
      <c r="AD1975">
        <v>-1.107844274871</v>
      </c>
      <c r="AE1975">
        <v>-1.7667999999999799</v>
      </c>
      <c r="AF1975">
        <v>-2.4588576846279202</v>
      </c>
      <c r="AG1975">
        <v>-1.107844274871</v>
      </c>
      <c r="AH1975">
        <v>23.549738800883301</v>
      </c>
      <c r="AI1975">
        <v>92.678823979196096</v>
      </c>
      <c r="AJ1975">
        <v>95.960725918386899</v>
      </c>
      <c r="AK1975">
        <v>23.703660005164799</v>
      </c>
      <c r="AL1975">
        <v>86.261328299968497</v>
      </c>
      <c r="AM1975">
        <v>93.546087894778907</v>
      </c>
      <c r="AN1975">
        <v>0.99999992109013702</v>
      </c>
    </row>
    <row r="1976" spans="1:40" x14ac:dyDescent="0.25">
      <c r="A1976" t="str">
        <f>"20190312151305623"</f>
        <v>20190312151305623</v>
      </c>
      <c r="B1976" t="str">
        <f>"1552374785611653"</f>
        <v>1552374785611653</v>
      </c>
      <c r="C1976" t="s">
        <v>40</v>
      </c>
      <c r="D1976">
        <v>4.4637140000000004</v>
      </c>
      <c r="E1976">
        <v>0.48509069999999999</v>
      </c>
      <c r="F1976" t="s">
        <v>55</v>
      </c>
      <c r="G1976">
        <v>-416.59249999999997</v>
      </c>
      <c r="H1976" s="1">
        <v>3.7297519999999998E-6</v>
      </c>
      <c r="I1976">
        <v>280.56020000000001</v>
      </c>
      <c r="J1976">
        <v>-393.37259999999998</v>
      </c>
      <c r="K1976">
        <v>1.1078410000000001</v>
      </c>
      <c r="L1976">
        <v>282.30540000000002</v>
      </c>
      <c r="M1976">
        <v>-0.99941539999999995</v>
      </c>
      <c r="N1976">
        <v>0</v>
      </c>
      <c r="O1976">
        <v>3.0716210000000001E-2</v>
      </c>
      <c r="P1976">
        <v>-0.99837960000000003</v>
      </c>
      <c r="Q1976">
        <v>4.6411399999999998E-2</v>
      </c>
      <c r="R1976">
        <v>-3.293509E-2</v>
      </c>
      <c r="S1976">
        <v>-3.005188</v>
      </c>
      <c r="T1976">
        <v>-0.1404309</v>
      </c>
      <c r="U1976">
        <v>-0.2192993</v>
      </c>
      <c r="V1976">
        <v>-6.3326400000000005E-2</v>
      </c>
      <c r="W1976">
        <v>6.1651030000000002E-2</v>
      </c>
      <c r="X1976">
        <v>0.99608680000000005</v>
      </c>
      <c r="Y1976">
        <v>-0.10323839999999999</v>
      </c>
      <c r="Z1976">
        <v>-3.8406909999999998E-3</v>
      </c>
      <c r="AA1976">
        <v>0.99464920000000001</v>
      </c>
      <c r="AB1976">
        <v>50</v>
      </c>
      <c r="AC1976">
        <v>-23.219899999999999</v>
      </c>
      <c r="AD1976">
        <v>-1.1078372702479999</v>
      </c>
      <c r="AE1976">
        <v>-1.7452000000000101</v>
      </c>
      <c r="AF1976">
        <v>-2.4521335838724601</v>
      </c>
      <c r="AG1976">
        <v>-1.1078372702479999</v>
      </c>
      <c r="AH1976">
        <v>23.1030349111909</v>
      </c>
      <c r="AI1976">
        <v>92.730034504680006</v>
      </c>
      <c r="AJ1976">
        <v>96.058634912523701</v>
      </c>
      <c r="AK1976">
        <v>23.259202149648502</v>
      </c>
      <c r="AL1976">
        <v>86.465414683400397</v>
      </c>
      <c r="AM1976">
        <v>93.637693956229597</v>
      </c>
      <c r="AN1976">
        <v>0.99999999778562998</v>
      </c>
    </row>
    <row r="1977" spans="1:40" x14ac:dyDescent="0.25">
      <c r="A1977" t="str">
        <f>"20190312151305647"</f>
        <v>20190312151305647</v>
      </c>
      <c r="B1977" t="str">
        <f>"1552374785641910"</f>
        <v>1552374785641910</v>
      </c>
      <c r="C1977" t="s">
        <v>40</v>
      </c>
      <c r="D1977">
        <v>4.4728269999999997</v>
      </c>
      <c r="E1977">
        <v>0.48492170000000001</v>
      </c>
      <c r="F1977" t="s">
        <v>55</v>
      </c>
      <c r="G1977">
        <v>-415.03629999999998</v>
      </c>
      <c r="H1977" s="1">
        <v>3.441049E-6</v>
      </c>
      <c r="I1977">
        <v>280.70490000000001</v>
      </c>
      <c r="J1977">
        <v>-393.8954</v>
      </c>
      <c r="K1977">
        <v>1.107837</v>
      </c>
      <c r="L1977">
        <v>282.32229999999998</v>
      </c>
      <c r="M1977">
        <v>-0.99937480000000001</v>
      </c>
      <c r="N1977">
        <v>0</v>
      </c>
      <c r="O1977">
        <v>3.2011989999999997E-2</v>
      </c>
      <c r="P1977">
        <v>-0.99855210000000005</v>
      </c>
      <c r="Q1977">
        <v>4.3141659999999998E-2</v>
      </c>
      <c r="R1977">
        <v>-3.2135860000000002E-2</v>
      </c>
      <c r="S1977">
        <v>-3.0046689999999998</v>
      </c>
      <c r="T1977">
        <v>-0.15365299999999901</v>
      </c>
      <c r="U1977">
        <v>-0.22198490000000001</v>
      </c>
      <c r="V1977">
        <v>-6.3841490000000001E-2</v>
      </c>
      <c r="W1977">
        <v>5.8380120000000001E-2</v>
      </c>
      <c r="X1977">
        <v>0.996251</v>
      </c>
      <c r="Y1977">
        <v>-0.10539129999999999</v>
      </c>
      <c r="Z1977">
        <v>-4.3235349999999999E-3</v>
      </c>
      <c r="AA1977">
        <v>0.99442140000000001</v>
      </c>
      <c r="AB1977">
        <v>50</v>
      </c>
      <c r="AC1977">
        <v>-21.140899999999899</v>
      </c>
      <c r="AD1977">
        <v>-1.107833558951</v>
      </c>
      <c r="AE1977">
        <v>-1.61739999999997</v>
      </c>
      <c r="AF1977">
        <v>-2.2871653496230002</v>
      </c>
      <c r="AG1977">
        <v>-1.107833558951</v>
      </c>
      <c r="AH1977">
        <v>21.020892822171401</v>
      </c>
      <c r="AI1977">
        <v>92.999117718123202</v>
      </c>
      <c r="AJ1977">
        <v>96.209605107659897</v>
      </c>
      <c r="AK1977">
        <v>21.1739546512235</v>
      </c>
      <c r="AL1977">
        <v>86.6531625897955</v>
      </c>
      <c r="AM1977">
        <v>93.666599370627694</v>
      </c>
      <c r="AN1977">
        <v>1.0000000146288099</v>
      </c>
    </row>
    <row r="1978" spans="1:40" x14ac:dyDescent="0.25">
      <c r="A1978" t="str">
        <f>"20190312151305668"</f>
        <v>20190312151305668</v>
      </c>
      <c r="B1978" t="str">
        <f>"1552374785662409"</f>
        <v>1552374785662409</v>
      </c>
      <c r="C1978" t="s">
        <v>40</v>
      </c>
      <c r="D1978">
        <v>4.6127029999999998</v>
      </c>
      <c r="E1978">
        <v>0.4847728</v>
      </c>
      <c r="F1978" t="s">
        <v>55</v>
      </c>
      <c r="G1978">
        <v>-413.90960000000001</v>
      </c>
      <c r="H1978" s="1">
        <v>3.2285379999999999E-6</v>
      </c>
      <c r="I1978">
        <v>280.84960000000001</v>
      </c>
      <c r="J1978">
        <v>-394.38409999999999</v>
      </c>
      <c r="K1978">
        <v>1.107831</v>
      </c>
      <c r="L1978">
        <v>282.33870000000002</v>
      </c>
      <c r="M1978">
        <v>-0.99933539999999998</v>
      </c>
      <c r="N1978">
        <v>0</v>
      </c>
      <c r="O1978">
        <v>3.3219579999999999E-2</v>
      </c>
      <c r="P1978">
        <v>-0.99864850000000005</v>
      </c>
      <c r="Q1978">
        <v>4.1313889999999999E-2</v>
      </c>
      <c r="R1978">
        <v>-3.1538080000000003E-2</v>
      </c>
      <c r="S1978">
        <v>-3.0044249999999999</v>
      </c>
      <c r="T1978">
        <v>-0.16630259999999999</v>
      </c>
      <c r="U1978">
        <v>-0.2210693</v>
      </c>
      <c r="V1978">
        <v>-6.4461099999999993E-2</v>
      </c>
      <c r="W1978">
        <v>5.6550660000000003E-2</v>
      </c>
      <c r="X1978">
        <v>0.9963166</v>
      </c>
      <c r="Y1978">
        <v>-0.1062636</v>
      </c>
      <c r="Z1978">
        <v>-4.7701949999999996E-3</v>
      </c>
      <c r="AA1978">
        <v>0.9943265</v>
      </c>
      <c r="AB1978">
        <v>50</v>
      </c>
      <c r="AC1978">
        <v>-19.525500000000001</v>
      </c>
      <c r="AD1978">
        <v>-1.107827771462</v>
      </c>
      <c r="AE1978">
        <v>-1.4891000000000001</v>
      </c>
      <c r="AF1978">
        <v>-2.1301622677341499</v>
      </c>
      <c r="AG1978">
        <v>-1.107827771462</v>
      </c>
      <c r="AH1978">
        <v>19.4031478579317</v>
      </c>
      <c r="AI1978">
        <v>93.248295261885801</v>
      </c>
      <c r="AJ1978">
        <v>96.2650909395593</v>
      </c>
      <c r="AK1978">
        <v>19.551138597403</v>
      </c>
      <c r="AL1978">
        <v>86.758156359111894</v>
      </c>
      <c r="AM1978">
        <v>93.701843778717404</v>
      </c>
      <c r="AN1978">
        <v>0.99999998899760201</v>
      </c>
    </row>
    <row r="1979" spans="1:40" x14ac:dyDescent="0.25">
      <c r="A1979" t="str">
        <f>"20190312151305690"</f>
        <v>20190312151305690</v>
      </c>
      <c r="B1979" t="str">
        <f>"1552374785681930"</f>
        <v>1552374785681930</v>
      </c>
      <c r="C1979" t="s">
        <v>40</v>
      </c>
      <c r="D1979">
        <v>4.4852650000000001</v>
      </c>
      <c r="E1979">
        <v>0.48468169999999999</v>
      </c>
      <c r="F1979" t="s">
        <v>55</v>
      </c>
      <c r="G1979">
        <v>-413.77620000000002</v>
      </c>
      <c r="H1979" s="1">
        <v>3.199201E-6</v>
      </c>
      <c r="I1979">
        <v>280.91449999999998</v>
      </c>
      <c r="J1979">
        <v>-394.87830000000002</v>
      </c>
      <c r="K1979">
        <v>1.107828</v>
      </c>
      <c r="L1979">
        <v>282.35599999999999</v>
      </c>
      <c r="M1979">
        <v>-0.99929420000000002</v>
      </c>
      <c r="N1979">
        <v>0</v>
      </c>
      <c r="O1979">
        <v>3.4438389999999999E-2</v>
      </c>
      <c r="P1979">
        <v>-0.99875429999999998</v>
      </c>
      <c r="Q1979">
        <v>3.9726089999999999E-2</v>
      </c>
      <c r="R1979">
        <v>-3.020051E-2</v>
      </c>
      <c r="S1979">
        <v>-3.004181</v>
      </c>
      <c r="T1979">
        <v>-0.171623</v>
      </c>
      <c r="U1979">
        <v>-0.22064210000000001</v>
      </c>
      <c r="V1979">
        <v>-6.4351850000000002E-2</v>
      </c>
      <c r="W1979">
        <v>5.495908E-2</v>
      </c>
      <c r="X1979">
        <v>0.99641279999999999</v>
      </c>
      <c r="Y1979">
        <v>-0.107324</v>
      </c>
      <c r="Z1979">
        <v>-5.022706E-3</v>
      </c>
      <c r="AA1979">
        <v>0.99421139999999997</v>
      </c>
      <c r="AB1979">
        <v>50</v>
      </c>
      <c r="AC1979">
        <v>-18.8979</v>
      </c>
      <c r="AD1979">
        <v>-1.1078248007989999</v>
      </c>
      <c r="AE1979">
        <v>-1.44150000000001</v>
      </c>
      <c r="AF1979">
        <v>-2.0844096374566701</v>
      </c>
      <c r="AG1979">
        <v>-1.1078248007989999</v>
      </c>
      <c r="AH1979">
        <v>18.772899452520299</v>
      </c>
      <c r="AI1979">
        <v>93.356637340669394</v>
      </c>
      <c r="AJ1979">
        <v>96.335765701747405</v>
      </c>
      <c r="AK1979">
        <v>18.920723907409599</v>
      </c>
      <c r="AL1979">
        <v>86.849489494322796</v>
      </c>
      <c r="AM1979">
        <v>93.695231411998094</v>
      </c>
      <c r="AN1979">
        <v>1.00000006453835</v>
      </c>
    </row>
    <row r="1980" spans="1:40" x14ac:dyDescent="0.25">
      <c r="A1980" t="str">
        <f>"20190312151305712"</f>
        <v>20190312151305712</v>
      </c>
      <c r="B1980" t="str">
        <f>"1552374785702421"</f>
        <v>1552374785702421</v>
      </c>
      <c r="C1980" t="s">
        <v>40</v>
      </c>
      <c r="D1980">
        <v>4.5060349999999998</v>
      </c>
      <c r="E1980">
        <v>0.484599</v>
      </c>
      <c r="F1980" t="s">
        <v>55</v>
      </c>
      <c r="G1980">
        <v>-414.05529999999999</v>
      </c>
      <c r="H1980" s="1">
        <v>3.2440920000000002E-6</v>
      </c>
      <c r="I1980">
        <v>280.96749999999997</v>
      </c>
      <c r="J1980">
        <v>-395.37470000000002</v>
      </c>
      <c r="K1980">
        <v>1.1078429999999999</v>
      </c>
      <c r="L1980">
        <v>282.37389999999999</v>
      </c>
      <c r="M1980">
        <v>-0.99925129999999995</v>
      </c>
      <c r="N1980">
        <v>0</v>
      </c>
      <c r="O1980">
        <v>3.5659879999999998E-2</v>
      </c>
      <c r="P1980">
        <v>-0.99878149999999999</v>
      </c>
      <c r="Q1980">
        <v>3.9390939999999999E-2</v>
      </c>
      <c r="R1980">
        <v>-2.973363E-2</v>
      </c>
      <c r="S1980">
        <v>-3.0040589999999998</v>
      </c>
      <c r="T1980">
        <v>-0.17353929999999901</v>
      </c>
      <c r="U1980">
        <v>-0.21749879999999999</v>
      </c>
      <c r="V1980">
        <v>-6.510755E-2</v>
      </c>
      <c r="W1980">
        <v>5.4621980000000001E-2</v>
      </c>
      <c r="X1980">
        <v>0.9963822</v>
      </c>
      <c r="Y1980">
        <v>-0.1074999</v>
      </c>
      <c r="Z1980">
        <v>-5.1545879999999999E-3</v>
      </c>
      <c r="AA1980">
        <v>0.99419170000000001</v>
      </c>
      <c r="AB1980">
        <v>50</v>
      </c>
      <c r="AC1980">
        <v>-18.680599999999899</v>
      </c>
      <c r="AD1980">
        <v>-1.107839755908</v>
      </c>
      <c r="AE1980">
        <v>-1.4064000000000101</v>
      </c>
      <c r="AF1980">
        <v>-2.0645083346730999</v>
      </c>
      <c r="AG1980">
        <v>-1.107839755908</v>
      </c>
      <c r="AH1980">
        <v>18.553672988804198</v>
      </c>
      <c r="AI1980">
        <v>93.396163109108599</v>
      </c>
      <c r="AJ1980">
        <v>96.349309726270306</v>
      </c>
      <c r="AK1980">
        <v>18.701023634127299</v>
      </c>
      <c r="AL1980">
        <v>86.868832820739499</v>
      </c>
      <c r="AM1980">
        <v>93.738617584459305</v>
      </c>
      <c r="AN1980">
        <v>1.0000000211214799</v>
      </c>
    </row>
    <row r="1981" spans="1:40" x14ac:dyDescent="0.25">
      <c r="A1981" t="str">
        <f>"20190312151305734"</f>
        <v>20190312151305734</v>
      </c>
      <c r="B1981" t="str">
        <f>"1552374785731702"</f>
        <v>1552374785731702</v>
      </c>
      <c r="C1981" t="s">
        <v>40</v>
      </c>
      <c r="D1981">
        <v>4.4501530000000002</v>
      </c>
      <c r="E1981">
        <v>0.48461929999999998</v>
      </c>
      <c r="F1981" t="s">
        <v>55</v>
      </c>
      <c r="G1981">
        <v>-414.63029999999998</v>
      </c>
      <c r="H1981" s="1">
        <v>3.3444629999999999E-6</v>
      </c>
      <c r="I1981">
        <v>280.98599999999999</v>
      </c>
      <c r="J1981">
        <v>-395.86559999999997</v>
      </c>
      <c r="K1981">
        <v>1.1078680000000001</v>
      </c>
      <c r="L1981">
        <v>282.3922</v>
      </c>
      <c r="M1981">
        <v>-0.99920779999999998</v>
      </c>
      <c r="N1981">
        <v>0</v>
      </c>
      <c r="O1981">
        <v>3.6862399999999997E-2</v>
      </c>
      <c r="P1981">
        <v>-0.99870040000000004</v>
      </c>
      <c r="Q1981">
        <v>4.1975390000000001E-2</v>
      </c>
      <c r="R1981">
        <v>-2.890701E-2</v>
      </c>
      <c r="S1981">
        <v>-3.0040279999999999</v>
      </c>
      <c r="T1981">
        <v>-0.1728317</v>
      </c>
      <c r="U1981">
        <v>-0.2165222</v>
      </c>
      <c r="V1981">
        <v>-6.5469120000000006E-2</v>
      </c>
      <c r="W1981">
        <v>5.7200479999999998E-2</v>
      </c>
      <c r="X1981">
        <v>0.99621380000000004</v>
      </c>
      <c r="Y1981">
        <v>-0.108374</v>
      </c>
      <c r="Z1981">
        <v>-5.2278589999999996E-3</v>
      </c>
      <c r="AA1981">
        <v>0.99409650000000005</v>
      </c>
      <c r="AB1981">
        <v>50</v>
      </c>
      <c r="AC1981">
        <v>-18.764700000000001</v>
      </c>
      <c r="AD1981">
        <v>-1.107864655537</v>
      </c>
      <c r="AE1981">
        <v>-1.4062000000000101</v>
      </c>
      <c r="AF1981">
        <v>-2.0897900433215</v>
      </c>
      <c r="AG1981">
        <v>-1.107864655537</v>
      </c>
      <c r="AH1981">
        <v>18.635506920464099</v>
      </c>
      <c r="AI1981">
        <v>93.3810370107296</v>
      </c>
      <c r="AJ1981">
        <v>96.398430275096899</v>
      </c>
      <c r="AK1981">
        <v>18.7850127682368</v>
      </c>
      <c r="AL1981">
        <v>86.720864143621597</v>
      </c>
      <c r="AM1981">
        <v>93.759954003240495</v>
      </c>
      <c r="AN1981">
        <v>1.0000000179481201</v>
      </c>
    </row>
    <row r="1982" spans="1:40" x14ac:dyDescent="0.25">
      <c r="A1982" t="str">
        <f>"20190312151305759"</f>
        <v>20190312151305759</v>
      </c>
      <c r="B1982" t="str">
        <f>"1552374785752197"</f>
        <v>1552374785752197</v>
      </c>
      <c r="C1982" t="s">
        <v>40</v>
      </c>
      <c r="D1982">
        <v>4.5228359999999999</v>
      </c>
      <c r="E1982">
        <v>0.48454730000000001</v>
      </c>
      <c r="F1982" t="s">
        <v>55</v>
      </c>
      <c r="G1982">
        <v>-416.28730000000002</v>
      </c>
      <c r="H1982" s="1">
        <v>3.6425569999999999E-6</v>
      </c>
      <c r="I1982">
        <v>280.93830000000003</v>
      </c>
      <c r="J1982">
        <v>-396.39929999999998</v>
      </c>
      <c r="K1982">
        <v>1.1078950000000001</v>
      </c>
      <c r="L1982">
        <v>282.41269999999997</v>
      </c>
      <c r="M1982">
        <v>-0.99915920000000003</v>
      </c>
      <c r="N1982">
        <v>0</v>
      </c>
      <c r="O1982">
        <v>3.8158009999999999E-2</v>
      </c>
      <c r="P1982">
        <v>-0.99856080000000003</v>
      </c>
      <c r="Q1982">
        <v>4.6051050000000003E-2</v>
      </c>
      <c r="R1982">
        <v>-2.748689E-2</v>
      </c>
      <c r="S1982">
        <v>-3.0045470000000001</v>
      </c>
      <c r="T1982">
        <v>-0.16299469999999999</v>
      </c>
      <c r="U1982">
        <v>-0.2138977</v>
      </c>
      <c r="V1982">
        <v>-6.5322699999999997E-2</v>
      </c>
      <c r="W1982">
        <v>6.1266479999999998E-2</v>
      </c>
      <c r="X1982">
        <v>0.99598160000000002</v>
      </c>
      <c r="Y1982">
        <v>-0.1088107</v>
      </c>
      <c r="Z1982">
        <v>-5.0120420000000004E-3</v>
      </c>
      <c r="AA1982">
        <v>0.99404979999999998</v>
      </c>
      <c r="AB1982">
        <v>50</v>
      </c>
      <c r="AC1982">
        <v>-19.888000000000002</v>
      </c>
      <c r="AD1982">
        <v>-1.1078913574429901</v>
      </c>
      <c r="AE1982">
        <v>-1.47439999999994</v>
      </c>
      <c r="AF1982">
        <v>-2.2254295753898301</v>
      </c>
      <c r="AG1982">
        <v>-1.1078913574429901</v>
      </c>
      <c r="AH1982">
        <v>19.7562732792098</v>
      </c>
      <c r="AI1982">
        <v>93.189538562648195</v>
      </c>
      <c r="AJ1982">
        <v>96.426945324948093</v>
      </c>
      <c r="AK1982">
        <v>19.9120640300732</v>
      </c>
      <c r="AL1982">
        <v>86.487489485397504</v>
      </c>
      <c r="AM1982">
        <v>93.752441134077998</v>
      </c>
      <c r="AN1982">
        <v>0.99999999212271995</v>
      </c>
    </row>
    <row r="1983" spans="1:40" x14ac:dyDescent="0.25">
      <c r="A1983" t="str">
        <f>"20190312151305781"</f>
        <v>20190312151305781</v>
      </c>
      <c r="B1983" t="str">
        <f>"1552374785771718"</f>
        <v>1552374785771718</v>
      </c>
      <c r="C1983" t="s">
        <v>40</v>
      </c>
      <c r="D1983">
        <v>4.4993889999999999</v>
      </c>
      <c r="E1983">
        <v>0.48455300000000001</v>
      </c>
      <c r="F1983" t="s">
        <v>55</v>
      </c>
      <c r="G1983">
        <v>-418.33030000000002</v>
      </c>
      <c r="H1983" s="1">
        <v>4.0103390000000004E-6</v>
      </c>
      <c r="I1983">
        <v>280.8766</v>
      </c>
      <c r="J1983">
        <v>-396.89589999999998</v>
      </c>
      <c r="K1983">
        <v>1.1079030000000001</v>
      </c>
      <c r="L1983">
        <v>282.4325</v>
      </c>
      <c r="M1983">
        <v>-0.99911329999999998</v>
      </c>
      <c r="N1983">
        <v>0</v>
      </c>
      <c r="O1983">
        <v>3.9344730000000001E-2</v>
      </c>
      <c r="P1983">
        <v>-0.9986777</v>
      </c>
      <c r="Q1983">
        <v>4.3851420000000002E-2</v>
      </c>
      <c r="R1983">
        <v>-2.683609E-2</v>
      </c>
      <c r="S1983">
        <v>-3.0055239999999999</v>
      </c>
      <c r="T1983">
        <v>-0.15183039999999901</v>
      </c>
      <c r="U1983">
        <v>-0.21051030000000001</v>
      </c>
      <c r="V1983">
        <v>-6.5872390000000003E-2</v>
      </c>
      <c r="W1983">
        <v>5.906368E-2</v>
      </c>
      <c r="X1983">
        <v>0.99607849999999998</v>
      </c>
      <c r="Y1983">
        <v>-0.10888059999999999</v>
      </c>
      <c r="Z1983">
        <v>-4.7294720000000002E-3</v>
      </c>
      <c r="AA1983">
        <v>0.99404360000000003</v>
      </c>
      <c r="AB1983">
        <v>50</v>
      </c>
      <c r="AC1983">
        <v>-21.4344</v>
      </c>
      <c r="AD1983">
        <v>-1.1078989896610001</v>
      </c>
      <c r="AE1983">
        <v>-1.5559000000000001</v>
      </c>
      <c r="AF1983">
        <v>-2.3917639600809402</v>
      </c>
      <c r="AG1983">
        <v>-1.1078989896610001</v>
      </c>
      <c r="AH1983">
        <v>21.299968654605699</v>
      </c>
      <c r="AI1983">
        <v>92.958943157676998</v>
      </c>
      <c r="AJ1983">
        <v>96.406879427919307</v>
      </c>
      <c r="AK1983">
        <v>21.462447197354301</v>
      </c>
      <c r="AL1983">
        <v>86.613929851699993</v>
      </c>
      <c r="AM1983">
        <v>93.783559505016299</v>
      </c>
      <c r="AN1983">
        <v>1.0000000341108499</v>
      </c>
    </row>
    <row r="1984" spans="1:40" x14ac:dyDescent="0.25">
      <c r="A1984" t="str">
        <f>"20190312151305803"</f>
        <v>20190312151305803</v>
      </c>
      <c r="B1984" t="str">
        <f>"1552374785792214"</f>
        <v>1552374785792214</v>
      </c>
      <c r="C1984" t="s">
        <v>40</v>
      </c>
      <c r="D1984">
        <v>4.5377239999999999</v>
      </c>
      <c r="E1984">
        <v>0.48439929999999898</v>
      </c>
      <c r="F1984" t="s">
        <v>55</v>
      </c>
      <c r="G1984">
        <v>-418.03370000000001</v>
      </c>
      <c r="H1984" s="1">
        <v>3.9501370000000001E-6</v>
      </c>
      <c r="I1984">
        <v>280.96339999999998</v>
      </c>
      <c r="J1984">
        <v>-397.40780000000001</v>
      </c>
      <c r="K1984">
        <v>1.1079190000000001</v>
      </c>
      <c r="L1984">
        <v>282.45339999999999</v>
      </c>
      <c r="M1984">
        <v>-0.9990656</v>
      </c>
      <c r="N1984">
        <v>0</v>
      </c>
      <c r="O1984">
        <v>4.0540109999999997E-2</v>
      </c>
      <c r="P1984">
        <v>-0.99881640000000005</v>
      </c>
      <c r="Q1984">
        <v>4.0735170000000001E-2</v>
      </c>
      <c r="R1984">
        <v>-2.6581230000000001E-2</v>
      </c>
      <c r="S1984">
        <v>-3.00528</v>
      </c>
      <c r="T1984">
        <v>-0.15751660000000001</v>
      </c>
      <c r="U1984">
        <v>-0.2088623</v>
      </c>
      <c r="V1984">
        <v>-6.6832900000000001E-2</v>
      </c>
      <c r="W1984">
        <v>5.5944609999999999E-2</v>
      </c>
      <c r="X1984">
        <v>0.99619449999999998</v>
      </c>
      <c r="Y1984">
        <v>-0.10951619999999999</v>
      </c>
      <c r="Z1984">
        <v>-4.9860159999999898E-3</v>
      </c>
      <c r="AA1984">
        <v>0.99397250000000004</v>
      </c>
      <c r="AB1984">
        <v>50</v>
      </c>
      <c r="AC1984">
        <v>-20.625900000000001</v>
      </c>
      <c r="AD1984">
        <v>-1.1079150498629999</v>
      </c>
      <c r="AE1984">
        <v>-1.49</v>
      </c>
      <c r="AF1984">
        <v>-2.3183904482190099</v>
      </c>
      <c r="AG1984">
        <v>-1.1079150498629999</v>
      </c>
      <c r="AH1984">
        <v>20.489716795822599</v>
      </c>
      <c r="AI1984">
        <v>93.075482998892696</v>
      </c>
      <c r="AJ1984">
        <v>96.4555028696535</v>
      </c>
      <c r="AK1984">
        <v>20.6502034953925</v>
      </c>
      <c r="AL1984">
        <v>86.792935431176204</v>
      </c>
      <c r="AM1984">
        <v>93.838119610808803</v>
      </c>
      <c r="AN1984">
        <v>0.99999995887035498</v>
      </c>
    </row>
    <row r="1985" spans="1:40" x14ac:dyDescent="0.25">
      <c r="A1985" t="str">
        <f>"20190312151305825"</f>
        <v>20190312151305825</v>
      </c>
      <c r="B1985" t="str">
        <f>"1552374785822469"</f>
        <v>1552374785822469</v>
      </c>
      <c r="C1985" t="s">
        <v>40</v>
      </c>
      <c r="D1985">
        <v>4.5481199999999999</v>
      </c>
      <c r="E1985">
        <v>0.48424420000000001</v>
      </c>
      <c r="F1985" t="s">
        <v>55</v>
      </c>
      <c r="G1985">
        <v>-417.47300000000001</v>
      </c>
      <c r="H1985" s="1">
        <v>3.8424080000000001E-6</v>
      </c>
      <c r="I1985">
        <v>281.05799999999999</v>
      </c>
      <c r="J1985">
        <v>-397.87200000000001</v>
      </c>
      <c r="K1985">
        <v>1.1079600000000001</v>
      </c>
      <c r="L1985">
        <v>282.47280000000001</v>
      </c>
      <c r="M1985">
        <v>-0.99902239999999998</v>
      </c>
      <c r="N1985">
        <v>0</v>
      </c>
      <c r="O1985">
        <v>4.1589580000000001E-2</v>
      </c>
      <c r="P1985">
        <v>-0.99881470000000006</v>
      </c>
      <c r="Q1985">
        <v>4.107388E-2</v>
      </c>
      <c r="R1985">
        <v>-2.6127040000000001E-2</v>
      </c>
      <c r="S1985">
        <v>-3.0047299999999999</v>
      </c>
      <c r="T1985">
        <v>-0.16590920000000001</v>
      </c>
      <c r="U1985">
        <v>-0.2089539</v>
      </c>
      <c r="V1985">
        <v>-6.7428740000000001E-2</v>
      </c>
      <c r="W1985">
        <v>5.6275970000000002E-2</v>
      </c>
      <c r="X1985">
        <v>0.99613569999999996</v>
      </c>
      <c r="Y1985">
        <v>-0.1105773</v>
      </c>
      <c r="Z1985">
        <v>-5.3393140000000004E-3</v>
      </c>
      <c r="AA1985">
        <v>0.99385319999999999</v>
      </c>
      <c r="AB1985">
        <v>50</v>
      </c>
      <c r="AC1985">
        <v>-19.600999999999999</v>
      </c>
      <c r="AD1985">
        <v>-1.1079561575920001</v>
      </c>
      <c r="AE1985">
        <v>-1.41480000000001</v>
      </c>
      <c r="AF1985">
        <v>-2.22180235368586</v>
      </c>
      <c r="AG1985">
        <v>-1.1079561575920001</v>
      </c>
      <c r="AH1985">
        <v>19.463323892858899</v>
      </c>
      <c r="AI1985">
        <v>93.237087223547803</v>
      </c>
      <c r="AJ1985">
        <v>96.512311810204395</v>
      </c>
      <c r="AK1985">
        <v>19.6210333444578</v>
      </c>
      <c r="AL1985">
        <v>86.773919999638693</v>
      </c>
      <c r="AM1985">
        <v>93.872462099058396</v>
      </c>
      <c r="AN1985">
        <v>0.99999997629595805</v>
      </c>
    </row>
    <row r="1986" spans="1:40" x14ac:dyDescent="0.25">
      <c r="A1986" t="str">
        <f>"20190312151305847"</f>
        <v>20190312151305847</v>
      </c>
      <c r="B1986" t="str">
        <f>"1552374785841990"</f>
        <v>1552374785841990</v>
      </c>
      <c r="C1986" t="s">
        <v>40</v>
      </c>
      <c r="D1986">
        <v>4.806514</v>
      </c>
      <c r="E1986">
        <v>0.48434949999999999</v>
      </c>
      <c r="F1986" t="s">
        <v>55</v>
      </c>
      <c r="G1986">
        <v>-417.60140000000001</v>
      </c>
      <c r="H1986" s="1">
        <v>3.8614019999999996E-6</v>
      </c>
      <c r="I1986">
        <v>281.10129999999998</v>
      </c>
      <c r="J1986">
        <v>-398.3818</v>
      </c>
      <c r="K1986">
        <v>1.1080080000000001</v>
      </c>
      <c r="L1986">
        <v>282.4948</v>
      </c>
      <c r="M1986">
        <v>-0.99897579999999997</v>
      </c>
      <c r="N1986">
        <v>0</v>
      </c>
      <c r="O1986">
        <v>4.2694450000000002E-2</v>
      </c>
      <c r="P1986">
        <v>-0.9987587</v>
      </c>
      <c r="Q1986">
        <v>4.2837460000000001E-2</v>
      </c>
      <c r="R1986">
        <v>-2.541595E-2</v>
      </c>
      <c r="S1986">
        <v>-3.0050659999999998</v>
      </c>
      <c r="T1986">
        <v>-0.168757399999999</v>
      </c>
      <c r="U1986">
        <v>-0.20889279999999999</v>
      </c>
      <c r="V1986">
        <v>-6.7818050000000005E-2</v>
      </c>
      <c r="W1986">
        <v>5.802881E-2</v>
      </c>
      <c r="X1986">
        <v>0.99600869999999997</v>
      </c>
      <c r="Y1986">
        <v>-0.11163729999999999</v>
      </c>
      <c r="Z1986">
        <v>-5.5218709999999898E-3</v>
      </c>
      <c r="AA1986">
        <v>0.99373370000000005</v>
      </c>
      <c r="AB1986">
        <v>50</v>
      </c>
      <c r="AC1986">
        <v>-19.2196</v>
      </c>
      <c r="AD1986">
        <v>-1.108004138598</v>
      </c>
      <c r="AE1986">
        <v>-1.39350000000001</v>
      </c>
      <c r="AF1986">
        <v>-2.2055995279737401</v>
      </c>
      <c r="AG1986">
        <v>-1.108004138598</v>
      </c>
      <c r="AH1986">
        <v>19.079490920764101</v>
      </c>
      <c r="AI1986">
        <v>93.301668922794406</v>
      </c>
      <c r="AJ1986">
        <v>96.594153598901798</v>
      </c>
      <c r="AK1986">
        <v>19.238485289764</v>
      </c>
      <c r="AL1986">
        <v>86.673325238800302</v>
      </c>
      <c r="AM1986">
        <v>93.895246815238096</v>
      </c>
      <c r="AN1986">
        <v>0.99999998058575401</v>
      </c>
    </row>
    <row r="1987" spans="1:40" x14ac:dyDescent="0.25">
      <c r="A1987" t="str">
        <f>"20190312151305869"</f>
        <v>20190312151305869</v>
      </c>
      <c r="B1987" t="str">
        <f>"1552374785862486"</f>
        <v>1552374785862486</v>
      </c>
      <c r="C1987" t="s">
        <v>40</v>
      </c>
      <c r="D1987">
        <v>4.5978899999999996</v>
      </c>
      <c r="E1987">
        <v>0.5083297</v>
      </c>
      <c r="F1987" t="s">
        <v>55</v>
      </c>
      <c r="G1987">
        <v>-418.68220000000002</v>
      </c>
      <c r="H1987" s="1">
        <v>4.0528000000000004E-6</v>
      </c>
      <c r="I1987">
        <v>281.10489999999999</v>
      </c>
      <c r="J1987">
        <v>-398.8655</v>
      </c>
      <c r="K1987">
        <v>1.108066</v>
      </c>
      <c r="L1987">
        <v>282.51609999999999</v>
      </c>
      <c r="M1987">
        <v>-0.99893279999999995</v>
      </c>
      <c r="N1987">
        <v>0</v>
      </c>
      <c r="O1987">
        <v>4.3690949999999999E-2</v>
      </c>
      <c r="P1987">
        <v>-0.99871520000000003</v>
      </c>
      <c r="Q1987">
        <v>4.3625629999999999E-2</v>
      </c>
      <c r="R1987">
        <v>-2.5790670000000002E-2</v>
      </c>
      <c r="S1987">
        <v>-3.0055239999999999</v>
      </c>
      <c r="T1987">
        <v>-0.1640431</v>
      </c>
      <c r="U1987">
        <v>-0.20577999999999999</v>
      </c>
      <c r="V1987">
        <v>-6.9188330000000006E-2</v>
      </c>
      <c r="W1987">
        <v>5.8808060000000002E-2</v>
      </c>
      <c r="X1987">
        <v>0.99586870000000005</v>
      </c>
      <c r="Y1987">
        <v>-0.1116057</v>
      </c>
      <c r="Z1987">
        <v>-5.4206419999999998E-3</v>
      </c>
      <c r="AA1987">
        <v>0.9937378</v>
      </c>
      <c r="AB1987">
        <v>50</v>
      </c>
      <c r="AC1987">
        <v>-19.816700000000001</v>
      </c>
      <c r="AD1987">
        <v>-1.1080619472</v>
      </c>
      <c r="AE1987">
        <v>-1.4112</v>
      </c>
      <c r="AF1987">
        <v>-2.2687023056799198</v>
      </c>
      <c r="AG1987">
        <v>-1.1080619472</v>
      </c>
      <c r="AH1987">
        <v>19.674904892246499</v>
      </c>
      <c r="AI1987">
        <v>93.202235638316196</v>
      </c>
      <c r="AJ1987">
        <v>96.577694094308896</v>
      </c>
      <c r="AK1987">
        <v>19.836246972388</v>
      </c>
      <c r="AL1987">
        <v>86.628600984046102</v>
      </c>
      <c r="AM1987">
        <v>93.974258397502993</v>
      </c>
      <c r="AN1987">
        <v>0.99999994028441896</v>
      </c>
    </row>
    <row r="1988" spans="1:40" x14ac:dyDescent="0.25">
      <c r="A1988" t="str">
        <f>"20190312151305891"</f>
        <v>20190312151305891</v>
      </c>
      <c r="B1988" t="str">
        <f>"1552374785882005"</f>
        <v>1552374785882005</v>
      </c>
      <c r="C1988" t="s">
        <v>40</v>
      </c>
      <c r="D1988">
        <v>4.5997909999999997</v>
      </c>
      <c r="E1988">
        <v>0.51070170000000004</v>
      </c>
      <c r="F1988" t="s">
        <v>53</v>
      </c>
      <c r="G1988">
        <v>-473.6576</v>
      </c>
      <c r="H1988" s="1">
        <v>4.7788529999999999E-6</v>
      </c>
      <c r="I1988">
        <v>282.17660000000001</v>
      </c>
      <c r="J1988">
        <v>-399.36489999999998</v>
      </c>
      <c r="K1988">
        <v>1.1081289999999999</v>
      </c>
      <c r="L1988">
        <v>282.53859999999997</v>
      </c>
      <c r="M1988">
        <v>-0.99888960000000004</v>
      </c>
      <c r="N1988">
        <v>0</v>
      </c>
      <c r="O1988">
        <v>4.4671339999999997E-2</v>
      </c>
      <c r="P1988">
        <v>-0.99861180000000005</v>
      </c>
      <c r="Q1988">
        <v>4.5472459999999999E-2</v>
      </c>
      <c r="R1988">
        <v>-2.658901E-2</v>
      </c>
      <c r="S1988">
        <v>-3.0054630000000002</v>
      </c>
      <c r="T1988">
        <v>-4.4526580000000003E-2</v>
      </c>
      <c r="U1988">
        <v>-1.364136E-2</v>
      </c>
      <c r="V1988">
        <v>-7.0960209999999996E-2</v>
      </c>
      <c r="W1988">
        <v>6.0645369999999997E-2</v>
      </c>
      <c r="X1988">
        <v>0.99563380000000001</v>
      </c>
      <c r="Y1988">
        <v>-4.919987E-2</v>
      </c>
      <c r="Z1988">
        <v>-1.026133E-3</v>
      </c>
      <c r="AA1988">
        <v>0.99878840000000002</v>
      </c>
      <c r="AB1988">
        <v>50</v>
      </c>
      <c r="AC1988">
        <v>-74.292699999999996</v>
      </c>
      <c r="AD1988">
        <v>-1.1081242211469999</v>
      </c>
      <c r="AE1988">
        <v>-0.36199999999996602</v>
      </c>
      <c r="AF1988">
        <v>-3.6799461528519699</v>
      </c>
      <c r="AG1988">
        <v>-1.1081242211469999</v>
      </c>
      <c r="AH1988">
        <v>74.185842681231406</v>
      </c>
      <c r="AI1988">
        <v>90.854720602733195</v>
      </c>
      <c r="AJ1988">
        <v>92.839796588228893</v>
      </c>
      <c r="AK1988">
        <v>74.285322892895906</v>
      </c>
      <c r="AL1988">
        <v>86.523142578229098</v>
      </c>
      <c r="AM1988">
        <v>94.076656856840302</v>
      </c>
      <c r="AN1988">
        <v>0.99999993800405795</v>
      </c>
    </row>
    <row r="1989" spans="1:40" x14ac:dyDescent="0.25">
      <c r="A1989" t="str">
        <f>"20190312151305914"</f>
        <v>20190312151305914</v>
      </c>
      <c r="B1989" t="str">
        <f>"1552374785901526"</f>
        <v>1552374785901526</v>
      </c>
      <c r="C1989" t="s">
        <v>40</v>
      </c>
      <c r="D1989">
        <v>4.7699069999999999</v>
      </c>
      <c r="E1989">
        <v>0.51210920000000004</v>
      </c>
      <c r="F1989" t="s">
        <v>53</v>
      </c>
      <c r="G1989">
        <v>-501.35770000000002</v>
      </c>
      <c r="H1989">
        <v>7.9980679999999998E-2</v>
      </c>
      <c r="I1989">
        <v>282.65039999999999</v>
      </c>
      <c r="J1989">
        <v>-399.85079999999999</v>
      </c>
      <c r="K1989">
        <v>1.108198</v>
      </c>
      <c r="L1989">
        <v>282.5609</v>
      </c>
      <c r="M1989">
        <v>-0.99884890000000004</v>
      </c>
      <c r="N1989">
        <v>0</v>
      </c>
      <c r="O1989">
        <v>4.5573809999999999E-2</v>
      </c>
      <c r="P1989">
        <v>-0.99849209999999999</v>
      </c>
      <c r="Q1989">
        <v>4.7978600000000003E-2</v>
      </c>
      <c r="R1989">
        <v>-2.6681819999999998E-2</v>
      </c>
      <c r="S1989">
        <v>-3.005646</v>
      </c>
      <c r="T1989">
        <v>-3.029871E-2</v>
      </c>
      <c r="U1989">
        <v>3.2958979999999998E-3</v>
      </c>
      <c r="V1989">
        <v>-7.1946969999999999E-2</v>
      </c>
      <c r="W1989">
        <v>6.3138730000000004E-2</v>
      </c>
      <c r="X1989">
        <v>0.99540799999999996</v>
      </c>
      <c r="Y1989">
        <v>-4.447889E-2</v>
      </c>
      <c r="Z1989">
        <v>-6.8351000000000002E-4</v>
      </c>
      <c r="AA1989">
        <v>0.99901010000000001</v>
      </c>
      <c r="AB1989">
        <v>50</v>
      </c>
      <c r="AC1989">
        <v>-101.5069</v>
      </c>
      <c r="AD1989">
        <v>-1.02821732</v>
      </c>
      <c r="AE1989">
        <v>8.9499999999986798E-2</v>
      </c>
      <c r="AF1989">
        <v>-4.5367016695956996</v>
      </c>
      <c r="AG1989">
        <v>-1.02821732</v>
      </c>
      <c r="AH1989">
        <v>101.39508350753999</v>
      </c>
      <c r="AI1989">
        <v>90.5804188618133</v>
      </c>
      <c r="AJ1989">
        <v>92.561865941348202</v>
      </c>
      <c r="AK1989">
        <v>101.501733248241</v>
      </c>
      <c r="AL1989">
        <v>86.380009256607096</v>
      </c>
      <c r="AM1989">
        <v>94.1340853186869</v>
      </c>
      <c r="AN1989">
        <v>0.99999997609109603</v>
      </c>
    </row>
    <row r="1990" spans="1:40" x14ac:dyDescent="0.25">
      <c r="A1990" t="str">
        <f>"20190312151305936"</f>
        <v>20190312151305936</v>
      </c>
      <c r="B1990" t="str">
        <f>"1552374785931782"</f>
        <v>1552374785931782</v>
      </c>
      <c r="C1990" t="s">
        <v>40</v>
      </c>
      <c r="D1990">
        <v>4.670979</v>
      </c>
      <c r="E1990">
        <v>0.51258549999999903</v>
      </c>
      <c r="F1990" t="s">
        <v>43</v>
      </c>
      <c r="G1990">
        <v>-554.41210000000001</v>
      </c>
      <c r="H1990">
        <v>-0.05</v>
      </c>
      <c r="I1990">
        <v>283.2937</v>
      </c>
      <c r="J1990">
        <v>-400.35539999999997</v>
      </c>
      <c r="K1990">
        <v>1.108257</v>
      </c>
      <c r="L1990">
        <v>282.58449999999999</v>
      </c>
      <c r="M1990">
        <v>-0.99880829999999998</v>
      </c>
      <c r="N1990">
        <v>0</v>
      </c>
      <c r="O1990">
        <v>4.6450720000000001E-2</v>
      </c>
      <c r="P1990">
        <v>-0.99852359999999896</v>
      </c>
      <c r="Q1990">
        <v>4.6923239999999998E-2</v>
      </c>
      <c r="R1990">
        <v>-2.7366769999999999E-2</v>
      </c>
      <c r="S1990">
        <v>-3.0059809999999998</v>
      </c>
      <c r="T1990">
        <v>-2.252519E-2</v>
      </c>
      <c r="U1990">
        <v>1.4251710000000001E-2</v>
      </c>
      <c r="V1990">
        <v>-7.3520509999999997E-2</v>
      </c>
      <c r="W1990">
        <v>6.2073179999999999E-2</v>
      </c>
      <c r="X1990">
        <v>0.99536009999999997</v>
      </c>
      <c r="Y1990">
        <v>-4.1716980000000001E-2</v>
      </c>
      <c r="Z1990">
        <v>-5.0430410000000005E-4</v>
      </c>
      <c r="AA1990">
        <v>0.99912939999999995</v>
      </c>
      <c r="AB1990">
        <v>50</v>
      </c>
      <c r="AC1990">
        <v>-154.05670000000001</v>
      </c>
      <c r="AD1990">
        <v>-1.1582569999999901</v>
      </c>
      <c r="AE1990">
        <v>0.70920000000000905</v>
      </c>
      <c r="AF1990">
        <v>-6.4480485782506296</v>
      </c>
      <c r="AG1990">
        <v>-1.1582569999999901</v>
      </c>
      <c r="AH1990">
        <v>153.91461775277699</v>
      </c>
      <c r="AI1990">
        <v>90.4307831798058</v>
      </c>
      <c r="AJ1990">
        <v>92.398927838161896</v>
      </c>
      <c r="AK1990">
        <v>154.05397900648001</v>
      </c>
      <c r="AL1990">
        <v>86.441180994201602</v>
      </c>
      <c r="AM1990">
        <v>94.224379946049496</v>
      </c>
      <c r="AN1990">
        <v>1.0000000368689901</v>
      </c>
    </row>
    <row r="1991" spans="1:40" x14ac:dyDescent="0.25">
      <c r="A1991" t="str">
        <f>"20190312151305960"</f>
        <v>20190312151305960</v>
      </c>
      <c r="B1991" t="str">
        <f>"1552374785952277"</f>
        <v>1552374785952277</v>
      </c>
      <c r="C1991" t="s">
        <v>40</v>
      </c>
      <c r="D1991">
        <v>4.6281280000000002</v>
      </c>
      <c r="E1991">
        <v>0.51255399999999995</v>
      </c>
      <c r="F1991" t="s">
        <v>53</v>
      </c>
      <c r="G1991">
        <v>-496.55529999999999</v>
      </c>
      <c r="H1991" s="1">
        <v>2.6684819999999999E-6</v>
      </c>
      <c r="I1991">
        <v>283.09129999999999</v>
      </c>
      <c r="J1991">
        <v>-400.86259999999999</v>
      </c>
      <c r="K1991">
        <v>1.1083240000000001</v>
      </c>
      <c r="L1991">
        <v>282.60860000000002</v>
      </c>
      <c r="M1991">
        <v>-0.99877039999999995</v>
      </c>
      <c r="N1991">
        <v>0</v>
      </c>
      <c r="O1991">
        <v>4.7264090000000002E-2</v>
      </c>
      <c r="P1991">
        <v>-0.9985598</v>
      </c>
      <c r="Q1991">
        <v>4.5450419999999998E-2</v>
      </c>
      <c r="R1991">
        <v>-2.8508180000000001E-2</v>
      </c>
      <c r="S1991">
        <v>-3.0064700000000002</v>
      </c>
      <c r="T1991">
        <v>-3.4635539999999999E-2</v>
      </c>
      <c r="U1991">
        <v>1.5838620000000001E-2</v>
      </c>
      <c r="V1991">
        <v>-7.5487940000000003E-2</v>
      </c>
      <c r="W1991">
        <v>6.0589200000000003E-2</v>
      </c>
      <c r="X1991">
        <v>0.99530419999999997</v>
      </c>
      <c r="Y1991">
        <v>-4.2000589999999997E-2</v>
      </c>
      <c r="Z1991">
        <v>-7.8628879999999995E-4</v>
      </c>
      <c r="AA1991">
        <v>0.99911729999999999</v>
      </c>
      <c r="AB1991">
        <v>50</v>
      </c>
      <c r="AC1991">
        <v>-95.692700000000002</v>
      </c>
      <c r="AD1991">
        <v>-1.1083213315180001</v>
      </c>
      <c r="AE1991">
        <v>0.48269999999996499</v>
      </c>
      <c r="AF1991">
        <v>-4.0406321174836899</v>
      </c>
      <c r="AG1991">
        <v>-1.1083213315180001</v>
      </c>
      <c r="AH1991">
        <v>95.595726194025701</v>
      </c>
      <c r="AI1991">
        <v>90.663655687587095</v>
      </c>
      <c r="AJ1991">
        <v>92.420332507426295</v>
      </c>
      <c r="AK1991">
        <v>95.687501538319296</v>
      </c>
      <c r="AL1991">
        <v>86.5263669067119</v>
      </c>
      <c r="AM1991">
        <v>94.337242489983893</v>
      </c>
      <c r="AN1991">
        <v>0.99999996538986102</v>
      </c>
    </row>
    <row r="1992" spans="1:40" x14ac:dyDescent="0.25">
      <c r="A1992" t="str">
        <f>"20190312151305982"</f>
        <v>20190312151305982</v>
      </c>
      <c r="B1992" t="str">
        <f>"1552374785971798"</f>
        <v>1552374785971798</v>
      </c>
      <c r="C1992" t="s">
        <v>40</v>
      </c>
      <c r="D1992">
        <v>4.6158799999999998</v>
      </c>
      <c r="E1992">
        <v>0.51265509999999903</v>
      </c>
      <c r="F1992" t="s">
        <v>54</v>
      </c>
      <c r="G1992">
        <v>-466.96629999999999</v>
      </c>
      <c r="H1992" s="1">
        <v>2.2464140000000002E-6</v>
      </c>
      <c r="I1992">
        <v>282.87630000000001</v>
      </c>
      <c r="J1992">
        <v>-401.37360000000001</v>
      </c>
      <c r="K1992">
        <v>1.1084020000000001</v>
      </c>
      <c r="L1992">
        <v>282.63330000000002</v>
      </c>
      <c r="M1992">
        <v>-0.99873480000000003</v>
      </c>
      <c r="N1992">
        <v>0</v>
      </c>
      <c r="O1992">
        <v>4.8009200000000002E-2</v>
      </c>
      <c r="P1992">
        <v>-0.99856199999999995</v>
      </c>
      <c r="Q1992">
        <v>4.4823429999999997E-2</v>
      </c>
      <c r="R1992">
        <v>-2.941243E-2</v>
      </c>
      <c r="S1992">
        <v>-3.006958</v>
      </c>
      <c r="T1992">
        <v>-5.0415870000000002E-2</v>
      </c>
      <c r="U1992">
        <v>1.217651E-2</v>
      </c>
      <c r="V1992">
        <v>-7.7147640000000003E-2</v>
      </c>
      <c r="W1992">
        <v>5.9947590000000002E-2</v>
      </c>
      <c r="X1992">
        <v>0.99521579999999998</v>
      </c>
      <c r="Y1992">
        <v>-4.3956519999999999E-2</v>
      </c>
      <c r="Z1992">
        <v>-1.173189E-3</v>
      </c>
      <c r="AA1992">
        <v>0.9990327</v>
      </c>
      <c r="AB1992">
        <v>50</v>
      </c>
      <c r="AC1992">
        <v>-65.592699999999894</v>
      </c>
      <c r="AD1992">
        <v>-1.108399753586</v>
      </c>
      <c r="AE1992">
        <v>0.242999999999995</v>
      </c>
      <c r="AF1992">
        <v>-2.9058561861842098</v>
      </c>
      <c r="AG1992">
        <v>-1.108399753586</v>
      </c>
      <c r="AH1992">
        <v>65.510009113945799</v>
      </c>
      <c r="AI1992">
        <v>90.968374182477405</v>
      </c>
      <c r="AJ1992">
        <v>92.539829102446802</v>
      </c>
      <c r="AK1992">
        <v>65.583792542805895</v>
      </c>
      <c r="AL1992">
        <v>86.563195451347397</v>
      </c>
      <c r="AM1992">
        <v>94.432618587758896</v>
      </c>
      <c r="AN1992">
        <v>0.99999998023700798</v>
      </c>
    </row>
    <row r="1993" spans="1:40" x14ac:dyDescent="0.25">
      <c r="A1993" t="str">
        <f>"20190312151306006"</f>
        <v>20190312151306006</v>
      </c>
      <c r="B1993" t="str">
        <f>"1552374786002054"</f>
        <v>1552374786002054</v>
      </c>
      <c r="C1993" t="s">
        <v>40</v>
      </c>
      <c r="D1993">
        <v>4.6294050000000002</v>
      </c>
      <c r="E1993">
        <v>0.51269220000000004</v>
      </c>
      <c r="F1993" t="s">
        <v>54</v>
      </c>
      <c r="G1993">
        <v>-454.42259999999999</v>
      </c>
      <c r="H1993" s="1">
        <v>8.9553700000000001E-7</v>
      </c>
      <c r="I1993">
        <v>282.81259999999997</v>
      </c>
      <c r="J1993">
        <v>-401.8698</v>
      </c>
      <c r="K1993">
        <v>1.1084889999999901</v>
      </c>
      <c r="L1993">
        <v>282.6576</v>
      </c>
      <c r="M1993">
        <v>-0.99870369999999997</v>
      </c>
      <c r="N1993">
        <v>0</v>
      </c>
      <c r="O1993">
        <v>4.8655259999999999E-2</v>
      </c>
      <c r="P1993">
        <v>-0.9985214</v>
      </c>
      <c r="Q1993">
        <v>4.5242610000000003E-2</v>
      </c>
      <c r="R1993">
        <v>-3.014731E-2</v>
      </c>
      <c r="S1993">
        <v>-3.0074459999999998</v>
      </c>
      <c r="T1993">
        <v>-6.2837359999999995E-2</v>
      </c>
      <c r="U1993">
        <v>1.0162350000000001E-2</v>
      </c>
      <c r="V1993">
        <v>-7.8535170000000001E-2</v>
      </c>
      <c r="W1993">
        <v>6.0348829999999999E-2</v>
      </c>
      <c r="X1993">
        <v>0.99508300000000005</v>
      </c>
      <c r="Y1993">
        <v>-4.5264890000000002E-2</v>
      </c>
      <c r="Z1993">
        <v>-1.4891049999999999E-3</v>
      </c>
      <c r="AA1993">
        <v>0.99897389999999997</v>
      </c>
      <c r="AB1993">
        <v>50</v>
      </c>
      <c r="AC1993">
        <v>-52.552799999999898</v>
      </c>
      <c r="AD1993">
        <v>-1.1084881044629999</v>
      </c>
      <c r="AE1993">
        <v>0.15499999999997199</v>
      </c>
      <c r="AF1993">
        <v>-2.4013712839727899</v>
      </c>
      <c r="AG1993">
        <v>-1.1084881044629999</v>
      </c>
      <c r="AH1993">
        <v>52.474740362307401</v>
      </c>
      <c r="AI1993">
        <v>91.208884044059602</v>
      </c>
      <c r="AJ1993">
        <v>92.620165689130403</v>
      </c>
      <c r="AK1993">
        <v>52.541352342824197</v>
      </c>
      <c r="AL1993">
        <v>86.540164342571899</v>
      </c>
      <c r="AM1993">
        <v>94.512614308323293</v>
      </c>
      <c r="AN1993">
        <v>0.99999996554914805</v>
      </c>
    </row>
    <row r="1994" spans="1:40" x14ac:dyDescent="0.25">
      <c r="A1994" t="str">
        <f>"20190312151306027"</f>
        <v>20190312151306027</v>
      </c>
      <c r="B1994" t="str">
        <f>"1552374786022550"</f>
        <v>1552374786022550</v>
      </c>
      <c r="C1994" t="s">
        <v>40</v>
      </c>
      <c r="D1994">
        <v>4.6840840000000004</v>
      </c>
      <c r="E1994">
        <v>0.51281399999999999</v>
      </c>
      <c r="F1994" t="s">
        <v>54</v>
      </c>
      <c r="G1994">
        <v>-447.03140000000002</v>
      </c>
      <c r="H1994" s="1">
        <v>2.2853829999999999E-6</v>
      </c>
      <c r="I1994">
        <v>282.77719999999999</v>
      </c>
      <c r="J1994">
        <v>-402.35399999999998</v>
      </c>
      <c r="K1994">
        <v>1.108579</v>
      </c>
      <c r="L1994">
        <v>282.68150000000003</v>
      </c>
      <c r="M1994">
        <v>-0.99867680000000003</v>
      </c>
      <c r="N1994">
        <v>0</v>
      </c>
      <c r="O1994">
        <v>4.920335E-2</v>
      </c>
      <c r="P1994">
        <v>-0.99848000000000003</v>
      </c>
      <c r="Q1994">
        <v>4.6028590000000001E-2</v>
      </c>
      <c r="R1994">
        <v>-3.0321359999999999E-2</v>
      </c>
      <c r="S1994">
        <v>-3.0080260000000001</v>
      </c>
      <c r="T1994">
        <v>-7.3831560000000004E-2</v>
      </c>
      <c r="U1994">
        <v>7.9650880000000004E-3</v>
      </c>
      <c r="V1994">
        <v>-7.9264539999999994E-2</v>
      </c>
      <c r="W1994">
        <v>6.1115129999999997E-2</v>
      </c>
      <c r="X1994">
        <v>0.99497840000000004</v>
      </c>
      <c r="Y1994">
        <v>-4.6535130000000001E-2</v>
      </c>
      <c r="Z1994">
        <v>-1.778267E-3</v>
      </c>
      <c r="AA1994">
        <v>0.99891509999999994</v>
      </c>
      <c r="AB1994">
        <v>50</v>
      </c>
      <c r="AC1994">
        <v>-44.677399999999899</v>
      </c>
      <c r="AD1994">
        <v>-1.108576714617</v>
      </c>
      <c r="AE1994">
        <v>9.5699999999965202E-2</v>
      </c>
      <c r="AF1994">
        <v>-2.10164564764339</v>
      </c>
      <c r="AG1994">
        <v>-1.108576714617</v>
      </c>
      <c r="AH1994">
        <v>44.600523519283698</v>
      </c>
      <c r="AI1994">
        <v>91.422255381138299</v>
      </c>
      <c r="AJ1994">
        <v>92.697870105897394</v>
      </c>
      <c r="AK1994">
        <v>44.663772287555702</v>
      </c>
      <c r="AL1994">
        <v>86.496177409700806</v>
      </c>
      <c r="AM1994">
        <v>94.554825024210302</v>
      </c>
      <c r="AN1994">
        <v>0.99999997144144304</v>
      </c>
    </row>
    <row r="1995" spans="1:40" x14ac:dyDescent="0.25">
      <c r="A1995" t="str">
        <f>"20190312151306048"</f>
        <v>20190312151306048</v>
      </c>
      <c r="B1995" t="str">
        <f>"1552374786042070"</f>
        <v>1552374786042070</v>
      </c>
      <c r="C1995" t="s">
        <v>40</v>
      </c>
      <c r="D1995">
        <v>4.7134470000000004</v>
      </c>
      <c r="E1995">
        <v>0.51294209999999996</v>
      </c>
      <c r="F1995" t="s">
        <v>54</v>
      </c>
      <c r="G1995">
        <v>-446.46140000000003</v>
      </c>
      <c r="H1995" s="1">
        <v>1.9809960000000001E-6</v>
      </c>
      <c r="I1995">
        <v>282.80099999999999</v>
      </c>
      <c r="J1995">
        <v>-402.82729999999998</v>
      </c>
      <c r="K1995">
        <v>1.1086670000000001</v>
      </c>
      <c r="L1995">
        <v>282.70519999999999</v>
      </c>
      <c r="M1995">
        <v>-0.99865420000000005</v>
      </c>
      <c r="N1995">
        <v>0</v>
      </c>
      <c r="O1995">
        <v>4.9662989999999997E-2</v>
      </c>
      <c r="P1995">
        <v>-0.99849860000000001</v>
      </c>
      <c r="Q1995">
        <v>4.5519400000000002E-2</v>
      </c>
      <c r="R1995">
        <v>-3.0476260000000002E-2</v>
      </c>
      <c r="S1995">
        <v>-3.0083009999999999</v>
      </c>
      <c r="T1995">
        <v>-7.5609330000000002E-2</v>
      </c>
      <c r="U1995">
        <v>8.1481929999999998E-3</v>
      </c>
      <c r="V1995">
        <v>-7.9893370000000005E-2</v>
      </c>
      <c r="W1995">
        <v>6.0585390000000003E-2</v>
      </c>
      <c r="X1995">
        <v>0.99496050000000003</v>
      </c>
      <c r="Y1995">
        <v>-4.6932649999999999E-2</v>
      </c>
      <c r="Z1995">
        <v>-1.8374400000000001E-3</v>
      </c>
      <c r="AA1995">
        <v>0.99889640000000002</v>
      </c>
      <c r="AB1995">
        <v>49</v>
      </c>
      <c r="AC1995">
        <v>-43.634099999999997</v>
      </c>
      <c r="AD1995">
        <v>-1.1086650190039999</v>
      </c>
      <c r="AE1995">
        <v>9.5799999999996999E-2</v>
      </c>
      <c r="AF1995">
        <v>-2.0702236969979801</v>
      </c>
      <c r="AG1995">
        <v>-1.1086650190039999</v>
      </c>
      <c r="AH1995">
        <v>43.5568839163221</v>
      </c>
      <c r="AI1995">
        <v>91.456406591699903</v>
      </c>
      <c r="AJ1995">
        <v>92.721174532513899</v>
      </c>
      <c r="AK1995">
        <v>43.620145584121197</v>
      </c>
      <c r="AL1995">
        <v>86.526585615551099</v>
      </c>
      <c r="AM1995">
        <v>94.590888238064494</v>
      </c>
      <c r="AN1995">
        <v>0.99999996830582905</v>
      </c>
    </row>
    <row r="1996" spans="1:40" x14ac:dyDescent="0.25">
      <c r="A1996" t="str">
        <f>"20190312151306070"</f>
        <v>20190312151306070</v>
      </c>
      <c r="B1996" t="str">
        <f>"1552374786061590"</f>
        <v>1552374786061590</v>
      </c>
      <c r="C1996" t="s">
        <v>40</v>
      </c>
      <c r="D1996">
        <v>4.6370570000000004</v>
      </c>
      <c r="E1996">
        <v>0.51305909999999999</v>
      </c>
      <c r="F1996" t="s">
        <v>54</v>
      </c>
      <c r="G1996">
        <v>-446.07819999999998</v>
      </c>
      <c r="H1996" s="1">
        <v>1.775899E-6</v>
      </c>
      <c r="I1996">
        <v>282.82760000000002</v>
      </c>
      <c r="J1996">
        <v>-403.31240000000003</v>
      </c>
      <c r="K1996">
        <v>1.108749</v>
      </c>
      <c r="L1996">
        <v>282.7296</v>
      </c>
      <c r="M1996">
        <v>-0.99863409999999997</v>
      </c>
      <c r="N1996">
        <v>0</v>
      </c>
      <c r="O1996">
        <v>5.0066640000000003E-2</v>
      </c>
      <c r="P1996">
        <v>-0.99850629999999996</v>
      </c>
      <c r="Q1996">
        <v>4.5055650000000003E-2</v>
      </c>
      <c r="R1996">
        <v>-3.0909349999999999E-2</v>
      </c>
      <c r="S1996">
        <v>-3.0083009999999999</v>
      </c>
      <c r="T1996">
        <v>-7.7112790000000001E-2</v>
      </c>
      <c r="U1996">
        <v>8.5144039999999997E-3</v>
      </c>
      <c r="V1996">
        <v>-8.0743040000000002E-2</v>
      </c>
      <c r="W1996">
        <v>6.0101340000000003E-2</v>
      </c>
      <c r="X1996">
        <v>0.99492130000000001</v>
      </c>
      <c r="Y1996">
        <v>-4.7213350000000001E-2</v>
      </c>
      <c r="Z1996">
        <v>-1.8878969999999999E-3</v>
      </c>
      <c r="AA1996">
        <v>0.99888310000000002</v>
      </c>
      <c r="AB1996">
        <v>49</v>
      </c>
      <c r="AC1996">
        <v>-42.765799999999899</v>
      </c>
      <c r="AD1996">
        <v>-1.1087472241009999</v>
      </c>
      <c r="AE1996">
        <v>9.8000000000013202E-2</v>
      </c>
      <c r="AF1996">
        <v>-2.04212927800801</v>
      </c>
      <c r="AG1996">
        <v>-1.1087472241009999</v>
      </c>
      <c r="AH1996">
        <v>42.688368409917501</v>
      </c>
      <c r="AI1996">
        <v>91.486113041712102</v>
      </c>
      <c r="AJ1996">
        <v>92.738831693074602</v>
      </c>
      <c r="AK1996">
        <v>42.751566168924001</v>
      </c>
      <c r="AL1996">
        <v>86.554370385470307</v>
      </c>
      <c r="AM1996">
        <v>94.639682533595405</v>
      </c>
      <c r="AN1996">
        <v>1.00000000138596</v>
      </c>
    </row>
    <row r="1997" spans="1:40" x14ac:dyDescent="0.25">
      <c r="A1997" t="str">
        <f>"20190312151306092"</f>
        <v>20190312151306092</v>
      </c>
      <c r="B1997" t="str">
        <f>"1552374786082086"</f>
        <v>1552374786082086</v>
      </c>
      <c r="C1997" t="s">
        <v>40</v>
      </c>
      <c r="D1997">
        <v>4.6634449999999896</v>
      </c>
      <c r="E1997">
        <v>0.51309609999999894</v>
      </c>
      <c r="F1997" t="s">
        <v>54</v>
      </c>
      <c r="G1997">
        <v>-443.78960000000001</v>
      </c>
      <c r="H1997" s="1">
        <v>5.5750589999999997E-7</v>
      </c>
      <c r="I1997">
        <v>282.83920000000001</v>
      </c>
      <c r="J1997">
        <v>-403.80579999999998</v>
      </c>
      <c r="K1997">
        <v>1.1088309999999999</v>
      </c>
      <c r="L1997">
        <v>282.75459999999998</v>
      </c>
      <c r="M1997">
        <v>-0.99861679999999997</v>
      </c>
      <c r="N1997">
        <v>0</v>
      </c>
      <c r="O1997">
        <v>5.040973E-2</v>
      </c>
      <c r="P1997">
        <v>-0.99854600000000004</v>
      </c>
      <c r="Q1997">
        <v>4.4232239999999999E-2</v>
      </c>
      <c r="R1997">
        <v>-3.081453E-2</v>
      </c>
      <c r="S1997">
        <v>-3.0084840000000002</v>
      </c>
      <c r="T1997">
        <v>-8.2408190000000006E-2</v>
      </c>
      <c r="U1997">
        <v>8.1481929999999998E-3</v>
      </c>
      <c r="V1997">
        <v>-8.1006640000000005E-2</v>
      </c>
      <c r="W1997">
        <v>5.9257410000000003E-2</v>
      </c>
      <c r="X1997">
        <v>0.99495049999999996</v>
      </c>
      <c r="Y1997">
        <v>-4.7673439999999997E-2</v>
      </c>
      <c r="Z1997">
        <v>-2.0330600000000002E-3</v>
      </c>
      <c r="AA1997">
        <v>0.99886090000000005</v>
      </c>
      <c r="AB1997">
        <v>49</v>
      </c>
      <c r="AC1997">
        <v>-39.983800000000002</v>
      </c>
      <c r="AD1997">
        <v>-1.1088304424941</v>
      </c>
      <c r="AE1997">
        <v>8.4600000000023101E-2</v>
      </c>
      <c r="AF1997">
        <v>-1.9298211195094199</v>
      </c>
      <c r="AG1997">
        <v>-1.1088304424941</v>
      </c>
      <c r="AH1997">
        <v>39.906528713099199</v>
      </c>
      <c r="AI1997">
        <v>91.589736471403299</v>
      </c>
      <c r="AJ1997">
        <v>92.768582939248205</v>
      </c>
      <c r="AK1997">
        <v>39.968546989262897</v>
      </c>
      <c r="AL1997">
        <v>86.602810372355904</v>
      </c>
      <c r="AM1997">
        <v>94.654627140396201</v>
      </c>
      <c r="AN1997">
        <v>1.00000000690712</v>
      </c>
    </row>
    <row r="1998" spans="1:40" x14ac:dyDescent="0.25">
      <c r="A1998" t="str">
        <f>"20190312151306114"</f>
        <v>20190312151306114</v>
      </c>
      <c r="B1998" t="str">
        <f>"1552374786112341"</f>
        <v>1552374786112341</v>
      </c>
      <c r="C1998" t="s">
        <v>40</v>
      </c>
      <c r="D1998">
        <v>4.6448010000000002</v>
      </c>
      <c r="E1998">
        <v>0.51325790000000004</v>
      </c>
      <c r="F1998" t="s">
        <v>54</v>
      </c>
      <c r="G1998">
        <v>-442.3023</v>
      </c>
      <c r="H1998" s="1">
        <v>-2.351677E-7</v>
      </c>
      <c r="I1998">
        <v>282.86779999999999</v>
      </c>
      <c r="J1998">
        <v>-404.28800000000001</v>
      </c>
      <c r="K1998">
        <v>1.108916</v>
      </c>
      <c r="L1998">
        <v>282.77910000000003</v>
      </c>
      <c r="M1998">
        <v>-0.99860329999999997</v>
      </c>
      <c r="N1998">
        <v>0</v>
      </c>
      <c r="O1998">
        <v>5.0678099999999997E-2</v>
      </c>
      <c r="P1998">
        <v>-0.99858469999999999</v>
      </c>
      <c r="Q1998">
        <v>4.3011099999999997E-2</v>
      </c>
      <c r="R1998">
        <v>-3.1279469999999997E-2</v>
      </c>
      <c r="S1998">
        <v>-3.0085139999999999</v>
      </c>
      <c r="T1998">
        <v>-8.6655380000000004E-2</v>
      </c>
      <c r="U1998">
        <v>8.8500980000000007E-3</v>
      </c>
      <c r="V1998">
        <v>-8.1755540000000002E-2</v>
      </c>
      <c r="W1998">
        <v>5.8016900000000003E-2</v>
      </c>
      <c r="X1998">
        <v>0.99496229999999997</v>
      </c>
      <c r="Y1998">
        <v>-4.7704860000000002E-2</v>
      </c>
      <c r="Z1998">
        <v>-2.145948E-3</v>
      </c>
      <c r="AA1998">
        <v>0.99885919999999895</v>
      </c>
      <c r="AB1998">
        <v>49</v>
      </c>
      <c r="AC1998">
        <v>-38.014299999999899</v>
      </c>
      <c r="AD1998">
        <v>-1.1089162351677</v>
      </c>
      <c r="AE1998">
        <v>8.86999999999602E-2</v>
      </c>
      <c r="AF1998">
        <v>-1.8365587018787799</v>
      </c>
      <c r="AG1998">
        <v>-1.1089162351677</v>
      </c>
      <c r="AH1998">
        <v>37.937655034671202</v>
      </c>
      <c r="AI1998">
        <v>91.672319471778394</v>
      </c>
      <c r="AJ1998">
        <v>92.771520199784206</v>
      </c>
      <c r="AK1998">
        <v>37.998267231701199</v>
      </c>
      <c r="AL1998">
        <v>86.674008693669194</v>
      </c>
      <c r="AM1998">
        <v>94.697411642702903</v>
      </c>
      <c r="AN1998">
        <v>0.99999995371379402</v>
      </c>
    </row>
    <row r="1999" spans="1:40" x14ac:dyDescent="0.25">
      <c r="A1999" t="str">
        <f>"20190312151306138"</f>
        <v>20190312151306138</v>
      </c>
      <c r="B1999" t="str">
        <f>"1552374786131865"</f>
        <v>1552374786131865</v>
      </c>
      <c r="C1999" t="s">
        <v>40</v>
      </c>
      <c r="D1999">
        <v>4.6441369999999997</v>
      </c>
      <c r="E1999">
        <v>0.51336090000000001</v>
      </c>
      <c r="F1999" t="s">
        <v>54</v>
      </c>
      <c r="G1999">
        <v>-440.16140000000001</v>
      </c>
      <c r="H1999" s="1">
        <v>-1.3751169999999901E-6</v>
      </c>
      <c r="I1999">
        <v>282.88279999999997</v>
      </c>
      <c r="J1999">
        <v>-404.78919999999999</v>
      </c>
      <c r="K1999">
        <v>1.1090180000000001</v>
      </c>
      <c r="L1999">
        <v>282.80470000000003</v>
      </c>
      <c r="M1999">
        <v>-0.9985927</v>
      </c>
      <c r="N1999">
        <v>0</v>
      </c>
      <c r="O1999">
        <v>5.0888460000000003E-2</v>
      </c>
      <c r="P1999">
        <v>-0.99856160000000005</v>
      </c>
      <c r="Q1999">
        <v>4.3121109999999997E-2</v>
      </c>
      <c r="R1999">
        <v>-3.1868519999999997E-2</v>
      </c>
      <c r="S1999">
        <v>-3.0085449999999998</v>
      </c>
      <c r="T1999">
        <v>-9.3000050000000001E-2</v>
      </c>
      <c r="U1999">
        <v>8.6975100000000003E-3</v>
      </c>
      <c r="V1999">
        <v>-8.2564949999999998E-2</v>
      </c>
      <c r="W1999">
        <v>5.8104980000000001E-2</v>
      </c>
      <c r="X1999">
        <v>0.99489039999999995</v>
      </c>
      <c r="Y1999">
        <v>-4.7959540000000002E-2</v>
      </c>
      <c r="Z1999">
        <v>-2.3134039999999998E-3</v>
      </c>
      <c r="AA1999">
        <v>0.99884660000000003</v>
      </c>
      <c r="AB1999">
        <v>49</v>
      </c>
      <c r="AC1999">
        <v>-35.372199999999999</v>
      </c>
      <c r="AD1999">
        <v>-1.1090193751170001</v>
      </c>
      <c r="AE1999">
        <v>7.8099999999949404E-2</v>
      </c>
      <c r="AF1999">
        <v>-1.72054742937649</v>
      </c>
      <c r="AG1999">
        <v>-1.1090193751170001</v>
      </c>
      <c r="AH1999">
        <v>35.295638871249899</v>
      </c>
      <c r="AI1999">
        <v>91.7975575906747</v>
      </c>
      <c r="AJ1999">
        <v>92.790773504931195</v>
      </c>
      <c r="AK1999">
        <v>35.354947755028697</v>
      </c>
      <c r="AL1999">
        <v>86.668953820565307</v>
      </c>
      <c r="AM1999">
        <v>94.744047809449697</v>
      </c>
      <c r="AN1999">
        <v>1.00000003384073</v>
      </c>
    </row>
    <row r="2000" spans="1:40" x14ac:dyDescent="0.25">
      <c r="A2000" t="str">
        <f>"20190312151306161"</f>
        <v>20190312151306161</v>
      </c>
      <c r="B2000" t="str">
        <f>"1552374786152358"</f>
        <v>1552374786152358</v>
      </c>
      <c r="C2000" t="s">
        <v>40</v>
      </c>
      <c r="D2000">
        <v>4.627815</v>
      </c>
      <c r="E2000">
        <v>0.51337219999999995</v>
      </c>
      <c r="F2000" t="s">
        <v>54</v>
      </c>
      <c r="G2000">
        <v>-440.02980000000002</v>
      </c>
      <c r="H2000" s="1">
        <v>-1.445584E-6</v>
      </c>
      <c r="I2000">
        <v>282.89190000000002</v>
      </c>
      <c r="J2000">
        <v>-405.29169999999999</v>
      </c>
      <c r="K2000">
        <v>1.109118</v>
      </c>
      <c r="L2000">
        <v>282.8304</v>
      </c>
      <c r="M2000">
        <v>-0.9985851</v>
      </c>
      <c r="N2000">
        <v>0</v>
      </c>
      <c r="O2000">
        <v>5.1038269999999997E-2</v>
      </c>
      <c r="P2000">
        <v>-0.99850550000000005</v>
      </c>
      <c r="Q2000">
        <v>4.3557199999999997E-2</v>
      </c>
      <c r="R2000">
        <v>-3.301486E-2</v>
      </c>
      <c r="S2000">
        <v>-3.0086360000000001</v>
      </c>
      <c r="T2000">
        <v>-9.4681860000000007E-2</v>
      </c>
      <c r="U2000">
        <v>7.446289E-3</v>
      </c>
      <c r="V2000">
        <v>-8.3868399999999996E-2</v>
      </c>
      <c r="W2000">
        <v>5.8519590000000003E-2</v>
      </c>
      <c r="X2000">
        <v>0.99475709999999995</v>
      </c>
      <c r="Y2000">
        <v>-4.8522790000000003E-2</v>
      </c>
      <c r="Z2000">
        <v>-2.3687220000000002E-3</v>
      </c>
      <c r="AA2000">
        <v>0.99881929999999997</v>
      </c>
      <c r="AB2000">
        <v>49</v>
      </c>
      <c r="AC2000">
        <v>-34.738100000000003</v>
      </c>
      <c r="AD2000">
        <v>-1.1091194455840001</v>
      </c>
      <c r="AE2000">
        <v>6.1500000000023598E-2</v>
      </c>
      <c r="AF2000">
        <v>-1.7100071473239999</v>
      </c>
      <c r="AG2000">
        <v>-1.1091194455840001</v>
      </c>
      <c r="AH2000">
        <v>34.660621956908201</v>
      </c>
      <c r="AI2000">
        <v>91.830580765620198</v>
      </c>
      <c r="AJ2000">
        <v>92.824439119057004</v>
      </c>
      <c r="AK2000">
        <v>34.720498049828997</v>
      </c>
      <c r="AL2000">
        <v>86.645158046402997</v>
      </c>
      <c r="AM2000">
        <v>94.819234665795094</v>
      </c>
      <c r="AN2000">
        <v>1.00000006946636</v>
      </c>
    </row>
    <row r="2001" spans="1:40" x14ac:dyDescent="0.25">
      <c r="A2001" t="str">
        <f>"20190312151306183"</f>
        <v>20190312151306183</v>
      </c>
      <c r="B2001" t="str">
        <f>"1552374786171878"</f>
        <v>1552374786171878</v>
      </c>
      <c r="C2001" t="s">
        <v>40</v>
      </c>
      <c r="D2001">
        <v>4.7104670000000004</v>
      </c>
      <c r="E2001">
        <v>0.5135092</v>
      </c>
      <c r="F2001" t="s">
        <v>55</v>
      </c>
      <c r="G2001">
        <v>-439.95699999999999</v>
      </c>
      <c r="H2001" s="1">
        <v>6.7844480000000003E-6</v>
      </c>
      <c r="I2001">
        <v>282.87830000000002</v>
      </c>
      <c r="J2001">
        <v>-405.7987</v>
      </c>
      <c r="K2001">
        <v>1.1092120000000001</v>
      </c>
      <c r="L2001">
        <v>282.85649999999998</v>
      </c>
      <c r="M2001">
        <v>-0.99857980000000002</v>
      </c>
      <c r="N2001">
        <v>0</v>
      </c>
      <c r="O2001">
        <v>5.1143170000000002E-2</v>
      </c>
      <c r="P2001">
        <v>-0.99842640000000005</v>
      </c>
      <c r="Q2001">
        <v>4.4591459999999999E-2</v>
      </c>
      <c r="R2001">
        <v>-3.4011609999999998E-2</v>
      </c>
      <c r="S2001">
        <v>-3.0088499999999998</v>
      </c>
      <c r="T2001">
        <v>-9.6267580000000005E-2</v>
      </c>
      <c r="U2001">
        <v>4.1503909999999998E-3</v>
      </c>
      <c r="V2001">
        <v>-8.4975090000000003E-2</v>
      </c>
      <c r="W2001">
        <v>5.9532059999999998E-2</v>
      </c>
      <c r="X2001">
        <v>0.99460300000000001</v>
      </c>
      <c r="Y2001">
        <v>-4.9719640000000002E-2</v>
      </c>
      <c r="Z2001">
        <v>-2.43071E-3</v>
      </c>
      <c r="AA2001">
        <v>0.99876030000000005</v>
      </c>
      <c r="AB2001">
        <v>49</v>
      </c>
      <c r="AC2001">
        <v>-34.158299999999997</v>
      </c>
      <c r="AD2001">
        <v>-1.109205215552</v>
      </c>
      <c r="AE2001">
        <v>2.1800000000041501E-2</v>
      </c>
      <c r="AF2001">
        <v>-1.7235694484517701</v>
      </c>
      <c r="AG2001">
        <v>-1.109205215552</v>
      </c>
      <c r="AH2001">
        <v>34.078768414238098</v>
      </c>
      <c r="AI2001">
        <v>91.861842772755907</v>
      </c>
      <c r="AJ2001">
        <v>92.895327124598694</v>
      </c>
      <c r="AK2001">
        <v>34.140349800274699</v>
      </c>
      <c r="AL2001">
        <v>86.587046163738094</v>
      </c>
      <c r="AM2001">
        <v>94.883274528897601</v>
      </c>
      <c r="AN2001">
        <v>0.99999997984867495</v>
      </c>
    </row>
    <row r="2002" spans="1:40" x14ac:dyDescent="0.25">
      <c r="A2002" t="str">
        <f>"20190312151306205"</f>
        <v>20190312151306205</v>
      </c>
      <c r="B2002" t="str">
        <f>"1552374786192374"</f>
        <v>1552374786192374</v>
      </c>
      <c r="C2002" t="s">
        <v>40</v>
      </c>
      <c r="D2002">
        <v>4.6388160000000003</v>
      </c>
      <c r="E2002">
        <v>0.51354650000000002</v>
      </c>
      <c r="F2002" t="s">
        <v>54</v>
      </c>
      <c r="G2002">
        <v>-440.3664</v>
      </c>
      <c r="H2002" s="1">
        <v>-1.2659560000000001E-6</v>
      </c>
      <c r="I2002">
        <v>282.88139999999999</v>
      </c>
      <c r="J2002">
        <v>-406.26080000000002</v>
      </c>
      <c r="K2002">
        <v>1.109291</v>
      </c>
      <c r="L2002">
        <v>282.8802</v>
      </c>
      <c r="M2002">
        <v>-0.99857660000000004</v>
      </c>
      <c r="N2002">
        <v>0</v>
      </c>
      <c r="O2002">
        <v>5.1204560000000003E-2</v>
      </c>
      <c r="P2002">
        <v>-0.99834069999999997</v>
      </c>
      <c r="Q2002">
        <v>4.6406219999999998E-2</v>
      </c>
      <c r="R2002">
        <v>-3.4090750000000003E-2</v>
      </c>
      <c r="S2002">
        <v>-3.0090940000000002</v>
      </c>
      <c r="T2002">
        <v>-9.6556310000000006E-2</v>
      </c>
      <c r="U2002">
        <v>2.166748E-3</v>
      </c>
      <c r="V2002">
        <v>-8.5119490000000006E-2</v>
      </c>
      <c r="W2002">
        <v>6.1328359999999998E-2</v>
      </c>
      <c r="X2002">
        <v>0.99448150000000002</v>
      </c>
      <c r="Y2002">
        <v>-5.0438839999999999E-2</v>
      </c>
      <c r="Z2002">
        <v>-2.4513099999999999E-3</v>
      </c>
      <c r="AA2002">
        <v>0.99872419999999995</v>
      </c>
      <c r="AB2002">
        <v>49</v>
      </c>
      <c r="AC2002">
        <v>-34.105599999999903</v>
      </c>
      <c r="AD2002">
        <v>-1.1092922659559901</v>
      </c>
      <c r="AE2002">
        <v>1.1999999999829901E-3</v>
      </c>
      <c r="AF2002">
        <v>-1.74351400550084</v>
      </c>
      <c r="AG2002">
        <v>-1.1092922659559901</v>
      </c>
      <c r="AH2002">
        <v>34.024916647119397</v>
      </c>
      <c r="AI2002">
        <v>91.864870663136799</v>
      </c>
      <c r="AJ2002">
        <v>92.933400187805304</v>
      </c>
      <c r="AK2002">
        <v>34.087612460571499</v>
      </c>
      <c r="AL2002">
        <v>86.483937281130693</v>
      </c>
      <c r="AM2002">
        <v>94.892127272247606</v>
      </c>
      <c r="AN2002">
        <v>0.99999997458019896</v>
      </c>
    </row>
    <row r="2003" spans="1:40" x14ac:dyDescent="0.25">
      <c r="A2003" t="str">
        <f>"20190312151306226"</f>
        <v>20190312151306226</v>
      </c>
      <c r="B2003" t="str">
        <f>"1552374786221654"</f>
        <v>1552374786221654</v>
      </c>
      <c r="C2003" t="s">
        <v>40</v>
      </c>
      <c r="D2003">
        <v>4.7723300000000002</v>
      </c>
      <c r="E2003">
        <v>0.51340600000000003</v>
      </c>
      <c r="F2003" t="s">
        <v>54</v>
      </c>
      <c r="G2003">
        <v>-442.476</v>
      </c>
      <c r="H2003" s="1">
        <v>-1.4446100000000001E-7</v>
      </c>
      <c r="I2003">
        <v>282.90629999999999</v>
      </c>
      <c r="J2003">
        <v>-406.7396</v>
      </c>
      <c r="K2003">
        <v>1.109362</v>
      </c>
      <c r="L2003">
        <v>282.90480000000002</v>
      </c>
      <c r="M2003">
        <v>-0.99857549999999995</v>
      </c>
      <c r="N2003">
        <v>0</v>
      </c>
      <c r="O2003">
        <v>5.1230089999999999E-2</v>
      </c>
      <c r="P2003">
        <v>-0.9982782</v>
      </c>
      <c r="Q2003">
        <v>4.748405E-2</v>
      </c>
      <c r="R2003">
        <v>-3.4442189999999998E-2</v>
      </c>
      <c r="S2003">
        <v>-3.0093079999999999</v>
      </c>
      <c r="T2003">
        <v>-9.2176800000000003E-2</v>
      </c>
      <c r="U2003">
        <v>2.166748E-3</v>
      </c>
      <c r="V2003">
        <v>-8.5501759999999996E-2</v>
      </c>
      <c r="W2003">
        <v>6.238776E-2</v>
      </c>
      <c r="X2003">
        <v>0.99438289999999996</v>
      </c>
      <c r="Y2003">
        <v>-5.0469029999999998E-2</v>
      </c>
      <c r="Z2003">
        <v>-2.3412559999999999E-3</v>
      </c>
      <c r="AA2003">
        <v>0.99872289999999997</v>
      </c>
      <c r="AB2003">
        <v>49</v>
      </c>
      <c r="AC2003">
        <v>-35.736400000000003</v>
      </c>
      <c r="AD2003">
        <v>-1.109362144461</v>
      </c>
      <c r="AE2003">
        <v>1.4999999999645199E-3</v>
      </c>
      <c r="AF2003">
        <v>-1.82772331064742</v>
      </c>
      <c r="AG2003">
        <v>-1.109362144461</v>
      </c>
      <c r="AH2003">
        <v>35.655180539477499</v>
      </c>
      <c r="AI2003">
        <v>91.7797695426583</v>
      </c>
      <c r="AJ2003">
        <v>92.934475429268403</v>
      </c>
      <c r="AK2003">
        <v>35.719226701744098</v>
      </c>
      <c r="AL2003">
        <v>86.423121996794194</v>
      </c>
      <c r="AM2003">
        <v>94.914475250821496</v>
      </c>
      <c r="AN2003">
        <v>1.0000000676866601</v>
      </c>
    </row>
    <row r="2004" spans="1:40" x14ac:dyDescent="0.25">
      <c r="A2004" t="str">
        <f>"20190312151306248"</f>
        <v>20190312151306248</v>
      </c>
      <c r="B2004" t="str">
        <f>"1552374786242150"</f>
        <v>1552374786242150</v>
      </c>
      <c r="C2004" t="s">
        <v>40</v>
      </c>
      <c r="D2004">
        <v>4.7943540000000002</v>
      </c>
      <c r="E2004">
        <v>0.51317049999999997</v>
      </c>
      <c r="F2004" t="s">
        <v>54</v>
      </c>
      <c r="G2004">
        <v>-442.79469999999998</v>
      </c>
      <c r="H2004" s="1">
        <v>2.530148E-8</v>
      </c>
      <c r="I2004">
        <v>282.90370000000001</v>
      </c>
      <c r="J2004">
        <v>-407.23430000000002</v>
      </c>
      <c r="K2004">
        <v>1.1094409999999999</v>
      </c>
      <c r="L2004">
        <v>282.93020000000001</v>
      </c>
      <c r="M2004">
        <v>-0.99857680000000004</v>
      </c>
      <c r="N2004">
        <v>0</v>
      </c>
      <c r="O2004">
        <v>5.1207389999999998E-2</v>
      </c>
      <c r="P2004">
        <v>-0.99822279999999997</v>
      </c>
      <c r="Q2004">
        <v>4.842175E-2</v>
      </c>
      <c r="R2004">
        <v>-3.4744339999999999E-2</v>
      </c>
      <c r="S2004">
        <v>-3.0095830000000001</v>
      </c>
      <c r="T2004">
        <v>-9.2600349999999998E-2</v>
      </c>
      <c r="U2004" s="1">
        <v>-9.1552730000000004E-5</v>
      </c>
      <c r="V2004">
        <v>-8.5787920000000004E-2</v>
      </c>
      <c r="W2004">
        <v>6.330624E-2</v>
      </c>
      <c r="X2004">
        <v>0.99430010000000002</v>
      </c>
      <c r="Y2004">
        <v>-5.1195009999999999E-2</v>
      </c>
      <c r="Z2004">
        <v>-2.362271E-3</v>
      </c>
      <c r="AA2004">
        <v>0.99868590000000002</v>
      </c>
      <c r="AB2004">
        <v>49</v>
      </c>
      <c r="AC2004">
        <v>-35.560399999999902</v>
      </c>
      <c r="AD2004">
        <v>-1.1094409746985201</v>
      </c>
      <c r="AE2004">
        <v>-2.6499999999998601E-2</v>
      </c>
      <c r="AF2004">
        <v>-1.8458261591537699</v>
      </c>
      <c r="AG2004">
        <v>-1.1094409746985201</v>
      </c>
      <c r="AH2004">
        <v>35.4778458648154</v>
      </c>
      <c r="AI2004">
        <v>91.788716334393001</v>
      </c>
      <c r="AJ2004">
        <v>92.978274931146601</v>
      </c>
      <c r="AK2004">
        <v>35.543149560692498</v>
      </c>
      <c r="AL2004">
        <v>86.370392372189002</v>
      </c>
      <c r="AM2004">
        <v>94.931250804926293</v>
      </c>
      <c r="AN2004">
        <v>0.99999996805043601</v>
      </c>
    </row>
    <row r="2005" spans="1:40" x14ac:dyDescent="0.25">
      <c r="A2005" t="str">
        <f>"20190312151306271"</f>
        <v>20190312151306271</v>
      </c>
      <c r="B2005" t="str">
        <f>"1552374786261670"</f>
        <v>1552374786261670</v>
      </c>
      <c r="C2005" t="s">
        <v>40</v>
      </c>
      <c r="D2005">
        <v>4.7655669999999999</v>
      </c>
      <c r="E2005">
        <v>0.51295479999999904</v>
      </c>
      <c r="F2005" t="s">
        <v>54</v>
      </c>
      <c r="G2005">
        <v>-443.24979999999999</v>
      </c>
      <c r="H2005" s="1">
        <v>2.6781340000000001E-7</v>
      </c>
      <c r="I2005">
        <v>282.89589999999998</v>
      </c>
      <c r="J2005">
        <v>-407.7269</v>
      </c>
      <c r="K2005">
        <v>1.109515</v>
      </c>
      <c r="L2005">
        <v>282.9554</v>
      </c>
      <c r="M2005">
        <v>-0.99858000000000002</v>
      </c>
      <c r="N2005">
        <v>0</v>
      </c>
      <c r="O2005">
        <v>5.1141659999999999E-2</v>
      </c>
      <c r="P2005">
        <v>-0.99821749999999998</v>
      </c>
      <c r="Q2005">
        <v>4.8684320000000003E-2</v>
      </c>
      <c r="R2005">
        <v>-3.452181E-2</v>
      </c>
      <c r="S2005">
        <v>-3.009735</v>
      </c>
      <c r="T2005">
        <v>-9.2713240000000002E-2</v>
      </c>
      <c r="U2005">
        <v>-2.8686520000000002E-3</v>
      </c>
      <c r="V2005">
        <v>-8.5510630000000004E-2</v>
      </c>
      <c r="W2005">
        <v>6.355131E-2</v>
      </c>
      <c r="X2005">
        <v>0.99430839999999998</v>
      </c>
      <c r="Y2005">
        <v>-5.2050270000000003E-2</v>
      </c>
      <c r="Z2005">
        <v>-2.3761860000000002E-3</v>
      </c>
      <c r="AA2005">
        <v>0.99864160000000002</v>
      </c>
      <c r="AB2005">
        <v>49</v>
      </c>
      <c r="AC2005">
        <v>-35.5228999999999</v>
      </c>
      <c r="AD2005">
        <v>-1.1095147321865999</v>
      </c>
      <c r="AE2005">
        <v>-5.9500000000014097E-2</v>
      </c>
      <c r="AF2005">
        <v>-1.8744956918023301</v>
      </c>
      <c r="AG2005">
        <v>-1.1095147321865999</v>
      </c>
      <c r="AH2005">
        <v>35.438789239482198</v>
      </c>
      <c r="AI2005">
        <v>91.790724232158098</v>
      </c>
      <c r="AJ2005">
        <v>93.027775534871907</v>
      </c>
      <c r="AK2005">
        <v>35.505669121986102</v>
      </c>
      <c r="AL2005">
        <v>86.356322737008696</v>
      </c>
      <c r="AM2005">
        <v>94.915349041952595</v>
      </c>
      <c r="AN2005">
        <v>1.0000000155781299</v>
      </c>
    </row>
    <row r="2006" spans="1:40" x14ac:dyDescent="0.25">
      <c r="A2006" t="str">
        <f>"20190312151306292"</f>
        <v>20190312151306292</v>
      </c>
      <c r="B2006" t="str">
        <f>"1552374786282166"</f>
        <v>1552374786282166</v>
      </c>
      <c r="C2006" t="s">
        <v>40</v>
      </c>
      <c r="D2006">
        <v>4.8211329999999997</v>
      </c>
      <c r="E2006">
        <v>0.50965490000000002</v>
      </c>
      <c r="F2006" t="s">
        <v>54</v>
      </c>
      <c r="G2006">
        <v>-442.88799999999998</v>
      </c>
      <c r="H2006" s="1">
        <v>7.4679429999999895E-8</v>
      </c>
      <c r="I2006">
        <v>282.90910000000002</v>
      </c>
      <c r="J2006">
        <v>-408.20389999999998</v>
      </c>
      <c r="K2006">
        <v>1.109591</v>
      </c>
      <c r="L2006">
        <v>282.97989999999999</v>
      </c>
      <c r="M2006">
        <v>-0.99858570000000002</v>
      </c>
      <c r="N2006">
        <v>0</v>
      </c>
      <c r="O2006">
        <v>5.1034110000000001E-2</v>
      </c>
      <c r="P2006">
        <v>-0.99819340000000001</v>
      </c>
      <c r="Q2006">
        <v>4.9202240000000001E-2</v>
      </c>
      <c r="R2006">
        <v>-3.4484069999999999E-2</v>
      </c>
      <c r="S2006">
        <v>-3.0098880000000001</v>
      </c>
      <c r="T2006">
        <v>-9.4977619999999999E-2</v>
      </c>
      <c r="U2006">
        <v>-3.9672850000000001E-3</v>
      </c>
      <c r="V2006">
        <v>-8.5374199999999997E-2</v>
      </c>
      <c r="W2006">
        <v>6.4051440000000001E-2</v>
      </c>
      <c r="X2006">
        <v>0.99428799999999995</v>
      </c>
      <c r="Y2006">
        <v>-5.2304669999999998E-2</v>
      </c>
      <c r="Z2006">
        <v>-2.4346939999999998E-3</v>
      </c>
      <c r="AA2006">
        <v>0.99862819999999997</v>
      </c>
      <c r="AB2006">
        <v>49</v>
      </c>
      <c r="AC2006">
        <v>-34.684100000000001</v>
      </c>
      <c r="AD2006">
        <v>-1.10959092532057</v>
      </c>
      <c r="AE2006">
        <v>-7.0799999999962795E-2</v>
      </c>
      <c r="AF2006">
        <v>-1.83909430597026</v>
      </c>
      <c r="AG2006">
        <v>-1.10959092532057</v>
      </c>
      <c r="AH2006">
        <v>34.599868909415903</v>
      </c>
      <c r="AI2006">
        <v>91.834214177981295</v>
      </c>
      <c r="AJ2006">
        <v>93.042591725034598</v>
      </c>
      <c r="AK2006">
        <v>34.666473550630599</v>
      </c>
      <c r="AL2006">
        <v>86.327608781607793</v>
      </c>
      <c r="AM2006">
        <v>94.907645257278304</v>
      </c>
      <c r="AN2006">
        <v>0.99999998396785605</v>
      </c>
    </row>
    <row r="2007" spans="1:40" x14ac:dyDescent="0.25">
      <c r="A2007" t="str">
        <f>"20190312151306315"</f>
        <v>20190312151306315</v>
      </c>
      <c r="B2007" t="str">
        <f>"1552374786312422"</f>
        <v>1552374786312422</v>
      </c>
      <c r="C2007" t="s">
        <v>40</v>
      </c>
      <c r="D2007">
        <v>5.058198</v>
      </c>
      <c r="E2007">
        <v>0.50486949999999997</v>
      </c>
      <c r="F2007" t="s">
        <v>55</v>
      </c>
      <c r="G2007">
        <v>-419.654</v>
      </c>
      <c r="H2007" s="1">
        <v>4.072141E-6</v>
      </c>
      <c r="I2007">
        <v>282.85570000000001</v>
      </c>
      <c r="J2007">
        <v>-408.68650000000002</v>
      </c>
      <c r="K2007">
        <v>1.109672</v>
      </c>
      <c r="L2007">
        <v>283.00439999999998</v>
      </c>
      <c r="M2007">
        <v>-0.99859370000000003</v>
      </c>
      <c r="N2007">
        <v>0</v>
      </c>
      <c r="O2007">
        <v>5.0877220000000001E-2</v>
      </c>
      <c r="P2007">
        <v>-0.99813960000000002</v>
      </c>
      <c r="Q2007">
        <v>5.0308560000000002E-2</v>
      </c>
      <c r="R2007">
        <v>-3.4452459999999997E-2</v>
      </c>
      <c r="S2007">
        <v>-3.018707</v>
      </c>
      <c r="T2007">
        <v>-0.29252979999999901</v>
      </c>
      <c r="U2007">
        <v>-3.2745360000000001E-2</v>
      </c>
      <c r="V2007">
        <v>-8.5194179999999994E-2</v>
      </c>
      <c r="W2007">
        <v>6.5139699999999995E-2</v>
      </c>
      <c r="X2007">
        <v>0.99423280000000003</v>
      </c>
      <c r="Y2007">
        <v>-6.1187829999999999E-2</v>
      </c>
      <c r="Z2007">
        <v>-7.8756219999999901E-3</v>
      </c>
      <c r="AA2007">
        <v>0.99809519999999996</v>
      </c>
      <c r="AB2007">
        <v>49</v>
      </c>
      <c r="AC2007">
        <v>-10.9674999999999</v>
      </c>
      <c r="AD2007">
        <v>-1.109667927859</v>
      </c>
      <c r="AE2007">
        <v>-0.148699999999962</v>
      </c>
      <c r="AF2007">
        <v>-0.69940679310363996</v>
      </c>
      <c r="AG2007">
        <v>-1.109667927859</v>
      </c>
      <c r="AH2007">
        <v>10.834831428001999</v>
      </c>
      <c r="AI2007">
        <v>95.835595614151799</v>
      </c>
      <c r="AJ2007">
        <v>93.693415627644299</v>
      </c>
      <c r="AK2007">
        <v>10.913940848546799</v>
      </c>
      <c r="AL2007">
        <v>86.265125805054595</v>
      </c>
      <c r="AM2007">
        <v>94.897617959578696</v>
      </c>
      <c r="AN2007">
        <v>1.0000000447088999</v>
      </c>
    </row>
    <row r="2008" spans="1:40" x14ac:dyDescent="0.25">
      <c r="A2008" t="str">
        <f>"20190312151306337"</f>
        <v>20190312151306337</v>
      </c>
      <c r="B2008" t="str">
        <f>"1552374786331942"</f>
        <v>1552374786331942</v>
      </c>
      <c r="C2008" t="s">
        <v>40</v>
      </c>
      <c r="D2008">
        <v>4.7505600000000001</v>
      </c>
      <c r="E2008">
        <v>0.49983749999999999</v>
      </c>
      <c r="F2008" t="s">
        <v>55</v>
      </c>
      <c r="G2008">
        <v>-424.7638</v>
      </c>
      <c r="H2008" s="1">
        <v>3.2930399999999999E-6</v>
      </c>
      <c r="I2008">
        <v>282.63229999999999</v>
      </c>
      <c r="J2008">
        <v>-409.18150000000003</v>
      </c>
      <c r="K2008">
        <v>1.1097520000000001</v>
      </c>
      <c r="L2008">
        <v>283.02949999999998</v>
      </c>
      <c r="M2008">
        <v>-0.99860459999999995</v>
      </c>
      <c r="N2008">
        <v>0</v>
      </c>
      <c r="O2008">
        <v>5.066209E-2</v>
      </c>
      <c r="P2008">
        <v>-0.99806550000000005</v>
      </c>
      <c r="Q2008">
        <v>5.1663430000000003E-2</v>
      </c>
      <c r="R2008">
        <v>-3.45846E-2</v>
      </c>
      <c r="S2008">
        <v>-3.0136720000000001</v>
      </c>
      <c r="T2008">
        <v>-0.208006</v>
      </c>
      <c r="U2008">
        <v>-6.9763179999999994E-2</v>
      </c>
      <c r="V2008">
        <v>-8.5119840000000002E-2</v>
      </c>
      <c r="W2008">
        <v>6.6475279999999998E-2</v>
      </c>
      <c r="X2008">
        <v>0.99415070000000005</v>
      </c>
      <c r="Y2008">
        <v>-7.3471939999999999E-2</v>
      </c>
      <c r="Z2008">
        <v>-6.0240889999999998E-3</v>
      </c>
      <c r="AA2008">
        <v>0.99727909999999997</v>
      </c>
      <c r="AB2008">
        <v>49</v>
      </c>
      <c r="AC2008">
        <v>-15.582299999999901</v>
      </c>
      <c r="AD2008">
        <v>-1.1097487069600001</v>
      </c>
      <c r="AE2008">
        <v>-0.397199999999998</v>
      </c>
      <c r="AF2008">
        <v>-1.1802271102780499</v>
      </c>
      <c r="AG2008">
        <v>-1.1097487069600001</v>
      </c>
      <c r="AH2008">
        <v>15.4637777473858</v>
      </c>
      <c r="AI2008">
        <v>94.0928973814447</v>
      </c>
      <c r="AJ2008">
        <v>94.3644696476441</v>
      </c>
      <c r="AK2008">
        <v>15.5484050772091</v>
      </c>
      <c r="AL2008">
        <v>86.188436230167596</v>
      </c>
      <c r="AM2008">
        <v>94.893767230276097</v>
      </c>
      <c r="AN2008">
        <v>0.99999998216159602</v>
      </c>
    </row>
    <row r="2009" spans="1:40" x14ac:dyDescent="0.25">
      <c r="A2009" t="str">
        <f>"20190312151306360"</f>
        <v>20190312151306360</v>
      </c>
      <c r="B2009" t="str">
        <f>"1552374786351462"</f>
        <v>1552374786351462</v>
      </c>
      <c r="C2009" t="s">
        <v>40</v>
      </c>
      <c r="D2009">
        <v>4.799817</v>
      </c>
      <c r="E2009">
        <v>0.4971428</v>
      </c>
      <c r="F2009" t="s">
        <v>55</v>
      </c>
      <c r="G2009">
        <v>-427.37090000000001</v>
      </c>
      <c r="H2009" s="1">
        <v>2.8540149999999999E-6</v>
      </c>
      <c r="I2009">
        <v>282.36410000000001</v>
      </c>
      <c r="J2009">
        <v>-409.66309999999999</v>
      </c>
      <c r="K2009">
        <v>1.109826</v>
      </c>
      <c r="L2009">
        <v>283.05380000000002</v>
      </c>
      <c r="M2009">
        <v>-0.99861789999999995</v>
      </c>
      <c r="N2009">
        <v>0</v>
      </c>
      <c r="O2009">
        <v>5.0399180000000002E-2</v>
      </c>
      <c r="P2009">
        <v>-0.99799850000000001</v>
      </c>
      <c r="Q2009">
        <v>5.264829E-2</v>
      </c>
      <c r="R2009">
        <v>-3.5032880000000002E-2</v>
      </c>
      <c r="S2009">
        <v>-3.011536</v>
      </c>
      <c r="T2009">
        <v>-0.18373600000000001</v>
      </c>
      <c r="U2009">
        <v>-0.1101685</v>
      </c>
      <c r="V2009">
        <v>-8.5313860000000005E-2</v>
      </c>
      <c r="W2009">
        <v>6.7440609999999998E-2</v>
      </c>
      <c r="X2009">
        <v>0.99406899999999998</v>
      </c>
      <c r="Y2009">
        <v>-8.6627800000000005E-2</v>
      </c>
      <c r="Z2009">
        <v>-5.7103589999999999E-3</v>
      </c>
      <c r="AA2009">
        <v>0.99622440000000001</v>
      </c>
      <c r="AB2009">
        <v>49</v>
      </c>
      <c r="AC2009">
        <v>-17.707799999999999</v>
      </c>
      <c r="AD2009">
        <v>-1.1098231459850001</v>
      </c>
      <c r="AE2009">
        <v>-0.68970000000001597</v>
      </c>
      <c r="AF2009">
        <v>-1.5752029536708601</v>
      </c>
      <c r="AG2009">
        <v>-1.1098231459850001</v>
      </c>
      <c r="AH2009">
        <v>17.581570038491499</v>
      </c>
      <c r="AI2009">
        <v>93.597587674010995</v>
      </c>
      <c r="AJ2009">
        <v>95.119687793974904</v>
      </c>
      <c r="AK2009">
        <v>17.686847564758398</v>
      </c>
      <c r="AL2009">
        <v>86.133002299879294</v>
      </c>
      <c r="AM2009">
        <v>94.905268754329697</v>
      </c>
      <c r="AN2009">
        <v>0.999999933673133</v>
      </c>
    </row>
    <row r="2010" spans="1:40" x14ac:dyDescent="0.25">
      <c r="A2010" t="str">
        <f>"20190312151306383"</f>
        <v>20190312151306383</v>
      </c>
      <c r="B2010" t="str">
        <f>"1552374786371958"</f>
        <v>1552374786371958</v>
      </c>
      <c r="C2010" t="s">
        <v>40</v>
      </c>
      <c r="D2010">
        <v>4.7746139999999997</v>
      </c>
      <c r="E2010">
        <v>0.49524230000000002</v>
      </c>
      <c r="F2010" t="s">
        <v>55</v>
      </c>
      <c r="G2010">
        <v>-429.10789999999997</v>
      </c>
      <c r="H2010" s="1">
        <v>2.5606819999999998E-6</v>
      </c>
      <c r="I2010">
        <v>282.19510000000002</v>
      </c>
      <c r="J2010">
        <v>-410.1671</v>
      </c>
      <c r="K2010">
        <v>1.1098950000000001</v>
      </c>
      <c r="L2010">
        <v>283.07900000000001</v>
      </c>
      <c r="M2010">
        <v>-0.99863460000000004</v>
      </c>
      <c r="N2010">
        <v>0</v>
      </c>
      <c r="O2010">
        <v>5.006977E-2</v>
      </c>
      <c r="P2010">
        <v>-0.99793860000000001</v>
      </c>
      <c r="Q2010">
        <v>5.3052920000000003E-2</v>
      </c>
      <c r="R2010">
        <v>-3.6110089999999997E-2</v>
      </c>
      <c r="S2010">
        <v>-3.0104060000000001</v>
      </c>
      <c r="T2010">
        <v>-0.171821</v>
      </c>
      <c r="U2010">
        <v>-0.13293460000000001</v>
      </c>
      <c r="V2010">
        <v>-8.6070949999999993E-2</v>
      </c>
      <c r="W2010">
        <v>6.7825979999999994E-2</v>
      </c>
      <c r="X2010">
        <v>0.99397760000000002</v>
      </c>
      <c r="Y2010">
        <v>-9.3852729999999995E-2</v>
      </c>
      <c r="Z2010">
        <v>-5.5291400000000001E-3</v>
      </c>
      <c r="AA2010">
        <v>0.99557070000000003</v>
      </c>
      <c r="AB2010">
        <v>49</v>
      </c>
      <c r="AC2010">
        <v>-18.9407999999999</v>
      </c>
      <c r="AD2010">
        <v>-1.1098924393179901</v>
      </c>
      <c r="AE2010">
        <v>-0.88389999999998203</v>
      </c>
      <c r="AF2010">
        <v>-1.8250049187603199</v>
      </c>
      <c r="AG2010">
        <v>-1.1098924393179901</v>
      </c>
      <c r="AH2010">
        <v>18.808333867666899</v>
      </c>
      <c r="AI2010">
        <v>93.361395606546907</v>
      </c>
      <c r="AJ2010">
        <v>95.542157864027601</v>
      </c>
      <c r="AK2010">
        <v>18.9292347192901</v>
      </c>
      <c r="AL2010">
        <v>86.110871888553305</v>
      </c>
      <c r="AM2010">
        <v>94.949036528469307</v>
      </c>
      <c r="AN2010">
        <v>1.00000002064931</v>
      </c>
    </row>
    <row r="2011" spans="1:40" x14ac:dyDescent="0.25">
      <c r="A2011" t="str">
        <f>"20190312151306406"</f>
        <v>20190312151306406</v>
      </c>
      <c r="B2011" t="str">
        <f>"1552374786402214"</f>
        <v>1552374786402214</v>
      </c>
      <c r="C2011" t="s">
        <v>40</v>
      </c>
      <c r="D2011">
        <v>4.8639390000000002</v>
      </c>
      <c r="E2011">
        <v>0.49350729999999998</v>
      </c>
      <c r="F2011" t="s">
        <v>55</v>
      </c>
      <c r="G2011">
        <v>-430.16469999999998</v>
      </c>
      <c r="H2011" s="1">
        <v>2.5123570000000002E-6</v>
      </c>
      <c r="I2011">
        <v>282.07319999999999</v>
      </c>
      <c r="J2011">
        <v>-410.65019999999998</v>
      </c>
      <c r="K2011">
        <v>1.109969</v>
      </c>
      <c r="L2011">
        <v>283.10300000000001</v>
      </c>
      <c r="M2011">
        <v>-0.99865280000000001</v>
      </c>
      <c r="N2011">
        <v>0</v>
      </c>
      <c r="O2011">
        <v>4.9705779999999998E-2</v>
      </c>
      <c r="P2011">
        <v>-0.99787890000000001</v>
      </c>
      <c r="Q2011">
        <v>5.3504790000000003E-2</v>
      </c>
      <c r="R2011">
        <v>-3.7077829999999999E-2</v>
      </c>
      <c r="S2011">
        <v>-3.0096129999999999</v>
      </c>
      <c r="T2011">
        <v>-0.16703709999999999</v>
      </c>
      <c r="U2011">
        <v>-0.15136720000000001</v>
      </c>
      <c r="V2011">
        <v>-8.6682599999999999E-2</v>
      </c>
      <c r="W2011">
        <v>6.8259360000000005E-2</v>
      </c>
      <c r="X2011">
        <v>0.99389479999999997</v>
      </c>
      <c r="Y2011">
        <v>-9.9588220000000005E-2</v>
      </c>
      <c r="Z2011">
        <v>-5.5149530000000004E-3</v>
      </c>
      <c r="AA2011">
        <v>0.9950135</v>
      </c>
      <c r="AB2011">
        <v>49</v>
      </c>
      <c r="AC2011">
        <v>-19.514500000000002</v>
      </c>
      <c r="AD2011">
        <v>-1.109966487643</v>
      </c>
      <c r="AE2011">
        <v>-1.02980000000002</v>
      </c>
      <c r="AF2011">
        <v>-1.9921905847502399</v>
      </c>
      <c r="AG2011">
        <v>-1.109966487643</v>
      </c>
      <c r="AH2011">
        <v>19.376666305420901</v>
      </c>
      <c r="AI2011">
        <v>93.261374590962404</v>
      </c>
      <c r="AJ2011">
        <v>95.870176437163707</v>
      </c>
      <c r="AK2011">
        <v>19.510408659002799</v>
      </c>
      <c r="AL2011">
        <v>86.085983451852798</v>
      </c>
      <c r="AM2011">
        <v>94.984442690878197</v>
      </c>
      <c r="AN2011">
        <v>1.0000000434187</v>
      </c>
    </row>
    <row r="2012" spans="1:40" x14ac:dyDescent="0.25">
      <c r="A2012" t="str">
        <f>"20190312151306430"</f>
        <v>20190312151306430</v>
      </c>
      <c r="B2012" t="str">
        <f>"1552374786421738"</f>
        <v>1552374786421738</v>
      </c>
      <c r="C2012" t="s">
        <v>40</v>
      </c>
      <c r="D2012">
        <v>4.8444289999999999</v>
      </c>
      <c r="E2012">
        <v>0.49271429999999999</v>
      </c>
      <c r="F2012" t="s">
        <v>55</v>
      </c>
      <c r="G2012">
        <v>-431.14699999999999</v>
      </c>
      <c r="H2012" s="1">
        <v>2.9585749999999999E-6</v>
      </c>
      <c r="I2012">
        <v>281.95190000000002</v>
      </c>
      <c r="J2012">
        <v>-411.14780000000002</v>
      </c>
      <c r="K2012">
        <v>1.110042</v>
      </c>
      <c r="L2012">
        <v>283.12740000000002</v>
      </c>
      <c r="M2012">
        <v>-0.99867399999999995</v>
      </c>
      <c r="N2012">
        <v>0</v>
      </c>
      <c r="O2012">
        <v>4.9282119999999999E-2</v>
      </c>
      <c r="P2012">
        <v>-0.99780049999999998</v>
      </c>
      <c r="Q2012">
        <v>5.3916949999999998E-2</v>
      </c>
      <c r="R2012">
        <v>-3.8565080000000002E-2</v>
      </c>
      <c r="S2012">
        <v>-3.0088499999999998</v>
      </c>
      <c r="T2012">
        <v>-0.16293879999999999</v>
      </c>
      <c r="U2012">
        <v>-0.16897579999999901</v>
      </c>
      <c r="V2012">
        <v>-8.7752689999999994E-2</v>
      </c>
      <c r="W2012">
        <v>6.8652299999999999E-2</v>
      </c>
      <c r="X2012">
        <v>0.99377380000000004</v>
      </c>
      <c r="Y2012">
        <v>-0.1049877</v>
      </c>
      <c r="Z2012">
        <v>-5.5035379999999997E-3</v>
      </c>
      <c r="AA2012">
        <v>0.99445830000000002</v>
      </c>
      <c r="AB2012">
        <v>49</v>
      </c>
      <c r="AC2012">
        <v>-19.999199999999899</v>
      </c>
      <c r="AD2012">
        <v>-1.1100390414250001</v>
      </c>
      <c r="AE2012">
        <v>-1.17549999999999</v>
      </c>
      <c r="AF2012">
        <v>-2.1531730154041</v>
      </c>
      <c r="AG2012">
        <v>-1.1100390414250001</v>
      </c>
      <c r="AH2012">
        <v>19.855995972590701</v>
      </c>
      <c r="AI2012">
        <v>93.181149421727696</v>
      </c>
      <c r="AJ2012">
        <v>96.188938844836002</v>
      </c>
      <c r="AK2012">
        <v>20.0032226596439</v>
      </c>
      <c r="AL2012">
        <v>86.063416615491406</v>
      </c>
      <c r="AM2012">
        <v>95.046270712948697</v>
      </c>
      <c r="AN2012">
        <v>1.00000001923198</v>
      </c>
    </row>
    <row r="2013" spans="1:40" x14ac:dyDescent="0.25">
      <c r="A2013" t="str">
        <f>"20190312151306449"</f>
        <v>20190312151306449</v>
      </c>
      <c r="B2013" t="str">
        <f>"1552374786441820"</f>
        <v>1552374786441820</v>
      </c>
      <c r="C2013" t="s">
        <v>40</v>
      </c>
      <c r="D2013">
        <v>4.8599139999999998</v>
      </c>
      <c r="E2013">
        <v>0.49202380000000001</v>
      </c>
      <c r="F2013" t="s">
        <v>55</v>
      </c>
      <c r="G2013">
        <v>-431.86239999999998</v>
      </c>
      <c r="H2013" s="1">
        <v>3.281566E-6</v>
      </c>
      <c r="I2013">
        <v>281.88600000000002</v>
      </c>
      <c r="J2013">
        <v>-411.60489999999999</v>
      </c>
      <c r="K2013">
        <v>1.1101019999999999</v>
      </c>
      <c r="L2013">
        <v>283.1497</v>
      </c>
      <c r="M2013">
        <v>-0.99869479999999999</v>
      </c>
      <c r="N2013">
        <v>0</v>
      </c>
      <c r="O2013">
        <v>4.8858489999999997E-2</v>
      </c>
      <c r="P2013">
        <v>-0.99766310000000002</v>
      </c>
      <c r="Q2013">
        <v>5.5084519999999998E-2</v>
      </c>
      <c r="R2013">
        <v>-4.0426190000000001E-2</v>
      </c>
      <c r="S2013">
        <v>-3.0083920000000002</v>
      </c>
      <c r="T2013">
        <v>-0.16121160000000001</v>
      </c>
      <c r="U2013">
        <v>-0.18029790000000001</v>
      </c>
      <c r="V2013">
        <v>-8.9193140000000004E-2</v>
      </c>
      <c r="W2013">
        <v>6.9801100000000005E-2</v>
      </c>
      <c r="X2013">
        <v>0.99356549999999999</v>
      </c>
      <c r="Y2013">
        <v>-0.108304399999999</v>
      </c>
      <c r="Z2013">
        <v>-5.5116369999999998E-3</v>
      </c>
      <c r="AA2013">
        <v>0.9941025</v>
      </c>
      <c r="AB2013">
        <v>49</v>
      </c>
      <c r="AC2013">
        <v>-20.2575</v>
      </c>
      <c r="AD2013">
        <v>-1.1100987184340001</v>
      </c>
      <c r="AE2013">
        <v>-1.26370000000002</v>
      </c>
      <c r="AF2013">
        <v>-2.2453344159125002</v>
      </c>
      <c r="AG2013">
        <v>-1.1100987184340001</v>
      </c>
      <c r="AH2013">
        <v>20.111392141232098</v>
      </c>
      <c r="AI2013">
        <v>93.139909362876793</v>
      </c>
      <c r="AJ2013">
        <v>96.370400994715297</v>
      </c>
      <c r="AK2013">
        <v>20.266769344480199</v>
      </c>
      <c r="AL2013">
        <v>85.997436881399494</v>
      </c>
      <c r="AM2013">
        <v>95.129735910951098</v>
      </c>
      <c r="AN2013">
        <v>1.0000000062872501</v>
      </c>
    </row>
    <row r="2014" spans="1:40" x14ac:dyDescent="0.25">
      <c r="A2014" t="str">
        <f>"20190312151306472"</f>
        <v>20190312151306472</v>
      </c>
      <c r="B2014" t="str">
        <f>"1552374786462317"</f>
        <v>1552374786462317</v>
      </c>
      <c r="C2014" t="s">
        <v>40</v>
      </c>
      <c r="D2014">
        <v>4.978084</v>
      </c>
      <c r="E2014">
        <v>0.49151830000000002</v>
      </c>
      <c r="F2014" t="s">
        <v>55</v>
      </c>
      <c r="G2014">
        <v>-432.774</v>
      </c>
      <c r="H2014" s="1">
        <v>3.693251E-6</v>
      </c>
      <c r="I2014">
        <v>281.80110000000002</v>
      </c>
      <c r="J2014">
        <v>-412.0924</v>
      </c>
      <c r="K2014">
        <v>1.1101570000000001</v>
      </c>
      <c r="L2014">
        <v>283.17320000000001</v>
      </c>
      <c r="M2014">
        <v>-0.99871840000000001</v>
      </c>
      <c r="N2014">
        <v>0</v>
      </c>
      <c r="O2014">
        <v>4.8376719999999998E-2</v>
      </c>
      <c r="P2014">
        <v>-0.99754359999999997</v>
      </c>
      <c r="Q2014">
        <v>5.5834679999999998E-2</v>
      </c>
      <c r="R2014">
        <v>-4.2306299999999998E-2</v>
      </c>
      <c r="S2014">
        <v>-3.0079349999999998</v>
      </c>
      <c r="T2014">
        <v>-0.15773499999999999</v>
      </c>
      <c r="U2014">
        <v>-0.19161990000000001</v>
      </c>
      <c r="V2014">
        <v>-9.0594980000000006E-2</v>
      </c>
      <c r="W2014">
        <v>7.0532659999999997E-2</v>
      </c>
      <c r="X2014">
        <v>0.99338700000000002</v>
      </c>
      <c r="Y2014">
        <v>-0.1115667</v>
      </c>
      <c r="Z2014">
        <v>-5.4533619999999998E-3</v>
      </c>
      <c r="AA2014">
        <v>0.99374200000000001</v>
      </c>
      <c r="AB2014">
        <v>49</v>
      </c>
      <c r="AC2014">
        <v>-20.6816</v>
      </c>
      <c r="AD2014">
        <v>-1.1101533067489999</v>
      </c>
      <c r="AE2014">
        <v>-1.3720999999999799</v>
      </c>
      <c r="AF2014">
        <v>-2.36432917678684</v>
      </c>
      <c r="AG2014">
        <v>-1.1101533067489999</v>
      </c>
      <c r="AH2014">
        <v>20.5320936582321</v>
      </c>
      <c r="AI2014">
        <v>93.074643081797404</v>
      </c>
      <c r="AJ2014">
        <v>96.568839810268997</v>
      </c>
      <c r="AK2014">
        <v>20.6975690072797</v>
      </c>
      <c r="AL2014">
        <v>85.955418067069303</v>
      </c>
      <c r="AM2014">
        <v>95.210850208547797</v>
      </c>
      <c r="AN2014">
        <v>1.00000001914843</v>
      </c>
    </row>
    <row r="2015" spans="1:40" x14ac:dyDescent="0.25">
      <c r="A2015" t="str">
        <f>"20190312151306496"</f>
        <v>20190312151306496</v>
      </c>
      <c r="B2015" t="str">
        <f>"1552374786491597"</f>
        <v>1552374786491597</v>
      </c>
      <c r="C2015" t="s">
        <v>40</v>
      </c>
      <c r="D2015">
        <v>4.88239</v>
      </c>
      <c r="E2015">
        <v>0.49104179999999997</v>
      </c>
      <c r="F2015" t="s">
        <v>55</v>
      </c>
      <c r="G2015">
        <v>-433.41719999999998</v>
      </c>
      <c r="H2015" s="1">
        <v>3.9836000000000003E-6</v>
      </c>
      <c r="I2015">
        <v>281.74279999999999</v>
      </c>
      <c r="J2015">
        <v>-412.6223</v>
      </c>
      <c r="K2015">
        <v>1.1102050000000001</v>
      </c>
      <c r="L2015">
        <v>283.19850000000002</v>
      </c>
      <c r="M2015">
        <v>-0.99874510000000005</v>
      </c>
      <c r="N2015">
        <v>0</v>
      </c>
      <c r="O2015">
        <v>4.7823150000000002E-2</v>
      </c>
      <c r="P2015">
        <v>-0.9974556</v>
      </c>
      <c r="Q2015">
        <v>5.6302409999999997E-2</v>
      </c>
      <c r="R2015">
        <v>-4.3734519999999999E-2</v>
      </c>
      <c r="S2015">
        <v>-3.0076290000000001</v>
      </c>
      <c r="T2015">
        <v>-0.15657479999999999</v>
      </c>
      <c r="U2015">
        <v>-0.20175170000000001</v>
      </c>
      <c r="V2015">
        <v>-9.1474979999999997E-2</v>
      </c>
      <c r="W2015">
        <v>7.0983089999999999E-2</v>
      </c>
      <c r="X2015">
        <v>0.99327430000000005</v>
      </c>
      <c r="Y2015">
        <v>-0.114355399999999</v>
      </c>
      <c r="Z2015">
        <v>-5.4570039999999997E-3</v>
      </c>
      <c r="AA2015">
        <v>0.99342490000000006</v>
      </c>
      <c r="AB2015">
        <v>49</v>
      </c>
      <c r="AC2015">
        <v>-20.794899999999899</v>
      </c>
      <c r="AD2015">
        <v>-1.11020101639999</v>
      </c>
      <c r="AE2015">
        <v>-1.45570000000003</v>
      </c>
      <c r="AF2015">
        <v>-2.4416960496999902</v>
      </c>
      <c r="AG2015">
        <v>-1.11020101639999</v>
      </c>
      <c r="AH2015">
        <v>20.642926264077499</v>
      </c>
      <c r="AI2015">
        <v>93.057197981375495</v>
      </c>
      <c r="AJ2015">
        <v>96.745742815731106</v>
      </c>
      <c r="AK2015">
        <v>20.816455765573501</v>
      </c>
      <c r="AL2015">
        <v>85.929545618435995</v>
      </c>
      <c r="AM2015">
        <v>95.261777037969196</v>
      </c>
      <c r="AN2015">
        <v>1.0000000530362101</v>
      </c>
    </row>
    <row r="2016" spans="1:40" x14ac:dyDescent="0.25">
      <c r="A2016" t="str">
        <f>"20190312151306516"</f>
        <v>20190312151306516</v>
      </c>
      <c r="B2016" t="str">
        <f>"1552374786512092"</f>
        <v>1552374786512092</v>
      </c>
      <c r="C2016" t="s">
        <v>40</v>
      </c>
      <c r="D2016">
        <v>4.872522</v>
      </c>
      <c r="E2016">
        <v>0.4907609</v>
      </c>
      <c r="F2016" t="s">
        <v>55</v>
      </c>
      <c r="G2016">
        <v>-433.98360000000002</v>
      </c>
      <c r="H2016" s="1">
        <v>4.2379749999999999E-6</v>
      </c>
      <c r="I2016">
        <v>281.70580000000001</v>
      </c>
      <c r="J2016">
        <v>-413.0641</v>
      </c>
      <c r="K2016">
        <v>1.1102399999999999</v>
      </c>
      <c r="L2016">
        <v>283.21929999999998</v>
      </c>
      <c r="M2016">
        <v>-0.99876819999999999</v>
      </c>
      <c r="N2016">
        <v>0</v>
      </c>
      <c r="O2016">
        <v>4.7338909999999998E-2</v>
      </c>
      <c r="P2016">
        <v>-0.99740150000000005</v>
      </c>
      <c r="Q2016">
        <v>5.5774280000000002E-2</v>
      </c>
      <c r="R2016">
        <v>-4.5603480000000002E-2</v>
      </c>
      <c r="S2016">
        <v>-3.007263</v>
      </c>
      <c r="T2016">
        <v>-0.15629509999999999</v>
      </c>
      <c r="U2016">
        <v>-0.210144</v>
      </c>
      <c r="V2016">
        <v>-9.2863840000000003E-2</v>
      </c>
      <c r="W2016">
        <v>7.0440370000000002E-2</v>
      </c>
      <c r="X2016">
        <v>0.99318399999999996</v>
      </c>
      <c r="Y2016">
        <v>-0.1166393</v>
      </c>
      <c r="Z2016">
        <v>-5.4815659999999898E-3</v>
      </c>
      <c r="AA2016">
        <v>0.99315920000000002</v>
      </c>
      <c r="AB2016">
        <v>49</v>
      </c>
      <c r="AC2016">
        <v>-20.919499999999999</v>
      </c>
      <c r="AD2016">
        <v>-1.1102357620250001</v>
      </c>
      <c r="AE2016">
        <v>-1.5134999999999601</v>
      </c>
      <c r="AF2016">
        <v>-2.4952271431453901</v>
      </c>
      <c r="AG2016">
        <v>-1.1102357620250001</v>
      </c>
      <c r="AH2016">
        <v>20.766200417662201</v>
      </c>
      <c r="AI2016">
        <v>93.038509879792102</v>
      </c>
      <c r="AJ2016">
        <v>96.851703000465406</v>
      </c>
      <c r="AK2016">
        <v>20.945019974439798</v>
      </c>
      <c r="AL2016">
        <v>85.960718994662003</v>
      </c>
      <c r="AM2016">
        <v>95.341690532290897</v>
      </c>
      <c r="AN2016">
        <v>0.999999998180641</v>
      </c>
    </row>
    <row r="2017" spans="1:40" x14ac:dyDescent="0.25">
      <c r="A2017" t="str">
        <f>"20190312151306539"</f>
        <v>20190312151306539</v>
      </c>
      <c r="B2017" t="str">
        <f>"1552374786531693"</f>
        <v>1552374786531693</v>
      </c>
      <c r="C2017" t="s">
        <v>40</v>
      </c>
      <c r="D2017">
        <v>4.8275509999999997</v>
      </c>
      <c r="E2017">
        <v>0.49050389999999999</v>
      </c>
      <c r="F2017" t="s">
        <v>55</v>
      </c>
      <c r="G2017">
        <v>-434.04930000000002</v>
      </c>
      <c r="H2017" s="1">
        <v>4.2678419999999999E-6</v>
      </c>
      <c r="I2017">
        <v>281.6977</v>
      </c>
      <c r="J2017">
        <v>-413.5498</v>
      </c>
      <c r="K2017">
        <v>1.1102810000000001</v>
      </c>
      <c r="L2017">
        <v>283.24189999999999</v>
      </c>
      <c r="M2017">
        <v>-0.99879430000000002</v>
      </c>
      <c r="N2017">
        <v>0</v>
      </c>
      <c r="O2017">
        <v>4.6784060000000002E-2</v>
      </c>
      <c r="P2017">
        <v>-0.99731250000000005</v>
      </c>
      <c r="Q2017">
        <v>5.6202420000000003E-2</v>
      </c>
      <c r="R2017">
        <v>-4.7004419999999998E-2</v>
      </c>
      <c r="S2017">
        <v>-3.0067140000000001</v>
      </c>
      <c r="T2017">
        <v>-0.15907249999999901</v>
      </c>
      <c r="U2017">
        <v>-0.21801760000000001</v>
      </c>
      <c r="V2017">
        <v>-9.3714459999999999E-2</v>
      </c>
      <c r="W2017">
        <v>7.0853260000000001E-2</v>
      </c>
      <c r="X2017">
        <v>0.99307469999999998</v>
      </c>
      <c r="Y2017">
        <v>-0.11867750000000001</v>
      </c>
      <c r="Z2017">
        <v>-5.6038900000000003E-3</v>
      </c>
      <c r="AA2017">
        <v>0.9929171</v>
      </c>
      <c r="AB2017">
        <v>49</v>
      </c>
      <c r="AC2017">
        <v>-20.499500000000001</v>
      </c>
      <c r="AD2017">
        <v>-1.1102767321579901</v>
      </c>
      <c r="AE2017">
        <v>-1.54419999999998</v>
      </c>
      <c r="AF2017">
        <v>-2.4943888603396802</v>
      </c>
      <c r="AG2017">
        <v>-1.1102767321579901</v>
      </c>
      <c r="AH2017">
        <v>20.345451444950601</v>
      </c>
      <c r="AI2017">
        <v>93.1004351692239</v>
      </c>
      <c r="AJ2017">
        <v>96.989683565373795</v>
      </c>
      <c r="AK2017">
        <v>20.527836824843501</v>
      </c>
      <c r="AL2017">
        <v>85.937002776732797</v>
      </c>
      <c r="AM2017">
        <v>95.390922555764803</v>
      </c>
      <c r="AN2017">
        <v>0.99999997212290404</v>
      </c>
    </row>
    <row r="2018" spans="1:40" x14ac:dyDescent="0.25">
      <c r="A2018" t="str">
        <f>"20190312151306561"</f>
        <v>20190312151306561</v>
      </c>
      <c r="B2018" t="str">
        <f>"1552374786552189"</f>
        <v>1552374786552189</v>
      </c>
      <c r="C2018" t="s">
        <v>40</v>
      </c>
      <c r="D2018">
        <v>4.8321589999999999</v>
      </c>
      <c r="E2018">
        <v>0.48811270000000001</v>
      </c>
      <c r="F2018" t="s">
        <v>55</v>
      </c>
      <c r="G2018">
        <v>-434.4504</v>
      </c>
      <c r="H2018" s="1">
        <v>4.4471600000000001E-6</v>
      </c>
      <c r="I2018">
        <v>281.68110000000001</v>
      </c>
      <c r="J2018">
        <v>-414.02749999999997</v>
      </c>
      <c r="K2018">
        <v>1.110325</v>
      </c>
      <c r="L2018">
        <v>283.26389999999998</v>
      </c>
      <c r="M2018">
        <v>-0.99882079999999995</v>
      </c>
      <c r="N2018">
        <v>0</v>
      </c>
      <c r="O2018">
        <v>4.6216090000000001E-2</v>
      </c>
      <c r="P2018">
        <v>-0.99722699999999997</v>
      </c>
      <c r="Q2018">
        <v>5.6468610000000002E-2</v>
      </c>
      <c r="R2018">
        <v>-4.8476379999999999E-2</v>
      </c>
      <c r="S2018">
        <v>-3.0065</v>
      </c>
      <c r="T2018">
        <v>-0.1597104</v>
      </c>
      <c r="U2018">
        <v>-0.22451779999999999</v>
      </c>
      <c r="V2018">
        <v>-9.4622860000000003E-2</v>
      </c>
      <c r="W2018">
        <v>7.1104379999999995E-2</v>
      </c>
      <c r="X2018">
        <v>0.99297060000000004</v>
      </c>
      <c r="Y2018">
        <v>-0.1202498</v>
      </c>
      <c r="Z2018">
        <v>-5.637876E-3</v>
      </c>
      <c r="AA2018">
        <v>0.99272760000000004</v>
      </c>
      <c r="AB2018">
        <v>49</v>
      </c>
      <c r="AC2018">
        <v>-20.422899999999998</v>
      </c>
      <c r="AD2018">
        <v>-1.11032055284</v>
      </c>
      <c r="AE2018">
        <v>-1.58279999999996</v>
      </c>
      <c r="AF2018">
        <v>-2.5176821775108</v>
      </c>
      <c r="AG2018">
        <v>-1.11032055284</v>
      </c>
      <c r="AH2018">
        <v>20.268363946517098</v>
      </c>
      <c r="AI2018">
        <v>93.111716691254202</v>
      </c>
      <c r="AJ2018">
        <v>97.080858665990505</v>
      </c>
      <c r="AK2018">
        <v>20.454293249718699</v>
      </c>
      <c r="AL2018">
        <v>85.922578251857701</v>
      </c>
      <c r="AM2018">
        <v>95.443433115693395</v>
      </c>
      <c r="AN2018">
        <v>0.99999996547706105</v>
      </c>
    </row>
    <row r="2019" spans="1:40" x14ac:dyDescent="0.25">
      <c r="A2019" t="str">
        <f>"20190312151306584"</f>
        <v>20190312151306584</v>
      </c>
      <c r="B2019" t="str">
        <f>"1552374786571709"</f>
        <v>1552374786571709</v>
      </c>
      <c r="C2019" t="s">
        <v>40</v>
      </c>
      <c r="D2019">
        <v>4.8461980000000002</v>
      </c>
      <c r="E2019">
        <v>0.48734620000000001</v>
      </c>
      <c r="F2019" t="s">
        <v>55</v>
      </c>
      <c r="G2019">
        <v>-427.0675</v>
      </c>
      <c r="H2019" s="1">
        <v>2.9238619999999999E-6</v>
      </c>
      <c r="I2019">
        <v>282.18079999999998</v>
      </c>
      <c r="J2019">
        <v>-414.52339999999998</v>
      </c>
      <c r="K2019">
        <v>1.1103730000000001</v>
      </c>
      <c r="L2019">
        <v>283.28649999999999</v>
      </c>
      <c r="M2019">
        <v>-0.99884890000000004</v>
      </c>
      <c r="N2019">
        <v>0</v>
      </c>
      <c r="O2019">
        <v>4.5603940000000003E-2</v>
      </c>
      <c r="P2019">
        <v>-0.997139</v>
      </c>
      <c r="Q2019">
        <v>5.704066E-2</v>
      </c>
      <c r="R2019">
        <v>-4.9599619999999997E-2</v>
      </c>
      <c r="S2019">
        <v>-3.0107119999999998</v>
      </c>
      <c r="T2019">
        <v>-0.2563549</v>
      </c>
      <c r="U2019">
        <v>-0.25006099999999998</v>
      </c>
      <c r="V2019">
        <v>-9.5139399999999999E-2</v>
      </c>
      <c r="W2019">
        <v>7.1662299999999998E-2</v>
      </c>
      <c r="X2019">
        <v>0.99288120000000002</v>
      </c>
      <c r="Y2019">
        <v>-0.12751580000000001</v>
      </c>
      <c r="Z2019">
        <v>-9.2804410000000004E-3</v>
      </c>
      <c r="AA2019">
        <v>0.99179309999999998</v>
      </c>
      <c r="AB2019">
        <v>48</v>
      </c>
      <c r="AC2019">
        <v>-12.5441</v>
      </c>
      <c r="AD2019">
        <v>-1.110370076138</v>
      </c>
      <c r="AE2019">
        <v>-1.1057000000000099</v>
      </c>
      <c r="AF2019">
        <v>-1.66373761880071</v>
      </c>
      <c r="AG2019">
        <v>-1.110370076138</v>
      </c>
      <c r="AH2019">
        <v>12.384329345426799</v>
      </c>
      <c r="AI2019">
        <v>95.078022134627702</v>
      </c>
      <c r="AJ2019">
        <v>97.651428014824006</v>
      </c>
      <c r="AK2019">
        <v>12.544821955938399</v>
      </c>
      <c r="AL2019">
        <v>85.8905303146352</v>
      </c>
      <c r="AM2019">
        <v>95.473458319461002</v>
      </c>
      <c r="AN2019">
        <v>1.00000003399354</v>
      </c>
    </row>
    <row r="2020" spans="1:40" x14ac:dyDescent="0.25">
      <c r="A2020" t="str">
        <f>"20190312151306607"</f>
        <v>20190312151306607</v>
      </c>
      <c r="B2020" t="str">
        <f>"1552374786601964"</f>
        <v>1552374786601964</v>
      </c>
      <c r="C2020" t="s">
        <v>40</v>
      </c>
      <c r="D2020">
        <v>4.8463180000000001</v>
      </c>
      <c r="E2020">
        <v>0.48669479999999998</v>
      </c>
      <c r="F2020" t="s">
        <v>55</v>
      </c>
      <c r="G2020">
        <v>-427.50200000000001</v>
      </c>
      <c r="H2020" s="1">
        <v>2.8481479999999999E-6</v>
      </c>
      <c r="I2020">
        <v>282.16539999999998</v>
      </c>
      <c r="J2020">
        <v>-415.00709999999998</v>
      </c>
      <c r="K2020">
        <v>1.1104149999999999</v>
      </c>
      <c r="L2020">
        <v>283.30810000000002</v>
      </c>
      <c r="M2020">
        <v>-0.99887729999999997</v>
      </c>
      <c r="N2020">
        <v>0</v>
      </c>
      <c r="O2020">
        <v>4.4979970000000001E-2</v>
      </c>
      <c r="P2020">
        <v>-0.99704119999999996</v>
      </c>
      <c r="Q2020">
        <v>5.7784679999999998E-2</v>
      </c>
      <c r="R2020">
        <v>-5.0698479999999997E-2</v>
      </c>
      <c r="S2020">
        <v>-3.0103759999999999</v>
      </c>
      <c r="T2020">
        <v>-0.2575498</v>
      </c>
      <c r="U2020">
        <v>-0.2600403</v>
      </c>
      <c r="V2020">
        <v>-9.5619609999999994E-2</v>
      </c>
      <c r="W2020">
        <v>7.2392810000000002E-2</v>
      </c>
      <c r="X2020">
        <v>0.9927821</v>
      </c>
      <c r="Y2020">
        <v>-0.1301561</v>
      </c>
      <c r="Z2020">
        <v>-9.3826759999999995E-3</v>
      </c>
      <c r="AA2020">
        <v>0.99144909999999997</v>
      </c>
      <c r="AB2020">
        <v>48</v>
      </c>
      <c r="AC2020">
        <v>-12.4948999999999</v>
      </c>
      <c r="AD2020">
        <v>-1.110412151852</v>
      </c>
      <c r="AE2020">
        <v>-1.14270000000004</v>
      </c>
      <c r="AF2020">
        <v>-1.69038603096673</v>
      </c>
      <c r="AG2020">
        <v>-1.110412151852</v>
      </c>
      <c r="AH2020">
        <v>12.3342420214338</v>
      </c>
      <c r="AI2020">
        <v>95.096898476065405</v>
      </c>
      <c r="AJ2020">
        <v>97.803670717522607</v>
      </c>
      <c r="AK2020">
        <v>12.498957809512399</v>
      </c>
      <c r="AL2020">
        <v>85.848566301732106</v>
      </c>
      <c r="AM2020">
        <v>95.501461945756404</v>
      </c>
      <c r="AN2020">
        <v>1.0000000634183199</v>
      </c>
    </row>
    <row r="2021" spans="1:40" x14ac:dyDescent="0.25">
      <c r="A2021" t="str">
        <f>"20190312151306650"</f>
        <v>20190312151306650</v>
      </c>
      <c r="B2021" t="str">
        <f>"1552374786641618"</f>
        <v>1552374786641618</v>
      </c>
      <c r="C2021" t="s">
        <v>40</v>
      </c>
      <c r="D2021">
        <v>4.7771520000000001</v>
      </c>
      <c r="E2021">
        <v>0.48701680000000003</v>
      </c>
      <c r="F2021" t="s">
        <v>55</v>
      </c>
      <c r="G2021">
        <v>-427.83569999999997</v>
      </c>
      <c r="H2021" s="1">
        <v>2.7891990000000001E-6</v>
      </c>
      <c r="I2021">
        <v>282.16250000000002</v>
      </c>
      <c r="J2021">
        <v>-415.95319999999998</v>
      </c>
      <c r="K2021">
        <v>1.1104969999999901</v>
      </c>
      <c r="L2021">
        <v>283.34949999999998</v>
      </c>
      <c r="M2021">
        <v>-0.99893500000000002</v>
      </c>
      <c r="N2021">
        <v>0</v>
      </c>
      <c r="O2021">
        <v>4.3681480000000002E-2</v>
      </c>
      <c r="P2021">
        <v>-0.99690809999999996</v>
      </c>
      <c r="Q2021">
        <v>5.8019710000000002E-2</v>
      </c>
      <c r="R2021">
        <v>-5.2991469999999999E-2</v>
      </c>
      <c r="S2021">
        <v>-3.010345</v>
      </c>
      <c r="T2021">
        <v>-0.26056790000000002</v>
      </c>
      <c r="U2021">
        <v>-0.26882929999999999</v>
      </c>
      <c r="V2021">
        <v>-9.6625929999999999E-2</v>
      </c>
      <c r="W2021">
        <v>7.2602059999999996E-2</v>
      </c>
      <c r="X2021">
        <v>0.99266929999999998</v>
      </c>
      <c r="Y2021">
        <v>-0.131724799999999</v>
      </c>
      <c r="Z2021">
        <v>-9.4468069999999998E-3</v>
      </c>
      <c r="AA2021">
        <v>0.99124129999999999</v>
      </c>
      <c r="AB2021">
        <v>48</v>
      </c>
      <c r="AC2021">
        <v>-11.882499999999901</v>
      </c>
      <c r="AD2021">
        <v>-1.1104942108010001</v>
      </c>
      <c r="AE2021">
        <v>-1.1869999999999501</v>
      </c>
      <c r="AF2021">
        <v>-1.69035147776964</v>
      </c>
      <c r="AG2021">
        <v>-1.1104942108010001</v>
      </c>
      <c r="AH2021">
        <v>11.7179657218283</v>
      </c>
      <c r="AI2021">
        <v>95.358530029318004</v>
      </c>
      <c r="AJ2021">
        <v>98.208463071579502</v>
      </c>
      <c r="AK2021">
        <v>11.8912239138182</v>
      </c>
      <c r="AL2021">
        <v>85.836545199205801</v>
      </c>
      <c r="AM2021">
        <v>95.559627369994203</v>
      </c>
      <c r="AN2021">
        <v>0.99999998431354897</v>
      </c>
    </row>
    <row r="2022" spans="1:40" x14ac:dyDescent="0.25">
      <c r="A2022" t="str">
        <f>"20190312151306673"</f>
        <v>20190312151306673</v>
      </c>
      <c r="B2022" t="str">
        <f>"1552374786662114"</f>
        <v>1552374786662114</v>
      </c>
      <c r="C2022" t="s">
        <v>40</v>
      </c>
      <c r="D2022">
        <v>4.7607059999999999</v>
      </c>
      <c r="E2022">
        <v>0.48702210000000001</v>
      </c>
      <c r="F2022" t="s">
        <v>55</v>
      </c>
      <c r="G2022">
        <v>-428.56439999999998</v>
      </c>
      <c r="H2022" s="1">
        <v>2.6563630000000001E-6</v>
      </c>
      <c r="I2022">
        <v>282.20339999999999</v>
      </c>
      <c r="J2022">
        <v>-416.4479</v>
      </c>
      <c r="K2022">
        <v>1.1105339999999999</v>
      </c>
      <c r="L2022">
        <v>283.37060000000002</v>
      </c>
      <c r="M2022">
        <v>-0.99896620000000003</v>
      </c>
      <c r="N2022">
        <v>0</v>
      </c>
      <c r="O2022">
        <v>4.2966909999999997E-2</v>
      </c>
      <c r="P2022">
        <v>-0.99684870000000003</v>
      </c>
      <c r="Q2022">
        <v>5.8004359999999998E-2</v>
      </c>
      <c r="R2022">
        <v>-5.4115089999999998E-2</v>
      </c>
      <c r="S2022">
        <v>-3.0101619999999998</v>
      </c>
      <c r="T2022">
        <v>-0.26506259999999998</v>
      </c>
      <c r="U2022">
        <v>-0.27355960000000001</v>
      </c>
      <c r="V2022">
        <v>-9.7040760000000004E-2</v>
      </c>
      <c r="W2022">
        <v>7.2574959999999994E-2</v>
      </c>
      <c r="X2022">
        <v>0.99263080000000004</v>
      </c>
      <c r="Y2022">
        <v>-0.1325432</v>
      </c>
      <c r="Z2022">
        <v>-9.582274E-3</v>
      </c>
      <c r="AA2022">
        <v>0.99113090000000004</v>
      </c>
      <c r="AB2022">
        <v>48</v>
      </c>
      <c r="AC2022">
        <v>-12.116499999999901</v>
      </c>
      <c r="AD2022">
        <v>-1.1105313436369999</v>
      </c>
      <c r="AE2022">
        <v>-1.16720000000003</v>
      </c>
      <c r="AF2022">
        <v>-1.6728640332292499</v>
      </c>
      <c r="AG2022">
        <v>-1.1105313436369999</v>
      </c>
      <c r="AH2022">
        <v>11.955640967306399</v>
      </c>
      <c r="AI2022">
        <v>95.255931511383807</v>
      </c>
      <c r="AJ2022">
        <v>97.965259326524404</v>
      </c>
      <c r="AK2022">
        <v>12.1230814926737</v>
      </c>
      <c r="AL2022">
        <v>85.838101960092104</v>
      </c>
      <c r="AM2022">
        <v>95.583560395111903</v>
      </c>
      <c r="AN2022">
        <v>0.99999996951450898</v>
      </c>
    </row>
    <row r="2023" spans="1:40" x14ac:dyDescent="0.25">
      <c r="A2023" t="str">
        <f>"20190312151306695"</f>
        <v>20190312151306695</v>
      </c>
      <c r="B2023" t="str">
        <f>"1552374786692370"</f>
        <v>1552374786692370</v>
      </c>
      <c r="C2023" t="s">
        <v>40</v>
      </c>
      <c r="D2023">
        <v>4.7607569999999999</v>
      </c>
      <c r="E2023">
        <v>0.4870526</v>
      </c>
      <c r="F2023" t="s">
        <v>55</v>
      </c>
      <c r="G2023">
        <v>-428.9966</v>
      </c>
      <c r="H2023" s="1">
        <v>2.5785279999999999E-6</v>
      </c>
      <c r="I2023">
        <v>282.21679999999998</v>
      </c>
      <c r="J2023">
        <v>-416.91329999999999</v>
      </c>
      <c r="K2023">
        <v>1.1105689999999999</v>
      </c>
      <c r="L2023">
        <v>283.39010000000002</v>
      </c>
      <c r="M2023">
        <v>-0.99899570000000004</v>
      </c>
      <c r="N2023">
        <v>0</v>
      </c>
      <c r="O2023">
        <v>4.2271889999999999E-2</v>
      </c>
      <c r="P2023">
        <v>-0.9967741</v>
      </c>
      <c r="Q2023">
        <v>5.8025399999999998E-2</v>
      </c>
      <c r="R2023">
        <v>-5.544926E-2</v>
      </c>
      <c r="S2023">
        <v>-3.009979</v>
      </c>
      <c r="T2023">
        <v>-0.26637539999999998</v>
      </c>
      <c r="U2023">
        <v>-0.27676390000000001</v>
      </c>
      <c r="V2023">
        <v>-9.7684880000000002E-2</v>
      </c>
      <c r="W2023">
        <v>7.2583990000000001E-2</v>
      </c>
      <c r="X2023">
        <v>0.99256699999999998</v>
      </c>
      <c r="Y2023">
        <v>-0.1329002</v>
      </c>
      <c r="Z2023">
        <v>-9.5841380000000007E-3</v>
      </c>
      <c r="AA2023">
        <v>0.99108309999999999</v>
      </c>
      <c r="AB2023">
        <v>48</v>
      </c>
      <c r="AC2023">
        <v>-12.083299999999999</v>
      </c>
      <c r="AD2023">
        <v>-1.1105664214719999</v>
      </c>
      <c r="AE2023">
        <v>-1.17330000000004</v>
      </c>
      <c r="AF2023">
        <v>-1.6691234146965901</v>
      </c>
      <c r="AG2023">
        <v>-1.1105664214719999</v>
      </c>
      <c r="AH2023">
        <v>11.923116414396899</v>
      </c>
      <c r="AI2023">
        <v>95.270304955658503</v>
      </c>
      <c r="AJ2023">
        <v>97.969078367709898</v>
      </c>
      <c r="AK2023">
        <v>12.090493611976701</v>
      </c>
      <c r="AL2023">
        <v>85.8375833816918</v>
      </c>
      <c r="AM2023">
        <v>95.620744399815493</v>
      </c>
      <c r="AN2023">
        <v>1.00000001043696</v>
      </c>
    </row>
    <row r="2024" spans="1:40" x14ac:dyDescent="0.25">
      <c r="A2024" t="str">
        <f>"20190312151306717"</f>
        <v>20190312151306717</v>
      </c>
      <c r="B2024" t="str">
        <f>"1552374786711891"</f>
        <v>1552374786711891</v>
      </c>
      <c r="C2024" t="s">
        <v>40</v>
      </c>
      <c r="D2024">
        <v>4.9788230000000002</v>
      </c>
      <c r="E2024">
        <v>0.48673440000000001</v>
      </c>
      <c r="F2024" t="s">
        <v>55</v>
      </c>
      <c r="G2024">
        <v>-429.15030000000002</v>
      </c>
      <c r="H2024" s="1">
        <v>2.548416E-6</v>
      </c>
      <c r="I2024">
        <v>282.24930000000001</v>
      </c>
      <c r="J2024">
        <v>-417.40030000000002</v>
      </c>
      <c r="K2024">
        <v>1.110608</v>
      </c>
      <c r="L2024">
        <v>283.41019999999997</v>
      </c>
      <c r="M2024">
        <v>-0.99902749999999996</v>
      </c>
      <c r="N2024">
        <v>0</v>
      </c>
      <c r="O2024">
        <v>4.1517539999999999E-2</v>
      </c>
      <c r="P2024">
        <v>-0.99670179999999997</v>
      </c>
      <c r="Q2024">
        <v>5.8250009999999998E-2</v>
      </c>
      <c r="R2024">
        <v>-5.6507149999999999E-2</v>
      </c>
      <c r="S2024">
        <v>-3.0100099999999999</v>
      </c>
      <c r="T2024">
        <v>-0.27317140000000001</v>
      </c>
      <c r="U2024">
        <v>-0.2806091</v>
      </c>
      <c r="V2024">
        <v>-9.7994310000000001E-2</v>
      </c>
      <c r="W2024">
        <v>7.279658E-2</v>
      </c>
      <c r="X2024">
        <v>0.99252090000000004</v>
      </c>
      <c r="Y2024">
        <v>-0.1333724</v>
      </c>
      <c r="Z2024">
        <v>-9.7801620000000002E-3</v>
      </c>
      <c r="AA2024">
        <v>0.99101779999999995</v>
      </c>
      <c r="AB2024">
        <v>48</v>
      </c>
      <c r="AC2024">
        <v>-11.75</v>
      </c>
      <c r="AD2024">
        <v>-1.110605451584</v>
      </c>
      <c r="AE2024">
        <v>-1.1608999999999601</v>
      </c>
      <c r="AF2024">
        <v>-1.63333261223752</v>
      </c>
      <c r="AG2024">
        <v>-1.110605451584</v>
      </c>
      <c r="AH2024">
        <v>11.589127728208</v>
      </c>
      <c r="AI2024">
        <v>95.420785360658201</v>
      </c>
      <c r="AJ2024">
        <v>98.0222369710675</v>
      </c>
      <c r="AK2024">
        <v>11.7562367019385</v>
      </c>
      <c r="AL2024">
        <v>85.825370444411803</v>
      </c>
      <c r="AM2024">
        <v>95.638694518365497</v>
      </c>
      <c r="AN2024">
        <v>0.99999998189444095</v>
      </c>
    </row>
    <row r="2025" spans="1:40" x14ac:dyDescent="0.25">
      <c r="A2025" t="str">
        <f>"20190312151306739"</f>
        <v>20190312151306739</v>
      </c>
      <c r="B2025" t="str">
        <f>"1552374786731916"</f>
        <v>1552374786731916</v>
      </c>
      <c r="C2025" t="s">
        <v>40</v>
      </c>
      <c r="D2025">
        <v>4.7516410000000002</v>
      </c>
      <c r="E2025">
        <v>0.48660769999999998</v>
      </c>
      <c r="F2025" t="s">
        <v>55</v>
      </c>
      <c r="G2025">
        <v>-429.83949999999999</v>
      </c>
      <c r="H2025" s="1">
        <v>2.428052E-6</v>
      </c>
      <c r="I2025">
        <v>282.2278</v>
      </c>
      <c r="J2025">
        <v>-417.88209999999998</v>
      </c>
      <c r="K2025">
        <v>1.1106469999999999</v>
      </c>
      <c r="L2025">
        <v>283.42970000000003</v>
      </c>
      <c r="M2025">
        <v>-0.99905949999999999</v>
      </c>
      <c r="N2025">
        <v>0</v>
      </c>
      <c r="O2025">
        <v>4.0742540000000001E-2</v>
      </c>
      <c r="P2025">
        <v>-0.99663409999999997</v>
      </c>
      <c r="Q2025">
        <v>5.8637630000000003E-2</v>
      </c>
      <c r="R2025">
        <v>-5.7293190000000001E-2</v>
      </c>
      <c r="S2025">
        <v>-3.009369</v>
      </c>
      <c r="T2025">
        <v>-0.26868530000000002</v>
      </c>
      <c r="U2025">
        <v>-0.2860413</v>
      </c>
      <c r="V2025">
        <v>-9.8013359999999994E-2</v>
      </c>
      <c r="W2025">
        <v>7.3173219999999997E-2</v>
      </c>
      <c r="X2025">
        <v>0.99249140000000002</v>
      </c>
      <c r="Y2025">
        <v>-0.13441819999999999</v>
      </c>
      <c r="Z2025">
        <v>-9.5990039999999995E-3</v>
      </c>
      <c r="AA2025">
        <v>0.99087820000000004</v>
      </c>
      <c r="AB2025">
        <v>48</v>
      </c>
      <c r="AC2025">
        <v>-11.9574</v>
      </c>
      <c r="AD2025">
        <v>-1.110644571948</v>
      </c>
      <c r="AE2025">
        <v>-1.20190000000002</v>
      </c>
      <c r="AF2025">
        <v>-1.67383401344316</v>
      </c>
      <c r="AG2025">
        <v>-1.110644571948</v>
      </c>
      <c r="AH2025">
        <v>11.7977305499622</v>
      </c>
      <c r="AI2025">
        <v>95.3249889523007</v>
      </c>
      <c r="AJ2025">
        <v>98.0750951410824</v>
      </c>
      <c r="AK2025">
        <v>11.9675268037831</v>
      </c>
      <c r="AL2025">
        <v>85.803733179038602</v>
      </c>
      <c r="AM2025">
        <v>95.639950160667595</v>
      </c>
      <c r="AN2025">
        <v>1.0000000589688001</v>
      </c>
    </row>
    <row r="2026" spans="1:40" x14ac:dyDescent="0.25">
      <c r="A2026" t="str">
        <f>"20190312151306763"</f>
        <v>20190312151306763</v>
      </c>
      <c r="B2026" t="str">
        <f>"1552374786752413"</f>
        <v>1552374786752413</v>
      </c>
      <c r="C2026" t="s">
        <v>40</v>
      </c>
      <c r="D2026">
        <v>4.9891160000000001</v>
      </c>
      <c r="E2026">
        <v>0.48651420000000001</v>
      </c>
      <c r="F2026" t="s">
        <v>55</v>
      </c>
      <c r="G2026">
        <v>-430.61660000000001</v>
      </c>
      <c r="H2026" s="1">
        <v>2.7011840000000001E-6</v>
      </c>
      <c r="I2026">
        <v>282.20549999999997</v>
      </c>
      <c r="J2026">
        <v>-418.3648</v>
      </c>
      <c r="K2026">
        <v>1.110689</v>
      </c>
      <c r="L2026">
        <v>283.44869999999997</v>
      </c>
      <c r="M2026">
        <v>-0.99909199999999998</v>
      </c>
      <c r="N2026">
        <v>0</v>
      </c>
      <c r="O2026">
        <v>3.9935119999999998E-2</v>
      </c>
      <c r="P2026">
        <v>-0.99653449999999999</v>
      </c>
      <c r="Q2026">
        <v>5.9354759999999999E-2</v>
      </c>
      <c r="R2026">
        <v>-5.8276719999999997E-2</v>
      </c>
      <c r="S2026">
        <v>-3.0089419999999998</v>
      </c>
      <c r="T2026">
        <v>-0.26242569999999998</v>
      </c>
      <c r="U2026">
        <v>-0.28924559999999999</v>
      </c>
      <c r="V2026">
        <v>-9.8197560000000003E-2</v>
      </c>
      <c r="W2026">
        <v>7.3877520000000002E-2</v>
      </c>
      <c r="X2026">
        <v>0.992421</v>
      </c>
      <c r="Y2026">
        <v>-0.13471</v>
      </c>
      <c r="Z2026">
        <v>-9.3196029999999992E-3</v>
      </c>
      <c r="AA2026">
        <v>0.99084119999999998</v>
      </c>
      <c r="AB2026">
        <v>48</v>
      </c>
      <c r="AC2026">
        <v>-12.251799999999999</v>
      </c>
      <c r="AD2026">
        <v>-1.110686298816</v>
      </c>
      <c r="AE2026">
        <v>-1.2432000000000001</v>
      </c>
      <c r="AF2026">
        <v>-1.71756740927632</v>
      </c>
      <c r="AG2026">
        <v>-1.110686298816</v>
      </c>
      <c r="AH2026">
        <v>12.093992116446501</v>
      </c>
      <c r="AI2026">
        <v>95.195360611877803</v>
      </c>
      <c r="AJ2026">
        <v>98.082992245632994</v>
      </c>
      <c r="AK2026">
        <v>12.2657371230781</v>
      </c>
      <c r="AL2026">
        <v>85.763270184636497</v>
      </c>
      <c r="AM2026">
        <v>95.650879229932301</v>
      </c>
      <c r="AN2026">
        <v>1.0000000449961499</v>
      </c>
    </row>
    <row r="2027" spans="1:40" x14ac:dyDescent="0.25">
      <c r="A2027" t="str">
        <f>"20190312151306785"</f>
        <v>20190312151306785</v>
      </c>
      <c r="B2027" t="str">
        <f>"1552374786781693"</f>
        <v>1552374786781693</v>
      </c>
      <c r="C2027" t="s">
        <v>40</v>
      </c>
      <c r="D2027">
        <v>4.9147150000000002</v>
      </c>
      <c r="E2027">
        <v>0.48642999999999997</v>
      </c>
      <c r="F2027" t="s">
        <v>55</v>
      </c>
      <c r="G2027">
        <v>-431.48050000000001</v>
      </c>
      <c r="H2027" s="1">
        <v>3.087342E-6</v>
      </c>
      <c r="I2027">
        <v>282.1705</v>
      </c>
      <c r="J2027">
        <v>-418.85809999999998</v>
      </c>
      <c r="K2027">
        <v>1.11073</v>
      </c>
      <c r="L2027">
        <v>283.46789999999999</v>
      </c>
      <c r="M2027">
        <v>-0.99912599999999996</v>
      </c>
      <c r="N2027">
        <v>0</v>
      </c>
      <c r="O2027">
        <v>3.9075869999999999E-2</v>
      </c>
      <c r="P2027">
        <v>-0.99644679999999997</v>
      </c>
      <c r="Q2027">
        <v>5.9386370000000001E-2</v>
      </c>
      <c r="R2027">
        <v>-5.9727820000000001E-2</v>
      </c>
      <c r="S2027">
        <v>-3.0085139999999999</v>
      </c>
      <c r="T2027">
        <v>-0.25477339999999998</v>
      </c>
      <c r="U2027">
        <v>-0.2932129</v>
      </c>
      <c r="V2027">
        <v>-9.8796519999999999E-2</v>
      </c>
      <c r="W2027">
        <v>7.3894630000000003E-2</v>
      </c>
      <c r="X2027">
        <v>0.99236020000000003</v>
      </c>
      <c r="Y2027">
        <v>-0.13520470000000001</v>
      </c>
      <c r="Z2027">
        <v>-8.9979120000000003E-3</v>
      </c>
      <c r="AA2027">
        <v>0.99077680000000001</v>
      </c>
      <c r="AB2027">
        <v>48</v>
      </c>
      <c r="AC2027">
        <v>-12.622400000000001</v>
      </c>
      <c r="AD2027">
        <v>-1.1107269126579999</v>
      </c>
      <c r="AE2027">
        <v>-1.2973999999999799</v>
      </c>
      <c r="AF2027">
        <v>-1.7760853611005301</v>
      </c>
      <c r="AG2027">
        <v>-1.1107269126579999</v>
      </c>
      <c r="AH2027">
        <v>12.466530933629899</v>
      </c>
      <c r="AI2027">
        <v>95.040787882382304</v>
      </c>
      <c r="AJ2027">
        <v>98.108267206971803</v>
      </c>
      <c r="AK2027">
        <v>12.6413047983018</v>
      </c>
      <c r="AL2027">
        <v>85.762286838526194</v>
      </c>
      <c r="AM2027">
        <v>95.685467920784603</v>
      </c>
      <c r="AN2027">
        <v>0.99999996762549304</v>
      </c>
    </row>
    <row r="2028" spans="1:40" x14ac:dyDescent="0.25">
      <c r="A2028" t="str">
        <f>"20190312151306810"</f>
        <v>20190312151306810</v>
      </c>
      <c r="B2028" t="str">
        <f>"1552374786802188"</f>
        <v>1552374786802188</v>
      </c>
      <c r="C2028" t="s">
        <v>40</v>
      </c>
      <c r="D2028">
        <v>4.7034960000000003</v>
      </c>
      <c r="E2028">
        <v>0.4863885</v>
      </c>
      <c r="F2028" t="s">
        <v>55</v>
      </c>
      <c r="G2028">
        <v>-432.24169999999998</v>
      </c>
      <c r="H2028" s="1">
        <v>3.427522E-6</v>
      </c>
      <c r="I2028">
        <v>282.14060000000001</v>
      </c>
      <c r="J2028">
        <v>-419.37540000000001</v>
      </c>
      <c r="K2028">
        <v>1.110776</v>
      </c>
      <c r="L2028">
        <v>283.48739999999998</v>
      </c>
      <c r="M2028">
        <v>-0.99916289999999996</v>
      </c>
      <c r="N2028">
        <v>0</v>
      </c>
      <c r="O2028">
        <v>3.8124419999999999E-2</v>
      </c>
      <c r="P2028">
        <v>-0.9963322</v>
      </c>
      <c r="Q2028">
        <v>5.9641079999999999E-2</v>
      </c>
      <c r="R2028">
        <v>-6.1360240000000003E-2</v>
      </c>
      <c r="S2028">
        <v>-3.00766</v>
      </c>
      <c r="T2028">
        <v>-0.2496099</v>
      </c>
      <c r="U2028">
        <v>-0.29827880000000001</v>
      </c>
      <c r="V2028">
        <v>-9.9486550000000007E-2</v>
      </c>
      <c r="W2028">
        <v>7.4132390000000006E-2</v>
      </c>
      <c r="X2028">
        <v>0.99227359999999998</v>
      </c>
      <c r="Y2028">
        <v>-0.13596639999999999</v>
      </c>
      <c r="Z2028">
        <v>-8.7707689999999994E-3</v>
      </c>
      <c r="AA2028">
        <v>0.99067459999999996</v>
      </c>
      <c r="AB2028">
        <v>48</v>
      </c>
      <c r="AC2028">
        <v>-12.866299999999899</v>
      </c>
      <c r="AD2028">
        <v>-1.110772572478</v>
      </c>
      <c r="AE2028">
        <v>-1.34679999999997</v>
      </c>
      <c r="AF2028">
        <v>-1.82295526341904</v>
      </c>
      <c r="AG2028">
        <v>-1.110772572478</v>
      </c>
      <c r="AH2028">
        <v>12.711875214072499</v>
      </c>
      <c r="AI2028">
        <v>94.943541860620201</v>
      </c>
      <c r="AJ2028">
        <v>98.160900953308598</v>
      </c>
      <c r="AK2028">
        <v>12.8898701722844</v>
      </c>
      <c r="AL2028">
        <v>85.748627039892796</v>
      </c>
      <c r="AM2028">
        <v>95.725410701854003</v>
      </c>
      <c r="AN2028">
        <v>1.0000000410674801</v>
      </c>
    </row>
    <row r="2029" spans="1:40" x14ac:dyDescent="0.25">
      <c r="A2029" t="str">
        <f>"20190312151306831"</f>
        <v>20190312151306831</v>
      </c>
      <c r="B2029" t="str">
        <f>"1552374786821709"</f>
        <v>1552374786821709</v>
      </c>
      <c r="C2029" t="s">
        <v>40</v>
      </c>
      <c r="D2029">
        <v>4.6851139999999996</v>
      </c>
      <c r="E2029">
        <v>0.48625810000000003</v>
      </c>
      <c r="F2029" t="s">
        <v>55</v>
      </c>
      <c r="G2029">
        <v>-432.95749999999998</v>
      </c>
      <c r="H2029" s="1">
        <v>3.7470439999999998E-6</v>
      </c>
      <c r="I2029">
        <v>282.1164</v>
      </c>
      <c r="J2029">
        <v>-419.83789999999999</v>
      </c>
      <c r="K2029">
        <v>1.1108180000000001</v>
      </c>
      <c r="L2029">
        <v>283.50439999999998</v>
      </c>
      <c r="M2029">
        <v>-0.99919630000000004</v>
      </c>
      <c r="N2029">
        <v>0</v>
      </c>
      <c r="O2029">
        <v>3.723601E-2</v>
      </c>
      <c r="P2029">
        <v>-0.99623039999999996</v>
      </c>
      <c r="Q2029">
        <v>6.042442E-2</v>
      </c>
      <c r="R2029">
        <v>-6.2243310000000003E-2</v>
      </c>
      <c r="S2029">
        <v>-3.0070800000000002</v>
      </c>
      <c r="T2029">
        <v>-0.24592649999999999</v>
      </c>
      <c r="U2029">
        <v>-0.30352780000000001</v>
      </c>
      <c r="V2029">
        <v>-9.9491209999999997E-2</v>
      </c>
      <c r="W2029">
        <v>7.4902239999999995E-2</v>
      </c>
      <c r="X2029">
        <v>0.99221530000000002</v>
      </c>
      <c r="Y2029">
        <v>-0.13683380000000001</v>
      </c>
      <c r="Z2029">
        <v>-8.6056339999999992E-3</v>
      </c>
      <c r="AA2029">
        <v>0.99055669999999996</v>
      </c>
      <c r="AB2029">
        <v>48</v>
      </c>
      <c r="AC2029">
        <v>-13.119599999999901</v>
      </c>
      <c r="AD2029">
        <v>-1.1108142529559999</v>
      </c>
      <c r="AE2029">
        <v>-1.3879999999999699</v>
      </c>
      <c r="AF2029">
        <v>-1.86240925774305</v>
      </c>
      <c r="AG2029">
        <v>-1.1108142529559999</v>
      </c>
      <c r="AH2029">
        <v>12.966883215707099</v>
      </c>
      <c r="AI2029">
        <v>94.846819537878105</v>
      </c>
      <c r="AJ2029">
        <v>98.173388797921106</v>
      </c>
      <c r="AK2029">
        <v>13.1469592255275</v>
      </c>
      <c r="AL2029">
        <v>85.704394833524503</v>
      </c>
      <c r="AM2029">
        <v>95.726011291569307</v>
      </c>
      <c r="AN2029">
        <v>1.00000002398918</v>
      </c>
    </row>
    <row r="2030" spans="1:40" x14ac:dyDescent="0.25">
      <c r="A2030" t="str">
        <f>"20190312151306854"</f>
        <v>20190312151306854</v>
      </c>
      <c r="B2030" t="str">
        <f>"1552374786842713"</f>
        <v>1552374786842713</v>
      </c>
      <c r="C2030" t="s">
        <v>40</v>
      </c>
      <c r="D2030">
        <v>5.4584419999999998</v>
      </c>
      <c r="E2030">
        <v>0.48629359999999999</v>
      </c>
      <c r="F2030" t="s">
        <v>55</v>
      </c>
      <c r="G2030">
        <v>-433.6893</v>
      </c>
      <c r="H2030" s="1">
        <v>4.074119E-6</v>
      </c>
      <c r="I2030">
        <v>282.08769999999998</v>
      </c>
      <c r="J2030">
        <v>-420.31670000000003</v>
      </c>
      <c r="K2030">
        <v>1.1108640000000001</v>
      </c>
      <c r="L2030">
        <v>283.5215</v>
      </c>
      <c r="M2030">
        <v>-0.9992316</v>
      </c>
      <c r="N2030">
        <v>0</v>
      </c>
      <c r="O2030">
        <v>3.628E-2</v>
      </c>
      <c r="P2030">
        <v>-0.99616179999999999</v>
      </c>
      <c r="Q2030">
        <v>6.0704559999999998E-2</v>
      </c>
      <c r="R2030">
        <v>-6.3062720000000003E-2</v>
      </c>
      <c r="S2030">
        <v>-3.0068049999999999</v>
      </c>
      <c r="T2030">
        <v>-0.2411296</v>
      </c>
      <c r="U2030">
        <v>-0.30752560000000001</v>
      </c>
      <c r="V2030">
        <v>-9.9366659999999996E-2</v>
      </c>
      <c r="W2030">
        <v>7.5169470000000002E-2</v>
      </c>
      <c r="X2030">
        <v>0.99220750000000002</v>
      </c>
      <c r="Y2030">
        <v>-0.1372227</v>
      </c>
      <c r="Z2030">
        <v>-8.3776790000000007E-3</v>
      </c>
      <c r="AA2030">
        <v>0.99050479999999996</v>
      </c>
      <c r="AB2030">
        <v>48</v>
      </c>
      <c r="AC2030">
        <v>-13.372599999999901</v>
      </c>
      <c r="AD2030">
        <v>-1.1108599258809999</v>
      </c>
      <c r="AE2030">
        <v>-1.43380000000001</v>
      </c>
      <c r="AF2030">
        <v>-1.90507044699598</v>
      </c>
      <c r="AG2030">
        <v>-1.1108599258809999</v>
      </c>
      <c r="AH2030">
        <v>13.2215705699794</v>
      </c>
      <c r="AI2030">
        <v>94.753775057691797</v>
      </c>
      <c r="AJ2030">
        <v>98.199206214194305</v>
      </c>
      <c r="AK2030">
        <v>13.404224390836299</v>
      </c>
      <c r="AL2030">
        <v>85.689040088101606</v>
      </c>
      <c r="AM2030">
        <v>95.718935277695905</v>
      </c>
      <c r="AN2030">
        <v>0.99999995269794195</v>
      </c>
    </row>
    <row r="2031" spans="1:40" x14ac:dyDescent="0.25">
      <c r="A2031" t="str">
        <f>"20190312151306874"</f>
        <v>20190312151306874</v>
      </c>
      <c r="B2031" t="str">
        <f>"1552374786862232"</f>
        <v>1552374786862232</v>
      </c>
      <c r="C2031" t="s">
        <v>40</v>
      </c>
      <c r="D2031">
        <v>4.8035370000000004</v>
      </c>
      <c r="E2031">
        <v>0.49789359999999999</v>
      </c>
      <c r="F2031" t="s">
        <v>55</v>
      </c>
      <c r="G2031">
        <v>-434.4085</v>
      </c>
      <c r="H2031" s="1">
        <v>4.3945419999999999E-6</v>
      </c>
      <c r="I2031">
        <v>282.07060000000001</v>
      </c>
      <c r="J2031">
        <v>-420.75810000000001</v>
      </c>
      <c r="K2031">
        <v>1.110903</v>
      </c>
      <c r="L2031">
        <v>283.5369</v>
      </c>
      <c r="M2031">
        <v>-0.99926429999999999</v>
      </c>
      <c r="N2031">
        <v>0</v>
      </c>
      <c r="O2031">
        <v>3.5368320000000002E-2</v>
      </c>
      <c r="P2031">
        <v>-0.99607840000000003</v>
      </c>
      <c r="Q2031">
        <v>6.082543E-2</v>
      </c>
      <c r="R2031">
        <v>-6.425169E-2</v>
      </c>
      <c r="S2031">
        <v>-3.0064389999999999</v>
      </c>
      <c r="T2031">
        <v>-0.23699799999999999</v>
      </c>
      <c r="U2031">
        <v>-0.30953979999999998</v>
      </c>
      <c r="V2031">
        <v>-9.9653030000000004E-2</v>
      </c>
      <c r="W2031">
        <v>7.5276930000000006E-2</v>
      </c>
      <c r="X2031">
        <v>0.99217069999999996</v>
      </c>
      <c r="Y2031">
        <v>-0.13700999999999999</v>
      </c>
      <c r="Z2031">
        <v>-8.1553440000000001E-3</v>
      </c>
      <c r="AA2031">
        <v>0.99053610000000003</v>
      </c>
      <c r="AB2031">
        <v>48</v>
      </c>
      <c r="AC2031">
        <v>-13.6503999999999</v>
      </c>
      <c r="AD2031">
        <v>-1.1108986054579999</v>
      </c>
      <c r="AE2031">
        <v>-1.46629999999998</v>
      </c>
      <c r="AF2031">
        <v>-1.9355541735428199</v>
      </c>
      <c r="AG2031">
        <v>-1.1108986054579999</v>
      </c>
      <c r="AH2031">
        <v>13.501589732158299</v>
      </c>
      <c r="AI2031">
        <v>94.656259324181804</v>
      </c>
      <c r="AJ2031">
        <v>98.158195467252199</v>
      </c>
      <c r="AK2031">
        <v>13.684786844005</v>
      </c>
      <c r="AL2031">
        <v>85.682865881484503</v>
      </c>
      <c r="AM2031">
        <v>95.735518563176399</v>
      </c>
      <c r="AN2031">
        <v>1.00000002025844</v>
      </c>
    </row>
    <row r="2032" spans="1:40" x14ac:dyDescent="0.25">
      <c r="A2032" t="str">
        <f>"20190312151306897"</f>
        <v>20190312151306897</v>
      </c>
      <c r="B2032" t="str">
        <f>"1552374786891515"</f>
        <v>1552374786891515</v>
      </c>
      <c r="C2032" t="s">
        <v>40</v>
      </c>
      <c r="D2032">
        <v>4.7455850000000002</v>
      </c>
      <c r="E2032">
        <v>0.49889230000000001</v>
      </c>
      <c r="F2032" t="s">
        <v>54</v>
      </c>
      <c r="G2032">
        <v>-441.56569999999999</v>
      </c>
      <c r="H2032" s="1">
        <v>-5.9020619999999896E-7</v>
      </c>
      <c r="I2032">
        <v>282.0224</v>
      </c>
      <c r="J2032">
        <v>-421.23469999999998</v>
      </c>
      <c r="K2032">
        <v>1.1109420000000001</v>
      </c>
      <c r="L2032">
        <v>283.553</v>
      </c>
      <c r="M2032">
        <v>-0.99929979999999996</v>
      </c>
      <c r="N2032">
        <v>0</v>
      </c>
      <c r="O2032">
        <v>3.4351470000000002E-2</v>
      </c>
      <c r="P2032">
        <v>-0.99600560000000005</v>
      </c>
      <c r="Q2032">
        <v>6.0569989999999997E-2</v>
      </c>
      <c r="R2032">
        <v>-6.5605949999999996E-2</v>
      </c>
      <c r="S2032">
        <v>-3.0075379999999998</v>
      </c>
      <c r="T2032">
        <v>-0.1605704</v>
      </c>
      <c r="U2032">
        <v>-0.2189026</v>
      </c>
      <c r="V2032">
        <v>-9.9999480000000002E-2</v>
      </c>
      <c r="W2032">
        <v>7.5008279999999997E-2</v>
      </c>
      <c r="X2032">
        <v>0.99215609999999999</v>
      </c>
      <c r="Y2032">
        <v>-0.1066146</v>
      </c>
      <c r="Z2032">
        <v>-4.6710479999999997E-3</v>
      </c>
      <c r="AA2032">
        <v>0.99428950000000005</v>
      </c>
      <c r="AB2032">
        <v>48</v>
      </c>
      <c r="AC2032">
        <v>-20.331</v>
      </c>
      <c r="AD2032">
        <v>-1.11094259020619</v>
      </c>
      <c r="AE2032">
        <v>-1.53059999999999</v>
      </c>
      <c r="AF2032">
        <v>-2.2215771176593502</v>
      </c>
      <c r="AG2032">
        <v>-1.11094259020619</v>
      </c>
      <c r="AH2032">
        <v>20.2064211384358</v>
      </c>
      <c r="AI2032">
        <v>93.128124057053498</v>
      </c>
      <c r="AJ2032">
        <v>96.274134855665096</v>
      </c>
      <c r="AK2032">
        <v>20.358513048655301</v>
      </c>
      <c r="AL2032">
        <v>85.698301654930901</v>
      </c>
      <c r="AM2032">
        <v>95.755408945992897</v>
      </c>
      <c r="AN2032">
        <v>0.99999993241801699</v>
      </c>
    </row>
    <row r="2033" spans="1:40" x14ac:dyDescent="0.25">
      <c r="A2033" t="str">
        <f>"20190312151306918"</f>
        <v>20190312151306918</v>
      </c>
      <c r="B2033" t="str">
        <f>"1552374786912007"</f>
        <v>1552374786912007</v>
      </c>
      <c r="C2033" t="s">
        <v>40</v>
      </c>
      <c r="D2033">
        <v>4.8048830000000002</v>
      </c>
      <c r="E2033">
        <v>0.4989903</v>
      </c>
      <c r="F2033" t="s">
        <v>54</v>
      </c>
      <c r="G2033">
        <v>-441.416</v>
      </c>
      <c r="H2033" s="1">
        <v>-6.7368780000000001E-7</v>
      </c>
      <c r="I2033">
        <v>282.10890000000001</v>
      </c>
      <c r="J2033">
        <v>-421.70740000000001</v>
      </c>
      <c r="K2033">
        <v>1.1109789999999999</v>
      </c>
      <c r="L2033">
        <v>283.56849999999997</v>
      </c>
      <c r="M2033">
        <v>-0.99933519999999998</v>
      </c>
      <c r="N2033">
        <v>0</v>
      </c>
      <c r="O2033">
        <v>3.3310800000000002E-2</v>
      </c>
      <c r="P2033">
        <v>-0.99593350000000003</v>
      </c>
      <c r="Q2033">
        <v>6.064282E-2</v>
      </c>
      <c r="R2033">
        <v>-6.6626539999999998E-2</v>
      </c>
      <c r="S2033">
        <v>-3.0079349999999998</v>
      </c>
      <c r="T2033">
        <v>-0.1655817</v>
      </c>
      <c r="U2033">
        <v>-0.2152405</v>
      </c>
      <c r="V2033">
        <v>-9.9990029999999994E-2</v>
      </c>
      <c r="W2033">
        <v>7.5068670000000004E-2</v>
      </c>
      <c r="X2033">
        <v>0.99215260000000005</v>
      </c>
      <c r="Y2033">
        <v>-0.10435750000000001</v>
      </c>
      <c r="Z2033">
        <v>-4.6969949999999998E-3</v>
      </c>
      <c r="AA2033">
        <v>0.99452879999999999</v>
      </c>
      <c r="AB2033">
        <v>48</v>
      </c>
      <c r="AC2033">
        <v>-19.708599999999901</v>
      </c>
      <c r="AD2033">
        <v>-1.1109796736877999</v>
      </c>
      <c r="AE2033">
        <v>-1.45959999999996</v>
      </c>
      <c r="AF2033">
        <v>-2.1087070180585501</v>
      </c>
      <c r="AG2033">
        <v>-1.1109796736877999</v>
      </c>
      <c r="AH2033">
        <v>19.5871335832597</v>
      </c>
      <c r="AI2033">
        <v>93.227719567067197</v>
      </c>
      <c r="AJ2033">
        <v>96.144669174142507</v>
      </c>
      <c r="AK2033">
        <v>19.731617347085798</v>
      </c>
      <c r="AL2033">
        <v>85.6948322718127</v>
      </c>
      <c r="AM2033">
        <v>95.754888872911707</v>
      </c>
      <c r="AN2033">
        <v>1.0000000465008601</v>
      </c>
    </row>
    <row r="2034" spans="1:40" x14ac:dyDescent="0.25">
      <c r="A2034" t="str">
        <f>"20190312151306941"</f>
        <v>20190312151306941</v>
      </c>
      <c r="B2034" t="str">
        <f>"1552374786931528"</f>
        <v>1552374786931528</v>
      </c>
      <c r="C2034" t="s">
        <v>40</v>
      </c>
      <c r="D2034">
        <v>4.8058990000000001</v>
      </c>
      <c r="E2034">
        <v>0.49916110000000002</v>
      </c>
      <c r="F2034" t="s">
        <v>54</v>
      </c>
      <c r="G2034">
        <v>-442.18599999999998</v>
      </c>
      <c r="H2034" s="1">
        <v>-2.6299009999999999E-7</v>
      </c>
      <c r="I2034">
        <v>282.0881</v>
      </c>
      <c r="J2034">
        <v>-422.18290000000002</v>
      </c>
      <c r="K2034">
        <v>1.1110100000000001</v>
      </c>
      <c r="L2034">
        <v>283.58359999999999</v>
      </c>
      <c r="M2034">
        <v>-0.99937050000000005</v>
      </c>
      <c r="N2034">
        <v>0</v>
      </c>
      <c r="O2034">
        <v>3.2233230000000002E-2</v>
      </c>
      <c r="P2034">
        <v>-0.99583440000000001</v>
      </c>
      <c r="Q2034">
        <v>6.0782790000000003E-2</v>
      </c>
      <c r="R2034">
        <v>-6.7966540000000006E-2</v>
      </c>
      <c r="S2034">
        <v>-3.0075989999999999</v>
      </c>
      <c r="T2034">
        <v>-0.16316410000000001</v>
      </c>
      <c r="U2034">
        <v>-0.21740719999999999</v>
      </c>
      <c r="V2034">
        <v>-0.1002625</v>
      </c>
      <c r="W2034">
        <v>7.5195629999999999E-2</v>
      </c>
      <c r="X2034">
        <v>0.99211539999999998</v>
      </c>
      <c r="Y2034">
        <v>-0.10401390000000001</v>
      </c>
      <c r="Z2034">
        <v>-4.5612600000000001E-3</v>
      </c>
      <c r="AA2034">
        <v>0.99456540000000004</v>
      </c>
      <c r="AB2034">
        <v>48</v>
      </c>
      <c r="AC2034">
        <v>-20.0030999999999</v>
      </c>
      <c r="AD2034">
        <v>-1.1110102629901</v>
      </c>
      <c r="AE2034">
        <v>-1.4954999999999901</v>
      </c>
      <c r="AF2034">
        <v>-2.1330144989677802</v>
      </c>
      <c r="AG2034">
        <v>-1.1110102629901</v>
      </c>
      <c r="AH2034">
        <v>19.883495796896799</v>
      </c>
      <c r="AI2034">
        <v>93.179926279683301</v>
      </c>
      <c r="AJ2034">
        <v>96.123024335154398</v>
      </c>
      <c r="AK2034">
        <v>20.0284173054809</v>
      </c>
      <c r="AL2034">
        <v>85.687537004824904</v>
      </c>
      <c r="AM2034">
        <v>95.770680002826495</v>
      </c>
      <c r="AN2034">
        <v>0.99999995929725205</v>
      </c>
    </row>
    <row r="2035" spans="1:40" x14ac:dyDescent="0.25">
      <c r="A2035" t="str">
        <f>"20190312151306963"</f>
        <v>20190312151306963</v>
      </c>
      <c r="B2035" t="str">
        <f>"1552374786952025"</f>
        <v>1552374786952025</v>
      </c>
      <c r="C2035" t="s">
        <v>40</v>
      </c>
      <c r="D2035">
        <v>4.6369379999999998</v>
      </c>
      <c r="E2035">
        <v>0.49903310000000001</v>
      </c>
      <c r="F2035" t="s">
        <v>54</v>
      </c>
      <c r="G2035">
        <v>-442.55130000000003</v>
      </c>
      <c r="H2035" s="1">
        <v>-6.8796489999999993E-8</v>
      </c>
      <c r="I2035">
        <v>282.0926</v>
      </c>
      <c r="J2035">
        <v>-422.65710000000001</v>
      </c>
      <c r="K2035">
        <v>1.1110580000000001</v>
      </c>
      <c r="L2035">
        <v>283.59809999999999</v>
      </c>
      <c r="M2035">
        <v>-0.99940560000000001</v>
      </c>
      <c r="N2035">
        <v>0</v>
      </c>
      <c r="O2035">
        <v>3.112848E-2</v>
      </c>
      <c r="P2035">
        <v>-0.99575749999999996</v>
      </c>
      <c r="Q2035">
        <v>6.0510469999999997E-2</v>
      </c>
      <c r="R2035">
        <v>-6.9325639999999994E-2</v>
      </c>
      <c r="S2035">
        <v>-3.007568</v>
      </c>
      <c r="T2035">
        <v>-0.16405</v>
      </c>
      <c r="U2035">
        <v>-0.22015380000000001</v>
      </c>
      <c r="V2035">
        <v>-0.1005272</v>
      </c>
      <c r="W2035">
        <v>7.49108E-2</v>
      </c>
      <c r="X2035">
        <v>0.99211020000000005</v>
      </c>
      <c r="Y2035">
        <v>-0.10381840000000001</v>
      </c>
      <c r="Z2035">
        <v>-4.5204160000000002E-3</v>
      </c>
      <c r="AA2035">
        <v>0.99458599999999997</v>
      </c>
      <c r="AB2035">
        <v>48</v>
      </c>
      <c r="AC2035">
        <v>-19.894200000000001</v>
      </c>
      <c r="AD2035">
        <v>-1.1110580687964899</v>
      </c>
      <c r="AE2035">
        <v>-1.5054999999999801</v>
      </c>
      <c r="AF2035">
        <v>-2.1175473334232402</v>
      </c>
      <c r="AG2035">
        <v>-1.1110580687964899</v>
      </c>
      <c r="AH2035">
        <v>19.776355956612001</v>
      </c>
      <c r="AI2035">
        <v>93.197323331874003</v>
      </c>
      <c r="AJ2035">
        <v>96.111642605454605</v>
      </c>
      <c r="AK2035">
        <v>19.920409425113402</v>
      </c>
      <c r="AL2035">
        <v>85.703902885529601</v>
      </c>
      <c r="AM2035">
        <v>95.785841896175896</v>
      </c>
      <c r="AN2035">
        <v>0.99999999742026002</v>
      </c>
    </row>
    <row r="2036" spans="1:40" x14ac:dyDescent="0.25">
      <c r="A2036" t="str">
        <f>"20190312151306987"</f>
        <v>20190312151306987</v>
      </c>
      <c r="B2036" t="str">
        <f>"1552374786982282"</f>
        <v>1552374786982282</v>
      </c>
      <c r="C2036" t="s">
        <v>40</v>
      </c>
      <c r="D2036">
        <v>4.6576420000000001</v>
      </c>
      <c r="E2036">
        <v>0.49920900000000001</v>
      </c>
      <c r="F2036" t="s">
        <v>54</v>
      </c>
      <c r="G2036">
        <v>-442.72590000000002</v>
      </c>
      <c r="H2036" s="1">
        <v>2.3937989999999999E-8</v>
      </c>
      <c r="I2036">
        <v>282.096</v>
      </c>
      <c r="J2036">
        <v>-423.14710000000002</v>
      </c>
      <c r="K2036">
        <v>1.111103</v>
      </c>
      <c r="L2036">
        <v>283.61250000000001</v>
      </c>
      <c r="M2036">
        <v>-0.99944140000000004</v>
      </c>
      <c r="N2036">
        <v>0</v>
      </c>
      <c r="O2036">
        <v>2.9952800000000002E-2</v>
      </c>
      <c r="P2036">
        <v>-0.99563230000000003</v>
      </c>
      <c r="Q2036">
        <v>6.0453720000000002E-2</v>
      </c>
      <c r="R2036">
        <v>-7.1146150000000005E-2</v>
      </c>
      <c r="S2036">
        <v>-3.0072019999999999</v>
      </c>
      <c r="T2036">
        <v>-0.166486299999999</v>
      </c>
      <c r="U2036">
        <v>-0.22506709999999999</v>
      </c>
      <c r="V2036">
        <v>-0.10118249999999999</v>
      </c>
      <c r="W2036">
        <v>7.4838050000000003E-2</v>
      </c>
      <c r="X2036">
        <v>0.99204910000000002</v>
      </c>
      <c r="Y2036">
        <v>-0.1042685</v>
      </c>
      <c r="Z2036">
        <v>-4.535201E-3</v>
      </c>
      <c r="AA2036">
        <v>0.99453879999999995</v>
      </c>
      <c r="AB2036">
        <v>48</v>
      </c>
      <c r="AC2036">
        <v>-19.578800000000001</v>
      </c>
      <c r="AD2036">
        <v>-1.1111029760620099</v>
      </c>
      <c r="AE2036">
        <v>-1.5165</v>
      </c>
      <c r="AF2036">
        <v>-2.0956148526343101</v>
      </c>
      <c r="AG2036">
        <v>-1.1111029760620099</v>
      </c>
      <c r="AH2036">
        <v>19.462278562737701</v>
      </c>
      <c r="AI2036">
        <v>93.248735487933004</v>
      </c>
      <c r="AJ2036">
        <v>96.145686136356005</v>
      </c>
      <c r="AK2036">
        <v>19.606285683106702</v>
      </c>
      <c r="AL2036">
        <v>85.708083002996304</v>
      </c>
      <c r="AM2036">
        <v>95.823655505312502</v>
      </c>
      <c r="AN2036">
        <v>1.0000000244224301</v>
      </c>
    </row>
    <row r="2037" spans="1:40" x14ac:dyDescent="0.25">
      <c r="A2037" t="str">
        <f>"20190312151307031"</f>
        <v>20190312151307031</v>
      </c>
      <c r="B2037" t="str">
        <f>"1552374787022298"</f>
        <v>1552374787022298</v>
      </c>
      <c r="C2037" t="s">
        <v>40</v>
      </c>
      <c r="D2037">
        <v>4.6296269999999904</v>
      </c>
      <c r="E2037">
        <v>0.49757269999999998</v>
      </c>
      <c r="F2037" t="s">
        <v>54</v>
      </c>
      <c r="G2037">
        <v>-443.0917</v>
      </c>
      <c r="H2037" s="1">
        <v>2.188108E-7</v>
      </c>
      <c r="I2037">
        <v>282.09230000000002</v>
      </c>
      <c r="J2037">
        <v>-424.08909999999997</v>
      </c>
      <c r="K2037">
        <v>1.1112070000000001</v>
      </c>
      <c r="L2037">
        <v>283.63839999999999</v>
      </c>
      <c r="M2037">
        <v>-0.99951000000000001</v>
      </c>
      <c r="N2037">
        <v>0</v>
      </c>
      <c r="O2037">
        <v>2.7576940000000001E-2</v>
      </c>
      <c r="P2037">
        <v>-0.99538819999999995</v>
      </c>
      <c r="Q2037">
        <v>6.0993480000000003E-2</v>
      </c>
      <c r="R2037">
        <v>-7.4043899999999996E-2</v>
      </c>
      <c r="S2037">
        <v>-3.0069889999999999</v>
      </c>
      <c r="T2037">
        <v>-0.16751750000000001</v>
      </c>
      <c r="U2037">
        <v>-0.229187</v>
      </c>
      <c r="V2037">
        <v>-0.10172870000000001</v>
      </c>
      <c r="W2037">
        <v>7.534826E-2</v>
      </c>
      <c r="X2037">
        <v>0.99195460000000002</v>
      </c>
      <c r="Y2037">
        <v>-0.1032672</v>
      </c>
      <c r="Z2037">
        <v>-4.4034069999999998E-3</v>
      </c>
      <c r="AA2037">
        <v>0.99464390000000003</v>
      </c>
      <c r="AB2037">
        <v>48</v>
      </c>
      <c r="AC2037">
        <v>-19.002600000000001</v>
      </c>
      <c r="AD2037">
        <v>-1.1112067811891999</v>
      </c>
      <c r="AE2037">
        <v>-1.5460999999999601</v>
      </c>
      <c r="AF2037">
        <v>-2.0625962043830599</v>
      </c>
      <c r="AG2037">
        <v>-1.1112067811891999</v>
      </c>
      <c r="AH2037">
        <v>18.8885651868233</v>
      </c>
      <c r="AI2037">
        <v>93.346957241532493</v>
      </c>
      <c r="AJ2037">
        <v>96.231900671522695</v>
      </c>
      <c r="AK2037">
        <v>19.033312334687501</v>
      </c>
      <c r="AL2037">
        <v>85.678767283047193</v>
      </c>
      <c r="AM2037">
        <v>95.855428655614006</v>
      </c>
      <c r="AN2037">
        <v>1.0000000085749301</v>
      </c>
    </row>
    <row r="2038" spans="1:40" x14ac:dyDescent="0.25">
      <c r="A2038" t="str">
        <f>"20190312151307052"</f>
        <v>20190312151307052</v>
      </c>
      <c r="B2038" t="str">
        <f>"1552374787041815"</f>
        <v>1552374787041815</v>
      </c>
      <c r="C2038" t="s">
        <v>40</v>
      </c>
      <c r="D2038">
        <v>4.57857</v>
      </c>
      <c r="E2038">
        <v>0.4981138</v>
      </c>
      <c r="F2038" t="s">
        <v>55</v>
      </c>
      <c r="G2038">
        <v>-438.87029999999999</v>
      </c>
      <c r="H2038" s="1">
        <v>6.3447959999999997E-6</v>
      </c>
      <c r="I2038">
        <v>282.39479999999998</v>
      </c>
      <c r="J2038">
        <v>-424.56459999999998</v>
      </c>
      <c r="K2038">
        <v>1.1112580000000001</v>
      </c>
      <c r="L2038">
        <v>283.6506</v>
      </c>
      <c r="M2038">
        <v>-0.99954390000000004</v>
      </c>
      <c r="N2038">
        <v>0</v>
      </c>
      <c r="O2038">
        <v>2.63217E-2</v>
      </c>
      <c r="P2038">
        <v>-0.99524040000000003</v>
      </c>
      <c r="Q2038">
        <v>6.1861590000000001E-2</v>
      </c>
      <c r="R2038">
        <v>-7.5300539999999999E-2</v>
      </c>
      <c r="S2038">
        <v>-3.0089109999999999</v>
      </c>
      <c r="T2038">
        <v>-0.22620080000000001</v>
      </c>
      <c r="U2038">
        <v>-0.25314330000000002</v>
      </c>
      <c r="V2038">
        <v>-0.1017458</v>
      </c>
      <c r="W2038">
        <v>7.6201720000000001E-2</v>
      </c>
      <c r="X2038">
        <v>0.99188759999999998</v>
      </c>
      <c r="Y2038">
        <v>-0.1096567</v>
      </c>
      <c r="Z2038">
        <v>-6.0819130000000004E-3</v>
      </c>
      <c r="AA2038">
        <v>0.99395089999999997</v>
      </c>
      <c r="AB2038">
        <v>48</v>
      </c>
      <c r="AC2038">
        <v>-14.3057</v>
      </c>
      <c r="AD2038">
        <v>-1.1112516552039999</v>
      </c>
      <c r="AE2038">
        <v>-1.25580000000002</v>
      </c>
      <c r="AF2038">
        <v>-1.62224262482432</v>
      </c>
      <c r="AG2038">
        <v>-1.1112516552039999</v>
      </c>
      <c r="AH2038">
        <v>14.1827593103536</v>
      </c>
      <c r="AI2038">
        <v>94.451197225668096</v>
      </c>
      <c r="AJ2038">
        <v>96.525208448831094</v>
      </c>
      <c r="AK2038">
        <v>14.318422155754799</v>
      </c>
      <c r="AL2038">
        <v>85.629726420724197</v>
      </c>
      <c r="AM2038">
        <v>95.856798916914599</v>
      </c>
      <c r="AN2038">
        <v>0.99999996049117801</v>
      </c>
    </row>
    <row r="2039" spans="1:40" x14ac:dyDescent="0.25">
      <c r="A2039" t="str">
        <f>"20190312151307075"</f>
        <v>20190312151307075</v>
      </c>
      <c r="B2039" t="str">
        <f>"1552374787072073"</f>
        <v>1552374787072073</v>
      </c>
      <c r="C2039" t="s">
        <v>40</v>
      </c>
      <c r="D2039">
        <v>4.544149</v>
      </c>
      <c r="E2039">
        <v>0.49836720000000001</v>
      </c>
      <c r="F2039" t="s">
        <v>55</v>
      </c>
      <c r="G2039">
        <v>-438.14389999999997</v>
      </c>
      <c r="H2039" s="1">
        <v>6.0127500000000002E-6</v>
      </c>
      <c r="I2039">
        <v>282.5086</v>
      </c>
      <c r="J2039">
        <v>-425.02800000000002</v>
      </c>
      <c r="K2039">
        <v>1.111308</v>
      </c>
      <c r="L2039">
        <v>283.6619</v>
      </c>
      <c r="M2039">
        <v>-0.99957629999999997</v>
      </c>
      <c r="N2039">
        <v>0</v>
      </c>
      <c r="O2039">
        <v>2.5055930000000001E-2</v>
      </c>
      <c r="P2039">
        <v>-0.9950734</v>
      </c>
      <c r="Q2039">
        <v>6.240714E-2</v>
      </c>
      <c r="R2039">
        <v>-7.7034389999999994E-2</v>
      </c>
      <c r="S2039">
        <v>-3.0104679999999999</v>
      </c>
      <c r="T2039">
        <v>-0.2463593</v>
      </c>
      <c r="U2039">
        <v>-0.2531738</v>
      </c>
      <c r="V2039">
        <v>-0.10222779999999999</v>
      </c>
      <c r="W2039">
        <v>7.6729919999999993E-2</v>
      </c>
      <c r="X2039">
        <v>0.99179729999999999</v>
      </c>
      <c r="Y2039">
        <v>-0.10830330000000001</v>
      </c>
      <c r="Z2039">
        <v>-6.4603350000000002E-3</v>
      </c>
      <c r="AA2039">
        <v>0.99409689999999995</v>
      </c>
      <c r="AB2039">
        <v>48</v>
      </c>
      <c r="AC2039">
        <v>-13.1158999999999</v>
      </c>
      <c r="AD2039">
        <v>-1.1113019872499901</v>
      </c>
      <c r="AE2039">
        <v>-1.1533</v>
      </c>
      <c r="AF2039">
        <v>-1.47112470591878</v>
      </c>
      <c r="AG2039">
        <v>-1.1113019872499901</v>
      </c>
      <c r="AH2039">
        <v>12.9903382282476</v>
      </c>
      <c r="AI2039">
        <v>94.858746782463498</v>
      </c>
      <c r="AJ2039">
        <v>96.461082529409794</v>
      </c>
      <c r="AK2039">
        <v>13.1205216089721</v>
      </c>
      <c r="AL2039">
        <v>85.599373849767801</v>
      </c>
      <c r="AM2039">
        <v>95.8848820679098</v>
      </c>
      <c r="AN2039">
        <v>0.99999994400166603</v>
      </c>
    </row>
    <row r="2040" spans="1:40" x14ac:dyDescent="0.25">
      <c r="A2040" t="str">
        <f>"20190312151307097"</f>
        <v>20190312151307097</v>
      </c>
      <c r="B2040" t="str">
        <f>"1552374787091595"</f>
        <v>1552374787091595</v>
      </c>
      <c r="C2040" t="s">
        <v>40</v>
      </c>
      <c r="D2040">
        <v>4.5485340000000001</v>
      </c>
      <c r="E2040">
        <v>0.49857119999999999</v>
      </c>
      <c r="F2040" t="s">
        <v>55</v>
      </c>
      <c r="G2040">
        <v>-438.41800000000001</v>
      </c>
      <c r="H2040" s="1">
        <v>6.1332300000000004E-6</v>
      </c>
      <c r="I2040">
        <v>282.52069999999998</v>
      </c>
      <c r="J2040">
        <v>-425.5093</v>
      </c>
      <c r="K2040">
        <v>1.1113630000000001</v>
      </c>
      <c r="L2040">
        <v>283.673</v>
      </c>
      <c r="M2040">
        <v>-0.99961</v>
      </c>
      <c r="N2040">
        <v>0</v>
      </c>
      <c r="O2040">
        <v>2.3677630000000002E-2</v>
      </c>
      <c r="P2040">
        <v>-0.99492650000000005</v>
      </c>
      <c r="Q2040">
        <v>6.2953839999999997E-2</v>
      </c>
      <c r="R2040">
        <v>-7.8473829999999994E-2</v>
      </c>
      <c r="S2040">
        <v>-3.0106199999999999</v>
      </c>
      <c r="T2040">
        <v>-0.24986520000000001</v>
      </c>
      <c r="U2040">
        <v>-0.25659179999999998</v>
      </c>
      <c r="V2040">
        <v>-0.1023073</v>
      </c>
      <c r="W2040">
        <v>7.7259540000000002E-2</v>
      </c>
      <c r="X2040">
        <v>0.99174799999999996</v>
      </c>
      <c r="Y2040">
        <v>-0.108042</v>
      </c>
      <c r="Z2040">
        <v>-6.4264819999999999E-3</v>
      </c>
      <c r="AA2040">
        <v>0.9941255</v>
      </c>
      <c r="AB2040">
        <v>48</v>
      </c>
      <c r="AC2040">
        <v>-12.9087</v>
      </c>
      <c r="AD2040">
        <v>-1.11135686676999</v>
      </c>
      <c r="AE2040">
        <v>-1.1523000000000201</v>
      </c>
      <c r="AF2040">
        <v>-1.44701713925495</v>
      </c>
      <c r="AG2040">
        <v>-1.11135686676999</v>
      </c>
      <c r="AH2040">
        <v>12.7837876544141</v>
      </c>
      <c r="AI2040">
        <v>94.9371391008019</v>
      </c>
      <c r="AJ2040">
        <v>96.457913173979506</v>
      </c>
      <c r="AK2040">
        <v>12.913334173627099</v>
      </c>
      <c r="AL2040">
        <v>85.568938571028497</v>
      </c>
      <c r="AM2040">
        <v>95.8897171440493</v>
      </c>
      <c r="AN2040">
        <v>0.99999995782914897</v>
      </c>
    </row>
    <row r="2041" spans="1:40" x14ac:dyDescent="0.25">
      <c r="A2041" t="str">
        <f>"20190312151307119"</f>
        <v>20190312151307119</v>
      </c>
      <c r="B2041" t="str">
        <f>"1552374787112088"</f>
        <v>1552374787112088</v>
      </c>
      <c r="C2041" t="s">
        <v>40</v>
      </c>
      <c r="D2041">
        <v>4.5083270000000004</v>
      </c>
      <c r="E2041">
        <v>0.49866739999999998</v>
      </c>
      <c r="F2041" t="s">
        <v>55</v>
      </c>
      <c r="G2041">
        <v>-438.71809999999999</v>
      </c>
      <c r="H2041" s="1">
        <v>6.2652520000000003E-6</v>
      </c>
      <c r="I2041">
        <v>282.53300000000002</v>
      </c>
      <c r="J2041">
        <v>-425.9726</v>
      </c>
      <c r="K2041">
        <v>1.1114299999999999</v>
      </c>
      <c r="L2041">
        <v>283.68290000000002</v>
      </c>
      <c r="M2041">
        <v>-0.99964200000000003</v>
      </c>
      <c r="N2041">
        <v>0</v>
      </c>
      <c r="O2041">
        <v>2.2283890000000001E-2</v>
      </c>
      <c r="P2041">
        <v>-0.99487720000000002</v>
      </c>
      <c r="Q2041">
        <v>6.2606800000000004E-2</v>
      </c>
      <c r="R2041">
        <v>-7.9371579999999997E-2</v>
      </c>
      <c r="S2041">
        <v>-3.010834</v>
      </c>
      <c r="T2041">
        <v>-0.25332379999999999</v>
      </c>
      <c r="U2041">
        <v>-0.25985720000000001</v>
      </c>
      <c r="V2041">
        <v>-0.1018297</v>
      </c>
      <c r="W2041">
        <v>7.6897750000000001E-2</v>
      </c>
      <c r="X2041">
        <v>0.99182530000000002</v>
      </c>
      <c r="Y2041">
        <v>-0.107714</v>
      </c>
      <c r="Z2041">
        <v>-6.3837340000000003E-3</v>
      </c>
      <c r="AA2041">
        <v>0.99416139999999997</v>
      </c>
      <c r="AB2041">
        <v>48</v>
      </c>
      <c r="AC2041">
        <v>-12.7454999999999</v>
      </c>
      <c r="AD2041">
        <v>-1.1114237347479901</v>
      </c>
      <c r="AE2041">
        <v>-1.1498999999999999</v>
      </c>
      <c r="AF2041">
        <v>-1.4229321637424801</v>
      </c>
      <c r="AG2041">
        <v>-1.1114237347479901</v>
      </c>
      <c r="AH2041">
        <v>12.6215075139504</v>
      </c>
      <c r="AI2041">
        <v>95.000848887932307</v>
      </c>
      <c r="AJ2041">
        <v>96.432291113362396</v>
      </c>
      <c r="AK2041">
        <v>12.7499980621756</v>
      </c>
      <c r="AL2041">
        <v>85.589729601259094</v>
      </c>
      <c r="AM2041">
        <v>95.861960466826801</v>
      </c>
      <c r="AN2041">
        <v>0.99999998873862095</v>
      </c>
    </row>
    <row r="2042" spans="1:40" x14ac:dyDescent="0.25">
      <c r="A2042" t="str">
        <f>"20190312151307142"</f>
        <v>20190312151307142</v>
      </c>
      <c r="B2042" t="str">
        <f>"1552374787131608"</f>
        <v>1552374787131608</v>
      </c>
      <c r="C2042" t="s">
        <v>40</v>
      </c>
      <c r="D2042">
        <v>4.9169989999999997</v>
      </c>
      <c r="E2042">
        <v>0.4987336</v>
      </c>
      <c r="F2042" t="s">
        <v>55</v>
      </c>
      <c r="G2042">
        <v>-438.93079999999998</v>
      </c>
      <c r="H2042" s="1">
        <v>6.357703E-6</v>
      </c>
      <c r="I2042">
        <v>282.55410000000001</v>
      </c>
      <c r="J2042">
        <v>-426.45670000000001</v>
      </c>
      <c r="K2042">
        <v>1.111502</v>
      </c>
      <c r="L2042">
        <v>283.6927</v>
      </c>
      <c r="M2042">
        <v>-0.99967499999999998</v>
      </c>
      <c r="N2042">
        <v>0</v>
      </c>
      <c r="O2042">
        <v>2.0756839999999999E-2</v>
      </c>
      <c r="P2042">
        <v>-0.99478409999999995</v>
      </c>
      <c r="Q2042">
        <v>6.2130159999999997E-2</v>
      </c>
      <c r="R2042">
        <v>-8.0898109999999995E-2</v>
      </c>
      <c r="S2042">
        <v>-3.0107729999999999</v>
      </c>
      <c r="T2042">
        <v>-0.2582333</v>
      </c>
      <c r="U2042">
        <v>-0.262268099999999</v>
      </c>
      <c r="V2042">
        <v>-0.1018492</v>
      </c>
      <c r="W2042">
        <v>7.6401410000000003E-2</v>
      </c>
      <c r="X2042">
        <v>0.99186160000000001</v>
      </c>
      <c r="Y2042">
        <v>-0.1069777</v>
      </c>
      <c r="Z2042">
        <v>-6.3449179999999997E-3</v>
      </c>
      <c r="AA2042">
        <v>0.99424120000000005</v>
      </c>
      <c r="AB2042">
        <v>47</v>
      </c>
      <c r="AC2042">
        <v>-12.4740999999999</v>
      </c>
      <c r="AD2042">
        <v>-1.1114956422969999</v>
      </c>
      <c r="AE2042">
        <v>-1.1385999999999901</v>
      </c>
      <c r="AF2042">
        <v>-1.38638951057773</v>
      </c>
      <c r="AG2042">
        <v>-1.1114956422969999</v>
      </c>
      <c r="AH2042">
        <v>12.3505279002419</v>
      </c>
      <c r="AI2042">
        <v>95.110599316722997</v>
      </c>
      <c r="AJ2042">
        <v>96.404837286967904</v>
      </c>
      <c r="AK2042">
        <v>12.477701625401201</v>
      </c>
      <c r="AL2042">
        <v>85.618251459302797</v>
      </c>
      <c r="AM2042">
        <v>95.862862109460707</v>
      </c>
      <c r="AN2042">
        <v>0.99999993427259204</v>
      </c>
    </row>
    <row r="2043" spans="1:40" x14ac:dyDescent="0.25">
      <c r="A2043" t="str">
        <f>"20190312151307163"</f>
        <v>20190312151307163</v>
      </c>
      <c r="B2043" t="str">
        <f>"1552374787152104"</f>
        <v>1552374787152104</v>
      </c>
      <c r="C2043" t="s">
        <v>40</v>
      </c>
      <c r="D2043">
        <v>4.462618</v>
      </c>
      <c r="E2043">
        <v>0.49883490000000003</v>
      </c>
      <c r="F2043" t="s">
        <v>55</v>
      </c>
      <c r="G2043">
        <v>-439.2876</v>
      </c>
      <c r="H2043" s="1">
        <v>6.51563999999999E-6</v>
      </c>
      <c r="I2043">
        <v>282.55739999999997</v>
      </c>
      <c r="J2043">
        <v>-426.91789999999997</v>
      </c>
      <c r="K2043">
        <v>1.1115710000000001</v>
      </c>
      <c r="L2043">
        <v>283.70119999999997</v>
      </c>
      <c r="M2043">
        <v>-0.99970539999999997</v>
      </c>
      <c r="N2043">
        <v>0</v>
      </c>
      <c r="O2043">
        <v>1.924147E-2</v>
      </c>
      <c r="P2043">
        <v>-0.99465890000000001</v>
      </c>
      <c r="Q2043">
        <v>6.1402970000000001E-2</v>
      </c>
      <c r="R2043">
        <v>-8.2967150000000003E-2</v>
      </c>
      <c r="S2043">
        <v>-3.010345</v>
      </c>
      <c r="T2043">
        <v>-0.26077679999999998</v>
      </c>
      <c r="U2043">
        <v>-0.26635740000000002</v>
      </c>
      <c r="V2043">
        <v>-0.1024202</v>
      </c>
      <c r="W2043">
        <v>7.5653020000000001E-2</v>
      </c>
      <c r="X2043">
        <v>0.99186019999999997</v>
      </c>
      <c r="Y2043">
        <v>-0.1068201</v>
      </c>
      <c r="Z2043">
        <v>-6.2700869999999997E-3</v>
      </c>
      <c r="AA2043">
        <v>0.99425859999999999</v>
      </c>
      <c r="AB2043">
        <v>47</v>
      </c>
      <c r="AC2043">
        <v>-12.3697</v>
      </c>
      <c r="AD2043">
        <v>-1.1115644843600001</v>
      </c>
      <c r="AE2043">
        <v>-1.1437999999999899</v>
      </c>
      <c r="AF2043">
        <v>-1.3706510721043399</v>
      </c>
      <c r="AG2043">
        <v>-1.1115644843600001</v>
      </c>
      <c r="AH2043">
        <v>12.2473379110259</v>
      </c>
      <c r="AI2043">
        <v>95.153937761155703</v>
      </c>
      <c r="AJ2043">
        <v>96.385640412985794</v>
      </c>
      <c r="AK2043">
        <v>12.3738250299252</v>
      </c>
      <c r="AL2043">
        <v>85.661255656802098</v>
      </c>
      <c r="AM2043">
        <v>95.895508625269102</v>
      </c>
      <c r="AN2043">
        <v>0.99999996657359902</v>
      </c>
    </row>
    <row r="2044" spans="1:40" x14ac:dyDescent="0.25">
      <c r="A2044" t="str">
        <f>"20190312151307187"</f>
        <v>20190312151307187</v>
      </c>
      <c r="B2044" t="str">
        <f>"1552374787182360"</f>
        <v>1552374787182360</v>
      </c>
      <c r="C2044" t="s">
        <v>40</v>
      </c>
      <c r="D2044">
        <v>4.4752239999999999</v>
      </c>
      <c r="E2044">
        <v>0.49916129999999997</v>
      </c>
      <c r="F2044" t="s">
        <v>55</v>
      </c>
      <c r="G2044">
        <v>-439.58409999999998</v>
      </c>
      <c r="H2044" s="1">
        <v>6.6470570000000001E-6</v>
      </c>
      <c r="I2044">
        <v>282.55810000000002</v>
      </c>
      <c r="J2044">
        <v>-427.4006</v>
      </c>
      <c r="K2044">
        <v>1.111632</v>
      </c>
      <c r="L2044">
        <v>283.70929999999998</v>
      </c>
      <c r="M2044">
        <v>-0.9997357</v>
      </c>
      <c r="N2044">
        <v>0</v>
      </c>
      <c r="O2044">
        <v>1.7601559999999999E-2</v>
      </c>
      <c r="P2044">
        <v>-0.99454390000000004</v>
      </c>
      <c r="Q2044">
        <v>6.0638200000000003E-2</v>
      </c>
      <c r="R2044">
        <v>-8.4885710000000003E-2</v>
      </c>
      <c r="S2044">
        <v>-3.0097659999999999</v>
      </c>
      <c r="T2044">
        <v>-0.26413199999999998</v>
      </c>
      <c r="U2044">
        <v>-0.27160640000000003</v>
      </c>
      <c r="V2044">
        <v>-0.10271619999999999</v>
      </c>
      <c r="W2044">
        <v>7.4868489999999996E-2</v>
      </c>
      <c r="X2044">
        <v>0.99188920000000003</v>
      </c>
      <c r="Y2044">
        <v>-0.106919899999999</v>
      </c>
      <c r="Z2044">
        <v>-6.2121440000000002E-3</v>
      </c>
      <c r="AA2044">
        <v>0.99424820000000003</v>
      </c>
      <c r="AB2044">
        <v>47</v>
      </c>
      <c r="AC2044">
        <v>-12.183499999999899</v>
      </c>
      <c r="AD2044">
        <v>-1.111625352943</v>
      </c>
      <c r="AE2044">
        <v>-1.15119999999996</v>
      </c>
      <c r="AF2044">
        <v>-1.3543190396370699</v>
      </c>
      <c r="AG2044">
        <v>-1.111625352943</v>
      </c>
      <c r="AH2044">
        <v>12.0618235219317</v>
      </c>
      <c r="AI2044">
        <v>95.232843466969598</v>
      </c>
      <c r="AJ2044">
        <v>96.406420961560997</v>
      </c>
      <c r="AK2044">
        <v>12.1884157157792</v>
      </c>
      <c r="AL2044">
        <v>85.706334109113598</v>
      </c>
      <c r="AM2044">
        <v>95.912254805562696</v>
      </c>
      <c r="AN2044">
        <v>1.0000000468069701</v>
      </c>
    </row>
    <row r="2045" spans="1:40" x14ac:dyDescent="0.25">
      <c r="A2045" t="str">
        <f>"20190312151307209"</f>
        <v>20190312151307209</v>
      </c>
      <c r="B2045" t="str">
        <f>"1552374787201880"</f>
        <v>1552374787201880</v>
      </c>
      <c r="C2045" t="s">
        <v>40</v>
      </c>
      <c r="D2045">
        <v>4.4594110000000002</v>
      </c>
      <c r="E2045">
        <v>0.49948239999999999</v>
      </c>
      <c r="F2045" t="s">
        <v>55</v>
      </c>
      <c r="G2045">
        <v>-439.90809999999999</v>
      </c>
      <c r="H2045" s="1">
        <v>6.7899760000000004E-6</v>
      </c>
      <c r="I2045">
        <v>282.56720000000001</v>
      </c>
      <c r="J2045">
        <v>-427.8775</v>
      </c>
      <c r="K2045">
        <v>1.1116740000000001</v>
      </c>
      <c r="L2045">
        <v>283.71640000000002</v>
      </c>
      <c r="M2045">
        <v>-0.99976350000000003</v>
      </c>
      <c r="N2045">
        <v>0</v>
      </c>
      <c r="O2045">
        <v>1.5939499999999999E-2</v>
      </c>
      <c r="P2045">
        <v>-0.99441089999999999</v>
      </c>
      <c r="Q2045">
        <v>6.0217880000000001E-2</v>
      </c>
      <c r="R2045">
        <v>-8.6723339999999996E-2</v>
      </c>
      <c r="S2045">
        <v>-3.0093079999999999</v>
      </c>
      <c r="T2045">
        <v>-0.26745720000000001</v>
      </c>
      <c r="U2045">
        <v>-0.27478029999999998</v>
      </c>
      <c r="V2045">
        <v>-0.10290879999999999</v>
      </c>
      <c r="W2045">
        <v>7.4431960000000005E-2</v>
      </c>
      <c r="X2045">
        <v>0.99190210000000001</v>
      </c>
      <c r="Y2045">
        <v>-0.10631740000000001</v>
      </c>
      <c r="Z2045">
        <v>-6.116855E-3</v>
      </c>
      <c r="AA2045">
        <v>0.99431340000000001</v>
      </c>
      <c r="AB2045">
        <v>47</v>
      </c>
      <c r="AC2045">
        <v>-12.0305999999999</v>
      </c>
      <c r="AD2045">
        <v>-1.1116672100239999</v>
      </c>
      <c r="AE2045">
        <v>-1.1492</v>
      </c>
      <c r="AF2045">
        <v>-1.32958685505509</v>
      </c>
      <c r="AG2045">
        <v>-1.1116672100239999</v>
      </c>
      <c r="AH2045">
        <v>11.9099792889753</v>
      </c>
      <c r="AI2045">
        <v>95.299755523510996</v>
      </c>
      <c r="AJ2045">
        <v>96.369918135542093</v>
      </c>
      <c r="AK2045">
        <v>12.035414901647499</v>
      </c>
      <c r="AL2045">
        <v>85.731415460256798</v>
      </c>
      <c r="AM2045">
        <v>95.923185461769094</v>
      </c>
      <c r="AN2045">
        <v>1.00000005688564</v>
      </c>
    </row>
    <row r="2046" spans="1:40" x14ac:dyDescent="0.25">
      <c r="A2046" t="str">
        <f>"20190312151307232"</f>
        <v>20190312151307232</v>
      </c>
      <c r="B2046" t="str">
        <f>"1552374787222376"</f>
        <v>1552374787222376</v>
      </c>
      <c r="C2046" t="s">
        <v>40</v>
      </c>
      <c r="D2046">
        <v>4.431514</v>
      </c>
      <c r="E2046">
        <v>0.49968030000000002</v>
      </c>
      <c r="F2046" t="s">
        <v>54</v>
      </c>
      <c r="G2046">
        <v>-440.32350000000002</v>
      </c>
      <c r="H2046" s="1">
        <v>-1.2751019999999999E-6</v>
      </c>
      <c r="I2046">
        <v>282.5684</v>
      </c>
      <c r="J2046">
        <v>-428.34989999999999</v>
      </c>
      <c r="K2046">
        <v>1.1117250000000001</v>
      </c>
      <c r="L2046">
        <v>283.72269999999997</v>
      </c>
      <c r="M2046">
        <v>-0.99978869999999997</v>
      </c>
      <c r="N2046">
        <v>0</v>
      </c>
      <c r="O2046">
        <v>1.4263369999999999E-2</v>
      </c>
      <c r="P2046">
        <v>-0.99431729999999996</v>
      </c>
      <c r="Q2046">
        <v>5.9753149999999998E-2</v>
      </c>
      <c r="R2046">
        <v>-8.8105630000000004E-2</v>
      </c>
      <c r="S2046">
        <v>-3.0089419999999998</v>
      </c>
      <c r="T2046">
        <v>-0.26875710000000003</v>
      </c>
      <c r="U2046">
        <v>-0.27755740000000001</v>
      </c>
      <c r="V2046">
        <v>-0.102631</v>
      </c>
      <c r="W2046">
        <v>7.3955969999999996E-2</v>
      </c>
      <c r="X2046">
        <v>0.99196640000000003</v>
      </c>
      <c r="Y2046">
        <v>-0.1055763</v>
      </c>
      <c r="Z2046">
        <v>-5.9648369999999997E-3</v>
      </c>
      <c r="AA2046">
        <v>0.99439330000000004</v>
      </c>
      <c r="AB2046">
        <v>47</v>
      </c>
      <c r="AC2046">
        <v>-11.973599999999999</v>
      </c>
      <c r="AD2046">
        <v>-1.1117262751019901</v>
      </c>
      <c r="AE2046">
        <v>-1.1542999999999699</v>
      </c>
      <c r="AF2046">
        <v>-1.3137637787702701</v>
      </c>
      <c r="AG2046">
        <v>-1.1117262751019901</v>
      </c>
      <c r="AH2046">
        <v>11.854660371687199</v>
      </c>
      <c r="AI2046">
        <v>95.3250992931832</v>
      </c>
      <c r="AJ2046">
        <v>96.323859936678701</v>
      </c>
      <c r="AK2046">
        <v>11.978934973745</v>
      </c>
      <c r="AL2046">
        <v>85.758762696069397</v>
      </c>
      <c r="AM2046">
        <v>95.906928969893599</v>
      </c>
      <c r="AN2046">
        <v>0.99999997319430001</v>
      </c>
    </row>
    <row r="2047" spans="1:40" x14ac:dyDescent="0.25">
      <c r="A2047" t="str">
        <f>"20190312151307253"</f>
        <v>20190312151307253</v>
      </c>
      <c r="B2047" t="str">
        <f>"1552374787241896"</f>
        <v>1552374787241896</v>
      </c>
      <c r="C2047" t="s">
        <v>40</v>
      </c>
      <c r="D2047">
        <v>4.4086999999999996</v>
      </c>
      <c r="E2047">
        <v>0.50459909999999997</v>
      </c>
      <c r="F2047" t="s">
        <v>54</v>
      </c>
      <c r="G2047">
        <v>-440.71440000000001</v>
      </c>
      <c r="H2047" s="1">
        <v>-1.0671980000000001E-6</v>
      </c>
      <c r="I2047">
        <v>282.57040000000001</v>
      </c>
      <c r="J2047">
        <v>-428.8125</v>
      </c>
      <c r="K2047">
        <v>1.1117629999999901</v>
      </c>
      <c r="L2047">
        <v>283.72809999999998</v>
      </c>
      <c r="M2047">
        <v>-0.99981120000000001</v>
      </c>
      <c r="N2047">
        <v>0</v>
      </c>
      <c r="O2047">
        <v>1.2603400000000001E-2</v>
      </c>
      <c r="P2047">
        <v>-0.99420399999999998</v>
      </c>
      <c r="Q2047">
        <v>6.0333020000000001E-2</v>
      </c>
      <c r="R2047">
        <v>-8.8986839999999998E-2</v>
      </c>
      <c r="S2047">
        <v>-3.0085449999999998</v>
      </c>
      <c r="T2047">
        <v>-0.27050780000000002</v>
      </c>
      <c r="U2047">
        <v>-0.28039550000000002</v>
      </c>
      <c r="V2047">
        <v>-0.1018712</v>
      </c>
      <c r="W2047">
        <v>7.4528499999999998E-2</v>
      </c>
      <c r="X2047">
        <v>0.99200189999999999</v>
      </c>
      <c r="Y2047">
        <v>-0.10487059999999999</v>
      </c>
      <c r="Z2047">
        <v>-5.8237879999999999E-3</v>
      </c>
      <c r="AA2047">
        <v>0.99446880000000004</v>
      </c>
      <c r="AB2047">
        <v>47</v>
      </c>
      <c r="AC2047">
        <v>-11.901899999999999</v>
      </c>
      <c r="AD2047">
        <v>-1.11176406719799</v>
      </c>
      <c r="AE2047">
        <v>-1.15769999999997</v>
      </c>
      <c r="AF2047">
        <v>-1.2964228681893399</v>
      </c>
      <c r="AG2047">
        <v>-1.11176406719799</v>
      </c>
      <c r="AH2047">
        <v>11.7844994844687</v>
      </c>
      <c r="AI2047">
        <v>95.357271859814801</v>
      </c>
      <c r="AJ2047">
        <v>96.277913018950898</v>
      </c>
      <c r="AK2047">
        <v>11.9076093189909</v>
      </c>
      <c r="AL2047">
        <v>85.725868494085404</v>
      </c>
      <c r="AM2047">
        <v>95.863296105337398</v>
      </c>
      <c r="AN2047">
        <v>1.00000000415265</v>
      </c>
    </row>
    <row r="2048" spans="1:40" x14ac:dyDescent="0.25">
      <c r="A2048" t="str">
        <f>"20190312151307276"</f>
        <v>20190312151307276</v>
      </c>
      <c r="B2048" t="str">
        <f>"1552374787272152"</f>
        <v>1552374787272152</v>
      </c>
      <c r="C2048" t="s">
        <v>40</v>
      </c>
      <c r="D2048">
        <v>4.3834210000000002</v>
      </c>
      <c r="E2048">
        <v>0.50521139999999998</v>
      </c>
      <c r="F2048" t="s">
        <v>54</v>
      </c>
      <c r="G2048">
        <v>-450.74040000000002</v>
      </c>
      <c r="H2048" s="1">
        <v>-1.0272159999999999E-6</v>
      </c>
      <c r="I2048">
        <v>281.97210000000001</v>
      </c>
      <c r="J2048">
        <v>-429.2783</v>
      </c>
      <c r="K2048">
        <v>1.1117919999999999</v>
      </c>
      <c r="L2048">
        <v>283.7328</v>
      </c>
      <c r="M2048">
        <v>-0.99983109999999997</v>
      </c>
      <c r="N2048">
        <v>0</v>
      </c>
      <c r="O2048">
        <v>1.0918880000000001E-2</v>
      </c>
      <c r="P2048">
        <v>-0.99403140000000001</v>
      </c>
      <c r="Q2048">
        <v>6.090396E-2</v>
      </c>
      <c r="R2048">
        <v>-9.0513070000000001E-2</v>
      </c>
      <c r="S2048">
        <v>-3.005188</v>
      </c>
      <c r="T2048">
        <v>-0.15236569999999999</v>
      </c>
      <c r="U2048">
        <v>-0.2406616</v>
      </c>
      <c r="V2048">
        <v>-0.10173020000000001</v>
      </c>
      <c r="W2048">
        <v>7.5090069999999995E-2</v>
      </c>
      <c r="X2048">
        <v>0.99197400000000002</v>
      </c>
      <c r="Y2048">
        <v>-9.0577389999999994E-2</v>
      </c>
      <c r="Z2048">
        <v>-2.8435140000000001E-3</v>
      </c>
      <c r="AA2048">
        <v>0.99588540000000003</v>
      </c>
      <c r="AB2048">
        <v>47</v>
      </c>
      <c r="AC2048">
        <v>-21.4621</v>
      </c>
      <c r="AD2048">
        <v>-1.1117930272159999</v>
      </c>
      <c r="AE2048">
        <v>-1.7606999999999799</v>
      </c>
      <c r="AF2048">
        <v>-1.9896591439959199</v>
      </c>
      <c r="AG2048">
        <v>-1.1117930272159999</v>
      </c>
      <c r="AH2048">
        <v>21.3845911701742</v>
      </c>
      <c r="AI2048">
        <v>92.963373775205497</v>
      </c>
      <c r="AJ2048">
        <v>95.315594512171799</v>
      </c>
      <c r="AK2048">
        <v>21.505710096626601</v>
      </c>
      <c r="AL2048">
        <v>85.693602403955495</v>
      </c>
      <c r="AM2048">
        <v>95.855400674186399</v>
      </c>
      <c r="AN2048">
        <v>0.99999998444032201</v>
      </c>
    </row>
    <row r="2049" spans="1:40" x14ac:dyDescent="0.25">
      <c r="A2049" t="str">
        <f>"20190312151307298"</f>
        <v>20190312151307298</v>
      </c>
      <c r="B2049" t="str">
        <f>"1552374787291672"</f>
        <v>1552374787291672</v>
      </c>
      <c r="C2049" t="s">
        <v>40</v>
      </c>
      <c r="D2049">
        <v>4.2989119999999996</v>
      </c>
      <c r="E2049">
        <v>0.50384580000000001</v>
      </c>
      <c r="F2049" t="s">
        <v>54</v>
      </c>
      <c r="G2049">
        <v>-451.83800000000002</v>
      </c>
      <c r="H2049" s="1">
        <v>-4.4117160000000001E-7</v>
      </c>
      <c r="I2049">
        <v>281.92689999999999</v>
      </c>
      <c r="J2049">
        <v>-429.75529999999998</v>
      </c>
      <c r="K2049">
        <v>1.1118239999999999</v>
      </c>
      <c r="L2049">
        <v>283.73689999999999</v>
      </c>
      <c r="M2049">
        <v>-0.99984850000000003</v>
      </c>
      <c r="N2049">
        <v>0</v>
      </c>
      <c r="O2049">
        <v>9.1872220000000001E-3</v>
      </c>
      <c r="P2049">
        <v>-0.99386439999999998</v>
      </c>
      <c r="Q2049">
        <v>6.089642E-2</v>
      </c>
      <c r="R2049">
        <v>-9.2333479999999996E-2</v>
      </c>
      <c r="S2049">
        <v>-3.0052189999999999</v>
      </c>
      <c r="T2049">
        <v>-0.1481044</v>
      </c>
      <c r="U2049">
        <v>-0.24057010000000001</v>
      </c>
      <c r="V2049">
        <v>-0.10183440000000001</v>
      </c>
      <c r="W2049">
        <v>7.5071990000000005E-2</v>
      </c>
      <c r="X2049">
        <v>0.99196470000000003</v>
      </c>
      <c r="Y2049">
        <v>-8.883286E-2</v>
      </c>
      <c r="Z2049">
        <v>-2.6359930000000001E-3</v>
      </c>
      <c r="AA2049">
        <v>0.99604309999999996</v>
      </c>
      <c r="AB2049">
        <v>47</v>
      </c>
      <c r="AC2049">
        <v>-22.082699999999999</v>
      </c>
      <c r="AD2049">
        <v>-1.1118244411715901</v>
      </c>
      <c r="AE2049">
        <v>-1.81</v>
      </c>
      <c r="AF2049">
        <v>-2.00776882418304</v>
      </c>
      <c r="AG2049">
        <v>-1.1118244411715901</v>
      </c>
      <c r="AH2049">
        <v>22.009716109248199</v>
      </c>
      <c r="AI2049">
        <v>92.879910219125506</v>
      </c>
      <c r="AJ2049">
        <v>95.212205952620494</v>
      </c>
      <c r="AK2049">
        <v>22.129050870949001</v>
      </c>
      <c r="AL2049">
        <v>85.694641342790007</v>
      </c>
      <c r="AM2049">
        <v>95.861411066045093</v>
      </c>
      <c r="AN2049">
        <v>1.000000007376</v>
      </c>
    </row>
    <row r="2050" spans="1:40" x14ac:dyDescent="0.25">
      <c r="A2050" t="str">
        <f>"20190312151307320"</f>
        <v>20190312151307320</v>
      </c>
      <c r="B2050" t="str">
        <f>"1552374787312169"</f>
        <v>1552374787312169</v>
      </c>
      <c r="C2050" t="s">
        <v>40</v>
      </c>
      <c r="D2050">
        <v>4.2509410000000001</v>
      </c>
      <c r="E2050">
        <v>0.50438340000000004</v>
      </c>
      <c r="F2050" t="s">
        <v>54</v>
      </c>
      <c r="G2050">
        <v>-443.28919999999999</v>
      </c>
      <c r="H2050" s="1">
        <v>3.031468E-7</v>
      </c>
      <c r="I2050">
        <v>282.56659999999999</v>
      </c>
      <c r="J2050">
        <v>-430.22140000000002</v>
      </c>
      <c r="K2050">
        <v>1.1118440000000001</v>
      </c>
      <c r="L2050">
        <v>283.74</v>
      </c>
      <c r="M2050">
        <v>-0.99986269999999999</v>
      </c>
      <c r="N2050">
        <v>0</v>
      </c>
      <c r="O2050">
        <v>7.490877E-3</v>
      </c>
      <c r="P2050">
        <v>-0.99361710000000003</v>
      </c>
      <c r="Q2050">
        <v>6.0913910000000002E-2</v>
      </c>
      <c r="R2050">
        <v>-9.4945589999999996E-2</v>
      </c>
      <c r="S2050">
        <v>-3.0094599999999998</v>
      </c>
      <c r="T2050">
        <v>-0.24723010000000001</v>
      </c>
      <c r="U2050">
        <v>-0.26022339999999999</v>
      </c>
      <c r="V2050">
        <v>-0.1027643</v>
      </c>
      <c r="W2050">
        <v>7.5075329999999996E-2</v>
      </c>
      <c r="X2050">
        <v>0.99186859999999999</v>
      </c>
      <c r="Y2050">
        <v>-9.327146E-2</v>
      </c>
      <c r="Z2050">
        <v>-4.4309629999999996E-3</v>
      </c>
      <c r="AA2050">
        <v>0.99563089999999999</v>
      </c>
      <c r="AB2050">
        <v>47</v>
      </c>
      <c r="AC2050">
        <v>-13.067799999999901</v>
      </c>
      <c r="AD2050">
        <v>-1.1118436968531999</v>
      </c>
      <c r="AE2050">
        <v>-1.17340000000001</v>
      </c>
      <c r="AF2050">
        <v>-1.2622029597446101</v>
      </c>
      <c r="AG2050">
        <v>-1.1118436968531999</v>
      </c>
      <c r="AH2050">
        <v>12.965534872846799</v>
      </c>
      <c r="AI2050">
        <v>94.878389108548205</v>
      </c>
      <c r="AJ2050">
        <v>95.560259151705296</v>
      </c>
      <c r="AK2050">
        <v>13.074190118582001</v>
      </c>
      <c r="AL2050">
        <v>85.694449673682001</v>
      </c>
      <c r="AM2050">
        <v>95.915125751696607</v>
      </c>
      <c r="AN2050">
        <v>1.0000000630975201</v>
      </c>
    </row>
    <row r="2051" spans="1:40" x14ac:dyDescent="0.25">
      <c r="A2051" t="str">
        <f>"20190312151307343"</f>
        <v>20190312151307343</v>
      </c>
      <c r="B2051" t="str">
        <f>"1552374787331688"</f>
        <v>1552374787331688</v>
      </c>
      <c r="C2051" t="s">
        <v>40</v>
      </c>
      <c r="D2051">
        <v>4.2521969999999998</v>
      </c>
      <c r="E2051">
        <v>0.50511359999999905</v>
      </c>
      <c r="F2051" t="s">
        <v>54</v>
      </c>
      <c r="G2051">
        <v>-443.65379999999999</v>
      </c>
      <c r="H2051" s="1">
        <v>4.9741189999999996E-7</v>
      </c>
      <c r="I2051">
        <v>282.56169999999997</v>
      </c>
      <c r="J2051">
        <v>-430.68779999999998</v>
      </c>
      <c r="K2051">
        <v>1.111866</v>
      </c>
      <c r="L2051">
        <v>283.7423</v>
      </c>
      <c r="M2051">
        <v>-0.99987409999999999</v>
      </c>
      <c r="N2051">
        <v>0</v>
      </c>
      <c r="O2051">
        <v>5.7941549999999996E-3</v>
      </c>
      <c r="P2051">
        <v>-0.99336369999999896</v>
      </c>
      <c r="Q2051">
        <v>6.0681069999999997E-2</v>
      </c>
      <c r="R2051">
        <v>-9.7707760000000005E-2</v>
      </c>
      <c r="S2051">
        <v>-3.009277</v>
      </c>
      <c r="T2051">
        <v>-0.2490877</v>
      </c>
      <c r="U2051">
        <v>-0.26397710000000002</v>
      </c>
      <c r="V2051">
        <v>-0.10384259999999999</v>
      </c>
      <c r="W2051">
        <v>7.4827589999999999E-2</v>
      </c>
      <c r="X2051">
        <v>0.99177490000000001</v>
      </c>
      <c r="Y2051">
        <v>-9.2821940000000006E-2</v>
      </c>
      <c r="Z2051">
        <v>-4.305667E-3</v>
      </c>
      <c r="AA2051">
        <v>0.99567340000000004</v>
      </c>
      <c r="AB2051">
        <v>47</v>
      </c>
      <c r="AC2051">
        <v>-12.965999999999999</v>
      </c>
      <c r="AD2051">
        <v>-1.1118655025880999</v>
      </c>
      <c r="AE2051">
        <v>-1.1806000000000201</v>
      </c>
      <c r="AF2051">
        <v>-1.2466237525608701</v>
      </c>
      <c r="AG2051">
        <v>-1.1118655025880999</v>
      </c>
      <c r="AH2051">
        <v>12.8651155837593</v>
      </c>
      <c r="AI2051">
        <v>94.916589991833803</v>
      </c>
      <c r="AJ2051">
        <v>95.534655122909598</v>
      </c>
      <c r="AK2051">
        <v>12.9731073633028</v>
      </c>
      <c r="AL2051">
        <v>85.708683695060003</v>
      </c>
      <c r="AM2051">
        <v>95.977306444091099</v>
      </c>
      <c r="AN2051">
        <v>0.99999995303498801</v>
      </c>
    </row>
    <row r="2052" spans="1:40" x14ac:dyDescent="0.25">
      <c r="A2052" t="str">
        <f>"20190312151307365"</f>
        <v>20190312151307365</v>
      </c>
      <c r="B2052" t="str">
        <f>"1552374787361944"</f>
        <v>1552374787361944</v>
      </c>
      <c r="C2052" t="s">
        <v>40</v>
      </c>
      <c r="D2052">
        <v>4.2035809999999998</v>
      </c>
      <c r="E2052">
        <v>0.49819790000000003</v>
      </c>
      <c r="F2052" t="s">
        <v>54</v>
      </c>
      <c r="G2052">
        <v>-455.57249999999999</v>
      </c>
      <c r="H2052" s="1">
        <v>1.5619239999999901E-6</v>
      </c>
      <c r="I2052">
        <v>281.56630000000001</v>
      </c>
      <c r="J2052">
        <v>-431.16050000000001</v>
      </c>
      <c r="K2052">
        <v>1.1118779999999999</v>
      </c>
      <c r="L2052">
        <v>283.7439</v>
      </c>
      <c r="M2052">
        <v>-0.99988239999999995</v>
      </c>
      <c r="N2052">
        <v>0</v>
      </c>
      <c r="O2052">
        <v>4.0807170000000002E-3</v>
      </c>
      <c r="P2052">
        <v>-0.99312029999999996</v>
      </c>
      <c r="Q2052">
        <v>6.0737779999999998E-2</v>
      </c>
      <c r="R2052">
        <v>-0.100115</v>
      </c>
      <c r="S2052">
        <v>-3.00238</v>
      </c>
      <c r="T2052">
        <v>-0.1341484</v>
      </c>
      <c r="U2052">
        <v>-0.26254270000000002</v>
      </c>
      <c r="V2052">
        <v>-0.1045497</v>
      </c>
      <c r="W2052">
        <v>7.4873239999999994E-2</v>
      </c>
      <c r="X2052">
        <v>0.99169719999999995</v>
      </c>
      <c r="Y2052">
        <v>-9.1083120000000004E-2</v>
      </c>
      <c r="Z2052">
        <v>-2.2118649999999999E-3</v>
      </c>
      <c r="AA2052">
        <v>0.99584079999999997</v>
      </c>
      <c r="AB2052">
        <v>47</v>
      </c>
      <c r="AC2052">
        <v>-24.4119999999999</v>
      </c>
      <c r="AD2052">
        <v>-1.111876438076</v>
      </c>
      <c r="AE2052">
        <v>-2.17759999999998</v>
      </c>
      <c r="AF2052">
        <v>-2.2725341358053002</v>
      </c>
      <c r="AG2052">
        <v>-1.111876438076</v>
      </c>
      <c r="AH2052">
        <v>24.352789328976002</v>
      </c>
      <c r="AI2052">
        <v>92.602847924738597</v>
      </c>
      <c r="AJ2052">
        <v>95.331242545811193</v>
      </c>
      <c r="AK2052">
        <v>24.483852407524399</v>
      </c>
      <c r="AL2052">
        <v>85.706060940165301</v>
      </c>
      <c r="AM2052">
        <v>96.018178348495596</v>
      </c>
      <c r="AN2052">
        <v>0.99999998916301303</v>
      </c>
    </row>
    <row r="2053" spans="1:40" x14ac:dyDescent="0.25">
      <c r="A2053" t="str">
        <f>"20190312151307389"</f>
        <v>20190312151307389</v>
      </c>
      <c r="B2053" t="str">
        <f>"1552374787382440"</f>
        <v>1552374787382440</v>
      </c>
      <c r="C2053" t="s">
        <v>40</v>
      </c>
      <c r="D2053">
        <v>4.3220789999999996</v>
      </c>
      <c r="E2053">
        <v>0.49452699999999999</v>
      </c>
      <c r="F2053" t="s">
        <v>54</v>
      </c>
      <c r="G2053">
        <v>-450.7516</v>
      </c>
      <c r="H2053" s="1">
        <v>-1.0054839999999999E-6</v>
      </c>
      <c r="I2053">
        <v>281.61200000000002</v>
      </c>
      <c r="J2053">
        <v>-431.65</v>
      </c>
      <c r="K2053">
        <v>1.111882</v>
      </c>
      <c r="L2053">
        <v>283.74459999999999</v>
      </c>
      <c r="M2053">
        <v>-0.99988809999999995</v>
      </c>
      <c r="N2053">
        <v>0</v>
      </c>
      <c r="O2053">
        <v>2.3207119999999999E-3</v>
      </c>
      <c r="P2053">
        <v>-0.99292460000000005</v>
      </c>
      <c r="Q2053">
        <v>6.0272600000000003E-2</v>
      </c>
      <c r="R2053">
        <v>-0.1023124</v>
      </c>
      <c r="S2053">
        <v>-2.998291</v>
      </c>
      <c r="T2053">
        <v>-0.17016579999999901</v>
      </c>
      <c r="U2053">
        <v>-0.32626339999999998</v>
      </c>
      <c r="V2053">
        <v>-0.10499790000000001</v>
      </c>
      <c r="W2053">
        <v>7.4401049999999996E-2</v>
      </c>
      <c r="X2053">
        <v>0.99168540000000005</v>
      </c>
      <c r="Y2053">
        <v>-0.1103058</v>
      </c>
      <c r="Z2053">
        <v>-3.2496999999999999E-3</v>
      </c>
      <c r="AA2053">
        <v>0.99389240000000001</v>
      </c>
      <c r="AB2053">
        <v>47</v>
      </c>
      <c r="AC2053">
        <v>-19.101600000000001</v>
      </c>
      <c r="AD2053">
        <v>-1.1118830054840001</v>
      </c>
      <c r="AE2053">
        <v>-2.1325999999999601</v>
      </c>
      <c r="AF2053">
        <v>-2.1696674838565899</v>
      </c>
      <c r="AG2053">
        <v>-1.1118830054840001</v>
      </c>
      <c r="AH2053">
        <v>19.032904072728101</v>
      </c>
      <c r="AI2053">
        <v>93.321895860966805</v>
      </c>
      <c r="AJ2053">
        <v>96.503393688089005</v>
      </c>
      <c r="AK2053">
        <v>19.188412603705899</v>
      </c>
      <c r="AL2053">
        <v>85.7331911704741</v>
      </c>
      <c r="AM2053">
        <v>96.043858847181497</v>
      </c>
      <c r="AN2053">
        <v>1.00000000390933</v>
      </c>
    </row>
    <row r="2054" spans="1:40" x14ac:dyDescent="0.25">
      <c r="A2054" t="str">
        <f>"20190312151307410"</f>
        <v>20190312151307410</v>
      </c>
      <c r="B2054" t="str">
        <f>"1552374787401960"</f>
        <v>1552374787401960</v>
      </c>
      <c r="C2054" t="s">
        <v>40</v>
      </c>
      <c r="D2054">
        <v>4.3041019999999897</v>
      </c>
      <c r="E2054">
        <v>0.49211359999999899</v>
      </c>
      <c r="F2054" t="s">
        <v>54</v>
      </c>
      <c r="G2054">
        <v>-449.00650000000002</v>
      </c>
      <c r="H2054" s="1">
        <v>3.3860120000000002E-6</v>
      </c>
      <c r="I2054">
        <v>281.642</v>
      </c>
      <c r="J2054">
        <v>-432.10250000000002</v>
      </c>
      <c r="K2054">
        <v>1.111872</v>
      </c>
      <c r="L2054">
        <v>283.74450000000002</v>
      </c>
      <c r="M2054">
        <v>-0.99989070000000002</v>
      </c>
      <c r="N2054">
        <v>0</v>
      </c>
      <c r="O2054">
        <v>7.0931559999999995E-4</v>
      </c>
      <c r="P2054">
        <v>-0.99280290000000004</v>
      </c>
      <c r="Q2054">
        <v>5.9384739999999998E-2</v>
      </c>
      <c r="R2054">
        <v>-0.1040003</v>
      </c>
      <c r="S2054">
        <v>-2.9956049999999999</v>
      </c>
      <c r="T2054">
        <v>-0.1919025</v>
      </c>
      <c r="U2054">
        <v>-0.3628845</v>
      </c>
      <c r="V2054">
        <v>-0.10508099999999999</v>
      </c>
      <c r="W2054">
        <v>7.3511800000000002E-2</v>
      </c>
      <c r="X2054">
        <v>0.99174289999999998</v>
      </c>
      <c r="Y2054">
        <v>-0.120718699999999</v>
      </c>
      <c r="Z2054">
        <v>-3.8939500000000002E-3</v>
      </c>
      <c r="AA2054">
        <v>0.99267910000000004</v>
      </c>
      <c r="AB2054">
        <v>47</v>
      </c>
      <c r="AC2054">
        <v>-16.9039999999999</v>
      </c>
      <c r="AD2054">
        <v>-1.1118686139880001</v>
      </c>
      <c r="AE2054">
        <v>-2.10250000000002</v>
      </c>
      <c r="AF2054">
        <v>-2.10552047407637</v>
      </c>
      <c r="AG2054">
        <v>-1.1118686139880001</v>
      </c>
      <c r="AH2054">
        <v>16.8307965952398</v>
      </c>
      <c r="AI2054">
        <v>93.750408287781397</v>
      </c>
      <c r="AJ2054">
        <v>97.130616885557799</v>
      </c>
      <c r="AK2054">
        <v>16.9983876385927</v>
      </c>
      <c r="AL2054">
        <v>85.784281299099703</v>
      </c>
      <c r="AM2054">
        <v>96.048258688046204</v>
      </c>
      <c r="AN2054">
        <v>0.99999999050032395</v>
      </c>
    </row>
    <row r="2055" spans="1:40" x14ac:dyDescent="0.25">
      <c r="A2055" t="str">
        <f>"20190312151307433"</f>
        <v>20190312151307433</v>
      </c>
      <c r="B2055" t="str">
        <f>"1552374787422456"</f>
        <v>1552374787422456</v>
      </c>
      <c r="C2055" t="s">
        <v>40</v>
      </c>
      <c r="D2055">
        <v>4.2738769999999997</v>
      </c>
      <c r="E2055">
        <v>0.4907977</v>
      </c>
      <c r="F2055" t="s">
        <v>54</v>
      </c>
      <c r="G2055">
        <v>-449.66680000000002</v>
      </c>
      <c r="H2055" s="1">
        <v>3.7447049999999998E-6</v>
      </c>
      <c r="I2055">
        <v>281.47480000000002</v>
      </c>
      <c r="J2055">
        <v>-432.57650000000001</v>
      </c>
      <c r="K2055">
        <v>1.111855</v>
      </c>
      <c r="L2055">
        <v>283.74360000000001</v>
      </c>
      <c r="M2055">
        <v>-0.99989050000000002</v>
      </c>
      <c r="N2055">
        <v>0</v>
      </c>
      <c r="O2055">
        <v>-9.6039849999999996E-4</v>
      </c>
      <c r="P2055">
        <v>-0.9927028</v>
      </c>
      <c r="Q2055">
        <v>5.8360349999999998E-2</v>
      </c>
      <c r="R2055">
        <v>-0.1055229</v>
      </c>
      <c r="S2055">
        <v>-2.9926149999999998</v>
      </c>
      <c r="T2055">
        <v>-0.18944140000000001</v>
      </c>
      <c r="U2055">
        <v>-0.38671879999999997</v>
      </c>
      <c r="V2055">
        <v>-0.104938</v>
      </c>
      <c r="W2055">
        <v>7.2488880000000006E-2</v>
      </c>
      <c r="X2055">
        <v>0.99183330000000003</v>
      </c>
      <c r="Y2055">
        <v>-0.12695809999999999</v>
      </c>
      <c r="Z2055">
        <v>-3.9373330000000003E-3</v>
      </c>
      <c r="AA2055">
        <v>0.99190029999999996</v>
      </c>
      <c r="AB2055">
        <v>47</v>
      </c>
      <c r="AC2055">
        <v>-17.090299999999999</v>
      </c>
      <c r="AD2055">
        <v>-1.111851255295</v>
      </c>
      <c r="AE2055">
        <v>-2.2688000000000001</v>
      </c>
      <c r="AF2055">
        <v>-2.2430544162508501</v>
      </c>
      <c r="AG2055">
        <v>-1.111851255295</v>
      </c>
      <c r="AH2055">
        <v>17.021675233668699</v>
      </c>
      <c r="AI2055">
        <v>93.705293414223604</v>
      </c>
      <c r="AJ2055">
        <v>97.506975815481297</v>
      </c>
      <c r="AK2055">
        <v>17.204793927526499</v>
      </c>
      <c r="AL2055">
        <v>85.843046958952101</v>
      </c>
      <c r="AM2055">
        <v>96.039542320623198</v>
      </c>
      <c r="AN2055">
        <v>0.99999995827827104</v>
      </c>
    </row>
    <row r="2056" spans="1:40" x14ac:dyDescent="0.25">
      <c r="A2056" t="str">
        <f>"20190312151307455"</f>
        <v>20190312151307455</v>
      </c>
      <c r="B2056" t="str">
        <f>"1552374787451736"</f>
        <v>1552374787451736</v>
      </c>
      <c r="C2056" t="s">
        <v>40</v>
      </c>
      <c r="D2056">
        <v>4.3345409999999998</v>
      </c>
      <c r="E2056">
        <v>0.48953180000000002</v>
      </c>
      <c r="F2056" t="s">
        <v>54</v>
      </c>
      <c r="G2056">
        <v>-450.9203</v>
      </c>
      <c r="H2056" s="1">
        <v>-9.0125890000000004E-7</v>
      </c>
      <c r="I2056">
        <v>281.28140000000002</v>
      </c>
      <c r="J2056">
        <v>-433.03489999999999</v>
      </c>
      <c r="K2056">
        <v>1.111834</v>
      </c>
      <c r="L2056">
        <v>283.74200000000002</v>
      </c>
      <c r="M2056">
        <v>-0.99988770000000005</v>
      </c>
      <c r="N2056">
        <v>0</v>
      </c>
      <c r="O2056">
        <v>-2.5530420000000002E-3</v>
      </c>
      <c r="P2056">
        <v>-0.9926817</v>
      </c>
      <c r="Q2056">
        <v>5.7553609999999998E-2</v>
      </c>
      <c r="R2056">
        <v>-0.1061641</v>
      </c>
      <c r="S2056">
        <v>-2.9900509999999998</v>
      </c>
      <c r="T2056">
        <v>-0.18123259999999999</v>
      </c>
      <c r="U2056">
        <v>-0.40133669999999999</v>
      </c>
      <c r="V2056">
        <v>-0.103991</v>
      </c>
      <c r="W2056">
        <v>7.1689870000000003E-2</v>
      </c>
      <c r="X2056">
        <v>0.99199119999999996</v>
      </c>
      <c r="Y2056">
        <v>-0.13026979999999999</v>
      </c>
      <c r="Z2056">
        <v>-3.7728430000000001E-3</v>
      </c>
      <c r="AA2056">
        <v>0.9914714</v>
      </c>
      <c r="AB2056">
        <v>47</v>
      </c>
      <c r="AC2056">
        <v>-17.885400000000001</v>
      </c>
      <c r="AD2056">
        <v>-1.1118349012588999</v>
      </c>
      <c r="AE2056">
        <v>-2.4605999999999901</v>
      </c>
      <c r="AF2056">
        <v>-2.40580051746073</v>
      </c>
      <c r="AG2056">
        <v>-1.1118349012588999</v>
      </c>
      <c r="AH2056">
        <v>17.824024516923298</v>
      </c>
      <c r="AI2056">
        <v>93.537402016599202</v>
      </c>
      <c r="AJ2056">
        <v>97.687049874683794</v>
      </c>
      <c r="AK2056">
        <v>18.019986208578398</v>
      </c>
      <c r="AL2056">
        <v>85.888946675798493</v>
      </c>
      <c r="AM2056">
        <v>95.984490848323006</v>
      </c>
      <c r="AN2056">
        <v>1.0000000532095199</v>
      </c>
    </row>
    <row r="2057" spans="1:40" x14ac:dyDescent="0.25">
      <c r="A2057" t="str">
        <f>"20190312151307477"</f>
        <v>20190312151307477</v>
      </c>
      <c r="B2057" t="str">
        <f>"1552374787472235"</f>
        <v>1552374787472235</v>
      </c>
      <c r="C2057" t="s">
        <v>40</v>
      </c>
      <c r="D2057">
        <v>4.1108039999999999</v>
      </c>
      <c r="E2057">
        <v>0.48901359999999999</v>
      </c>
      <c r="F2057" t="s">
        <v>54</v>
      </c>
      <c r="G2057">
        <v>-451.71120000000002</v>
      </c>
      <c r="H2057" s="1">
        <v>-4.7503640000000001E-7</v>
      </c>
      <c r="I2057">
        <v>281.1585</v>
      </c>
      <c r="J2057">
        <v>-433.50229999999999</v>
      </c>
      <c r="K2057">
        <v>1.1118129999999999</v>
      </c>
      <c r="L2057">
        <v>283.73970000000003</v>
      </c>
      <c r="M2057">
        <v>-0.99988250000000001</v>
      </c>
      <c r="N2057">
        <v>0</v>
      </c>
      <c r="O2057">
        <v>-4.1473179999999997E-3</v>
      </c>
      <c r="P2057">
        <v>-0.99261310000000003</v>
      </c>
      <c r="Q2057">
        <v>5.6553180000000002E-2</v>
      </c>
      <c r="R2057">
        <v>-0.10733860000000001</v>
      </c>
      <c r="S2057">
        <v>-2.9881899999999999</v>
      </c>
      <c r="T2057">
        <v>-0.17789269999999999</v>
      </c>
      <c r="U2057">
        <v>-0.41336060000000002</v>
      </c>
      <c r="V2057">
        <v>-0.1035741</v>
      </c>
      <c r="W2057">
        <v>7.0695339999999995E-2</v>
      </c>
      <c r="X2057">
        <v>0.99210609999999999</v>
      </c>
      <c r="Y2057">
        <v>-0.13269349999999999</v>
      </c>
      <c r="Z2057">
        <v>-3.6820830000000001E-3</v>
      </c>
      <c r="AA2057">
        <v>0.99115030000000004</v>
      </c>
      <c r="AB2057">
        <v>47</v>
      </c>
      <c r="AC2057">
        <v>-18.2089</v>
      </c>
      <c r="AD2057">
        <v>-1.1118134750363999</v>
      </c>
      <c r="AE2057">
        <v>-2.5812000000000199</v>
      </c>
      <c r="AF2057">
        <v>-2.4965273235546901</v>
      </c>
      <c r="AG2057">
        <v>-1.1118134750363999</v>
      </c>
      <c r="AH2057">
        <v>18.153104775811101</v>
      </c>
      <c r="AI2057">
        <v>93.472185346849002</v>
      </c>
      <c r="AJ2057">
        <v>97.830549197405205</v>
      </c>
      <c r="AK2057">
        <v>18.3576684489644</v>
      </c>
      <c r="AL2057">
        <v>85.946073662322604</v>
      </c>
      <c r="AM2057">
        <v>95.959986735899506</v>
      </c>
      <c r="AN2057">
        <v>0.99999996947286696</v>
      </c>
    </row>
    <row r="2058" spans="1:40" x14ac:dyDescent="0.25">
      <c r="A2058" t="str">
        <f>"20190312151307499"</f>
        <v>20190312151307499</v>
      </c>
      <c r="B2058" t="str">
        <f>"1552374787491752"</f>
        <v>1552374787491752</v>
      </c>
      <c r="C2058" t="s">
        <v>40</v>
      </c>
      <c r="D2058">
        <v>4.0651989999999998</v>
      </c>
      <c r="E2058">
        <v>0.4886431</v>
      </c>
      <c r="F2058" t="s">
        <v>54</v>
      </c>
      <c r="G2058">
        <v>-452.41989999999998</v>
      </c>
      <c r="H2058" s="1">
        <v>-9.4174069999999996E-8</v>
      </c>
      <c r="I2058">
        <v>281.07330000000002</v>
      </c>
      <c r="J2058">
        <v>-433.96510000000001</v>
      </c>
      <c r="K2058">
        <v>1.111783</v>
      </c>
      <c r="L2058">
        <v>283.73669999999998</v>
      </c>
      <c r="M2058">
        <v>-0.99987490000000001</v>
      </c>
      <c r="N2058">
        <v>0</v>
      </c>
      <c r="O2058">
        <v>-5.6888640000000001E-3</v>
      </c>
      <c r="P2058">
        <v>-0.9924982</v>
      </c>
      <c r="Q2058">
        <v>5.6089010000000002E-2</v>
      </c>
      <c r="R2058">
        <v>-0.1086343</v>
      </c>
      <c r="S2058">
        <v>-2.9868160000000001</v>
      </c>
      <c r="T2058">
        <v>-0.17553929999999901</v>
      </c>
      <c r="U2058">
        <v>-0.42098999999999998</v>
      </c>
      <c r="V2058">
        <v>-0.1033319</v>
      </c>
      <c r="W2058">
        <v>7.0236809999999997E-2</v>
      </c>
      <c r="X2058">
        <v>0.99216400000000005</v>
      </c>
      <c r="Y2058">
        <v>-0.13371720000000001</v>
      </c>
      <c r="Z2058">
        <v>-3.574308E-3</v>
      </c>
      <c r="AA2058">
        <v>0.99101309999999998</v>
      </c>
      <c r="AB2058">
        <v>47</v>
      </c>
      <c r="AC2058">
        <v>-18.454799999999899</v>
      </c>
      <c r="AD2058">
        <v>-1.1117830941740701</v>
      </c>
      <c r="AE2058">
        <v>-2.6633999999999598</v>
      </c>
      <c r="AF2058">
        <v>-2.54929525621885</v>
      </c>
      <c r="AG2058">
        <v>-1.1117830941740701</v>
      </c>
      <c r="AH2058">
        <v>18.404223272502399</v>
      </c>
      <c r="AI2058">
        <v>93.424370499018195</v>
      </c>
      <c r="AJ2058">
        <v>97.886249474473402</v>
      </c>
      <c r="AK2058">
        <v>18.613178186865099</v>
      </c>
      <c r="AL2058">
        <v>85.972411279661898</v>
      </c>
      <c r="AM2058">
        <v>95.9458052241731</v>
      </c>
      <c r="AN2058">
        <v>1.00000004696629</v>
      </c>
    </row>
    <row r="2059" spans="1:40" x14ac:dyDescent="0.25">
      <c r="A2059" t="str">
        <f>"20190312151307522"</f>
        <v>20190312151307522</v>
      </c>
      <c r="B2059" t="str">
        <f>"1552374787512248"</f>
        <v>1552374787512248</v>
      </c>
      <c r="C2059" t="s">
        <v>40</v>
      </c>
      <c r="D2059">
        <v>4.0542109999999996</v>
      </c>
      <c r="E2059">
        <v>0.48834549999999999</v>
      </c>
      <c r="F2059" t="s">
        <v>54</v>
      </c>
      <c r="G2059">
        <v>-453.14760000000001</v>
      </c>
      <c r="H2059" s="1">
        <v>2.9686109999999999E-7</v>
      </c>
      <c r="I2059">
        <v>280.9873</v>
      </c>
      <c r="J2059">
        <v>-434.44279999999998</v>
      </c>
      <c r="K2059">
        <v>1.1117459999999999</v>
      </c>
      <c r="L2059">
        <v>283.7328</v>
      </c>
      <c r="M2059">
        <v>-0.99986489999999995</v>
      </c>
      <c r="N2059">
        <v>0</v>
      </c>
      <c r="O2059">
        <v>-7.2350779999999998E-3</v>
      </c>
      <c r="P2059">
        <v>-0.99231139999999995</v>
      </c>
      <c r="Q2059">
        <v>5.5945880000000003E-2</v>
      </c>
      <c r="R2059">
        <v>-0.11039889999999999</v>
      </c>
      <c r="S2059">
        <v>-2.9855960000000001</v>
      </c>
      <c r="T2059">
        <v>-0.17303879999999999</v>
      </c>
      <c r="U2059">
        <v>-0.42791750000000001</v>
      </c>
      <c r="V2059">
        <v>-0.1035553</v>
      </c>
      <c r="W2059">
        <v>7.0098859999999999E-2</v>
      </c>
      <c r="X2059">
        <v>0.99215039999999999</v>
      </c>
      <c r="Y2059">
        <v>-0.13450190000000001</v>
      </c>
      <c r="Z2059">
        <v>-3.4578629999999998E-3</v>
      </c>
      <c r="AA2059">
        <v>0.99090730000000005</v>
      </c>
      <c r="AB2059">
        <v>47</v>
      </c>
      <c r="AC2059">
        <v>-18.704799999999999</v>
      </c>
      <c r="AD2059">
        <v>-1.1117457031389</v>
      </c>
      <c r="AE2059">
        <v>-2.7454999999999901</v>
      </c>
      <c r="AF2059">
        <v>-2.6010876685887401</v>
      </c>
      <c r="AG2059">
        <v>-1.1117457031389</v>
      </c>
      <c r="AH2059">
        <v>18.659647988343</v>
      </c>
      <c r="AI2059">
        <v>93.377087549291105</v>
      </c>
      <c r="AJ2059">
        <v>97.935688405417295</v>
      </c>
      <c r="AK2059">
        <v>18.872840237150498</v>
      </c>
      <c r="AL2059">
        <v>85.980334505443807</v>
      </c>
      <c r="AM2059">
        <v>95.958648554269004</v>
      </c>
      <c r="AN2059">
        <v>0.999999983275774</v>
      </c>
    </row>
    <row r="2060" spans="1:40" x14ac:dyDescent="0.25">
      <c r="A2060" t="str">
        <f>"20190312151307544"</f>
        <v>20190312151307544</v>
      </c>
      <c r="B2060" t="str">
        <f>"1552374787531768"</f>
        <v>1552374787531768</v>
      </c>
      <c r="C2060" t="s">
        <v>40</v>
      </c>
      <c r="D2060">
        <v>4.0990510000000002</v>
      </c>
      <c r="E2060">
        <v>0.48809279999999999</v>
      </c>
      <c r="F2060" t="s">
        <v>54</v>
      </c>
      <c r="G2060">
        <v>-454.00740000000002</v>
      </c>
      <c r="H2060" s="1">
        <v>7.5915519999999998E-7</v>
      </c>
      <c r="I2060">
        <v>280.87810000000002</v>
      </c>
      <c r="J2060">
        <v>-434.8963</v>
      </c>
      <c r="K2060">
        <v>1.1117079999999999</v>
      </c>
      <c r="L2060">
        <v>283.72859999999997</v>
      </c>
      <c r="M2060">
        <v>-0.99985369999999996</v>
      </c>
      <c r="N2060">
        <v>0</v>
      </c>
      <c r="O2060">
        <v>-8.6516830000000003E-3</v>
      </c>
      <c r="P2060">
        <v>-0.99216309999999996</v>
      </c>
      <c r="Q2060">
        <v>5.5792269999999998E-2</v>
      </c>
      <c r="R2060">
        <v>-0.1118012</v>
      </c>
      <c r="S2060">
        <v>-2.984375</v>
      </c>
      <c r="T2060">
        <v>-0.16958509999999999</v>
      </c>
      <c r="U2060">
        <v>-0.43545529999999999</v>
      </c>
      <c r="V2060">
        <v>-0.1035431</v>
      </c>
      <c r="W2060">
        <v>6.9953310000000005E-2</v>
      </c>
      <c r="X2060">
        <v>0.99216199999999999</v>
      </c>
      <c r="Y2060">
        <v>-0.13561500000000001</v>
      </c>
      <c r="Z2060">
        <v>-3.341161E-3</v>
      </c>
      <c r="AA2060">
        <v>0.99075599999999997</v>
      </c>
      <c r="AB2060">
        <v>47</v>
      </c>
      <c r="AC2060">
        <v>-19.1111</v>
      </c>
      <c r="AD2060">
        <v>-1.1117072408448001</v>
      </c>
      <c r="AE2060">
        <v>-2.8504999999999501</v>
      </c>
      <c r="AF2060">
        <v>-2.6761734528910499</v>
      </c>
      <c r="AG2060">
        <v>-1.1117072408448001</v>
      </c>
      <c r="AH2060">
        <v>19.0719171120497</v>
      </c>
      <c r="AI2060">
        <v>93.303718311190806</v>
      </c>
      <c r="AJ2060">
        <v>97.987597823210507</v>
      </c>
      <c r="AK2060">
        <v>19.290822161541001</v>
      </c>
      <c r="AL2060">
        <v>85.988694643182995</v>
      </c>
      <c r="AM2060">
        <v>95.957882449930807</v>
      </c>
      <c r="AN2060">
        <v>1.00000003669078</v>
      </c>
    </row>
    <row r="2061" spans="1:40" x14ac:dyDescent="0.25">
      <c r="A2061" t="str">
        <f>"20190312151307567"</f>
        <v>20190312151307567</v>
      </c>
      <c r="B2061" t="str">
        <f>"1552374787562024"</f>
        <v>1552374787562024</v>
      </c>
      <c r="C2061" t="s">
        <v>40</v>
      </c>
      <c r="D2061">
        <v>4.0478670000000001</v>
      </c>
      <c r="E2061">
        <v>0.48776720000000001</v>
      </c>
      <c r="F2061" t="s">
        <v>54</v>
      </c>
      <c r="G2061">
        <v>-454.71460000000002</v>
      </c>
      <c r="H2061" s="1">
        <v>1.139192E-6</v>
      </c>
      <c r="I2061">
        <v>280.79360000000003</v>
      </c>
      <c r="J2061">
        <v>-435.37290000000002</v>
      </c>
      <c r="K2061">
        <v>1.1116520000000001</v>
      </c>
      <c r="L2061">
        <v>283.72340000000003</v>
      </c>
      <c r="M2061">
        <v>-0.99984039999999996</v>
      </c>
      <c r="N2061">
        <v>0</v>
      </c>
      <c r="O2061">
        <v>-1.007574E-2</v>
      </c>
      <c r="P2061">
        <v>-0.99197659999999999</v>
      </c>
      <c r="Q2061">
        <v>5.6151850000000003E-2</v>
      </c>
      <c r="R2061">
        <v>-0.11326799999999999</v>
      </c>
      <c r="S2061">
        <v>-2.9833069999999999</v>
      </c>
      <c r="T2061">
        <v>-0.16734830000000001</v>
      </c>
      <c r="U2061">
        <v>-0.441803</v>
      </c>
      <c r="V2061">
        <v>-0.1035891</v>
      </c>
      <c r="W2061">
        <v>7.0322419999999997E-2</v>
      </c>
      <c r="X2061">
        <v>0.99213110000000004</v>
      </c>
      <c r="Y2061">
        <v>-0.13632429999999901</v>
      </c>
      <c r="Z2061">
        <v>-3.238225E-3</v>
      </c>
      <c r="AA2061">
        <v>0.99065899999999996</v>
      </c>
      <c r="AB2061">
        <v>47</v>
      </c>
      <c r="AC2061">
        <v>-19.341699999999999</v>
      </c>
      <c r="AD2061">
        <v>-1.111650860808</v>
      </c>
      <c r="AE2061">
        <v>-2.9298000000000002</v>
      </c>
      <c r="AF2061">
        <v>-2.7259454642908101</v>
      </c>
      <c r="AG2061">
        <v>-1.111650860808</v>
      </c>
      <c r="AH2061">
        <v>19.307891994647999</v>
      </c>
      <c r="AI2061">
        <v>93.262876226070503</v>
      </c>
      <c r="AJ2061">
        <v>98.036075612753393</v>
      </c>
      <c r="AK2061">
        <v>19.5310327322345</v>
      </c>
      <c r="AL2061">
        <v>85.967493968984201</v>
      </c>
      <c r="AM2061">
        <v>95.960694548229299</v>
      </c>
      <c r="AN2061">
        <v>1.0000000319903299</v>
      </c>
    </row>
    <row r="2062" spans="1:40" x14ac:dyDescent="0.25">
      <c r="A2062" t="str">
        <f>"20190312151307589"</f>
        <v>20190312151307589</v>
      </c>
      <c r="B2062" t="str">
        <f>"1552374787582520"</f>
        <v>1552374787582520</v>
      </c>
      <c r="C2062" t="s">
        <v>40</v>
      </c>
      <c r="D2062">
        <v>4.0635289999999999</v>
      </c>
      <c r="E2062">
        <v>0.48757830000000002</v>
      </c>
      <c r="F2062" t="s">
        <v>54</v>
      </c>
      <c r="G2062">
        <v>-455.74579999999997</v>
      </c>
      <c r="H2062" s="1">
        <v>1.6938570000000001E-6</v>
      </c>
      <c r="I2062">
        <v>280.65780000000001</v>
      </c>
      <c r="J2062">
        <v>-435.83940000000001</v>
      </c>
      <c r="K2062">
        <v>1.1115839999999999</v>
      </c>
      <c r="L2062">
        <v>283.71769999999998</v>
      </c>
      <c r="M2062">
        <v>-0.99982629999999995</v>
      </c>
      <c r="N2062">
        <v>0</v>
      </c>
      <c r="O2062">
        <v>-1.1395890000000001E-2</v>
      </c>
      <c r="P2062">
        <v>-0.99177289999999996</v>
      </c>
      <c r="Q2062">
        <v>5.6434749999999999E-2</v>
      </c>
      <c r="R2062">
        <v>-0.11489920000000001</v>
      </c>
      <c r="S2062">
        <v>-2.9822389999999999</v>
      </c>
      <c r="T2062">
        <v>-0.16272629999999999</v>
      </c>
      <c r="U2062">
        <v>-0.44876100000000002</v>
      </c>
      <c r="V2062">
        <v>-0.1039016</v>
      </c>
      <c r="W2062">
        <v>7.0615899999999995E-2</v>
      </c>
      <c r="X2062">
        <v>0.99207749999999995</v>
      </c>
      <c r="Y2062">
        <v>-0.13733960000000001</v>
      </c>
      <c r="Z2062">
        <v>-3.1054680000000001E-3</v>
      </c>
      <c r="AA2062">
        <v>0.99051920000000004</v>
      </c>
      <c r="AB2062">
        <v>47</v>
      </c>
      <c r="AC2062">
        <v>-19.906399999999898</v>
      </c>
      <c r="AD2062">
        <v>-1.1115823061429999</v>
      </c>
      <c r="AE2062">
        <v>-3.0598999999999701</v>
      </c>
      <c r="AF2062">
        <v>-2.8242223519298499</v>
      </c>
      <c r="AG2062">
        <v>-1.1115823061429999</v>
      </c>
      <c r="AH2062">
        <v>19.879424857424201</v>
      </c>
      <c r="AI2062">
        <v>93.168679213860898</v>
      </c>
      <c r="AJ2062">
        <v>98.085765227018598</v>
      </c>
      <c r="AK2062">
        <v>20.109783185764201</v>
      </c>
      <c r="AL2062">
        <v>85.950636592179706</v>
      </c>
      <c r="AM2062">
        <v>95.978866958228707</v>
      </c>
      <c r="AN2062">
        <v>0.99999995691080901</v>
      </c>
    </row>
    <row r="2063" spans="1:40" x14ac:dyDescent="0.25">
      <c r="A2063" t="str">
        <f>"20190312151307611"</f>
        <v>20190312151307611</v>
      </c>
      <c r="B2063" t="str">
        <f>"1552374787602041"</f>
        <v>1552374787602041</v>
      </c>
      <c r="C2063" t="s">
        <v>40</v>
      </c>
      <c r="D2063">
        <v>4.2209779999999997</v>
      </c>
      <c r="E2063">
        <v>0.48743160000000002</v>
      </c>
      <c r="F2063" t="s">
        <v>54</v>
      </c>
      <c r="G2063">
        <v>-456.24200000000002</v>
      </c>
      <c r="H2063" s="1">
        <v>1.9603480000000002E-6</v>
      </c>
      <c r="I2063">
        <v>280.60300000000001</v>
      </c>
      <c r="J2063">
        <v>-436.30630000000002</v>
      </c>
      <c r="K2063">
        <v>1.1115090000000001</v>
      </c>
      <c r="L2063">
        <v>283.71140000000003</v>
      </c>
      <c r="M2063">
        <v>-0.99981129999999996</v>
      </c>
      <c r="N2063">
        <v>0</v>
      </c>
      <c r="O2063">
        <v>-1.2652790000000001E-2</v>
      </c>
      <c r="P2063">
        <v>-0.99161460000000001</v>
      </c>
      <c r="Q2063">
        <v>5.5994969999999998E-2</v>
      </c>
      <c r="R2063">
        <v>-0.1164702</v>
      </c>
      <c r="S2063">
        <v>-2.9813540000000001</v>
      </c>
      <c r="T2063">
        <v>-0.1624312</v>
      </c>
      <c r="U2063">
        <v>-0.45513920000000002</v>
      </c>
      <c r="V2063">
        <v>-0.1042122</v>
      </c>
      <c r="W2063">
        <v>7.0187819999999998E-2</v>
      </c>
      <c r="X2063">
        <v>0.99207529999999999</v>
      </c>
      <c r="Y2063">
        <v>-0.13821020000000001</v>
      </c>
      <c r="Z2063">
        <v>-3.055819E-3</v>
      </c>
      <c r="AA2063">
        <v>0.99039820000000001</v>
      </c>
      <c r="AB2063">
        <v>47</v>
      </c>
      <c r="AC2063">
        <v>-19.935699999999901</v>
      </c>
      <c r="AD2063">
        <v>-1.1115070396519999</v>
      </c>
      <c r="AE2063">
        <v>-3.1084000000000098</v>
      </c>
      <c r="AF2063">
        <v>-2.8472406935010399</v>
      </c>
      <c r="AG2063">
        <v>-1.1115070396519999</v>
      </c>
      <c r="AH2063">
        <v>19.913006110032999</v>
      </c>
      <c r="AI2063">
        <v>93.162728613627195</v>
      </c>
      <c r="AJ2063">
        <v>98.137223625698198</v>
      </c>
      <c r="AK2063">
        <v>20.146216513383798</v>
      </c>
      <c r="AL2063">
        <v>85.975224780641497</v>
      </c>
      <c r="AM2063">
        <v>95.996623144646705</v>
      </c>
      <c r="AN2063">
        <v>0.99999995678763998</v>
      </c>
    </row>
    <row r="2064" spans="1:40" x14ac:dyDescent="0.25">
      <c r="A2064" t="str">
        <f>"20190312151307634"</f>
        <v>20190312151307634</v>
      </c>
      <c r="B2064" t="str">
        <f>"1552374787622536"</f>
        <v>1552374787622536</v>
      </c>
      <c r="C2064" t="s">
        <v>40</v>
      </c>
      <c r="D2064">
        <v>4.1126239999999896</v>
      </c>
      <c r="E2064">
        <v>0.48740060000000002</v>
      </c>
      <c r="F2064" t="s">
        <v>54</v>
      </c>
      <c r="G2064">
        <v>-456.49849999999998</v>
      </c>
      <c r="H2064" s="1">
        <v>2.0974820000000002E-6</v>
      </c>
      <c r="I2064">
        <v>280.5883</v>
      </c>
      <c r="J2064">
        <v>-436.76089999999999</v>
      </c>
      <c r="K2064">
        <v>1.111434</v>
      </c>
      <c r="L2064">
        <v>283.70479999999998</v>
      </c>
      <c r="M2064">
        <v>-0.99979609999999997</v>
      </c>
      <c r="N2064">
        <v>0</v>
      </c>
      <c r="O2064">
        <v>-1.380665E-2</v>
      </c>
      <c r="P2064">
        <v>-0.99151440000000002</v>
      </c>
      <c r="Q2064">
        <v>5.5242609999999998E-2</v>
      </c>
      <c r="R2064">
        <v>-0.117676</v>
      </c>
      <c r="S2064">
        <v>-2.9805299999999999</v>
      </c>
      <c r="T2064">
        <v>-0.164067299999999</v>
      </c>
      <c r="U2064">
        <v>-0.46099849999999998</v>
      </c>
      <c r="V2064">
        <v>-0.1042583</v>
      </c>
      <c r="W2064">
        <v>6.9450520000000002E-2</v>
      </c>
      <c r="X2064">
        <v>0.99212239999999996</v>
      </c>
      <c r="Y2064">
        <v>-0.13900699999999999</v>
      </c>
      <c r="Z2064">
        <v>-3.045659E-3</v>
      </c>
      <c r="AA2064">
        <v>0.99028669999999996</v>
      </c>
      <c r="AB2064">
        <v>47</v>
      </c>
      <c r="AC2064">
        <v>-19.737599999999901</v>
      </c>
      <c r="AD2064">
        <v>-1.1114319025179999</v>
      </c>
      <c r="AE2064">
        <v>-3.1164999999999701</v>
      </c>
      <c r="AF2064">
        <v>-2.8348927667766501</v>
      </c>
      <c r="AG2064">
        <v>-1.1114319025179999</v>
      </c>
      <c r="AH2064">
        <v>19.717749999060999</v>
      </c>
      <c r="AI2064">
        <v>93.193414149019802</v>
      </c>
      <c r="AJ2064">
        <v>98.181557146713104</v>
      </c>
      <c r="AK2064">
        <v>19.9514802182326</v>
      </c>
      <c r="AL2064">
        <v>86.017572524955995</v>
      </c>
      <c r="AM2064">
        <v>95.998973777058097</v>
      </c>
      <c r="AN2064">
        <v>1.0000000122144601</v>
      </c>
    </row>
    <row r="2065" spans="1:40" x14ac:dyDescent="0.25">
      <c r="A2065" t="str">
        <f>"20190312151307655"</f>
        <v>20190312151307655</v>
      </c>
      <c r="B2065" t="str">
        <f>"1552374787651816"</f>
        <v>1552374787651816</v>
      </c>
      <c r="C2065" t="s">
        <v>40</v>
      </c>
      <c r="D2065">
        <v>4.1335089999999903</v>
      </c>
      <c r="E2065">
        <v>0.4872997</v>
      </c>
      <c r="F2065" t="s">
        <v>54</v>
      </c>
      <c r="G2065">
        <v>-456.839</v>
      </c>
      <c r="H2065" s="1">
        <v>2.2792250000000002E-6</v>
      </c>
      <c r="I2065">
        <v>280.57490000000001</v>
      </c>
      <c r="J2065">
        <v>-437.22390000000001</v>
      </c>
      <c r="K2065">
        <v>1.111356</v>
      </c>
      <c r="L2065">
        <v>283.6977</v>
      </c>
      <c r="M2065">
        <v>-0.99978040000000001</v>
      </c>
      <c r="N2065">
        <v>0</v>
      </c>
      <c r="O2065">
        <v>-1.4902179999999999E-2</v>
      </c>
      <c r="P2065">
        <v>-0.99147359999999896</v>
      </c>
      <c r="Q2065">
        <v>5.4703809999999999E-2</v>
      </c>
      <c r="R2065">
        <v>-0.11827120000000001</v>
      </c>
      <c r="S2065">
        <v>-2.9797669999999998</v>
      </c>
      <c r="T2065">
        <v>-0.16494639999999999</v>
      </c>
      <c r="U2065">
        <v>-0.46450809999999998</v>
      </c>
      <c r="V2065">
        <v>-0.1037492</v>
      </c>
      <c r="W2065">
        <v>6.8931560000000003E-2</v>
      </c>
      <c r="X2065">
        <v>0.99221190000000004</v>
      </c>
      <c r="Y2065">
        <v>-0.13909859999999999</v>
      </c>
      <c r="Z2065">
        <v>-3.0047699999999999E-3</v>
      </c>
      <c r="AA2065">
        <v>0.99027399999999999</v>
      </c>
      <c r="AB2065">
        <v>47</v>
      </c>
      <c r="AC2065">
        <v>-19.615099999999899</v>
      </c>
      <c r="AD2065">
        <v>-1.1113537207749999</v>
      </c>
      <c r="AE2065">
        <v>-3.1227999999999798</v>
      </c>
      <c r="AF2065">
        <v>-2.82128085255153</v>
      </c>
      <c r="AG2065">
        <v>-1.1113537207749999</v>
      </c>
      <c r="AH2065">
        <v>19.598105529405501</v>
      </c>
      <c r="AI2065">
        <v>93.212560605273595</v>
      </c>
      <c r="AJ2065">
        <v>98.191839268234503</v>
      </c>
      <c r="AK2065">
        <v>19.831300337682599</v>
      </c>
      <c r="AL2065">
        <v>86.047377949451104</v>
      </c>
      <c r="AM2065">
        <v>95.969357858436197</v>
      </c>
      <c r="AN2065">
        <v>0.99999995548314002</v>
      </c>
    </row>
    <row r="2066" spans="1:40" x14ac:dyDescent="0.25">
      <c r="A2066" t="str">
        <f>"20190312151307678"</f>
        <v>20190312151307678</v>
      </c>
      <c r="B2066" t="str">
        <f>"1552374787672319"</f>
        <v>1552374787672319</v>
      </c>
      <c r="C2066" t="s">
        <v>40</v>
      </c>
      <c r="D2066">
        <v>4.4105600000000003</v>
      </c>
      <c r="E2066">
        <v>0.48725200000000002</v>
      </c>
      <c r="F2066" t="s">
        <v>54</v>
      </c>
      <c r="G2066">
        <v>-457.30020000000002</v>
      </c>
      <c r="H2066" s="1">
        <v>2.5257919999999998E-6</v>
      </c>
      <c r="I2066">
        <v>280.54969999999997</v>
      </c>
      <c r="J2066">
        <v>-437.68759999999997</v>
      </c>
      <c r="K2066">
        <v>1.1112740000000001</v>
      </c>
      <c r="L2066">
        <v>283.68990000000002</v>
      </c>
      <c r="M2066">
        <v>-0.99976480000000001</v>
      </c>
      <c r="N2066">
        <v>0</v>
      </c>
      <c r="O2066">
        <v>-1.591484E-2</v>
      </c>
      <c r="P2066">
        <v>-0.9913942</v>
      </c>
      <c r="Q2066">
        <v>5.5466410000000001E-2</v>
      </c>
      <c r="R2066">
        <v>-0.11858100000000001</v>
      </c>
      <c r="S2066">
        <v>-2.979187</v>
      </c>
      <c r="T2066">
        <v>-0.16491729999999999</v>
      </c>
      <c r="U2066">
        <v>-0.46713260000000001</v>
      </c>
      <c r="V2066">
        <v>-0.1030428</v>
      </c>
      <c r="W2066">
        <v>6.9714999999999999E-2</v>
      </c>
      <c r="X2066">
        <v>0.99223079999999997</v>
      </c>
      <c r="Y2066">
        <v>-0.1389782</v>
      </c>
      <c r="Z2066">
        <v>-2.9456640000000002E-3</v>
      </c>
      <c r="AA2066">
        <v>0.99029109999999998</v>
      </c>
      <c r="AB2066">
        <v>47</v>
      </c>
      <c r="AC2066">
        <v>-19.6126</v>
      </c>
      <c r="AD2066">
        <v>-1.1112714742080001</v>
      </c>
      <c r="AE2066">
        <v>-3.1402000000000498</v>
      </c>
      <c r="AF2066">
        <v>-2.8188133905351598</v>
      </c>
      <c r="AG2066">
        <v>-1.1112714742080001</v>
      </c>
      <c r="AH2066">
        <v>19.598748069363801</v>
      </c>
      <c r="AI2066">
        <v>93.212277285914993</v>
      </c>
      <c r="AJ2066">
        <v>98.184507185745503</v>
      </c>
      <c r="AK2066">
        <v>19.831579843936801</v>
      </c>
      <c r="AL2066">
        <v>86.002381990216705</v>
      </c>
      <c r="AM2066">
        <v>95.928892507062699</v>
      </c>
      <c r="AN2066">
        <v>0.99999998016273905</v>
      </c>
    </row>
    <row r="2067" spans="1:40" x14ac:dyDescent="0.25">
      <c r="A2067" t="str">
        <f>"20190312151307700"</f>
        <v>20190312151307700</v>
      </c>
      <c r="B2067" t="str">
        <f>"1552374787691832"</f>
        <v>1552374787691832</v>
      </c>
      <c r="C2067" t="s">
        <v>40</v>
      </c>
      <c r="D2067">
        <v>4.1757849999999896</v>
      </c>
      <c r="E2067">
        <v>0.48720439999999998</v>
      </c>
      <c r="F2067" t="s">
        <v>54</v>
      </c>
      <c r="G2067">
        <v>-458.20780000000002</v>
      </c>
      <c r="H2067" s="1">
        <v>3.0125329999999998E-6</v>
      </c>
      <c r="I2067">
        <v>280.46280000000002</v>
      </c>
      <c r="J2067">
        <v>-438.15219999999999</v>
      </c>
      <c r="K2067">
        <v>1.1111839999999999</v>
      </c>
      <c r="L2067">
        <v>283.68189999999998</v>
      </c>
      <c r="M2067">
        <v>-0.99974969999999996</v>
      </c>
      <c r="N2067">
        <v>0</v>
      </c>
      <c r="O2067">
        <v>-1.6845860000000001E-2</v>
      </c>
      <c r="P2067">
        <v>-0.99126809999999999</v>
      </c>
      <c r="Q2067">
        <v>5.5917679999999997E-2</v>
      </c>
      <c r="R2067">
        <v>-0.1194186</v>
      </c>
      <c r="S2067">
        <v>-2.9790649999999999</v>
      </c>
      <c r="T2067">
        <v>-0.16133120000000001</v>
      </c>
      <c r="U2067">
        <v>-0.46850589999999998</v>
      </c>
      <c r="V2067">
        <v>-0.1029434</v>
      </c>
      <c r="W2067">
        <v>7.0185449999999996E-2</v>
      </c>
      <c r="X2067">
        <v>0.99220790000000003</v>
      </c>
      <c r="Y2067">
        <v>-0.13851749999999999</v>
      </c>
      <c r="Z2067">
        <v>-2.8192870000000002E-3</v>
      </c>
      <c r="AA2067">
        <v>0.99035600000000001</v>
      </c>
      <c r="AB2067">
        <v>47</v>
      </c>
      <c r="AC2067">
        <v>-20.055599999999998</v>
      </c>
      <c r="AD2067">
        <v>-1.111180987467</v>
      </c>
      <c r="AE2067">
        <v>-3.2190999999999601</v>
      </c>
      <c r="AF2067">
        <v>-2.87215738546386</v>
      </c>
      <c r="AG2067">
        <v>-1.111180987467</v>
      </c>
      <c r="AH2067">
        <v>20.0469948582241</v>
      </c>
      <c r="AI2067">
        <v>93.140586263114898</v>
      </c>
      <c r="AJ2067">
        <v>98.153351309744096</v>
      </c>
      <c r="AK2067">
        <v>20.2821599954109</v>
      </c>
      <c r="AL2067">
        <v>85.975360794962995</v>
      </c>
      <c r="AM2067">
        <v>95.923349631139999</v>
      </c>
      <c r="AN2067">
        <v>0.99999992890883305</v>
      </c>
    </row>
    <row r="2068" spans="1:40" x14ac:dyDescent="0.25">
      <c r="A2068" t="str">
        <f>"20190312151307723"</f>
        <v>20190312151307723</v>
      </c>
      <c r="B2068" t="str">
        <f>"1552374787712329"</f>
        <v>1552374787712329</v>
      </c>
      <c r="C2068" t="s">
        <v>40</v>
      </c>
      <c r="D2068">
        <v>4.1902039999999996</v>
      </c>
      <c r="E2068">
        <v>0.4871991</v>
      </c>
      <c r="F2068" t="s">
        <v>54</v>
      </c>
      <c r="G2068">
        <v>-458.84800000000001</v>
      </c>
      <c r="H2068" s="1">
        <v>3.355603E-6</v>
      </c>
      <c r="I2068">
        <v>280.4085</v>
      </c>
      <c r="J2068">
        <v>-438.61559999999997</v>
      </c>
      <c r="K2068">
        <v>1.111094</v>
      </c>
      <c r="L2068">
        <v>283.67349999999999</v>
      </c>
      <c r="M2068">
        <v>-0.99973509999999999</v>
      </c>
      <c r="N2068">
        <v>0</v>
      </c>
      <c r="O2068">
        <v>-1.769714E-2</v>
      </c>
      <c r="P2068">
        <v>-0.99117759999999999</v>
      </c>
      <c r="Q2068">
        <v>5.6068519999999997E-2</v>
      </c>
      <c r="R2068">
        <v>-0.1200992</v>
      </c>
      <c r="S2068">
        <v>-2.978729</v>
      </c>
      <c r="T2068">
        <v>-0.15993109999999999</v>
      </c>
      <c r="U2068">
        <v>-0.4711304</v>
      </c>
      <c r="V2068">
        <v>-0.1027643</v>
      </c>
      <c r="W2068">
        <v>7.0356210000000002E-2</v>
      </c>
      <c r="X2068">
        <v>0.99221440000000005</v>
      </c>
      <c r="Y2068">
        <v>-0.138547</v>
      </c>
      <c r="Z2068">
        <v>-2.7504019999999999E-3</v>
      </c>
      <c r="AA2068">
        <v>0.99035200000000001</v>
      </c>
      <c r="AB2068">
        <v>46</v>
      </c>
      <c r="AC2068">
        <v>-20.232399999999998</v>
      </c>
      <c r="AD2068">
        <v>-1.1110906443969999</v>
      </c>
      <c r="AE2068">
        <v>-3.2649999999999801</v>
      </c>
      <c r="AF2068">
        <v>-2.8978765457818598</v>
      </c>
      <c r="AG2068">
        <v>-1.1110906443969999</v>
      </c>
      <c r="AH2068">
        <v>20.2275639836989</v>
      </c>
      <c r="AI2068">
        <v>93.112356678185904</v>
      </c>
      <c r="AJ2068">
        <v>98.152931645250305</v>
      </c>
      <c r="AK2068">
        <v>20.464275105883701</v>
      </c>
      <c r="AL2068">
        <v>85.965552832808399</v>
      </c>
      <c r="AM2068">
        <v>95.913078860309497</v>
      </c>
      <c r="AN2068">
        <v>0.999999956603706</v>
      </c>
    </row>
    <row r="2069" spans="1:40" x14ac:dyDescent="0.25">
      <c r="A2069" t="str">
        <f>"20190312151307744"</f>
        <v>20190312151307744</v>
      </c>
      <c r="B2069" t="str">
        <f>"1552374787742584"</f>
        <v>1552374787742584</v>
      </c>
      <c r="C2069" t="s">
        <v>40</v>
      </c>
      <c r="D2069">
        <v>4.2224659999999998</v>
      </c>
      <c r="E2069">
        <v>0.48713299999999998</v>
      </c>
      <c r="F2069" t="s">
        <v>54</v>
      </c>
      <c r="G2069">
        <v>-459.13630000000001</v>
      </c>
      <c r="H2069" s="1">
        <v>3.508932E-6</v>
      </c>
      <c r="I2069">
        <v>280.41019999999997</v>
      </c>
      <c r="J2069">
        <v>-439.0677</v>
      </c>
      <c r="K2069">
        <v>1.1110120000000001</v>
      </c>
      <c r="L2069">
        <v>283.66489999999999</v>
      </c>
      <c r="M2069">
        <v>-0.99972119999999998</v>
      </c>
      <c r="N2069">
        <v>0</v>
      </c>
      <c r="O2069">
        <v>-1.8461930000000001E-2</v>
      </c>
      <c r="P2069">
        <v>-0.99111870000000002</v>
      </c>
      <c r="Q2069">
        <v>5.5944180000000003E-2</v>
      </c>
      <c r="R2069">
        <v>-0.1206411</v>
      </c>
      <c r="S2069">
        <v>-2.978424</v>
      </c>
      <c r="T2069">
        <v>-0.16126660000000001</v>
      </c>
      <c r="U2069">
        <v>-0.47363280000000002</v>
      </c>
      <c r="V2069">
        <v>-0.10253230000000001</v>
      </c>
      <c r="W2069">
        <v>7.0250599999999996E-2</v>
      </c>
      <c r="X2069">
        <v>0.99224590000000001</v>
      </c>
      <c r="Y2069">
        <v>-0.13861490000000001</v>
      </c>
      <c r="Z2069">
        <v>-2.7341700000000002E-3</v>
      </c>
      <c r="AA2069">
        <v>0.99034259999999996</v>
      </c>
      <c r="AB2069">
        <v>46</v>
      </c>
      <c r="AC2069">
        <v>-20.0686</v>
      </c>
      <c r="AD2069">
        <v>-1.111008491068</v>
      </c>
      <c r="AE2069">
        <v>-3.2547000000000099</v>
      </c>
      <c r="AF2069">
        <v>-2.8750144287289601</v>
      </c>
      <c r="AG2069">
        <v>-1.111008491068</v>
      </c>
      <c r="AH2069">
        <v>20.065353338738799</v>
      </c>
      <c r="AI2069">
        <v>93.137227491666494</v>
      </c>
      <c r="AJ2069">
        <v>98.153985904518393</v>
      </c>
      <c r="AK2069">
        <v>20.300700786944802</v>
      </c>
      <c r="AL2069">
        <v>85.971618914741896</v>
      </c>
      <c r="AM2069">
        <v>95.899637825380196</v>
      </c>
      <c r="AN2069">
        <v>0.999999972705229</v>
      </c>
    </row>
    <row r="2070" spans="1:40" x14ac:dyDescent="0.25">
      <c r="A2070" t="str">
        <f>"20190312151307767"</f>
        <v>20190312151307767</v>
      </c>
      <c r="B2070" t="str">
        <f>"1552374787762104"</f>
        <v>1552374787762104</v>
      </c>
      <c r="C2070" t="s">
        <v>40</v>
      </c>
      <c r="D2070">
        <v>4.2043339999999896</v>
      </c>
      <c r="E2070">
        <v>0.48708809999999902</v>
      </c>
      <c r="F2070" t="s">
        <v>54</v>
      </c>
      <c r="G2070">
        <v>-459.34179999999998</v>
      </c>
      <c r="H2070" s="1">
        <v>3.6176470000000001E-6</v>
      </c>
      <c r="I2070">
        <v>280.4248</v>
      </c>
      <c r="J2070">
        <v>-439.53160000000003</v>
      </c>
      <c r="K2070">
        <v>1.110938</v>
      </c>
      <c r="L2070">
        <v>283.65570000000002</v>
      </c>
      <c r="M2070">
        <v>-0.99970749999999997</v>
      </c>
      <c r="N2070">
        <v>0</v>
      </c>
      <c r="O2070">
        <v>-1.9190639999999998E-2</v>
      </c>
      <c r="P2070">
        <v>-0.99110489999999996</v>
      </c>
      <c r="Q2070">
        <v>5.5546980000000003E-2</v>
      </c>
      <c r="R2070">
        <v>-0.12093669999999999</v>
      </c>
      <c r="S2070">
        <v>-2.97818</v>
      </c>
      <c r="T2070">
        <v>-0.16320279999999901</v>
      </c>
      <c r="U2070">
        <v>-0.47595209999999999</v>
      </c>
      <c r="V2070">
        <v>-0.10208879999999999</v>
      </c>
      <c r="W2070">
        <v>6.987198E-2</v>
      </c>
      <c r="X2070">
        <v>0.99231840000000004</v>
      </c>
      <c r="Y2070">
        <v>-0.13865459999999999</v>
      </c>
      <c r="Z2070">
        <v>-2.7284660000000001E-3</v>
      </c>
      <c r="AA2070">
        <v>0.99033700000000002</v>
      </c>
      <c r="AB2070">
        <v>46</v>
      </c>
      <c r="AC2070">
        <v>-19.810199999999899</v>
      </c>
      <c r="AD2070">
        <v>-1.110934382353</v>
      </c>
      <c r="AE2070">
        <v>-3.2309000000000201</v>
      </c>
      <c r="AF2070">
        <v>-2.8413890751831699</v>
      </c>
      <c r="AG2070">
        <v>-1.110934382353</v>
      </c>
      <c r="AH2070">
        <v>19.807882082429099</v>
      </c>
      <c r="AI2070">
        <v>93.177638464146995</v>
      </c>
      <c r="AJ2070">
        <v>98.163242161074905</v>
      </c>
      <c r="AK2070">
        <v>20.041453531864398</v>
      </c>
      <c r="AL2070">
        <v>85.993365839087801</v>
      </c>
      <c r="AM2070">
        <v>95.873871793736996</v>
      </c>
      <c r="AN2070">
        <v>1.00000001182656</v>
      </c>
    </row>
    <row r="2071" spans="1:40" x14ac:dyDescent="0.25">
      <c r="A2071" t="str">
        <f>"20190312151307790"</f>
        <v>20190312151307790</v>
      </c>
      <c r="B2071" t="str">
        <f>"1552374787782600"</f>
        <v>1552374787782600</v>
      </c>
      <c r="C2071" t="s">
        <v>40</v>
      </c>
      <c r="D2071">
        <v>4.4943049999999998</v>
      </c>
      <c r="E2071">
        <v>0.48708299999999999</v>
      </c>
      <c r="F2071" t="s">
        <v>54</v>
      </c>
      <c r="G2071">
        <v>-459.22059999999999</v>
      </c>
      <c r="H2071" s="1">
        <v>3.5499780000000001E-6</v>
      </c>
      <c r="I2071">
        <v>280.49799999999999</v>
      </c>
      <c r="J2071">
        <v>-439.99700000000001</v>
      </c>
      <c r="K2071">
        <v>1.110868</v>
      </c>
      <c r="L2071">
        <v>283.64620000000002</v>
      </c>
      <c r="M2071">
        <v>-0.99969399999999997</v>
      </c>
      <c r="N2071">
        <v>0</v>
      </c>
      <c r="O2071">
        <v>-1.9880390000000001E-2</v>
      </c>
      <c r="P2071">
        <v>-0.99100670000000002</v>
      </c>
      <c r="Q2071">
        <v>5.5766089999999997E-2</v>
      </c>
      <c r="R2071">
        <v>-0.12163740000000001</v>
      </c>
      <c r="S2071">
        <v>-2.9780880000000001</v>
      </c>
      <c r="T2071">
        <v>-0.16803650000000001</v>
      </c>
      <c r="U2071">
        <v>-0.47763060000000002</v>
      </c>
      <c r="V2071">
        <v>-0.1020952</v>
      </c>
      <c r="W2071">
        <v>7.0105039999999993E-2</v>
      </c>
      <c r="X2071">
        <v>0.99230130000000005</v>
      </c>
      <c r="Y2071">
        <v>-0.1385112</v>
      </c>
      <c r="Z2071">
        <v>-2.7664870000000002E-3</v>
      </c>
      <c r="AA2071">
        <v>0.99035700000000004</v>
      </c>
      <c r="AB2071">
        <v>46</v>
      </c>
      <c r="AC2071">
        <v>-19.223600000000001</v>
      </c>
      <c r="AD2071">
        <v>-1.110864450022</v>
      </c>
      <c r="AE2071">
        <v>-3.1482000000000299</v>
      </c>
      <c r="AF2071">
        <v>-2.7563996211227102</v>
      </c>
      <c r="AG2071">
        <v>-1.110864450022</v>
      </c>
      <c r="AH2071">
        <v>19.219889932080999</v>
      </c>
      <c r="AI2071">
        <v>93.274452893339202</v>
      </c>
      <c r="AJ2071">
        <v>98.161362477869702</v>
      </c>
      <c r="AK2071">
        <v>19.448288554496401</v>
      </c>
      <c r="AL2071">
        <v>85.979979644774303</v>
      </c>
      <c r="AM2071">
        <v>95.874337975777394</v>
      </c>
      <c r="AN2071">
        <v>1.0000000082390601</v>
      </c>
    </row>
    <row r="2072" spans="1:40" x14ac:dyDescent="0.25">
      <c r="A2072" t="str">
        <f>"20190312151307812"</f>
        <v>20190312151307812</v>
      </c>
      <c r="B2072" t="str">
        <f>"1552374787802121"</f>
        <v>1552374787802121</v>
      </c>
      <c r="C2072" t="s">
        <v>40</v>
      </c>
      <c r="D2072">
        <v>4.2562519999999999</v>
      </c>
      <c r="E2072">
        <v>0.48709089999999999</v>
      </c>
      <c r="F2072" t="s">
        <v>54</v>
      </c>
      <c r="G2072">
        <v>-459.55770000000001</v>
      </c>
      <c r="H2072" s="1">
        <v>3.7294120000000001E-6</v>
      </c>
      <c r="I2072">
        <v>280.49639999999999</v>
      </c>
      <c r="J2072">
        <v>-440.46890000000002</v>
      </c>
      <c r="K2072">
        <v>1.110808</v>
      </c>
      <c r="L2072">
        <v>283.63630000000001</v>
      </c>
      <c r="M2072">
        <v>-0.99968049999999997</v>
      </c>
      <c r="N2072">
        <v>0</v>
      </c>
      <c r="O2072">
        <v>-2.0551170000000001E-2</v>
      </c>
      <c r="P2072">
        <v>-0.99091240000000003</v>
      </c>
      <c r="Q2072">
        <v>5.5477690000000003E-2</v>
      </c>
      <c r="R2072">
        <v>-0.12253509999999999</v>
      </c>
      <c r="S2072">
        <v>-2.9779049999999998</v>
      </c>
      <c r="T2072">
        <v>-0.1691172</v>
      </c>
      <c r="U2072">
        <v>-0.47952270000000002</v>
      </c>
      <c r="V2072">
        <v>-0.1023172</v>
      </c>
      <c r="W2072">
        <v>6.9827249999999993E-2</v>
      </c>
      <c r="X2072">
        <v>0.99229800000000001</v>
      </c>
      <c r="Y2072">
        <v>-0.13846829999999999</v>
      </c>
      <c r="Z2072">
        <v>-2.7452869999999999E-3</v>
      </c>
      <c r="AA2072">
        <v>0.99036310000000005</v>
      </c>
      <c r="AB2072">
        <v>46</v>
      </c>
      <c r="AC2072">
        <v>-19.0887999999999</v>
      </c>
      <c r="AD2072">
        <v>-1.1108042705879999</v>
      </c>
      <c r="AE2072">
        <v>-3.1399000000000101</v>
      </c>
      <c r="AF2072">
        <v>-2.7378702097661098</v>
      </c>
      <c r="AG2072">
        <v>-1.1108042705879999</v>
      </c>
      <c r="AH2072">
        <v>19.086374799092098</v>
      </c>
      <c r="AI2072">
        <v>93.297115129164197</v>
      </c>
      <c r="AJ2072">
        <v>98.163181787424307</v>
      </c>
      <c r="AK2072">
        <v>19.313713324591401</v>
      </c>
      <c r="AL2072">
        <v>85.995934856815794</v>
      </c>
      <c r="AM2072">
        <v>95.887041203745596</v>
      </c>
      <c r="AN2072">
        <v>0.99999998753120101</v>
      </c>
    </row>
    <row r="2073" spans="1:40" x14ac:dyDescent="0.25">
      <c r="A2073" t="str">
        <f>"20190312151307835"</f>
        <v>20190312151307835</v>
      </c>
      <c r="B2073" t="str">
        <f>"1552374787832376"</f>
        <v>1552374787832376</v>
      </c>
      <c r="C2073" t="s">
        <v>40</v>
      </c>
      <c r="D2073">
        <v>4.2765389999999996</v>
      </c>
      <c r="E2073">
        <v>0.50014619999999999</v>
      </c>
      <c r="F2073" t="s">
        <v>54</v>
      </c>
      <c r="G2073">
        <v>-459.8999</v>
      </c>
      <c r="H2073" s="1">
        <v>3.9117290000000003E-6</v>
      </c>
      <c r="I2073">
        <v>280.49220000000003</v>
      </c>
      <c r="J2073">
        <v>-440.947</v>
      </c>
      <c r="K2073">
        <v>1.1107560000000001</v>
      </c>
      <c r="L2073">
        <v>283.6259</v>
      </c>
      <c r="M2073">
        <v>-0.99966679999999997</v>
      </c>
      <c r="N2073">
        <v>0</v>
      </c>
      <c r="O2073">
        <v>-2.1211899999999999E-2</v>
      </c>
      <c r="P2073">
        <v>-0.99078630000000001</v>
      </c>
      <c r="Q2073">
        <v>5.5568689999999997E-2</v>
      </c>
      <c r="R2073">
        <v>-0.1235096</v>
      </c>
      <c r="S2073">
        <v>-2.977509</v>
      </c>
      <c r="T2073">
        <v>-0.17021420000000001</v>
      </c>
      <c r="U2073">
        <v>-0.48178100000000001</v>
      </c>
      <c r="V2073">
        <v>-0.1026292</v>
      </c>
      <c r="W2073">
        <v>6.9926669999999996E-2</v>
      </c>
      <c r="X2073">
        <v>0.9922588</v>
      </c>
      <c r="Y2073">
        <v>-0.13856499999999999</v>
      </c>
      <c r="Z2073">
        <v>-2.7285450000000002E-3</v>
      </c>
      <c r="AA2073">
        <v>0.99034960000000005</v>
      </c>
      <c r="AB2073">
        <v>46</v>
      </c>
      <c r="AC2073">
        <v>-18.9529</v>
      </c>
      <c r="AD2073">
        <v>-1.11075208827099</v>
      </c>
      <c r="AE2073">
        <v>-3.13369999999997</v>
      </c>
      <c r="AF2073">
        <v>-2.72182450070355</v>
      </c>
      <c r="AG2073">
        <v>-1.11075208827099</v>
      </c>
      <c r="AH2073">
        <v>18.951753074121999</v>
      </c>
      <c r="AI2073">
        <v>93.320247697976001</v>
      </c>
      <c r="AJ2073">
        <v>98.172854263974401</v>
      </c>
      <c r="AK2073">
        <v>19.178400438950099</v>
      </c>
      <c r="AL2073">
        <v>85.9902246384964</v>
      </c>
      <c r="AM2073">
        <v>95.905097774534397</v>
      </c>
      <c r="AN2073">
        <v>1.00000000902368</v>
      </c>
    </row>
    <row r="2074" spans="1:40" x14ac:dyDescent="0.25">
      <c r="A2074" t="str">
        <f>"20190312151307859"</f>
        <v>20190312151307859</v>
      </c>
      <c r="B2074" t="str">
        <f>"1552374787852326"</f>
        <v>1552374787852326</v>
      </c>
      <c r="C2074" t="s">
        <v>40</v>
      </c>
      <c r="D2074">
        <v>4.2941240000000001</v>
      </c>
      <c r="E2074">
        <v>0.50006649999999997</v>
      </c>
      <c r="F2074" t="s">
        <v>54</v>
      </c>
      <c r="G2074">
        <v>-462.52510000000001</v>
      </c>
      <c r="H2074" s="1">
        <v>-2.9615949999999999E-8</v>
      </c>
      <c r="I2074">
        <v>280.87729999999999</v>
      </c>
      <c r="J2074">
        <v>-441.42099999999999</v>
      </c>
      <c r="K2074">
        <v>1.1107119999999999</v>
      </c>
      <c r="L2074">
        <v>283.61520000000002</v>
      </c>
      <c r="M2074">
        <v>-0.99965300000000001</v>
      </c>
      <c r="N2074">
        <v>0</v>
      </c>
      <c r="O2074">
        <v>-2.1857060000000001E-2</v>
      </c>
      <c r="P2074">
        <v>-0.99066620000000005</v>
      </c>
      <c r="Q2074">
        <v>5.5143150000000002E-2</v>
      </c>
      <c r="R2074">
        <v>-0.1246596</v>
      </c>
      <c r="S2074">
        <v>-2.9890439999999998</v>
      </c>
      <c r="T2074">
        <v>-0.15386440000000001</v>
      </c>
      <c r="U2074">
        <v>-0.3807373</v>
      </c>
      <c r="V2074">
        <v>-0.1031319</v>
      </c>
      <c r="W2074">
        <v>6.9506650000000003E-2</v>
      </c>
      <c r="X2074">
        <v>0.99223620000000001</v>
      </c>
      <c r="Y2074">
        <v>-0.10453460000000001</v>
      </c>
      <c r="Z2074">
        <v>-1.55841799999999E-3</v>
      </c>
      <c r="AA2074">
        <v>0.99451999999999996</v>
      </c>
      <c r="AB2074">
        <v>46</v>
      </c>
      <c r="AC2074">
        <v>-21.104099999999999</v>
      </c>
      <c r="AD2074">
        <v>-1.1107120296159501</v>
      </c>
      <c r="AE2074">
        <v>-2.7379000000000202</v>
      </c>
      <c r="AF2074">
        <v>-2.2697393878543402</v>
      </c>
      <c r="AG2074">
        <v>-1.1107120296159501</v>
      </c>
      <c r="AH2074">
        <v>21.101424107589398</v>
      </c>
      <c r="AI2074">
        <v>92.9958382810144</v>
      </c>
      <c r="AJ2074">
        <v>96.139320251734702</v>
      </c>
      <c r="AK2074">
        <v>21.252188063111699</v>
      </c>
      <c r="AL2074">
        <v>86.014348753035094</v>
      </c>
      <c r="AM2074">
        <v>95.933950527220205</v>
      </c>
      <c r="AN2074">
        <v>1.0000000198911301</v>
      </c>
    </row>
    <row r="2075" spans="1:40" x14ac:dyDescent="0.25">
      <c r="A2075" t="str">
        <f>"20190312151307879"</f>
        <v>20190312151307879</v>
      </c>
      <c r="B2075" t="str">
        <f>"1552374787871846"</f>
        <v>1552374787871846</v>
      </c>
      <c r="C2075" t="s">
        <v>40</v>
      </c>
      <c r="D2075">
        <v>4.2855359999999996</v>
      </c>
      <c r="E2075">
        <v>0.5001234</v>
      </c>
      <c r="F2075" t="s">
        <v>54</v>
      </c>
      <c r="G2075">
        <v>-462.57220000000001</v>
      </c>
      <c r="H2075" s="1">
        <v>-5.2447579999999998E-9</v>
      </c>
      <c r="I2075">
        <v>280.89339999999999</v>
      </c>
      <c r="J2075">
        <v>-441.84320000000002</v>
      </c>
      <c r="K2075">
        <v>1.110681</v>
      </c>
      <c r="L2075">
        <v>283.60550000000001</v>
      </c>
      <c r="M2075">
        <v>-0.99964059999999999</v>
      </c>
      <c r="N2075">
        <v>0</v>
      </c>
      <c r="O2075">
        <v>-2.2428170000000001E-2</v>
      </c>
      <c r="P2075">
        <v>-0.99057759999999995</v>
      </c>
      <c r="Q2075">
        <v>5.442073E-2</v>
      </c>
      <c r="R2075">
        <v>-0.1256775</v>
      </c>
      <c r="S2075">
        <v>-2.9886469999999998</v>
      </c>
      <c r="T2075">
        <v>-0.15694240000000001</v>
      </c>
      <c r="U2075">
        <v>-0.38458249999999999</v>
      </c>
      <c r="V2075">
        <v>-0.1035775</v>
      </c>
      <c r="W2075">
        <v>6.8788360000000007E-2</v>
      </c>
      <c r="X2075">
        <v>0.99223980000000001</v>
      </c>
      <c r="Y2075">
        <v>-0.10523739999999999</v>
      </c>
      <c r="Z2075">
        <v>-1.578175E-3</v>
      </c>
      <c r="AA2075">
        <v>0.99444589999999999</v>
      </c>
      <c r="AB2075">
        <v>46</v>
      </c>
      <c r="AC2075">
        <v>-20.7289999999999</v>
      </c>
      <c r="AD2075">
        <v>-1.11068100524475</v>
      </c>
      <c r="AE2075">
        <v>-2.7121000000000199</v>
      </c>
      <c r="AF2075">
        <v>-2.24013095777884</v>
      </c>
      <c r="AG2075">
        <v>-1.11068100524475</v>
      </c>
      <c r="AH2075">
        <v>20.726116928867299</v>
      </c>
      <c r="AI2075">
        <v>93.049731728414201</v>
      </c>
      <c r="AJ2075">
        <v>96.168725965377305</v>
      </c>
      <c r="AK2075">
        <v>20.8763914973946</v>
      </c>
      <c r="AL2075">
        <v>86.055602319402894</v>
      </c>
      <c r="AM2075">
        <v>95.959383646033203</v>
      </c>
      <c r="AN2075">
        <v>0.99999997884088898</v>
      </c>
    </row>
    <row r="2076" spans="1:40" x14ac:dyDescent="0.25">
      <c r="A2076" t="str">
        <f>"20190312151307901"</f>
        <v>20190312151307901</v>
      </c>
      <c r="B2076" t="str">
        <f>"1552374787892341"</f>
        <v>1552374787892341</v>
      </c>
      <c r="C2076" t="s">
        <v>40</v>
      </c>
      <c r="D2076">
        <v>4.2915479999999997</v>
      </c>
      <c r="E2076">
        <v>0.50002999999999997</v>
      </c>
      <c r="F2076" t="s">
        <v>54</v>
      </c>
      <c r="G2076">
        <v>-462.55939999999998</v>
      </c>
      <c r="H2076" s="1">
        <v>-1.321074E-8</v>
      </c>
      <c r="I2076">
        <v>280.91980000000001</v>
      </c>
      <c r="J2076">
        <v>-442.30040000000002</v>
      </c>
      <c r="K2076">
        <v>1.1106499999999999</v>
      </c>
      <c r="L2076">
        <v>283.59480000000002</v>
      </c>
      <c r="M2076">
        <v>-0.99962649999999997</v>
      </c>
      <c r="N2076">
        <v>0</v>
      </c>
      <c r="O2076">
        <v>-2.304498E-2</v>
      </c>
      <c r="P2076">
        <v>-0.99045329999999998</v>
      </c>
      <c r="Q2076">
        <v>5.4496269999999999E-2</v>
      </c>
      <c r="R2076">
        <v>-0.1266205</v>
      </c>
      <c r="S2076">
        <v>-2.988159</v>
      </c>
      <c r="T2076">
        <v>-0.1602073</v>
      </c>
      <c r="U2076">
        <v>-0.38739010000000001</v>
      </c>
      <c r="V2076">
        <v>-0.10390530000000001</v>
      </c>
      <c r="W2076">
        <v>6.8866839999999999E-2</v>
      </c>
      <c r="X2076">
        <v>0.99220010000000003</v>
      </c>
      <c r="Y2076">
        <v>-0.1055591</v>
      </c>
      <c r="Z2076">
        <v>-1.5868270000000001E-3</v>
      </c>
      <c r="AA2076">
        <v>0.99441179999999996</v>
      </c>
      <c r="AB2076">
        <v>46</v>
      </c>
      <c r="AC2076">
        <v>-20.258999999999901</v>
      </c>
      <c r="AD2076">
        <v>-1.11065001321074</v>
      </c>
      <c r="AE2076">
        <v>-2.67500000000001</v>
      </c>
      <c r="AF2076">
        <v>-2.2008694240458002</v>
      </c>
      <c r="AG2076">
        <v>-1.11065001321074</v>
      </c>
      <c r="AH2076">
        <v>20.255435854982601</v>
      </c>
      <c r="AI2076">
        <v>93.120182605436398</v>
      </c>
      <c r="AJ2076">
        <v>96.2011879412849</v>
      </c>
      <c r="AK2076">
        <v>20.404902630222399</v>
      </c>
      <c r="AL2076">
        <v>86.051095124668507</v>
      </c>
      <c r="AM2076">
        <v>95.978344880446897</v>
      </c>
      <c r="AN2076">
        <v>0.999999995729842</v>
      </c>
    </row>
    <row r="2077" spans="1:40" x14ac:dyDescent="0.25">
      <c r="A2077" t="str">
        <f>"20190312151307923"</f>
        <v>20190312151307923</v>
      </c>
      <c r="B2077" t="str">
        <f>"1552374787911862"</f>
        <v>1552374787911862</v>
      </c>
      <c r="C2077" t="s">
        <v>40</v>
      </c>
      <c r="D2077">
        <v>4.5982479999999999</v>
      </c>
      <c r="E2077">
        <v>0.49997439999999999</v>
      </c>
      <c r="F2077" t="s">
        <v>54</v>
      </c>
      <c r="G2077">
        <v>-463.03230000000002</v>
      </c>
      <c r="H2077" s="1">
        <v>2.4016800000000001E-7</v>
      </c>
      <c r="I2077">
        <v>280.88060000000002</v>
      </c>
      <c r="J2077">
        <v>-442.75630000000001</v>
      </c>
      <c r="K2077">
        <v>1.1106320000000001</v>
      </c>
      <c r="L2077">
        <v>283.58370000000002</v>
      </c>
      <c r="M2077">
        <v>-0.99961219999999995</v>
      </c>
      <c r="N2077">
        <v>0</v>
      </c>
      <c r="O2077">
        <v>-2.3659639999999999E-2</v>
      </c>
      <c r="P2077">
        <v>-0.99033890000000002</v>
      </c>
      <c r="Q2077">
        <v>5.5223469999999997E-2</v>
      </c>
      <c r="R2077">
        <v>-0.1271987</v>
      </c>
      <c r="S2077">
        <v>-2.9877009999999999</v>
      </c>
      <c r="T2077">
        <v>-0.1600567</v>
      </c>
      <c r="U2077">
        <v>-0.39114379999999999</v>
      </c>
      <c r="V2077">
        <v>-0.1038726</v>
      </c>
      <c r="W2077">
        <v>6.9596569999999996E-2</v>
      </c>
      <c r="X2077">
        <v>0.99215260000000005</v>
      </c>
      <c r="Y2077">
        <v>-0.1061957</v>
      </c>
      <c r="Z2077">
        <v>-1.569686E-3</v>
      </c>
      <c r="AA2077">
        <v>0.99434400000000001</v>
      </c>
      <c r="AB2077">
        <v>46</v>
      </c>
      <c r="AC2077">
        <v>-20.276</v>
      </c>
      <c r="AD2077">
        <v>-1.1106317598319999</v>
      </c>
      <c r="AE2077">
        <v>-2.7031000000000001</v>
      </c>
      <c r="AF2077">
        <v>-2.2160357303415998</v>
      </c>
      <c r="AG2077">
        <v>-1.1106317598319999</v>
      </c>
      <c r="AH2077">
        <v>20.2745153270785</v>
      </c>
      <c r="AI2077">
        <v>93.116984626674693</v>
      </c>
      <c r="AJ2077">
        <v>96.237755073072606</v>
      </c>
      <c r="AK2077">
        <v>20.4254813654914</v>
      </c>
      <c r="AL2077">
        <v>86.009184093011896</v>
      </c>
      <c r="AM2077">
        <v>95.976761114279199</v>
      </c>
      <c r="AN2077">
        <v>0.99999999063664202</v>
      </c>
    </row>
    <row r="2078" spans="1:40" x14ac:dyDescent="0.25">
      <c r="A2078" t="str">
        <f>"20190312151307946"</f>
        <v>20190312151307946</v>
      </c>
      <c r="B2078" t="str">
        <f>"1552374787942117"</f>
        <v>1552374787942117</v>
      </c>
      <c r="C2078" t="s">
        <v>40</v>
      </c>
      <c r="D2078">
        <v>4.5338240000000001</v>
      </c>
      <c r="E2078">
        <v>0.49865100000000001</v>
      </c>
      <c r="F2078" t="s">
        <v>54</v>
      </c>
      <c r="G2078">
        <v>-455.79390000000001</v>
      </c>
      <c r="H2078" s="1">
        <v>1.667105E-6</v>
      </c>
      <c r="I2078">
        <v>281.85570000000001</v>
      </c>
      <c r="J2078">
        <v>-443.21480000000003</v>
      </c>
      <c r="K2078">
        <v>1.110622</v>
      </c>
      <c r="L2078">
        <v>283.57229999999998</v>
      </c>
      <c r="M2078">
        <v>-0.99959739999999997</v>
      </c>
      <c r="N2078">
        <v>0</v>
      </c>
      <c r="O2078">
        <v>-2.4277360000000001E-2</v>
      </c>
      <c r="P2078">
        <v>-0.99014089999999999</v>
      </c>
      <c r="Q2078">
        <v>5.5807599999999999E-2</v>
      </c>
      <c r="R2078">
        <v>-0.12847829999999999</v>
      </c>
      <c r="S2078">
        <v>-2.9925229999999998</v>
      </c>
      <c r="T2078">
        <v>-0.25492300000000001</v>
      </c>
      <c r="U2078">
        <v>-0.39663700000000002</v>
      </c>
      <c r="V2078">
        <v>-0.1045401</v>
      </c>
      <c r="W2078">
        <v>7.0180690000000004E-2</v>
      </c>
      <c r="X2078">
        <v>0.99204130000000001</v>
      </c>
      <c r="Y2078">
        <v>-0.10699119999999999</v>
      </c>
      <c r="Z2078">
        <v>-2.4744950000000002E-3</v>
      </c>
      <c r="AA2078">
        <v>0.9942569</v>
      </c>
      <c r="AB2078">
        <v>46</v>
      </c>
      <c r="AC2078">
        <v>-12.579099999999899</v>
      </c>
      <c r="AD2078">
        <v>-1.110620332895</v>
      </c>
      <c r="AE2078">
        <v>-1.7165999999999699</v>
      </c>
      <c r="AF2078">
        <v>-1.39996009370398</v>
      </c>
      <c r="AG2078">
        <v>-1.110620332895</v>
      </c>
      <c r="AH2078">
        <v>12.5212483967334</v>
      </c>
      <c r="AI2078">
        <v>95.037578663935406</v>
      </c>
      <c r="AJ2078">
        <v>96.379559863695306</v>
      </c>
      <c r="AK2078">
        <v>12.6481234655779</v>
      </c>
      <c r="AL2078">
        <v>85.975634287452394</v>
      </c>
      <c r="AM2078">
        <v>96.015557829511806</v>
      </c>
      <c r="AN2078">
        <v>0.99999995133128605</v>
      </c>
    </row>
    <row r="2079" spans="1:40" x14ac:dyDescent="0.25">
      <c r="A2079" t="str">
        <f>"20190312151307968"</f>
        <v>20190312151307968</v>
      </c>
      <c r="B2079" t="str">
        <f>"1552374787961637"</f>
        <v>1552374787961637</v>
      </c>
      <c r="C2079" t="s">
        <v>40</v>
      </c>
      <c r="D2079">
        <v>4.3623839999999996</v>
      </c>
      <c r="E2079">
        <v>0.4984826</v>
      </c>
      <c r="F2079" t="s">
        <v>54</v>
      </c>
      <c r="G2079">
        <v>-458.01549999999997</v>
      </c>
      <c r="H2079" s="1">
        <v>2.863018E-6</v>
      </c>
      <c r="I2079">
        <v>281.54230000000001</v>
      </c>
      <c r="J2079">
        <v>-443.67790000000002</v>
      </c>
      <c r="K2079">
        <v>1.110611</v>
      </c>
      <c r="L2079">
        <v>283.56060000000002</v>
      </c>
      <c r="M2079">
        <v>-0.99958210000000003</v>
      </c>
      <c r="N2079">
        <v>0</v>
      </c>
      <c r="O2079">
        <v>-2.49003E-2</v>
      </c>
      <c r="P2079">
        <v>-0.98993750000000003</v>
      </c>
      <c r="Q2079">
        <v>5.6343780000000003E-2</v>
      </c>
      <c r="R2079">
        <v>-0.12980739999999999</v>
      </c>
      <c r="S2079">
        <v>-2.9893489999999998</v>
      </c>
      <c r="T2079">
        <v>-0.22431580000000001</v>
      </c>
      <c r="U2079">
        <v>-0.41000370000000003</v>
      </c>
      <c r="V2079">
        <v>-0.1052527</v>
      </c>
      <c r="W2079">
        <v>7.0714349999999995E-2</v>
      </c>
      <c r="X2079">
        <v>0.99192809999999998</v>
      </c>
      <c r="Y2079">
        <v>-0.1109313</v>
      </c>
      <c r="Z2079">
        <v>-2.2804600000000002E-3</v>
      </c>
      <c r="AA2079">
        <v>0.99382539999999997</v>
      </c>
      <c r="AB2079">
        <v>46</v>
      </c>
      <c r="AC2079">
        <v>-14.337599999999901</v>
      </c>
      <c r="AD2079">
        <v>-1.110608136982</v>
      </c>
      <c r="AE2079">
        <v>-2.0183000000000102</v>
      </c>
      <c r="AF2079">
        <v>-1.65091164838073</v>
      </c>
      <c r="AG2079">
        <v>-1.110608136982</v>
      </c>
      <c r="AH2079">
        <v>14.299283217685399</v>
      </c>
      <c r="AI2079">
        <v>94.411987312264998</v>
      </c>
      <c r="AJ2079">
        <v>96.585876551779705</v>
      </c>
      <c r="AK2079">
        <v>14.4370516465194</v>
      </c>
      <c r="AL2079">
        <v>85.944981872355001</v>
      </c>
      <c r="AM2079">
        <v>96.0569452996141</v>
      </c>
      <c r="AN2079">
        <v>1.00000000286141</v>
      </c>
    </row>
    <row r="2080" spans="1:40" x14ac:dyDescent="0.25">
      <c r="A2080" t="str">
        <f>"20190312151307990"</f>
        <v>20190312151307990</v>
      </c>
      <c r="B2080" t="str">
        <f>"1552374787982135"</f>
        <v>1552374787982135</v>
      </c>
      <c r="C2080" t="s">
        <v>40</v>
      </c>
      <c r="D2080">
        <v>4.3522619999999996</v>
      </c>
      <c r="E2080">
        <v>0.49849139999999997</v>
      </c>
      <c r="F2080" t="s">
        <v>54</v>
      </c>
      <c r="G2080">
        <v>-457.95139999999998</v>
      </c>
      <c r="H2080" s="1">
        <v>2.8274370000000002E-6</v>
      </c>
      <c r="I2080">
        <v>281.57679999999999</v>
      </c>
      <c r="J2080">
        <v>-444.1404</v>
      </c>
      <c r="K2080">
        <v>1.1106</v>
      </c>
      <c r="L2080">
        <v>283.54849999999999</v>
      </c>
      <c r="M2080">
        <v>-0.99956639999999997</v>
      </c>
      <c r="N2080">
        <v>0</v>
      </c>
      <c r="O2080">
        <v>-2.55214E-2</v>
      </c>
      <c r="P2080">
        <v>-0.98973370000000005</v>
      </c>
      <c r="Q2080">
        <v>5.6168349999999999E-2</v>
      </c>
      <c r="R2080">
        <v>-0.1314264</v>
      </c>
      <c r="S2080">
        <v>-2.9893190000000001</v>
      </c>
      <c r="T2080">
        <v>-0.2325962</v>
      </c>
      <c r="U2080">
        <v>-0.41546630000000001</v>
      </c>
      <c r="V2080">
        <v>-0.1062568</v>
      </c>
      <c r="W2080">
        <v>7.0536000000000001E-2</v>
      </c>
      <c r="X2080">
        <v>0.99183370000000004</v>
      </c>
      <c r="Y2080">
        <v>-0.112078</v>
      </c>
      <c r="Z2080">
        <v>-2.3604899999999998E-3</v>
      </c>
      <c r="AA2080">
        <v>0.99369660000000004</v>
      </c>
      <c r="AB2080">
        <v>46</v>
      </c>
      <c r="AC2080">
        <v>-13.8109999999999</v>
      </c>
      <c r="AD2080">
        <v>-1.1105971725629999</v>
      </c>
      <c r="AE2080">
        <v>-1.97169999999999</v>
      </c>
      <c r="AF2080">
        <v>-1.6083510484154899</v>
      </c>
      <c r="AG2080">
        <v>-1.1105971725629999</v>
      </c>
      <c r="AH2080">
        <v>13.7695653387029</v>
      </c>
      <c r="AI2080">
        <v>94.580257290978494</v>
      </c>
      <c r="AJ2080">
        <v>96.6622319634983</v>
      </c>
      <c r="AK2080">
        <v>13.907593206283099</v>
      </c>
      <c r="AL2080">
        <v>85.955225988389799</v>
      </c>
      <c r="AM2080">
        <v>96.114869827358802</v>
      </c>
      <c r="AN2080">
        <v>0.99999996164896399</v>
      </c>
    </row>
    <row r="2081" spans="1:40" x14ac:dyDescent="0.25">
      <c r="A2081" t="str">
        <f>"20190312151308036"</f>
        <v>20190312151308036</v>
      </c>
      <c r="B2081" t="str">
        <f>"1552374788031910"</f>
        <v>1552374788031910</v>
      </c>
      <c r="C2081" t="s">
        <v>40</v>
      </c>
      <c r="D2081">
        <v>4.3549389999999999</v>
      </c>
      <c r="E2081">
        <v>0.4991295</v>
      </c>
      <c r="F2081" t="s">
        <v>54</v>
      </c>
      <c r="G2081">
        <v>-458.07229999999998</v>
      </c>
      <c r="H2081" s="1">
        <v>2.8911760000000001E-6</v>
      </c>
      <c r="I2081">
        <v>281.58999999999997</v>
      </c>
      <c r="J2081">
        <v>-445.06209999999999</v>
      </c>
      <c r="K2081">
        <v>1.1105799999999999</v>
      </c>
      <c r="L2081">
        <v>283.52370000000002</v>
      </c>
      <c r="M2081">
        <v>-0.99953380000000003</v>
      </c>
      <c r="N2081">
        <v>0</v>
      </c>
      <c r="O2081">
        <v>-2.6772339999999999E-2</v>
      </c>
      <c r="P2081">
        <v>-0.98950740000000004</v>
      </c>
      <c r="Q2081">
        <v>5.6441659999999998E-2</v>
      </c>
      <c r="R2081">
        <v>-0.13300149999999999</v>
      </c>
      <c r="S2081">
        <v>-2.9888309999999998</v>
      </c>
      <c r="T2081">
        <v>-0.2382572</v>
      </c>
      <c r="U2081">
        <v>-0.42016599999999998</v>
      </c>
      <c r="V2081">
        <v>-0.1065933</v>
      </c>
      <c r="W2081">
        <v>7.0804740000000005E-2</v>
      </c>
      <c r="X2081">
        <v>0.99177850000000001</v>
      </c>
      <c r="Y2081">
        <v>-0.1123794</v>
      </c>
      <c r="Z2081">
        <v>-2.3308690000000002E-3</v>
      </c>
      <c r="AA2081">
        <v>0.99366270000000001</v>
      </c>
      <c r="AB2081">
        <v>46</v>
      </c>
      <c r="AC2081">
        <v>-13.0101999999999</v>
      </c>
      <c r="AD2081">
        <v>-1.110577108824</v>
      </c>
      <c r="AE2081">
        <v>-1.9337000000000399</v>
      </c>
      <c r="AF2081">
        <v>-1.57343837005317</v>
      </c>
      <c r="AG2081">
        <v>-1.110577108824</v>
      </c>
      <c r="AH2081">
        <v>12.9648817537262</v>
      </c>
      <c r="AI2081">
        <v>94.860537242759506</v>
      </c>
      <c r="AJ2081">
        <v>96.919665617078905</v>
      </c>
      <c r="AK2081">
        <v>13.1071449487332</v>
      </c>
      <c r="AL2081">
        <v>85.939789953963299</v>
      </c>
      <c r="AM2081">
        <v>96.1344261431761</v>
      </c>
      <c r="AN2081">
        <v>1.0000000179368</v>
      </c>
    </row>
    <row r="2082" spans="1:40" x14ac:dyDescent="0.25">
      <c r="A2082" t="str">
        <f>"20190312151308058"</f>
        <v>20190312151308058</v>
      </c>
      <c r="B2082" t="str">
        <f>"1552374788052405"</f>
        <v>1552374788052405</v>
      </c>
      <c r="C2082" t="s">
        <v>40</v>
      </c>
      <c r="D2082">
        <v>4.3342679999999998</v>
      </c>
      <c r="E2082">
        <v>0.49905820000000001</v>
      </c>
      <c r="F2082" t="s">
        <v>54</v>
      </c>
      <c r="G2082">
        <v>-458.76220000000001</v>
      </c>
      <c r="H2082" s="1">
        <v>3.2579300000000002E-6</v>
      </c>
      <c r="I2082">
        <v>281.59870000000001</v>
      </c>
      <c r="J2082">
        <v>-445.51479999999998</v>
      </c>
      <c r="K2082">
        <v>1.1105849999999999</v>
      </c>
      <c r="L2082">
        <v>283.51100000000002</v>
      </c>
      <c r="M2082">
        <v>-0.99951659999999998</v>
      </c>
      <c r="N2082">
        <v>0</v>
      </c>
      <c r="O2082">
        <v>-2.7407999999999998E-2</v>
      </c>
      <c r="P2082">
        <v>-0.9893092</v>
      </c>
      <c r="Q2082">
        <v>5.6368120000000001E-2</v>
      </c>
      <c r="R2082">
        <v>-0.13450039999999999</v>
      </c>
      <c r="S2082">
        <v>-2.989166</v>
      </c>
      <c r="T2082">
        <v>-0.242312</v>
      </c>
      <c r="U2082">
        <v>-0.42001339999999998</v>
      </c>
      <c r="V2082">
        <v>-0.10746650000000001</v>
      </c>
      <c r="W2082">
        <v>7.0723869999999994E-2</v>
      </c>
      <c r="X2082">
        <v>0.99168999999999996</v>
      </c>
      <c r="Y2082">
        <v>-0.1116776</v>
      </c>
      <c r="Z2082">
        <v>-2.290757E-3</v>
      </c>
      <c r="AA2082">
        <v>0.99374189999999996</v>
      </c>
      <c r="AB2082">
        <v>46</v>
      </c>
      <c r="AC2082">
        <v>-13.247400000000001</v>
      </c>
      <c r="AD2082">
        <v>-1.1105817420699999</v>
      </c>
      <c r="AE2082">
        <v>-1.9122999999999599</v>
      </c>
      <c r="AF2082">
        <v>-1.5378698834858899</v>
      </c>
      <c r="AG2082">
        <v>-1.1105817420699999</v>
      </c>
      <c r="AH2082">
        <v>13.2039355228936</v>
      </c>
      <c r="AI2082">
        <v>94.775694031088094</v>
      </c>
      <c r="AJ2082">
        <v>96.643340102680497</v>
      </c>
      <c r="AK2082">
        <v>13.3395033219788</v>
      </c>
      <c r="AL2082">
        <v>85.9444349759099</v>
      </c>
      <c r="AM2082">
        <v>96.184838441150305</v>
      </c>
      <c r="AN2082">
        <v>0.99999998525501299</v>
      </c>
    </row>
    <row r="2083" spans="1:40" x14ac:dyDescent="0.25">
      <c r="A2083" t="str">
        <f>"20190312151308079"</f>
        <v>20190312151308079</v>
      </c>
      <c r="B2083" t="str">
        <f>"1552374788071926"</f>
        <v>1552374788071926</v>
      </c>
      <c r="C2083" t="s">
        <v>40</v>
      </c>
      <c r="D2083">
        <v>4.3419540000000003</v>
      </c>
      <c r="E2083">
        <v>0.49915690000000001</v>
      </c>
      <c r="F2083" t="s">
        <v>54</v>
      </c>
      <c r="G2083">
        <v>-458.84890000000001</v>
      </c>
      <c r="H2083" s="1">
        <v>3.3033490000000001E-6</v>
      </c>
      <c r="I2083">
        <v>281.61489999999998</v>
      </c>
      <c r="J2083">
        <v>-445.96460000000002</v>
      </c>
      <c r="K2083">
        <v>1.110603</v>
      </c>
      <c r="L2083">
        <v>283.4982</v>
      </c>
      <c r="M2083">
        <v>-0.99949840000000001</v>
      </c>
      <c r="N2083">
        <v>0</v>
      </c>
      <c r="O2083">
        <v>-2.80672E-2</v>
      </c>
      <c r="P2083">
        <v>-0.98902659999999998</v>
      </c>
      <c r="Q2083">
        <v>5.6661410000000002E-2</v>
      </c>
      <c r="R2083">
        <v>-0.13644049999999999</v>
      </c>
      <c r="S2083">
        <v>-2.9888309999999998</v>
      </c>
      <c r="T2083">
        <v>-0.24893689999999999</v>
      </c>
      <c r="U2083">
        <v>-0.42501830000000002</v>
      </c>
      <c r="V2083">
        <v>-0.1087622</v>
      </c>
      <c r="W2083">
        <v>7.1006399999999997E-2</v>
      </c>
      <c r="X2083">
        <v>0.99152859999999998</v>
      </c>
      <c r="Y2083">
        <v>-0.112653</v>
      </c>
      <c r="Z2083">
        <v>-2.3390519999999999E-3</v>
      </c>
      <c r="AA2083">
        <v>0.99363170000000001</v>
      </c>
      <c r="AB2083">
        <v>46</v>
      </c>
      <c r="AC2083">
        <v>-12.8842999999999</v>
      </c>
      <c r="AD2083">
        <v>-1.1105996966509999</v>
      </c>
      <c r="AE2083">
        <v>-1.88330000000002</v>
      </c>
      <c r="AF2083">
        <v>-1.5099086949512801</v>
      </c>
      <c r="AG2083">
        <v>-1.1105996966509999</v>
      </c>
      <c r="AH2083">
        <v>12.8386906401802</v>
      </c>
      <c r="AI2083">
        <v>94.910339643576904</v>
      </c>
      <c r="AJ2083">
        <v>96.707523649961999</v>
      </c>
      <c r="AK2083">
        <v>12.9747922259874</v>
      </c>
      <c r="AL2083">
        <v>85.928206641740601</v>
      </c>
      <c r="AM2083">
        <v>96.259830082978695</v>
      </c>
      <c r="AN2083">
        <v>1.0000000448038699</v>
      </c>
    </row>
    <row r="2084" spans="1:40" x14ac:dyDescent="0.25">
      <c r="A2084" t="str">
        <f>"20190312151308102"</f>
        <v>20190312151308102</v>
      </c>
      <c r="B2084" t="str">
        <f>"1552374788092422"</f>
        <v>1552374788092422</v>
      </c>
      <c r="C2084" t="s">
        <v>40</v>
      </c>
      <c r="D2084">
        <v>4.3827339999999904</v>
      </c>
      <c r="E2084">
        <v>0.49916490000000002</v>
      </c>
      <c r="F2084" t="s">
        <v>54</v>
      </c>
      <c r="G2084">
        <v>-459.06939999999997</v>
      </c>
      <c r="H2084" s="1">
        <v>3.4207780000000002E-6</v>
      </c>
      <c r="I2084">
        <v>281.61259999999999</v>
      </c>
      <c r="J2084">
        <v>-446.42009999999999</v>
      </c>
      <c r="K2084">
        <v>1.1106370000000001</v>
      </c>
      <c r="L2084">
        <v>283.48480000000001</v>
      </c>
      <c r="M2084">
        <v>-0.99947830000000004</v>
      </c>
      <c r="N2084">
        <v>0</v>
      </c>
      <c r="O2084">
        <v>-2.8779010000000001E-2</v>
      </c>
      <c r="P2084">
        <v>-0.98874629999999997</v>
      </c>
      <c r="Q2084">
        <v>5.6873010000000002E-2</v>
      </c>
      <c r="R2084">
        <v>-0.13837169999999999</v>
      </c>
      <c r="S2084">
        <v>-2.9885250000000001</v>
      </c>
      <c r="T2084">
        <v>-0.25327060000000001</v>
      </c>
      <c r="U2084">
        <v>-0.42999270000000001</v>
      </c>
      <c r="V2084">
        <v>-0.1099984</v>
      </c>
      <c r="W2084">
        <v>7.1202849999999998E-2</v>
      </c>
      <c r="X2084">
        <v>0.99137810000000004</v>
      </c>
      <c r="Y2084">
        <v>-0.1135694</v>
      </c>
      <c r="Z2084">
        <v>-2.358335E-3</v>
      </c>
      <c r="AA2084">
        <v>0.9935273</v>
      </c>
      <c r="AB2084">
        <v>46</v>
      </c>
      <c r="AC2084">
        <v>-12.649299999999901</v>
      </c>
      <c r="AD2084">
        <v>-1.1106335792219999</v>
      </c>
      <c r="AE2084">
        <v>-1.8722000000000201</v>
      </c>
      <c r="AF2084">
        <v>-1.49606470976276</v>
      </c>
      <c r="AG2084">
        <v>-1.1106335792219999</v>
      </c>
      <c r="AH2084">
        <v>12.602870232756599</v>
      </c>
      <c r="AI2084">
        <v>95.001271042118901</v>
      </c>
      <c r="AJ2084">
        <v>96.769801295934997</v>
      </c>
      <c r="AK2084">
        <v>12.739860857434699</v>
      </c>
      <c r="AL2084">
        <v>85.916922204356098</v>
      </c>
      <c r="AM2084">
        <v>96.331358616192801</v>
      </c>
      <c r="AN2084">
        <v>1.0000000155051401</v>
      </c>
    </row>
    <row r="2085" spans="1:40" x14ac:dyDescent="0.25">
      <c r="A2085" t="str">
        <f>"20190312151308124"</f>
        <v>20190312151308124</v>
      </c>
      <c r="B2085" t="str">
        <f>"1552374788111942"</f>
        <v>1552374788111942</v>
      </c>
      <c r="C2085" t="s">
        <v>40</v>
      </c>
      <c r="D2085">
        <v>4.355359</v>
      </c>
      <c r="E2085">
        <v>0.49917729999999999</v>
      </c>
      <c r="F2085" t="s">
        <v>54</v>
      </c>
      <c r="G2085">
        <v>-459.48099999999999</v>
      </c>
      <c r="H2085" s="1">
        <v>3.6412930000000002E-6</v>
      </c>
      <c r="I2085">
        <v>281.57920000000001</v>
      </c>
      <c r="J2085">
        <v>-446.87240000000003</v>
      </c>
      <c r="K2085">
        <v>1.1106819999999999</v>
      </c>
      <c r="L2085">
        <v>283.47120000000001</v>
      </c>
      <c r="M2085">
        <v>-0.99945620000000002</v>
      </c>
      <c r="N2085">
        <v>0</v>
      </c>
      <c r="O2085">
        <v>-2.9540690000000001E-2</v>
      </c>
      <c r="P2085">
        <v>-0.98841829999999997</v>
      </c>
      <c r="Q2085">
        <v>5.6803600000000003E-2</v>
      </c>
      <c r="R2085">
        <v>-0.1407235</v>
      </c>
      <c r="S2085">
        <v>-2.9877319999999998</v>
      </c>
      <c r="T2085">
        <v>-0.25406099999999998</v>
      </c>
      <c r="U2085">
        <v>-0.4359131</v>
      </c>
      <c r="V2085">
        <v>-0.1116095</v>
      </c>
      <c r="W2085">
        <v>7.1113899999999994E-2</v>
      </c>
      <c r="X2085">
        <v>0.99120439999999999</v>
      </c>
      <c r="Y2085">
        <v>-0.11477420000000001</v>
      </c>
      <c r="Z2085">
        <v>-2.3526049999999998E-3</v>
      </c>
      <c r="AA2085">
        <v>0.99338879999999996</v>
      </c>
      <c r="AB2085">
        <v>46</v>
      </c>
      <c r="AC2085">
        <v>-12.6085999999999</v>
      </c>
      <c r="AD2085">
        <v>-1.1106783587069999</v>
      </c>
      <c r="AE2085">
        <v>-1.8919999999999899</v>
      </c>
      <c r="AF2085">
        <v>-1.50722934443441</v>
      </c>
      <c r="AG2085">
        <v>-1.1106783587069999</v>
      </c>
      <c r="AH2085">
        <v>12.5636502681501</v>
      </c>
      <c r="AI2085">
        <v>95.016265721260595</v>
      </c>
      <c r="AJ2085">
        <v>96.840936067097303</v>
      </c>
      <c r="AK2085">
        <v>12.702387758748801</v>
      </c>
      <c r="AL2085">
        <v>85.922031613688006</v>
      </c>
      <c r="AM2085">
        <v>96.424438047269902</v>
      </c>
      <c r="AN2085">
        <v>1.0000000149213999</v>
      </c>
    </row>
    <row r="2086" spans="1:40" x14ac:dyDescent="0.25">
      <c r="A2086" t="str">
        <f>"20190312151308148"</f>
        <v>20190312151308148</v>
      </c>
      <c r="B2086" t="str">
        <f>"1552374788142201"</f>
        <v>1552374788142201</v>
      </c>
      <c r="C2086" t="s">
        <v>40</v>
      </c>
      <c r="D2086">
        <v>4.3443009999999997</v>
      </c>
      <c r="E2086">
        <v>0.49925609999999998</v>
      </c>
      <c r="F2086" t="s">
        <v>54</v>
      </c>
      <c r="G2086">
        <v>-459.86369999999999</v>
      </c>
      <c r="H2086" s="1">
        <v>3.8464649999999996E-6</v>
      </c>
      <c r="I2086">
        <v>281.54390000000001</v>
      </c>
      <c r="J2086">
        <v>-447.3433</v>
      </c>
      <c r="K2086">
        <v>1.1107359999999999</v>
      </c>
      <c r="L2086">
        <v>283.45650000000001</v>
      </c>
      <c r="M2086">
        <v>-0.99943020000000005</v>
      </c>
      <c r="N2086">
        <v>0</v>
      </c>
      <c r="O2086">
        <v>-3.0402390000000001E-2</v>
      </c>
      <c r="P2086">
        <v>-0.98809219999999998</v>
      </c>
      <c r="Q2086">
        <v>5.7155419999999998E-2</v>
      </c>
      <c r="R2086">
        <v>-0.1428546</v>
      </c>
      <c r="S2086">
        <v>-2.986755</v>
      </c>
      <c r="T2086">
        <v>-0.25535089999999999</v>
      </c>
      <c r="U2086">
        <v>-0.4430847</v>
      </c>
      <c r="V2086">
        <v>-0.1129042</v>
      </c>
      <c r="W2086">
        <v>7.1443989999999999E-2</v>
      </c>
      <c r="X2086">
        <v>0.99103399999999997</v>
      </c>
      <c r="Y2086">
        <v>-0.1162933</v>
      </c>
      <c r="Z2086">
        <v>-2.3563070000000002E-3</v>
      </c>
      <c r="AA2086">
        <v>0.99321210000000004</v>
      </c>
      <c r="AB2086">
        <v>46</v>
      </c>
      <c r="AC2086">
        <v>-12.520399999999899</v>
      </c>
      <c r="AD2086">
        <v>-1.1107321535349901</v>
      </c>
      <c r="AE2086">
        <v>-1.9125999999999901</v>
      </c>
      <c r="AF2086">
        <v>-1.5193399407949699</v>
      </c>
      <c r="AG2086">
        <v>-1.1107321535349901</v>
      </c>
      <c r="AH2086">
        <v>12.4768098758216</v>
      </c>
      <c r="AI2086">
        <v>95.050162223410197</v>
      </c>
      <c r="AJ2086">
        <v>96.942901871323201</v>
      </c>
      <c r="AK2086">
        <v>12.6179595993168</v>
      </c>
      <c r="AL2086">
        <v>85.9030705420343</v>
      </c>
      <c r="AM2086">
        <v>96.499437163614203</v>
      </c>
      <c r="AN2086">
        <v>0.999999995620379</v>
      </c>
    </row>
    <row r="2087" spans="1:40" x14ac:dyDescent="0.25">
      <c r="A2087" t="str">
        <f>"20190312151308169"</f>
        <v>20190312151308169</v>
      </c>
      <c r="B2087" t="str">
        <f>"1552374788161718"</f>
        <v>1552374788161718</v>
      </c>
      <c r="C2087" t="s">
        <v>40</v>
      </c>
      <c r="D2087">
        <v>4.7349959999999998</v>
      </c>
      <c r="E2087">
        <v>0.49940109999999899</v>
      </c>
      <c r="F2087" t="s">
        <v>54</v>
      </c>
      <c r="G2087">
        <v>-460.14030000000002</v>
      </c>
      <c r="H2087" s="1">
        <v>-1.32731E-6</v>
      </c>
      <c r="I2087">
        <v>281.53190000000001</v>
      </c>
      <c r="J2087">
        <v>-447.78660000000002</v>
      </c>
      <c r="K2087">
        <v>1.1107880000000001</v>
      </c>
      <c r="L2087">
        <v>283.44229999999999</v>
      </c>
      <c r="M2087">
        <v>-0.99940320000000005</v>
      </c>
      <c r="N2087">
        <v>0</v>
      </c>
      <c r="O2087">
        <v>-3.1280740000000001E-2</v>
      </c>
      <c r="P2087">
        <v>-0.98772020000000005</v>
      </c>
      <c r="Q2087">
        <v>5.7508120000000003E-2</v>
      </c>
      <c r="R2087">
        <v>-0.145265899999999</v>
      </c>
      <c r="S2087">
        <v>-2.986237</v>
      </c>
      <c r="T2087">
        <v>-0.25919629999999999</v>
      </c>
      <c r="U2087">
        <v>-0.4491272</v>
      </c>
      <c r="V2087">
        <v>-0.1144646</v>
      </c>
      <c r="W2087">
        <v>7.1772630000000004E-2</v>
      </c>
      <c r="X2087">
        <v>0.99083129999999997</v>
      </c>
      <c r="Y2087">
        <v>-0.11740109999999999</v>
      </c>
      <c r="Z2087">
        <v>-2.363895E-3</v>
      </c>
      <c r="AA2087">
        <v>0.99308169999999996</v>
      </c>
      <c r="AB2087">
        <v>46</v>
      </c>
      <c r="AC2087">
        <v>-12.3537</v>
      </c>
      <c r="AD2087">
        <v>-1.11078932730999</v>
      </c>
      <c r="AE2087">
        <v>-1.9103999999999799</v>
      </c>
      <c r="AF2087">
        <v>-1.5110592563855401</v>
      </c>
      <c r="AG2087">
        <v>-1.11078932730999</v>
      </c>
      <c r="AH2087">
        <v>12.3102172455658</v>
      </c>
      <c r="AI2087">
        <v>95.117808815826507</v>
      </c>
      <c r="AJ2087">
        <v>96.997957913631595</v>
      </c>
      <c r="AK2087">
        <v>12.4522528740385</v>
      </c>
      <c r="AL2087">
        <v>85.884192659163801</v>
      </c>
      <c r="AM2087">
        <v>96.589814619380107</v>
      </c>
      <c r="AN2087">
        <v>1.0000000600649801</v>
      </c>
    </row>
    <row r="2088" spans="1:40" x14ac:dyDescent="0.25">
      <c r="A2088" t="str">
        <f>"20190312151308191"</f>
        <v>20190312151308191</v>
      </c>
      <c r="B2088" t="str">
        <f>"1552374788182214"</f>
        <v>1552374788182214</v>
      </c>
      <c r="C2088" t="s">
        <v>40</v>
      </c>
      <c r="D2088">
        <v>4.3826070000000001</v>
      </c>
      <c r="E2088">
        <v>0.49962089999999998</v>
      </c>
      <c r="F2088" t="s">
        <v>54</v>
      </c>
      <c r="G2088">
        <v>-460.75420000000003</v>
      </c>
      <c r="H2088" s="1">
        <v>-9.976845000000001E-7</v>
      </c>
      <c r="I2088">
        <v>281.4649</v>
      </c>
      <c r="J2088">
        <v>-448.2441</v>
      </c>
      <c r="K2088">
        <v>1.1108499999999999</v>
      </c>
      <c r="L2088">
        <v>283.42720000000003</v>
      </c>
      <c r="M2088">
        <v>-0.9993725</v>
      </c>
      <c r="N2088">
        <v>0</v>
      </c>
      <c r="O2088">
        <v>-3.2247100000000001E-2</v>
      </c>
      <c r="P2088">
        <v>-0.9873478</v>
      </c>
      <c r="Q2088">
        <v>5.7821280000000003E-2</v>
      </c>
      <c r="R2088">
        <v>-0.14765159999999999</v>
      </c>
      <c r="S2088">
        <v>-2.9851990000000002</v>
      </c>
      <c r="T2088">
        <v>-0.25570870000000001</v>
      </c>
      <c r="U2088">
        <v>-0.4552002</v>
      </c>
      <c r="V2088">
        <v>-0.1159129</v>
      </c>
      <c r="W2088">
        <v>7.2061330000000007E-2</v>
      </c>
      <c r="X2088">
        <v>0.99064189999999996</v>
      </c>
      <c r="Y2088">
        <v>-0.1184746</v>
      </c>
      <c r="Z2088">
        <v>-2.2962669999999998E-3</v>
      </c>
      <c r="AA2088">
        <v>0.99295440000000001</v>
      </c>
      <c r="AB2088">
        <v>46</v>
      </c>
      <c r="AC2088">
        <v>-12.5101</v>
      </c>
      <c r="AD2088">
        <v>-1.11085099768449</v>
      </c>
      <c r="AE2088">
        <v>-1.9623000000000199</v>
      </c>
      <c r="AF2088">
        <v>-1.5459248910650201</v>
      </c>
      <c r="AG2088">
        <v>-1.11085099768449</v>
      </c>
      <c r="AH2088">
        <v>12.4709084853225</v>
      </c>
      <c r="AI2088">
        <v>95.051745483329597</v>
      </c>
      <c r="AJ2088">
        <v>97.066478590303802</v>
      </c>
      <c r="AK2088">
        <v>12.615364923662</v>
      </c>
      <c r="AL2088">
        <v>85.867608197142403</v>
      </c>
      <c r="AM2088">
        <v>96.673711358328305</v>
      </c>
      <c r="AN2088">
        <v>1.0000000048516899</v>
      </c>
    </row>
    <row r="2089" spans="1:40" x14ac:dyDescent="0.25">
      <c r="A2089" t="str">
        <f>"20190312151308214"</f>
        <v>20190312151308214</v>
      </c>
      <c r="B2089" t="str">
        <f>"1552374788202710"</f>
        <v>1552374788202710</v>
      </c>
      <c r="C2089" t="s">
        <v>40</v>
      </c>
      <c r="D2089">
        <v>4.5356730000000001</v>
      </c>
      <c r="E2089">
        <v>0.4998475</v>
      </c>
      <c r="F2089" t="s">
        <v>54</v>
      </c>
      <c r="G2089">
        <v>-461.54129999999998</v>
      </c>
      <c r="H2089" s="1">
        <v>-5.7494560000000002E-7</v>
      </c>
      <c r="I2089">
        <v>281.3759</v>
      </c>
      <c r="J2089">
        <v>-448.70119999999997</v>
      </c>
      <c r="K2089">
        <v>1.1109150000000001</v>
      </c>
      <c r="L2089">
        <v>283.4117</v>
      </c>
      <c r="M2089">
        <v>-0.99933890000000003</v>
      </c>
      <c r="N2089">
        <v>0</v>
      </c>
      <c r="O2089">
        <v>-3.3273419999999998E-2</v>
      </c>
      <c r="P2089">
        <v>-0.98699490000000001</v>
      </c>
      <c r="Q2089">
        <v>5.794378E-2</v>
      </c>
      <c r="R2089">
        <v>-0.14994660000000001</v>
      </c>
      <c r="S2089">
        <v>-2.9841920000000002</v>
      </c>
      <c r="T2089">
        <v>-0.2493002</v>
      </c>
      <c r="U2089">
        <v>-0.46035769999999998</v>
      </c>
      <c r="V2089">
        <v>-0.1172101</v>
      </c>
      <c r="W2089">
        <v>7.2159769999999998E-2</v>
      </c>
      <c r="X2089">
        <v>0.99048210000000003</v>
      </c>
      <c r="Y2089">
        <v>-0.1191976</v>
      </c>
      <c r="Z2089">
        <v>-2.184404E-3</v>
      </c>
      <c r="AA2089">
        <v>0.99286810000000003</v>
      </c>
      <c r="AB2089">
        <v>46</v>
      </c>
      <c r="AC2089">
        <v>-12.8401</v>
      </c>
      <c r="AD2089">
        <v>-1.1109155749455999</v>
      </c>
      <c r="AE2089">
        <v>-2.0357999999999898</v>
      </c>
      <c r="AF2089">
        <v>-1.5957404833176601</v>
      </c>
      <c r="AG2089">
        <v>-1.1109155749455999</v>
      </c>
      <c r="AH2089">
        <v>12.807215516738299</v>
      </c>
      <c r="AI2089">
        <v>94.919654970884693</v>
      </c>
      <c r="AJ2089">
        <v>97.102279603230301</v>
      </c>
      <c r="AK2089">
        <v>12.9539681332376</v>
      </c>
      <c r="AL2089">
        <v>85.861953321707603</v>
      </c>
      <c r="AM2089">
        <v>96.748791626521594</v>
      </c>
      <c r="AN2089">
        <v>1.0000000151844299</v>
      </c>
    </row>
    <row r="2090" spans="1:40" x14ac:dyDescent="0.25">
      <c r="A2090" t="str">
        <f>"20190312151308238"</f>
        <v>20190312151308238</v>
      </c>
      <c r="B2090" t="str">
        <f>"1552374788231990"</f>
        <v>1552374788231990</v>
      </c>
      <c r="C2090" t="s">
        <v>40</v>
      </c>
      <c r="D2090">
        <v>4.3810669999999998</v>
      </c>
      <c r="E2090">
        <v>0.4716246</v>
      </c>
      <c r="F2090" t="s">
        <v>54</v>
      </c>
      <c r="G2090">
        <v>-462.10989999999998</v>
      </c>
      <c r="H2090" s="1">
        <v>-2.698534E-7</v>
      </c>
      <c r="I2090">
        <v>281.31869999999998</v>
      </c>
      <c r="J2090">
        <v>-449.18770000000001</v>
      </c>
      <c r="K2090">
        <v>1.110973</v>
      </c>
      <c r="L2090">
        <v>283.39449999999999</v>
      </c>
      <c r="M2090">
        <v>-0.99929979999999996</v>
      </c>
      <c r="N2090">
        <v>0</v>
      </c>
      <c r="O2090">
        <v>-3.4431679999999999E-2</v>
      </c>
      <c r="P2090">
        <v>-0.98662019999999995</v>
      </c>
      <c r="Q2090">
        <v>5.7879659999999999E-2</v>
      </c>
      <c r="R2090">
        <v>-0.152417</v>
      </c>
      <c r="S2090">
        <v>-2.983276</v>
      </c>
      <c r="T2090">
        <v>-0.2471653</v>
      </c>
      <c r="U2090">
        <v>-0.46566770000000002</v>
      </c>
      <c r="V2090">
        <v>-0.11855300000000001</v>
      </c>
      <c r="W2090">
        <v>7.206941E-2</v>
      </c>
      <c r="X2090">
        <v>0.99032880000000001</v>
      </c>
      <c r="Y2090">
        <v>-0.1198251</v>
      </c>
      <c r="Z2090">
        <v>-2.0968699999999998E-3</v>
      </c>
      <c r="AA2090">
        <v>0.99279280000000003</v>
      </c>
      <c r="AB2090">
        <v>46</v>
      </c>
      <c r="AC2090">
        <v>-12.922199999999901</v>
      </c>
      <c r="AD2090">
        <v>-1.1109732698533901</v>
      </c>
      <c r="AE2090">
        <v>-2.0758000000000099</v>
      </c>
      <c r="AF2090">
        <v>-1.6179300029561801</v>
      </c>
      <c r="AG2090">
        <v>-1.1109732698533901</v>
      </c>
      <c r="AH2090">
        <v>12.893114615269299</v>
      </c>
      <c r="AI2090">
        <v>94.886756651521793</v>
      </c>
      <c r="AJ2090">
        <v>97.152539782688606</v>
      </c>
      <c r="AK2090">
        <v>13.0416396048681</v>
      </c>
      <c r="AL2090">
        <v>85.867143908066794</v>
      </c>
      <c r="AM2090">
        <v>96.826435116811197</v>
      </c>
      <c r="AN2090">
        <v>0.99999997288809295</v>
      </c>
    </row>
    <row r="2091" spans="1:40" x14ac:dyDescent="0.25">
      <c r="A2091" t="str">
        <f>"20190312151308259"</f>
        <v>20190312151308259</v>
      </c>
      <c r="B2091" t="str">
        <f>"1552374788252485"</f>
        <v>1552374788252485</v>
      </c>
      <c r="C2091" t="s">
        <v>40</v>
      </c>
      <c r="D2091">
        <v>4.3563919999999996</v>
      </c>
      <c r="E2091">
        <v>0.46875129999999998</v>
      </c>
      <c r="F2091" t="s">
        <v>54</v>
      </c>
      <c r="G2091">
        <v>-458.85539999999997</v>
      </c>
      <c r="H2091" s="1">
        <v>3.329093E-6</v>
      </c>
      <c r="I2091">
        <v>281.10559999999998</v>
      </c>
      <c r="J2091">
        <v>-449.61959999999999</v>
      </c>
      <c r="K2091">
        <v>1.111027</v>
      </c>
      <c r="L2091">
        <v>283.37880000000001</v>
      </c>
      <c r="M2091">
        <v>-0.99926159999999997</v>
      </c>
      <c r="N2091">
        <v>0</v>
      </c>
      <c r="O2091">
        <v>-3.5518229999999998E-2</v>
      </c>
      <c r="P2091">
        <v>-0.98622650000000001</v>
      </c>
      <c r="Q2091">
        <v>5.7706460000000001E-2</v>
      </c>
      <c r="R2091">
        <v>-0.15500710000000001</v>
      </c>
      <c r="S2091">
        <v>-2.9526370000000002</v>
      </c>
      <c r="T2091">
        <v>-0.3393042</v>
      </c>
      <c r="U2091">
        <v>-0.69906619999999997</v>
      </c>
      <c r="V2091">
        <v>-0.120087</v>
      </c>
      <c r="W2091">
        <v>7.1870600000000007E-2</v>
      </c>
      <c r="X2091">
        <v>0.99015839999999999</v>
      </c>
      <c r="Y2091">
        <v>-0.1946888</v>
      </c>
      <c r="Z2091">
        <v>-6.9902030000000004E-3</v>
      </c>
      <c r="AA2091">
        <v>0.98084009999999999</v>
      </c>
      <c r="AB2091">
        <v>46</v>
      </c>
      <c r="AC2091">
        <v>-9.2357999999999798</v>
      </c>
      <c r="AD2091">
        <v>-1.111023670907</v>
      </c>
      <c r="AE2091">
        <v>-2.2732000000000299</v>
      </c>
      <c r="AF2091">
        <v>-1.9175273734217</v>
      </c>
      <c r="AG2091">
        <v>-1.111023670907</v>
      </c>
      <c r="AH2091">
        <v>9.18539082014561</v>
      </c>
      <c r="AI2091">
        <v>96.752555217247703</v>
      </c>
      <c r="AJ2091">
        <v>101.79162768971101</v>
      </c>
      <c r="AK2091">
        <v>9.4489517590022896</v>
      </c>
      <c r="AL2091">
        <v>85.8785644611321</v>
      </c>
      <c r="AM2091">
        <v>96.915093544991194</v>
      </c>
      <c r="AN2091">
        <v>0.999999963901959</v>
      </c>
    </row>
    <row r="2092" spans="1:40" x14ac:dyDescent="0.25">
      <c r="A2092" t="str">
        <f>"20190312151308280"</f>
        <v>20190312151308280</v>
      </c>
      <c r="B2092" t="str">
        <f>"1552374788272006"</f>
        <v>1552374788272006</v>
      </c>
      <c r="C2092" t="s">
        <v>40</v>
      </c>
      <c r="D2092">
        <v>4.3782069999999997</v>
      </c>
      <c r="E2092">
        <v>0.46731020000000001</v>
      </c>
      <c r="F2092" t="s">
        <v>54</v>
      </c>
      <c r="G2092">
        <v>-459.49520000000001</v>
      </c>
      <c r="H2092" s="1">
        <v>3.6770250000000002E-6</v>
      </c>
      <c r="I2092">
        <v>280.93490000000003</v>
      </c>
      <c r="J2092">
        <v>-450.05849999999998</v>
      </c>
      <c r="K2092">
        <v>1.1110960000000001</v>
      </c>
      <c r="L2092">
        <v>283.3623</v>
      </c>
      <c r="M2092">
        <v>-0.99921950000000004</v>
      </c>
      <c r="N2092">
        <v>0</v>
      </c>
      <c r="O2092">
        <v>-3.6684330000000001E-2</v>
      </c>
      <c r="P2092">
        <v>-0.98579490000000003</v>
      </c>
      <c r="Q2092">
        <v>5.7350489999999997E-2</v>
      </c>
      <c r="R2092">
        <v>-0.15785839999999901</v>
      </c>
      <c r="S2092">
        <v>-2.9466549999999998</v>
      </c>
      <c r="T2092">
        <v>-0.3315032</v>
      </c>
      <c r="U2092">
        <v>-0.72921749999999996</v>
      </c>
      <c r="V2092">
        <v>-0.121806</v>
      </c>
      <c r="W2092">
        <v>7.1485820000000005E-2</v>
      </c>
      <c r="X2092">
        <v>0.98997630000000003</v>
      </c>
      <c r="Y2092">
        <v>-0.20346120000000001</v>
      </c>
      <c r="Z2092">
        <v>-7.192141E-3</v>
      </c>
      <c r="AA2092">
        <v>0.97905660000000005</v>
      </c>
      <c r="AB2092">
        <v>46</v>
      </c>
      <c r="AC2092">
        <v>-9.4367000000000303</v>
      </c>
      <c r="AD2092">
        <v>-1.1110923229749901</v>
      </c>
      <c r="AE2092">
        <v>-2.4273999999999698</v>
      </c>
      <c r="AF2092">
        <v>-2.0528568449103601</v>
      </c>
      <c r="AG2092">
        <v>-1.1110923229749901</v>
      </c>
      <c r="AH2092">
        <v>9.3972144405866693</v>
      </c>
      <c r="AI2092">
        <v>96.589160264478807</v>
      </c>
      <c r="AJ2092">
        <v>102.32288818204999</v>
      </c>
      <c r="AK2092">
        <v>9.6827881634496098</v>
      </c>
      <c r="AL2092">
        <v>85.900667731046298</v>
      </c>
      <c r="AM2092">
        <v>97.014378772706195</v>
      </c>
      <c r="AN2092">
        <v>0.999999999329381</v>
      </c>
    </row>
    <row r="2093" spans="1:40" x14ac:dyDescent="0.25">
      <c r="A2093" t="str">
        <f>"20190312151308303"</f>
        <v>20190312151308303</v>
      </c>
      <c r="B2093" t="str">
        <f>"1552374788292502"</f>
        <v>1552374788292502</v>
      </c>
      <c r="C2093" t="s">
        <v>40</v>
      </c>
      <c r="D2093">
        <v>4.4359739999999999</v>
      </c>
      <c r="E2093">
        <v>0.46649940000000001</v>
      </c>
      <c r="F2093" t="s">
        <v>54</v>
      </c>
      <c r="G2093">
        <v>-459.99459999999999</v>
      </c>
      <c r="H2093" s="1">
        <v>-1.374265E-6</v>
      </c>
      <c r="I2093">
        <v>280.8329</v>
      </c>
      <c r="J2093">
        <v>-450.51560000000001</v>
      </c>
      <c r="K2093">
        <v>1.1111799999999901</v>
      </c>
      <c r="L2093">
        <v>283.34460000000001</v>
      </c>
      <c r="M2093">
        <v>-0.99917140000000004</v>
      </c>
      <c r="N2093">
        <v>0</v>
      </c>
      <c r="O2093">
        <v>-3.797159E-2</v>
      </c>
      <c r="P2093">
        <v>-0.98535189999999995</v>
      </c>
      <c r="Q2093">
        <v>5.7829419999999999E-2</v>
      </c>
      <c r="R2093">
        <v>-0.16042890000000001</v>
      </c>
      <c r="S2093">
        <v>-2.9424130000000002</v>
      </c>
      <c r="T2093">
        <v>-0.32903310000000002</v>
      </c>
      <c r="U2093">
        <v>-0.749054</v>
      </c>
      <c r="V2093">
        <v>-0.1231298</v>
      </c>
      <c r="W2093">
        <v>7.1933369999999996E-2</v>
      </c>
      <c r="X2093">
        <v>0.98978010000000005</v>
      </c>
      <c r="Y2093">
        <v>-0.20872560000000001</v>
      </c>
      <c r="Z2093">
        <v>-7.291184E-3</v>
      </c>
      <c r="AA2093">
        <v>0.97794709999999996</v>
      </c>
      <c r="AB2093">
        <v>45</v>
      </c>
      <c r="AC2093">
        <v>-9.4789999999999797</v>
      </c>
      <c r="AD2093">
        <v>-1.1111813742650001</v>
      </c>
      <c r="AE2093">
        <v>-2.51170000000001</v>
      </c>
      <c r="AF2093">
        <v>-2.1226612762571699</v>
      </c>
      <c r="AG2093">
        <v>-1.1111813742650001</v>
      </c>
      <c r="AH2093">
        <v>9.4462532337652103</v>
      </c>
      <c r="AI2093">
        <v>96.547192137037101</v>
      </c>
      <c r="AJ2093">
        <v>102.664531069369</v>
      </c>
      <c r="AK2093">
        <v>9.7453637744649999</v>
      </c>
      <c r="AL2093">
        <v>85.874958828923695</v>
      </c>
      <c r="AM2093">
        <v>97.091231142406102</v>
      </c>
      <c r="AN2093">
        <v>1.0000000018618</v>
      </c>
    </row>
    <row r="2094" spans="1:40" x14ac:dyDescent="0.25">
      <c r="A2094" t="str">
        <f>"20190312151308325"</f>
        <v>20190312151308325</v>
      </c>
      <c r="B2094" t="str">
        <f>"1552374788321782"</f>
        <v>1552374788321782</v>
      </c>
      <c r="C2094" t="s">
        <v>40</v>
      </c>
      <c r="D2094">
        <v>4.4421080000000002</v>
      </c>
      <c r="E2094">
        <v>0.46586230000000001</v>
      </c>
      <c r="F2094" t="s">
        <v>54</v>
      </c>
      <c r="G2094">
        <v>-461.1318</v>
      </c>
      <c r="H2094" s="1">
        <v>-7.5865899999999996E-7</v>
      </c>
      <c r="I2094">
        <v>280.59300000000002</v>
      </c>
      <c r="J2094">
        <v>-450.95609999999999</v>
      </c>
      <c r="K2094">
        <v>1.111275</v>
      </c>
      <c r="L2094">
        <v>283.32690000000002</v>
      </c>
      <c r="M2094">
        <v>-0.99912009999999996</v>
      </c>
      <c r="N2094">
        <v>0</v>
      </c>
      <c r="O2094">
        <v>-3.9300689999999999E-2</v>
      </c>
      <c r="P2094">
        <v>-0.98500779999999999</v>
      </c>
      <c r="Q2094">
        <v>5.8538819999999998E-2</v>
      </c>
      <c r="R2094">
        <v>-0.16227449999999999</v>
      </c>
      <c r="S2094">
        <v>-2.93866</v>
      </c>
      <c r="T2094">
        <v>-0.30758669999999999</v>
      </c>
      <c r="U2094">
        <v>-0.76165769999999899</v>
      </c>
      <c r="V2094">
        <v>-0.1236867</v>
      </c>
      <c r="W2094">
        <v>7.261157E-2</v>
      </c>
      <c r="X2094">
        <v>0.98966120000000002</v>
      </c>
      <c r="Y2094">
        <v>-0.21177280000000001</v>
      </c>
      <c r="Z2094">
        <v>-6.8437749999999999E-3</v>
      </c>
      <c r="AA2094">
        <v>0.97729500000000002</v>
      </c>
      <c r="AB2094">
        <v>45</v>
      </c>
      <c r="AC2094">
        <v>-10.175700000000001</v>
      </c>
      <c r="AD2094">
        <v>-1.1112757586589901</v>
      </c>
      <c r="AE2094">
        <v>-2.7339000000000002</v>
      </c>
      <c r="AF2094">
        <v>-2.3061794324812399</v>
      </c>
      <c r="AG2094">
        <v>-1.1112757586589901</v>
      </c>
      <c r="AH2094">
        <v>10.1622515451071</v>
      </c>
      <c r="AI2094">
        <v>96.087116880261902</v>
      </c>
      <c r="AJ2094">
        <v>102.785912389486</v>
      </c>
      <c r="AK2094">
        <v>10.479730619277101</v>
      </c>
      <c r="AL2094">
        <v>85.8359992122937</v>
      </c>
      <c r="AM2094">
        <v>97.123822119210402</v>
      </c>
      <c r="AN2094">
        <v>1.00000006532009</v>
      </c>
    </row>
    <row r="2095" spans="1:40" x14ac:dyDescent="0.25">
      <c r="A2095" t="str">
        <f>"20190312151308348"</f>
        <v>20190312151308348</v>
      </c>
      <c r="B2095" t="str">
        <f>"1552374788341905"</f>
        <v>1552374788341905</v>
      </c>
      <c r="C2095" t="s">
        <v>40</v>
      </c>
      <c r="D2095">
        <v>4.4472690000000004</v>
      </c>
      <c r="E2095">
        <v>0.46569729999999998</v>
      </c>
      <c r="F2095" t="s">
        <v>54</v>
      </c>
      <c r="G2095">
        <v>-462.39429999999999</v>
      </c>
      <c r="H2095" s="1">
        <v>-7.4888019999999995E-8</v>
      </c>
      <c r="I2095">
        <v>280.32069999999999</v>
      </c>
      <c r="J2095">
        <v>-451.41669999999999</v>
      </c>
      <c r="K2095">
        <v>1.1114029999999999</v>
      </c>
      <c r="L2095">
        <v>283.3075</v>
      </c>
      <c r="M2095">
        <v>-0.99905929999999998</v>
      </c>
      <c r="N2095">
        <v>0</v>
      </c>
      <c r="O2095">
        <v>-4.0819910000000001E-2</v>
      </c>
      <c r="P2095">
        <v>-0.98457190000000006</v>
      </c>
      <c r="Q2095">
        <v>5.9867179999999999E-2</v>
      </c>
      <c r="R2095">
        <v>-0.1644216</v>
      </c>
      <c r="S2095">
        <v>-2.9355159999999998</v>
      </c>
      <c r="T2095">
        <v>-0.28519860000000002</v>
      </c>
      <c r="U2095">
        <v>-0.7715149</v>
      </c>
      <c r="V2095">
        <v>-0.12436759999999999</v>
      </c>
      <c r="W2095">
        <v>7.3900800000000003E-2</v>
      </c>
      <c r="X2095">
        <v>0.98948040000000004</v>
      </c>
      <c r="Y2095">
        <v>-0.21373339999999999</v>
      </c>
      <c r="Z2095">
        <v>-6.3010109999999996E-3</v>
      </c>
      <c r="AA2095">
        <v>0.97687170000000001</v>
      </c>
      <c r="AB2095">
        <v>45</v>
      </c>
      <c r="AC2095">
        <v>-10.977599999999899</v>
      </c>
      <c r="AD2095">
        <v>-1.1114030748880199</v>
      </c>
      <c r="AE2095">
        <v>-2.9868000000000099</v>
      </c>
      <c r="AF2095">
        <v>-2.5121820878077199</v>
      </c>
      <c r="AG2095">
        <v>-1.1114030748880199</v>
      </c>
      <c r="AH2095">
        <v>10.985540684953</v>
      </c>
      <c r="AI2095">
        <v>95.632508822651602</v>
      </c>
      <c r="AJ2095">
        <v>102.88095608499501</v>
      </c>
      <c r="AK2095">
        <v>11.323797056549999</v>
      </c>
      <c r="AL2095">
        <v>85.761932683179495</v>
      </c>
      <c r="AM2095">
        <v>97.163927993650404</v>
      </c>
      <c r="AN2095">
        <v>1.0000000450772699</v>
      </c>
    </row>
    <row r="2096" spans="1:40" x14ac:dyDescent="0.25">
      <c r="A2096" t="str">
        <f>"20190312151308370"</f>
        <v>20190312151308370</v>
      </c>
      <c r="B2096" t="str">
        <f>"1552374788362397"</f>
        <v>1552374788362397</v>
      </c>
      <c r="C2096" t="s">
        <v>40</v>
      </c>
      <c r="D2096">
        <v>4.4009980000000004</v>
      </c>
      <c r="E2096">
        <v>0.46556530000000002</v>
      </c>
      <c r="F2096" t="s">
        <v>54</v>
      </c>
      <c r="G2096">
        <v>-463.34249999999997</v>
      </c>
      <c r="H2096" s="1">
        <v>4.3751330000000001E-7</v>
      </c>
      <c r="I2096">
        <v>280.142</v>
      </c>
      <c r="J2096">
        <v>-451.8621</v>
      </c>
      <c r="K2096">
        <v>1.1115469999999901</v>
      </c>
      <c r="L2096">
        <v>283.28800000000001</v>
      </c>
      <c r="M2096">
        <v>-0.99899210000000005</v>
      </c>
      <c r="N2096">
        <v>0</v>
      </c>
      <c r="O2096">
        <v>-4.2430269999999999E-2</v>
      </c>
      <c r="P2096">
        <v>-0.98405759999999998</v>
      </c>
      <c r="Q2096">
        <v>6.2019299999999999E-2</v>
      </c>
      <c r="R2096">
        <v>-0.1666861</v>
      </c>
      <c r="S2096">
        <v>-2.933624</v>
      </c>
      <c r="T2096">
        <v>-0.27339229999999998</v>
      </c>
      <c r="U2096">
        <v>-0.77868649999999995</v>
      </c>
      <c r="V2096">
        <v>-0.12508749999999999</v>
      </c>
      <c r="W2096">
        <v>7.6007729999999996E-2</v>
      </c>
      <c r="X2096">
        <v>0.98923000000000005</v>
      </c>
      <c r="Y2096">
        <v>-0.2146103</v>
      </c>
      <c r="Z2096">
        <v>-5.9365609999999999E-3</v>
      </c>
      <c r="AA2096">
        <v>0.97668169999999999</v>
      </c>
      <c r="AB2096">
        <v>45</v>
      </c>
      <c r="AC2096">
        <v>-11.4803999999999</v>
      </c>
      <c r="AD2096">
        <v>-1.11154656248669</v>
      </c>
      <c r="AE2096">
        <v>-3.1460000000000101</v>
      </c>
      <c r="AF2096">
        <v>-2.6330385293116998</v>
      </c>
      <c r="AG2096">
        <v>-1.11154656248669</v>
      </c>
      <c r="AH2096">
        <v>11.5032554111456</v>
      </c>
      <c r="AI2096">
        <v>95.380976294445105</v>
      </c>
      <c r="AJ2096">
        <v>102.89262328062399</v>
      </c>
      <c r="AK2096">
        <v>11.8529875015317</v>
      </c>
      <c r="AL2096">
        <v>85.640873841049398</v>
      </c>
      <c r="AM2096">
        <v>97.206766326750895</v>
      </c>
      <c r="AN2096">
        <v>1.0000000252879999</v>
      </c>
    </row>
    <row r="2097" spans="1:40" x14ac:dyDescent="0.25">
      <c r="A2097" t="str">
        <f>"20190312151308392"</f>
        <v>20190312151308392</v>
      </c>
      <c r="B2097" t="str">
        <f>"1552374788381917"</f>
        <v>1552374788381917</v>
      </c>
      <c r="C2097" t="s">
        <v>40</v>
      </c>
      <c r="D2097">
        <v>4.5115339999999904</v>
      </c>
      <c r="E2097">
        <v>0.48917769999999999</v>
      </c>
      <c r="F2097" t="s">
        <v>54</v>
      </c>
      <c r="G2097">
        <v>-464.38159999999999</v>
      </c>
      <c r="H2097" s="1">
        <v>9.9976390000000007E-7</v>
      </c>
      <c r="I2097">
        <v>279.9289</v>
      </c>
      <c r="J2097">
        <v>-452.31310000000002</v>
      </c>
      <c r="K2097">
        <v>1.1116919999999999</v>
      </c>
      <c r="L2097">
        <v>283.26749999999998</v>
      </c>
      <c r="M2097">
        <v>-0.99891549999999996</v>
      </c>
      <c r="N2097">
        <v>0</v>
      </c>
      <c r="O2097">
        <v>-4.4199019999999999E-2</v>
      </c>
      <c r="P2097">
        <v>-0.98348219999999997</v>
      </c>
      <c r="Q2097">
        <v>6.3287120000000002E-2</v>
      </c>
      <c r="R2097">
        <v>-0.1695816</v>
      </c>
      <c r="S2097">
        <v>-2.9317319999999998</v>
      </c>
      <c r="T2097">
        <v>-0.2602952</v>
      </c>
      <c r="U2097">
        <v>-0.78662109999999996</v>
      </c>
      <c r="V2097">
        <v>-0.12628319999999901</v>
      </c>
      <c r="W2097">
        <v>7.7224370000000001E-2</v>
      </c>
      <c r="X2097">
        <v>0.98898379999999997</v>
      </c>
      <c r="Y2097">
        <v>-0.2155725</v>
      </c>
      <c r="Z2097">
        <v>-5.5432869999999896E-3</v>
      </c>
      <c r="AA2097">
        <v>0.97647209999999995</v>
      </c>
      <c r="AB2097">
        <v>45</v>
      </c>
      <c r="AC2097">
        <v>-12.068499999999901</v>
      </c>
      <c r="AD2097">
        <v>-1.1116910002361</v>
      </c>
      <c r="AE2097">
        <v>-3.33859999999998</v>
      </c>
      <c r="AF2097">
        <v>-2.7799520430040401</v>
      </c>
      <c r="AG2097">
        <v>-1.1116910002361</v>
      </c>
      <c r="AH2097">
        <v>12.108840325277701</v>
      </c>
      <c r="AI2097">
        <v>95.113229578285896</v>
      </c>
      <c r="AJ2097">
        <v>102.929927371426</v>
      </c>
      <c r="AK2097">
        <v>12.473492063751801</v>
      </c>
      <c r="AL2097">
        <v>85.570959903821105</v>
      </c>
      <c r="AM2097">
        <v>97.2767121900105</v>
      </c>
      <c r="AN2097">
        <v>1.0000000032932801</v>
      </c>
    </row>
    <row r="2098" spans="1:40" x14ac:dyDescent="0.25">
      <c r="A2098" t="str">
        <f>"20190312151308415"</f>
        <v>20190312151308415</v>
      </c>
      <c r="B2098" t="str">
        <f>"1552374788412173"</f>
        <v>1552374788412173</v>
      </c>
      <c r="C2098" t="s">
        <v>40</v>
      </c>
      <c r="D2098">
        <v>4.4683400000000004</v>
      </c>
      <c r="E2098">
        <v>0.4973341</v>
      </c>
      <c r="F2098" t="s">
        <v>53</v>
      </c>
      <c r="G2098">
        <v>-470.1003</v>
      </c>
      <c r="H2098">
        <v>1.900438E-3</v>
      </c>
      <c r="I2098">
        <v>279.61630000000002</v>
      </c>
      <c r="J2098">
        <v>-452.76859999999999</v>
      </c>
      <c r="K2098">
        <v>1.1118479999999999</v>
      </c>
      <c r="L2098">
        <v>283.24579999999997</v>
      </c>
      <c r="M2098">
        <v>-0.99882700000000002</v>
      </c>
      <c r="N2098">
        <v>0</v>
      </c>
      <c r="O2098">
        <v>-4.6155759999999997E-2</v>
      </c>
      <c r="P2098">
        <v>-0.98300929999999997</v>
      </c>
      <c r="Q2098">
        <v>6.1009220000000003E-2</v>
      </c>
      <c r="R2098">
        <v>-0.173122</v>
      </c>
      <c r="S2098">
        <v>-2.9576419999999999</v>
      </c>
      <c r="T2098">
        <v>-0.18453559999999999</v>
      </c>
      <c r="U2098">
        <v>-0.60711669999999995</v>
      </c>
      <c r="V2098">
        <v>-0.12792000000000001</v>
      </c>
      <c r="W2098">
        <v>7.4890830000000005E-2</v>
      </c>
      <c r="X2098">
        <v>0.98895290000000002</v>
      </c>
      <c r="Y2098">
        <v>-0.1554422</v>
      </c>
      <c r="Z2098">
        <v>-1.951078E-3</v>
      </c>
      <c r="AA2098">
        <v>0.98784300000000003</v>
      </c>
      <c r="AB2098">
        <v>45</v>
      </c>
      <c r="AC2098">
        <v>-17.331700000000001</v>
      </c>
      <c r="AD2098">
        <v>-1.1099475620000001</v>
      </c>
      <c r="AE2098">
        <v>-3.62949999999995</v>
      </c>
      <c r="AF2098">
        <v>-2.8145292425186899</v>
      </c>
      <c r="AG2098">
        <v>-1.1099475620000001</v>
      </c>
      <c r="AH2098">
        <v>17.4123519036293</v>
      </c>
      <c r="AI2098">
        <v>93.600764608307401</v>
      </c>
      <c r="AJ2098">
        <v>99.181862380349997</v>
      </c>
      <c r="AK2098">
        <v>17.673244106932</v>
      </c>
      <c r="AL2098">
        <v>85.705050319125803</v>
      </c>
      <c r="AM2098">
        <v>97.370225502003706</v>
      </c>
      <c r="AN2098">
        <v>1.0000000006182399</v>
      </c>
    </row>
    <row r="2099" spans="1:40" x14ac:dyDescent="0.25">
      <c r="A2099" t="str">
        <f>"20190312151308438"</f>
        <v>20190312151308438</v>
      </c>
      <c r="B2099" t="str">
        <f>"1552374788431693"</f>
        <v>1552374788431693</v>
      </c>
      <c r="C2099" t="s">
        <v>40</v>
      </c>
      <c r="D2099">
        <v>4.4885729999999997</v>
      </c>
      <c r="E2099">
        <v>0.49825829999999999</v>
      </c>
      <c r="F2099" t="s">
        <v>54</v>
      </c>
      <c r="G2099">
        <v>-466.53109999999998</v>
      </c>
      <c r="H2099" s="1">
        <v>2.1110779999999998E-6</v>
      </c>
      <c r="I2099">
        <v>280.67349999999999</v>
      </c>
      <c r="J2099">
        <v>-453.22570000000002</v>
      </c>
      <c r="K2099">
        <v>1.112033</v>
      </c>
      <c r="L2099">
        <v>283.22300000000001</v>
      </c>
      <c r="M2099">
        <v>-0.99872430000000001</v>
      </c>
      <c r="N2099">
        <v>0</v>
      </c>
      <c r="O2099">
        <v>-4.8324720000000002E-2</v>
      </c>
      <c r="P2099">
        <v>-0.98240439999999996</v>
      </c>
      <c r="Q2099">
        <v>6.1876699999999903E-2</v>
      </c>
      <c r="R2099">
        <v>-0.17621879999999901</v>
      </c>
      <c r="S2099">
        <v>-2.9689939999999999</v>
      </c>
      <c r="T2099">
        <v>-0.2398603</v>
      </c>
      <c r="U2099">
        <v>-0.55493159999999997</v>
      </c>
      <c r="V2099">
        <v>-0.1289303</v>
      </c>
      <c r="W2099">
        <v>7.5695349999999995E-2</v>
      </c>
      <c r="X2099">
        <v>0.98876039999999998</v>
      </c>
      <c r="Y2099">
        <v>-0.13573070000000001</v>
      </c>
      <c r="Z2099">
        <v>-1.56765299999999E-3</v>
      </c>
      <c r="AA2099">
        <v>0.99074450000000003</v>
      </c>
      <c r="AB2099">
        <v>45</v>
      </c>
      <c r="AC2099">
        <v>-13.305399999999899</v>
      </c>
      <c r="AD2099">
        <v>-1.1120308889219901</v>
      </c>
      <c r="AE2099">
        <v>-2.5495000000000201</v>
      </c>
      <c r="AF2099">
        <v>-1.89073264882481</v>
      </c>
      <c r="AG2099">
        <v>-1.1120308889219901</v>
      </c>
      <c r="AH2099">
        <v>13.3232990481673</v>
      </c>
      <c r="AI2099">
        <v>94.724027011760995</v>
      </c>
      <c r="AJ2099">
        <v>98.077011515235796</v>
      </c>
      <c r="AK2099">
        <v>13.502658263251201</v>
      </c>
      <c r="AL2099">
        <v>85.658823360090807</v>
      </c>
      <c r="AM2099">
        <v>97.4292172912957</v>
      </c>
      <c r="AN2099">
        <v>0.99999996843893502</v>
      </c>
    </row>
    <row r="2100" spans="1:40" x14ac:dyDescent="0.25">
      <c r="A2100" t="str">
        <f>"20190312151308460"</f>
        <v>20190312151308460</v>
      </c>
      <c r="B2100" t="str">
        <f>"1552374788451720"</f>
        <v>1552374788451720</v>
      </c>
      <c r="C2100" t="s">
        <v>40</v>
      </c>
      <c r="D2100">
        <v>4.4880040000000001</v>
      </c>
      <c r="E2100">
        <v>0.49861309999999898</v>
      </c>
      <c r="F2100" t="s">
        <v>54</v>
      </c>
      <c r="G2100">
        <v>-466.39030000000002</v>
      </c>
      <c r="H2100" s="1">
        <v>2.0326459999999998E-6</v>
      </c>
      <c r="I2100">
        <v>280.75349999999997</v>
      </c>
      <c r="J2100">
        <v>-453.67869999999999</v>
      </c>
      <c r="K2100">
        <v>1.1122449999999999</v>
      </c>
      <c r="L2100">
        <v>283.19929999999999</v>
      </c>
      <c r="M2100">
        <v>-0.99860660000000001</v>
      </c>
      <c r="N2100">
        <v>0</v>
      </c>
      <c r="O2100">
        <v>-5.0701349999999999E-2</v>
      </c>
      <c r="P2100">
        <v>-0.98178719999999997</v>
      </c>
      <c r="Q2100">
        <v>6.366434E-2</v>
      </c>
      <c r="R2100">
        <v>-0.17900070000000001</v>
      </c>
      <c r="S2100">
        <v>-2.9696349999999998</v>
      </c>
      <c r="T2100">
        <v>-0.25085020000000002</v>
      </c>
      <c r="U2100">
        <v>-0.55706789999999995</v>
      </c>
      <c r="V2100">
        <v>-0.12943170000000001</v>
      </c>
      <c r="W2100">
        <v>7.7416429999999994E-2</v>
      </c>
      <c r="X2100">
        <v>0.98856160000000004</v>
      </c>
      <c r="Y2100">
        <v>-0.1340114</v>
      </c>
      <c r="Z2100">
        <v>-1.368871E-3</v>
      </c>
      <c r="AA2100">
        <v>0.99097880000000005</v>
      </c>
      <c r="AB2100">
        <v>45</v>
      </c>
      <c r="AC2100">
        <v>-12.711600000000001</v>
      </c>
      <c r="AD2100">
        <v>-1.112242967354</v>
      </c>
      <c r="AE2100">
        <v>-2.4458000000000202</v>
      </c>
      <c r="AF2100">
        <v>-1.7849119960964901</v>
      </c>
      <c r="AG2100">
        <v>-1.112242967354</v>
      </c>
      <c r="AH2100">
        <v>12.725319804846301</v>
      </c>
      <c r="AI2100">
        <v>94.946998838908101</v>
      </c>
      <c r="AJ2100">
        <v>97.984479342384901</v>
      </c>
      <c r="AK2100">
        <v>12.897936245301</v>
      </c>
      <c r="AL2100">
        <v>85.559922409458096</v>
      </c>
      <c r="AM2100">
        <v>97.459267213526303</v>
      </c>
      <c r="AN2100">
        <v>0.99999995279669596</v>
      </c>
    </row>
    <row r="2101" spans="1:40" x14ac:dyDescent="0.25">
      <c r="A2101" t="str">
        <f>"20190312151308481"</f>
        <v>20190312151308481</v>
      </c>
      <c r="B2101" t="str">
        <f>"1552374788472215"</f>
        <v>1552374788472215</v>
      </c>
      <c r="C2101" t="s">
        <v>40</v>
      </c>
      <c r="D2101">
        <v>4.4776300000000004</v>
      </c>
      <c r="E2101">
        <v>0.49888779999999999</v>
      </c>
      <c r="F2101" t="s">
        <v>54</v>
      </c>
      <c r="G2101">
        <v>-466.61660000000001</v>
      </c>
      <c r="H2101" s="1">
        <v>2.1533760000000002E-6</v>
      </c>
      <c r="I2101">
        <v>280.74639999999999</v>
      </c>
      <c r="J2101">
        <v>-454.12259999999998</v>
      </c>
      <c r="K2101">
        <v>1.112468</v>
      </c>
      <c r="L2101">
        <v>283.17489999999998</v>
      </c>
      <c r="M2101">
        <v>-0.9984729</v>
      </c>
      <c r="N2101">
        <v>0</v>
      </c>
      <c r="O2101">
        <v>-5.3265380000000001E-2</v>
      </c>
      <c r="P2101">
        <v>-0.9813096</v>
      </c>
      <c r="Q2101">
        <v>6.4341330000000002E-2</v>
      </c>
      <c r="R2101">
        <v>-0.18136140000000001</v>
      </c>
      <c r="S2101">
        <v>-2.9695740000000002</v>
      </c>
      <c r="T2101">
        <v>-0.25528810000000002</v>
      </c>
      <c r="U2101">
        <v>-0.5629883</v>
      </c>
      <c r="V2101">
        <v>-0.1293185</v>
      </c>
      <c r="W2101">
        <v>7.8027799999999994E-2</v>
      </c>
      <c r="X2101">
        <v>0.98852839999999997</v>
      </c>
      <c r="Y2101">
        <v>-0.13337969999999999</v>
      </c>
      <c r="Z2101">
        <v>-1.1486039999999999E-3</v>
      </c>
      <c r="AA2101">
        <v>0.99106439999999996</v>
      </c>
      <c r="AB2101">
        <v>45</v>
      </c>
      <c r="AC2101">
        <v>-12.494</v>
      </c>
      <c r="AD2101">
        <v>-1.1124658466240001</v>
      </c>
      <c r="AE2101">
        <v>-2.4284999999999801</v>
      </c>
      <c r="AF2101">
        <v>-1.74614299068852</v>
      </c>
      <c r="AG2101">
        <v>-1.1124658466240001</v>
      </c>
      <c r="AH2101">
        <v>12.5100579405321</v>
      </c>
      <c r="AI2101">
        <v>95.033163171114694</v>
      </c>
      <c r="AJ2101">
        <v>97.945958446442901</v>
      </c>
      <c r="AK2101">
        <v>12.6802265468448</v>
      </c>
      <c r="AL2101">
        <v>85.524787437922598</v>
      </c>
      <c r="AM2101">
        <v>97.453064255716299</v>
      </c>
      <c r="AN2101">
        <v>1.00000000481082</v>
      </c>
    </row>
    <row r="2102" spans="1:40" x14ac:dyDescent="0.25">
      <c r="A2102" t="str">
        <f>"20190312151308504"</f>
        <v>20190312151308504</v>
      </c>
      <c r="B2102" t="str">
        <f>"1552374788491735"</f>
        <v>1552374788491735</v>
      </c>
      <c r="C2102" t="s">
        <v>40</v>
      </c>
      <c r="D2102">
        <v>4.5169030000000001</v>
      </c>
      <c r="E2102">
        <v>0.49952370000000001</v>
      </c>
      <c r="F2102" t="s">
        <v>54</v>
      </c>
      <c r="G2102">
        <v>-467.02420000000001</v>
      </c>
      <c r="H2102" s="1">
        <v>2.3720240000000001E-6</v>
      </c>
      <c r="I2102">
        <v>280.70650000000001</v>
      </c>
      <c r="J2102">
        <v>-454.55810000000002</v>
      </c>
      <c r="K2102">
        <v>1.1126990000000001</v>
      </c>
      <c r="L2102">
        <v>283.14960000000002</v>
      </c>
      <c r="M2102">
        <v>-0.99832240000000005</v>
      </c>
      <c r="N2102">
        <v>0</v>
      </c>
      <c r="O2102">
        <v>-5.6014790000000002E-2</v>
      </c>
      <c r="P2102">
        <v>-0.98086079999999998</v>
      </c>
      <c r="Q2102">
        <v>6.4277689999999998E-2</v>
      </c>
      <c r="R2102">
        <v>-0.1837956</v>
      </c>
      <c r="S2102">
        <v>-2.9689640000000002</v>
      </c>
      <c r="T2102">
        <v>-0.25600450000000002</v>
      </c>
      <c r="U2102">
        <v>-0.56802369999999902</v>
      </c>
      <c r="V2102">
        <v>-0.1290926</v>
      </c>
      <c r="W2102">
        <v>7.7898010000000004E-2</v>
      </c>
      <c r="X2102">
        <v>0.98856809999999995</v>
      </c>
      <c r="Y2102">
        <v>-0.13232179999999999</v>
      </c>
      <c r="Z2102">
        <v>-8.7312469999999999E-4</v>
      </c>
      <c r="AA2102">
        <v>0.99120640000000004</v>
      </c>
      <c r="AB2102">
        <v>45</v>
      </c>
      <c r="AC2102">
        <v>-12.4660999999999</v>
      </c>
      <c r="AD2102">
        <v>-1.11269662797599</v>
      </c>
      <c r="AE2102">
        <v>-2.44310000000001</v>
      </c>
      <c r="AF2102">
        <v>-1.72764741199809</v>
      </c>
      <c r="AG2102">
        <v>-1.11269662797599</v>
      </c>
      <c r="AH2102">
        <v>12.4875795060888</v>
      </c>
      <c r="AI2102">
        <v>95.044058430703799</v>
      </c>
      <c r="AJ2102">
        <v>97.876827277637005</v>
      </c>
      <c r="AK2102">
        <v>12.655532437909599</v>
      </c>
      <c r="AL2102">
        <v>85.532246287772594</v>
      </c>
      <c r="AM2102">
        <v>97.439895420175901</v>
      </c>
      <c r="AN2102">
        <v>0.99999994383716295</v>
      </c>
    </row>
    <row r="2103" spans="1:40" x14ac:dyDescent="0.25">
      <c r="A2103" t="str">
        <f>"20190312151308527"</f>
        <v>20190312151308527</v>
      </c>
      <c r="B2103" t="str">
        <f>"1552374788521990"</f>
        <v>1552374788521990</v>
      </c>
      <c r="C2103" t="s">
        <v>40</v>
      </c>
      <c r="D2103">
        <v>4.4804930000000001</v>
      </c>
      <c r="E2103">
        <v>0.49969540000000001</v>
      </c>
      <c r="F2103" t="s">
        <v>54</v>
      </c>
      <c r="G2103">
        <v>-467.45890000000003</v>
      </c>
      <c r="H2103" s="1">
        <v>2.604984E-6</v>
      </c>
      <c r="I2103">
        <v>280.6696</v>
      </c>
      <c r="J2103">
        <v>-455.01530000000002</v>
      </c>
      <c r="K2103">
        <v>1.11294</v>
      </c>
      <c r="L2103">
        <v>283.1216</v>
      </c>
      <c r="M2103">
        <v>-0.99814150000000001</v>
      </c>
      <c r="N2103">
        <v>0</v>
      </c>
      <c r="O2103">
        <v>-5.9151210000000003E-2</v>
      </c>
      <c r="P2103">
        <v>-0.98041299999999998</v>
      </c>
      <c r="Q2103">
        <v>6.2397429999999997E-2</v>
      </c>
      <c r="R2103">
        <v>-0.1868088</v>
      </c>
      <c r="S2103">
        <v>-2.9683839999999999</v>
      </c>
      <c r="T2103">
        <v>-0.256023</v>
      </c>
      <c r="U2103">
        <v>-0.57061770000000001</v>
      </c>
      <c r="V2103">
        <v>-0.12905079999999999</v>
      </c>
      <c r="W2103">
        <v>7.5947340000000002E-2</v>
      </c>
      <c r="X2103">
        <v>0.98872539999999998</v>
      </c>
      <c r="Y2103">
        <v>-0.13009749999999901</v>
      </c>
      <c r="Z2103">
        <v>-5.1188980000000002E-4</v>
      </c>
      <c r="AA2103">
        <v>0.99150110000000002</v>
      </c>
      <c r="AB2103">
        <v>45</v>
      </c>
      <c r="AC2103">
        <v>-12.4436</v>
      </c>
      <c r="AD2103">
        <v>-1.112937395016</v>
      </c>
      <c r="AE2103">
        <v>-2.4519999999999902</v>
      </c>
      <c r="AF2103">
        <v>-1.6984938412024499</v>
      </c>
      <c r="AG2103">
        <v>-1.112937395016</v>
      </c>
      <c r="AH2103">
        <v>12.4708326383496</v>
      </c>
      <c r="AI2103">
        <v>95.053341621641295</v>
      </c>
      <c r="AJ2103">
        <v>97.755809904111899</v>
      </c>
      <c r="AK2103">
        <v>12.6350772719265</v>
      </c>
      <c r="AL2103">
        <v>85.644343905467395</v>
      </c>
      <c r="AM2103">
        <v>97.436343350716896</v>
      </c>
      <c r="AN2103">
        <v>1.0000000120194299</v>
      </c>
    </row>
    <row r="2104" spans="1:40" x14ac:dyDescent="0.25">
      <c r="A2104" t="str">
        <f>"20190312151308549"</f>
        <v>20190312151308549</v>
      </c>
      <c r="B2104" t="str">
        <f>"1552374788542490"</f>
        <v>1552374788542490</v>
      </c>
      <c r="C2104" t="s">
        <v>40</v>
      </c>
      <c r="D2104">
        <v>4.4675320000000003</v>
      </c>
      <c r="E2104">
        <v>0.4997704</v>
      </c>
      <c r="F2104" t="s">
        <v>54</v>
      </c>
      <c r="G2104">
        <v>-467.38290000000001</v>
      </c>
      <c r="H2104" s="1">
        <v>2.5628540000000001E-6</v>
      </c>
      <c r="I2104">
        <v>280.7088</v>
      </c>
      <c r="J2104">
        <v>-455.459</v>
      </c>
      <c r="K2104">
        <v>1.1131500000000001</v>
      </c>
      <c r="L2104">
        <v>283.09269999999998</v>
      </c>
      <c r="M2104">
        <v>-0.9979422</v>
      </c>
      <c r="N2104">
        <v>0</v>
      </c>
      <c r="O2104">
        <v>-6.241857E-2</v>
      </c>
      <c r="P2104">
        <v>-0.98003419999999997</v>
      </c>
      <c r="Q2104">
        <v>5.860054E-2</v>
      </c>
      <c r="R2104">
        <v>-0.18999740000000001</v>
      </c>
      <c r="S2104">
        <v>-2.9666440000000001</v>
      </c>
      <c r="T2104">
        <v>-0.26696219999999998</v>
      </c>
      <c r="U2104">
        <v>-0.57876590000000006</v>
      </c>
      <c r="V2104">
        <v>-0.12902949999999999</v>
      </c>
      <c r="W2104">
        <v>7.2086049999999999E-2</v>
      </c>
      <c r="X2104">
        <v>0.98901719999999904</v>
      </c>
      <c r="Y2104">
        <v>-0.12957669999999999</v>
      </c>
      <c r="Z2104">
        <v>-2.21299E-4</v>
      </c>
      <c r="AA2104">
        <v>0.99156940000000005</v>
      </c>
      <c r="AB2104">
        <v>45</v>
      </c>
      <c r="AC2104">
        <v>-11.9239</v>
      </c>
      <c r="AD2104">
        <v>-1.113147437146</v>
      </c>
      <c r="AE2104">
        <v>-2.3838999999999801</v>
      </c>
      <c r="AF2104">
        <v>-1.6213109185963599</v>
      </c>
      <c r="AG2104">
        <v>-1.113147437146</v>
      </c>
      <c r="AH2104">
        <v>11.949323562665001</v>
      </c>
      <c r="AI2104">
        <v>95.274019354720295</v>
      </c>
      <c r="AJ2104">
        <v>97.726833785885404</v>
      </c>
      <c r="AK2104">
        <v>12.110081746910099</v>
      </c>
      <c r="AL2104">
        <v>85.8661881993159</v>
      </c>
      <c r="AM2104">
        <v>97.432960576539102</v>
      </c>
      <c r="AN2104">
        <v>1.00000001618534</v>
      </c>
    </row>
    <row r="2105" spans="1:40" x14ac:dyDescent="0.25">
      <c r="A2105" t="str">
        <f>"20190312151308572"</f>
        <v>20190312151308572</v>
      </c>
      <c r="B2105" t="str">
        <f>"1552374788562007"</f>
        <v>1552374788562007</v>
      </c>
      <c r="C2105" t="s">
        <v>40</v>
      </c>
      <c r="D2105">
        <v>4.4711639999999999</v>
      </c>
      <c r="E2105">
        <v>0.49982880000000002</v>
      </c>
      <c r="F2105" t="s">
        <v>54</v>
      </c>
      <c r="G2105">
        <v>-467.2491</v>
      </c>
      <c r="H2105" s="1">
        <v>2.4896260000000001E-6</v>
      </c>
      <c r="I2105">
        <v>280.75420000000003</v>
      </c>
      <c r="J2105">
        <v>-455.92180000000002</v>
      </c>
      <c r="K2105">
        <v>1.1133649999999999</v>
      </c>
      <c r="L2105">
        <v>283.06099999999998</v>
      </c>
      <c r="M2105">
        <v>-0.99771109999999996</v>
      </c>
      <c r="N2105">
        <v>0</v>
      </c>
      <c r="O2105">
        <v>-6.6010449999999998E-2</v>
      </c>
      <c r="P2105">
        <v>-0.97945260000000001</v>
      </c>
      <c r="Q2105">
        <v>5.5942619999999998E-2</v>
      </c>
      <c r="R2105">
        <v>-0.19376109999999999</v>
      </c>
      <c r="S2105">
        <v>-2.963867</v>
      </c>
      <c r="T2105">
        <v>-0.27983160000000001</v>
      </c>
      <c r="U2105">
        <v>-0.58789060000000004</v>
      </c>
      <c r="V2105">
        <v>-0.12927559999999999</v>
      </c>
      <c r="W2105">
        <v>6.9363939999999999E-2</v>
      </c>
      <c r="X2105">
        <v>0.9891797</v>
      </c>
      <c r="Y2105">
        <v>-0.12911230000000001</v>
      </c>
      <c r="Z2105">
        <v>1.230529E-4</v>
      </c>
      <c r="AA2105">
        <v>0.99163000000000001</v>
      </c>
      <c r="AB2105">
        <v>45</v>
      </c>
      <c r="AC2105">
        <v>-11.3272999999999</v>
      </c>
      <c r="AD2105">
        <v>-1.1133625103739999</v>
      </c>
      <c r="AE2105">
        <v>-2.3067999999999498</v>
      </c>
      <c r="AF2105">
        <v>-1.53968450295905</v>
      </c>
      <c r="AG2105">
        <v>-1.1133625103739999</v>
      </c>
      <c r="AH2105">
        <v>11.349596692418499</v>
      </c>
      <c r="AI2105">
        <v>95.552090040267899</v>
      </c>
      <c r="AJ2105">
        <v>97.725574037899193</v>
      </c>
      <c r="AK2105">
        <v>11.507543157803701</v>
      </c>
      <c r="AL2105">
        <v>86.022545168354895</v>
      </c>
      <c r="AM2105">
        <v>97.445768959173606</v>
      </c>
      <c r="AN2105">
        <v>1.0000000079098801</v>
      </c>
    </row>
    <row r="2106" spans="1:40" x14ac:dyDescent="0.25">
      <c r="A2106" t="str">
        <f>"20190312151308593"</f>
        <v>20190312151308593</v>
      </c>
      <c r="B2106" t="str">
        <f>"1552374788582503"</f>
        <v>1552374788582503</v>
      </c>
      <c r="C2106" t="s">
        <v>40</v>
      </c>
      <c r="D2106">
        <v>4.4304309999999996</v>
      </c>
      <c r="E2106">
        <v>0.50010489999999996</v>
      </c>
      <c r="F2106" t="s">
        <v>54</v>
      </c>
      <c r="G2106">
        <v>-467.23390000000001</v>
      </c>
      <c r="H2106" s="1">
        <v>2.4806719999999999E-6</v>
      </c>
      <c r="I2106">
        <v>280.77409999999998</v>
      </c>
      <c r="J2106">
        <v>-456.3415</v>
      </c>
      <c r="K2106">
        <v>1.1135429999999999</v>
      </c>
      <c r="L2106">
        <v>283.0308</v>
      </c>
      <c r="M2106">
        <v>-0.99748119999999996</v>
      </c>
      <c r="N2106">
        <v>0</v>
      </c>
      <c r="O2106">
        <v>-6.9395769999999996E-2</v>
      </c>
      <c r="P2106">
        <v>-0.97879740000000004</v>
      </c>
      <c r="Q2106">
        <v>5.5639380000000002E-2</v>
      </c>
      <c r="R2106">
        <v>-0.19712930000000001</v>
      </c>
      <c r="S2106">
        <v>-2.9611209999999999</v>
      </c>
      <c r="T2106">
        <v>-0.29144009999999998</v>
      </c>
      <c r="U2106">
        <v>-0.59863279999999996</v>
      </c>
      <c r="V2106">
        <v>-0.12934769999999901</v>
      </c>
      <c r="W2106">
        <v>6.9007180000000001E-2</v>
      </c>
      <c r="X2106">
        <v>0.98919520000000005</v>
      </c>
      <c r="Y2106">
        <v>-0.12937280000000001</v>
      </c>
      <c r="Z2106">
        <v>4.4279079999999998E-4</v>
      </c>
      <c r="AA2106">
        <v>0.99159589999999997</v>
      </c>
      <c r="AB2106">
        <v>45</v>
      </c>
      <c r="AC2106">
        <v>-10.8924</v>
      </c>
      <c r="AD2106">
        <v>-1.1135405193279999</v>
      </c>
      <c r="AE2106">
        <v>-2.2567000000000199</v>
      </c>
      <c r="AF2106">
        <v>-1.4804547756350399</v>
      </c>
      <c r="AG2106">
        <v>-1.1135405193279999</v>
      </c>
      <c r="AH2106">
        <v>10.9133939180469</v>
      </c>
      <c r="AI2106">
        <v>95.773454609999206</v>
      </c>
      <c r="AJ2106">
        <v>97.725292939094999</v>
      </c>
      <c r="AK2106">
        <v>11.069502501980301</v>
      </c>
      <c r="AL2106">
        <v>86.043035001953896</v>
      </c>
      <c r="AM2106">
        <v>97.449759580120002</v>
      </c>
      <c r="AN2106">
        <v>0.99999998104494103</v>
      </c>
    </row>
    <row r="2107" spans="1:40" x14ac:dyDescent="0.25">
      <c r="A2107" t="str">
        <f>"20190312151308616"</f>
        <v>20190312151308616</v>
      </c>
      <c r="B2107" t="str">
        <f>"1552374788611783"</f>
        <v>1552374788611783</v>
      </c>
      <c r="C2107" t="s">
        <v>40</v>
      </c>
      <c r="D2107">
        <v>4.4488849999999998</v>
      </c>
      <c r="E2107">
        <v>0.50033320000000003</v>
      </c>
      <c r="F2107" t="s">
        <v>54</v>
      </c>
      <c r="G2107">
        <v>-467.45460000000003</v>
      </c>
      <c r="H2107" s="1">
        <v>2.599115E-6</v>
      </c>
      <c r="I2107">
        <v>280.75130000000001</v>
      </c>
      <c r="J2107">
        <v>-456.80340000000001</v>
      </c>
      <c r="K2107">
        <v>1.1137010000000001</v>
      </c>
      <c r="L2107">
        <v>282.99579999999997</v>
      </c>
      <c r="M2107">
        <v>-0.99720699999999995</v>
      </c>
      <c r="N2107">
        <v>0</v>
      </c>
      <c r="O2107">
        <v>-7.3230729999999994E-2</v>
      </c>
      <c r="P2107">
        <v>-0.97803399999999996</v>
      </c>
      <c r="Q2107">
        <v>5.4997949999999997E-2</v>
      </c>
      <c r="R2107">
        <v>-0.20106009999999999</v>
      </c>
      <c r="S2107">
        <v>-2.959625</v>
      </c>
      <c r="T2107">
        <v>-0.29655749999999997</v>
      </c>
      <c r="U2107">
        <v>-0.60708619999999902</v>
      </c>
      <c r="V2107">
        <v>-0.12953789999999901</v>
      </c>
      <c r="W2107">
        <v>6.8314070000000005E-2</v>
      </c>
      <c r="X2107">
        <v>0.9892185</v>
      </c>
      <c r="Y2107">
        <v>-0.1283899</v>
      </c>
      <c r="Z2107">
        <v>8.764081E-4</v>
      </c>
      <c r="AA2107">
        <v>0.99172340000000003</v>
      </c>
      <c r="AB2107">
        <v>45</v>
      </c>
      <c r="AC2107">
        <v>-10.651199999999999</v>
      </c>
      <c r="AD2107">
        <v>-1.1136984008849999</v>
      </c>
      <c r="AE2107">
        <v>-2.2444999999999502</v>
      </c>
      <c r="AF2107">
        <v>-1.4432846029217701</v>
      </c>
      <c r="AG2107">
        <v>-1.1136984008849999</v>
      </c>
      <c r="AH2107">
        <v>10.6752301116627</v>
      </c>
      <c r="AI2107">
        <v>95.902546637143303</v>
      </c>
      <c r="AJ2107">
        <v>97.699667218718403</v>
      </c>
      <c r="AK2107">
        <v>10.829770658241801</v>
      </c>
      <c r="AL2107">
        <v>86.082841531585998</v>
      </c>
      <c r="AM2107">
        <v>97.460417055527003</v>
      </c>
      <c r="AN2107">
        <v>1.00000006021931</v>
      </c>
    </row>
    <row r="2108" spans="1:40" x14ac:dyDescent="0.25">
      <c r="A2108" t="str">
        <f>"20190312151308639"</f>
        <v>20190312151308639</v>
      </c>
      <c r="B2108" t="str">
        <f>"1552374788632278"</f>
        <v>1552374788632278</v>
      </c>
      <c r="C2108" t="s">
        <v>40</v>
      </c>
      <c r="D2108">
        <v>4.4083550000000002</v>
      </c>
      <c r="E2108">
        <v>0.50049600000000005</v>
      </c>
      <c r="F2108" t="s">
        <v>54</v>
      </c>
      <c r="G2108">
        <v>-467.77289999999999</v>
      </c>
      <c r="H2108" s="1">
        <v>2.7705150000000002E-6</v>
      </c>
      <c r="I2108">
        <v>280.70479999999998</v>
      </c>
      <c r="J2108">
        <v>-457.25319999999999</v>
      </c>
      <c r="K2108">
        <v>1.113837</v>
      </c>
      <c r="L2108">
        <v>282.95999999999998</v>
      </c>
      <c r="M2108">
        <v>-0.99692000000000003</v>
      </c>
      <c r="N2108">
        <v>0</v>
      </c>
      <c r="O2108">
        <v>-7.7039360000000001E-2</v>
      </c>
      <c r="P2108">
        <v>-0.97718950000000004</v>
      </c>
      <c r="Q2108">
        <v>5.4710599999999998E-2</v>
      </c>
      <c r="R2108">
        <v>-0.2052023</v>
      </c>
      <c r="S2108">
        <v>-2.9572449999999999</v>
      </c>
      <c r="T2108">
        <v>-0.30024099999999998</v>
      </c>
      <c r="U2108">
        <v>-0.61764529999999995</v>
      </c>
      <c r="V2108">
        <v>-0.12997010000000001</v>
      </c>
      <c r="W2108">
        <v>6.7979629999999999E-2</v>
      </c>
      <c r="X2108">
        <v>0.98918479999999998</v>
      </c>
      <c r="Y2108">
        <v>-0.12816739999999999</v>
      </c>
      <c r="Z2108">
        <v>1.2778900000000001E-3</v>
      </c>
      <c r="AA2108">
        <v>0.99175170000000001</v>
      </c>
      <c r="AB2108">
        <v>45</v>
      </c>
      <c r="AC2108">
        <v>-10.5197</v>
      </c>
      <c r="AD2108">
        <v>-1.1138342294850001</v>
      </c>
      <c r="AE2108">
        <v>-2.2551999999999999</v>
      </c>
      <c r="AF2108">
        <v>-1.4227289134743599</v>
      </c>
      <c r="AG2108">
        <v>-1.1138342294850001</v>
      </c>
      <c r="AH2108">
        <v>10.5491200263923</v>
      </c>
      <c r="AI2108">
        <v>95.9735864167003</v>
      </c>
      <c r="AJ2108">
        <v>97.680967656896797</v>
      </c>
      <c r="AK2108">
        <v>10.7027434605917</v>
      </c>
      <c r="AL2108">
        <v>86.102047995449098</v>
      </c>
      <c r="AM2108">
        <v>97.485278884990393</v>
      </c>
      <c r="AN2108">
        <v>1.00000001276999</v>
      </c>
    </row>
    <row r="2109" spans="1:40" x14ac:dyDescent="0.25">
      <c r="A2109" t="str">
        <f>"20190312151308661"</f>
        <v>20190312151308661</v>
      </c>
      <c r="B2109" t="str">
        <f>"1552374788652307"</f>
        <v>1552374788652307</v>
      </c>
      <c r="C2109" t="s">
        <v>40</v>
      </c>
      <c r="D2109">
        <v>4.4080430000000002</v>
      </c>
      <c r="E2109">
        <v>0.50103690000000001</v>
      </c>
      <c r="F2109" t="s">
        <v>54</v>
      </c>
      <c r="G2109">
        <v>-468.06540000000001</v>
      </c>
      <c r="H2109" s="1">
        <v>2.9283469999999998E-6</v>
      </c>
      <c r="I2109">
        <v>280.6558</v>
      </c>
      <c r="J2109">
        <v>-457.68549999999999</v>
      </c>
      <c r="K2109">
        <v>1.113955</v>
      </c>
      <c r="L2109">
        <v>282.92399999999998</v>
      </c>
      <c r="M2109">
        <v>-0.99662669999999998</v>
      </c>
      <c r="N2109">
        <v>0</v>
      </c>
      <c r="O2109">
        <v>-8.0746059999999995E-2</v>
      </c>
      <c r="P2109">
        <v>-0.9761592</v>
      </c>
      <c r="Q2109">
        <v>5.8000250000000003E-2</v>
      </c>
      <c r="R2109">
        <v>-0.20916480000000001</v>
      </c>
      <c r="S2109">
        <v>-2.9548649999999999</v>
      </c>
      <c r="T2109">
        <v>-0.30439899999999998</v>
      </c>
      <c r="U2109">
        <v>-0.62973020000000002</v>
      </c>
      <c r="V2109">
        <v>-0.1303716</v>
      </c>
      <c r="W2109">
        <v>7.1226629999999999E-2</v>
      </c>
      <c r="X2109">
        <v>0.98890350000000005</v>
      </c>
      <c r="Y2109">
        <v>-0.12853220000000001</v>
      </c>
      <c r="Z2109">
        <v>1.6513820000000001E-3</v>
      </c>
      <c r="AA2109">
        <v>0.99170389999999997</v>
      </c>
      <c r="AB2109">
        <v>45</v>
      </c>
      <c r="AC2109">
        <v>-10.379899999999999</v>
      </c>
      <c r="AD2109">
        <v>-1.113952071653</v>
      </c>
      <c r="AE2109">
        <v>-2.26820000000003</v>
      </c>
      <c r="AF2109">
        <v>-1.4070985366645401</v>
      </c>
      <c r="AG2109">
        <v>-1.113952071653</v>
      </c>
      <c r="AH2109">
        <v>10.414685766379201</v>
      </c>
      <c r="AI2109">
        <v>96.050570221196296</v>
      </c>
      <c r="AJ2109">
        <v>97.694477174993096</v>
      </c>
      <c r="AK2109">
        <v>10.568183151433599</v>
      </c>
      <c r="AL2109">
        <v>85.915556423022693</v>
      </c>
      <c r="AM2109">
        <v>97.510250153432494</v>
      </c>
      <c r="AN2109">
        <v>1.0000000596099801</v>
      </c>
    </row>
    <row r="2110" spans="1:40" x14ac:dyDescent="0.25">
      <c r="A2110" t="str">
        <f>"20190312151308682"</f>
        <v>20190312151308682</v>
      </c>
      <c r="B2110" t="str">
        <f>"1552374788671827"</f>
        <v>1552374788671827</v>
      </c>
      <c r="C2110" t="s">
        <v>40</v>
      </c>
      <c r="D2110">
        <v>4.409402</v>
      </c>
      <c r="E2110">
        <v>0.50151849999999998</v>
      </c>
      <c r="F2110" t="s">
        <v>54</v>
      </c>
      <c r="G2110">
        <v>-468.91730000000001</v>
      </c>
      <c r="H2110" s="1">
        <v>3.388676E-6</v>
      </c>
      <c r="I2110">
        <v>280.49509999999998</v>
      </c>
      <c r="J2110">
        <v>-458.12509999999997</v>
      </c>
      <c r="K2110">
        <v>1.1140650000000001</v>
      </c>
      <c r="L2110">
        <v>282.88569999999999</v>
      </c>
      <c r="M2110">
        <v>-0.99631179999999997</v>
      </c>
      <c r="N2110">
        <v>0</v>
      </c>
      <c r="O2110">
        <v>-8.4542210000000007E-2</v>
      </c>
      <c r="P2110">
        <v>-0.97520629999999997</v>
      </c>
      <c r="Q2110">
        <v>5.771366E-2</v>
      </c>
      <c r="R2110">
        <v>-0.2136401</v>
      </c>
      <c r="S2110">
        <v>-2.9537960000000001</v>
      </c>
      <c r="T2110">
        <v>-0.29295500000000002</v>
      </c>
      <c r="U2110">
        <v>-0.63876339999999998</v>
      </c>
      <c r="V2110">
        <v>-0.13115360000000001</v>
      </c>
      <c r="W2110">
        <v>7.0899379999999998E-2</v>
      </c>
      <c r="X2110">
        <v>0.98882349999999997</v>
      </c>
      <c r="Y2110">
        <v>-0.12776560000000001</v>
      </c>
      <c r="Z2110">
        <v>1.9956800000000001E-3</v>
      </c>
      <c r="AA2110">
        <v>0.99180239999999997</v>
      </c>
      <c r="AB2110">
        <v>45</v>
      </c>
      <c r="AC2110">
        <v>-10.792199999999999</v>
      </c>
      <c r="AD2110">
        <v>-1.1140616113239901</v>
      </c>
      <c r="AE2110">
        <v>-2.3906000000000001</v>
      </c>
      <c r="AF2110">
        <v>-1.45476775548868</v>
      </c>
      <c r="AG2110">
        <v>-1.1140616113239901</v>
      </c>
      <c r="AH2110">
        <v>10.845517450458299</v>
      </c>
      <c r="AI2110">
        <v>95.813203315923303</v>
      </c>
      <c r="AJ2110">
        <v>97.639790600080403</v>
      </c>
      <c r="AK2110">
        <v>10.999215029466001</v>
      </c>
      <c r="AL2110">
        <v>85.934353549079503</v>
      </c>
      <c r="AM2110">
        <v>97.555383778343199</v>
      </c>
      <c r="AN2110">
        <v>0.99999995151479504</v>
      </c>
    </row>
    <row r="2111" spans="1:40" x14ac:dyDescent="0.25">
      <c r="A2111" t="str">
        <f>"20190312151308705"</f>
        <v>20190312151308705</v>
      </c>
      <c r="B2111" t="str">
        <f>"1552374788702083"</f>
        <v>1552374788702083</v>
      </c>
      <c r="C2111" t="s">
        <v>40</v>
      </c>
      <c r="D2111">
        <v>4.4155049999999996</v>
      </c>
      <c r="E2111">
        <v>0.50213050000000004</v>
      </c>
      <c r="F2111" t="s">
        <v>54</v>
      </c>
      <c r="G2111">
        <v>-469.3682</v>
      </c>
      <c r="H2111" s="1">
        <v>3.632224E-6</v>
      </c>
      <c r="I2111">
        <v>280.41320000000002</v>
      </c>
      <c r="J2111">
        <v>-458.57479999999998</v>
      </c>
      <c r="K2111">
        <v>1.1141559999999999</v>
      </c>
      <c r="L2111">
        <v>282.8449</v>
      </c>
      <c r="M2111">
        <v>-0.9959732</v>
      </c>
      <c r="N2111">
        <v>0</v>
      </c>
      <c r="O2111">
        <v>-8.8441740000000005E-2</v>
      </c>
      <c r="P2111">
        <v>-0.97401890000000002</v>
      </c>
      <c r="Q2111">
        <v>5.7590509999999998E-2</v>
      </c>
      <c r="R2111">
        <v>-0.21902179999999999</v>
      </c>
      <c r="S2111">
        <v>-2.9513850000000001</v>
      </c>
      <c r="T2111">
        <v>-0.29244789999999998</v>
      </c>
      <c r="U2111">
        <v>-0.64904790000000001</v>
      </c>
      <c r="V2111">
        <v>-0.13275670000000001</v>
      </c>
      <c r="W2111">
        <v>7.0728150000000004E-2</v>
      </c>
      <c r="X2111">
        <v>0.9886218</v>
      </c>
      <c r="Y2111">
        <v>-0.12737010000000001</v>
      </c>
      <c r="Z2111">
        <v>2.390236E-3</v>
      </c>
      <c r="AA2111">
        <v>0.99185239999999997</v>
      </c>
      <c r="AB2111">
        <v>45</v>
      </c>
      <c r="AC2111">
        <v>-10.7934</v>
      </c>
      <c r="AD2111">
        <v>-1.1141523677759999</v>
      </c>
      <c r="AE2111">
        <v>-2.43169999999997</v>
      </c>
      <c r="AF2111">
        <v>-1.4527471000782299</v>
      </c>
      <c r="AG2111">
        <v>-1.1141523677759999</v>
      </c>
      <c r="AH2111">
        <v>10.8560933724352</v>
      </c>
      <c r="AI2111">
        <v>95.808289266230602</v>
      </c>
      <c r="AJ2111">
        <v>97.621959103206706</v>
      </c>
      <c r="AK2111">
        <v>11.0093856752517</v>
      </c>
      <c r="AL2111">
        <v>85.944188942416602</v>
      </c>
      <c r="AM2111">
        <v>97.648189187910205</v>
      </c>
      <c r="AN2111">
        <v>0.99999993801627396</v>
      </c>
    </row>
    <row r="2112" spans="1:40" x14ac:dyDescent="0.25">
      <c r="A2112" t="str">
        <f>"20190312151308728"</f>
        <v>20190312151308728</v>
      </c>
      <c r="B2112" t="str">
        <f>"1552374788722583"</f>
        <v>1552374788722583</v>
      </c>
      <c r="C2112" t="s">
        <v>40</v>
      </c>
      <c r="D2112">
        <v>4.3950139999999998</v>
      </c>
      <c r="E2112">
        <v>0.50253440000000005</v>
      </c>
      <c r="F2112" t="s">
        <v>54</v>
      </c>
      <c r="G2112">
        <v>-469.72179999999997</v>
      </c>
      <c r="H2112" s="1">
        <v>3.8231979999999996E-6</v>
      </c>
      <c r="I2112">
        <v>280.34890000000001</v>
      </c>
      <c r="J2112">
        <v>-459.01749999999998</v>
      </c>
      <c r="K2112">
        <v>1.1142299999999901</v>
      </c>
      <c r="L2112">
        <v>282.80270000000002</v>
      </c>
      <c r="M2112">
        <v>-0.99562439999999996</v>
      </c>
      <c r="N2112">
        <v>0</v>
      </c>
      <c r="O2112">
        <v>-9.2287110000000006E-2</v>
      </c>
      <c r="P2112">
        <v>-0.97275120000000004</v>
      </c>
      <c r="Q2112">
        <v>5.8122229999999997E-2</v>
      </c>
      <c r="R2112">
        <v>-0.22444910000000001</v>
      </c>
      <c r="S2112">
        <v>-2.9489139999999998</v>
      </c>
      <c r="T2112">
        <v>-0.2947475</v>
      </c>
      <c r="U2112">
        <v>-0.66030880000000003</v>
      </c>
      <c r="V2112">
        <v>-0.1344735</v>
      </c>
      <c r="W2112">
        <v>7.1214739999999999E-2</v>
      </c>
      <c r="X2112">
        <v>0.98835490000000004</v>
      </c>
      <c r="Y2112">
        <v>-0.12733939999999999</v>
      </c>
      <c r="Z2112">
        <v>2.7868039999999999E-3</v>
      </c>
      <c r="AA2112">
        <v>0.9918553</v>
      </c>
      <c r="AB2112">
        <v>45</v>
      </c>
      <c r="AC2112">
        <v>-10.7042999999999</v>
      </c>
      <c r="AD2112">
        <v>-1.1142261768020001</v>
      </c>
      <c r="AE2112">
        <v>-2.4538000000000002</v>
      </c>
      <c r="AF2112">
        <v>-1.4405219409826</v>
      </c>
      <c r="AG2112">
        <v>-1.1142261768020001</v>
      </c>
      <c r="AH2112">
        <v>10.7741770131527</v>
      </c>
      <c r="AI2112">
        <v>95.852619036514099</v>
      </c>
      <c r="AJ2112">
        <v>97.615359489780204</v>
      </c>
      <c r="AK2112">
        <v>10.9270075384925</v>
      </c>
      <c r="AL2112">
        <v>85.916239302990405</v>
      </c>
      <c r="AM2112">
        <v>97.747968148927995</v>
      </c>
      <c r="AN2112">
        <v>1.00000003487476</v>
      </c>
    </row>
    <row r="2113" spans="1:40" x14ac:dyDescent="0.25">
      <c r="A2113" t="str">
        <f>"20190312151308749"</f>
        <v>20190312151308749</v>
      </c>
      <c r="B2113" t="str">
        <f>"1552374788742099"</f>
        <v>1552374788742099</v>
      </c>
      <c r="C2113" t="s">
        <v>40</v>
      </c>
      <c r="D2113">
        <v>4.4324089999999998</v>
      </c>
      <c r="E2113">
        <v>0.50286059999999999</v>
      </c>
      <c r="F2113" t="s">
        <v>53</v>
      </c>
      <c r="G2113">
        <v>-470.14429999999999</v>
      </c>
      <c r="H2113" s="1">
        <v>6.1691970000000003E-6</v>
      </c>
      <c r="I2113">
        <v>280.2593</v>
      </c>
      <c r="J2113">
        <v>-459.44819999999999</v>
      </c>
      <c r="K2113">
        <v>1.114285</v>
      </c>
      <c r="L2113">
        <v>282.76010000000002</v>
      </c>
      <c r="M2113">
        <v>-0.99527049999999995</v>
      </c>
      <c r="N2113">
        <v>0</v>
      </c>
      <c r="O2113">
        <v>-9.6026399999999901E-2</v>
      </c>
      <c r="P2113">
        <v>-0.97155670000000005</v>
      </c>
      <c r="Q2113">
        <v>5.8352109999999999E-2</v>
      </c>
      <c r="R2113">
        <v>-0.22950590000000001</v>
      </c>
      <c r="S2113">
        <v>-2.946259</v>
      </c>
      <c r="T2113">
        <v>-0.29503289999999999</v>
      </c>
      <c r="U2113">
        <v>-0.67346189999999995</v>
      </c>
      <c r="V2113">
        <v>-0.13591589999999901</v>
      </c>
      <c r="W2113">
        <v>7.1407349999999994E-2</v>
      </c>
      <c r="X2113">
        <v>0.98814360000000001</v>
      </c>
      <c r="Y2113">
        <v>-0.12803039999999999</v>
      </c>
      <c r="Z2113">
        <v>3.121698E-3</v>
      </c>
      <c r="AA2113">
        <v>0.99176529999999996</v>
      </c>
      <c r="AB2113">
        <v>45</v>
      </c>
      <c r="AC2113">
        <v>-10.696099999999999</v>
      </c>
      <c r="AD2113">
        <v>-1.1142788308030001</v>
      </c>
      <c r="AE2113">
        <v>-2.5008000000000199</v>
      </c>
      <c r="AF2113">
        <v>-1.4471308575892501</v>
      </c>
      <c r="AG2113">
        <v>-1.1142788308030001</v>
      </c>
      <c r="AH2113">
        <v>10.775942819532901</v>
      </c>
      <c r="AI2113">
        <v>95.851488878450795</v>
      </c>
      <c r="AJ2113">
        <v>97.648646188873101</v>
      </c>
      <c r="AK2113">
        <v>10.9296271062468</v>
      </c>
      <c r="AL2113">
        <v>85.905175080078195</v>
      </c>
      <c r="AM2113">
        <v>97.831703052130507</v>
      </c>
      <c r="AN2113">
        <v>0.99999995786389495</v>
      </c>
    </row>
    <row r="2114" spans="1:40" x14ac:dyDescent="0.25">
      <c r="A2114" t="str">
        <f>"20190312151308773"</f>
        <v>20190312151308773</v>
      </c>
      <c r="B2114" t="str">
        <f>"1552374788762595"</f>
        <v>1552374788762595</v>
      </c>
      <c r="C2114" t="s">
        <v>40</v>
      </c>
      <c r="D2114">
        <v>4.468318</v>
      </c>
      <c r="E2114">
        <v>0.50295570000000001</v>
      </c>
      <c r="F2114" t="s">
        <v>53</v>
      </c>
      <c r="G2114">
        <v>-470.56209999999999</v>
      </c>
      <c r="H2114" s="1">
        <v>5.9760249999999899E-6</v>
      </c>
      <c r="I2114">
        <v>280.16890000000001</v>
      </c>
      <c r="J2114">
        <v>-459.90629999999999</v>
      </c>
      <c r="K2114">
        <v>1.114314</v>
      </c>
      <c r="L2114">
        <v>282.71300000000002</v>
      </c>
      <c r="M2114">
        <v>-0.99487930000000002</v>
      </c>
      <c r="N2114">
        <v>0</v>
      </c>
      <c r="O2114">
        <v>-9.9999009999999999E-2</v>
      </c>
      <c r="P2114">
        <v>-0.97026730000000005</v>
      </c>
      <c r="Q2114">
        <v>5.6406199999999997E-2</v>
      </c>
      <c r="R2114">
        <v>-0.23537150000000001</v>
      </c>
      <c r="S2114">
        <v>-2.943451</v>
      </c>
      <c r="T2114">
        <v>-0.29510799999999998</v>
      </c>
      <c r="U2114">
        <v>-0.68624879999999999</v>
      </c>
      <c r="V2114">
        <v>-0.13791779999999901</v>
      </c>
      <c r="W2114">
        <v>6.9421979999999994E-2</v>
      </c>
      <c r="X2114">
        <v>0.98800770000000004</v>
      </c>
      <c r="Y2114">
        <v>-0.12838359999999999</v>
      </c>
      <c r="Z2114">
        <v>3.49446E-3</v>
      </c>
      <c r="AA2114">
        <v>0.9917184</v>
      </c>
      <c r="AB2114">
        <v>45</v>
      </c>
      <c r="AC2114">
        <v>-10.655799999999999</v>
      </c>
      <c r="AD2114">
        <v>-1.1143080239749901</v>
      </c>
      <c r="AE2114">
        <v>-2.5440999999999501</v>
      </c>
      <c r="AF2114">
        <v>-1.4506527194085901</v>
      </c>
      <c r="AG2114">
        <v>-1.1143080239749901</v>
      </c>
      <c r="AH2114">
        <v>10.7456397669912</v>
      </c>
      <c r="AI2114">
        <v>95.867483558444306</v>
      </c>
      <c r="AJ2114">
        <v>97.688402478128694</v>
      </c>
      <c r="AK2114">
        <v>10.9002224604164</v>
      </c>
      <c r="AL2114">
        <v>86.019211546707496</v>
      </c>
      <c r="AM2114">
        <v>97.946672089229494</v>
      </c>
      <c r="AN2114">
        <v>0.99999997306162403</v>
      </c>
    </row>
    <row r="2115" spans="1:40" x14ac:dyDescent="0.25">
      <c r="A2115" t="str">
        <f>"20190312151308794"</f>
        <v>20190312151308794</v>
      </c>
      <c r="B2115" t="str">
        <f>"1552374788791875"</f>
        <v>1552374788791875</v>
      </c>
      <c r="C2115" t="s">
        <v>40</v>
      </c>
      <c r="D2115">
        <v>4.4222979999999996</v>
      </c>
      <c r="E2115">
        <v>0.50343939999999998</v>
      </c>
      <c r="F2115" t="s">
        <v>53</v>
      </c>
      <c r="G2115">
        <v>-470.76080000000002</v>
      </c>
      <c r="H2115" s="1">
        <v>5.8834320000000003E-6</v>
      </c>
      <c r="I2115">
        <v>280.11770000000001</v>
      </c>
      <c r="J2115">
        <v>-460.33519999999999</v>
      </c>
      <c r="K2115">
        <v>1.114349</v>
      </c>
      <c r="L2115">
        <v>282.6671</v>
      </c>
      <c r="M2115">
        <v>-0.99449969999999999</v>
      </c>
      <c r="N2115">
        <v>0</v>
      </c>
      <c r="O2115">
        <v>-0.1037044</v>
      </c>
      <c r="P2115">
        <v>-0.96888909999999995</v>
      </c>
      <c r="Q2115">
        <v>5.8213250000000001E-2</v>
      </c>
      <c r="R2115">
        <v>-0.2405525</v>
      </c>
      <c r="S2115">
        <v>-2.9390260000000001</v>
      </c>
      <c r="T2115">
        <v>-0.30171419999999999</v>
      </c>
      <c r="U2115">
        <v>-0.70269780000000004</v>
      </c>
      <c r="V2115">
        <v>-0.13955310000000001</v>
      </c>
      <c r="W2115">
        <v>7.1214739999999999E-2</v>
      </c>
      <c r="X2115">
        <v>0.98765049999999999</v>
      </c>
      <c r="Y2115">
        <v>-0.13027859999999999</v>
      </c>
      <c r="Z2115">
        <v>3.849379E-3</v>
      </c>
      <c r="AA2115">
        <v>0.99146990000000002</v>
      </c>
      <c r="AB2115">
        <v>45</v>
      </c>
      <c r="AC2115">
        <v>-10.425599999999999</v>
      </c>
      <c r="AD2115">
        <v>-1.114343116568</v>
      </c>
      <c r="AE2115">
        <v>-2.5493999999999901</v>
      </c>
      <c r="AF2115">
        <v>-1.4388432965782001</v>
      </c>
      <c r="AG2115">
        <v>-1.114343116568</v>
      </c>
      <c r="AH2115">
        <v>10.520378940191099</v>
      </c>
      <c r="AI2115">
        <v>95.990996855187205</v>
      </c>
      <c r="AJ2115">
        <v>97.787867981553106</v>
      </c>
      <c r="AK2115">
        <v>10.6766288527215</v>
      </c>
      <c r="AL2115">
        <v>85.916239399763001</v>
      </c>
      <c r="AM2115">
        <v>98.042541042175998</v>
      </c>
      <c r="AN2115">
        <v>1.00000005853156</v>
      </c>
    </row>
    <row r="2116" spans="1:40" x14ac:dyDescent="0.25">
      <c r="A2116" t="str">
        <f>"20190312151308818"</f>
        <v>20190312151308818</v>
      </c>
      <c r="B2116" t="str">
        <f>"1552374788812371"</f>
        <v>1552374788812371</v>
      </c>
      <c r="C2116" t="s">
        <v>40</v>
      </c>
      <c r="D2116">
        <v>4.4467869999999996</v>
      </c>
      <c r="E2116">
        <v>0.50382859999999996</v>
      </c>
      <c r="F2116" t="s">
        <v>53</v>
      </c>
      <c r="G2116">
        <v>-471.28719999999998</v>
      </c>
      <c r="H2116" s="1">
        <v>5.639776E-6</v>
      </c>
      <c r="I2116">
        <v>280.00080000000003</v>
      </c>
      <c r="J2116">
        <v>-460.78280000000001</v>
      </c>
      <c r="K2116">
        <v>1.114382</v>
      </c>
      <c r="L2116">
        <v>282.61759999999998</v>
      </c>
      <c r="M2116">
        <v>-0.99409150000000002</v>
      </c>
      <c r="N2116">
        <v>0</v>
      </c>
      <c r="O2116">
        <v>-0.10753310000000001</v>
      </c>
      <c r="P2116">
        <v>-0.96770369999999994</v>
      </c>
      <c r="Q2116">
        <v>5.7420359999999997E-2</v>
      </c>
      <c r="R2116">
        <v>-0.24546460000000001</v>
      </c>
      <c r="S2116">
        <v>-2.9367369999999999</v>
      </c>
      <c r="T2116">
        <v>-0.29880610000000002</v>
      </c>
      <c r="U2116">
        <v>-0.71496579999999998</v>
      </c>
      <c r="V2116">
        <v>-0.1407506</v>
      </c>
      <c r="W2116">
        <v>7.0501750000000002E-2</v>
      </c>
      <c r="X2116">
        <v>0.98753170000000001</v>
      </c>
      <c r="Y2116">
        <v>-0.13056889999999999</v>
      </c>
      <c r="Z2116">
        <v>4.1774789999999996E-3</v>
      </c>
      <c r="AA2116">
        <v>0.99143049999999999</v>
      </c>
      <c r="AB2116">
        <v>45</v>
      </c>
      <c r="AC2116">
        <v>-10.504399999999899</v>
      </c>
      <c r="AD2116">
        <v>-1.114376360224</v>
      </c>
      <c r="AE2116">
        <v>-2.6167999999999498</v>
      </c>
      <c r="AF2116">
        <v>-1.4564947997129201</v>
      </c>
      <c r="AG2116">
        <v>-1.114376360224</v>
      </c>
      <c r="AH2116">
        <v>10.612442834885</v>
      </c>
      <c r="AI2116">
        <v>95.9391953442165</v>
      </c>
      <c r="AJ2116">
        <v>97.814684143780894</v>
      </c>
      <c r="AK2116">
        <v>10.7697332695624</v>
      </c>
      <c r="AL2116">
        <v>85.957193597327006</v>
      </c>
      <c r="AM2116">
        <v>98.111602085911301</v>
      </c>
      <c r="AN2116">
        <v>1.00000004332915</v>
      </c>
    </row>
    <row r="2117" spans="1:40" x14ac:dyDescent="0.25">
      <c r="A2117" t="str">
        <f>"20190312151308840"</f>
        <v>20190312151308840</v>
      </c>
      <c r="B2117" t="str">
        <f>"1552374788831892"</f>
        <v>1552374788831892</v>
      </c>
      <c r="C2117" t="s">
        <v>40</v>
      </c>
      <c r="D2117">
        <v>4.4982730000000002</v>
      </c>
      <c r="E2117">
        <v>0.50421079999999996</v>
      </c>
      <c r="F2117" t="s">
        <v>53</v>
      </c>
      <c r="G2117">
        <v>-471.54969999999997</v>
      </c>
      <c r="H2117" s="1">
        <v>5.5189499999999999E-6</v>
      </c>
      <c r="I2117">
        <v>279.94990000000001</v>
      </c>
      <c r="J2117">
        <v>-461.22570000000002</v>
      </c>
      <c r="K2117">
        <v>1.1144369999999999</v>
      </c>
      <c r="L2117">
        <v>282.56689999999998</v>
      </c>
      <c r="M2117">
        <v>-0.99367729999999999</v>
      </c>
      <c r="N2117">
        <v>0</v>
      </c>
      <c r="O2117">
        <v>-0.1112602</v>
      </c>
      <c r="P2117">
        <v>-0.96678600000000003</v>
      </c>
      <c r="Q2117">
        <v>5.6697640000000001E-2</v>
      </c>
      <c r="R2117">
        <v>-0.2492193</v>
      </c>
      <c r="S2117">
        <v>-2.9337460000000002</v>
      </c>
      <c r="T2117">
        <v>-0.30364540000000001</v>
      </c>
      <c r="U2117">
        <v>-0.72689820000000005</v>
      </c>
      <c r="V2117">
        <v>-0.1408692</v>
      </c>
      <c r="W2117">
        <v>7.0041309999999996E-2</v>
      </c>
      <c r="X2117">
        <v>0.98754750000000002</v>
      </c>
      <c r="Y2117">
        <v>-0.13089880000000001</v>
      </c>
      <c r="Z2117">
        <v>4.6044969999999999E-3</v>
      </c>
      <c r="AA2117">
        <v>0.99138499999999996</v>
      </c>
      <c r="AB2117">
        <v>45</v>
      </c>
      <c r="AC2117">
        <v>-10.3239999999999</v>
      </c>
      <c r="AD2117">
        <v>-1.11443148105</v>
      </c>
      <c r="AE2117">
        <v>-2.61699999999996</v>
      </c>
      <c r="AF2117">
        <v>-1.4362426301023501</v>
      </c>
      <c r="AG2117">
        <v>-1.11443148105</v>
      </c>
      <c r="AH2117">
        <v>10.436817678300899</v>
      </c>
      <c r="AI2117">
        <v>96.038402709297998</v>
      </c>
      <c r="AJ2117">
        <v>97.835435220463197</v>
      </c>
      <c r="AK2117">
        <v>10.593956469071101</v>
      </c>
      <c r="AL2117">
        <v>85.983640032097398</v>
      </c>
      <c r="AM2117">
        <v>98.118217891590206</v>
      </c>
      <c r="AN2117">
        <v>0.999999990685703</v>
      </c>
    </row>
    <row r="2118" spans="1:40" x14ac:dyDescent="0.25">
      <c r="A2118" t="str">
        <f>"20190312151308863"</f>
        <v>20190312151308863</v>
      </c>
      <c r="B2118" t="str">
        <f>"1552374788852388"</f>
        <v>1552374788852388</v>
      </c>
      <c r="C2118" t="s">
        <v>40</v>
      </c>
      <c r="D2118">
        <v>4.5063040000000001</v>
      </c>
      <c r="E2118">
        <v>0.50464920000000002</v>
      </c>
      <c r="F2118" t="s">
        <v>53</v>
      </c>
      <c r="G2118">
        <v>-471.81990000000002</v>
      </c>
      <c r="H2118" s="1">
        <v>5.3956959999999997E-6</v>
      </c>
      <c r="I2118">
        <v>279.91059999999999</v>
      </c>
      <c r="J2118">
        <v>-461.66930000000002</v>
      </c>
      <c r="K2118">
        <v>1.1145130000000001</v>
      </c>
      <c r="L2118">
        <v>282.5145</v>
      </c>
      <c r="M2118">
        <v>-0.99325249999999998</v>
      </c>
      <c r="N2118">
        <v>0</v>
      </c>
      <c r="O2118">
        <v>-0.11492810000000001</v>
      </c>
      <c r="P2118">
        <v>-0.96593980000000002</v>
      </c>
      <c r="Q2118">
        <v>5.600625E-2</v>
      </c>
      <c r="R2118">
        <v>-0.25263419999999998</v>
      </c>
      <c r="S2118">
        <v>-2.931702</v>
      </c>
      <c r="T2118">
        <v>-0.3083941</v>
      </c>
      <c r="U2118">
        <v>-0.73507690000000003</v>
      </c>
      <c r="V2118">
        <v>-0.1407004</v>
      </c>
      <c r="W2118">
        <v>6.9821549999999996E-2</v>
      </c>
      <c r="X2118">
        <v>0.9875872</v>
      </c>
      <c r="Y2118">
        <v>-0.1300231</v>
      </c>
      <c r="Z2118">
        <v>5.0971549999999999E-3</v>
      </c>
      <c r="AA2118">
        <v>0.99149790000000004</v>
      </c>
      <c r="AB2118">
        <v>44</v>
      </c>
      <c r="AC2118">
        <v>-10.150599999999899</v>
      </c>
      <c r="AD2118">
        <v>-1.1145076043040001</v>
      </c>
      <c r="AE2118">
        <v>-2.6038999999999999</v>
      </c>
      <c r="AF2118">
        <v>-1.4040310021289899</v>
      </c>
      <c r="AG2118">
        <v>-1.1145076043040001</v>
      </c>
      <c r="AH2118">
        <v>10.266496030748</v>
      </c>
      <c r="AI2118">
        <v>96.138938602763801</v>
      </c>
      <c r="AJ2118">
        <v>97.787378065688401</v>
      </c>
      <c r="AK2118">
        <v>10.4218218658906</v>
      </c>
      <c r="AL2118">
        <v>85.996262550494606</v>
      </c>
      <c r="AM2118">
        <v>98.108297859045294</v>
      </c>
      <c r="AN2118">
        <v>1.00000006450419</v>
      </c>
    </row>
    <row r="2119" spans="1:40" x14ac:dyDescent="0.25">
      <c r="A2119" t="str">
        <f>"20190312151308883"</f>
        <v>20190312151308883</v>
      </c>
      <c r="B2119" t="str">
        <f>"1552374788871907"</f>
        <v>1552374788871907</v>
      </c>
      <c r="C2119" t="s">
        <v>40</v>
      </c>
      <c r="D2119">
        <v>4.5213519999999896</v>
      </c>
      <c r="E2119">
        <v>0.5050038</v>
      </c>
      <c r="F2119" t="s">
        <v>53</v>
      </c>
      <c r="G2119">
        <v>-472.12009999999998</v>
      </c>
      <c r="H2119" s="1">
        <v>5.2587579999999996E-6</v>
      </c>
      <c r="I2119">
        <v>279.86750000000001</v>
      </c>
      <c r="J2119">
        <v>-462.07979999999998</v>
      </c>
      <c r="K2119">
        <v>1.1146130000000001</v>
      </c>
      <c r="L2119">
        <v>282.46440000000001</v>
      </c>
      <c r="M2119">
        <v>-0.99285109999999999</v>
      </c>
      <c r="N2119">
        <v>0</v>
      </c>
      <c r="O2119">
        <v>-0.11826979999999999</v>
      </c>
      <c r="P2119">
        <v>-0.96529779999999998</v>
      </c>
      <c r="Q2119">
        <v>5.659053E-2</v>
      </c>
      <c r="R2119">
        <v>-0.2549478</v>
      </c>
      <c r="S2119">
        <v>-2.9298099999999998</v>
      </c>
      <c r="T2119">
        <v>-0.31244189999999999</v>
      </c>
      <c r="U2119">
        <v>-0.74206539999999999</v>
      </c>
      <c r="V2119">
        <v>-0.13975309999999999</v>
      </c>
      <c r="W2119">
        <v>7.0993089999999995E-2</v>
      </c>
      <c r="X2119">
        <v>0.98763809999999996</v>
      </c>
      <c r="Y2119">
        <v>-0.12908059999999999</v>
      </c>
      <c r="Z2119">
        <v>5.5600930000000003E-3</v>
      </c>
      <c r="AA2119">
        <v>0.99161849999999996</v>
      </c>
      <c r="AB2119">
        <v>44</v>
      </c>
      <c r="AC2119">
        <v>-10.0403</v>
      </c>
      <c r="AD2119">
        <v>-1.1146077412419999</v>
      </c>
      <c r="AE2119">
        <v>-2.5969000000000002</v>
      </c>
      <c r="AF2119">
        <v>-1.37516602959709</v>
      </c>
      <c r="AG2119">
        <v>-1.1146077412419999</v>
      </c>
      <c r="AH2119">
        <v>10.1596323551894</v>
      </c>
      <c r="AI2119">
        <v>96.204716390598193</v>
      </c>
      <c r="AJ2119">
        <v>97.708472568524002</v>
      </c>
      <c r="AK2119">
        <v>10.3126893494571</v>
      </c>
      <c r="AL2119">
        <v>85.928970922590295</v>
      </c>
      <c r="AM2119">
        <v>98.054015844875295</v>
      </c>
      <c r="AN2119">
        <v>0.99999998217948305</v>
      </c>
    </row>
    <row r="2120" spans="1:40" x14ac:dyDescent="0.25">
      <c r="A2120" t="str">
        <f>"20190312151308907"</f>
        <v>20190312151308907</v>
      </c>
      <c r="B2120" t="str">
        <f>"1552374788902162"</f>
        <v>1552374788902162</v>
      </c>
      <c r="C2120" t="s">
        <v>40</v>
      </c>
      <c r="D2120">
        <v>4.5515169999999996</v>
      </c>
      <c r="E2120">
        <v>0.50547219999999904</v>
      </c>
      <c r="F2120" t="s">
        <v>53</v>
      </c>
      <c r="G2120">
        <v>-472.51990000000001</v>
      </c>
      <c r="H2120" s="1">
        <v>5.0759400000000002E-6</v>
      </c>
      <c r="I2120">
        <v>279.80399999999997</v>
      </c>
      <c r="J2120">
        <v>-462.51679999999999</v>
      </c>
      <c r="K2120">
        <v>1.1147370000000001</v>
      </c>
      <c r="L2120">
        <v>282.40949999999998</v>
      </c>
      <c r="M2120">
        <v>-0.99241679999999999</v>
      </c>
      <c r="N2120">
        <v>0</v>
      </c>
      <c r="O2120">
        <v>-0.12176679999999999</v>
      </c>
      <c r="P2120">
        <v>-0.96462190000000003</v>
      </c>
      <c r="Q2120">
        <v>5.6782440000000003E-2</v>
      </c>
      <c r="R2120">
        <v>-0.25745099999999999</v>
      </c>
      <c r="S2120">
        <v>-2.9290470000000002</v>
      </c>
      <c r="T2120">
        <v>-0.31271270000000001</v>
      </c>
      <c r="U2120">
        <v>-0.74639889999999998</v>
      </c>
      <c r="V2120">
        <v>-0.13884089999999999</v>
      </c>
      <c r="W2120">
        <v>7.1883450000000002E-2</v>
      </c>
      <c r="X2120">
        <v>0.98770239999999998</v>
      </c>
      <c r="Y2120">
        <v>-0.12705419999999901</v>
      </c>
      <c r="Z2120">
        <v>6.0331569999999999E-3</v>
      </c>
      <c r="AA2120">
        <v>0.99187740000000002</v>
      </c>
      <c r="AB2120">
        <v>44</v>
      </c>
      <c r="AC2120">
        <v>-10.0031</v>
      </c>
      <c r="AD2120">
        <v>-1.11473192406</v>
      </c>
      <c r="AE2120">
        <v>-2.6054999999999402</v>
      </c>
      <c r="AF2120">
        <v>-1.3521641138803799</v>
      </c>
      <c r="AG2120">
        <v>-1.11473192406</v>
      </c>
      <c r="AH2120">
        <v>10.1281651155206</v>
      </c>
      <c r="AI2120">
        <v>96.226040003343201</v>
      </c>
      <c r="AJ2120">
        <v>97.604326187428001</v>
      </c>
      <c r="AK2120">
        <v>10.278652813507801</v>
      </c>
      <c r="AL2120">
        <v>85.877826567549704</v>
      </c>
      <c r="AM2120">
        <v>98.001614421091404</v>
      </c>
      <c r="AN2120">
        <v>1.00000002843123</v>
      </c>
    </row>
    <row r="2121" spans="1:40" x14ac:dyDescent="0.25">
      <c r="A2121" t="str">
        <f>"20190312151308929"</f>
        <v>20190312151308929</v>
      </c>
      <c r="B2121" t="str">
        <f>"1552374788921683"</f>
        <v>1552374788921683</v>
      </c>
      <c r="C2121" t="s">
        <v>40</v>
      </c>
      <c r="D2121">
        <v>4.5327109999999999</v>
      </c>
      <c r="E2121">
        <v>0.50578049999999997</v>
      </c>
      <c r="F2121" t="s">
        <v>53</v>
      </c>
      <c r="G2121">
        <v>-473.08</v>
      </c>
      <c r="H2121" s="1">
        <v>4.8187390000000001E-6</v>
      </c>
      <c r="I2121">
        <v>279.70319999999998</v>
      </c>
      <c r="J2121">
        <v>-462.96390000000002</v>
      </c>
      <c r="K2121">
        <v>1.1148499999999999</v>
      </c>
      <c r="L2121">
        <v>282.35149999999999</v>
      </c>
      <c r="M2121">
        <v>-0.99196810000000002</v>
      </c>
      <c r="N2121">
        <v>0</v>
      </c>
      <c r="O2121">
        <v>-0.1252693</v>
      </c>
      <c r="P2121">
        <v>-0.9638118</v>
      </c>
      <c r="Q2121">
        <v>5.6710080000000003E-2</v>
      </c>
      <c r="R2121">
        <v>-0.26048199999999999</v>
      </c>
      <c r="S2121">
        <v>-2.9279790000000001</v>
      </c>
      <c r="T2121">
        <v>-0.30898809999999999</v>
      </c>
      <c r="U2121">
        <v>-0.75015259999999995</v>
      </c>
      <c r="V2121">
        <v>-0.13846169999999999</v>
      </c>
      <c r="W2121">
        <v>7.2540229999999997E-2</v>
      </c>
      <c r="X2121">
        <v>0.98770760000000002</v>
      </c>
      <c r="Y2121">
        <v>-0.1248611</v>
      </c>
      <c r="Z2121">
        <v>6.4342790000000002E-3</v>
      </c>
      <c r="AA2121">
        <v>0.99215330000000002</v>
      </c>
      <c r="AB2121">
        <v>44</v>
      </c>
      <c r="AC2121">
        <v>-10.1160999999999</v>
      </c>
      <c r="AD2121">
        <v>-1.1148451812610001</v>
      </c>
      <c r="AE2121">
        <v>-2.6482999999999999</v>
      </c>
      <c r="AF2121">
        <v>-1.3447167667303901</v>
      </c>
      <c r="AG2121">
        <v>-1.1148451812610001</v>
      </c>
      <c r="AH2121">
        <v>10.2516679846592</v>
      </c>
      <c r="AI2121">
        <v>96.154087205185604</v>
      </c>
      <c r="AJ2121">
        <v>97.472854315123101</v>
      </c>
      <c r="AK2121">
        <v>10.399415340709901</v>
      </c>
      <c r="AL2121">
        <v>85.840097291771698</v>
      </c>
      <c r="AM2121">
        <v>97.980000973731606</v>
      </c>
      <c r="AN2121">
        <v>1.00000001521655</v>
      </c>
    </row>
    <row r="2122" spans="1:40" x14ac:dyDescent="0.25">
      <c r="A2122" t="str">
        <f>"20190312151308950"</f>
        <v>20190312151308950</v>
      </c>
      <c r="B2122" t="str">
        <f>"1552374788942179"</f>
        <v>1552374788942179</v>
      </c>
      <c r="C2122" t="s">
        <v>40</v>
      </c>
      <c r="D2122">
        <v>4.5308409999999997</v>
      </c>
      <c r="E2122">
        <v>0.5061021</v>
      </c>
      <c r="F2122" t="s">
        <v>53</v>
      </c>
      <c r="G2122">
        <v>-473.5335</v>
      </c>
      <c r="H2122">
        <v>3.738477E-3</v>
      </c>
      <c r="I2122">
        <v>279.61630000000002</v>
      </c>
      <c r="J2122">
        <v>-463.3845</v>
      </c>
      <c r="K2122">
        <v>1.114932</v>
      </c>
      <c r="L2122">
        <v>282.2953</v>
      </c>
      <c r="M2122">
        <v>-0.99154059999999999</v>
      </c>
      <c r="N2122">
        <v>0</v>
      </c>
      <c r="O2122">
        <v>-0.12851699999999999</v>
      </c>
      <c r="P2122">
        <v>-0.96284789999999998</v>
      </c>
      <c r="Q2122">
        <v>5.644238E-2</v>
      </c>
      <c r="R2122">
        <v>-0.26408029999999999</v>
      </c>
      <c r="S2122">
        <v>-2.9261469999999998</v>
      </c>
      <c r="T2122">
        <v>-0.30760399999999999</v>
      </c>
      <c r="U2122">
        <v>-0.75720209999999999</v>
      </c>
      <c r="V2122">
        <v>-0.13891500000000001</v>
      </c>
      <c r="W2122">
        <v>7.2934020000000002E-2</v>
      </c>
      <c r="X2122">
        <v>0.98761489999999996</v>
      </c>
      <c r="Y2122">
        <v>-0.1240221</v>
      </c>
      <c r="Z2122">
        <v>6.7808529999999999E-3</v>
      </c>
      <c r="AA2122">
        <v>0.99225629999999998</v>
      </c>
      <c r="AB2122">
        <v>44</v>
      </c>
      <c r="AC2122">
        <v>-10.148999999999999</v>
      </c>
      <c r="AD2122">
        <v>-1.1111935230000001</v>
      </c>
      <c r="AE2122">
        <v>-2.6789999999999701</v>
      </c>
      <c r="AF2122">
        <v>-1.3372555054564601</v>
      </c>
      <c r="AG2122">
        <v>-1.1111935230000001</v>
      </c>
      <c r="AH2122">
        <v>10.293803404645301</v>
      </c>
      <c r="AI2122">
        <v>96.110147214118797</v>
      </c>
      <c r="AJ2122">
        <v>97.401772755952095</v>
      </c>
      <c r="AK2122">
        <v>10.4396068827288</v>
      </c>
      <c r="AL2122">
        <v>85.817474672337795</v>
      </c>
      <c r="AM2122">
        <v>98.006529661855893</v>
      </c>
      <c r="AN2122">
        <v>0.999999969600184</v>
      </c>
    </row>
    <row r="2123" spans="1:40" x14ac:dyDescent="0.25">
      <c r="A2123" t="str">
        <f>"20190312151308973"</f>
        <v>20190312151308973</v>
      </c>
      <c r="B2123" t="str">
        <f>"1552374788961699"</f>
        <v>1552374788961699</v>
      </c>
      <c r="C2123" t="s">
        <v>40</v>
      </c>
      <c r="D2123">
        <v>4.5978870000000001</v>
      </c>
      <c r="E2123">
        <v>0.50633720000000004</v>
      </c>
      <c r="F2123" t="s">
        <v>53</v>
      </c>
      <c r="G2123">
        <v>-473.62009999999998</v>
      </c>
      <c r="H2123">
        <v>3.9011990000000003E-2</v>
      </c>
      <c r="I2123">
        <v>279.61630000000002</v>
      </c>
      <c r="J2123">
        <v>-463.80180000000001</v>
      </c>
      <c r="K2123">
        <v>1.11497</v>
      </c>
      <c r="L2123">
        <v>282.238</v>
      </c>
      <c r="M2123">
        <v>-0.99110909999999997</v>
      </c>
      <c r="N2123">
        <v>0</v>
      </c>
      <c r="O2123">
        <v>-0.1317151</v>
      </c>
      <c r="P2123">
        <v>-0.96190509999999996</v>
      </c>
      <c r="Q2123">
        <v>5.4447479999999999E-2</v>
      </c>
      <c r="R2123">
        <v>-0.26790740000000002</v>
      </c>
      <c r="S2123">
        <v>-2.9239199999999999</v>
      </c>
      <c r="T2123">
        <v>-0.3073475</v>
      </c>
      <c r="U2123">
        <v>-0.76525880000000002</v>
      </c>
      <c r="V2123">
        <v>-0.13961970000000001</v>
      </c>
      <c r="W2123">
        <v>7.1568119999999999E-2</v>
      </c>
      <c r="X2123">
        <v>0.98761549999999998</v>
      </c>
      <c r="Y2123">
        <v>-0.1235816</v>
      </c>
      <c r="Z2123">
        <v>7.125124E-3</v>
      </c>
      <c r="AA2123">
        <v>0.99230890000000005</v>
      </c>
      <c r="AB2123">
        <v>43</v>
      </c>
      <c r="AC2123">
        <v>-9.8182999999999598</v>
      </c>
      <c r="AD2123">
        <v>-1.0759580099999999</v>
      </c>
      <c r="AE2123">
        <v>-2.6216999999999699</v>
      </c>
      <c r="AF2123">
        <v>-1.29093197914721</v>
      </c>
      <c r="AG2123">
        <v>-1.0759580099999999</v>
      </c>
      <c r="AH2123">
        <v>9.9663839137402093</v>
      </c>
      <c r="AI2123">
        <v>96.111054037613499</v>
      </c>
      <c r="AJ2123">
        <v>97.380351434331502</v>
      </c>
      <c r="AK2123">
        <v>10.107076695569599</v>
      </c>
      <c r="AL2123">
        <v>85.895940248636506</v>
      </c>
      <c r="AM2123">
        <v>98.046610410098594</v>
      </c>
      <c r="AN2123">
        <v>1.0000000161343301</v>
      </c>
    </row>
    <row r="2124" spans="1:40" x14ac:dyDescent="0.25">
      <c r="A2124" t="str">
        <f>"20190312151308995"</f>
        <v>20190312151308995</v>
      </c>
      <c r="B2124" t="str">
        <f>"1552374788991955"</f>
        <v>1552374788991955</v>
      </c>
      <c r="C2124" t="s">
        <v>40</v>
      </c>
      <c r="D2124">
        <v>4.5879699999999897</v>
      </c>
      <c r="E2124">
        <v>0.50668489999999999</v>
      </c>
      <c r="F2124" t="s">
        <v>53</v>
      </c>
      <c r="G2124">
        <v>-473.70440000000002</v>
      </c>
      <c r="H2124">
        <v>5.3737689999999998E-2</v>
      </c>
      <c r="I2124">
        <v>279.61259999999999</v>
      </c>
      <c r="J2124">
        <v>-464.22820000000002</v>
      </c>
      <c r="K2124">
        <v>1.1149709999999999</v>
      </c>
      <c r="L2124">
        <v>282.17790000000002</v>
      </c>
      <c r="M2124">
        <v>-0.99065749999999997</v>
      </c>
      <c r="N2124">
        <v>0</v>
      </c>
      <c r="O2124">
        <v>-0.13498160000000001</v>
      </c>
      <c r="P2124">
        <v>-0.96062729999999996</v>
      </c>
      <c r="Q2124">
        <v>5.4414089999999998E-2</v>
      </c>
      <c r="R2124">
        <v>-0.27245999999999998</v>
      </c>
      <c r="S2124">
        <v>-2.920868</v>
      </c>
      <c r="T2124">
        <v>-0.3130193</v>
      </c>
      <c r="U2124">
        <v>-0.7743835</v>
      </c>
      <c r="V2124">
        <v>-0.14103450000000001</v>
      </c>
      <c r="W2124">
        <v>7.2145020000000004E-2</v>
      </c>
      <c r="X2124">
        <v>0.98737249999999999</v>
      </c>
      <c r="Y2124">
        <v>-0.1234804</v>
      </c>
      <c r="Z2124">
        <v>7.6031179999999999E-3</v>
      </c>
      <c r="AA2124">
        <v>0.99231789999999997</v>
      </c>
      <c r="AB2124">
        <v>43</v>
      </c>
      <c r="AC2124">
        <v>-9.4762000000000004</v>
      </c>
      <c r="AD2124">
        <v>-1.06123331</v>
      </c>
      <c r="AE2124">
        <v>-2.5653000000000299</v>
      </c>
      <c r="AF2124">
        <v>-1.24787768817468</v>
      </c>
      <c r="AG2124">
        <v>-1.06123331</v>
      </c>
      <c r="AH2124">
        <v>9.6233244613460496</v>
      </c>
      <c r="AI2124">
        <v>96.241154836364601</v>
      </c>
      <c r="AJ2124">
        <v>97.388442130693605</v>
      </c>
      <c r="AK2124">
        <v>9.7617513055413898</v>
      </c>
      <c r="AL2124">
        <v>85.862800762011702</v>
      </c>
      <c r="AM2124">
        <v>98.129038108003201</v>
      </c>
      <c r="AN2124">
        <v>1.0000000439286401</v>
      </c>
    </row>
    <row r="2125" spans="1:40" x14ac:dyDescent="0.25">
      <c r="A2125" t="str">
        <f>"20190312151309030"</f>
        <v>20190312151309030</v>
      </c>
      <c r="B2125" t="str">
        <f>"1552374789022211"</f>
        <v>1552374789022211</v>
      </c>
      <c r="C2125" t="s">
        <v>40</v>
      </c>
      <c r="D2125">
        <v>4.5961169999999996</v>
      </c>
      <c r="E2125">
        <v>0.50698509999999997</v>
      </c>
      <c r="F2125" t="s">
        <v>53</v>
      </c>
      <c r="G2125">
        <v>-473.87049999999999</v>
      </c>
      <c r="H2125">
        <v>8.0000299999999996E-2</v>
      </c>
      <c r="I2125">
        <v>279.58370000000002</v>
      </c>
      <c r="J2125">
        <v>-464.86680000000001</v>
      </c>
      <c r="K2125">
        <v>1.1149249999999999</v>
      </c>
      <c r="L2125">
        <v>282.08530000000002</v>
      </c>
      <c r="M2125">
        <v>-0.98996039999999996</v>
      </c>
      <c r="N2125">
        <v>0</v>
      </c>
      <c r="O2125">
        <v>-0.13987820000000001</v>
      </c>
      <c r="P2125">
        <v>-0.95839030000000003</v>
      </c>
      <c r="Q2125">
        <v>5.564173E-2</v>
      </c>
      <c r="R2125">
        <v>-0.27998600000000001</v>
      </c>
      <c r="S2125">
        <v>-2.9180600000000001</v>
      </c>
      <c r="T2125">
        <v>-0.31321529999999997</v>
      </c>
      <c r="U2125">
        <v>-0.78509519999999899</v>
      </c>
      <c r="V2125">
        <v>-0.1439019</v>
      </c>
      <c r="W2125">
        <v>7.4248899999999896E-2</v>
      </c>
      <c r="X2125">
        <v>0.98680259999999997</v>
      </c>
      <c r="Y2125">
        <v>-0.1222401</v>
      </c>
      <c r="Z2125">
        <v>8.1827459999999994E-3</v>
      </c>
      <c r="AA2125">
        <v>0.99246679999999998</v>
      </c>
      <c r="AB2125">
        <v>43</v>
      </c>
      <c r="AC2125">
        <v>-9.0036999999999807</v>
      </c>
      <c r="AD2125">
        <v>-1.0349246999999999</v>
      </c>
      <c r="AE2125">
        <v>-2.5015999999999901</v>
      </c>
      <c r="AF2125">
        <v>-1.20256477417063</v>
      </c>
      <c r="AG2125">
        <v>-1.0349246999999999</v>
      </c>
      <c r="AH2125">
        <v>9.1528734477999993</v>
      </c>
      <c r="AI2125">
        <v>96.396580031039605</v>
      </c>
      <c r="AJ2125">
        <v>97.485023319270795</v>
      </c>
      <c r="AK2125">
        <v>9.2893661528754699</v>
      </c>
      <c r="AL2125">
        <v>85.741932943927296</v>
      </c>
      <c r="AM2125">
        <v>98.296757658830799</v>
      </c>
      <c r="AN2125">
        <v>1.0000000136707801</v>
      </c>
    </row>
    <row r="2126" spans="1:40" x14ac:dyDescent="0.25">
      <c r="A2126" t="str">
        <f>"20190312151309052"</f>
        <v>20190312151309052</v>
      </c>
      <c r="B2126" t="str">
        <f>"1552374789041732"</f>
        <v>1552374789041732</v>
      </c>
      <c r="C2126" t="s">
        <v>40</v>
      </c>
      <c r="D2126">
        <v>4.5153939999999997</v>
      </c>
      <c r="E2126">
        <v>0.51720509999999997</v>
      </c>
      <c r="F2126" t="s">
        <v>53</v>
      </c>
      <c r="G2126">
        <v>-474.6318</v>
      </c>
      <c r="H2126">
        <v>8.0000150000000006E-2</v>
      </c>
      <c r="I2126">
        <v>279.38389999999998</v>
      </c>
      <c r="J2126">
        <v>-465.28199999999998</v>
      </c>
      <c r="K2126">
        <v>1.1148640000000001</v>
      </c>
      <c r="L2126">
        <v>282.02319999999997</v>
      </c>
      <c r="M2126">
        <v>-0.98949679999999995</v>
      </c>
      <c r="N2126">
        <v>0</v>
      </c>
      <c r="O2126">
        <v>-0.14304059999999999</v>
      </c>
      <c r="P2126">
        <v>-0.95677559999999995</v>
      </c>
      <c r="Q2126">
        <v>5.4700289999999999E-2</v>
      </c>
      <c r="R2126">
        <v>-0.28563719999999998</v>
      </c>
      <c r="S2126">
        <v>-2.9127809999999998</v>
      </c>
      <c r="T2126">
        <v>-0.30870570000000003</v>
      </c>
      <c r="U2126">
        <v>-0.80578609999999995</v>
      </c>
      <c r="V2126">
        <v>-0.14654239999999999</v>
      </c>
      <c r="W2126">
        <v>7.3869420000000005E-2</v>
      </c>
      <c r="X2126">
        <v>0.98644240000000005</v>
      </c>
      <c r="Y2126">
        <v>-0.12607209999999999</v>
      </c>
      <c r="Z2126">
        <v>8.1943999999999993E-3</v>
      </c>
      <c r="AA2126">
        <v>0.99198719999999996</v>
      </c>
      <c r="AB2126">
        <v>43</v>
      </c>
      <c r="AC2126">
        <v>-9.3498000000000108</v>
      </c>
      <c r="AD2126">
        <v>-1.03486384999999</v>
      </c>
      <c r="AE2126">
        <v>-2.6392999999999902</v>
      </c>
      <c r="AF2126">
        <v>-1.26015695360014</v>
      </c>
      <c r="AG2126">
        <v>-1.03486384999999</v>
      </c>
      <c r="AH2126">
        <v>9.5231661456988999</v>
      </c>
      <c r="AI2126">
        <v>96.148702177125301</v>
      </c>
      <c r="AJ2126">
        <v>97.537895395674695</v>
      </c>
      <c r="AK2126">
        <v>9.6617613391311394</v>
      </c>
      <c r="AL2126">
        <v>85.763735307395194</v>
      </c>
      <c r="AM2126">
        <v>98.449860292951797</v>
      </c>
      <c r="AN2126">
        <v>0.99999998736332796</v>
      </c>
    </row>
    <row r="2127" spans="1:40" x14ac:dyDescent="0.25">
      <c r="A2127" t="str">
        <f>"20190312151309073"</f>
        <v>20190312151309073</v>
      </c>
      <c r="B2127" t="str">
        <f>"1552374789062227"</f>
        <v>1552374789062227</v>
      </c>
      <c r="C2127" t="s">
        <v>40</v>
      </c>
      <c r="D2127">
        <v>4.5077379999999998</v>
      </c>
      <c r="E2127">
        <v>0.51742690000000002</v>
      </c>
      <c r="F2127" t="s">
        <v>53</v>
      </c>
      <c r="G2127">
        <v>-472.7466</v>
      </c>
      <c r="H2127" s="1">
        <v>5.0028169999999996E-6</v>
      </c>
      <c r="I2127">
        <v>280.11779999999999</v>
      </c>
      <c r="J2127">
        <v>-465.69639999999998</v>
      </c>
      <c r="K2127">
        <v>1.114798</v>
      </c>
      <c r="L2127">
        <v>281.9599</v>
      </c>
      <c r="M2127">
        <v>-0.98902900000000005</v>
      </c>
      <c r="N2127">
        <v>0</v>
      </c>
      <c r="O2127">
        <v>-0.14616029999999999</v>
      </c>
      <c r="P2127">
        <v>-0.95526160000000004</v>
      </c>
      <c r="Q2127">
        <v>5.2244949999999998E-2</v>
      </c>
      <c r="R2127">
        <v>-0.29111090000000001</v>
      </c>
      <c r="S2127">
        <v>-2.936798</v>
      </c>
      <c r="T2127">
        <v>-0.43861709999999898</v>
      </c>
      <c r="U2127">
        <v>-0.74963380000000002</v>
      </c>
      <c r="V2127">
        <v>-0.14902370000000001</v>
      </c>
      <c r="W2127">
        <v>7.1970950000000006E-2</v>
      </c>
      <c r="X2127">
        <v>0.98621099999999995</v>
      </c>
      <c r="Y2127">
        <v>-0.103449</v>
      </c>
      <c r="Z2127">
        <v>1.3658740000000001E-2</v>
      </c>
      <c r="AA2127">
        <v>0.99454100000000001</v>
      </c>
      <c r="AB2127">
        <v>42</v>
      </c>
      <c r="AC2127">
        <v>-7.05020000000001</v>
      </c>
      <c r="AD2127">
        <v>-1.114792997183</v>
      </c>
      <c r="AE2127">
        <v>-1.8421000000000101</v>
      </c>
      <c r="AF2127">
        <v>-0.77350877275861496</v>
      </c>
      <c r="AG2127">
        <v>-1.114792997183</v>
      </c>
      <c r="AH2127">
        <v>7.0780946652623902</v>
      </c>
      <c r="AI2127">
        <v>98.898382194194795</v>
      </c>
      <c r="AJ2127">
        <v>96.236652229888506</v>
      </c>
      <c r="AK2127">
        <v>7.2069760190053804</v>
      </c>
      <c r="AL2127">
        <v>85.872800086301496</v>
      </c>
      <c r="AM2127">
        <v>98.592804109372494</v>
      </c>
      <c r="AN2127">
        <v>1.0000000086632901</v>
      </c>
    </row>
    <row r="2128" spans="1:40" x14ac:dyDescent="0.25">
      <c r="A2128" t="str">
        <f>"20190312151309096"</f>
        <v>20190312151309096</v>
      </c>
      <c r="B2128" t="str">
        <f>"1552374789092483"</f>
        <v>1552374789092483</v>
      </c>
      <c r="C2128" t="s">
        <v>40</v>
      </c>
      <c r="D2128">
        <v>4.5528300000000002</v>
      </c>
      <c r="E2128">
        <v>0.51763029999999999</v>
      </c>
      <c r="F2128" t="s">
        <v>53</v>
      </c>
      <c r="G2128">
        <v>-473.06380000000001</v>
      </c>
      <c r="H2128" s="1">
        <v>4.8552819999999998E-6</v>
      </c>
      <c r="I2128">
        <v>280.03910000000002</v>
      </c>
      <c r="J2128">
        <v>-466.1069</v>
      </c>
      <c r="K2128">
        <v>1.114746</v>
      </c>
      <c r="L2128">
        <v>281.89600000000002</v>
      </c>
      <c r="M2128">
        <v>-0.98856469999999996</v>
      </c>
      <c r="N2128">
        <v>0</v>
      </c>
      <c r="O2128">
        <v>-0.1491914</v>
      </c>
      <c r="P2128">
        <v>-0.9537196</v>
      </c>
      <c r="Q2128">
        <v>5.0098660000000003E-2</v>
      </c>
      <c r="R2128">
        <v>-0.29649520000000001</v>
      </c>
      <c r="S2128">
        <v>-2.9318240000000002</v>
      </c>
      <c r="T2128">
        <v>-0.44362699999999999</v>
      </c>
      <c r="U2128">
        <v>-0.76440430000000004</v>
      </c>
      <c r="V2128">
        <v>-0.15151529999999999</v>
      </c>
      <c r="W2128">
        <v>7.035334E-2</v>
      </c>
      <c r="X2128">
        <v>0.98594800000000005</v>
      </c>
      <c r="Y2128">
        <v>-0.1055199</v>
      </c>
      <c r="Z2128">
        <v>1.4112939999999999E-2</v>
      </c>
      <c r="AA2128">
        <v>0.99431709999999995</v>
      </c>
      <c r="AB2128">
        <v>42</v>
      </c>
      <c r="AC2128">
        <v>-6.9569000000000099</v>
      </c>
      <c r="AD2128">
        <v>-1.114741144718</v>
      </c>
      <c r="AE2128">
        <v>-1.8568999999999301</v>
      </c>
      <c r="AF2128">
        <v>-0.77927095681630698</v>
      </c>
      <c r="AG2128">
        <v>-1.114741144718</v>
      </c>
      <c r="AH2128">
        <v>6.9886017742308404</v>
      </c>
      <c r="AI2128">
        <v>99.007911372825006</v>
      </c>
      <c r="AJ2128">
        <v>96.362539734471298</v>
      </c>
      <c r="AK2128">
        <v>7.1197237167355798</v>
      </c>
      <c r="AL2128">
        <v>85.965717728842094</v>
      </c>
      <c r="AM2128">
        <v>98.736567662422104</v>
      </c>
      <c r="AN2128">
        <v>0.99999996864362195</v>
      </c>
    </row>
    <row r="2129" spans="1:40" x14ac:dyDescent="0.25">
      <c r="A2129" t="str">
        <f>"20190312151309118"</f>
        <v>20190312151309118</v>
      </c>
      <c r="B2129" t="str">
        <f>"1552374789112003"</f>
        <v>1552374789112003</v>
      </c>
      <c r="C2129" t="s">
        <v>40</v>
      </c>
      <c r="D2129">
        <v>4.5063449999999996</v>
      </c>
      <c r="E2129">
        <v>0.51768530000000001</v>
      </c>
      <c r="F2129" t="s">
        <v>53</v>
      </c>
      <c r="G2129">
        <v>-473.2842</v>
      </c>
      <c r="H2129" s="1">
        <v>4.7527069999999901E-6</v>
      </c>
      <c r="I2129">
        <v>279.98390000000001</v>
      </c>
      <c r="J2129">
        <v>-466.51139999999998</v>
      </c>
      <c r="K2129">
        <v>1.11469</v>
      </c>
      <c r="L2129">
        <v>281.83170000000001</v>
      </c>
      <c r="M2129">
        <v>-0.98810980000000004</v>
      </c>
      <c r="N2129">
        <v>0</v>
      </c>
      <c r="O2129">
        <v>-0.15210009999999999</v>
      </c>
      <c r="P2129">
        <v>-0.95225749999999998</v>
      </c>
      <c r="Q2129">
        <v>4.7568779999999998E-2</v>
      </c>
      <c r="R2129">
        <v>-0.30156769999999999</v>
      </c>
      <c r="S2129">
        <v>-2.9270320000000001</v>
      </c>
      <c r="T2129">
        <v>-0.45461049999999997</v>
      </c>
      <c r="U2129">
        <v>-0.77975459999999996</v>
      </c>
      <c r="V2129">
        <v>-0.15380720000000001</v>
      </c>
      <c r="W2129">
        <v>6.8339269999999994E-2</v>
      </c>
      <c r="X2129">
        <v>0.98573480000000002</v>
      </c>
      <c r="Y2129">
        <v>-0.10789260000000001</v>
      </c>
      <c r="Z2129">
        <v>1.472323E-2</v>
      </c>
      <c r="AA2129">
        <v>0.99405350000000003</v>
      </c>
      <c r="AB2129">
        <v>42</v>
      </c>
      <c r="AC2129">
        <v>-6.7728000000000099</v>
      </c>
      <c r="AD2129">
        <v>-1.114685247293</v>
      </c>
      <c r="AE2129">
        <v>-1.8478000000000001</v>
      </c>
      <c r="AF2129">
        <v>-0.77631496331550298</v>
      </c>
      <c r="AG2129">
        <v>-1.114685247293</v>
      </c>
      <c r="AH2129">
        <v>6.8035568917750497</v>
      </c>
      <c r="AI2129">
        <v>99.245645856135695</v>
      </c>
      <c r="AJ2129">
        <v>96.509540172034505</v>
      </c>
      <c r="AK2129">
        <v>6.9378364424667698</v>
      </c>
      <c r="AL2129">
        <v>86.081394072307006</v>
      </c>
      <c r="AM2129">
        <v>98.868524255698603</v>
      </c>
      <c r="AN2129">
        <v>1.0000000032634999</v>
      </c>
    </row>
    <row r="2130" spans="1:40" x14ac:dyDescent="0.25">
      <c r="A2130" t="str">
        <f>"20190312151309141"</f>
        <v>20190312151309141</v>
      </c>
      <c r="B2130" t="str">
        <f>"1552374789132503"</f>
        <v>1552374789132503</v>
      </c>
      <c r="C2130" t="s">
        <v>40</v>
      </c>
      <c r="D2130">
        <v>4.5507279999999897</v>
      </c>
      <c r="E2130">
        <v>0.51803520000000003</v>
      </c>
      <c r="F2130" t="s">
        <v>53</v>
      </c>
      <c r="G2130">
        <v>-473.46199999999999</v>
      </c>
      <c r="H2130" s="1">
        <v>4.6701530000000004E-6</v>
      </c>
      <c r="I2130">
        <v>279.94130000000001</v>
      </c>
      <c r="J2130">
        <v>-466.92250000000001</v>
      </c>
      <c r="K2130">
        <v>1.1146119999999999</v>
      </c>
      <c r="L2130">
        <v>281.76519999999999</v>
      </c>
      <c r="M2130">
        <v>-0.9876509</v>
      </c>
      <c r="N2130">
        <v>0</v>
      </c>
      <c r="O2130">
        <v>-0.1549777</v>
      </c>
      <c r="P2130">
        <v>-0.95083289999999998</v>
      </c>
      <c r="Q2130">
        <v>4.5234009999999998E-2</v>
      </c>
      <c r="R2130">
        <v>-0.30638399999999999</v>
      </c>
      <c r="S2130">
        <v>-2.9220890000000002</v>
      </c>
      <c r="T2130">
        <v>-0.46862199999999998</v>
      </c>
      <c r="U2130">
        <v>-0.79476930000000001</v>
      </c>
      <c r="V2130">
        <v>-0.1558725</v>
      </c>
      <c r="W2130">
        <v>6.6529039999999998E-2</v>
      </c>
      <c r="X2130">
        <v>0.98553420000000003</v>
      </c>
      <c r="Y2130">
        <v>-0.11021160000000001</v>
      </c>
      <c r="Z2130">
        <v>1.544481E-2</v>
      </c>
      <c r="AA2130">
        <v>0.99378809999999995</v>
      </c>
      <c r="AB2130">
        <v>42</v>
      </c>
      <c r="AC2130">
        <v>-6.5394999999999701</v>
      </c>
      <c r="AD2130">
        <v>-1.1146073298469901</v>
      </c>
      <c r="AE2130">
        <v>-1.8238999999999801</v>
      </c>
      <c r="AF2130">
        <v>-0.76742272054618699</v>
      </c>
      <c r="AG2130">
        <v>-1.1146073298469901</v>
      </c>
      <c r="AH2130">
        <v>6.5662013947056304</v>
      </c>
      <c r="AI2130">
        <v>99.570153618382605</v>
      </c>
      <c r="AJ2130">
        <v>96.666183297963499</v>
      </c>
      <c r="AK2130">
        <v>6.7041992726643604</v>
      </c>
      <c r="AL2130">
        <v>86.185349260069998</v>
      </c>
      <c r="AM2130">
        <v>98.987478082777997</v>
      </c>
      <c r="AN2130">
        <v>1.0000000043946</v>
      </c>
    </row>
    <row r="2131" spans="1:40" x14ac:dyDescent="0.25">
      <c r="A2131" t="str">
        <f>"20190312151309163"</f>
        <v>20190312151309163</v>
      </c>
      <c r="B2131" t="str">
        <f>"1552374789152019"</f>
        <v>1552374789152019</v>
      </c>
      <c r="C2131" t="s">
        <v>40</v>
      </c>
      <c r="D2131">
        <v>4.505636</v>
      </c>
      <c r="E2131">
        <v>0.51829740000000002</v>
      </c>
      <c r="F2131" t="s">
        <v>53</v>
      </c>
      <c r="G2131">
        <v>-473.78219999999999</v>
      </c>
      <c r="H2131" s="1">
        <v>4.5219340000000004E-6</v>
      </c>
      <c r="I2131">
        <v>279.86989999999997</v>
      </c>
      <c r="J2131">
        <v>-467.3279</v>
      </c>
      <c r="K2131">
        <v>1.1145229999999999</v>
      </c>
      <c r="L2131">
        <v>281.69839999999999</v>
      </c>
      <c r="M2131">
        <v>-0.98720260000000004</v>
      </c>
      <c r="N2131">
        <v>0</v>
      </c>
      <c r="O2131">
        <v>-0.1577374</v>
      </c>
      <c r="P2131">
        <v>-0.94957329999999995</v>
      </c>
      <c r="Q2131">
        <v>4.2509020000000002E-2</v>
      </c>
      <c r="R2131">
        <v>-0.31065009999999998</v>
      </c>
      <c r="S2131">
        <v>-2.9179379999999999</v>
      </c>
      <c r="T2131">
        <v>-0.47412660000000001</v>
      </c>
      <c r="U2131">
        <v>-0.80621339999999997</v>
      </c>
      <c r="V2131">
        <v>-0.15748380000000001</v>
      </c>
      <c r="W2131">
        <v>6.4304609999999998E-2</v>
      </c>
      <c r="X2131">
        <v>0.98542569999999996</v>
      </c>
      <c r="Y2131">
        <v>-0.1114454</v>
      </c>
      <c r="Z2131">
        <v>1.5966890000000001E-2</v>
      </c>
      <c r="AA2131">
        <v>0.99364229999999998</v>
      </c>
      <c r="AB2131">
        <v>41</v>
      </c>
      <c r="AC2131">
        <v>-6.4542999999999804</v>
      </c>
      <c r="AD2131">
        <v>-1.114518478066</v>
      </c>
      <c r="AE2131">
        <v>-1.82850000000002</v>
      </c>
      <c r="AF2131">
        <v>-0.76608605295879895</v>
      </c>
      <c r="AG2131">
        <v>-1.114518478066</v>
      </c>
      <c r="AH2131">
        <v>6.4830093592250204</v>
      </c>
      <c r="AI2131">
        <v>99.688463273525798</v>
      </c>
      <c r="AJ2131">
        <v>96.739290993988007</v>
      </c>
      <c r="AK2131">
        <v>6.6225712250067703</v>
      </c>
      <c r="AL2131">
        <v>86.313073377001203</v>
      </c>
      <c r="AM2131">
        <v>99.079827625221398</v>
      </c>
      <c r="AN2131">
        <v>1.00000002017509</v>
      </c>
    </row>
    <row r="2132" spans="1:40" x14ac:dyDescent="0.25">
      <c r="A2132" t="str">
        <f>"20190312151309196"</f>
        <v>20190312151309196</v>
      </c>
      <c r="B2132" t="str">
        <f>"1552374789192035"</f>
        <v>1552374789192035</v>
      </c>
      <c r="C2132" t="s">
        <v>40</v>
      </c>
      <c r="D2132">
        <v>4.5887659999999997</v>
      </c>
      <c r="E2132">
        <v>0.51873649999999905</v>
      </c>
      <c r="F2132" t="s">
        <v>53</v>
      </c>
      <c r="G2132">
        <v>-474.0804</v>
      </c>
      <c r="H2132" s="1">
        <v>4.3840669999999998E-6</v>
      </c>
      <c r="I2132">
        <v>279.80560000000003</v>
      </c>
      <c r="J2132">
        <v>-467.92129999999997</v>
      </c>
      <c r="K2132">
        <v>1.1143559999999999</v>
      </c>
      <c r="L2132">
        <v>281.59859999999998</v>
      </c>
      <c r="M2132">
        <v>-0.98656259999999996</v>
      </c>
      <c r="N2132">
        <v>0</v>
      </c>
      <c r="O2132">
        <v>-0.16160250000000001</v>
      </c>
      <c r="P2132">
        <v>-0.9476945</v>
      </c>
      <c r="Q2132">
        <v>3.9132340000000002E-2</v>
      </c>
      <c r="R2132">
        <v>-0.31677169999999999</v>
      </c>
      <c r="S2132">
        <v>-2.9136350000000002</v>
      </c>
      <c r="T2132">
        <v>-0.48090430000000001</v>
      </c>
      <c r="U2132">
        <v>-0.81674190000000002</v>
      </c>
      <c r="V2132">
        <v>-0.15990570000000001</v>
      </c>
      <c r="W2132">
        <v>6.1589640000000001E-2</v>
      </c>
      <c r="X2132">
        <v>0.985209</v>
      </c>
      <c r="Y2132">
        <v>-0.1113247</v>
      </c>
      <c r="Z2132">
        <v>1.6825E-2</v>
      </c>
      <c r="AA2132">
        <v>0.99364169999999996</v>
      </c>
      <c r="AB2132">
        <v>41</v>
      </c>
      <c r="AC2132">
        <v>-6.15910000000002</v>
      </c>
      <c r="AD2132">
        <v>-1.11435161593299</v>
      </c>
      <c r="AE2132">
        <v>-1.79299999999994</v>
      </c>
      <c r="AF2132">
        <v>-0.75113742971936903</v>
      </c>
      <c r="AG2132">
        <v>-1.11435161593299</v>
      </c>
      <c r="AH2132">
        <v>6.1813960788637701</v>
      </c>
      <c r="AI2132">
        <v>100.14617089437699</v>
      </c>
      <c r="AJ2132">
        <v>96.928375350217294</v>
      </c>
      <c r="AK2132">
        <v>6.3257920014849001</v>
      </c>
      <c r="AL2132">
        <v>86.468938582222805</v>
      </c>
      <c r="AM2132">
        <v>99.219077348986303</v>
      </c>
      <c r="AN2132">
        <v>0.99999994516440804</v>
      </c>
    </row>
    <row r="2133" spans="1:40" x14ac:dyDescent="0.25">
      <c r="A2133" t="str">
        <f>"20190312151309219"</f>
        <v>20190312151309219</v>
      </c>
      <c r="B2133" t="str">
        <f>"1552374789212536"</f>
        <v>1552374789212536</v>
      </c>
      <c r="C2133" t="s">
        <v>40</v>
      </c>
      <c r="D2133">
        <v>4.5555300000000001</v>
      </c>
      <c r="E2133">
        <v>0.51920719999999998</v>
      </c>
      <c r="F2133" t="s">
        <v>53</v>
      </c>
      <c r="G2133">
        <v>-474.52190000000002</v>
      </c>
      <c r="H2133" s="1">
        <v>4.1799880000000003E-6</v>
      </c>
      <c r="I2133">
        <v>279.71109999999999</v>
      </c>
      <c r="J2133">
        <v>-468.31920000000002</v>
      </c>
      <c r="K2133">
        <v>1.114236</v>
      </c>
      <c r="L2133">
        <v>281.53039999999999</v>
      </c>
      <c r="M2133">
        <v>-0.98614310000000005</v>
      </c>
      <c r="N2133">
        <v>0</v>
      </c>
      <c r="O2133">
        <v>-0.16408989999999901</v>
      </c>
      <c r="P2133">
        <v>-0.94621299999999997</v>
      </c>
      <c r="Q2133">
        <v>3.8045099999999998E-2</v>
      </c>
      <c r="R2133">
        <v>-0.32130029999999998</v>
      </c>
      <c r="S2133">
        <v>-2.9079280000000001</v>
      </c>
      <c r="T2133">
        <v>-0.49092789999999997</v>
      </c>
      <c r="U2133">
        <v>-0.83154300000000003</v>
      </c>
      <c r="V2133">
        <v>-0.16209860000000001</v>
      </c>
      <c r="W2133">
        <v>6.0894299999999998E-2</v>
      </c>
      <c r="X2133">
        <v>0.98489389999999999</v>
      </c>
      <c r="Y2133">
        <v>-0.1140283</v>
      </c>
      <c r="Z2133">
        <v>1.7367219999999999E-2</v>
      </c>
      <c r="AA2133">
        <v>0.99332569999999998</v>
      </c>
      <c r="AB2133">
        <v>41</v>
      </c>
      <c r="AC2133">
        <v>-6.2026999999999903</v>
      </c>
      <c r="AD2133">
        <v>-1.1142318200120001</v>
      </c>
      <c r="AE2133">
        <v>-1.8192999999999899</v>
      </c>
      <c r="AF2133">
        <v>-0.75411419942319602</v>
      </c>
      <c r="AG2133">
        <v>-1.1142318200120001</v>
      </c>
      <c r="AH2133">
        <v>6.2320194862891301</v>
      </c>
      <c r="AI2133">
        <v>100.06498460377399</v>
      </c>
      <c r="AJ2133">
        <v>96.899610154640598</v>
      </c>
      <c r="AK2133">
        <v>6.3755993955067796</v>
      </c>
      <c r="AL2133">
        <v>86.508853862292895</v>
      </c>
      <c r="AM2133">
        <v>99.346226792514898</v>
      </c>
      <c r="AN2133">
        <v>1.0000000330758201</v>
      </c>
    </row>
    <row r="2134" spans="1:40" x14ac:dyDescent="0.25">
      <c r="A2134" t="str">
        <f>"20190312151309241"</f>
        <v>20190312151309241</v>
      </c>
      <c r="B2134" t="str">
        <f>"1552374789232052"</f>
        <v>1552374789232052</v>
      </c>
      <c r="C2134" t="s">
        <v>40</v>
      </c>
      <c r="D2134">
        <v>4.543844</v>
      </c>
      <c r="E2134">
        <v>0.51938430000000002</v>
      </c>
      <c r="F2134" t="s">
        <v>53</v>
      </c>
      <c r="G2134">
        <v>-474.8741</v>
      </c>
      <c r="H2134" s="1">
        <v>4.0169560000000003E-6</v>
      </c>
      <c r="I2134">
        <v>279.63240000000002</v>
      </c>
      <c r="J2134">
        <v>-468.7201</v>
      </c>
      <c r="K2134">
        <v>1.1141259999999999</v>
      </c>
      <c r="L2134">
        <v>281.46080000000001</v>
      </c>
      <c r="M2134">
        <v>-0.98572789999999999</v>
      </c>
      <c r="N2134">
        <v>0</v>
      </c>
      <c r="O2134">
        <v>-0.1665169</v>
      </c>
      <c r="P2134">
        <v>-0.9447972</v>
      </c>
      <c r="Q2134">
        <v>3.7997429999999999E-2</v>
      </c>
      <c r="R2134">
        <v>-0.3254457</v>
      </c>
      <c r="S2134">
        <v>-2.9047550000000002</v>
      </c>
      <c r="T2134">
        <v>-0.4937627</v>
      </c>
      <c r="U2134">
        <v>-0.84109500000000004</v>
      </c>
      <c r="V2134">
        <v>-0.163972799999999</v>
      </c>
      <c r="W2134">
        <v>6.1206499999999997E-2</v>
      </c>
      <c r="X2134">
        <v>0.9845642</v>
      </c>
      <c r="Y2134">
        <v>-0.114912</v>
      </c>
      <c r="Z2134">
        <v>1.779474E-2</v>
      </c>
      <c r="AA2134">
        <v>0.99321630000000005</v>
      </c>
      <c r="AB2134">
        <v>41</v>
      </c>
      <c r="AC2134">
        <v>-6.1539999999999901</v>
      </c>
      <c r="AD2134">
        <v>-1.1141219830439999</v>
      </c>
      <c r="AE2134">
        <v>-1.82839999999998</v>
      </c>
      <c r="AF2134">
        <v>-0.75505804301160995</v>
      </c>
      <c r="AG2134">
        <v>-1.1141219830439999</v>
      </c>
      <c r="AH2134">
        <v>6.1862690273033198</v>
      </c>
      <c r="AI2134">
        <v>100.135657804275</v>
      </c>
      <c r="AJ2134">
        <v>96.958752351025396</v>
      </c>
      <c r="AK2134">
        <v>6.3309797756422199</v>
      </c>
      <c r="AL2134">
        <v>86.490932538191799</v>
      </c>
      <c r="AM2134">
        <v>99.455457689441999</v>
      </c>
      <c r="AN2134">
        <v>0.99999998935186496</v>
      </c>
    </row>
    <row r="2135" spans="1:40" x14ac:dyDescent="0.25">
      <c r="A2135" t="str">
        <f>"20190312151309264"</f>
        <v>20190312151309264</v>
      </c>
      <c r="B2135" t="str">
        <f>"1552374789251572"</f>
        <v>1552374789251572</v>
      </c>
      <c r="C2135" t="s">
        <v>40</v>
      </c>
      <c r="D2135">
        <v>4.5448519999999997</v>
      </c>
      <c r="E2135">
        <v>0.51968539999999996</v>
      </c>
      <c r="F2135" t="s">
        <v>53</v>
      </c>
      <c r="G2135">
        <v>-475.00119999999998</v>
      </c>
      <c r="H2135">
        <v>4.6398380000000003E-2</v>
      </c>
      <c r="I2135">
        <v>279.61630000000002</v>
      </c>
      <c r="J2135">
        <v>-469.11340000000001</v>
      </c>
      <c r="K2135">
        <v>1.114025</v>
      </c>
      <c r="L2135">
        <v>281.39159999999998</v>
      </c>
      <c r="M2135">
        <v>-0.98532850000000005</v>
      </c>
      <c r="N2135">
        <v>0</v>
      </c>
      <c r="O2135">
        <v>-0.16882059999999999</v>
      </c>
      <c r="P2135">
        <v>-0.94370659999999895</v>
      </c>
      <c r="Q2135">
        <v>3.8617539999999999E-2</v>
      </c>
      <c r="R2135">
        <v>-0.32852109999999901</v>
      </c>
      <c r="S2135">
        <v>-2.9016419999999998</v>
      </c>
      <c r="T2135">
        <v>-0.4932549</v>
      </c>
      <c r="U2135">
        <v>-0.85208130000000004</v>
      </c>
      <c r="V2135">
        <v>-0.16486679999999901</v>
      </c>
      <c r="W2135">
        <v>6.2159329999999999E-2</v>
      </c>
      <c r="X2135">
        <v>0.98435519999999999</v>
      </c>
      <c r="Y2135">
        <v>-0.1163486</v>
      </c>
      <c r="Z2135">
        <v>1.8037419999999998E-2</v>
      </c>
      <c r="AA2135">
        <v>0.99304460000000006</v>
      </c>
      <c r="AB2135">
        <v>40</v>
      </c>
      <c r="AC2135">
        <v>-5.8877999999999702</v>
      </c>
      <c r="AD2135">
        <v>-1.06762662</v>
      </c>
      <c r="AE2135">
        <v>-1.7752999999999499</v>
      </c>
      <c r="AF2135">
        <v>-0.73340406390667601</v>
      </c>
      <c r="AG2135">
        <v>-1.06762662</v>
      </c>
      <c r="AH2135">
        <v>5.9244759936791196</v>
      </c>
      <c r="AI2135">
        <v>100.139637230376</v>
      </c>
      <c r="AJ2135">
        <v>97.056870450311607</v>
      </c>
      <c r="AK2135">
        <v>6.0644145571001102</v>
      </c>
      <c r="AL2135">
        <v>86.436235287913703</v>
      </c>
      <c r="AM2135">
        <v>99.508053135667694</v>
      </c>
      <c r="AN2135">
        <v>1.00000000190766</v>
      </c>
    </row>
    <row r="2136" spans="1:40" x14ac:dyDescent="0.25">
      <c r="A2136" t="str">
        <f>"20190312151309286"</f>
        <v>20190312151309286</v>
      </c>
      <c r="B2136" t="str">
        <f>"1552374789281831"</f>
        <v>1552374789281831</v>
      </c>
      <c r="C2136" t="s">
        <v>40</v>
      </c>
      <c r="D2136">
        <v>4.5275309999999998</v>
      </c>
      <c r="E2136">
        <v>0.52011739999999995</v>
      </c>
      <c r="F2136" t="s">
        <v>53</v>
      </c>
      <c r="G2136">
        <v>-475.2174</v>
      </c>
      <c r="H2136">
        <v>8.0000219999999997E-2</v>
      </c>
      <c r="I2136">
        <v>279.58330000000001</v>
      </c>
      <c r="J2136">
        <v>-469.4905</v>
      </c>
      <c r="K2136">
        <v>1.1139319999999999</v>
      </c>
      <c r="L2136">
        <v>281.32440000000003</v>
      </c>
      <c r="M2136">
        <v>-0.98495129999999997</v>
      </c>
      <c r="N2136">
        <v>0</v>
      </c>
      <c r="O2136">
        <v>-0.17097100000000001</v>
      </c>
      <c r="P2136">
        <v>-0.94254649999999995</v>
      </c>
      <c r="Q2136">
        <v>3.9631300000000001E-2</v>
      </c>
      <c r="R2136">
        <v>-0.33171640000000002</v>
      </c>
      <c r="S2136">
        <v>-2.9000240000000002</v>
      </c>
      <c r="T2136">
        <v>-0.49127019999999999</v>
      </c>
      <c r="U2136">
        <v>-0.85910030000000004</v>
      </c>
      <c r="V2136">
        <v>-0.1660499</v>
      </c>
      <c r="W2136">
        <v>6.3459000000000002E-2</v>
      </c>
      <c r="X2136">
        <v>0.98407330000000004</v>
      </c>
      <c r="Y2136">
        <v>-0.11655939999999999</v>
      </c>
      <c r="Z2136">
        <v>1.8296949999999999E-2</v>
      </c>
      <c r="AA2136">
        <v>0.99301519999999999</v>
      </c>
      <c r="AB2136">
        <v>40</v>
      </c>
      <c r="AC2136">
        <v>-5.7268999999999997</v>
      </c>
      <c r="AD2136">
        <v>-1.0339317800000001</v>
      </c>
      <c r="AE2136">
        <v>-1.7411000000000101</v>
      </c>
      <c r="AF2136">
        <v>-0.71467676853653395</v>
      </c>
      <c r="AG2136">
        <v>-1.0339317800000001</v>
      </c>
      <c r="AH2136">
        <v>5.7681919370676296</v>
      </c>
      <c r="AI2136">
        <v>100.086660603913</v>
      </c>
      <c r="AJ2136">
        <v>97.062930589779199</v>
      </c>
      <c r="AK2136">
        <v>5.90354266792676</v>
      </c>
      <c r="AL2136">
        <v>86.361622120915996</v>
      </c>
      <c r="AM2136">
        <v>99.577717014273205</v>
      </c>
      <c r="AN2136">
        <v>0.99999993687194799</v>
      </c>
    </row>
    <row r="2137" spans="1:40" x14ac:dyDescent="0.25">
      <c r="A2137" t="str">
        <f>"20190312151309310"</f>
        <v>20190312151309310</v>
      </c>
      <c r="B2137" t="str">
        <f>"1552374789302323"</f>
        <v>1552374789302323</v>
      </c>
      <c r="C2137" t="s">
        <v>40</v>
      </c>
      <c r="D2137">
        <v>4.5498799999999999</v>
      </c>
      <c r="E2137">
        <v>0.52031349999999998</v>
      </c>
      <c r="F2137" t="s">
        <v>53</v>
      </c>
      <c r="G2137">
        <v>-475.65859999999998</v>
      </c>
      <c r="H2137">
        <v>8.0000390000000005E-2</v>
      </c>
      <c r="I2137">
        <v>279.48329999999999</v>
      </c>
      <c r="J2137">
        <v>-469.8784</v>
      </c>
      <c r="K2137">
        <v>1.1138520000000001</v>
      </c>
      <c r="L2137">
        <v>281.25439999999998</v>
      </c>
      <c r="M2137">
        <v>-0.98456699999999997</v>
      </c>
      <c r="N2137">
        <v>0</v>
      </c>
      <c r="O2137">
        <v>-0.1731365</v>
      </c>
      <c r="P2137">
        <v>-0.94107030000000003</v>
      </c>
      <c r="Q2137">
        <v>4.0584710000000003E-2</v>
      </c>
      <c r="R2137">
        <v>-0.33576820000000002</v>
      </c>
      <c r="S2137">
        <v>-2.8987430000000001</v>
      </c>
      <c r="T2137">
        <v>-0.48590919999999999</v>
      </c>
      <c r="U2137">
        <v>-0.865264899999999</v>
      </c>
      <c r="V2137">
        <v>-0.16811809999999999</v>
      </c>
      <c r="W2137">
        <v>6.4661010000000005E-2</v>
      </c>
      <c r="X2137">
        <v>0.98364390000000002</v>
      </c>
      <c r="Y2137">
        <v>-0.11644740000000001</v>
      </c>
      <c r="Z2137">
        <v>1.845492E-2</v>
      </c>
      <c r="AA2137">
        <v>0.99302539999999995</v>
      </c>
      <c r="AB2137">
        <v>40</v>
      </c>
      <c r="AC2137">
        <v>-5.7801999999999696</v>
      </c>
      <c r="AD2137">
        <v>-1.0338516099999999</v>
      </c>
      <c r="AE2137">
        <v>-1.7710999999999899</v>
      </c>
      <c r="AF2137">
        <v>-0.72212627114335504</v>
      </c>
      <c r="AG2137">
        <v>-1.0338516099999999</v>
      </c>
      <c r="AH2137">
        <v>5.8291158848613298</v>
      </c>
      <c r="AI2137">
        <v>99.982631674367894</v>
      </c>
      <c r="AJ2137">
        <v>97.061972678101696</v>
      </c>
      <c r="AK2137">
        <v>5.9639674296660701</v>
      </c>
      <c r="AL2137">
        <v>86.292610618141694</v>
      </c>
      <c r="AM2137">
        <v>99.698911621438896</v>
      </c>
      <c r="AN2137">
        <v>1.0000000318845099</v>
      </c>
    </row>
    <row r="2138" spans="1:40" x14ac:dyDescent="0.25">
      <c r="A2138" t="str">
        <f>"20190312151309330"</f>
        <v>20190312151309330</v>
      </c>
      <c r="B2138" t="str">
        <f>"1552374789321843"</f>
        <v>1552374789321843</v>
      </c>
      <c r="C2138" t="s">
        <v>40</v>
      </c>
      <c r="D2138">
        <v>4.6262970000000001</v>
      </c>
      <c r="E2138">
        <v>0.52026870000000003</v>
      </c>
      <c r="F2138" t="s">
        <v>53</v>
      </c>
      <c r="G2138">
        <v>-476.07299999999998</v>
      </c>
      <c r="H2138">
        <v>8.000053E-2</v>
      </c>
      <c r="I2138">
        <v>279.38200000000001</v>
      </c>
      <c r="J2138">
        <v>-470.26139999999998</v>
      </c>
      <c r="K2138">
        <v>1.1137919999999999</v>
      </c>
      <c r="L2138">
        <v>281.18439999999998</v>
      </c>
      <c r="M2138">
        <v>-0.98418839999999996</v>
      </c>
      <c r="N2138">
        <v>0</v>
      </c>
      <c r="O2138">
        <v>-0.17524670000000001</v>
      </c>
      <c r="P2138">
        <v>-0.93887339999999997</v>
      </c>
      <c r="Q2138">
        <v>4.1028849999999999E-2</v>
      </c>
      <c r="R2138">
        <v>-0.34180969999999999</v>
      </c>
      <c r="S2138">
        <v>-2.8963009999999998</v>
      </c>
      <c r="T2138">
        <v>-0.48338500000000001</v>
      </c>
      <c r="U2138">
        <v>-0.87545779999999995</v>
      </c>
      <c r="V2138">
        <v>-0.17232800000000001</v>
      </c>
      <c r="W2138">
        <v>6.5294820000000003E-2</v>
      </c>
      <c r="X2138">
        <v>0.98287310000000006</v>
      </c>
      <c r="Y2138">
        <v>-0.117754399999999</v>
      </c>
      <c r="Z2138">
        <v>1.859212E-2</v>
      </c>
      <c r="AA2138">
        <v>0.99286870000000005</v>
      </c>
      <c r="AB2138">
        <v>39</v>
      </c>
      <c r="AC2138">
        <v>-5.8116000000000501</v>
      </c>
      <c r="AD2138">
        <v>-1.0337914699999999</v>
      </c>
      <c r="AE2138">
        <v>-1.80239999999997</v>
      </c>
      <c r="AF2138">
        <v>-0.73448570009791103</v>
      </c>
      <c r="AG2138">
        <v>-1.0337914699999999</v>
      </c>
      <c r="AH2138">
        <v>5.8681797693508901</v>
      </c>
      <c r="AI2138">
        <v>99.915409236764006</v>
      </c>
      <c r="AJ2138">
        <v>97.134276254941398</v>
      </c>
      <c r="AK2138">
        <v>6.0036428818270098</v>
      </c>
      <c r="AL2138">
        <v>86.256218737155905</v>
      </c>
      <c r="AM2138">
        <v>99.944638848782901</v>
      </c>
      <c r="AN2138">
        <v>0.99999994190321895</v>
      </c>
    </row>
    <row r="2139" spans="1:40" x14ac:dyDescent="0.25">
      <c r="A2139" t="str">
        <f>"20190312151309353"</f>
        <v>20190312151309353</v>
      </c>
      <c r="B2139" t="str">
        <f>"1552374789342340"</f>
        <v>1552374789342340</v>
      </c>
      <c r="C2139" t="s">
        <v>40</v>
      </c>
      <c r="D2139">
        <v>4.5375139999999998</v>
      </c>
      <c r="E2139">
        <v>0.4917434</v>
      </c>
      <c r="F2139" t="s">
        <v>53</v>
      </c>
      <c r="G2139">
        <v>-476.45240000000001</v>
      </c>
      <c r="H2139">
        <v>8.0000550000000004E-2</v>
      </c>
      <c r="I2139">
        <v>279.27260000000001</v>
      </c>
      <c r="J2139">
        <v>-470.6345</v>
      </c>
      <c r="K2139">
        <v>1.113742</v>
      </c>
      <c r="L2139">
        <v>281.1155</v>
      </c>
      <c r="M2139">
        <v>-0.98381620000000003</v>
      </c>
      <c r="N2139">
        <v>0</v>
      </c>
      <c r="O2139">
        <v>-0.1772986</v>
      </c>
      <c r="P2139">
        <v>-0.93648929999999997</v>
      </c>
      <c r="Q2139">
        <v>4.0592250000000003E-2</v>
      </c>
      <c r="R2139">
        <v>-0.34833910000000001</v>
      </c>
      <c r="S2139">
        <v>-2.8913570000000002</v>
      </c>
      <c r="T2139">
        <v>-0.48280129999999999</v>
      </c>
      <c r="U2139">
        <v>-0.8928528</v>
      </c>
      <c r="V2139">
        <v>-0.1771102</v>
      </c>
      <c r="W2139">
        <v>6.5005999999999994E-2</v>
      </c>
      <c r="X2139">
        <v>0.98204179999999996</v>
      </c>
      <c r="Y2139">
        <v>-0.121591</v>
      </c>
      <c r="Z2139">
        <v>1.859417E-2</v>
      </c>
      <c r="AA2139">
        <v>0.99240609999999996</v>
      </c>
      <c r="AB2139">
        <v>39</v>
      </c>
      <c r="AC2139">
        <v>-5.8178999999999998</v>
      </c>
      <c r="AD2139">
        <v>-1.03374145</v>
      </c>
      <c r="AE2139">
        <v>-1.84289999999998</v>
      </c>
      <c r="AF2139">
        <v>-0.76002482716298103</v>
      </c>
      <c r="AG2139">
        <v>-1.03374145</v>
      </c>
      <c r="AH2139">
        <v>5.8837017978662596</v>
      </c>
      <c r="AI2139">
        <v>99.884434887165099</v>
      </c>
      <c r="AJ2139">
        <v>97.360401254343699</v>
      </c>
      <c r="AK2139">
        <v>6.0219769153963796</v>
      </c>
      <c r="AL2139">
        <v>86.272802167481004</v>
      </c>
      <c r="AM2139">
        <v>100.22333802671901</v>
      </c>
      <c r="AN2139">
        <v>0.99999994996363795</v>
      </c>
    </row>
    <row r="2140" spans="1:40" x14ac:dyDescent="0.25">
      <c r="A2140" t="str">
        <f>"20190312151309375"</f>
        <v>20190312151309375</v>
      </c>
      <c r="B2140" t="str">
        <f>"1552374789371620"</f>
        <v>1552374789371620</v>
      </c>
      <c r="C2140" t="s">
        <v>40</v>
      </c>
      <c r="D2140">
        <v>4.4770409999999998</v>
      </c>
      <c r="E2140">
        <v>0.48192620000000003</v>
      </c>
      <c r="F2140" t="s">
        <v>53</v>
      </c>
      <c r="G2140">
        <v>-482.92590000000001</v>
      </c>
      <c r="H2140" s="1">
        <v>1.4234E-6</v>
      </c>
      <c r="I2140">
        <v>276.2038</v>
      </c>
      <c r="J2140">
        <v>-471.01150000000001</v>
      </c>
      <c r="K2140">
        <v>1.1137109999999999</v>
      </c>
      <c r="L2140">
        <v>281.04500000000002</v>
      </c>
      <c r="M2140">
        <v>-0.98343159999999996</v>
      </c>
      <c r="N2140">
        <v>0</v>
      </c>
      <c r="O2140">
        <v>-0.17940020000000001</v>
      </c>
      <c r="P2140">
        <v>-0.93440029999999996</v>
      </c>
      <c r="Q2140">
        <v>3.924184E-2</v>
      </c>
      <c r="R2140">
        <v>-0.35405759999999997</v>
      </c>
      <c r="S2140">
        <v>-2.798492</v>
      </c>
      <c r="T2140">
        <v>-0.25357469999999999</v>
      </c>
      <c r="U2140">
        <v>-1.1182859999999999</v>
      </c>
      <c r="V2140">
        <v>-0.1809935</v>
      </c>
      <c r="W2140">
        <v>6.3774499999999998E-2</v>
      </c>
      <c r="X2140">
        <v>0.98141440000000002</v>
      </c>
      <c r="Y2140">
        <v>-0.1983297</v>
      </c>
      <c r="Z2140">
        <v>6.7971250000000002E-3</v>
      </c>
      <c r="AA2140">
        <v>0.98011179999999998</v>
      </c>
      <c r="AB2140">
        <v>39</v>
      </c>
      <c r="AC2140">
        <v>-11.914400000000001</v>
      </c>
      <c r="AD2140">
        <v>-1.1137095766</v>
      </c>
      <c r="AE2140">
        <v>-4.8412000000000104</v>
      </c>
      <c r="AF2140">
        <v>-2.6048974470403801</v>
      </c>
      <c r="AG2140">
        <v>-1.1137095766</v>
      </c>
      <c r="AH2140">
        <v>12.496062808588199</v>
      </c>
      <c r="AI2140">
        <v>94.986389866431793</v>
      </c>
      <c r="AJ2140">
        <v>101.775104569478</v>
      </c>
      <c r="AK2140">
        <v>12.813173902152</v>
      </c>
      <c r="AL2140">
        <v>86.343508948678306</v>
      </c>
      <c r="AM2140">
        <v>100.449142615816</v>
      </c>
      <c r="AN2140">
        <v>1.00000002920992</v>
      </c>
    </row>
    <row r="2141" spans="1:40" x14ac:dyDescent="0.25">
      <c r="A2141" t="str">
        <f>"20190312151309397"</f>
        <v>20190312151309397</v>
      </c>
      <c r="B2141" t="str">
        <f>"1552374789392115"</f>
        <v>1552374789392115</v>
      </c>
      <c r="C2141" t="s">
        <v>40</v>
      </c>
      <c r="D2141">
        <v>4.5737540000000001</v>
      </c>
      <c r="E2141">
        <v>0.48069830000000002</v>
      </c>
      <c r="F2141" t="s">
        <v>53</v>
      </c>
      <c r="G2141">
        <v>-482.94260000000003</v>
      </c>
      <c r="H2141" s="1">
        <v>1.35800099999999E-6</v>
      </c>
      <c r="I2141">
        <v>275.82409999999999</v>
      </c>
      <c r="J2141">
        <v>-471.38850000000002</v>
      </c>
      <c r="K2141">
        <v>1.1137079999999999</v>
      </c>
      <c r="L2141">
        <v>280.97359999999998</v>
      </c>
      <c r="M2141">
        <v>-0.98303119999999999</v>
      </c>
      <c r="N2141">
        <v>0</v>
      </c>
      <c r="O2141">
        <v>-0.18156749999999999</v>
      </c>
      <c r="P2141">
        <v>-0.93229169999999995</v>
      </c>
      <c r="Q2141">
        <v>3.8527720000000001E-2</v>
      </c>
      <c r="R2141">
        <v>-0.35964990000000002</v>
      </c>
      <c r="S2141">
        <v>-2.763306</v>
      </c>
      <c r="T2141">
        <v>-0.25794139999999999</v>
      </c>
      <c r="U2141">
        <v>-1.209198</v>
      </c>
      <c r="V2141">
        <v>-0.18470159999999999</v>
      </c>
      <c r="W2141">
        <v>6.3118270000000004E-2</v>
      </c>
      <c r="X2141">
        <v>0.98076569999999996</v>
      </c>
      <c r="Y2141">
        <v>-0.22765489999999999</v>
      </c>
      <c r="Z2141">
        <v>5.8219369999999897E-3</v>
      </c>
      <c r="AA2141">
        <v>0.97372449999999999</v>
      </c>
      <c r="AB2141">
        <v>39</v>
      </c>
      <c r="AC2141">
        <v>-11.5541</v>
      </c>
      <c r="AD2141">
        <v>-1.1137066419989901</v>
      </c>
      <c r="AE2141">
        <v>-5.1494999999999802</v>
      </c>
      <c r="AF2141">
        <v>-2.9424743885203499</v>
      </c>
      <c r="AG2141">
        <v>-1.1137066419989901</v>
      </c>
      <c r="AH2141">
        <v>12.202634331287999</v>
      </c>
      <c r="AI2141">
        <v>95.070273225647895</v>
      </c>
      <c r="AJ2141">
        <v>103.557171577318</v>
      </c>
      <c r="AK2141">
        <v>12.6016976092374</v>
      </c>
      <c r="AL2141">
        <v>86.381183876895804</v>
      </c>
      <c r="AM2141">
        <v>100.66525001315701</v>
      </c>
      <c r="AN2141">
        <v>0.99999997767342097</v>
      </c>
    </row>
    <row r="2142" spans="1:40" x14ac:dyDescent="0.25">
      <c r="A2142" t="str">
        <f>"20190312151309421"</f>
        <v>20190312151309421</v>
      </c>
      <c r="B2142" t="str">
        <f>"1552374789411636"</f>
        <v>1552374789411636</v>
      </c>
      <c r="C2142" t="s">
        <v>40</v>
      </c>
      <c r="D2142">
        <v>4.4225529999999997</v>
      </c>
      <c r="E2142">
        <v>0.48008679999999898</v>
      </c>
      <c r="F2142" t="s">
        <v>53</v>
      </c>
      <c r="G2142">
        <v>-483.37049999999999</v>
      </c>
      <c r="H2142" s="1">
        <v>1.3554490000000001E-6</v>
      </c>
      <c r="I2142">
        <v>275.59410000000003</v>
      </c>
      <c r="J2142">
        <v>-471.77280000000002</v>
      </c>
      <c r="K2142">
        <v>1.1137440000000001</v>
      </c>
      <c r="L2142">
        <v>280.8999</v>
      </c>
      <c r="M2142">
        <v>-0.98259799999999997</v>
      </c>
      <c r="N2142">
        <v>0</v>
      </c>
      <c r="O2142">
        <v>-0.18389069999999999</v>
      </c>
      <c r="P2142">
        <v>-0.93002660000000004</v>
      </c>
      <c r="Q2142">
        <v>4.079588E-2</v>
      </c>
      <c r="R2142">
        <v>-0.36522149999999998</v>
      </c>
      <c r="S2142">
        <v>-2.7518009999999999</v>
      </c>
      <c r="T2142">
        <v>-0.25577440000000001</v>
      </c>
      <c r="U2142">
        <v>-1.235474</v>
      </c>
      <c r="V2142">
        <v>-0.18828919999999999</v>
      </c>
      <c r="W2142">
        <v>6.5386650000000004E-2</v>
      </c>
      <c r="X2142">
        <v>0.97993459999999999</v>
      </c>
      <c r="Y2142">
        <v>-0.234593</v>
      </c>
      <c r="Z2142">
        <v>5.6731960000000001E-3</v>
      </c>
      <c r="AA2142">
        <v>0.97207710000000003</v>
      </c>
      <c r="AB2142">
        <v>38</v>
      </c>
      <c r="AC2142">
        <v>-11.5976999999999</v>
      </c>
      <c r="AD2142">
        <v>-1.1137426445509999</v>
      </c>
      <c r="AE2142">
        <v>-5.3057999999999703</v>
      </c>
      <c r="AF2142">
        <v>-3.0584916878431501</v>
      </c>
      <c r="AG2142">
        <v>-1.1137426445509999</v>
      </c>
      <c r="AH2142">
        <v>12.282142913343099</v>
      </c>
      <c r="AI2142">
        <v>95.028654176545004</v>
      </c>
      <c r="AJ2142">
        <v>103.983351241515</v>
      </c>
      <c r="AK2142">
        <v>12.706133504205001</v>
      </c>
      <c r="AL2142">
        <v>86.250946322957404</v>
      </c>
      <c r="AM2142">
        <v>100.876518822309</v>
      </c>
      <c r="AN2142">
        <v>1.00000002855601</v>
      </c>
    </row>
    <row r="2143" spans="1:40" x14ac:dyDescent="0.25">
      <c r="A2143" t="str">
        <f>"20190312151309443"</f>
        <v>20190312151309443</v>
      </c>
      <c r="B2143" t="str">
        <f>"1552374789432132"</f>
        <v>1552374789432132</v>
      </c>
      <c r="C2143" t="s">
        <v>40</v>
      </c>
      <c r="D2143">
        <v>4.3539539999999999</v>
      </c>
      <c r="E2143">
        <v>0.47953980000000002</v>
      </c>
      <c r="F2143" t="s">
        <v>53</v>
      </c>
      <c r="G2143">
        <v>-483.68099999999998</v>
      </c>
      <c r="H2143" s="1">
        <v>1.3563029999999999E-6</v>
      </c>
      <c r="I2143">
        <v>275.44260000000003</v>
      </c>
      <c r="J2143">
        <v>-472.14400000000001</v>
      </c>
      <c r="K2143">
        <v>1.1138269999999999</v>
      </c>
      <c r="L2143">
        <v>280.82769999999999</v>
      </c>
      <c r="M2143">
        <v>-0.98214409999999996</v>
      </c>
      <c r="N2143">
        <v>0</v>
      </c>
      <c r="O2143">
        <v>-0.18629589999999999</v>
      </c>
      <c r="P2143">
        <v>-0.92786310000000005</v>
      </c>
      <c r="Q2143">
        <v>4.3578020000000002E-2</v>
      </c>
      <c r="R2143">
        <v>-0.37036599999999997</v>
      </c>
      <c r="S2143">
        <v>-2.7432560000000001</v>
      </c>
      <c r="T2143">
        <v>-0.25657049999999998</v>
      </c>
      <c r="U2143">
        <v>-1.2572019999999999</v>
      </c>
      <c r="V2143">
        <v>-0.19136980000000001</v>
      </c>
      <c r="W2143">
        <v>6.812472E-2</v>
      </c>
      <c r="X2143">
        <v>0.97915099999999999</v>
      </c>
      <c r="Y2143">
        <v>-0.2397118</v>
      </c>
      <c r="Z2143">
        <v>5.6744789999999996E-3</v>
      </c>
      <c r="AA2143">
        <v>0.97082749999999995</v>
      </c>
      <c r="AB2143">
        <v>38</v>
      </c>
      <c r="AC2143">
        <v>-11.5369999999999</v>
      </c>
      <c r="AD2143">
        <v>-1.113825643697</v>
      </c>
      <c r="AE2143">
        <v>-5.3850999999999596</v>
      </c>
      <c r="AF2143">
        <v>-3.1168728487130202</v>
      </c>
      <c r="AG2143">
        <v>-1.113825643697</v>
      </c>
      <c r="AH2143">
        <v>12.2447440041202</v>
      </c>
      <c r="AI2143">
        <v>95.037743363377501</v>
      </c>
      <c r="AJ2143">
        <v>104.28122282600501</v>
      </c>
      <c r="AK2143">
        <v>12.684213008540899</v>
      </c>
      <c r="AL2143">
        <v>86.093715699242694</v>
      </c>
      <c r="AM2143">
        <v>101.05874888039401</v>
      </c>
      <c r="AN2143">
        <v>1.0000000293140501</v>
      </c>
    </row>
    <row r="2144" spans="1:40" x14ac:dyDescent="0.25">
      <c r="A2144" t="str">
        <f>"20190312151309464"</f>
        <v>20190312151309464</v>
      </c>
      <c r="B2144" t="str">
        <f>"1552374789451893"</f>
        <v>1552374789451893</v>
      </c>
      <c r="C2144" t="s">
        <v>40</v>
      </c>
      <c r="D2144">
        <v>4.4203510000000001</v>
      </c>
      <c r="E2144">
        <v>0.47956379999999998</v>
      </c>
      <c r="F2144" t="s">
        <v>53</v>
      </c>
      <c r="G2144">
        <v>-484.03680000000003</v>
      </c>
      <c r="H2144" s="1">
        <v>1.3589189999999999E-6</v>
      </c>
      <c r="I2144">
        <v>275.27820000000003</v>
      </c>
      <c r="J2144">
        <v>-472.49560000000002</v>
      </c>
      <c r="K2144">
        <v>1.1139479999999999</v>
      </c>
      <c r="L2144">
        <v>280.75819999999999</v>
      </c>
      <c r="M2144">
        <v>-0.98167079999999995</v>
      </c>
      <c r="N2144">
        <v>0</v>
      </c>
      <c r="O2144">
        <v>-0.1887733</v>
      </c>
      <c r="P2144">
        <v>-0.9259018</v>
      </c>
      <c r="Q2144">
        <v>4.4223430000000001E-2</v>
      </c>
      <c r="R2144">
        <v>-0.37516709999999998</v>
      </c>
      <c r="S2144">
        <v>-2.7357179999999999</v>
      </c>
      <c r="T2144">
        <v>-0.25621509999999997</v>
      </c>
      <c r="U2144">
        <v>-1.2765500000000001</v>
      </c>
      <c r="V2144">
        <v>-0.19400129999999999</v>
      </c>
      <c r="W2144">
        <v>6.8697499999999995E-2</v>
      </c>
      <c r="X2144">
        <v>0.97859289999999999</v>
      </c>
      <c r="Y2144">
        <v>-0.24392059999999999</v>
      </c>
      <c r="Z2144">
        <v>5.6959360000000004E-3</v>
      </c>
      <c r="AA2144">
        <v>0.96977849999999999</v>
      </c>
      <c r="AB2144">
        <v>38</v>
      </c>
      <c r="AC2144">
        <v>-11.5412</v>
      </c>
      <c r="AD2144">
        <v>-1.1139466410809999</v>
      </c>
      <c r="AE2144">
        <v>-5.4799999999999596</v>
      </c>
      <c r="AF2144">
        <v>-3.1778278321362499</v>
      </c>
      <c r="AG2144">
        <v>-1.1139466410809999</v>
      </c>
      <c r="AH2144">
        <v>12.275071033736999</v>
      </c>
      <c r="AI2144">
        <v>95.020683951253602</v>
      </c>
      <c r="AJ2144">
        <v>104.514343129173</v>
      </c>
      <c r="AK2144">
        <v>12.728583414236001</v>
      </c>
      <c r="AL2144">
        <v>86.0608204737553</v>
      </c>
      <c r="AM2144">
        <v>101.213221775867</v>
      </c>
      <c r="AN2144">
        <v>0.99999995741917402</v>
      </c>
    </row>
    <row r="2145" spans="1:40" x14ac:dyDescent="0.25">
      <c r="A2145" t="str">
        <f>"20190312151309488"</f>
        <v>20190312151309488</v>
      </c>
      <c r="B2145" t="str">
        <f>"1552374789482149"</f>
        <v>1552374789482149</v>
      </c>
      <c r="C2145" t="s">
        <v>40</v>
      </c>
      <c r="D2145">
        <v>4.3995290000000002</v>
      </c>
      <c r="E2145">
        <v>0.47965439999999998</v>
      </c>
      <c r="F2145" t="s">
        <v>53</v>
      </c>
      <c r="G2145">
        <v>-484.37920000000003</v>
      </c>
      <c r="H2145" s="1">
        <v>1.3649019999999999E-6</v>
      </c>
      <c r="I2145">
        <v>275.13979999999998</v>
      </c>
      <c r="J2145">
        <v>-472.86419999999998</v>
      </c>
      <c r="K2145">
        <v>1.1141129999999999</v>
      </c>
      <c r="L2145">
        <v>280.6841</v>
      </c>
      <c r="M2145">
        <v>-0.98111599999999999</v>
      </c>
      <c r="N2145">
        <v>0</v>
      </c>
      <c r="O2145">
        <v>-0.1916388</v>
      </c>
      <c r="P2145">
        <v>-0.92408539999999995</v>
      </c>
      <c r="Q2145">
        <v>4.345839E-2</v>
      </c>
      <c r="R2145">
        <v>-0.37970739999999997</v>
      </c>
      <c r="S2145">
        <v>-2.7294010000000002</v>
      </c>
      <c r="T2145">
        <v>-0.25584980000000002</v>
      </c>
      <c r="U2145">
        <v>-1.2904359999999999</v>
      </c>
      <c r="V2145">
        <v>-0.19596430000000001</v>
      </c>
      <c r="W2145">
        <v>6.7813129999999999E-2</v>
      </c>
      <c r="X2145">
        <v>0.97826340000000001</v>
      </c>
      <c r="Y2145">
        <v>-0.24599170000000001</v>
      </c>
      <c r="Z2145">
        <v>5.8457279999999997E-3</v>
      </c>
      <c r="AA2145">
        <v>0.96925430000000001</v>
      </c>
      <c r="AB2145">
        <v>38</v>
      </c>
      <c r="AC2145">
        <v>-11.515000000000001</v>
      </c>
      <c r="AD2145">
        <v>-1.11411163509799</v>
      </c>
      <c r="AE2145">
        <v>-5.5443000000000202</v>
      </c>
      <c r="AF2145">
        <v>-3.2095990097604998</v>
      </c>
      <c r="AG2145">
        <v>-1.11411163509799</v>
      </c>
      <c r="AH2145">
        <v>12.2710425939554</v>
      </c>
      <c r="AI2145">
        <v>95.019807961958904</v>
      </c>
      <c r="AJ2145">
        <v>104.65784108692</v>
      </c>
      <c r="AK2145">
        <v>12.732684590516801</v>
      </c>
      <c r="AL2145">
        <v>86.111609577349</v>
      </c>
      <c r="AM2145">
        <v>101.327480658601</v>
      </c>
      <c r="AN2145">
        <v>0.99999995362722205</v>
      </c>
    </row>
    <row r="2146" spans="1:40" x14ac:dyDescent="0.25">
      <c r="A2146" t="str">
        <f>"20190312151309509"</f>
        <v>20190312151309509</v>
      </c>
      <c r="B2146" t="str">
        <f>"1552374789501668"</f>
        <v>1552374789501668</v>
      </c>
      <c r="C2146" t="s">
        <v>40</v>
      </c>
      <c r="D2146">
        <v>4.3166659999999997</v>
      </c>
      <c r="E2146">
        <v>0.4800934</v>
      </c>
      <c r="F2146" t="s">
        <v>53</v>
      </c>
      <c r="G2146">
        <v>-485.14940000000001</v>
      </c>
      <c r="H2146" s="1">
        <v>1.374128E-6</v>
      </c>
      <c r="I2146">
        <v>274.80430000000001</v>
      </c>
      <c r="J2146">
        <v>-473.21469999999999</v>
      </c>
      <c r="K2146">
        <v>1.1142989999999999</v>
      </c>
      <c r="L2146">
        <v>280.6123</v>
      </c>
      <c r="M2146">
        <v>-0.98052760000000005</v>
      </c>
      <c r="N2146">
        <v>0</v>
      </c>
      <c r="O2146">
        <v>-0.194633</v>
      </c>
      <c r="P2146">
        <v>-0.92244340000000002</v>
      </c>
      <c r="Q2146">
        <v>4.3005300000000003E-2</v>
      </c>
      <c r="R2146">
        <v>-0.38373059999999998</v>
      </c>
      <c r="S2146">
        <v>-2.7225950000000001</v>
      </c>
      <c r="T2146">
        <v>-0.24690519999999999</v>
      </c>
      <c r="U2146">
        <v>-1.30307</v>
      </c>
      <c r="V2146">
        <v>-0.197266</v>
      </c>
      <c r="W2146">
        <v>6.7215579999999997E-2</v>
      </c>
      <c r="X2146">
        <v>0.978043</v>
      </c>
      <c r="Y2146">
        <v>-0.24765219999999999</v>
      </c>
      <c r="Z2146">
        <v>5.8242819999999897E-3</v>
      </c>
      <c r="AA2146">
        <v>0.96883149999999996</v>
      </c>
      <c r="AB2146">
        <v>37</v>
      </c>
      <c r="AC2146">
        <v>-11.934699999999999</v>
      </c>
      <c r="AD2146">
        <v>-1.1142976258720001</v>
      </c>
      <c r="AE2146">
        <v>-5.8079999999999901</v>
      </c>
      <c r="AF2146">
        <v>-3.3495630401476899</v>
      </c>
      <c r="AG2146">
        <v>-1.1142976258720001</v>
      </c>
      <c r="AH2146">
        <v>12.7472760422111</v>
      </c>
      <c r="AI2146">
        <v>94.832552688206505</v>
      </c>
      <c r="AJ2146">
        <v>104.72261289640601</v>
      </c>
      <c r="AK2146">
        <v>13.227028322918001</v>
      </c>
      <c r="AL2146">
        <v>86.145924992125302</v>
      </c>
      <c r="AM2146">
        <v>101.403261511491</v>
      </c>
      <c r="AN2146">
        <v>0.99999995939986697</v>
      </c>
    </row>
    <row r="2147" spans="1:40" x14ac:dyDescent="0.25">
      <c r="A2147" t="str">
        <f>"20190312151309531"</f>
        <v>20190312151309531</v>
      </c>
      <c r="B2147" t="str">
        <f>"1552374789522164"</f>
        <v>1552374789522164</v>
      </c>
      <c r="C2147" t="s">
        <v>40</v>
      </c>
      <c r="D2147">
        <v>4.2844600000000002</v>
      </c>
      <c r="E2147">
        <v>0.48041050000000002</v>
      </c>
      <c r="F2147" t="s">
        <v>53</v>
      </c>
      <c r="G2147">
        <v>-485.09440000000001</v>
      </c>
      <c r="H2147" s="1">
        <v>1.3827210000000001E-6</v>
      </c>
      <c r="I2147">
        <v>274.88080000000002</v>
      </c>
      <c r="J2147">
        <v>-473.57819999999998</v>
      </c>
      <c r="K2147">
        <v>1.114501</v>
      </c>
      <c r="L2147">
        <v>280.53629999999998</v>
      </c>
      <c r="M2147">
        <v>-0.97985540000000004</v>
      </c>
      <c r="N2147">
        <v>0</v>
      </c>
      <c r="O2147">
        <v>-0.1979959</v>
      </c>
      <c r="P2147">
        <v>-0.92073020000000005</v>
      </c>
      <c r="Q2147">
        <v>4.288732E-2</v>
      </c>
      <c r="R2147">
        <v>-0.38783580000000001</v>
      </c>
      <c r="S2147">
        <v>-2.7185060000000001</v>
      </c>
      <c r="T2147">
        <v>-0.25499250000000001</v>
      </c>
      <c r="U2147">
        <v>-1.3115840000000001</v>
      </c>
      <c r="V2147">
        <v>-0.1982989</v>
      </c>
      <c r="W2147">
        <v>6.6941539999999994E-2</v>
      </c>
      <c r="X2147">
        <v>0.97785290000000002</v>
      </c>
      <c r="Y2147">
        <v>-0.24736089999999999</v>
      </c>
      <c r="Z2147">
        <v>6.3177809999999997E-3</v>
      </c>
      <c r="AA2147">
        <v>0.96890279999999995</v>
      </c>
      <c r="AB2147">
        <v>37</v>
      </c>
      <c r="AC2147">
        <v>-11.5162</v>
      </c>
      <c r="AD2147">
        <v>-1.114499617279</v>
      </c>
      <c r="AE2147">
        <v>-5.65549999999996</v>
      </c>
      <c r="AF2147">
        <v>-3.23808869865164</v>
      </c>
      <c r="AG2147">
        <v>-1.114499617279</v>
      </c>
      <c r="AH2147">
        <v>12.315272780389</v>
      </c>
      <c r="AI2147">
        <v>95.001925978263003</v>
      </c>
      <c r="AJ2147">
        <v>104.731498501075</v>
      </c>
      <c r="AK2147">
        <v>12.7825377555726</v>
      </c>
      <c r="AL2147">
        <v>86.161661769842894</v>
      </c>
      <c r="AM2147">
        <v>101.463562841091</v>
      </c>
      <c r="AN2147">
        <v>0.99999995877859504</v>
      </c>
    </row>
    <row r="2148" spans="1:40" x14ac:dyDescent="0.25">
      <c r="A2148" t="str">
        <f>"20190312151309554"</f>
        <v>20190312151309554</v>
      </c>
      <c r="B2148" t="str">
        <f>"1552374789541685"</f>
        <v>1552374789541685</v>
      </c>
      <c r="C2148" t="s">
        <v>40</v>
      </c>
      <c r="D2148">
        <v>4.4912979999999996</v>
      </c>
      <c r="E2148">
        <v>0.48092760000000001</v>
      </c>
      <c r="F2148" t="s">
        <v>53</v>
      </c>
      <c r="G2148">
        <v>-485.36970000000002</v>
      </c>
      <c r="H2148" s="1">
        <v>1.39201E-6</v>
      </c>
      <c r="I2148">
        <v>274.79489999999998</v>
      </c>
      <c r="J2148">
        <v>-473.92809999999997</v>
      </c>
      <c r="K2148">
        <v>1.1146940000000001</v>
      </c>
      <c r="L2148">
        <v>280.46170000000001</v>
      </c>
      <c r="M2148">
        <v>-0.9791434</v>
      </c>
      <c r="N2148">
        <v>0</v>
      </c>
      <c r="O2148">
        <v>-0.2014937</v>
      </c>
      <c r="P2148">
        <v>-0.91880059999999997</v>
      </c>
      <c r="Q2148">
        <v>4.3114140000000002E-2</v>
      </c>
      <c r="R2148">
        <v>-0.3923603</v>
      </c>
      <c r="S2148">
        <v>-2.713654</v>
      </c>
      <c r="T2148">
        <v>-0.25648729999999997</v>
      </c>
      <c r="U2148">
        <v>-1.3213200000000001</v>
      </c>
      <c r="V2148">
        <v>-0.19965379999999999</v>
      </c>
      <c r="W2148">
        <v>6.7006239999999995E-2</v>
      </c>
      <c r="X2148">
        <v>0.97757280000000002</v>
      </c>
      <c r="Y2148">
        <v>-0.24740239999999999</v>
      </c>
      <c r="Z2148">
        <v>6.657484E-3</v>
      </c>
      <c r="AA2148">
        <v>0.96889000000000003</v>
      </c>
      <c r="AB2148">
        <v>37</v>
      </c>
      <c r="AC2148">
        <v>-11.441599999999999</v>
      </c>
      <c r="AD2148">
        <v>-1.1146926079899999</v>
      </c>
      <c r="AE2148">
        <v>-5.6668000000000198</v>
      </c>
      <c r="AF2148">
        <v>-3.2197596973028899</v>
      </c>
      <c r="AG2148">
        <v>-1.1146926079899999</v>
      </c>
      <c r="AH2148">
        <v>12.2555712437001</v>
      </c>
      <c r="AI2148">
        <v>95.027297645342301</v>
      </c>
      <c r="AJ2148">
        <v>104.71999088786499</v>
      </c>
      <c r="AK2148">
        <v>12.720393807901299</v>
      </c>
      <c r="AL2148">
        <v>86.157946655826393</v>
      </c>
      <c r="AM2148">
        <v>101.543012419365</v>
      </c>
      <c r="AN2148">
        <v>1.0000000276765999</v>
      </c>
    </row>
    <row r="2149" spans="1:40" x14ac:dyDescent="0.25">
      <c r="A2149" t="str">
        <f>"20190312151309576"</f>
        <v>20190312151309576</v>
      </c>
      <c r="B2149" t="str">
        <f>"1552374789571959"</f>
        <v>1552374789571959</v>
      </c>
      <c r="C2149" t="s">
        <v>40</v>
      </c>
      <c r="D2149">
        <v>4.3025949999999904</v>
      </c>
      <c r="E2149">
        <v>0.48139609999999999</v>
      </c>
      <c r="F2149" t="s">
        <v>53</v>
      </c>
      <c r="G2149">
        <v>-485.75389999999999</v>
      </c>
      <c r="H2149" s="1">
        <v>1.401605E-6</v>
      </c>
      <c r="I2149">
        <v>274.65589999999997</v>
      </c>
      <c r="J2149">
        <v>-474.29</v>
      </c>
      <c r="K2149">
        <v>1.1149039999999999</v>
      </c>
      <c r="L2149">
        <v>280.38290000000001</v>
      </c>
      <c r="M2149">
        <v>-0.97833230000000004</v>
      </c>
      <c r="N2149">
        <v>0</v>
      </c>
      <c r="O2149">
        <v>-0.2054048</v>
      </c>
      <c r="P2149">
        <v>-0.91666630000000004</v>
      </c>
      <c r="Q2149">
        <v>4.3119940000000002E-2</v>
      </c>
      <c r="R2149">
        <v>-0.39732089999999998</v>
      </c>
      <c r="S2149">
        <v>-2.7091370000000001</v>
      </c>
      <c r="T2149">
        <v>-0.25536199999999998</v>
      </c>
      <c r="U2149">
        <v>-1.3300479999999999</v>
      </c>
      <c r="V2149">
        <v>-0.20106650000000001</v>
      </c>
      <c r="W2149">
        <v>6.6828789999999999E-2</v>
      </c>
      <c r="X2149">
        <v>0.97729529999999998</v>
      </c>
      <c r="Y2149">
        <v>-0.24670230000000001</v>
      </c>
      <c r="Z2149">
        <v>6.9982059999999999E-3</v>
      </c>
      <c r="AA2149">
        <v>0.96906610000000004</v>
      </c>
      <c r="AB2149">
        <v>37</v>
      </c>
      <c r="AC2149">
        <v>-11.463899999999899</v>
      </c>
      <c r="AD2149">
        <v>-1.1149025983950001</v>
      </c>
      <c r="AE2149">
        <v>-5.7270000000000296</v>
      </c>
      <c r="AF2149">
        <v>-3.2248559214556902</v>
      </c>
      <c r="AG2149">
        <v>-1.1149025983950001</v>
      </c>
      <c r="AH2149">
        <v>12.302916904613699</v>
      </c>
      <c r="AI2149">
        <v>95.009718410218099</v>
      </c>
      <c r="AJ2149">
        <v>104.688000002156</v>
      </c>
      <c r="AK2149">
        <v>12.7673203092852</v>
      </c>
      <c r="AL2149">
        <v>86.168136387982798</v>
      </c>
      <c r="AM2149">
        <v>101.62568350887</v>
      </c>
      <c r="AN2149">
        <v>0.99999996399860103</v>
      </c>
    </row>
    <row r="2150" spans="1:40" x14ac:dyDescent="0.25">
      <c r="A2150" t="str">
        <f>"20190312151309599"</f>
        <v>20190312151309599</v>
      </c>
      <c r="B2150" t="str">
        <f>"1552374789592440"</f>
        <v>1552374789592440</v>
      </c>
      <c r="C2150" t="s">
        <v>40</v>
      </c>
      <c r="D2150">
        <v>4.594919</v>
      </c>
      <c r="E2150">
        <v>0.48185480000000003</v>
      </c>
      <c r="F2150" t="s">
        <v>53</v>
      </c>
      <c r="G2150">
        <v>-486.11439999999999</v>
      </c>
      <c r="H2150" s="1">
        <v>1.3919510000000001E-6</v>
      </c>
      <c r="I2150">
        <v>274.51830000000001</v>
      </c>
      <c r="J2150">
        <v>-474.63389999999998</v>
      </c>
      <c r="K2150">
        <v>1.1151059999999999</v>
      </c>
      <c r="L2150">
        <v>280.30630000000002</v>
      </c>
      <c r="M2150">
        <v>-0.97748749999999995</v>
      </c>
      <c r="N2150">
        <v>0</v>
      </c>
      <c r="O2150">
        <v>-0.2093969</v>
      </c>
      <c r="P2150">
        <v>-0.9138714</v>
      </c>
      <c r="Q2150">
        <v>4.3110009999999997E-2</v>
      </c>
      <c r="R2150">
        <v>-0.4037094</v>
      </c>
      <c r="S2150">
        <v>-2.703522</v>
      </c>
      <c r="T2150">
        <v>-0.25490980000000002</v>
      </c>
      <c r="U2150">
        <v>-1.340881</v>
      </c>
      <c r="V2150">
        <v>-0.20393410000000001</v>
      </c>
      <c r="W2150">
        <v>6.6612779999999996E-2</v>
      </c>
      <c r="X2150">
        <v>0.97671569999999996</v>
      </c>
      <c r="Y2150">
        <v>-0.24667810000000001</v>
      </c>
      <c r="Z2150">
        <v>7.3330549999999998E-3</v>
      </c>
      <c r="AA2150">
        <v>0.96906970000000003</v>
      </c>
      <c r="AB2150">
        <v>36</v>
      </c>
      <c r="AC2150">
        <v>-11.480499999999999</v>
      </c>
      <c r="AD2150">
        <v>-1.1151046080489999</v>
      </c>
      <c r="AE2150">
        <v>-5.78800000000001</v>
      </c>
      <c r="AF2150">
        <v>-3.2305080483340798</v>
      </c>
      <c r="AG2150">
        <v>-1.1151046080489999</v>
      </c>
      <c r="AH2150">
        <v>12.345343560302201</v>
      </c>
      <c r="AI2150">
        <v>94.994028384631406</v>
      </c>
      <c r="AJ2150">
        <v>104.664248019843</v>
      </c>
      <c r="AK2150">
        <v>12.8096505869262</v>
      </c>
      <c r="AL2150">
        <v>86.1805405095933</v>
      </c>
      <c r="AM2150">
        <v>101.793679731941</v>
      </c>
      <c r="AN2150">
        <v>0.99999996911431299</v>
      </c>
    </row>
    <row r="2151" spans="1:40" x14ac:dyDescent="0.25">
      <c r="A2151" t="str">
        <f>"20190312151309621"</f>
        <v>20190312151309621</v>
      </c>
      <c r="B2151" t="str">
        <f>"1552374789611956"</f>
        <v>1552374789611956</v>
      </c>
      <c r="C2151" t="s">
        <v>40</v>
      </c>
      <c r="D2151">
        <v>4.3718690000000002</v>
      </c>
      <c r="E2151">
        <v>0.4823384</v>
      </c>
      <c r="F2151" t="s">
        <v>53</v>
      </c>
      <c r="G2151">
        <v>-486.59199999999998</v>
      </c>
      <c r="H2151" s="1">
        <v>1.35364299999999E-6</v>
      </c>
      <c r="I2151">
        <v>274.2901</v>
      </c>
      <c r="J2151">
        <v>-474.98520000000002</v>
      </c>
      <c r="K2151">
        <v>1.115229</v>
      </c>
      <c r="L2151">
        <v>280.22649999999999</v>
      </c>
      <c r="M2151">
        <v>-0.97646650000000002</v>
      </c>
      <c r="N2151">
        <v>0</v>
      </c>
      <c r="O2151">
        <v>-0.21408350000000001</v>
      </c>
      <c r="P2151">
        <v>-0.91039740000000002</v>
      </c>
      <c r="Q2151">
        <v>4.2137019999999997E-2</v>
      </c>
      <c r="R2151">
        <v>-0.4115838</v>
      </c>
      <c r="S2151">
        <v>-2.6955260000000001</v>
      </c>
      <c r="T2151">
        <v>-0.25135990000000002</v>
      </c>
      <c r="U2151">
        <v>-1.3561399999999999</v>
      </c>
      <c r="V2151">
        <v>-0.207675</v>
      </c>
      <c r="W2151">
        <v>6.5750169999999997E-2</v>
      </c>
      <c r="X2151">
        <v>0.97598560000000001</v>
      </c>
      <c r="Y2151">
        <v>-0.24757560000000001</v>
      </c>
      <c r="Z2151">
        <v>7.5943819999999898E-3</v>
      </c>
      <c r="AA2151">
        <v>0.9688388</v>
      </c>
      <c r="AB2151">
        <v>36</v>
      </c>
      <c r="AC2151">
        <v>-11.6067999999999</v>
      </c>
      <c r="AD2151">
        <v>-1.1152276463569999</v>
      </c>
      <c r="AE2151">
        <v>-5.9363999999999901</v>
      </c>
      <c r="AF2151">
        <v>-3.2889324137862501</v>
      </c>
      <c r="AG2151">
        <v>-1.1152276463569999</v>
      </c>
      <c r="AH2151">
        <v>12.5172341090099</v>
      </c>
      <c r="AI2151">
        <v>94.925037789146401</v>
      </c>
      <c r="AJ2151">
        <v>104.72182845912</v>
      </c>
      <c r="AK2151">
        <v>12.990071549664901</v>
      </c>
      <c r="AL2151">
        <v>86.230072913629996</v>
      </c>
      <c r="AM2151">
        <v>102.01251680207299</v>
      </c>
      <c r="AN2151">
        <v>0.99999994094369205</v>
      </c>
    </row>
    <row r="2152" spans="1:40" x14ac:dyDescent="0.25">
      <c r="A2152" t="str">
        <f>"20190312151309644"</f>
        <v>20190312151309644</v>
      </c>
      <c r="B2152" t="str">
        <f>"1552374789632453"</f>
        <v>1552374789632453</v>
      </c>
      <c r="C2152" t="s">
        <v>40</v>
      </c>
      <c r="D2152">
        <v>4.3515730000000001</v>
      </c>
      <c r="E2152">
        <v>0.4828131</v>
      </c>
      <c r="F2152" t="s">
        <v>53</v>
      </c>
      <c r="G2152">
        <v>-487.00799999999998</v>
      </c>
      <c r="H2152" s="1">
        <v>1.3122290000000001E-6</v>
      </c>
      <c r="I2152">
        <v>274.06849999999997</v>
      </c>
      <c r="J2152">
        <v>-475.31849999999997</v>
      </c>
      <c r="K2152">
        <v>1.1157629999999901</v>
      </c>
      <c r="L2152">
        <v>280.1497</v>
      </c>
      <c r="M2152">
        <v>-0.97521550000000001</v>
      </c>
      <c r="N2152">
        <v>0</v>
      </c>
      <c r="O2152">
        <v>-0.2196823</v>
      </c>
      <c r="P2152">
        <v>-0.90632999999999997</v>
      </c>
      <c r="Q2152">
        <v>4.1565860000000003E-2</v>
      </c>
      <c r="R2152">
        <v>-0.42052230000000002</v>
      </c>
      <c r="S2152">
        <v>-2.685028</v>
      </c>
      <c r="T2152">
        <v>-0.24906020000000001</v>
      </c>
      <c r="U2152">
        <v>-1.3752439999999999</v>
      </c>
      <c r="V2152">
        <v>-0.2117096</v>
      </c>
      <c r="W2152">
        <v>6.5245810000000001E-2</v>
      </c>
      <c r="X2152">
        <v>0.97515229999999997</v>
      </c>
      <c r="Y2152">
        <v>-0.24902669999999999</v>
      </c>
      <c r="Z2152">
        <v>7.9403000000000008E-3</v>
      </c>
      <c r="AA2152">
        <v>0.96846410000000005</v>
      </c>
      <c r="AB2152">
        <v>36</v>
      </c>
      <c r="AC2152">
        <v>-11.689500000000001</v>
      </c>
      <c r="AD2152">
        <v>-1.1157616877709999</v>
      </c>
      <c r="AE2152">
        <v>-6.0812000000000204</v>
      </c>
      <c r="AF2152">
        <v>-3.3397259368781702</v>
      </c>
      <c r="AG2152">
        <v>-1.1157616877709999</v>
      </c>
      <c r="AH2152">
        <v>12.649439169161599</v>
      </c>
      <c r="AI2152">
        <v>94.874618981606702</v>
      </c>
      <c r="AJ2152">
        <v>104.789837815173</v>
      </c>
      <c r="AK2152">
        <v>13.130384791455</v>
      </c>
      <c r="AL2152">
        <v>86.259032981791506</v>
      </c>
      <c r="AM2152">
        <v>102.24906188227</v>
      </c>
      <c r="AN2152">
        <v>0.999999989325002</v>
      </c>
    </row>
    <row r="2153" spans="1:40" x14ac:dyDescent="0.25">
      <c r="A2153" t="str">
        <f>"20190312151309666"</f>
        <v>20190312151309666</v>
      </c>
      <c r="B2153" t="str">
        <f>"1552374789662709"</f>
        <v>1552374789662709</v>
      </c>
      <c r="C2153" t="s">
        <v>40</v>
      </c>
      <c r="D2153">
        <v>4.3906859999999996</v>
      </c>
      <c r="E2153">
        <v>0.48391699999999999</v>
      </c>
      <c r="F2153" t="s">
        <v>53</v>
      </c>
      <c r="G2153">
        <v>-487.42439999999999</v>
      </c>
      <c r="H2153" s="1">
        <v>1.260391E-6</v>
      </c>
      <c r="I2153">
        <v>273.81740000000002</v>
      </c>
      <c r="J2153">
        <v>-475.65379999999999</v>
      </c>
      <c r="K2153">
        <v>1.117443</v>
      </c>
      <c r="L2153">
        <v>280.07130000000001</v>
      </c>
      <c r="M2153">
        <v>-0.97364799999999996</v>
      </c>
      <c r="N2153">
        <v>0</v>
      </c>
      <c r="O2153">
        <v>-0.22654669999999999</v>
      </c>
      <c r="P2153">
        <v>-0.90126410000000001</v>
      </c>
      <c r="Q2153">
        <v>4.2036820000000003E-2</v>
      </c>
      <c r="R2153">
        <v>-0.43122650000000001</v>
      </c>
      <c r="S2153">
        <v>-2.6726990000000002</v>
      </c>
      <c r="T2153">
        <v>-0.24633440000000001</v>
      </c>
      <c r="U2153">
        <v>-1.39801</v>
      </c>
      <c r="V2153">
        <v>-0.2165812</v>
      </c>
      <c r="W2153">
        <v>6.4898949999999997E-2</v>
      </c>
      <c r="X2153">
        <v>0.97410509999999995</v>
      </c>
      <c r="Y2153">
        <v>-0.2505347</v>
      </c>
      <c r="Z2153">
        <v>8.3680630000000002E-3</v>
      </c>
      <c r="AA2153">
        <v>0.96807149999999997</v>
      </c>
      <c r="AB2153">
        <v>36</v>
      </c>
      <c r="AC2153">
        <v>-11.7706</v>
      </c>
      <c r="AD2153">
        <v>-1.117441739609</v>
      </c>
      <c r="AE2153">
        <v>-6.2538999999999803</v>
      </c>
      <c r="AF2153">
        <v>-3.3997859600356302</v>
      </c>
      <c r="AG2153">
        <v>-1.117441739609</v>
      </c>
      <c r="AH2153">
        <v>12.791734729203201</v>
      </c>
      <c r="AI2153">
        <v>94.825784158572503</v>
      </c>
      <c r="AJ2153">
        <v>104.88397179975701</v>
      </c>
      <c r="AK2153">
        <v>13.282909997353</v>
      </c>
      <c r="AL2153">
        <v>86.278948913236803</v>
      </c>
      <c r="AM2153">
        <v>102.535163729148</v>
      </c>
      <c r="AN2153">
        <v>1.0000000178752699</v>
      </c>
    </row>
    <row r="2154" spans="1:40" x14ac:dyDescent="0.25">
      <c r="A2154" t="str">
        <f>"20190312151309689"</f>
        <v>20190312151309689</v>
      </c>
      <c r="B2154" t="str">
        <f>"1552374789682229"</f>
        <v>1552374789682229</v>
      </c>
      <c r="C2154" t="s">
        <v>40</v>
      </c>
      <c r="D2154">
        <v>4.2946489999999997</v>
      </c>
      <c r="E2154">
        <v>0.48363210000000001</v>
      </c>
      <c r="F2154" t="s">
        <v>53</v>
      </c>
      <c r="G2154">
        <v>-487.61149999999998</v>
      </c>
      <c r="H2154" s="1">
        <v>1.2274690000000001E-6</v>
      </c>
      <c r="I2154">
        <v>273.67739999999998</v>
      </c>
      <c r="J2154">
        <v>-475.99799999999999</v>
      </c>
      <c r="K2154">
        <v>1.120139</v>
      </c>
      <c r="L2154">
        <v>279.98829999999998</v>
      </c>
      <c r="M2154">
        <v>-0.97226210000000002</v>
      </c>
      <c r="N2154">
        <v>0</v>
      </c>
      <c r="O2154">
        <v>-0.23258529999999999</v>
      </c>
      <c r="P2154">
        <v>-0.89608929999999998</v>
      </c>
      <c r="Q2154">
        <v>4.4471579999999997E-2</v>
      </c>
      <c r="R2154">
        <v>-0.4416408</v>
      </c>
      <c r="S2154">
        <v>-2.6597599999999999</v>
      </c>
      <c r="T2154">
        <v>-0.24855450000000001</v>
      </c>
      <c r="U2154">
        <v>-1.4222109999999999</v>
      </c>
      <c r="V2154">
        <v>-0.2222074</v>
      </c>
      <c r="W2154">
        <v>6.4656249999999998E-2</v>
      </c>
      <c r="X2154">
        <v>0.97285319999999997</v>
      </c>
      <c r="Y2154">
        <v>-0.25335010000000002</v>
      </c>
      <c r="Z2154">
        <v>8.8363350000000007E-3</v>
      </c>
      <c r="AA2154">
        <v>0.96733429999999998</v>
      </c>
      <c r="AB2154">
        <v>35</v>
      </c>
      <c r="AC2154">
        <v>-11.613499999999901</v>
      </c>
      <c r="AD2154">
        <v>-1.120137772531</v>
      </c>
      <c r="AE2154">
        <v>-6.3109000000000002</v>
      </c>
      <c r="AF2154">
        <v>-3.4112685406118599</v>
      </c>
      <c r="AG2154">
        <v>-1.120137772531</v>
      </c>
      <c r="AH2154">
        <v>12.6720735586606</v>
      </c>
      <c r="AI2154">
        <v>94.878689405493404</v>
      </c>
      <c r="AJ2154">
        <v>105.06661811936399</v>
      </c>
      <c r="AK2154">
        <v>13.170911508385601</v>
      </c>
      <c r="AL2154">
        <v>86.292883628862697</v>
      </c>
      <c r="AM2154">
        <v>102.866099389632</v>
      </c>
      <c r="AN2154">
        <v>0.99999995401453001</v>
      </c>
    </row>
    <row r="2155" spans="1:40" x14ac:dyDescent="0.25">
      <c r="A2155" t="str">
        <f>"20190312151309710"</f>
        <v>20190312151309710</v>
      </c>
      <c r="B2155" t="str">
        <f>"1552374789702725"</f>
        <v>1552374789702725</v>
      </c>
      <c r="C2155" t="s">
        <v>40</v>
      </c>
      <c r="D2155">
        <v>4.3809659999999999</v>
      </c>
      <c r="E2155">
        <v>0.43290669999999998</v>
      </c>
      <c r="F2155" t="s">
        <v>53</v>
      </c>
      <c r="G2155">
        <v>-488.15309999999999</v>
      </c>
      <c r="H2155" s="1">
        <v>1.138086E-6</v>
      </c>
      <c r="I2155">
        <v>273.28859999999997</v>
      </c>
      <c r="J2155">
        <v>-476.32859999999999</v>
      </c>
      <c r="K2155">
        <v>1.123062</v>
      </c>
      <c r="L2155">
        <v>279.90550000000002</v>
      </c>
      <c r="M2155">
        <v>-0.97132300000000005</v>
      </c>
      <c r="N2155">
        <v>0</v>
      </c>
      <c r="O2155">
        <v>-0.23663870000000001</v>
      </c>
      <c r="P2155">
        <v>-0.89143939999999999</v>
      </c>
      <c r="Q2155">
        <v>4.7101509999999999E-2</v>
      </c>
      <c r="R2155">
        <v>-0.45068520000000001</v>
      </c>
      <c r="S2155">
        <v>-2.6422119999999998</v>
      </c>
      <c r="T2155">
        <v>-0.2434895</v>
      </c>
      <c r="U2155">
        <v>-1.456329</v>
      </c>
      <c r="V2155">
        <v>-0.22838249999999999</v>
      </c>
      <c r="W2155">
        <v>6.4433099999999993E-2</v>
      </c>
      <c r="X2155">
        <v>0.97143699999999999</v>
      </c>
      <c r="Y2155">
        <v>-0.26160480000000003</v>
      </c>
      <c r="Z2155">
        <v>8.6504119999999997E-3</v>
      </c>
      <c r="AA2155">
        <v>0.96513629999999995</v>
      </c>
      <c r="AB2155">
        <v>35</v>
      </c>
      <c r="AC2155">
        <v>-11.8245</v>
      </c>
      <c r="AD2155">
        <v>-1.1230608619139999</v>
      </c>
      <c r="AE2155">
        <v>-6.6169000000000402</v>
      </c>
      <c r="AF2155">
        <v>-3.6052155044462801</v>
      </c>
      <c r="AG2155">
        <v>-1.1230608619139999</v>
      </c>
      <c r="AH2155">
        <v>12.965639690637101</v>
      </c>
      <c r="AI2155">
        <v>94.770403165697203</v>
      </c>
      <c r="AJ2155">
        <v>105.539079608478</v>
      </c>
      <c r="AK2155">
        <v>13.5043199429103</v>
      </c>
      <c r="AL2155">
        <v>86.305696134650603</v>
      </c>
      <c r="AM2155">
        <v>103.229850079995</v>
      </c>
      <c r="AN2155">
        <v>1.00000001782542</v>
      </c>
    </row>
    <row r="2156" spans="1:40" x14ac:dyDescent="0.25">
      <c r="A2156" t="str">
        <f>"20190312151309732"</f>
        <v>20190312151309732</v>
      </c>
      <c r="B2156" t="str">
        <f>"1552374789722245"</f>
        <v>1552374789722245</v>
      </c>
      <c r="C2156" t="s">
        <v>40</v>
      </c>
      <c r="D2156">
        <v>4.2733650000000001</v>
      </c>
      <c r="E2156">
        <v>0.38889499999999999</v>
      </c>
      <c r="F2156" t="s">
        <v>41</v>
      </c>
      <c r="G2156">
        <v>-477.21100000000001</v>
      </c>
      <c r="H2156">
        <v>1.046648</v>
      </c>
      <c r="I2156">
        <v>279.23939999999999</v>
      </c>
      <c r="J2156">
        <v>-476.65809999999999</v>
      </c>
      <c r="K2156">
        <v>1.1257469999999901</v>
      </c>
      <c r="L2156">
        <v>279.82029999999997</v>
      </c>
      <c r="M2156">
        <v>-0.97043500000000005</v>
      </c>
      <c r="N2156">
        <v>0</v>
      </c>
      <c r="O2156">
        <v>-0.24039559999999999</v>
      </c>
      <c r="P2156">
        <v>-0.88707479999999905</v>
      </c>
      <c r="Q2156">
        <v>5.0055490000000001E-2</v>
      </c>
      <c r="R2156">
        <v>-0.45890379999999997</v>
      </c>
      <c r="S2156">
        <v>-2.4439389999999999</v>
      </c>
      <c r="T2156">
        <v>-0.21162149999999999</v>
      </c>
      <c r="U2156">
        <v>-1.8446039999999999</v>
      </c>
      <c r="V2156">
        <v>-0.2339292</v>
      </c>
      <c r="W2156">
        <v>6.4877039999999997E-2</v>
      </c>
      <c r="X2156">
        <v>0.97008660000000002</v>
      </c>
      <c r="Y2156">
        <v>-0.3924801</v>
      </c>
      <c r="Z2156">
        <v>2.8998880000000002E-3</v>
      </c>
      <c r="AA2156">
        <v>0.91975589999999996</v>
      </c>
      <c r="AB2156">
        <v>35</v>
      </c>
      <c r="AC2156">
        <v>-0.55290000000002204</v>
      </c>
      <c r="AD2156">
        <v>-7.9098999999999794E-2</v>
      </c>
      <c r="AE2156">
        <v>-0.58089999999998498</v>
      </c>
      <c r="AF2156">
        <v>-0.426759728292115</v>
      </c>
      <c r="AG2156">
        <v>-7.9098999999999794E-2</v>
      </c>
      <c r="AH2156">
        <v>0.66984051036599601</v>
      </c>
      <c r="AI2156">
        <v>95.687410473695707</v>
      </c>
      <c r="AJ2156">
        <v>122.501476002451</v>
      </c>
      <c r="AK2156">
        <v>0.79816466147051301</v>
      </c>
      <c r="AL2156">
        <v>86.280206685230993</v>
      </c>
      <c r="AM2156">
        <v>103.557617613068</v>
      </c>
      <c r="AN2156">
        <v>0.99999995621567905</v>
      </c>
    </row>
    <row r="2157" spans="1:40" x14ac:dyDescent="0.25">
      <c r="A2157" t="str">
        <f>"20190312151309767"</f>
        <v>20190312151309767</v>
      </c>
      <c r="B2157" t="str">
        <f>"1552374789762272"</f>
        <v>1552374789762272</v>
      </c>
      <c r="C2157" t="s">
        <v>40</v>
      </c>
      <c r="D2157">
        <v>4.348903</v>
      </c>
      <c r="E2157">
        <v>0.38546170000000002</v>
      </c>
      <c r="F2157" t="s">
        <v>41</v>
      </c>
      <c r="G2157">
        <v>-477.40969999999999</v>
      </c>
      <c r="H2157">
        <v>0.99124659999999998</v>
      </c>
      <c r="I2157">
        <v>279.09620000000001</v>
      </c>
      <c r="J2157">
        <v>-477.14769999999999</v>
      </c>
      <c r="K2157">
        <v>1.128007</v>
      </c>
      <c r="L2157">
        <v>279.68939999999998</v>
      </c>
      <c r="M2157">
        <v>-0.96868600000000005</v>
      </c>
      <c r="N2157">
        <v>0</v>
      </c>
      <c r="O2157">
        <v>-0.24757170000000001</v>
      </c>
      <c r="P2157">
        <v>-0.87980539999999996</v>
      </c>
      <c r="Q2157">
        <v>5.402597E-2</v>
      </c>
      <c r="R2157">
        <v>-0.47225410000000001</v>
      </c>
      <c r="S2157">
        <v>-2.2720030000000002</v>
      </c>
      <c r="T2157">
        <v>-0.40660540000000001</v>
      </c>
      <c r="U2157">
        <v>-2.1899109999999999</v>
      </c>
      <c r="V2157">
        <v>-0.24164440000000001</v>
      </c>
      <c r="W2157">
        <v>6.5486569999999994E-2</v>
      </c>
      <c r="X2157">
        <v>0.96815260000000003</v>
      </c>
      <c r="Y2157">
        <v>-0.49213859999999898</v>
      </c>
      <c r="Z2157">
        <v>-9.3624370000000004E-4</v>
      </c>
      <c r="AA2157">
        <v>0.87051639999999997</v>
      </c>
      <c r="AB2157">
        <v>35</v>
      </c>
      <c r="AC2157">
        <v>-0.26200000000000001</v>
      </c>
      <c r="AD2157">
        <v>-0.136760399999999</v>
      </c>
      <c r="AE2157">
        <v>-0.59319999999996698</v>
      </c>
      <c r="AF2157">
        <v>-0.48814098451161098</v>
      </c>
      <c r="AG2157">
        <v>-0.136760399999999</v>
      </c>
      <c r="AH2157">
        <v>0.38366283655664402</v>
      </c>
      <c r="AI2157">
        <v>102.422305450368</v>
      </c>
      <c r="AJ2157">
        <v>141.83381237807299</v>
      </c>
      <c r="AK2157">
        <v>0.63575325396164195</v>
      </c>
      <c r="AL2157">
        <v>86.245208856800602</v>
      </c>
      <c r="AM2157">
        <v>104.01430976359499</v>
      </c>
      <c r="AN2157">
        <v>0.999999981894242</v>
      </c>
    </row>
    <row r="2158" spans="1:40" x14ac:dyDescent="0.25">
      <c r="A2158" t="str">
        <f>"20190312151309789"</f>
        <v>20190312151309789</v>
      </c>
      <c r="B2158" t="str">
        <f>"1552374789781781"</f>
        <v>1552374789781781</v>
      </c>
      <c r="C2158" t="s">
        <v>40</v>
      </c>
      <c r="D2158">
        <v>4.3353769999999896</v>
      </c>
      <c r="E2158">
        <v>0.38529429999999998</v>
      </c>
      <c r="F2158" t="s">
        <v>53</v>
      </c>
      <c r="G2158">
        <v>-483.2278</v>
      </c>
      <c r="H2158" s="1">
        <v>7.9268919999999899E-7</v>
      </c>
      <c r="I2158">
        <v>273.54730000000001</v>
      </c>
      <c r="J2158">
        <v>-477.47840000000002</v>
      </c>
      <c r="K2158">
        <v>1.1300349999999999</v>
      </c>
      <c r="L2158">
        <v>279.59899999999999</v>
      </c>
      <c r="M2158">
        <v>-0.96693300000000004</v>
      </c>
      <c r="N2158">
        <v>0</v>
      </c>
      <c r="O2158">
        <v>-0.2544167</v>
      </c>
      <c r="P2158">
        <v>-0.87384810000000002</v>
      </c>
      <c r="Q2158">
        <v>5.3753160000000001E-2</v>
      </c>
      <c r="R2158">
        <v>-0.48321890000000001</v>
      </c>
      <c r="S2158">
        <v>-2.227417</v>
      </c>
      <c r="T2158">
        <v>-0.41324070000000002</v>
      </c>
      <c r="U2158">
        <v>-2.2501530000000001</v>
      </c>
      <c r="V2158">
        <v>-0.24696209999999999</v>
      </c>
      <c r="W2158">
        <v>6.3532749999999999E-2</v>
      </c>
      <c r="X2158">
        <v>0.96694020000000003</v>
      </c>
      <c r="Y2158">
        <v>-0.50623180000000001</v>
      </c>
      <c r="Z2158">
        <v>-1.0938829999999999E-3</v>
      </c>
      <c r="AA2158">
        <v>0.86239679999999996</v>
      </c>
      <c r="AB2158">
        <v>34</v>
      </c>
      <c r="AC2158">
        <v>-5.7493999999999801</v>
      </c>
      <c r="AD2158">
        <v>-1.1300342073108001</v>
      </c>
      <c r="AE2158">
        <v>-6.0516999999999799</v>
      </c>
      <c r="AF2158">
        <v>-4.3105337696619097</v>
      </c>
      <c r="AG2158">
        <v>-1.1300342073108001</v>
      </c>
      <c r="AH2158">
        <v>6.9722699542670696</v>
      </c>
      <c r="AI2158">
        <v>97.849149594979806</v>
      </c>
      <c r="AJ2158">
        <v>121.72600046234901</v>
      </c>
      <c r="AK2158">
        <v>8.2746738306874406</v>
      </c>
      <c r="AL2158">
        <v>86.357388315269503</v>
      </c>
      <c r="AM2158">
        <v>104.327378821683</v>
      </c>
      <c r="AN2158">
        <v>1.0000000197675001</v>
      </c>
    </row>
    <row r="2159" spans="1:40" x14ac:dyDescent="0.25">
      <c r="A2159" t="str">
        <f>"20190312151309812"</f>
        <v>20190312151309812</v>
      </c>
      <c r="B2159" t="str">
        <f>"1552374789802277"</f>
        <v>1552374789802277</v>
      </c>
      <c r="C2159" t="s">
        <v>40</v>
      </c>
      <c r="D2159">
        <v>4.2395849999999999</v>
      </c>
      <c r="E2159">
        <v>0.38641150000000002</v>
      </c>
      <c r="F2159" t="s">
        <v>53</v>
      </c>
      <c r="G2159">
        <v>-483.21559999999999</v>
      </c>
      <c r="H2159" s="1">
        <v>8.287413E-7</v>
      </c>
      <c r="I2159">
        <v>273.65230000000003</v>
      </c>
      <c r="J2159">
        <v>-477.8005</v>
      </c>
      <c r="K2159">
        <v>1.133276</v>
      </c>
      <c r="L2159">
        <v>279.50979999999998</v>
      </c>
      <c r="M2159">
        <v>-0.96497010000000005</v>
      </c>
      <c r="N2159">
        <v>0</v>
      </c>
      <c r="O2159">
        <v>-0.26179380000000002</v>
      </c>
      <c r="P2159">
        <v>-0.86819820000000003</v>
      </c>
      <c r="Q2159">
        <v>5.335604E-2</v>
      </c>
      <c r="R2159">
        <v>-0.49334090000000003</v>
      </c>
      <c r="S2159">
        <v>-2.1992189999999998</v>
      </c>
      <c r="T2159">
        <v>-0.43317060000000002</v>
      </c>
      <c r="U2159">
        <v>-2.2795100000000001</v>
      </c>
      <c r="V2159">
        <v>-0.25098029999999999</v>
      </c>
      <c r="W2159">
        <v>6.1770980000000003E-2</v>
      </c>
      <c r="X2159">
        <v>0.96601930000000003</v>
      </c>
      <c r="Y2159">
        <v>-0.51054379999999999</v>
      </c>
      <c r="Z2159">
        <v>-4.219227E-4</v>
      </c>
      <c r="AA2159">
        <v>0.8598517</v>
      </c>
      <c r="AB2159">
        <v>34</v>
      </c>
      <c r="AC2159">
        <v>-5.41509999999999</v>
      </c>
      <c r="AD2159">
        <v>-1.1332751712586999</v>
      </c>
      <c r="AE2159">
        <v>-5.8574999999999502</v>
      </c>
      <c r="AF2159">
        <v>-4.1515114795461203</v>
      </c>
      <c r="AG2159">
        <v>-1.1332751712586999</v>
      </c>
      <c r="AH2159">
        <v>6.6261349153287696</v>
      </c>
      <c r="AI2159">
        <v>98.246680761294996</v>
      </c>
      <c r="AJ2159">
        <v>122.068621328661</v>
      </c>
      <c r="AK2159">
        <v>7.9009508348510602</v>
      </c>
      <c r="AL2159">
        <v>86.458529032492507</v>
      </c>
      <c r="AM2159">
        <v>104.563953590952</v>
      </c>
      <c r="AN2159">
        <v>1.0000000264653599</v>
      </c>
    </row>
    <row r="2160" spans="1:40" x14ac:dyDescent="0.25">
      <c r="A2160" t="str">
        <f>"20190312151309834"</f>
        <v>20190312151309834</v>
      </c>
      <c r="B2160" t="str">
        <f>"1552374789821797"</f>
        <v>1552374789821797</v>
      </c>
      <c r="C2160" t="s">
        <v>40</v>
      </c>
      <c r="D2160">
        <v>4.3275009999999998</v>
      </c>
      <c r="E2160">
        <v>0.38735750000000002</v>
      </c>
      <c r="F2160" t="s">
        <v>53</v>
      </c>
      <c r="G2160">
        <v>-483.37079999999997</v>
      </c>
      <c r="H2160" s="1">
        <v>8.3376099999999899E-7</v>
      </c>
      <c r="I2160">
        <v>273.62759999999997</v>
      </c>
      <c r="J2160">
        <v>-478.11509999999998</v>
      </c>
      <c r="K2160">
        <v>1.137308</v>
      </c>
      <c r="L2160">
        <v>279.42090000000002</v>
      </c>
      <c r="M2160">
        <v>-0.96333089999999999</v>
      </c>
      <c r="N2160">
        <v>0</v>
      </c>
      <c r="O2160">
        <v>-0.26777879999999998</v>
      </c>
      <c r="P2160">
        <v>-0.863174</v>
      </c>
      <c r="Q2160">
        <v>5.3407040000000003E-2</v>
      </c>
      <c r="R2160">
        <v>-0.50207449999999998</v>
      </c>
      <c r="S2160">
        <v>-2.1765750000000001</v>
      </c>
      <c r="T2160">
        <v>-0.44282169999999998</v>
      </c>
      <c r="U2160">
        <v>-2.2984619999999998</v>
      </c>
      <c r="V2160">
        <v>-0.255</v>
      </c>
      <c r="W2160">
        <v>6.0281719999999997E-2</v>
      </c>
      <c r="X2160">
        <v>0.96506020000000003</v>
      </c>
      <c r="Y2160">
        <v>-0.51313209999999998</v>
      </c>
      <c r="Z2160">
        <v>2.4734060000000002E-4</v>
      </c>
      <c r="AA2160">
        <v>0.85830960000000001</v>
      </c>
      <c r="AB2160">
        <v>34</v>
      </c>
      <c r="AC2160">
        <v>-5.2556999999999903</v>
      </c>
      <c r="AD2160">
        <v>-1.137307166239</v>
      </c>
      <c r="AE2160">
        <v>-5.7933000000000403</v>
      </c>
      <c r="AF2160">
        <v>-4.0876859588782901</v>
      </c>
      <c r="AG2160">
        <v>-1.137307166239</v>
      </c>
      <c r="AH2160">
        <v>6.4783004078426298</v>
      </c>
      <c r="AI2160">
        <v>98.445071747483198</v>
      </c>
      <c r="AJ2160">
        <v>122.251156410985</v>
      </c>
      <c r="AK2160">
        <v>7.74409583250642</v>
      </c>
      <c r="AL2160">
        <v>86.544016725391103</v>
      </c>
      <c r="AM2160">
        <v>104.801115276682</v>
      </c>
      <c r="AN2160">
        <v>1.0000000376950899</v>
      </c>
    </row>
    <row r="2161" spans="1:40" x14ac:dyDescent="0.25">
      <c r="A2161" t="str">
        <f>"20190312151309856"</f>
        <v>20190312151309856</v>
      </c>
      <c r="B2161" t="str">
        <f>"1552374789852053"</f>
        <v>1552374789852053</v>
      </c>
      <c r="C2161" t="s">
        <v>40</v>
      </c>
      <c r="D2161">
        <v>4.397214</v>
      </c>
      <c r="E2161">
        <v>0.38896249999999999</v>
      </c>
      <c r="F2161" t="s">
        <v>53</v>
      </c>
      <c r="G2161">
        <v>-483.61869999999999</v>
      </c>
      <c r="H2161" s="1">
        <v>8.1458930000000005E-7</v>
      </c>
      <c r="I2161">
        <v>273.51119999999997</v>
      </c>
      <c r="J2161">
        <v>-478.44560000000001</v>
      </c>
      <c r="K2161">
        <v>1.141734</v>
      </c>
      <c r="L2161">
        <v>279.32479999999998</v>
      </c>
      <c r="M2161">
        <v>-0.96187730000000005</v>
      </c>
      <c r="N2161">
        <v>0</v>
      </c>
      <c r="O2161">
        <v>-0.27294000000000002</v>
      </c>
      <c r="P2161">
        <v>-0.85838400000000004</v>
      </c>
      <c r="Q2161">
        <v>5.2880919999999998E-2</v>
      </c>
      <c r="R2161">
        <v>-0.51027509999999998</v>
      </c>
      <c r="S2161">
        <v>-2.1563110000000001</v>
      </c>
      <c r="T2161">
        <v>-0.44560169999999999</v>
      </c>
      <c r="U2161">
        <v>-2.3154599999999999</v>
      </c>
      <c r="V2161">
        <v>-0.25927909999999998</v>
      </c>
      <c r="W2161">
        <v>5.8584810000000001E-2</v>
      </c>
      <c r="X2161">
        <v>0.96402390000000004</v>
      </c>
      <c r="Y2161">
        <v>-0.51567969999999996</v>
      </c>
      <c r="Z2161">
        <v>8.1323089999999995E-4</v>
      </c>
      <c r="AA2161">
        <v>0.85678109999999996</v>
      </c>
      <c r="AB2161">
        <v>34</v>
      </c>
      <c r="AC2161">
        <v>-5.1730999999999696</v>
      </c>
      <c r="AD2161">
        <v>-1.1417331854107</v>
      </c>
      <c r="AE2161">
        <v>-5.8136000000000001</v>
      </c>
      <c r="AF2161">
        <v>-4.0925486121872297</v>
      </c>
      <c r="AG2161">
        <v>-1.1417331854107</v>
      </c>
      <c r="AH2161">
        <v>6.4253148633783796</v>
      </c>
      <c r="AI2161">
        <v>98.523675590236195</v>
      </c>
      <c r="AJ2161">
        <v>122.494745227123</v>
      </c>
      <c r="AK2161">
        <v>7.7030630208596103</v>
      </c>
      <c r="AL2161">
        <v>86.641414411324305</v>
      </c>
      <c r="AM2161">
        <v>105.053757497519</v>
      </c>
      <c r="AN2161">
        <v>0.99999995571537703</v>
      </c>
    </row>
    <row r="2162" spans="1:40" x14ac:dyDescent="0.25">
      <c r="A2162" t="str">
        <f>"20190312151309901"</f>
        <v>20190312151309901</v>
      </c>
      <c r="B2162" t="str">
        <f>"1552374789892069"</f>
        <v>1552374789892069</v>
      </c>
      <c r="C2162" t="s">
        <v>40</v>
      </c>
      <c r="D2162">
        <v>4.2672249999999998</v>
      </c>
      <c r="E2162">
        <v>0.39114450000000001</v>
      </c>
      <c r="F2162" t="s">
        <v>53</v>
      </c>
      <c r="G2162">
        <v>-483.83210000000003</v>
      </c>
      <c r="H2162" s="1">
        <v>8.1895759999999899E-7</v>
      </c>
      <c r="I2162">
        <v>273.47000000000003</v>
      </c>
      <c r="J2162">
        <v>-479.06560000000002</v>
      </c>
      <c r="K2162">
        <v>1.1484510000000001</v>
      </c>
      <c r="L2162">
        <v>279.13630000000001</v>
      </c>
      <c r="M2162">
        <v>-0.95891459999999995</v>
      </c>
      <c r="N2162">
        <v>0</v>
      </c>
      <c r="O2162">
        <v>-0.28309069999999997</v>
      </c>
      <c r="P2162">
        <v>-0.84848599999999996</v>
      </c>
      <c r="Q2162">
        <v>5.0103429999999997E-2</v>
      </c>
      <c r="R2162">
        <v>-0.52684129999999996</v>
      </c>
      <c r="S2162">
        <v>-2.1401059999999998</v>
      </c>
      <c r="T2162">
        <v>-0.45361629999999997</v>
      </c>
      <c r="U2162">
        <v>-2.3261409999999998</v>
      </c>
      <c r="V2162">
        <v>-0.2679763</v>
      </c>
      <c r="W2162">
        <v>5.521856E-2</v>
      </c>
      <c r="X2162">
        <v>0.96184179999999997</v>
      </c>
      <c r="Y2162">
        <v>-0.51185340000000001</v>
      </c>
      <c r="Z2162">
        <v>2.7248490000000001E-3</v>
      </c>
      <c r="AA2162">
        <v>0.85906849999999901</v>
      </c>
      <c r="AB2162">
        <v>33</v>
      </c>
      <c r="AC2162">
        <v>-4.7664999999999997</v>
      </c>
      <c r="AD2162">
        <v>-1.1484501810423999</v>
      </c>
      <c r="AE2162">
        <v>-5.6662999999999704</v>
      </c>
      <c r="AF2162">
        <v>-3.98888646897101</v>
      </c>
      <c r="AG2162">
        <v>-1.1484501810423999</v>
      </c>
      <c r="AH2162">
        <v>6.03072222158786</v>
      </c>
      <c r="AI2162">
        <v>99.025074036126199</v>
      </c>
      <c r="AJ2162">
        <v>123.48175255893599</v>
      </c>
      <c r="AK2162">
        <v>7.3211859418150302</v>
      </c>
      <c r="AL2162">
        <v>86.834599626597097</v>
      </c>
      <c r="AM2162">
        <v>105.568233542017</v>
      </c>
      <c r="AN2162">
        <v>1.0000000174787</v>
      </c>
    </row>
    <row r="2163" spans="1:40" x14ac:dyDescent="0.25">
      <c r="A2163" t="str">
        <f>"20190312151309923"</f>
        <v>20190312151309923</v>
      </c>
      <c r="B2163" t="str">
        <f>"1552374789912565"</f>
        <v>1552374789912565</v>
      </c>
      <c r="C2163" t="s">
        <v>40</v>
      </c>
      <c r="D2163">
        <v>4.3279249999999996</v>
      </c>
      <c r="E2163">
        <v>0.39240940000000002</v>
      </c>
      <c r="F2163" t="s">
        <v>41</v>
      </c>
      <c r="G2163">
        <v>-479.68299999999999</v>
      </c>
      <c r="H2163">
        <v>1.0143990000000001</v>
      </c>
      <c r="I2163">
        <v>278.44529999999997</v>
      </c>
      <c r="J2163">
        <v>-479.37180000000001</v>
      </c>
      <c r="K2163">
        <v>1.1508449999999999</v>
      </c>
      <c r="L2163">
        <v>279.0394</v>
      </c>
      <c r="M2163">
        <v>-0.95711559999999996</v>
      </c>
      <c r="N2163">
        <v>0</v>
      </c>
      <c r="O2163">
        <v>-0.28905579999999997</v>
      </c>
      <c r="P2163">
        <v>-0.84290219999999905</v>
      </c>
      <c r="Q2163">
        <v>4.8800629999999998E-2</v>
      </c>
      <c r="R2163">
        <v>-0.53584909999999997</v>
      </c>
      <c r="S2163">
        <v>-2.1015929999999998</v>
      </c>
      <c r="T2163">
        <v>-0.4562252</v>
      </c>
      <c r="U2163">
        <v>-2.3529659999999999</v>
      </c>
      <c r="V2163">
        <v>-0.27224199999999998</v>
      </c>
      <c r="W2163">
        <v>5.4252979999999999E-2</v>
      </c>
      <c r="X2163">
        <v>0.9606981</v>
      </c>
      <c r="Y2163">
        <v>-0.51908959999999904</v>
      </c>
      <c r="Z2163">
        <v>3.048949E-3</v>
      </c>
      <c r="AA2163">
        <v>0.85471439999999999</v>
      </c>
      <c r="AB2163">
        <v>33</v>
      </c>
      <c r="AC2163">
        <v>-0.311200000000042</v>
      </c>
      <c r="AD2163">
        <v>-0.13644600000000001</v>
      </c>
      <c r="AE2163">
        <v>-0.59410000000002505</v>
      </c>
      <c r="AF2163">
        <v>-0.459729838479005</v>
      </c>
      <c r="AG2163">
        <v>-0.13644600000000001</v>
      </c>
      <c r="AH2163">
        <v>0.45100352763075702</v>
      </c>
      <c r="AI2163">
        <v>101.962228546049</v>
      </c>
      <c r="AJ2163">
        <v>135.548970204765</v>
      </c>
      <c r="AK2163">
        <v>0.65831088190862996</v>
      </c>
      <c r="AL2163">
        <v>86.890006187588199</v>
      </c>
      <c r="AM2163">
        <v>105.821634377818</v>
      </c>
      <c r="AN2163">
        <v>0.99999996587324402</v>
      </c>
    </row>
    <row r="2164" spans="1:40" x14ac:dyDescent="0.25">
      <c r="A2164" t="str">
        <f>"20190312151309944"</f>
        <v>20190312151309944</v>
      </c>
      <c r="B2164" t="str">
        <f>"1552374789941845"</f>
        <v>1552374789941845</v>
      </c>
      <c r="C2164" t="s">
        <v>40</v>
      </c>
      <c r="D2164">
        <v>4.3867149999999997</v>
      </c>
      <c r="E2164">
        <v>0.39442729999999998</v>
      </c>
      <c r="F2164" t="s">
        <v>41</v>
      </c>
      <c r="G2164">
        <v>-479.96260000000001</v>
      </c>
      <c r="H2164">
        <v>1.0212030000000001</v>
      </c>
      <c r="I2164">
        <v>278.36779999999999</v>
      </c>
      <c r="J2164">
        <v>-479.6721</v>
      </c>
      <c r="K2164">
        <v>1.152717</v>
      </c>
      <c r="L2164">
        <v>278.94170000000003</v>
      </c>
      <c r="M2164">
        <v>-0.95516120000000004</v>
      </c>
      <c r="N2164">
        <v>0</v>
      </c>
      <c r="O2164">
        <v>-0.29537659999999999</v>
      </c>
      <c r="P2164">
        <v>-0.83727580000000001</v>
      </c>
      <c r="Q2164">
        <v>4.7441740000000003E-2</v>
      </c>
      <c r="R2164">
        <v>-0.54471890000000001</v>
      </c>
      <c r="S2164">
        <v>-2.081207</v>
      </c>
      <c r="T2164">
        <v>-0.45665859999999903</v>
      </c>
      <c r="U2164">
        <v>-2.366425</v>
      </c>
      <c r="V2164">
        <v>-0.27601239999999999</v>
      </c>
      <c r="W2164">
        <v>5.3602099999999903E-2</v>
      </c>
      <c r="X2164">
        <v>0.95965829999999996</v>
      </c>
      <c r="Y2164">
        <v>-0.52003060000000001</v>
      </c>
      <c r="Z2164">
        <v>3.9637800000000001E-3</v>
      </c>
      <c r="AA2164">
        <v>0.85413839999999996</v>
      </c>
      <c r="AB2164">
        <v>33</v>
      </c>
      <c r="AC2164">
        <v>-0.29050000000000797</v>
      </c>
      <c r="AD2164">
        <v>-0.13151399999999899</v>
      </c>
      <c r="AE2164">
        <v>-0.57390000000003705</v>
      </c>
      <c r="AF2164">
        <v>-0.44390091670158699</v>
      </c>
      <c r="AG2164">
        <v>-0.13151399999999899</v>
      </c>
      <c r="AH2164">
        <v>0.42914536127536401</v>
      </c>
      <c r="AI2164">
        <v>102.024524319786</v>
      </c>
      <c r="AJ2164">
        <v>135.96827692397</v>
      </c>
      <c r="AK2164">
        <v>0.63127624472070298</v>
      </c>
      <c r="AL2164">
        <v>86.927353444313795</v>
      </c>
      <c r="AM2164">
        <v>106.04604442348101</v>
      </c>
      <c r="AN2164">
        <v>1.0000000414185199</v>
      </c>
    </row>
    <row r="2165" spans="1:40" x14ac:dyDescent="0.25">
      <c r="A2165" t="str">
        <f>"20190312151309968"</f>
        <v>20190312151309968</v>
      </c>
      <c r="B2165" t="str">
        <f>"1552374789962510"</f>
        <v>1552374789962510</v>
      </c>
      <c r="C2165" t="s">
        <v>40</v>
      </c>
      <c r="D2165">
        <v>4.4159480000000002</v>
      </c>
      <c r="E2165">
        <v>0.39562989999999998</v>
      </c>
      <c r="F2165" t="s">
        <v>41</v>
      </c>
      <c r="G2165">
        <v>-480.24079999999998</v>
      </c>
      <c r="H2165">
        <v>1.02976</v>
      </c>
      <c r="I2165">
        <v>278.28820000000002</v>
      </c>
      <c r="J2165">
        <v>-479.9864</v>
      </c>
      <c r="K2165">
        <v>1.154207</v>
      </c>
      <c r="L2165">
        <v>278.83640000000003</v>
      </c>
      <c r="M2165">
        <v>-0.95294959999999995</v>
      </c>
      <c r="N2165">
        <v>0</v>
      </c>
      <c r="O2165">
        <v>-0.30234250000000001</v>
      </c>
      <c r="P2165">
        <v>-0.83125599999999999</v>
      </c>
      <c r="Q2165">
        <v>4.5864889999999998E-2</v>
      </c>
      <c r="R2165">
        <v>-0.55399489999999996</v>
      </c>
      <c r="S2165">
        <v>-2.0643310000000001</v>
      </c>
      <c r="T2165">
        <v>-0.44633529999999999</v>
      </c>
      <c r="U2165">
        <v>-2.37323</v>
      </c>
      <c r="V2165">
        <v>-0.27963259999999901</v>
      </c>
      <c r="W2165">
        <v>5.306404E-2</v>
      </c>
      <c r="X2165">
        <v>0.95863960000000004</v>
      </c>
      <c r="Y2165">
        <v>-0.51861950000000001</v>
      </c>
      <c r="Z2165">
        <v>5.0737300000000003E-3</v>
      </c>
      <c r="AA2165">
        <v>0.85499009999999998</v>
      </c>
      <c r="AB2165">
        <v>33</v>
      </c>
      <c r="AC2165">
        <v>-0.25439999999997498</v>
      </c>
      <c r="AD2165">
        <v>-0.124446999999999</v>
      </c>
      <c r="AE2165">
        <v>-0.54820000000000801</v>
      </c>
      <c r="AF2165">
        <v>-0.427471430296188</v>
      </c>
      <c r="AG2165">
        <v>-0.124446999999999</v>
      </c>
      <c r="AH2165">
        <v>0.39166433859600702</v>
      </c>
      <c r="AI2165">
        <v>102.114660030812</v>
      </c>
      <c r="AJ2165">
        <v>137.502991619163</v>
      </c>
      <c r="AK2165">
        <v>0.592975407294701</v>
      </c>
      <c r="AL2165">
        <v>86.958225923316704</v>
      </c>
      <c r="AM2165">
        <v>106.261823187864</v>
      </c>
      <c r="AN2165">
        <v>1.0000000330060199</v>
      </c>
    </row>
    <row r="2166" spans="1:40" x14ac:dyDescent="0.25">
      <c r="A2166" t="str">
        <f>"20190312151309990"</f>
        <v>20190312151309990</v>
      </c>
      <c r="B2166" t="str">
        <f>"1552374789982027"</f>
        <v>1552374789982027</v>
      </c>
      <c r="C2166" t="s">
        <v>40</v>
      </c>
      <c r="D2166">
        <v>4.4148930000000002</v>
      </c>
      <c r="E2166">
        <v>0.39702130000000002</v>
      </c>
      <c r="F2166" t="s">
        <v>53</v>
      </c>
      <c r="G2166">
        <v>-485.25290000000001</v>
      </c>
      <c r="H2166" s="1">
        <v>6.6682079999999998E-7</v>
      </c>
      <c r="I2166">
        <v>272.68310000000002</v>
      </c>
      <c r="J2166">
        <v>-480.2835</v>
      </c>
      <c r="K2166">
        <v>1.1547970000000001</v>
      </c>
      <c r="L2166">
        <v>278.73360000000002</v>
      </c>
      <c r="M2166">
        <v>-0.95070779999999999</v>
      </c>
      <c r="N2166">
        <v>0</v>
      </c>
      <c r="O2166">
        <v>-0.30923339999999999</v>
      </c>
      <c r="P2166">
        <v>-0.82565390000000005</v>
      </c>
      <c r="Q2166">
        <v>4.4814989999999999E-2</v>
      </c>
      <c r="R2166">
        <v>-0.56239459999999997</v>
      </c>
      <c r="S2166">
        <v>-2.0429379999999999</v>
      </c>
      <c r="T2166">
        <v>-0.44772709999999999</v>
      </c>
      <c r="U2166">
        <v>-2.3869020000000001</v>
      </c>
      <c r="V2166">
        <v>-0.28235460000000001</v>
      </c>
      <c r="W2166">
        <v>5.317736E-2</v>
      </c>
      <c r="X2166">
        <v>0.95783510000000005</v>
      </c>
      <c r="Y2166">
        <v>-0.51929590000000003</v>
      </c>
      <c r="Z2166">
        <v>6.1040670000000003E-3</v>
      </c>
      <c r="AA2166">
        <v>0.85457269999999896</v>
      </c>
      <c r="AB2166">
        <v>32</v>
      </c>
      <c r="AC2166">
        <v>-4.9694000000000003</v>
      </c>
      <c r="AD2166">
        <v>-1.1547963331791999</v>
      </c>
      <c r="AE2166">
        <v>-6.0505000000000004</v>
      </c>
      <c r="AF2166">
        <v>-4.1268956550395499</v>
      </c>
      <c r="AG2166">
        <v>-1.1547963331791999</v>
      </c>
      <c r="AH2166">
        <v>6.45675461447453</v>
      </c>
      <c r="AI2166">
        <v>98.569900828557095</v>
      </c>
      <c r="AJ2166">
        <v>122.585063873024</v>
      </c>
      <c r="AK2166">
        <v>7.7494840131615597</v>
      </c>
      <c r="AL2166">
        <v>86.951723931600199</v>
      </c>
      <c r="AM2166">
        <v>106.424681045711</v>
      </c>
      <c r="AN2166">
        <v>1.00000001527486</v>
      </c>
    </row>
    <row r="2167" spans="1:40" x14ac:dyDescent="0.25">
      <c r="A2167" t="str">
        <f>"20190312151310012"</f>
        <v>20190312151310012</v>
      </c>
      <c r="B2167" t="str">
        <f>"1552374790002523"</f>
        <v>1552374790002523</v>
      </c>
      <c r="C2167" t="s">
        <v>40</v>
      </c>
      <c r="D2167">
        <v>4.4737830000000001</v>
      </c>
      <c r="E2167">
        <v>0.39754129999999999</v>
      </c>
      <c r="F2167" t="s">
        <v>53</v>
      </c>
      <c r="G2167">
        <v>-485.47340000000003</v>
      </c>
      <c r="H2167" s="1">
        <v>6.5301640000000002E-7</v>
      </c>
      <c r="I2167">
        <v>272.58870000000002</v>
      </c>
      <c r="J2167">
        <v>-480.57850000000002</v>
      </c>
      <c r="K2167">
        <v>1.1534789999999999</v>
      </c>
      <c r="L2167">
        <v>278.62860000000001</v>
      </c>
      <c r="M2167">
        <v>-0.94825879999999996</v>
      </c>
      <c r="N2167">
        <v>0</v>
      </c>
      <c r="O2167">
        <v>-0.31662780000000001</v>
      </c>
      <c r="P2167">
        <v>-0.8194013</v>
      </c>
      <c r="Q2167">
        <v>4.3242219999999998E-2</v>
      </c>
      <c r="R2167">
        <v>-0.57158679999999995</v>
      </c>
      <c r="S2167">
        <v>-2.024902</v>
      </c>
      <c r="T2167">
        <v>-0.45055699999999999</v>
      </c>
      <c r="U2167">
        <v>-2.397491</v>
      </c>
      <c r="V2167">
        <v>-0.28536879999999998</v>
      </c>
      <c r="W2167">
        <v>5.2679289999999997E-2</v>
      </c>
      <c r="X2167">
        <v>0.95696899999999996</v>
      </c>
      <c r="Y2167">
        <v>-0.51829329999999996</v>
      </c>
      <c r="Z2167">
        <v>7.3893959999999899E-3</v>
      </c>
      <c r="AA2167">
        <v>0.85517099999999902</v>
      </c>
      <c r="AB2167">
        <v>32</v>
      </c>
      <c r="AC2167">
        <v>-4.8948999999999998</v>
      </c>
      <c r="AD2167">
        <v>-1.1534783469836001</v>
      </c>
      <c r="AE2167">
        <v>-6.0398999999999798</v>
      </c>
      <c r="AF2167">
        <v>-4.0886740784567097</v>
      </c>
      <c r="AG2167">
        <v>-1.1534783469836001</v>
      </c>
      <c r="AH2167">
        <v>6.4146329534276099</v>
      </c>
      <c r="AI2167">
        <v>98.622416878914393</v>
      </c>
      <c r="AJ2167">
        <v>122.513354161913</v>
      </c>
      <c r="AK2167">
        <v>7.6938471484689099</v>
      </c>
      <c r="AL2167">
        <v>86.980301441970298</v>
      </c>
      <c r="AM2167">
        <v>106.604615958842</v>
      </c>
      <c r="AN2167">
        <v>1.0000000632846699</v>
      </c>
    </row>
    <row r="2168" spans="1:40" x14ac:dyDescent="0.25">
      <c r="A2168" t="str">
        <f>"20190312151310034"</f>
        <v>20190312151310034</v>
      </c>
      <c r="B2168" t="str">
        <f>"1552374790022043"</f>
        <v>1552374790022043</v>
      </c>
      <c r="C2168" t="s">
        <v>40</v>
      </c>
      <c r="D2168">
        <v>4.3547330000000004</v>
      </c>
      <c r="E2168">
        <v>0.37855929999999999</v>
      </c>
      <c r="F2168" t="s">
        <v>53</v>
      </c>
      <c r="G2168">
        <v>-485.6694</v>
      </c>
      <c r="H2168" s="1">
        <v>6.3252389999999996E-7</v>
      </c>
      <c r="I2168">
        <v>272.48160000000001</v>
      </c>
      <c r="J2168">
        <v>-480.87049999999999</v>
      </c>
      <c r="K2168">
        <v>1.1524049999999999</v>
      </c>
      <c r="L2168">
        <v>278.5231</v>
      </c>
      <c r="M2168">
        <v>-0.94557239999999998</v>
      </c>
      <c r="N2168">
        <v>0</v>
      </c>
      <c r="O2168">
        <v>-0.3245074</v>
      </c>
      <c r="P2168">
        <v>-0.81250999999999995</v>
      </c>
      <c r="Q2168">
        <v>4.148433E-2</v>
      </c>
      <c r="R2168">
        <v>-0.58146969999999898</v>
      </c>
      <c r="S2168">
        <v>-2.0003359999999999</v>
      </c>
      <c r="T2168">
        <v>-0.45322449999999997</v>
      </c>
      <c r="U2168">
        <v>-2.4152830000000001</v>
      </c>
      <c r="V2168">
        <v>-0.28880339999999999</v>
      </c>
      <c r="W2168">
        <v>5.205692E-2</v>
      </c>
      <c r="X2168">
        <v>0.95597209999999999</v>
      </c>
      <c r="Y2168">
        <v>-0.51945540000000001</v>
      </c>
      <c r="Z2168">
        <v>8.5791010000000004E-3</v>
      </c>
      <c r="AA2168">
        <v>0.85445450000000001</v>
      </c>
      <c r="AB2168">
        <v>32</v>
      </c>
      <c r="AC2168">
        <v>-4.7988999999999997</v>
      </c>
      <c r="AD2168">
        <v>-1.1524043674761</v>
      </c>
      <c r="AE2168">
        <v>-6.0414999999999797</v>
      </c>
      <c r="AF2168">
        <v>-4.0659124471574897</v>
      </c>
      <c r="AG2168">
        <v>-1.1524043674761</v>
      </c>
      <c r="AH2168">
        <v>6.3582825676040002</v>
      </c>
      <c r="AI2168">
        <v>98.681668141414505</v>
      </c>
      <c r="AJ2168">
        <v>122.597576700766</v>
      </c>
      <c r="AK2168">
        <v>7.6346209508806098</v>
      </c>
      <c r="AL2168">
        <v>87.016009396799205</v>
      </c>
      <c r="AM2168">
        <v>106.809798940326</v>
      </c>
      <c r="AN2168">
        <v>0.99999999137492801</v>
      </c>
    </row>
    <row r="2169" spans="1:40" x14ac:dyDescent="0.25">
      <c r="A2169" t="str">
        <f>"20190312151310057"</f>
        <v>20190312151310057</v>
      </c>
      <c r="B2169" t="str">
        <f>"1552374790052109"</f>
        <v>1552374790052109</v>
      </c>
      <c r="C2169" t="s">
        <v>40</v>
      </c>
      <c r="D2169">
        <v>4.4611650000000003</v>
      </c>
      <c r="E2169">
        <v>0.37737280000000001</v>
      </c>
      <c r="F2169" t="s">
        <v>53</v>
      </c>
      <c r="G2169">
        <v>-485.14109999999999</v>
      </c>
      <c r="H2169" s="1">
        <v>6.6771009999999998E-7</v>
      </c>
      <c r="I2169">
        <v>272.71370000000002</v>
      </c>
      <c r="J2169">
        <v>-481.17669999999998</v>
      </c>
      <c r="K2169">
        <v>1.151383</v>
      </c>
      <c r="L2169">
        <v>278.41030000000001</v>
      </c>
      <c r="M2169">
        <v>-0.94234499999999999</v>
      </c>
      <c r="N2169">
        <v>0</v>
      </c>
      <c r="O2169">
        <v>-0.33366970000000001</v>
      </c>
      <c r="P2169">
        <v>-0.80477189999999998</v>
      </c>
      <c r="Q2169">
        <v>3.9912049999999998E-2</v>
      </c>
      <c r="R2169">
        <v>-0.59224129999999997</v>
      </c>
      <c r="S2169">
        <v>-1.8840330000000001</v>
      </c>
      <c r="T2169">
        <v>-0.5084109</v>
      </c>
      <c r="U2169">
        <v>-2.5629580000000001</v>
      </c>
      <c r="V2169">
        <v>-0.29210720000000001</v>
      </c>
      <c r="W2169">
        <v>5.207121E-2</v>
      </c>
      <c r="X2169">
        <v>0.95496700000000001</v>
      </c>
      <c r="Y2169">
        <v>-0.55909690000000001</v>
      </c>
      <c r="Z2169">
        <v>7.2508190000000004E-3</v>
      </c>
      <c r="AA2169">
        <v>0.82907059999999999</v>
      </c>
      <c r="AB2169">
        <v>32</v>
      </c>
      <c r="AC2169">
        <v>-3.9644000000000101</v>
      </c>
      <c r="AD2169">
        <v>-1.1513823322898999</v>
      </c>
      <c r="AE2169">
        <v>-5.6965999999999797</v>
      </c>
      <c r="AF2169">
        <v>-3.9382882955048002</v>
      </c>
      <c r="AG2169">
        <v>-1.1513823322898999</v>
      </c>
      <c r="AH2169">
        <v>5.4874234155784603</v>
      </c>
      <c r="AI2169">
        <v>99.673883086046104</v>
      </c>
      <c r="AJ2169">
        <v>125.666759066281</v>
      </c>
      <c r="AK2169">
        <v>6.8518327267570003</v>
      </c>
      <c r="AL2169">
        <v>87.015189551369204</v>
      </c>
      <c r="AM2169">
        <v>107.007927591525</v>
      </c>
      <c r="AN2169">
        <v>0.99999999914585203</v>
      </c>
    </row>
    <row r="2170" spans="1:40" x14ac:dyDescent="0.25">
      <c r="A2170" t="str">
        <f>"20190312151310080"</f>
        <v>20190312151310080</v>
      </c>
      <c r="B2170" t="str">
        <f>"1552374790072605"</f>
        <v>1552374790072605</v>
      </c>
      <c r="C2170" t="s">
        <v>40</v>
      </c>
      <c r="D2170">
        <v>4.4084019999999997</v>
      </c>
      <c r="E2170">
        <v>0.37817499999999998</v>
      </c>
      <c r="F2170" t="s">
        <v>53</v>
      </c>
      <c r="G2170">
        <v>-484.94499999999999</v>
      </c>
      <c r="H2170" s="1">
        <v>7.8876099999999995E-7</v>
      </c>
      <c r="I2170">
        <v>273.1053</v>
      </c>
      <c r="J2170">
        <v>-481.46940000000001</v>
      </c>
      <c r="K2170">
        <v>1.150701</v>
      </c>
      <c r="L2170">
        <v>278.29930000000002</v>
      </c>
      <c r="M2170">
        <v>-0.93907119999999999</v>
      </c>
      <c r="N2170">
        <v>0</v>
      </c>
      <c r="O2170">
        <v>-0.34267199999999998</v>
      </c>
      <c r="P2170">
        <v>-0.79727289999999995</v>
      </c>
      <c r="Q2170">
        <v>3.9020079999999999E-2</v>
      </c>
      <c r="R2170">
        <v>-0.60235669999999897</v>
      </c>
      <c r="S2170">
        <v>-1.8446659999999999</v>
      </c>
      <c r="T2170">
        <v>-0.56362769999999995</v>
      </c>
      <c r="U2170">
        <v>-2.596924</v>
      </c>
      <c r="V2170">
        <v>-0.29498239999999998</v>
      </c>
      <c r="W2170">
        <v>5.251405E-2</v>
      </c>
      <c r="X2170">
        <v>0.95405850000000003</v>
      </c>
      <c r="Y2170">
        <v>-0.56406840000000003</v>
      </c>
      <c r="Z2170">
        <v>9.2311240000000003E-3</v>
      </c>
      <c r="AA2170">
        <v>0.82567649999999904</v>
      </c>
      <c r="AB2170">
        <v>32</v>
      </c>
      <c r="AC2170">
        <v>-3.47559999999998</v>
      </c>
      <c r="AD2170">
        <v>-1.1507002112389999</v>
      </c>
      <c r="AE2170">
        <v>-5.1940000000000097</v>
      </c>
      <c r="AF2170">
        <v>-3.5669496216683498</v>
      </c>
      <c r="AG2170">
        <v>-1.1507002112389999</v>
      </c>
      <c r="AH2170">
        <v>4.8800521469930498</v>
      </c>
      <c r="AI2170">
        <v>100.778210021673</v>
      </c>
      <c r="AJ2170">
        <v>126.163983904121</v>
      </c>
      <c r="AK2170">
        <v>6.1532226952254003</v>
      </c>
      <c r="AL2170">
        <v>86.989781872641103</v>
      </c>
      <c r="AM2170">
        <v>107.180924279167</v>
      </c>
      <c r="AN2170">
        <v>0.99999998158970604</v>
      </c>
    </row>
    <row r="2171" spans="1:40" x14ac:dyDescent="0.25">
      <c r="A2171" t="str">
        <f>"20190312151310101"</f>
        <v>20190312151310101</v>
      </c>
      <c r="B2171" t="str">
        <f>"1552374790092125"</f>
        <v>1552374790092125</v>
      </c>
      <c r="C2171" t="s">
        <v>40</v>
      </c>
      <c r="D2171">
        <v>4.4251909999999999</v>
      </c>
      <c r="E2171">
        <v>0.37963859999999999</v>
      </c>
      <c r="F2171" t="s">
        <v>53</v>
      </c>
      <c r="G2171">
        <v>-484.9991</v>
      </c>
      <c r="H2171" s="1">
        <v>8.3227329999999998E-7</v>
      </c>
      <c r="I2171">
        <v>273.21480000000003</v>
      </c>
      <c r="J2171">
        <v>-481.74329999999998</v>
      </c>
      <c r="K2171">
        <v>1.1501490000000001</v>
      </c>
      <c r="L2171">
        <v>278.19170000000003</v>
      </c>
      <c r="M2171">
        <v>-0.9359944</v>
      </c>
      <c r="N2171">
        <v>0</v>
      </c>
      <c r="O2171">
        <v>-0.35089949999999998</v>
      </c>
      <c r="P2171">
        <v>-0.79011669999999901</v>
      </c>
      <c r="Q2171">
        <v>3.7319150000000002E-2</v>
      </c>
      <c r="R2171">
        <v>-0.61181969999999997</v>
      </c>
      <c r="S2171">
        <v>-1.815704</v>
      </c>
      <c r="T2171">
        <v>-0.59194139999999995</v>
      </c>
      <c r="U2171">
        <v>-2.6155400000000002</v>
      </c>
      <c r="V2171">
        <v>-0.29792419999999997</v>
      </c>
      <c r="W2171">
        <v>5.1736440000000002E-2</v>
      </c>
      <c r="X2171">
        <v>0.95318650000000005</v>
      </c>
      <c r="Y2171">
        <v>-0.56549209999999905</v>
      </c>
      <c r="Z2171">
        <v>1.122102E-2</v>
      </c>
      <c r="AA2171">
        <v>0.82467729999999995</v>
      </c>
      <c r="AB2171">
        <v>31</v>
      </c>
      <c r="AC2171">
        <v>-3.2558000000000198</v>
      </c>
      <c r="AD2171">
        <v>-1.1501481677267</v>
      </c>
      <c r="AE2171">
        <v>-4.9768999999999997</v>
      </c>
      <c r="AF2171">
        <v>-3.3904664706182599</v>
      </c>
      <c r="AG2171">
        <v>-1.1501481677267</v>
      </c>
      <c r="AH2171">
        <v>4.6227888165787796</v>
      </c>
      <c r="AI2171">
        <v>101.34433598440501</v>
      </c>
      <c r="AJ2171">
        <v>126.257233499298</v>
      </c>
      <c r="AK2171">
        <v>5.8470744940352501</v>
      </c>
      <c r="AL2171">
        <v>87.0343963392463</v>
      </c>
      <c r="AM2171">
        <v>107.356949901071</v>
      </c>
      <c r="AN2171">
        <v>0.99999999597588096</v>
      </c>
    </row>
    <row r="2172" spans="1:40" x14ac:dyDescent="0.25">
      <c r="A2172" t="str">
        <f>"20190312151310123"</f>
        <v>20190312151310123</v>
      </c>
      <c r="B2172" t="str">
        <f>"1552374790112621"</f>
        <v>1552374790112621</v>
      </c>
      <c r="C2172" t="s">
        <v>40</v>
      </c>
      <c r="D2172">
        <v>4.3604250000000002</v>
      </c>
      <c r="E2172">
        <v>0.38068229999999997</v>
      </c>
      <c r="F2172" t="s">
        <v>53</v>
      </c>
      <c r="G2172">
        <v>-485.17439999999999</v>
      </c>
      <c r="H2172" s="1">
        <v>8.2736760000000001E-7</v>
      </c>
      <c r="I2172">
        <v>273.15699999999998</v>
      </c>
      <c r="J2172">
        <v>-482.01859999999999</v>
      </c>
      <c r="K2172">
        <v>1.1493899999999999</v>
      </c>
      <c r="L2172">
        <v>278.07929999999999</v>
      </c>
      <c r="M2172">
        <v>-0.9328803</v>
      </c>
      <c r="N2172">
        <v>0</v>
      </c>
      <c r="O2172">
        <v>-0.35901870000000002</v>
      </c>
      <c r="P2172">
        <v>-0.78274270000000001</v>
      </c>
      <c r="Q2172">
        <v>3.6060620000000002E-2</v>
      </c>
      <c r="R2172">
        <v>-0.62130050000000003</v>
      </c>
      <c r="S2172">
        <v>-1.7906489999999999</v>
      </c>
      <c r="T2172">
        <v>-0.60024060000000001</v>
      </c>
      <c r="U2172">
        <v>-2.6275019999999998</v>
      </c>
      <c r="V2172">
        <v>-0.30108960000000001</v>
      </c>
      <c r="W2172">
        <v>5.1243570000000002E-2</v>
      </c>
      <c r="X2172">
        <v>0.95221809999999996</v>
      </c>
      <c r="Y2172">
        <v>-0.5654439</v>
      </c>
      <c r="Z2172">
        <v>1.3096760000000001E-2</v>
      </c>
      <c r="AA2172">
        <v>0.82468280000000005</v>
      </c>
      <c r="AB2172">
        <v>31</v>
      </c>
      <c r="AC2172">
        <v>-3.1558000000000002</v>
      </c>
      <c r="AD2172">
        <v>-1.1493891726323999</v>
      </c>
      <c r="AE2172">
        <v>-4.9222999999999999</v>
      </c>
      <c r="AF2172">
        <v>-3.33163800307761</v>
      </c>
      <c r="AG2172">
        <v>-1.1493891726323999</v>
      </c>
      <c r="AH2172">
        <v>4.5378112486331501</v>
      </c>
      <c r="AI2172">
        <v>101.539571256032</v>
      </c>
      <c r="AJ2172">
        <v>126.285926547752</v>
      </c>
      <c r="AK2172">
        <v>5.7456625537823802</v>
      </c>
      <c r="AL2172">
        <v>87.062673467495301</v>
      </c>
      <c r="AM2172">
        <v>107.546857900622</v>
      </c>
      <c r="AN2172">
        <v>1.00000008033105</v>
      </c>
    </row>
    <row r="2173" spans="1:40" x14ac:dyDescent="0.25">
      <c r="A2173" t="str">
        <f>"20190312151310146"</f>
        <v>20190312151310146</v>
      </c>
      <c r="B2173" t="str">
        <f>"1552374790141905"</f>
        <v>1552374790141905</v>
      </c>
      <c r="C2173" t="s">
        <v>40</v>
      </c>
      <c r="D2173">
        <v>4.4465909999999997</v>
      </c>
      <c r="E2173">
        <v>0.38350459999999997</v>
      </c>
      <c r="F2173" t="s">
        <v>53</v>
      </c>
      <c r="G2173">
        <v>-485.36009999999999</v>
      </c>
      <c r="H2173" s="1">
        <v>8.1558259999999996E-7</v>
      </c>
      <c r="I2173">
        <v>273.07709999999997</v>
      </c>
      <c r="J2173">
        <v>-482.29700000000003</v>
      </c>
      <c r="K2173">
        <v>1.148288</v>
      </c>
      <c r="L2173">
        <v>277.9615</v>
      </c>
      <c r="M2173">
        <v>-0.92964460000000004</v>
      </c>
      <c r="N2173">
        <v>0</v>
      </c>
      <c r="O2173">
        <v>-0.36725150000000001</v>
      </c>
      <c r="P2173">
        <v>-0.77533450000000004</v>
      </c>
      <c r="Q2173">
        <v>3.4594630000000001E-2</v>
      </c>
      <c r="R2173">
        <v>-0.63060269999999996</v>
      </c>
      <c r="S2173">
        <v>-1.76422099999999</v>
      </c>
      <c r="T2173">
        <v>-0.60685940000000005</v>
      </c>
      <c r="U2173">
        <v>-2.6411129999999998</v>
      </c>
      <c r="V2173">
        <v>-0.30395749999999999</v>
      </c>
      <c r="W2173">
        <v>5.0526380000000003E-2</v>
      </c>
      <c r="X2173">
        <v>0.95134479999999999</v>
      </c>
      <c r="Y2173">
        <v>-0.5658436</v>
      </c>
      <c r="Z2173">
        <v>1.4955009999999999E-2</v>
      </c>
      <c r="AA2173">
        <v>0.82437689999999997</v>
      </c>
      <c r="AB2173">
        <v>31</v>
      </c>
      <c r="AC2173">
        <v>-3.0631000000000199</v>
      </c>
      <c r="AD2173">
        <v>-1.1482871844173901</v>
      </c>
      <c r="AE2173">
        <v>-4.8844000000000198</v>
      </c>
      <c r="AF2173">
        <v>-3.2869572264196698</v>
      </c>
      <c r="AG2173">
        <v>-1.1482871844173901</v>
      </c>
      <c r="AH2173">
        <v>4.46628908705899</v>
      </c>
      <c r="AI2173">
        <v>101.698843226053</v>
      </c>
      <c r="AJ2173">
        <v>126.351141579436</v>
      </c>
      <c r="AK2173">
        <v>5.6630724412982696</v>
      </c>
      <c r="AL2173">
        <v>87.103818502955093</v>
      </c>
      <c r="AM2173">
        <v>107.71883601947999</v>
      </c>
      <c r="AN2173">
        <v>1.0000000026845901</v>
      </c>
    </row>
    <row r="2174" spans="1:40" x14ac:dyDescent="0.25">
      <c r="A2174" t="str">
        <f>"20190312151310180"</f>
        <v>20190312151310180</v>
      </c>
      <c r="B2174" t="str">
        <f>"1552374790172665"</f>
        <v>1552374790172665</v>
      </c>
      <c r="C2174" t="s">
        <v>40</v>
      </c>
      <c r="D2174">
        <v>5.2259729999999998</v>
      </c>
      <c r="E2174">
        <v>0.3854147</v>
      </c>
      <c r="F2174" t="s">
        <v>53</v>
      </c>
      <c r="G2174">
        <v>-485.68009999999998</v>
      </c>
      <c r="H2174" s="1">
        <v>7.6119600000000001E-7</v>
      </c>
      <c r="I2174">
        <v>272.84289999999999</v>
      </c>
      <c r="J2174">
        <v>-482.71530000000001</v>
      </c>
      <c r="K2174">
        <v>1.1459029999999999</v>
      </c>
      <c r="L2174">
        <v>277.77620000000002</v>
      </c>
      <c r="M2174">
        <v>-0.92442400000000002</v>
      </c>
      <c r="N2174">
        <v>0</v>
      </c>
      <c r="O2174">
        <v>-0.38013409999999997</v>
      </c>
      <c r="P2174">
        <v>-0.76434179999999996</v>
      </c>
      <c r="Q2174">
        <v>3.2484020000000002E-2</v>
      </c>
      <c r="R2174">
        <v>-0.64399309999999998</v>
      </c>
      <c r="S2174">
        <v>-1.746521</v>
      </c>
      <c r="T2174">
        <v>-0.59280180000000005</v>
      </c>
      <c r="U2174">
        <v>-2.6424560000000001</v>
      </c>
      <c r="V2174">
        <v>-0.30709229999999998</v>
      </c>
      <c r="W2174">
        <v>4.9648190000000002E-2</v>
      </c>
      <c r="X2174">
        <v>0.9503838</v>
      </c>
      <c r="Y2174">
        <v>-0.55883450000000001</v>
      </c>
      <c r="Z2174">
        <v>1.8139019999999999E-2</v>
      </c>
      <c r="AA2174">
        <v>0.82908079999999995</v>
      </c>
      <c r="AB2174">
        <v>30</v>
      </c>
      <c r="AC2174">
        <v>-2.9647999999999599</v>
      </c>
      <c r="AD2174">
        <v>-1.1459022388040001</v>
      </c>
      <c r="AE2174">
        <v>-4.9333000000000302</v>
      </c>
      <c r="AF2174">
        <v>-3.3040855272996899</v>
      </c>
      <c r="AG2174">
        <v>-1.1459022388040001</v>
      </c>
      <c r="AH2174">
        <v>4.4421395931725201</v>
      </c>
      <c r="AI2174">
        <v>101.694134317666</v>
      </c>
      <c r="AJ2174">
        <v>126.64205408713499</v>
      </c>
      <c r="AK2174">
        <v>5.6535543932855399</v>
      </c>
      <c r="AL2174">
        <v>87.154198298821896</v>
      </c>
      <c r="AM2174">
        <v>107.906916324935</v>
      </c>
      <c r="AN2174">
        <v>0.99999999539600304</v>
      </c>
    </row>
    <row r="2175" spans="1:40" x14ac:dyDescent="0.25">
      <c r="A2175" t="str">
        <f>"20190312151310201"</f>
        <v>20190312151310201</v>
      </c>
      <c r="B2175" t="str">
        <f>"1552374790192184"</f>
        <v>1552374790192184</v>
      </c>
      <c r="C2175" t="s">
        <v>40</v>
      </c>
      <c r="D2175">
        <v>4.3749379999999896</v>
      </c>
      <c r="E2175">
        <v>0.38647350000000003</v>
      </c>
      <c r="F2175" t="s">
        <v>53</v>
      </c>
      <c r="G2175">
        <v>-486.03829999999999</v>
      </c>
      <c r="H2175" s="1">
        <v>7.0893999999999899E-7</v>
      </c>
      <c r="I2175">
        <v>272.60520000000002</v>
      </c>
      <c r="J2175">
        <v>-482.97750000000002</v>
      </c>
      <c r="K2175">
        <v>1.1441049999999999</v>
      </c>
      <c r="L2175">
        <v>277.65589999999997</v>
      </c>
      <c r="M2175">
        <v>-0.92090830000000001</v>
      </c>
      <c r="N2175">
        <v>0</v>
      </c>
      <c r="O2175">
        <v>-0.388546</v>
      </c>
      <c r="P2175">
        <v>-0.7571542</v>
      </c>
      <c r="Q2175">
        <v>3.1586780000000002E-2</v>
      </c>
      <c r="R2175">
        <v>-0.65247250000000001</v>
      </c>
      <c r="S2175">
        <v>-1.7091369999999999</v>
      </c>
      <c r="T2175">
        <v>-0.58937790000000001</v>
      </c>
      <c r="U2175">
        <v>-2.6596069999999998</v>
      </c>
      <c r="V2175">
        <v>-0.30889460000000002</v>
      </c>
      <c r="W2175">
        <v>4.9526750000000001E-2</v>
      </c>
      <c r="X2175">
        <v>0.94980589999999998</v>
      </c>
      <c r="Y2175">
        <v>-0.56201769999999995</v>
      </c>
      <c r="Z2175">
        <v>1.9464720000000001E-2</v>
      </c>
      <c r="AA2175">
        <v>0.82689609999999902</v>
      </c>
      <c r="AB2175">
        <v>30</v>
      </c>
      <c r="AC2175">
        <v>-3.0607999999999702</v>
      </c>
      <c r="AD2175">
        <v>-1.1441042910599999</v>
      </c>
      <c r="AE2175">
        <v>-5.0506999999999396</v>
      </c>
      <c r="AF2175">
        <v>-3.33834459282467</v>
      </c>
      <c r="AG2175">
        <v>-1.1441042910599999</v>
      </c>
      <c r="AH2175">
        <v>4.6104128945270304</v>
      </c>
      <c r="AI2175">
        <v>101.364861665392</v>
      </c>
      <c r="AJ2175">
        <v>125.90784582515801</v>
      </c>
      <c r="AK2175">
        <v>5.8059819416946796</v>
      </c>
      <c r="AL2175">
        <v>87.161164910976197</v>
      </c>
      <c r="AM2175">
        <v>108.01549217969701</v>
      </c>
      <c r="AN2175">
        <v>1.0000000102747599</v>
      </c>
    </row>
    <row r="2176" spans="1:40" x14ac:dyDescent="0.25">
      <c r="A2176" t="str">
        <f>"20190312151310224"</f>
        <v>20190312151310224</v>
      </c>
      <c r="B2176" t="str">
        <f>"1552374790212681"</f>
        <v>1552374790212681</v>
      </c>
      <c r="C2176" t="s">
        <v>40</v>
      </c>
      <c r="D2176">
        <v>4.3275810000000003</v>
      </c>
      <c r="E2176">
        <v>0.38768950000000002</v>
      </c>
      <c r="F2176" t="s">
        <v>53</v>
      </c>
      <c r="G2176">
        <v>-486.25740000000002</v>
      </c>
      <c r="H2176" s="1">
        <v>6.761179E-7</v>
      </c>
      <c r="I2176">
        <v>272.45740000000001</v>
      </c>
      <c r="J2176">
        <v>-483.23750000000001</v>
      </c>
      <c r="K2176">
        <v>1.1421859999999999</v>
      </c>
      <c r="L2176">
        <v>277.53320000000002</v>
      </c>
      <c r="M2176">
        <v>-0.91723469999999996</v>
      </c>
      <c r="N2176">
        <v>0</v>
      </c>
      <c r="O2176">
        <v>-0.39712560000000002</v>
      </c>
      <c r="P2176">
        <v>-0.74950260000000002</v>
      </c>
      <c r="Q2176">
        <v>3.1394940000000003E-2</v>
      </c>
      <c r="R2176">
        <v>-0.66125679999999998</v>
      </c>
      <c r="S2176">
        <v>-1.6851499999999999</v>
      </c>
      <c r="T2176">
        <v>-0.58781159999999999</v>
      </c>
      <c r="U2176">
        <v>-2.6708370000000001</v>
      </c>
      <c r="V2176">
        <v>-0.31100179999999999</v>
      </c>
      <c r="W2176">
        <v>5.0010619999999999E-2</v>
      </c>
      <c r="X2176">
        <v>0.94909259999999995</v>
      </c>
      <c r="Y2176">
        <v>-0.56131200000000003</v>
      </c>
      <c r="Z2176">
        <v>2.1303829999999999E-2</v>
      </c>
      <c r="AA2176">
        <v>0.82732999999999901</v>
      </c>
      <c r="AB2176">
        <v>30</v>
      </c>
      <c r="AC2176">
        <v>-3.0198999999999998</v>
      </c>
      <c r="AD2176">
        <v>-1.1421853238821</v>
      </c>
      <c r="AE2176">
        <v>-5.0758000000000099</v>
      </c>
      <c r="AF2176">
        <v>-3.33343588486871</v>
      </c>
      <c r="AG2176">
        <v>-1.1421853238821</v>
      </c>
      <c r="AH2176">
        <v>4.6154055566213099</v>
      </c>
      <c r="AI2176">
        <v>101.344024983029</v>
      </c>
      <c r="AJ2176">
        <v>125.83836622444601</v>
      </c>
      <c r="AK2176">
        <v>5.8067504307239703</v>
      </c>
      <c r="AL2176">
        <v>87.133406695263005</v>
      </c>
      <c r="AM2176">
        <v>108.14310617137799</v>
      </c>
      <c r="AN2176">
        <v>0.99999997254539097</v>
      </c>
    </row>
    <row r="2177" spans="1:40" x14ac:dyDescent="0.25">
      <c r="A2177" t="str">
        <f>"20190312151310247"</f>
        <v>20190312151310247</v>
      </c>
      <c r="B2177" t="str">
        <f>"1552374790241960"</f>
        <v>1552374790241960</v>
      </c>
      <c r="C2177" t="s">
        <v>40</v>
      </c>
      <c r="D2177">
        <v>4.3102340000000003</v>
      </c>
      <c r="E2177">
        <v>0.40307159999999997</v>
      </c>
      <c r="F2177" t="s">
        <v>53</v>
      </c>
      <c r="G2177">
        <v>-486.46280000000002</v>
      </c>
      <c r="H2177" s="1">
        <v>6.4752840000000005E-7</v>
      </c>
      <c r="I2177">
        <v>272.32499999999999</v>
      </c>
      <c r="J2177">
        <v>-483.5052</v>
      </c>
      <c r="K2177">
        <v>1.1401380000000001</v>
      </c>
      <c r="L2177">
        <v>277.40350000000001</v>
      </c>
      <c r="M2177">
        <v>-0.91328560000000003</v>
      </c>
      <c r="N2177">
        <v>0</v>
      </c>
      <c r="O2177">
        <v>-0.40612209999999899</v>
      </c>
      <c r="P2177">
        <v>-0.74183100000000002</v>
      </c>
      <c r="Q2177">
        <v>3.0995459999999999E-2</v>
      </c>
      <c r="R2177">
        <v>-0.66987039999999998</v>
      </c>
      <c r="S2177">
        <v>-1.6609499999999999</v>
      </c>
      <c r="T2177">
        <v>-0.58821029999999996</v>
      </c>
      <c r="U2177">
        <v>-2.682159</v>
      </c>
      <c r="V2177">
        <v>-0.31251570000000001</v>
      </c>
      <c r="W2177">
        <v>5.0208250000000003E-2</v>
      </c>
      <c r="X2177">
        <v>0.94858480000000001</v>
      </c>
      <c r="Y2177">
        <v>-0.56026419999999999</v>
      </c>
      <c r="Z2177">
        <v>2.3341420000000002E-2</v>
      </c>
      <c r="AA2177">
        <v>0.82798499999999997</v>
      </c>
      <c r="AB2177">
        <v>30</v>
      </c>
      <c r="AC2177">
        <v>-2.95760000000001</v>
      </c>
      <c r="AD2177">
        <v>-1.1401373524716001</v>
      </c>
      <c r="AE2177">
        <v>-5.0785000000000204</v>
      </c>
      <c r="AF2177">
        <v>-3.3139248722119299</v>
      </c>
      <c r="AG2177">
        <v>-1.1401373524716001</v>
      </c>
      <c r="AH2177">
        <v>4.5930789872568596</v>
      </c>
      <c r="AI2177">
        <v>101.38170164450599</v>
      </c>
      <c r="AJ2177">
        <v>125.810599282845</v>
      </c>
      <c r="AK2177">
        <v>5.7774030346121998</v>
      </c>
      <c r="AL2177">
        <v>87.122069243678794</v>
      </c>
      <c r="AM2177">
        <v>108.23470912499999</v>
      </c>
      <c r="AN2177">
        <v>1.00000002695279</v>
      </c>
    </row>
    <row r="2178" spans="1:40" x14ac:dyDescent="0.25">
      <c r="A2178" t="str">
        <f>"20190312151310269"</f>
        <v>20190312151310269</v>
      </c>
      <c r="B2178" t="str">
        <f>"1552374790261988"</f>
        <v>1552374790261988</v>
      </c>
      <c r="C2178" t="s">
        <v>40</v>
      </c>
      <c r="D2178">
        <v>4.3074519999999996</v>
      </c>
      <c r="E2178">
        <v>0.40303460000000002</v>
      </c>
      <c r="F2178" t="s">
        <v>53</v>
      </c>
      <c r="G2178">
        <v>-487.02629999999999</v>
      </c>
      <c r="H2178" s="1">
        <v>5.9668459999999998E-7</v>
      </c>
      <c r="I2178">
        <v>272.03980000000001</v>
      </c>
      <c r="J2178">
        <v>-483.76589999999999</v>
      </c>
      <c r="K2178">
        <v>1.1380999999999999</v>
      </c>
      <c r="L2178">
        <v>277.27370000000002</v>
      </c>
      <c r="M2178">
        <v>-0.90927899999999995</v>
      </c>
      <c r="N2178">
        <v>0</v>
      </c>
      <c r="O2178">
        <v>-0.41502220000000001</v>
      </c>
      <c r="P2178">
        <v>-0.73449819999999999</v>
      </c>
      <c r="Q2178">
        <v>2.9587559999999999E-2</v>
      </c>
      <c r="R2178">
        <v>-0.6779655</v>
      </c>
      <c r="S2178">
        <v>-1.7121280000000001</v>
      </c>
      <c r="T2178">
        <v>-0.55439139999999998</v>
      </c>
      <c r="U2178">
        <v>-2.6080930000000002</v>
      </c>
      <c r="V2178">
        <v>-0.31348490000000001</v>
      </c>
      <c r="W2178">
        <v>4.9280049999999999E-2</v>
      </c>
      <c r="X2178">
        <v>0.94831359999999998</v>
      </c>
      <c r="Y2178">
        <v>-0.53071759999999901</v>
      </c>
      <c r="Z2178">
        <v>2.711829E-2</v>
      </c>
      <c r="AA2178">
        <v>0.84711479999999995</v>
      </c>
      <c r="AB2178">
        <v>29</v>
      </c>
      <c r="AC2178">
        <v>-3.2604000000000002</v>
      </c>
      <c r="AD2178">
        <v>-1.1380994033153999</v>
      </c>
      <c r="AE2178">
        <v>-5.2339000000000002</v>
      </c>
      <c r="AF2178">
        <v>-3.2953328574727898</v>
      </c>
      <c r="AG2178">
        <v>-1.1380994033153999</v>
      </c>
      <c r="AH2178">
        <v>4.9699859864910403</v>
      </c>
      <c r="AI2178">
        <v>100.805141192259</v>
      </c>
      <c r="AJ2178">
        <v>123.54623720695101</v>
      </c>
      <c r="AK2178">
        <v>6.0708524606750203</v>
      </c>
      <c r="AL2178">
        <v>87.175317017308103</v>
      </c>
      <c r="AM2178">
        <v>108.29238385065</v>
      </c>
      <c r="AN2178">
        <v>0.99999999490048597</v>
      </c>
    </row>
    <row r="2179" spans="1:40" x14ac:dyDescent="0.25">
      <c r="A2179" t="str">
        <f>"20190312151310292"</f>
        <v>20190312151310292</v>
      </c>
      <c r="B2179" t="str">
        <f>"1552374790282489"</f>
        <v>1552374790282489</v>
      </c>
      <c r="C2179" t="s">
        <v>40</v>
      </c>
      <c r="D2179">
        <v>4.2877879999999999</v>
      </c>
      <c r="E2179">
        <v>0.4036245</v>
      </c>
      <c r="F2179" t="s">
        <v>53</v>
      </c>
      <c r="G2179">
        <v>-487.255</v>
      </c>
      <c r="H2179" s="1">
        <v>5.4313199999999997E-7</v>
      </c>
      <c r="I2179">
        <v>271.83089999999999</v>
      </c>
      <c r="J2179">
        <v>-484.0197</v>
      </c>
      <c r="K2179">
        <v>1.136099</v>
      </c>
      <c r="L2179">
        <v>277.14420000000001</v>
      </c>
      <c r="M2179">
        <v>-0.90522999999999998</v>
      </c>
      <c r="N2179">
        <v>0</v>
      </c>
      <c r="O2179">
        <v>-0.42379610000000001</v>
      </c>
      <c r="P2179">
        <v>-0.72724200000000006</v>
      </c>
      <c r="Q2179">
        <v>2.8227740000000001E-2</v>
      </c>
      <c r="R2179">
        <v>-0.68580069999999904</v>
      </c>
      <c r="S2179">
        <v>-1.6830750000000001</v>
      </c>
      <c r="T2179">
        <v>-0.54900260000000001</v>
      </c>
      <c r="U2179">
        <v>-2.6255190000000002</v>
      </c>
      <c r="V2179">
        <v>-0.3143204</v>
      </c>
      <c r="W2179">
        <v>4.8285130000000002E-2</v>
      </c>
      <c r="X2179">
        <v>0.94808820000000005</v>
      </c>
      <c r="Y2179">
        <v>-0.53184549999999997</v>
      </c>
      <c r="Z2179">
        <v>2.8488309999999999E-2</v>
      </c>
      <c r="AA2179">
        <v>0.84636209999999901</v>
      </c>
      <c r="AB2179">
        <v>29</v>
      </c>
      <c r="AC2179">
        <v>-3.2352999999999899</v>
      </c>
      <c r="AD2179">
        <v>-1.1360984568679999</v>
      </c>
      <c r="AE2179">
        <v>-5.3133000000000203</v>
      </c>
      <c r="AF2179">
        <v>-3.32925321905635</v>
      </c>
      <c r="AG2179">
        <v>-1.1360984568679999</v>
      </c>
      <c r="AH2179">
        <v>5.0156348501318204</v>
      </c>
      <c r="AI2179">
        <v>100.68718719100799</v>
      </c>
      <c r="AJ2179">
        <v>123.57521420678</v>
      </c>
      <c r="AK2179">
        <v>6.1262745327116903</v>
      </c>
      <c r="AL2179">
        <v>87.232389704209098</v>
      </c>
      <c r="AM2179">
        <v>108.34194667051101</v>
      </c>
      <c r="AN2179">
        <v>1.0000000013072501</v>
      </c>
    </row>
    <row r="2180" spans="1:40" x14ac:dyDescent="0.25">
      <c r="A2180" t="str">
        <f>"20190312151310313"</f>
        <v>20190312151310313</v>
      </c>
      <c r="B2180" t="str">
        <f>"1552374790302004"</f>
        <v>1552374790302004</v>
      </c>
      <c r="C2180" t="s">
        <v>40</v>
      </c>
      <c r="D2180">
        <v>4.2942749999999998</v>
      </c>
      <c r="E2180">
        <v>0.40470600000000001</v>
      </c>
      <c r="F2180" t="s">
        <v>53</v>
      </c>
      <c r="G2180">
        <v>-487.51139999999998</v>
      </c>
      <c r="H2180" s="1">
        <v>4.7957429999999998E-7</v>
      </c>
      <c r="I2180">
        <v>271.58679999999998</v>
      </c>
      <c r="J2180">
        <v>-484.26339999999999</v>
      </c>
      <c r="K2180">
        <v>1.134166</v>
      </c>
      <c r="L2180">
        <v>277.01679999999999</v>
      </c>
      <c r="M2180">
        <v>-0.90116149999999995</v>
      </c>
      <c r="N2180">
        <v>0</v>
      </c>
      <c r="O2180">
        <v>-0.4323997</v>
      </c>
      <c r="P2180">
        <v>-0.72036690000000003</v>
      </c>
      <c r="Q2180">
        <v>2.6814439999999998E-2</v>
      </c>
      <c r="R2180">
        <v>-0.69307510000000006</v>
      </c>
      <c r="S2180">
        <v>-1.657837</v>
      </c>
      <c r="T2180">
        <v>-0.53941609999999995</v>
      </c>
      <c r="U2180">
        <v>-2.6386409999999998</v>
      </c>
      <c r="V2180">
        <v>-0.314664</v>
      </c>
      <c r="W2180">
        <v>4.7165829999999999E-2</v>
      </c>
      <c r="X2180">
        <v>0.9480305</v>
      </c>
      <c r="Y2180">
        <v>-0.53163950000000004</v>
      </c>
      <c r="Z2180">
        <v>2.971727E-2</v>
      </c>
      <c r="AA2180">
        <v>0.84644929999999996</v>
      </c>
      <c r="AB2180">
        <v>29</v>
      </c>
      <c r="AC2180">
        <v>-3.24799999999999</v>
      </c>
      <c r="AD2180">
        <v>-1.1341655204257</v>
      </c>
      <c r="AE2180">
        <v>-5.43</v>
      </c>
      <c r="AF2180">
        <v>-3.3818499034479799</v>
      </c>
      <c r="AG2180">
        <v>-1.1341655204257</v>
      </c>
      <c r="AH2180">
        <v>5.1130927882954698</v>
      </c>
      <c r="AI2180">
        <v>100.481753930376</v>
      </c>
      <c r="AJ2180">
        <v>123.48104255745</v>
      </c>
      <c r="AK2180">
        <v>6.2343370183919999</v>
      </c>
      <c r="AL2180">
        <v>87.296593865535101</v>
      </c>
      <c r="AM2180">
        <v>108.36169564473499</v>
      </c>
      <c r="AN2180">
        <v>0.99999993867291703</v>
      </c>
    </row>
    <row r="2181" spans="1:40" x14ac:dyDescent="0.25">
      <c r="A2181" t="str">
        <f>"20190312151310336"</f>
        <v>20190312151310336</v>
      </c>
      <c r="B2181" t="str">
        <f>"1552374790332260"</f>
        <v>1552374790332260</v>
      </c>
      <c r="C2181" t="s">
        <v>40</v>
      </c>
      <c r="D2181">
        <v>4.3220210000000003</v>
      </c>
      <c r="E2181">
        <v>0.40645540000000002</v>
      </c>
      <c r="F2181" t="s">
        <v>53</v>
      </c>
      <c r="G2181">
        <v>-487.70249999999999</v>
      </c>
      <c r="H2181" s="1">
        <v>4.4953129999999998E-7</v>
      </c>
      <c r="I2181">
        <v>271.45389999999998</v>
      </c>
      <c r="J2181">
        <v>-484.51249999999999</v>
      </c>
      <c r="K2181">
        <v>1.1322410000000001</v>
      </c>
      <c r="L2181">
        <v>276.88369999999998</v>
      </c>
      <c r="M2181">
        <v>-0.89677410000000002</v>
      </c>
      <c r="N2181">
        <v>0</v>
      </c>
      <c r="O2181">
        <v>-0.44144889999999998</v>
      </c>
      <c r="P2181">
        <v>-0.71365889999999998</v>
      </c>
      <c r="Q2181">
        <v>2.599139E-2</v>
      </c>
      <c r="R2181">
        <v>-0.7000111</v>
      </c>
      <c r="S2181">
        <v>-1.6369929999999999</v>
      </c>
      <c r="T2181">
        <v>-0.53985729999999998</v>
      </c>
      <c r="U2181">
        <v>-2.6479490000000001</v>
      </c>
      <c r="V2181">
        <v>-0.31416909999999998</v>
      </c>
      <c r="W2181">
        <v>4.6613309999999998E-2</v>
      </c>
      <c r="X2181">
        <v>0.94822200000000001</v>
      </c>
      <c r="Y2181">
        <v>-0.52939049999999999</v>
      </c>
      <c r="Z2181">
        <v>3.1763079999999999E-2</v>
      </c>
      <c r="AA2181">
        <v>0.84778349999999902</v>
      </c>
      <c r="AB2181">
        <v>29</v>
      </c>
      <c r="AC2181">
        <v>-3.1899999999999902</v>
      </c>
      <c r="AD2181">
        <v>-1.1322405504686901</v>
      </c>
      <c r="AE2181">
        <v>-5.4298000000000002</v>
      </c>
      <c r="AF2181">
        <v>-3.35424781305358</v>
      </c>
      <c r="AG2181">
        <v>-1.1322405504686901</v>
      </c>
      <c r="AH2181">
        <v>5.0953980446385501</v>
      </c>
      <c r="AI2181">
        <v>100.51462503463</v>
      </c>
      <c r="AJ2181">
        <v>123.356496396162</v>
      </c>
      <c r="AK2181">
        <v>6.2045167651322197</v>
      </c>
      <c r="AL2181">
        <v>87.328285934971206</v>
      </c>
      <c r="AM2181">
        <v>108.331294208608</v>
      </c>
      <c r="AN2181">
        <v>0.99999999267398298</v>
      </c>
    </row>
    <row r="2182" spans="1:40" x14ac:dyDescent="0.25">
      <c r="A2182" t="str">
        <f>"20190312151310358"</f>
        <v>20190312151310358</v>
      </c>
      <c r="B2182" t="str">
        <f>"1552374790351780"</f>
        <v>1552374790351780</v>
      </c>
      <c r="C2182" t="s">
        <v>40</v>
      </c>
      <c r="D2182">
        <v>4.2989139999999999</v>
      </c>
      <c r="E2182">
        <v>0.40786489999999997</v>
      </c>
      <c r="F2182" t="s">
        <v>53</v>
      </c>
      <c r="G2182">
        <v>-487.92989999999998</v>
      </c>
      <c r="H2182" s="1">
        <v>4.1314590000000002E-7</v>
      </c>
      <c r="I2182">
        <v>271.29390000000001</v>
      </c>
      <c r="J2182">
        <v>-484.75940000000003</v>
      </c>
      <c r="K2182">
        <v>1.1304529999999999</v>
      </c>
      <c r="L2182">
        <v>276.74860000000001</v>
      </c>
      <c r="M2182">
        <v>-0.89219930000000003</v>
      </c>
      <c r="N2182">
        <v>0</v>
      </c>
      <c r="O2182">
        <v>-0.4506464</v>
      </c>
      <c r="P2182">
        <v>-0.70655649999999903</v>
      </c>
      <c r="Q2182">
        <v>2.606609E-2</v>
      </c>
      <c r="R2182">
        <v>-0.70717649999999999</v>
      </c>
      <c r="S2182">
        <v>-1.621613</v>
      </c>
      <c r="T2182">
        <v>-0.53725579999999995</v>
      </c>
      <c r="U2182">
        <v>-2.6524049999999999</v>
      </c>
      <c r="V2182">
        <v>-0.3139151</v>
      </c>
      <c r="W2182">
        <v>4.6848140000000003E-2</v>
      </c>
      <c r="X2182">
        <v>0.94829459999999999</v>
      </c>
      <c r="Y2182">
        <v>-0.52504289999999998</v>
      </c>
      <c r="Z2182">
        <v>3.3875929999999999E-2</v>
      </c>
      <c r="AA2182">
        <v>0.85040130000000003</v>
      </c>
      <c r="AB2182">
        <v>29</v>
      </c>
      <c r="AC2182">
        <v>-3.1704999999999401</v>
      </c>
      <c r="AD2182">
        <v>-1.1304525868541</v>
      </c>
      <c r="AE2182">
        <v>-5.4546999999999999</v>
      </c>
      <c r="AF2182">
        <v>-3.33246496990883</v>
      </c>
      <c r="AG2182">
        <v>-1.1304525868541</v>
      </c>
      <c r="AH2182">
        <v>5.1247114685512898</v>
      </c>
      <c r="AI2182">
        <v>100.47722477832799</v>
      </c>
      <c r="AJ2182">
        <v>123.03488939953201</v>
      </c>
      <c r="AK2182">
        <v>6.2165837453295598</v>
      </c>
      <c r="AL2182">
        <v>87.314816587901305</v>
      </c>
      <c r="AM2182">
        <v>108.316154710684</v>
      </c>
      <c r="AN2182">
        <v>1.0000000433093099</v>
      </c>
    </row>
    <row r="2183" spans="1:40" x14ac:dyDescent="0.25">
      <c r="A2183" t="str">
        <f>"20190312151310381"</f>
        <v>20190312151310381</v>
      </c>
      <c r="B2183" t="str">
        <f>"1552374790372279"</f>
        <v>1552374790372279</v>
      </c>
      <c r="C2183" t="s">
        <v>40</v>
      </c>
      <c r="D2183">
        <v>4.3132429999999999</v>
      </c>
      <c r="E2183">
        <v>0.40889809999999999</v>
      </c>
      <c r="F2183" t="s">
        <v>53</v>
      </c>
      <c r="G2183">
        <v>-488.08679999999998</v>
      </c>
      <c r="H2183" s="1">
        <v>4.0471630000000001E-7</v>
      </c>
      <c r="I2183">
        <v>271.23070000000001</v>
      </c>
      <c r="J2183">
        <v>-485.00349999999997</v>
      </c>
      <c r="K2183">
        <v>1.1288670000000001</v>
      </c>
      <c r="L2183">
        <v>276.61169999999998</v>
      </c>
      <c r="M2183">
        <v>-0.88749129999999998</v>
      </c>
      <c r="N2183">
        <v>0</v>
      </c>
      <c r="O2183">
        <v>-0.45987270000000002</v>
      </c>
      <c r="P2183">
        <v>-0.69871179999999999</v>
      </c>
      <c r="Q2183">
        <v>2.5266179999999999E-2</v>
      </c>
      <c r="R2183">
        <v>-0.71495710000000001</v>
      </c>
      <c r="S2183">
        <v>-1.603912</v>
      </c>
      <c r="T2183">
        <v>-0.54490950000000005</v>
      </c>
      <c r="U2183">
        <v>-2.6597900000000001</v>
      </c>
      <c r="V2183">
        <v>-0.31449460000000001</v>
      </c>
      <c r="W2183">
        <v>4.6051250000000002E-2</v>
      </c>
      <c r="X2183">
        <v>0.94814160000000003</v>
      </c>
      <c r="Y2183">
        <v>-0.52152089999999995</v>
      </c>
      <c r="Z2183">
        <v>3.6559590000000003E-2</v>
      </c>
      <c r="AA2183">
        <v>0.85245490000000002</v>
      </c>
      <c r="AB2183">
        <v>28</v>
      </c>
      <c r="AC2183">
        <v>-3.0832999999999999</v>
      </c>
      <c r="AD2183">
        <v>-1.1288665952837</v>
      </c>
      <c r="AE2183">
        <v>-5.38099999999997</v>
      </c>
      <c r="AF2183">
        <v>-3.2514098912872398</v>
      </c>
      <c r="AG2183">
        <v>-1.1288665952837</v>
      </c>
      <c r="AH2183">
        <v>5.0460724813985598</v>
      </c>
      <c r="AI2183">
        <v>100.650333122831</v>
      </c>
      <c r="AJ2183">
        <v>122.795491798904</v>
      </c>
      <c r="AK2183">
        <v>6.1080973763223296</v>
      </c>
      <c r="AL2183">
        <v>87.3605243275113</v>
      </c>
      <c r="AM2183">
        <v>108.350466740722</v>
      </c>
      <c r="AN2183">
        <v>1.0000000323531399</v>
      </c>
    </row>
    <row r="2184" spans="1:40" x14ac:dyDescent="0.25">
      <c r="A2184" t="str">
        <f>"20190312151310403"</f>
        <v>20190312151310403</v>
      </c>
      <c r="B2184" t="str">
        <f>"1552374790391799"</f>
        <v>1552374790391799</v>
      </c>
      <c r="C2184" t="s">
        <v>40</v>
      </c>
      <c r="D2184">
        <v>4.3211120000000003</v>
      </c>
      <c r="E2184">
        <v>0.4098444</v>
      </c>
      <c r="F2184" t="s">
        <v>53</v>
      </c>
      <c r="G2184">
        <v>-488.31400000000002</v>
      </c>
      <c r="H2184" s="1">
        <v>3.5102199999999998E-7</v>
      </c>
      <c r="I2184">
        <v>271.02170000000001</v>
      </c>
      <c r="J2184">
        <v>-485.24099999999999</v>
      </c>
      <c r="K2184">
        <v>1.127516</v>
      </c>
      <c r="L2184">
        <v>276.4753</v>
      </c>
      <c r="M2184">
        <v>-0.88275439999999905</v>
      </c>
      <c r="N2184">
        <v>0</v>
      </c>
      <c r="O2184">
        <v>-0.46892479999999997</v>
      </c>
      <c r="P2184">
        <v>-0.69081910000000002</v>
      </c>
      <c r="Q2184">
        <v>2.452586E-2</v>
      </c>
      <c r="R2184">
        <v>-0.72261169999999997</v>
      </c>
      <c r="S2184">
        <v>-1.5811770000000001</v>
      </c>
      <c r="T2184">
        <v>-0.53916660000000005</v>
      </c>
      <c r="U2184">
        <v>-2.669861</v>
      </c>
      <c r="V2184">
        <v>-0.31517460000000003</v>
      </c>
      <c r="W2184">
        <v>4.5193839999999999E-2</v>
      </c>
      <c r="X2184">
        <v>0.94795700000000005</v>
      </c>
      <c r="Y2184">
        <v>-0.51972399999999996</v>
      </c>
      <c r="Z2184">
        <v>3.8173760000000001E-2</v>
      </c>
      <c r="AA2184">
        <v>0.85348089999999999</v>
      </c>
      <c r="AB2184">
        <v>28</v>
      </c>
      <c r="AC2184">
        <v>-3.0730000000000302</v>
      </c>
      <c r="AD2184">
        <v>-1.1275156489780001</v>
      </c>
      <c r="AE2184">
        <v>-5.45359999999999</v>
      </c>
      <c r="AF2184">
        <v>-3.2685816746829501</v>
      </c>
      <c r="AG2184">
        <v>-1.1275156489780001</v>
      </c>
      <c r="AH2184">
        <v>5.1066098024373296</v>
      </c>
      <c r="AI2184">
        <v>100.534602636177</v>
      </c>
      <c r="AJ2184">
        <v>122.622040014368</v>
      </c>
      <c r="AK2184">
        <v>6.16703992018153</v>
      </c>
      <c r="AL2184">
        <v>87.409701404863597</v>
      </c>
      <c r="AM2184">
        <v>108.39081775272</v>
      </c>
      <c r="AN2184">
        <v>0.99999999275405205</v>
      </c>
    </row>
    <row r="2185" spans="1:40" x14ac:dyDescent="0.25">
      <c r="A2185" t="str">
        <f>"20190312151310424"</f>
        <v>20190312151310424</v>
      </c>
      <c r="B2185" t="str">
        <f>"1552374790422053"</f>
        <v>1552374790422053</v>
      </c>
      <c r="C2185" t="s">
        <v>40</v>
      </c>
      <c r="D2185">
        <v>4.2863509999999998</v>
      </c>
      <c r="E2185">
        <v>0.41152490000000003</v>
      </c>
      <c r="F2185" t="s">
        <v>41</v>
      </c>
      <c r="G2185">
        <v>-485.6832</v>
      </c>
      <c r="H2185">
        <v>0.97504789999999997</v>
      </c>
      <c r="I2185">
        <v>275.71339999999998</v>
      </c>
      <c r="J2185">
        <v>-485.46769999999998</v>
      </c>
      <c r="K2185">
        <v>1.1263780000000001</v>
      </c>
      <c r="L2185">
        <v>276.34179999999998</v>
      </c>
      <c r="M2185">
        <v>-0.87807739999999901</v>
      </c>
      <c r="N2185">
        <v>0</v>
      </c>
      <c r="O2185">
        <v>-0.47764810000000002</v>
      </c>
      <c r="P2185">
        <v>-0.68287240000000005</v>
      </c>
      <c r="Q2185">
        <v>2.426035E-2</v>
      </c>
      <c r="R2185">
        <v>-0.73013499999999998</v>
      </c>
      <c r="S2185">
        <v>-1.5562129999999901</v>
      </c>
      <c r="T2185">
        <v>-0.53659109999999999</v>
      </c>
      <c r="U2185">
        <v>-2.6819760000000001</v>
      </c>
      <c r="V2185">
        <v>-0.31612679999999999</v>
      </c>
      <c r="W2185">
        <v>4.4726050000000003E-2</v>
      </c>
      <c r="X2185">
        <v>0.94766209999999995</v>
      </c>
      <c r="Y2185">
        <v>-0.51898909999999998</v>
      </c>
      <c r="Z2185">
        <v>3.9808709999999997E-2</v>
      </c>
      <c r="AA2185">
        <v>0.85385339999999998</v>
      </c>
      <c r="AB2185">
        <v>28</v>
      </c>
      <c r="AC2185">
        <v>-0.21550000000002001</v>
      </c>
      <c r="AD2185">
        <v>-0.1513301</v>
      </c>
      <c r="AE2185">
        <v>-0.62839999999999896</v>
      </c>
      <c r="AF2185">
        <v>-0.42688613372588502</v>
      </c>
      <c r="AG2185">
        <v>-0.1513301</v>
      </c>
      <c r="AH2185">
        <v>0.46543191384328397</v>
      </c>
      <c r="AI2185">
        <v>103.474928287759</v>
      </c>
      <c r="AJ2185">
        <v>132.526511585528</v>
      </c>
      <c r="AK2185">
        <v>0.64943008611956599</v>
      </c>
      <c r="AL2185">
        <v>87.436530984061093</v>
      </c>
      <c r="AM2185">
        <v>108.447976389967</v>
      </c>
      <c r="AN2185">
        <v>1.0000000145016199</v>
      </c>
    </row>
    <row r="2186" spans="1:40" x14ac:dyDescent="0.25">
      <c r="A2186" t="str">
        <f>"20190312151310448"</f>
        <v>20190312151310448</v>
      </c>
      <c r="B2186" t="str">
        <f>"1552374790442548"</f>
        <v>1552374790442548</v>
      </c>
      <c r="C2186" t="s">
        <v>40</v>
      </c>
      <c r="D2186">
        <v>4.3743869999999996</v>
      </c>
      <c r="E2186">
        <v>0.41245680000000001</v>
      </c>
      <c r="F2186" t="s">
        <v>41</v>
      </c>
      <c r="G2186">
        <v>-485.89339999999999</v>
      </c>
      <c r="H2186">
        <v>0.97855190000000003</v>
      </c>
      <c r="I2186">
        <v>275.59660000000002</v>
      </c>
      <c r="J2186">
        <v>-485.70589999999999</v>
      </c>
      <c r="K2186">
        <v>1.1253340000000001</v>
      </c>
      <c r="L2186">
        <v>276.19779999999997</v>
      </c>
      <c r="M2186">
        <v>-0.87295249999999902</v>
      </c>
      <c r="N2186">
        <v>0</v>
      </c>
      <c r="O2186">
        <v>-0.48697439999999997</v>
      </c>
      <c r="P2186">
        <v>-0.67508590000000002</v>
      </c>
      <c r="Q2186">
        <v>2.4267420000000001E-2</v>
      </c>
      <c r="R2186">
        <v>-0.737340199999999</v>
      </c>
      <c r="S2186">
        <v>-1.5356749999999999</v>
      </c>
      <c r="T2186">
        <v>-0.53338980000000003</v>
      </c>
      <c r="U2186">
        <v>-2.690277</v>
      </c>
      <c r="V2186">
        <v>-0.31606580000000001</v>
      </c>
      <c r="W2186">
        <v>4.4505019999999999E-2</v>
      </c>
      <c r="X2186">
        <v>0.94769289999999995</v>
      </c>
      <c r="Y2186">
        <v>-0.51607570000000003</v>
      </c>
      <c r="Z2186">
        <v>4.1719819999999998E-2</v>
      </c>
      <c r="AA2186">
        <v>0.85552629999999996</v>
      </c>
      <c r="AB2186">
        <v>28</v>
      </c>
      <c r="AC2186">
        <v>-0.1875</v>
      </c>
      <c r="AD2186">
        <v>-0.1467821</v>
      </c>
      <c r="AE2186">
        <v>-0.601199999999948</v>
      </c>
      <c r="AF2186">
        <v>-0.41134108016382498</v>
      </c>
      <c r="AG2186">
        <v>-0.1467821</v>
      </c>
      <c r="AH2186">
        <v>0.43310435378517398</v>
      </c>
      <c r="AI2186">
        <v>103.806183774716</v>
      </c>
      <c r="AJ2186">
        <v>133.52368464634699</v>
      </c>
      <c r="AK2186">
        <v>0.61508198671268599</v>
      </c>
      <c r="AL2186">
        <v>87.449207808545296</v>
      </c>
      <c r="AM2186">
        <v>108.444098679954</v>
      </c>
      <c r="AN2186">
        <v>1.00000005972262</v>
      </c>
    </row>
    <row r="2187" spans="1:40" x14ac:dyDescent="0.25">
      <c r="A2187" t="str">
        <f>"20190312151310471"</f>
        <v>20190312151310471</v>
      </c>
      <c r="B2187" t="str">
        <f>"1552374790462578"</f>
        <v>1552374790462578</v>
      </c>
      <c r="C2187" t="s">
        <v>40</v>
      </c>
      <c r="D2187">
        <v>4.361586</v>
      </c>
      <c r="E2187">
        <v>0.41345900000000002</v>
      </c>
      <c r="F2187" t="s">
        <v>53</v>
      </c>
      <c r="G2187">
        <v>-488.93279999999999</v>
      </c>
      <c r="H2187" s="1">
        <v>1.9715480000000001E-7</v>
      </c>
      <c r="I2187">
        <v>270.43119999999999</v>
      </c>
      <c r="J2187">
        <v>-485.93329999999997</v>
      </c>
      <c r="K2187">
        <v>1.124452</v>
      </c>
      <c r="L2187">
        <v>276.05680000000001</v>
      </c>
      <c r="M2187">
        <v>-0.86781919999999901</v>
      </c>
      <c r="N2187">
        <v>0</v>
      </c>
      <c r="O2187">
        <v>-0.49608530000000001</v>
      </c>
      <c r="P2187">
        <v>-0.66754279999999999</v>
      </c>
      <c r="Q2187">
        <v>2.5175019999999999E-2</v>
      </c>
      <c r="R2187">
        <v>-0.74414579999999997</v>
      </c>
      <c r="S2187">
        <v>-1.511871</v>
      </c>
      <c r="T2187">
        <v>-0.52725119999999903</v>
      </c>
      <c r="U2187">
        <v>-2.701813</v>
      </c>
      <c r="V2187">
        <v>-0.31577100000000002</v>
      </c>
      <c r="W2187">
        <v>4.5182880000000002E-2</v>
      </c>
      <c r="X2187">
        <v>0.94775900000000002</v>
      </c>
      <c r="Y2187">
        <v>-0.51453729999999998</v>
      </c>
      <c r="Z2187">
        <v>4.318673E-2</v>
      </c>
      <c r="AA2187">
        <v>0.85637980000000002</v>
      </c>
      <c r="AB2187">
        <v>27</v>
      </c>
      <c r="AC2187">
        <v>-2.99950000000001</v>
      </c>
      <c r="AD2187">
        <v>-1.1244518028452</v>
      </c>
      <c r="AE2187">
        <v>-5.6256000000000101</v>
      </c>
      <c r="AF2187">
        <v>-3.2928982808143599</v>
      </c>
      <c r="AG2187">
        <v>-1.1244518028452</v>
      </c>
      <c r="AH2187">
        <v>5.23313504645715</v>
      </c>
      <c r="AI2187">
        <v>100.30734838860501</v>
      </c>
      <c r="AJ2187">
        <v>122.179747603794</v>
      </c>
      <c r="AK2187">
        <v>6.2843673793923003</v>
      </c>
      <c r="AL2187">
        <v>87.410329948695505</v>
      </c>
      <c r="AM2187">
        <v>108.42685970319501</v>
      </c>
      <c r="AN2187">
        <v>0.99999996958354598</v>
      </c>
    </row>
    <row r="2188" spans="1:40" x14ac:dyDescent="0.25">
      <c r="A2188" t="str">
        <f>"20190312151310492"</f>
        <v>20190312151310492</v>
      </c>
      <c r="B2188" t="str">
        <f>"1552374790482097"</f>
        <v>1552374790482097</v>
      </c>
      <c r="C2188" t="s">
        <v>40</v>
      </c>
      <c r="D2188">
        <v>4.3618389999999998</v>
      </c>
      <c r="E2188">
        <v>0.4144099</v>
      </c>
      <c r="F2188" t="s">
        <v>53</v>
      </c>
      <c r="G2188">
        <v>-489.17450000000002</v>
      </c>
      <c r="H2188" s="1">
        <v>1.2171619999999999E-7</v>
      </c>
      <c r="I2188">
        <v>270.15719999999999</v>
      </c>
      <c r="J2188">
        <v>-486.15289999999999</v>
      </c>
      <c r="K2188">
        <v>1.123704</v>
      </c>
      <c r="L2188">
        <v>275.91719999999998</v>
      </c>
      <c r="M2188">
        <v>-0.86263069999999897</v>
      </c>
      <c r="N2188">
        <v>0</v>
      </c>
      <c r="O2188">
        <v>-0.50507279999999999</v>
      </c>
      <c r="P2188">
        <v>-0.6601842</v>
      </c>
      <c r="Q2188">
        <v>2.5606250000000001E-2</v>
      </c>
      <c r="R2188">
        <v>-0.75066759999999999</v>
      </c>
      <c r="S2188">
        <v>-1.4900819999999999</v>
      </c>
      <c r="T2188">
        <v>-0.51694390000000001</v>
      </c>
      <c r="U2188">
        <v>-2.7122190000000002</v>
      </c>
      <c r="V2188">
        <v>-0.31523810000000002</v>
      </c>
      <c r="W2188">
        <v>4.5402480000000002E-2</v>
      </c>
      <c r="X2188">
        <v>0.94792589999999999</v>
      </c>
      <c r="Y2188">
        <v>-0.51244069999999997</v>
      </c>
      <c r="Z2188">
        <v>4.4287170000000001E-2</v>
      </c>
      <c r="AA2188">
        <v>0.8575798</v>
      </c>
      <c r="AB2188">
        <v>27</v>
      </c>
      <c r="AC2188">
        <v>-3.02160000000003</v>
      </c>
      <c r="AD2188">
        <v>-1.1237038782838</v>
      </c>
      <c r="AE2188">
        <v>-5.75999999999999</v>
      </c>
      <c r="AF2188">
        <v>-3.3441416720333001</v>
      </c>
      <c r="AG2188">
        <v>-1.1237038782838</v>
      </c>
      <c r="AH2188">
        <v>5.35795532627988</v>
      </c>
      <c r="AI2188">
        <v>100.088265212952</v>
      </c>
      <c r="AJ2188">
        <v>121.970147385793</v>
      </c>
      <c r="AK2188">
        <v>6.4151133432785601</v>
      </c>
      <c r="AL2188">
        <v>87.397734892453997</v>
      </c>
      <c r="AM2188">
        <v>108.394836543246</v>
      </c>
      <c r="AN2188">
        <v>0.99999997838628496</v>
      </c>
    </row>
    <row r="2189" spans="1:40" x14ac:dyDescent="0.25">
      <c r="A2189" t="str">
        <f>"20190312151310514"</f>
        <v>20190312151310514</v>
      </c>
      <c r="B2189" t="str">
        <f>"1552374790512354"</f>
        <v>1552374790512354</v>
      </c>
      <c r="C2189" t="s">
        <v>40</v>
      </c>
      <c r="D2189">
        <v>4.3965610000000002</v>
      </c>
      <c r="E2189">
        <v>0.41581970000000001</v>
      </c>
      <c r="F2189" t="s">
        <v>53</v>
      </c>
      <c r="G2189">
        <v>-489.39699999999999</v>
      </c>
      <c r="H2189" s="1">
        <v>5.2914170000000001E-8</v>
      </c>
      <c r="I2189">
        <v>269.9067</v>
      </c>
      <c r="J2189">
        <v>-486.37060000000002</v>
      </c>
      <c r="K2189">
        <v>1.123054</v>
      </c>
      <c r="L2189">
        <v>275.77550000000002</v>
      </c>
      <c r="M2189">
        <v>-0.85723439999999995</v>
      </c>
      <c r="N2189">
        <v>0</v>
      </c>
      <c r="O2189">
        <v>-0.51419570000000003</v>
      </c>
      <c r="P2189">
        <v>-0.65270640000000002</v>
      </c>
      <c r="Q2189">
        <v>2.6973469999999999E-2</v>
      </c>
      <c r="R2189">
        <v>-0.757131</v>
      </c>
      <c r="S2189">
        <v>-1.469055</v>
      </c>
      <c r="T2189">
        <v>-0.50885820000000004</v>
      </c>
      <c r="U2189">
        <v>-2.7218019999999998</v>
      </c>
      <c r="V2189">
        <v>-0.31455820000000001</v>
      </c>
      <c r="W2189">
        <v>4.6559969999999999E-2</v>
      </c>
      <c r="X2189">
        <v>0.94809560000000004</v>
      </c>
      <c r="Y2189">
        <v>-0.50985239999999998</v>
      </c>
      <c r="Z2189">
        <v>4.5582459999999998E-2</v>
      </c>
      <c r="AA2189">
        <v>0.85905339999999997</v>
      </c>
      <c r="AB2189">
        <v>27</v>
      </c>
      <c r="AC2189">
        <v>-3.0263999999999598</v>
      </c>
      <c r="AD2189">
        <v>-1.1230539470858301</v>
      </c>
      <c r="AE2189">
        <v>-5.8688000000000198</v>
      </c>
      <c r="AF2189">
        <v>-3.3783585235887599</v>
      </c>
      <c r="AG2189">
        <v>-1.1230539470858301</v>
      </c>
      <c r="AH2189">
        <v>5.4563248175621597</v>
      </c>
      <c r="AI2189">
        <v>99.926114653061006</v>
      </c>
      <c r="AJ2189">
        <v>121.76429012609201</v>
      </c>
      <c r="AK2189">
        <v>6.5150623171781401</v>
      </c>
      <c r="AL2189">
        <v>87.331345378154097</v>
      </c>
      <c r="AM2189">
        <v>108.354759869099</v>
      </c>
      <c r="AN2189">
        <v>0.99999997936649998</v>
      </c>
    </row>
    <row r="2190" spans="1:40" x14ac:dyDescent="0.25">
      <c r="A2190" t="str">
        <f>"20190312151310537"</f>
        <v>20190312151310537</v>
      </c>
      <c r="B2190" t="str">
        <f>"1552374790531876"</f>
        <v>1552374790531876</v>
      </c>
      <c r="C2190" t="s">
        <v>40</v>
      </c>
      <c r="D2190">
        <v>4.3980499999999996</v>
      </c>
      <c r="E2190">
        <v>0.41676289999999999</v>
      </c>
      <c r="F2190" t="s">
        <v>53</v>
      </c>
      <c r="G2190">
        <v>-489.64049999999997</v>
      </c>
      <c r="H2190" s="1">
        <v>1.1679590000000001E-9</v>
      </c>
      <c r="I2190">
        <v>269.62299999999999</v>
      </c>
      <c r="J2190">
        <v>-486.59230000000002</v>
      </c>
      <c r="K2190">
        <v>1.1224879999999999</v>
      </c>
      <c r="L2190">
        <v>275.62740000000002</v>
      </c>
      <c r="M2190">
        <v>-0.85145599999999999</v>
      </c>
      <c r="N2190">
        <v>0</v>
      </c>
      <c r="O2190">
        <v>-0.52372429999999903</v>
      </c>
      <c r="P2190">
        <v>-0.64417460000000004</v>
      </c>
      <c r="Q2190">
        <v>2.7058579999999999E-2</v>
      </c>
      <c r="R2190">
        <v>-0.76439990000000002</v>
      </c>
      <c r="S2190">
        <v>-1.450653</v>
      </c>
      <c r="T2190">
        <v>-0.4982297</v>
      </c>
      <c r="U2190">
        <v>-2.729492</v>
      </c>
      <c r="V2190">
        <v>-0.31460749999999998</v>
      </c>
      <c r="W2190">
        <v>4.6403260000000002E-2</v>
      </c>
      <c r="X2190">
        <v>0.94808689999999995</v>
      </c>
      <c r="Y2190">
        <v>-0.50591489999999995</v>
      </c>
      <c r="Z2190">
        <v>4.6779649999999999E-2</v>
      </c>
      <c r="AA2190">
        <v>0.86131399999999902</v>
      </c>
      <c r="AB2190">
        <v>27</v>
      </c>
      <c r="AC2190">
        <v>-3.0481999999999498</v>
      </c>
      <c r="AD2190">
        <v>-1.12248799883204</v>
      </c>
      <c r="AE2190">
        <v>-6.0044000000000297</v>
      </c>
      <c r="AF2190">
        <v>-3.4222656112324801</v>
      </c>
      <c r="AG2190">
        <v>-1.12248799883204</v>
      </c>
      <c r="AH2190">
        <v>5.5869270883970596</v>
      </c>
      <c r="AI2190">
        <v>99.721868433961006</v>
      </c>
      <c r="AJ2190">
        <v>121.489503519423</v>
      </c>
      <c r="AK2190">
        <v>6.6472276561293704</v>
      </c>
      <c r="AL2190">
        <v>87.3403338524611</v>
      </c>
      <c r="AM2190">
        <v>108.35760087477701</v>
      </c>
      <c r="AN2190">
        <v>0.99999995577324197</v>
      </c>
    </row>
    <row r="2191" spans="1:40" x14ac:dyDescent="0.25">
      <c r="A2191" t="str">
        <f>"20190312151310560"</f>
        <v>20190312151310560</v>
      </c>
      <c r="B2191" t="str">
        <f>"1552374790552370"</f>
        <v>1552374790552370</v>
      </c>
      <c r="C2191" t="s">
        <v>40</v>
      </c>
      <c r="D2191">
        <v>4.4109179999999997</v>
      </c>
      <c r="E2191">
        <v>0.4322704</v>
      </c>
      <c r="F2191" t="s">
        <v>41</v>
      </c>
      <c r="G2191">
        <v>-487.02820000000003</v>
      </c>
      <c r="H2191">
        <v>0.97170279999999998</v>
      </c>
      <c r="I2191">
        <v>274.7903</v>
      </c>
      <c r="J2191">
        <v>-486.80169999999998</v>
      </c>
      <c r="K2191">
        <v>1.1220509999999999</v>
      </c>
      <c r="L2191">
        <v>275.48390000000001</v>
      </c>
      <c r="M2191">
        <v>-0.845719</v>
      </c>
      <c r="N2191">
        <v>0</v>
      </c>
      <c r="O2191">
        <v>-0.53295239999999999</v>
      </c>
      <c r="P2191">
        <v>-0.6354166</v>
      </c>
      <c r="Q2191">
        <v>2.6548289999999999E-2</v>
      </c>
      <c r="R2191">
        <v>-0.77171330000000005</v>
      </c>
      <c r="S2191">
        <v>-1.4263920000000001</v>
      </c>
      <c r="T2191">
        <v>-0.49349219999999999</v>
      </c>
      <c r="U2191">
        <v>-2.740021</v>
      </c>
      <c r="V2191">
        <v>-0.3151099</v>
      </c>
      <c r="W2191">
        <v>4.5646369999999999E-2</v>
      </c>
      <c r="X2191">
        <v>0.94795689999999999</v>
      </c>
      <c r="Y2191">
        <v>-0.50399159999999998</v>
      </c>
      <c r="Z2191">
        <v>4.8236910000000001E-2</v>
      </c>
      <c r="AA2191">
        <v>0.86236049999999997</v>
      </c>
      <c r="AB2191">
        <v>27</v>
      </c>
      <c r="AC2191">
        <v>-0.226500000000044</v>
      </c>
      <c r="AD2191">
        <v>-0.15034819999999999</v>
      </c>
      <c r="AE2191">
        <v>-0.69360000000000299</v>
      </c>
      <c r="AF2191">
        <v>-0.44706309086045098</v>
      </c>
      <c r="AG2191">
        <v>-0.15034819999999999</v>
      </c>
      <c r="AH2191">
        <v>0.53854729235584398</v>
      </c>
      <c r="AI2191">
        <v>102.123221037394</v>
      </c>
      <c r="AJ2191">
        <v>129.697009228875</v>
      </c>
      <c r="AK2191">
        <v>0.71589327036699502</v>
      </c>
      <c r="AL2191">
        <v>87.383746741140101</v>
      </c>
      <c r="AM2191">
        <v>108.38729818612001</v>
      </c>
      <c r="AN2191">
        <v>1.0000000622148899</v>
      </c>
    </row>
    <row r="2192" spans="1:40" x14ac:dyDescent="0.25">
      <c r="A2192" t="str">
        <f>"20190312151310582"</f>
        <v>20190312151310582</v>
      </c>
      <c r="B2192" t="str">
        <f>"1552374790571889"</f>
        <v>1552374790571889</v>
      </c>
      <c r="C2192" t="s">
        <v>40</v>
      </c>
      <c r="D2192">
        <v>4.4579719999999998</v>
      </c>
      <c r="E2192">
        <v>0.43229509999999999</v>
      </c>
      <c r="F2192" t="s">
        <v>41</v>
      </c>
      <c r="G2192">
        <v>-487.2439</v>
      </c>
      <c r="H2192">
        <v>0.99322029999999994</v>
      </c>
      <c r="I2192">
        <v>274.68970000000002</v>
      </c>
      <c r="J2192">
        <v>-487.01799999999997</v>
      </c>
      <c r="K2192">
        <v>1.1216969999999999</v>
      </c>
      <c r="L2192">
        <v>275.33179999999999</v>
      </c>
      <c r="M2192">
        <v>-0.83947769999999999</v>
      </c>
      <c r="N2192">
        <v>0</v>
      </c>
      <c r="O2192">
        <v>-0.54274219999999995</v>
      </c>
      <c r="P2192">
        <v>-0.62545229999999996</v>
      </c>
      <c r="Q2192">
        <v>2.659046E-2</v>
      </c>
      <c r="R2192">
        <v>-0.77980959999999999</v>
      </c>
      <c r="S2192">
        <v>-1.48996</v>
      </c>
      <c r="T2192">
        <v>-0.43405569999999999</v>
      </c>
      <c r="U2192">
        <v>-2.6755680000000002</v>
      </c>
      <c r="V2192">
        <v>-0.31627290000000002</v>
      </c>
      <c r="W2192">
        <v>4.5411050000000001E-2</v>
      </c>
      <c r="X2192">
        <v>0.9475808</v>
      </c>
      <c r="Y2192">
        <v>-0.46967750000000003</v>
      </c>
      <c r="Z2192">
        <v>4.6959220000000003E-2</v>
      </c>
      <c r="AA2192">
        <v>0.88158829999999999</v>
      </c>
      <c r="AB2192">
        <v>26</v>
      </c>
      <c r="AC2192">
        <v>-0.22589999999996699</v>
      </c>
      <c r="AD2192">
        <v>-0.128476699999999</v>
      </c>
      <c r="AE2192">
        <v>-0.64209999999997003</v>
      </c>
      <c r="AF2192">
        <v>-0.40224053748937799</v>
      </c>
      <c r="AG2192">
        <v>-0.128476699999999</v>
      </c>
      <c r="AH2192">
        <v>0.51980493598989197</v>
      </c>
      <c r="AI2192">
        <v>101.060275697037</v>
      </c>
      <c r="AJ2192">
        <v>127.733771389374</v>
      </c>
      <c r="AK2192">
        <v>0.66970208594724401</v>
      </c>
      <c r="AL2192">
        <v>87.397243525365695</v>
      </c>
      <c r="AM2192">
        <v>108.457400895828</v>
      </c>
      <c r="AN2192">
        <v>1.0000000416325701</v>
      </c>
    </row>
    <row r="2193" spans="1:40" x14ac:dyDescent="0.25">
      <c r="A2193" t="str">
        <f>"20190312151310604"</f>
        <v>20190312151310604</v>
      </c>
      <c r="B2193" t="str">
        <f>"1552374790592389"</f>
        <v>1552374790592389</v>
      </c>
      <c r="C2193" t="s">
        <v>40</v>
      </c>
      <c r="D2193">
        <v>4.4086080000000001</v>
      </c>
      <c r="E2193">
        <v>0.43326350000000002</v>
      </c>
      <c r="F2193" t="s">
        <v>41</v>
      </c>
      <c r="G2193">
        <v>-487.44119999999998</v>
      </c>
      <c r="H2193">
        <v>0.99571880000000001</v>
      </c>
      <c r="I2193">
        <v>274.5489</v>
      </c>
      <c r="J2193">
        <v>-487.21269999999998</v>
      </c>
      <c r="K2193">
        <v>1.1214379999999999</v>
      </c>
      <c r="L2193">
        <v>275.19119999999998</v>
      </c>
      <c r="M2193">
        <v>-0.83355859999999904</v>
      </c>
      <c r="N2193">
        <v>0</v>
      </c>
      <c r="O2193">
        <v>-0.5517995</v>
      </c>
      <c r="P2193">
        <v>-0.61546279999999998</v>
      </c>
      <c r="Q2193">
        <v>2.6646179999999998E-2</v>
      </c>
      <c r="R2193">
        <v>-0.78771559999999996</v>
      </c>
      <c r="S2193">
        <v>-1.4556579999999999</v>
      </c>
      <c r="T2193">
        <v>-0.4334114</v>
      </c>
      <c r="U2193">
        <v>-2.694366</v>
      </c>
      <c r="V2193">
        <v>-0.31809409999999999</v>
      </c>
      <c r="W2193">
        <v>4.5196210000000001E-2</v>
      </c>
      <c r="X2193">
        <v>0.94698130000000003</v>
      </c>
      <c r="Y2193">
        <v>-0.47142780000000001</v>
      </c>
      <c r="Z2193">
        <v>4.8245589999999998E-2</v>
      </c>
      <c r="AA2193">
        <v>0.88058400000000003</v>
      </c>
      <c r="AB2193">
        <v>26</v>
      </c>
      <c r="AC2193">
        <v>-0.22849999999999601</v>
      </c>
      <c r="AD2193">
        <v>-0.125719199999999</v>
      </c>
      <c r="AE2193">
        <v>-0.642299999999977</v>
      </c>
      <c r="AF2193">
        <v>-0.39598489345675902</v>
      </c>
      <c r="AG2193">
        <v>-0.125719199999999</v>
      </c>
      <c r="AH2193">
        <v>0.52715200089495495</v>
      </c>
      <c r="AI2193">
        <v>100.79568760447999</v>
      </c>
      <c r="AJ2193">
        <v>126.913063249318</v>
      </c>
      <c r="AK2193">
        <v>0.67119191379377996</v>
      </c>
      <c r="AL2193">
        <v>87.409565670544396</v>
      </c>
      <c r="AM2193">
        <v>108.567367534387</v>
      </c>
      <c r="AN2193">
        <v>1.0000000682014201</v>
      </c>
    </row>
    <row r="2194" spans="1:40" x14ac:dyDescent="0.25">
      <c r="A2194" t="str">
        <f>"20190312151310626"</f>
        <v>20190312151310626</v>
      </c>
      <c r="B2194" t="str">
        <f>"1552374790622642"</f>
        <v>1552374790622642</v>
      </c>
      <c r="C2194" t="s">
        <v>40</v>
      </c>
      <c r="D2194">
        <v>4.4667719999999997</v>
      </c>
      <c r="E2194">
        <v>0.43471130000000002</v>
      </c>
      <c r="F2194" t="s">
        <v>41</v>
      </c>
      <c r="G2194">
        <v>-487.6309</v>
      </c>
      <c r="H2194">
        <v>0.99658880000000005</v>
      </c>
      <c r="I2194">
        <v>274.39769999999999</v>
      </c>
      <c r="J2194">
        <v>-487.41910000000001</v>
      </c>
      <c r="K2194">
        <v>1.121224</v>
      </c>
      <c r="L2194">
        <v>275.03820000000002</v>
      </c>
      <c r="M2194">
        <v>-0.82694719999999999</v>
      </c>
      <c r="N2194">
        <v>0</v>
      </c>
      <c r="O2194">
        <v>-0.56166799999999995</v>
      </c>
      <c r="P2194">
        <v>-0.60438159999999996</v>
      </c>
      <c r="Q2194">
        <v>2.6811109999999999E-2</v>
      </c>
      <c r="R2194">
        <v>-0.7962439</v>
      </c>
      <c r="S2194">
        <v>-1.4274290000000001</v>
      </c>
      <c r="T2194">
        <v>-0.42613770000000001</v>
      </c>
      <c r="U2194">
        <v>-2.707611</v>
      </c>
      <c r="V2194">
        <v>-0.32009270000000001</v>
      </c>
      <c r="W2194">
        <v>4.5082379999999998E-2</v>
      </c>
      <c r="X2194">
        <v>0.94631299999999996</v>
      </c>
      <c r="Y2194">
        <v>-0.4699702</v>
      </c>
      <c r="Z2194">
        <v>4.9162360000000002E-2</v>
      </c>
      <c r="AA2194">
        <v>0.88131209999999904</v>
      </c>
      <c r="AB2194">
        <v>26</v>
      </c>
      <c r="AC2194">
        <v>-0.211799999999982</v>
      </c>
      <c r="AD2194">
        <v>-0.124635199999999</v>
      </c>
      <c r="AE2194">
        <v>-0.64050000000003104</v>
      </c>
      <c r="AF2194">
        <v>-0.39727927340859598</v>
      </c>
      <c r="AG2194">
        <v>-0.124635199999999</v>
      </c>
      <c r="AH2194">
        <v>0.51741863043595304</v>
      </c>
      <c r="AI2194">
        <v>100.816431692002</v>
      </c>
      <c r="AJ2194">
        <v>127.517419771573</v>
      </c>
      <c r="AK2194">
        <v>0.66414365410001397</v>
      </c>
      <c r="AL2194">
        <v>87.416094193601197</v>
      </c>
      <c r="AM2194">
        <v>108.688234055319</v>
      </c>
      <c r="AN2194">
        <v>1.00000002577437</v>
      </c>
    </row>
    <row r="2195" spans="1:40" x14ac:dyDescent="0.25">
      <c r="A2195" t="str">
        <f>"20190312151310649"</f>
        <v>20190312151310649</v>
      </c>
      <c r="B2195" t="str">
        <f>"1552374790642162"</f>
        <v>1552374790642162</v>
      </c>
      <c r="C2195" t="s">
        <v>40</v>
      </c>
      <c r="D2195">
        <v>4.4742639999999998</v>
      </c>
      <c r="E2195">
        <v>0.43554569999999998</v>
      </c>
      <c r="F2195" t="s">
        <v>41</v>
      </c>
      <c r="G2195">
        <v>-487.9</v>
      </c>
      <c r="H2195">
        <v>0.97340159999999998</v>
      </c>
      <c r="I2195">
        <v>274.10239999999999</v>
      </c>
      <c r="J2195">
        <v>-487.62180000000001</v>
      </c>
      <c r="K2195">
        <v>1.1210580000000001</v>
      </c>
      <c r="L2195">
        <v>274.88339999999999</v>
      </c>
      <c r="M2195">
        <v>-0.8200752</v>
      </c>
      <c r="N2195">
        <v>0</v>
      </c>
      <c r="O2195">
        <v>-0.57166249999999996</v>
      </c>
      <c r="P2195">
        <v>-0.59302149999999998</v>
      </c>
      <c r="Q2195">
        <v>2.7227020000000001E-2</v>
      </c>
      <c r="R2195">
        <v>-0.80472670000000002</v>
      </c>
      <c r="S2195">
        <v>-1.3984989999999999</v>
      </c>
      <c r="T2195">
        <v>-0.42982209999999899</v>
      </c>
      <c r="U2195">
        <v>-2.7206730000000001</v>
      </c>
      <c r="V2195">
        <v>-0.3220404</v>
      </c>
      <c r="W2195">
        <v>4.5242900000000003E-2</v>
      </c>
      <c r="X2195">
        <v>0.94564429999999999</v>
      </c>
      <c r="Y2195">
        <v>-0.46846369999999998</v>
      </c>
      <c r="Z2195">
        <v>5.1345420000000003E-2</v>
      </c>
      <c r="AA2195">
        <v>0.88198949999999998</v>
      </c>
      <c r="AB2195">
        <v>26</v>
      </c>
      <c r="AC2195">
        <v>-0.27819999999996903</v>
      </c>
      <c r="AD2195">
        <v>-0.14765639999999899</v>
      </c>
      <c r="AE2195">
        <v>-0.78100000000000502</v>
      </c>
      <c r="AF2195">
        <v>-0.46679916167784702</v>
      </c>
      <c r="AG2195">
        <v>-0.14765639999999899</v>
      </c>
      <c r="AH2195">
        <v>0.65409497311281495</v>
      </c>
      <c r="AI2195">
        <v>100.411847852154</v>
      </c>
      <c r="AJ2195">
        <v>125.513800751099</v>
      </c>
      <c r="AK2195">
        <v>0.81703372247145001</v>
      </c>
      <c r="AL2195">
        <v>87.406887720084697</v>
      </c>
      <c r="AM2195">
        <v>108.806342755084</v>
      </c>
      <c r="AN2195">
        <v>1.00000004067752</v>
      </c>
    </row>
    <row r="2196" spans="1:40" x14ac:dyDescent="0.25">
      <c r="A2196" t="str">
        <f>"20190312151310672"</f>
        <v>20190312151310672</v>
      </c>
      <c r="B2196" t="str">
        <f>"1552374790662658"</f>
        <v>1552374790662658</v>
      </c>
      <c r="C2196" t="s">
        <v>40</v>
      </c>
      <c r="D2196">
        <v>4.4703350000000004</v>
      </c>
      <c r="E2196">
        <v>0.43636659999999999</v>
      </c>
      <c r="F2196" t="s">
        <v>41</v>
      </c>
      <c r="G2196">
        <v>-488.07639999999998</v>
      </c>
      <c r="H2196">
        <v>0.97706599999999999</v>
      </c>
      <c r="I2196">
        <v>273.9726</v>
      </c>
      <c r="J2196">
        <v>-487.82130000000001</v>
      </c>
      <c r="K2196">
        <v>1.120924</v>
      </c>
      <c r="L2196">
        <v>274.72669999999999</v>
      </c>
      <c r="M2196">
        <v>-0.81296380000000001</v>
      </c>
      <c r="N2196">
        <v>0</v>
      </c>
      <c r="O2196">
        <v>-0.58173779999999997</v>
      </c>
      <c r="P2196">
        <v>-0.58215839999999996</v>
      </c>
      <c r="Q2196">
        <v>2.7029460000000002E-2</v>
      </c>
      <c r="R2196">
        <v>-0.81262630000000002</v>
      </c>
      <c r="S2196">
        <v>-1.3652949999999999</v>
      </c>
      <c r="T2196">
        <v>-0.43251400000000001</v>
      </c>
      <c r="U2196">
        <v>-2.7365110000000001</v>
      </c>
      <c r="V2196">
        <v>-0.32307989999999998</v>
      </c>
      <c r="W2196">
        <v>4.484991E-2</v>
      </c>
      <c r="X2196">
        <v>0.94530829999999999</v>
      </c>
      <c r="Y2196">
        <v>-0.46823690000000001</v>
      </c>
      <c r="Z2196">
        <v>5.3353299999999999E-2</v>
      </c>
      <c r="AA2196">
        <v>0.88199069999999902</v>
      </c>
      <c r="AB2196">
        <v>25</v>
      </c>
      <c r="AC2196">
        <v>-0.25509999999997002</v>
      </c>
      <c r="AD2196">
        <v>-0.14385800000000001</v>
      </c>
      <c r="AE2196">
        <v>-0.754099999999994</v>
      </c>
      <c r="AF2196">
        <v>-0.45011206823285599</v>
      </c>
      <c r="AG2196">
        <v>-0.14385800000000001</v>
      </c>
      <c r="AH2196">
        <v>0.62585486537778301</v>
      </c>
      <c r="AI2196">
        <v>100.570338342065</v>
      </c>
      <c r="AJ2196">
        <v>125.723522364202</v>
      </c>
      <c r="AK2196">
        <v>0.78421317933958701</v>
      </c>
      <c r="AL2196">
        <v>87.429427057935797</v>
      </c>
      <c r="AM2196">
        <v>108.86899121131199</v>
      </c>
      <c r="AN2196">
        <v>0.99999995912995299</v>
      </c>
    </row>
    <row r="2197" spans="1:40" x14ac:dyDescent="0.25">
      <c r="A2197" t="str">
        <f>"20190312151310693"</f>
        <v>20190312151310693</v>
      </c>
      <c r="B2197" t="str">
        <f>"1552374790682178"</f>
        <v>1552374790682178</v>
      </c>
      <c r="C2197" t="s">
        <v>40</v>
      </c>
      <c r="D2197">
        <v>4.5156419999999997</v>
      </c>
      <c r="E2197">
        <v>0.43689299999999998</v>
      </c>
      <c r="F2197" t="s">
        <v>41</v>
      </c>
      <c r="G2197">
        <v>-488.25020000000001</v>
      </c>
      <c r="H2197">
        <v>0.98185489999999997</v>
      </c>
      <c r="I2197">
        <v>273.84190000000001</v>
      </c>
      <c r="J2197">
        <v>-488.00420000000003</v>
      </c>
      <c r="K2197">
        <v>1.1208009999999999</v>
      </c>
      <c r="L2197">
        <v>274.57929999999999</v>
      </c>
      <c r="M2197">
        <v>-0.80612620000000001</v>
      </c>
      <c r="N2197">
        <v>0</v>
      </c>
      <c r="O2197">
        <v>-0.59118159999999997</v>
      </c>
      <c r="P2197">
        <v>-0.57166019999999995</v>
      </c>
      <c r="Q2197">
        <v>2.7148640000000002E-2</v>
      </c>
      <c r="R2197">
        <v>-0.82004100000000002</v>
      </c>
      <c r="S2197">
        <v>-1.3335269999999999</v>
      </c>
      <c r="T2197">
        <v>-0.43237510000000001</v>
      </c>
      <c r="U2197">
        <v>-2.7507630000000001</v>
      </c>
      <c r="V2197">
        <v>-0.32421040000000001</v>
      </c>
      <c r="W2197">
        <v>4.480609E-2</v>
      </c>
      <c r="X2197">
        <v>0.94492330000000002</v>
      </c>
      <c r="Y2197">
        <v>-0.46802739999999998</v>
      </c>
      <c r="Z2197">
        <v>5.4933950000000002E-2</v>
      </c>
      <c r="AA2197">
        <v>0.88200489999999998</v>
      </c>
      <c r="AB2197">
        <v>25</v>
      </c>
      <c r="AC2197">
        <v>-0.24599999999998001</v>
      </c>
      <c r="AD2197">
        <v>-0.13894609999999899</v>
      </c>
      <c r="AE2197">
        <v>-0.73739999999997896</v>
      </c>
      <c r="AF2197">
        <v>-0.43525028207042998</v>
      </c>
      <c r="AG2197">
        <v>-0.13894609999999899</v>
      </c>
      <c r="AH2197">
        <v>0.61481261250043096</v>
      </c>
      <c r="AI2197">
        <v>100.450950984377</v>
      </c>
      <c r="AJ2197">
        <v>125.29619393807501</v>
      </c>
      <c r="AK2197">
        <v>0.76599175924888696</v>
      </c>
      <c r="AL2197">
        <v>87.431940406107501</v>
      </c>
      <c r="AM2197">
        <v>108.937485992726</v>
      </c>
      <c r="AN2197">
        <v>1.0000000060260601</v>
      </c>
    </row>
    <row r="2198" spans="1:40" x14ac:dyDescent="0.25">
      <c r="A2198" t="str">
        <f>"20190312151310716"</f>
        <v>20190312151310716</v>
      </c>
      <c r="B2198" t="str">
        <f>"1552374790712434"</f>
        <v>1552374790712434</v>
      </c>
      <c r="C2198" t="s">
        <v>40</v>
      </c>
      <c r="D2198">
        <v>4.566554</v>
      </c>
      <c r="E2198">
        <v>0.43853799999999998</v>
      </c>
      <c r="F2198" t="s">
        <v>41</v>
      </c>
      <c r="G2198">
        <v>-488.41559999999998</v>
      </c>
      <c r="H2198">
        <v>0.98517889999999997</v>
      </c>
      <c r="I2198">
        <v>273.70549999999997</v>
      </c>
      <c r="J2198">
        <v>-488.18799999999999</v>
      </c>
      <c r="K2198">
        <v>1.120692</v>
      </c>
      <c r="L2198">
        <v>274.4271</v>
      </c>
      <c r="M2198">
        <v>-0.79892339999999995</v>
      </c>
      <c r="N2198">
        <v>0</v>
      </c>
      <c r="O2198">
        <v>-0.60088469999999905</v>
      </c>
      <c r="P2198">
        <v>-0.56116929999999998</v>
      </c>
      <c r="Q2198">
        <v>2.713964E-2</v>
      </c>
      <c r="R2198">
        <v>-0.8272562</v>
      </c>
      <c r="S2198">
        <v>-1.301239</v>
      </c>
      <c r="T2198">
        <v>-0.42900939999999999</v>
      </c>
      <c r="U2198">
        <v>-2.7654109999999998</v>
      </c>
      <c r="V2198">
        <v>-0.3248219</v>
      </c>
      <c r="W2198">
        <v>4.4666989999999997E-2</v>
      </c>
      <c r="X2198">
        <v>0.94471989999999995</v>
      </c>
      <c r="Y2198">
        <v>-0.46762730000000002</v>
      </c>
      <c r="Z2198">
        <v>5.6149900000000003E-2</v>
      </c>
      <c r="AA2198">
        <v>0.88214049999999999</v>
      </c>
      <c r="AB2198">
        <v>25</v>
      </c>
      <c r="AC2198">
        <v>-0.22759999999993799</v>
      </c>
      <c r="AD2198">
        <v>-0.135513099999999</v>
      </c>
      <c r="AE2198">
        <v>-0.721600000000023</v>
      </c>
      <c r="AF2198">
        <v>-0.42621542606999702</v>
      </c>
      <c r="AG2198">
        <v>-0.135513099999999</v>
      </c>
      <c r="AH2198">
        <v>0.59650279616280799</v>
      </c>
      <c r="AI2198">
        <v>100.47249813886199</v>
      </c>
      <c r="AJ2198">
        <v>125.54670835204701</v>
      </c>
      <c r="AK2198">
        <v>0.74554609215104095</v>
      </c>
      <c r="AL2198">
        <v>87.439918343989305</v>
      </c>
      <c r="AM2198">
        <v>108.974444978741</v>
      </c>
      <c r="AN2198">
        <v>1.0000000480856299</v>
      </c>
    </row>
    <row r="2199" spans="1:40" x14ac:dyDescent="0.25">
      <c r="A2199" t="str">
        <f>"20190312151310738"</f>
        <v>20190312151310738</v>
      </c>
      <c r="B2199" t="str">
        <f>"1552374790731966"</f>
        <v>1552374790731966</v>
      </c>
      <c r="C2199" t="s">
        <v>40</v>
      </c>
      <c r="D2199">
        <v>4.5551529999999998</v>
      </c>
      <c r="E2199">
        <v>0.43916620000000001</v>
      </c>
      <c r="F2199" t="s">
        <v>41</v>
      </c>
      <c r="G2199">
        <v>-488.58190000000002</v>
      </c>
      <c r="H2199">
        <v>0.98945050000000001</v>
      </c>
      <c r="I2199">
        <v>273.57139999999998</v>
      </c>
      <c r="J2199">
        <v>-488.37430000000001</v>
      </c>
      <c r="K2199">
        <v>1.120584</v>
      </c>
      <c r="L2199">
        <v>274.26859999999999</v>
      </c>
      <c r="M2199">
        <v>-0.79127320000000001</v>
      </c>
      <c r="N2199">
        <v>0</v>
      </c>
      <c r="O2199">
        <v>-0.61092769999999996</v>
      </c>
      <c r="P2199">
        <v>-0.55020939999999996</v>
      </c>
      <c r="Q2199">
        <v>2.667974E-2</v>
      </c>
      <c r="R2199">
        <v>-0.83460040000000002</v>
      </c>
      <c r="S2199">
        <v>-1.2773129999999999</v>
      </c>
      <c r="T2199">
        <v>-0.42551060000000002</v>
      </c>
      <c r="U2199">
        <v>-2.773987</v>
      </c>
      <c r="V2199">
        <v>-0.3253528</v>
      </c>
      <c r="W2199">
        <v>4.4093439999999998E-2</v>
      </c>
      <c r="X2199">
        <v>0.94456410000000002</v>
      </c>
      <c r="Y2199">
        <v>-0.46384120000000001</v>
      </c>
      <c r="Z2199">
        <v>5.7637269999999997E-2</v>
      </c>
      <c r="AA2199">
        <v>0.88404150000000004</v>
      </c>
      <c r="AB2199">
        <v>25</v>
      </c>
      <c r="AC2199">
        <v>-0.207600000000013</v>
      </c>
      <c r="AD2199">
        <v>-0.13113349999999999</v>
      </c>
      <c r="AE2199">
        <v>-0.69720000000000903</v>
      </c>
      <c r="AF2199">
        <v>-0.41161071737739902</v>
      </c>
      <c r="AG2199">
        <v>-0.13113349999999999</v>
      </c>
      <c r="AH2199">
        <v>0.57181885033393798</v>
      </c>
      <c r="AI2199">
        <v>100.54336358940201</v>
      </c>
      <c r="AJ2199">
        <v>125.747363289634</v>
      </c>
      <c r="AK2199">
        <v>0.71665624610367695</v>
      </c>
      <c r="AL2199">
        <v>87.472812644906995</v>
      </c>
      <c r="AM2199">
        <v>109.00614379832599</v>
      </c>
      <c r="AN2199">
        <v>1.00000000746384</v>
      </c>
    </row>
    <row r="2200" spans="1:40" x14ac:dyDescent="0.25">
      <c r="A2200" t="str">
        <f>"20190312151310761"</f>
        <v>20190312151310761</v>
      </c>
      <c r="B2200" t="str">
        <f>"1552374790752450"</f>
        <v>1552374790752450</v>
      </c>
      <c r="C2200" t="s">
        <v>40</v>
      </c>
      <c r="D2200">
        <v>4.8543379999999896</v>
      </c>
      <c r="E2200">
        <v>0.45436019999999999</v>
      </c>
      <c r="F2200" t="s">
        <v>41</v>
      </c>
      <c r="G2200">
        <v>-488.74630000000002</v>
      </c>
      <c r="H2200">
        <v>0.99287020000000004</v>
      </c>
      <c r="I2200">
        <v>273.4359</v>
      </c>
      <c r="J2200">
        <v>-488.55149999999998</v>
      </c>
      <c r="K2200">
        <v>1.1205020000000001</v>
      </c>
      <c r="L2200">
        <v>274.11360000000002</v>
      </c>
      <c r="M2200">
        <v>-0.78364630000000002</v>
      </c>
      <c r="N2200">
        <v>0</v>
      </c>
      <c r="O2200">
        <v>-0.62068409999999996</v>
      </c>
      <c r="P2200">
        <v>-0.53987350000000001</v>
      </c>
      <c r="Q2200">
        <v>2.585047E-2</v>
      </c>
      <c r="R2200">
        <v>-0.84134920000000002</v>
      </c>
      <c r="S2200">
        <v>-1.2449650000000001</v>
      </c>
      <c r="T2200">
        <v>-0.42748140000000001</v>
      </c>
      <c r="U2200">
        <v>-2.787445</v>
      </c>
      <c r="V2200">
        <v>-0.32530399999999998</v>
      </c>
      <c r="W2200">
        <v>4.3183560000000003E-2</v>
      </c>
      <c r="X2200">
        <v>0.94462290000000004</v>
      </c>
      <c r="Y2200">
        <v>-0.4630688</v>
      </c>
      <c r="Z2200">
        <v>5.9585529999999998E-2</v>
      </c>
      <c r="AA2200">
        <v>0.88431719999999903</v>
      </c>
      <c r="AB2200">
        <v>25</v>
      </c>
      <c r="AC2200">
        <v>-0.19480000000004299</v>
      </c>
      <c r="AD2200">
        <v>-0.12763179999999999</v>
      </c>
      <c r="AE2200">
        <v>-0.67770000000001496</v>
      </c>
      <c r="AF2200">
        <v>-0.39728543203479599</v>
      </c>
      <c r="AG2200">
        <v>-0.12763179999999999</v>
      </c>
      <c r="AH2200">
        <v>0.55528616902513805</v>
      </c>
      <c r="AI2200">
        <v>100.58819299860301</v>
      </c>
      <c r="AJ2200">
        <v>125.58223097805001</v>
      </c>
      <c r="AK2200">
        <v>0.69459939561514805</v>
      </c>
      <c r="AL2200">
        <v>87.524994541058405</v>
      </c>
      <c r="AM2200">
        <v>109.002399522855</v>
      </c>
      <c r="AN2200">
        <v>0.99999996773734101</v>
      </c>
    </row>
    <row r="2201" spans="1:40" x14ac:dyDescent="0.25">
      <c r="A2201" t="str">
        <f>"20190312151310783"</f>
        <v>20190312151310783</v>
      </c>
      <c r="B2201" t="str">
        <f>"1552374790771970"</f>
        <v>1552374790771970</v>
      </c>
      <c r="C2201" t="s">
        <v>40</v>
      </c>
      <c r="D2201">
        <v>4.5707339999999999</v>
      </c>
      <c r="E2201">
        <v>0.45377590000000001</v>
      </c>
      <c r="F2201" t="s">
        <v>42</v>
      </c>
      <c r="G2201">
        <v>-491.77269999999999</v>
      </c>
      <c r="H2201" s="1">
        <v>-3.8190960000000003E-6</v>
      </c>
      <c r="I2201">
        <v>267.39210000000003</v>
      </c>
      <c r="J2201">
        <v>-488.73090000000002</v>
      </c>
      <c r="K2201">
        <v>1.120436</v>
      </c>
      <c r="L2201">
        <v>273.95249999999999</v>
      </c>
      <c r="M2201">
        <v>-0.77556950000000002</v>
      </c>
      <c r="N2201">
        <v>0</v>
      </c>
      <c r="O2201">
        <v>-0.63075019999999904</v>
      </c>
      <c r="P2201">
        <v>-0.52859820000000002</v>
      </c>
      <c r="Q2201">
        <v>2.5507269999999999E-2</v>
      </c>
      <c r="R2201">
        <v>-0.8484891</v>
      </c>
      <c r="S2201">
        <v>-1.3120419999999999</v>
      </c>
      <c r="T2201">
        <v>-0.45640750000000002</v>
      </c>
      <c r="U2201">
        <v>-2.737854</v>
      </c>
      <c r="V2201">
        <v>-0.32571440000000002</v>
      </c>
      <c r="W2201">
        <v>4.2754790000000001E-2</v>
      </c>
      <c r="X2201">
        <v>0.94450100000000003</v>
      </c>
      <c r="Y2201">
        <v>-0.42792469999999999</v>
      </c>
      <c r="Z2201">
        <v>6.8090999999999999E-2</v>
      </c>
      <c r="AA2201">
        <v>0.90124579999999999</v>
      </c>
      <c r="AB2201">
        <v>24</v>
      </c>
      <c r="AC2201">
        <v>-3.0417999999999599</v>
      </c>
      <c r="AD2201">
        <v>-1.1204398190960001</v>
      </c>
      <c r="AE2201">
        <v>-6.5603999999999596</v>
      </c>
      <c r="AF2201">
        <v>-3.0961244367460798</v>
      </c>
      <c r="AG2201">
        <v>-1.1204398190960001</v>
      </c>
      <c r="AH2201">
        <v>6.3468294662898197</v>
      </c>
      <c r="AI2201">
        <v>99.015587273415406</v>
      </c>
      <c r="AJ2201">
        <v>116.00414844533699</v>
      </c>
      <c r="AK2201">
        <v>7.1500780548324698</v>
      </c>
      <c r="AL2201">
        <v>87.549584020599397</v>
      </c>
      <c r="AM2201">
        <v>109.026928894725</v>
      </c>
      <c r="AN2201">
        <v>0.99999999071815204</v>
      </c>
    </row>
    <row r="2202" spans="1:40" x14ac:dyDescent="0.25">
      <c r="A2202" t="str">
        <f>"20190312151310807"</f>
        <v>20190312151310807</v>
      </c>
      <c r="B2202" t="str">
        <f>"1552374790802227"</f>
        <v>1552374790802227</v>
      </c>
      <c r="C2202" t="s">
        <v>40</v>
      </c>
      <c r="D2202">
        <v>4.59511</v>
      </c>
      <c r="E2202">
        <v>0.45479900000000001</v>
      </c>
      <c r="F2202" t="s">
        <v>42</v>
      </c>
      <c r="G2202">
        <v>-491.80250000000001</v>
      </c>
      <c r="H2202" s="1">
        <v>-3.782115E-6</v>
      </c>
      <c r="I2202">
        <v>267.28739999999999</v>
      </c>
      <c r="J2202">
        <v>-488.90589999999997</v>
      </c>
      <c r="K2202">
        <v>1.1203689999999999</v>
      </c>
      <c r="L2202">
        <v>273.79059999999998</v>
      </c>
      <c r="M2202">
        <v>-0.76730880000000001</v>
      </c>
      <c r="N2202">
        <v>0</v>
      </c>
      <c r="O2202">
        <v>-0.64077680000000004</v>
      </c>
      <c r="P2202">
        <v>-0.51782459999999997</v>
      </c>
      <c r="Q2202">
        <v>2.5193159999999999E-2</v>
      </c>
      <c r="R2202">
        <v>-0.85511589999999904</v>
      </c>
      <c r="S2202">
        <v>-1.2709349999999999</v>
      </c>
      <c r="T2202">
        <v>-0.46361180000000002</v>
      </c>
      <c r="U2202">
        <v>-2.7578429999999998</v>
      </c>
      <c r="V2202">
        <v>-0.325385799999999</v>
      </c>
      <c r="W2202">
        <v>4.2388439999999999E-2</v>
      </c>
      <c r="X2202">
        <v>0.94463079999999999</v>
      </c>
      <c r="Y2202">
        <v>-0.42982550000000003</v>
      </c>
      <c r="Z2202">
        <v>7.0799970000000004E-2</v>
      </c>
      <c r="AA2202">
        <v>0.90013189999999998</v>
      </c>
      <c r="AB2202">
        <v>24</v>
      </c>
      <c r="AC2202">
        <v>-2.89660000000003</v>
      </c>
      <c r="AD2202">
        <v>-1.120372782115</v>
      </c>
      <c r="AE2202">
        <v>-6.5031999999999899</v>
      </c>
      <c r="AF2202">
        <v>-3.05913017327864</v>
      </c>
      <c r="AG2202">
        <v>-1.120372782115</v>
      </c>
      <c r="AH2202">
        <v>6.2372615589404097</v>
      </c>
      <c r="AI2202">
        <v>99.161370071609497</v>
      </c>
      <c r="AJ2202">
        <v>116.126124562843</v>
      </c>
      <c r="AK2202">
        <v>7.0368277186956698</v>
      </c>
      <c r="AL2202">
        <v>87.570593456127597</v>
      </c>
      <c r="AM2202">
        <v>109.00668738225799</v>
      </c>
      <c r="AN2202">
        <v>1.00000002349795</v>
      </c>
    </row>
    <row r="2203" spans="1:40" x14ac:dyDescent="0.25">
      <c r="A2203" t="str">
        <f>"20190312151310828"</f>
        <v>20190312151310828</v>
      </c>
      <c r="B2203" t="str">
        <f>"1552374790822723"</f>
        <v>1552374790822723</v>
      </c>
      <c r="C2203" t="s">
        <v>40</v>
      </c>
      <c r="D2203">
        <v>4.5974430000000002</v>
      </c>
      <c r="E2203">
        <v>0.45689600000000002</v>
      </c>
      <c r="F2203" t="s">
        <v>42</v>
      </c>
      <c r="G2203">
        <v>-491.95089999999999</v>
      </c>
      <c r="H2203" s="1">
        <v>-3.7009719999999999E-6</v>
      </c>
      <c r="I2203">
        <v>267.00619999999998</v>
      </c>
      <c r="J2203">
        <v>-489.07139999999998</v>
      </c>
      <c r="K2203">
        <v>1.1203160000000001</v>
      </c>
      <c r="L2203">
        <v>273.63290000000001</v>
      </c>
      <c r="M2203">
        <v>-0.75912630000000003</v>
      </c>
      <c r="N2203">
        <v>0</v>
      </c>
      <c r="O2203">
        <v>-0.65045169999999997</v>
      </c>
      <c r="P2203">
        <v>-0.50687899999999997</v>
      </c>
      <c r="Q2203">
        <v>2.5472330000000001E-2</v>
      </c>
      <c r="R2203">
        <v>-0.86164099999999999</v>
      </c>
      <c r="S2203">
        <v>-1.2428589999999999</v>
      </c>
      <c r="T2203">
        <v>-0.45730090000000001</v>
      </c>
      <c r="U2203">
        <v>-2.7691650000000001</v>
      </c>
      <c r="V2203">
        <v>-0.3254551</v>
      </c>
      <c r="W2203">
        <v>4.2620449999999997E-2</v>
      </c>
      <c r="X2203">
        <v>0.94459649999999995</v>
      </c>
      <c r="Y2203">
        <v>-0.42739549999999998</v>
      </c>
      <c r="Z2203">
        <v>7.1758370000000002E-2</v>
      </c>
      <c r="AA2203">
        <v>0.90121240000000002</v>
      </c>
      <c r="AB2203">
        <v>24</v>
      </c>
      <c r="AC2203">
        <v>-2.8795000000000002</v>
      </c>
      <c r="AD2203">
        <v>-1.1203197009720001</v>
      </c>
      <c r="AE2203">
        <v>-6.62670000000002</v>
      </c>
      <c r="AF2203">
        <v>-3.0843818467593098</v>
      </c>
      <c r="AG2203">
        <v>-1.1203197009720001</v>
      </c>
      <c r="AH2203">
        <v>6.3457654726510198</v>
      </c>
      <c r="AI2203">
        <v>99.022298916837002</v>
      </c>
      <c r="AJ2203">
        <v>115.922233894071</v>
      </c>
      <c r="AK2203">
        <v>7.1440371669591904</v>
      </c>
      <c r="AL2203">
        <v>87.557288269780301</v>
      </c>
      <c r="AM2203">
        <v>109.011085539498</v>
      </c>
      <c r="AN2203">
        <v>1.00000003634323</v>
      </c>
    </row>
    <row r="2204" spans="1:40" x14ac:dyDescent="0.25">
      <c r="A2204" t="str">
        <f>"20190312151310851"</f>
        <v>20190312151310851</v>
      </c>
      <c r="B2204" t="str">
        <f>"1552374790842242"</f>
        <v>1552374790842242</v>
      </c>
      <c r="C2204" t="s">
        <v>40</v>
      </c>
      <c r="D2204">
        <v>4.5677009999999996</v>
      </c>
      <c r="E2204">
        <v>0.4576924</v>
      </c>
      <c r="F2204" t="s">
        <v>42</v>
      </c>
      <c r="G2204">
        <v>-492.05900000000003</v>
      </c>
      <c r="H2204" s="1">
        <v>-3.6606480000000002E-6</v>
      </c>
      <c r="I2204">
        <v>266.84519999999998</v>
      </c>
      <c r="J2204">
        <v>-489.23349999999999</v>
      </c>
      <c r="K2204">
        <v>1.1202540000000001</v>
      </c>
      <c r="L2204">
        <v>273.4742</v>
      </c>
      <c r="M2204">
        <v>-0.75075909999999901</v>
      </c>
      <c r="N2204">
        <v>0</v>
      </c>
      <c r="O2204">
        <v>-0.66009319999999905</v>
      </c>
      <c r="P2204">
        <v>-0.49500759999999999</v>
      </c>
      <c r="Q2204">
        <v>2.5201560000000001E-2</v>
      </c>
      <c r="R2204">
        <v>-0.86852339999999995</v>
      </c>
      <c r="S2204">
        <v>-1.2220150000000001</v>
      </c>
      <c r="T2204">
        <v>-0.45824369999999998</v>
      </c>
      <c r="U2204">
        <v>-2.7763979999999999</v>
      </c>
      <c r="V2204">
        <v>-0.32635249999999999</v>
      </c>
      <c r="W2204">
        <v>4.2298870000000002E-2</v>
      </c>
      <c r="X2204">
        <v>0.94430119999999895</v>
      </c>
      <c r="Y2204">
        <v>-0.42246709999999899</v>
      </c>
      <c r="Z2204">
        <v>7.3988709999999999E-2</v>
      </c>
      <c r="AA2204">
        <v>0.90335330000000003</v>
      </c>
      <c r="AB2204">
        <v>24</v>
      </c>
      <c r="AC2204">
        <v>-2.8255000000000301</v>
      </c>
      <c r="AD2204">
        <v>-1.1202576606479999</v>
      </c>
      <c r="AE2204">
        <v>-6.6290000000000102</v>
      </c>
      <c r="AF2204">
        <v>-3.0392291555168698</v>
      </c>
      <c r="AG2204">
        <v>-1.1202576606479999</v>
      </c>
      <c r="AH2204">
        <v>6.3457362079053397</v>
      </c>
      <c r="AI2204">
        <v>99.046584465277704</v>
      </c>
      <c r="AJ2204">
        <v>115.591641187465</v>
      </c>
      <c r="AK2204">
        <v>7.1246234361056002</v>
      </c>
      <c r="AL2204">
        <v>87.575729873716</v>
      </c>
      <c r="AM2204">
        <v>109.065258270526</v>
      </c>
      <c r="AN2204">
        <v>0.99999995249048201</v>
      </c>
    </row>
    <row r="2205" spans="1:40" x14ac:dyDescent="0.25">
      <c r="A2205" t="str">
        <f>"20190312151310895"</f>
        <v>20190312151310895</v>
      </c>
      <c r="B2205" t="str">
        <f>"1552374790892018"</f>
        <v>1552374790892018</v>
      </c>
      <c r="C2205" t="s">
        <v>40</v>
      </c>
      <c r="D2205">
        <v>4.6057689999999996</v>
      </c>
      <c r="E2205">
        <v>0.40268379999999998</v>
      </c>
      <c r="F2205" t="s">
        <v>42</v>
      </c>
      <c r="G2205">
        <v>-492.14659999999998</v>
      </c>
      <c r="H2205" s="1">
        <v>-3.5944080000000001E-6</v>
      </c>
      <c r="I2205">
        <v>266.63639999999998</v>
      </c>
      <c r="J2205">
        <v>-489.55</v>
      </c>
      <c r="K2205">
        <v>1.1201049999999999</v>
      </c>
      <c r="L2205">
        <v>273.15089999999998</v>
      </c>
      <c r="M2205">
        <v>-0.73335620000000001</v>
      </c>
      <c r="N2205">
        <v>0</v>
      </c>
      <c r="O2205">
        <v>-0.67937890000000001</v>
      </c>
      <c r="P2205">
        <v>-0.47092909999999999</v>
      </c>
      <c r="Q2205">
        <v>2.491821E-2</v>
      </c>
      <c r="R2205">
        <v>-0.88181949999999998</v>
      </c>
      <c r="S2205">
        <v>-1.188599</v>
      </c>
      <c r="T2205">
        <v>-0.4570823</v>
      </c>
      <c r="U2205">
        <v>-2.789917</v>
      </c>
      <c r="V2205">
        <v>-0.32778230000000003</v>
      </c>
      <c r="W2205">
        <v>4.1969670000000001E-2</v>
      </c>
      <c r="X2205">
        <v>0.94382060000000001</v>
      </c>
      <c r="Y2205">
        <v>-0.4097866</v>
      </c>
      <c r="Z2205">
        <v>7.8072799999999998E-2</v>
      </c>
      <c r="AA2205">
        <v>0.90883420000000004</v>
      </c>
      <c r="AB2205">
        <v>23</v>
      </c>
      <c r="AC2205">
        <v>-2.5965999999999601</v>
      </c>
      <c r="AD2205">
        <v>-1.12010859440799</v>
      </c>
      <c r="AE2205">
        <v>-6.5144999999999902</v>
      </c>
      <c r="AF2205">
        <v>-2.9393431610813998</v>
      </c>
      <c r="AG2205">
        <v>-1.12010859440799</v>
      </c>
      <c r="AH2205">
        <v>6.17453419851054</v>
      </c>
      <c r="AI2205">
        <v>99.3021779419864</v>
      </c>
      <c r="AJ2205">
        <v>115.45645207458701</v>
      </c>
      <c r="AK2205">
        <v>6.9295926323586201</v>
      </c>
      <c r="AL2205">
        <v>87.594608541909196</v>
      </c>
      <c r="AM2205">
        <v>109.151757003272</v>
      </c>
      <c r="AN2205">
        <v>1.00000000718877</v>
      </c>
    </row>
    <row r="2206" spans="1:40" x14ac:dyDescent="0.25">
      <c r="A2206" t="str">
        <f>"20190312151310918"</f>
        <v>20190312151310918</v>
      </c>
      <c r="B2206" t="str">
        <f>"1552374790912514"</f>
        <v>1552374790912514</v>
      </c>
      <c r="C2206" t="s">
        <v>40</v>
      </c>
      <c r="D2206">
        <v>4.5774920000000003</v>
      </c>
      <c r="E2206">
        <v>0.3969702</v>
      </c>
      <c r="F2206" t="s">
        <v>41</v>
      </c>
      <c r="G2206">
        <v>-489.77510000000001</v>
      </c>
      <c r="H2206">
        <v>0.96912710000000002</v>
      </c>
      <c r="I2206">
        <v>272.20769999999999</v>
      </c>
      <c r="J2206">
        <v>-489.70330000000001</v>
      </c>
      <c r="K2206">
        <v>1.1200410000000001</v>
      </c>
      <c r="L2206">
        <v>272.98779999999999</v>
      </c>
      <c r="M2206">
        <v>-0.72439809999999905</v>
      </c>
      <c r="N2206">
        <v>0</v>
      </c>
      <c r="O2206">
        <v>-0.68892369999999903</v>
      </c>
      <c r="P2206">
        <v>-0.45939629999999998</v>
      </c>
      <c r="Q2206">
        <v>2.530466E-2</v>
      </c>
      <c r="R2206">
        <v>-0.88787129999999903</v>
      </c>
      <c r="S2206">
        <v>-0.7224121</v>
      </c>
      <c r="T2206">
        <v>-0.48496889999999998</v>
      </c>
      <c r="U2206">
        <v>-3.0299680000000002</v>
      </c>
      <c r="V2206">
        <v>-0.32771729999999999</v>
      </c>
      <c r="W2206">
        <v>4.2373189999999998E-2</v>
      </c>
      <c r="X2206">
        <v>0.94382509999999997</v>
      </c>
      <c r="Y2206">
        <v>-0.54501820000000001</v>
      </c>
      <c r="Z2206">
        <v>7.31826E-2</v>
      </c>
      <c r="AA2206">
        <v>0.83522419999999997</v>
      </c>
      <c r="AB2206">
        <v>23</v>
      </c>
      <c r="AC2206">
        <v>-7.1799999999996006E-2</v>
      </c>
      <c r="AD2206">
        <v>-0.15091389999999999</v>
      </c>
      <c r="AE2206">
        <v>-0.78010000000000401</v>
      </c>
      <c r="AF2206">
        <v>-0.49734453136086598</v>
      </c>
      <c r="AG2206">
        <v>-0.15091389999999999</v>
      </c>
      <c r="AH2206">
        <v>0.56852909249643901</v>
      </c>
      <c r="AI2206">
        <v>101.298322076376</v>
      </c>
      <c r="AJ2206">
        <v>131.17916498771501</v>
      </c>
      <c r="AK2206">
        <v>0.77029339676683894</v>
      </c>
      <c r="AL2206">
        <v>87.571467866837494</v>
      </c>
      <c r="AM2206">
        <v>109.1481510768</v>
      </c>
      <c r="AN2206">
        <v>0.99999996767003696</v>
      </c>
    </row>
    <row r="2207" spans="1:40" x14ac:dyDescent="0.25">
      <c r="A2207" t="str">
        <f>"20190312151310940"</f>
        <v>20190312151310940</v>
      </c>
      <c r="B2207" t="str">
        <f>"1552374790932034"</f>
        <v>1552374790932034</v>
      </c>
      <c r="C2207" t="s">
        <v>40</v>
      </c>
      <c r="D2207">
        <v>4.6445959999999999</v>
      </c>
      <c r="E2207">
        <v>0.3962502</v>
      </c>
      <c r="F2207" t="s">
        <v>42</v>
      </c>
      <c r="G2207">
        <v>-491.11340000000001</v>
      </c>
      <c r="H2207" s="1">
        <v>-3.16217E-6</v>
      </c>
      <c r="I2207">
        <v>266.26960000000003</v>
      </c>
      <c r="J2207">
        <v>-489.8501</v>
      </c>
      <c r="K2207">
        <v>1.1199600000000001</v>
      </c>
      <c r="L2207">
        <v>272.8272</v>
      </c>
      <c r="M2207">
        <v>-0.71546989999999999</v>
      </c>
      <c r="N2207">
        <v>0</v>
      </c>
      <c r="O2207">
        <v>-0.6981927</v>
      </c>
      <c r="P2207">
        <v>-0.44886369999999998</v>
      </c>
      <c r="Q2207">
        <v>2.5324869999999999E-2</v>
      </c>
      <c r="R2207">
        <v>-0.89324169999999903</v>
      </c>
      <c r="S2207">
        <v>-0.64248660000000002</v>
      </c>
      <c r="T2207">
        <v>-0.51031419999999905</v>
      </c>
      <c r="U2207">
        <v>-3.0609440000000001</v>
      </c>
      <c r="V2207">
        <v>-0.3267215</v>
      </c>
      <c r="W2207">
        <v>4.2445599999999903E-2</v>
      </c>
      <c r="X2207">
        <v>0.94416699999999998</v>
      </c>
      <c r="Y2207">
        <v>-0.55681709999999995</v>
      </c>
      <c r="Z2207">
        <v>7.765263E-2</v>
      </c>
      <c r="AA2207">
        <v>0.82699750000000005</v>
      </c>
      <c r="AB2207">
        <v>23</v>
      </c>
      <c r="AC2207">
        <v>-1.2633000000000101</v>
      </c>
      <c r="AD2207">
        <v>-1.1199631621699999</v>
      </c>
      <c r="AE2207">
        <v>-6.5575999999999697</v>
      </c>
      <c r="AF2207">
        <v>-3.7066883846752701</v>
      </c>
      <c r="AG2207">
        <v>-1.1199631621699999</v>
      </c>
      <c r="AH2207">
        <v>5.3340294307051002</v>
      </c>
      <c r="AI2207">
        <v>99.782842613503007</v>
      </c>
      <c r="AJ2207">
        <v>124.795953601395</v>
      </c>
      <c r="AK2207">
        <v>6.5913372113200701</v>
      </c>
      <c r="AL2207">
        <v>87.567315289887006</v>
      </c>
      <c r="AM2207">
        <v>109.08777260147799</v>
      </c>
      <c r="AN2207">
        <v>0.99999994570530304</v>
      </c>
    </row>
    <row r="2208" spans="1:40" x14ac:dyDescent="0.25">
      <c r="A2208" t="str">
        <f>"20190312151310962"</f>
        <v>20190312151310962</v>
      </c>
      <c r="B2208" t="str">
        <f>"1552374790952530"</f>
        <v>1552374790952530</v>
      </c>
      <c r="C2208" t="s">
        <v>40</v>
      </c>
      <c r="D2208">
        <v>4.4987170000000001</v>
      </c>
      <c r="E2208">
        <v>0.39657290000000001</v>
      </c>
      <c r="F2208" t="s">
        <v>42</v>
      </c>
      <c r="G2208">
        <v>-491.06639999999999</v>
      </c>
      <c r="H2208" s="1">
        <v>-3.296236E-6</v>
      </c>
      <c r="I2208">
        <v>266.61130000000003</v>
      </c>
      <c r="J2208">
        <v>-489.99599999999998</v>
      </c>
      <c r="K2208">
        <v>1.1198760000000001</v>
      </c>
      <c r="L2208">
        <v>272.66309999999999</v>
      </c>
      <c r="M2208">
        <v>-0.70624960000000003</v>
      </c>
      <c r="N2208">
        <v>0</v>
      </c>
      <c r="O2208">
        <v>-0.70751889999999995</v>
      </c>
      <c r="P2208">
        <v>-0.43857119999999999</v>
      </c>
      <c r="Q2208">
        <v>2.5601059999999998E-2</v>
      </c>
      <c r="R2208">
        <v>-0.89833200000000002</v>
      </c>
      <c r="S2208">
        <v>-0.60116579999999997</v>
      </c>
      <c r="T2208">
        <v>-0.55353640000000004</v>
      </c>
      <c r="U2208">
        <v>-3.072174</v>
      </c>
      <c r="V2208">
        <v>-0.3251733</v>
      </c>
      <c r="W2208">
        <v>4.2797189999999999E-2</v>
      </c>
      <c r="X2208">
        <v>0.94468549999999996</v>
      </c>
      <c r="Y2208">
        <v>-0.55723400000000001</v>
      </c>
      <c r="Z2208">
        <v>8.6084540000000001E-2</v>
      </c>
      <c r="AA2208">
        <v>0.82588109999999904</v>
      </c>
      <c r="AB2208">
        <v>23</v>
      </c>
      <c r="AC2208">
        <v>-1.0704</v>
      </c>
      <c r="AD2208">
        <v>-1.119879296236</v>
      </c>
      <c r="AE2208">
        <v>-6.0517999999999503</v>
      </c>
      <c r="AF2208">
        <v>-3.4048044533122002</v>
      </c>
      <c r="AG2208">
        <v>-1.119879296236</v>
      </c>
      <c r="AH2208">
        <v>4.8773665371978101</v>
      </c>
      <c r="AI2208">
        <v>100.662331116583</v>
      </c>
      <c r="AJ2208">
        <v>124.91822088487</v>
      </c>
      <c r="AK2208">
        <v>6.0527289169109197</v>
      </c>
      <c r="AL2208">
        <v>87.547152437904799</v>
      </c>
      <c r="AM2208">
        <v>108.994143627071</v>
      </c>
      <c r="AN2208">
        <v>0.99999998420751701</v>
      </c>
    </row>
    <row r="2209" spans="1:40" x14ac:dyDescent="0.25">
      <c r="A2209" t="str">
        <f>"20190312151310985"</f>
        <v>20190312151310985</v>
      </c>
      <c r="B2209" t="str">
        <f>"1552374790981811"</f>
        <v>1552374790981811</v>
      </c>
      <c r="C2209" t="s">
        <v>40</v>
      </c>
      <c r="D2209">
        <v>4.4953890000000003</v>
      </c>
      <c r="E2209">
        <v>0.39739770000000002</v>
      </c>
      <c r="F2209" t="s">
        <v>42</v>
      </c>
      <c r="G2209">
        <v>-491.10719999999998</v>
      </c>
      <c r="H2209" s="1">
        <v>-3.3145979999999999E-6</v>
      </c>
      <c r="I2209">
        <v>266.62880000000001</v>
      </c>
      <c r="J2209">
        <v>-490.14139999999998</v>
      </c>
      <c r="K2209">
        <v>1.1197870000000001</v>
      </c>
      <c r="L2209">
        <v>272.4948</v>
      </c>
      <c r="M2209">
        <v>-0.69670719999999997</v>
      </c>
      <c r="N2209">
        <v>0</v>
      </c>
      <c r="O2209">
        <v>-0.71691819999999995</v>
      </c>
      <c r="P2209">
        <v>-0.42748079999999999</v>
      </c>
      <c r="Q2209">
        <v>2.5998279999999999E-2</v>
      </c>
      <c r="R2209">
        <v>-0.90365039999999996</v>
      </c>
      <c r="S2209">
        <v>-0.56701659999999998</v>
      </c>
      <c r="T2209">
        <v>-0.5714283</v>
      </c>
      <c r="U2209">
        <v>-3.0790410000000001</v>
      </c>
      <c r="V2209">
        <v>-0.32413370000000002</v>
      </c>
      <c r="W2209">
        <v>4.3265489999999997E-2</v>
      </c>
      <c r="X2209">
        <v>0.94502140000000001</v>
      </c>
      <c r="Y2209">
        <v>-0.5553553</v>
      </c>
      <c r="Z2209">
        <v>9.1148419999999994E-2</v>
      </c>
      <c r="AA2209">
        <v>0.82660299999999998</v>
      </c>
      <c r="AB2209">
        <v>22</v>
      </c>
      <c r="AC2209">
        <v>-0.96580000000000099</v>
      </c>
      <c r="AD2209">
        <v>-1.1197903145979999</v>
      </c>
      <c r="AE2209">
        <v>-5.8659999999999801</v>
      </c>
      <c r="AF2209">
        <v>-3.2792066323318201</v>
      </c>
      <c r="AG2209">
        <v>-1.1197903145979999</v>
      </c>
      <c r="AH2209">
        <v>4.7126520046737896</v>
      </c>
      <c r="AI2209">
        <v>101.03652501933399</v>
      </c>
      <c r="AJ2209">
        <v>124.83137087398801</v>
      </c>
      <c r="AK2209">
        <v>5.8494628303248799</v>
      </c>
      <c r="AL2209">
        <v>87.520295991975402</v>
      </c>
      <c r="AM2209">
        <v>108.931499539011</v>
      </c>
      <c r="AN2209">
        <v>1.0000000022792901</v>
      </c>
    </row>
    <row r="2210" spans="1:40" x14ac:dyDescent="0.25">
      <c r="A2210" t="str">
        <f>"20190312151311008"</f>
        <v>20190312151311008</v>
      </c>
      <c r="B2210" t="str">
        <f>"1552374791002306"</f>
        <v>1552374791002306</v>
      </c>
      <c r="C2210" t="s">
        <v>40</v>
      </c>
      <c r="D2210">
        <v>4.5499049999999999</v>
      </c>
      <c r="E2210">
        <v>0.39822780000000002</v>
      </c>
      <c r="F2210" t="s">
        <v>42</v>
      </c>
      <c r="G2210">
        <v>-491.15589999999997</v>
      </c>
      <c r="H2210" s="1">
        <v>-3.3374649999999999E-6</v>
      </c>
      <c r="I2210">
        <v>266.65190000000001</v>
      </c>
      <c r="J2210">
        <v>-490.27670000000001</v>
      </c>
      <c r="K2210">
        <v>1.119677</v>
      </c>
      <c r="L2210">
        <v>272.33350000000002</v>
      </c>
      <c r="M2210">
        <v>-0.68749680000000002</v>
      </c>
      <c r="N2210">
        <v>0</v>
      </c>
      <c r="O2210">
        <v>-0.72575649999999903</v>
      </c>
      <c r="P2210">
        <v>-0.41570950000000001</v>
      </c>
      <c r="Q2210">
        <v>2.6388140000000001E-2</v>
      </c>
      <c r="R2210">
        <v>-0.9091148</v>
      </c>
      <c r="S2210">
        <v>-0.5354004</v>
      </c>
      <c r="T2210">
        <v>-0.59096479999999996</v>
      </c>
      <c r="U2210">
        <v>-3.0835569999999999</v>
      </c>
      <c r="V2210">
        <v>-0.32432759999999999</v>
      </c>
      <c r="W2210">
        <v>4.3702329999999998E-2</v>
      </c>
      <c r="X2210">
        <v>0.94493479999999996</v>
      </c>
      <c r="Y2210">
        <v>-0.55322229999999994</v>
      </c>
      <c r="Z2210">
        <v>9.6547060000000004E-2</v>
      </c>
      <c r="AA2210">
        <v>0.82741989999999999</v>
      </c>
      <c r="AB2210">
        <v>22</v>
      </c>
      <c r="AC2210">
        <v>-0.87919999999996801</v>
      </c>
      <c r="AD2210">
        <v>-1.119680337465</v>
      </c>
      <c r="AE2210">
        <v>-5.6816000000000004</v>
      </c>
      <c r="AF2210">
        <v>-3.1495602888829102</v>
      </c>
      <c r="AG2210">
        <v>-1.119680337465</v>
      </c>
      <c r="AH2210">
        <v>4.55655993082999</v>
      </c>
      <c r="AI2210">
        <v>101.427785532331</v>
      </c>
      <c r="AJ2210">
        <v>124.65279035274099</v>
      </c>
      <c r="AK2210">
        <v>5.6511638159461697</v>
      </c>
      <c r="AL2210">
        <v>87.495243278777195</v>
      </c>
      <c r="AM2210">
        <v>108.943629625306</v>
      </c>
      <c r="AN2210">
        <v>1.00000003101011</v>
      </c>
    </row>
    <row r="2211" spans="1:40" x14ac:dyDescent="0.25">
      <c r="A2211" t="str">
        <f>"20190312151311029"</f>
        <v>20190312151311029</v>
      </c>
      <c r="B2211" t="str">
        <f>"1552374791021830"</f>
        <v>1552374791021830</v>
      </c>
      <c r="C2211" t="s">
        <v>40</v>
      </c>
      <c r="D2211">
        <v>4.5474350000000001</v>
      </c>
      <c r="E2211">
        <v>0.39900400000000003</v>
      </c>
      <c r="F2211" t="s">
        <v>42</v>
      </c>
      <c r="G2211">
        <v>-491.23719999999997</v>
      </c>
      <c r="H2211" s="1">
        <v>-3.2620899999999998E-6</v>
      </c>
      <c r="I2211">
        <v>266.42579999999998</v>
      </c>
      <c r="J2211">
        <v>-490.4085</v>
      </c>
      <c r="K2211">
        <v>1.119553</v>
      </c>
      <c r="L2211">
        <v>272.1721</v>
      </c>
      <c r="M2211">
        <v>-0.67821960000000003</v>
      </c>
      <c r="N2211">
        <v>0</v>
      </c>
      <c r="O2211">
        <v>-0.73443459999999905</v>
      </c>
      <c r="P2211">
        <v>-0.40352379999999999</v>
      </c>
      <c r="Q2211">
        <v>2.637511E-2</v>
      </c>
      <c r="R2211">
        <v>-0.91458919999999999</v>
      </c>
      <c r="S2211">
        <v>-0.50195310000000004</v>
      </c>
      <c r="T2211">
        <v>-0.58514900000000003</v>
      </c>
      <c r="U2211">
        <v>-3.087402</v>
      </c>
      <c r="V2211">
        <v>-0.32493529999999998</v>
      </c>
      <c r="W2211">
        <v>4.3738060000000002E-2</v>
      </c>
      <c r="X2211">
        <v>0.94472429999999996</v>
      </c>
      <c r="Y2211">
        <v>-0.55159709999999995</v>
      </c>
      <c r="Z2211">
        <v>9.7912860000000004E-2</v>
      </c>
      <c r="AA2211">
        <v>0.82834399999999997</v>
      </c>
      <c r="AB2211">
        <v>22</v>
      </c>
      <c r="AC2211">
        <v>-0.82869999999996902</v>
      </c>
      <c r="AD2211">
        <v>-1.1195562620899999</v>
      </c>
      <c r="AE2211">
        <v>-5.7463000000000104</v>
      </c>
      <c r="AF2211">
        <v>-3.1717116570013899</v>
      </c>
      <c r="AG2211">
        <v>-1.1195562620899999</v>
      </c>
      <c r="AH2211">
        <v>4.6123033372836604</v>
      </c>
      <c r="AI2211">
        <v>101.310294441126</v>
      </c>
      <c r="AJ2211">
        <v>124.514875276027</v>
      </c>
      <c r="AK2211">
        <v>5.7084589106221504</v>
      </c>
      <c r="AL2211">
        <v>87.493194025984195</v>
      </c>
      <c r="AM2211">
        <v>108.980513115825</v>
      </c>
      <c r="AN2211">
        <v>0.99999998504457099</v>
      </c>
    </row>
    <row r="2212" spans="1:40" x14ac:dyDescent="0.25">
      <c r="A2212" t="str">
        <f>"20190312151311052"</f>
        <v>20190312151311052</v>
      </c>
      <c r="B2212" t="str">
        <f>"1552374791042334"</f>
        <v>1552374791042334</v>
      </c>
      <c r="C2212" t="s">
        <v>40</v>
      </c>
      <c r="D2212">
        <v>4.5324609999999996</v>
      </c>
      <c r="E2212">
        <v>0.40017510000000001</v>
      </c>
      <c r="F2212" t="s">
        <v>42</v>
      </c>
      <c r="G2212">
        <v>-491.29649999999998</v>
      </c>
      <c r="H2212" s="1">
        <v>-3.2141540000000001E-6</v>
      </c>
      <c r="I2212">
        <v>266.27730000000003</v>
      </c>
      <c r="J2212">
        <v>-490.5394</v>
      </c>
      <c r="K2212">
        <v>1.1194109999999999</v>
      </c>
      <c r="L2212">
        <v>272.00720000000001</v>
      </c>
      <c r="M2212">
        <v>-0.66870799999999997</v>
      </c>
      <c r="N2212">
        <v>0</v>
      </c>
      <c r="O2212">
        <v>-0.74310659999999995</v>
      </c>
      <c r="P2212">
        <v>-0.39180759999999998</v>
      </c>
      <c r="Q2212">
        <v>2.5733059999999999E-2</v>
      </c>
      <c r="R2212">
        <v>-0.91968760000000005</v>
      </c>
      <c r="S2212">
        <v>-0.4657288</v>
      </c>
      <c r="T2212">
        <v>-0.5871634</v>
      </c>
      <c r="U2212">
        <v>-3.091583</v>
      </c>
      <c r="V2212">
        <v>-0.32482430000000001</v>
      </c>
      <c r="W2212">
        <v>4.3177350000000003E-2</v>
      </c>
      <c r="X2212">
        <v>0.94478830000000003</v>
      </c>
      <c r="Y2212">
        <v>-0.55056619999999901</v>
      </c>
      <c r="Z2212">
        <v>0.10049180000000001</v>
      </c>
      <c r="AA2212">
        <v>0.82872089999999998</v>
      </c>
      <c r="AB2212">
        <v>22</v>
      </c>
      <c r="AC2212">
        <v>-0.75709999999997901</v>
      </c>
      <c r="AD2212">
        <v>-1.119414214154</v>
      </c>
      <c r="AE2212">
        <v>-5.7298999999999802</v>
      </c>
      <c r="AF2212">
        <v>-3.1518105549165201</v>
      </c>
      <c r="AG2212">
        <v>-1.119414214154</v>
      </c>
      <c r="AH2212">
        <v>4.5933810308271497</v>
      </c>
      <c r="AI2212">
        <v>101.36201863612</v>
      </c>
      <c r="AJ2212">
        <v>124.45649338231</v>
      </c>
      <c r="AK2212">
        <v>5.68209004251921</v>
      </c>
      <c r="AL2212">
        <v>87.525350810983298</v>
      </c>
      <c r="AM2212">
        <v>108.973299689852</v>
      </c>
      <c r="AN2212">
        <v>1.0000000206202</v>
      </c>
    </row>
    <row r="2213" spans="1:40" x14ac:dyDescent="0.25">
      <c r="A2213" t="str">
        <f>"20190312151311076"</f>
        <v>20190312151311076</v>
      </c>
      <c r="B2213" t="str">
        <f>"1552374791072578"</f>
        <v>1552374791072578</v>
      </c>
      <c r="C2213" t="s">
        <v>40</v>
      </c>
      <c r="D2213">
        <v>4.2602580000000003</v>
      </c>
      <c r="E2213">
        <v>0.40167550000000002</v>
      </c>
      <c r="F2213" t="s">
        <v>42</v>
      </c>
      <c r="G2213">
        <v>-491.37130000000002</v>
      </c>
      <c r="H2213" s="1">
        <v>-3.147663E-6</v>
      </c>
      <c r="I2213">
        <v>266.07589999999999</v>
      </c>
      <c r="J2213">
        <v>-490.67419999999998</v>
      </c>
      <c r="K2213">
        <v>1.119248</v>
      </c>
      <c r="L2213">
        <v>271.8329</v>
      </c>
      <c r="M2213">
        <v>-0.65860929999999995</v>
      </c>
      <c r="N2213">
        <v>0</v>
      </c>
      <c r="O2213">
        <v>-0.75207259999999998</v>
      </c>
      <c r="P2213">
        <v>-0.37964019999999998</v>
      </c>
      <c r="Q2213">
        <v>2.649845E-2</v>
      </c>
      <c r="R2213">
        <v>-0.92475469999999904</v>
      </c>
      <c r="S2213">
        <v>-0.43386839999999999</v>
      </c>
      <c r="T2213">
        <v>-0.58382749999999894</v>
      </c>
      <c r="U2213">
        <v>-3.0934750000000002</v>
      </c>
      <c r="V2213">
        <v>-0.32450839999999997</v>
      </c>
      <c r="W2213">
        <v>4.4040559999999999E-2</v>
      </c>
      <c r="X2213">
        <v>0.94485699999999995</v>
      </c>
      <c r="Y2213">
        <v>-0.54779149999999999</v>
      </c>
      <c r="Z2213">
        <v>0.10243770000000001</v>
      </c>
      <c r="AA2213">
        <v>0.83031980000000005</v>
      </c>
      <c r="AB2213">
        <v>22</v>
      </c>
      <c r="AC2213">
        <v>-0.69710000000003403</v>
      </c>
      <c r="AD2213">
        <v>-1.1192511476629901</v>
      </c>
      <c r="AE2213">
        <v>-5.7569999999999997</v>
      </c>
      <c r="AF2213">
        <v>-3.15098021044939</v>
      </c>
      <c r="AG2213">
        <v>-1.1192511476629901</v>
      </c>
      <c r="AH2213">
        <v>4.61824944956129</v>
      </c>
      <c r="AI2213">
        <v>101.320709072371</v>
      </c>
      <c r="AJ2213">
        <v>124.305283100487</v>
      </c>
      <c r="AK2213">
        <v>5.7017214415088597</v>
      </c>
      <c r="AL2213">
        <v>87.475845402033499</v>
      </c>
      <c r="AM2213">
        <v>108.95488566855001</v>
      </c>
      <c r="AN2213">
        <v>1.00000001152233</v>
      </c>
    </row>
    <row r="2214" spans="1:40" x14ac:dyDescent="0.25">
      <c r="A2214" t="str">
        <f>"20190312151311097"</f>
        <v>20190312151311097</v>
      </c>
      <c r="B2214" t="str">
        <f>"1552374791092098"</f>
        <v>1552374791092098</v>
      </c>
      <c r="C2214" t="s">
        <v>40</v>
      </c>
      <c r="D2214">
        <v>4.5785660000000004</v>
      </c>
      <c r="E2214">
        <v>0.40244200000000002</v>
      </c>
      <c r="F2214" t="s">
        <v>42</v>
      </c>
      <c r="G2214">
        <v>-491.45800000000003</v>
      </c>
      <c r="H2214" s="1">
        <v>-3.0682429999999998E-6</v>
      </c>
      <c r="I2214">
        <v>265.83699999999999</v>
      </c>
      <c r="J2214">
        <v>-490.79629999999997</v>
      </c>
      <c r="K2214">
        <v>1.119102</v>
      </c>
      <c r="L2214">
        <v>271.6705</v>
      </c>
      <c r="M2214">
        <v>-0.64918520000000002</v>
      </c>
      <c r="N2214">
        <v>0</v>
      </c>
      <c r="O2214">
        <v>-0.76022349999999905</v>
      </c>
      <c r="P2214">
        <v>-0.3686199</v>
      </c>
      <c r="Q2214">
        <v>2.6524559999999999E-2</v>
      </c>
      <c r="R2214">
        <v>-0.92920210000000003</v>
      </c>
      <c r="S2214">
        <v>-0.40454099999999998</v>
      </c>
      <c r="T2214">
        <v>-0.57766580000000001</v>
      </c>
      <c r="U2214">
        <v>-3.0945740000000002</v>
      </c>
      <c r="V2214">
        <v>-0.3239474</v>
      </c>
      <c r="W2214">
        <v>4.4168230000000003E-2</v>
      </c>
      <c r="X2214">
        <v>0.94504350000000004</v>
      </c>
      <c r="Y2214">
        <v>-0.54519359999999994</v>
      </c>
      <c r="Z2214">
        <v>0.1036646</v>
      </c>
      <c r="AA2214">
        <v>0.8318759</v>
      </c>
      <c r="AB2214">
        <v>21</v>
      </c>
      <c r="AC2214">
        <v>-0.66170000000005302</v>
      </c>
      <c r="AD2214">
        <v>-1.1191050682429999</v>
      </c>
      <c r="AE2214">
        <v>-5.8335000000000097</v>
      </c>
      <c r="AF2214">
        <v>-3.16982149024519</v>
      </c>
      <c r="AG2214">
        <v>-1.1191050682429999</v>
      </c>
      <c r="AH2214">
        <v>4.69523180415651</v>
      </c>
      <c r="AI2214">
        <v>101.17461438095501</v>
      </c>
      <c r="AJ2214">
        <v>124.023876929754</v>
      </c>
      <c r="AK2214">
        <v>5.7745446685041903</v>
      </c>
      <c r="AL2214">
        <v>87.468523254555393</v>
      </c>
      <c r="AM2214">
        <v>108.92098165431101</v>
      </c>
      <c r="AN2214">
        <v>0.99999998370017096</v>
      </c>
    </row>
    <row r="2215" spans="1:40" x14ac:dyDescent="0.25">
      <c r="A2215" t="str">
        <f>"20190312151311119"</f>
        <v>20190312151311119</v>
      </c>
      <c r="B2215" t="str">
        <f>"1552374791112598"</f>
        <v>1552374791112598</v>
      </c>
      <c r="C2215" t="s">
        <v>40</v>
      </c>
      <c r="D2215">
        <v>4.6033179999999998</v>
      </c>
      <c r="E2215">
        <v>0.4032578</v>
      </c>
      <c r="F2215" t="s">
        <v>42</v>
      </c>
      <c r="G2215">
        <v>-491.5222</v>
      </c>
      <c r="H2215" s="1">
        <v>-3.01215E-6</v>
      </c>
      <c r="I2215">
        <v>265.66640000000001</v>
      </c>
      <c r="J2215">
        <v>-490.91309999999999</v>
      </c>
      <c r="K2215">
        <v>1.1189629999999999</v>
      </c>
      <c r="L2215">
        <v>271.5111</v>
      </c>
      <c r="M2215">
        <v>-0.63996390000000003</v>
      </c>
      <c r="N2215">
        <v>0</v>
      </c>
      <c r="O2215">
        <v>-0.76800109999999999</v>
      </c>
      <c r="P2215">
        <v>-0.3580739</v>
      </c>
      <c r="Q2215">
        <v>2.6305200000000001E-2</v>
      </c>
      <c r="R2215">
        <v>-0.93332269999999995</v>
      </c>
      <c r="S2215">
        <v>-0.37438959999999999</v>
      </c>
      <c r="T2215">
        <v>-0.57716230000000002</v>
      </c>
      <c r="U2215">
        <v>-3.096527</v>
      </c>
      <c r="V2215">
        <v>-0.32322770000000001</v>
      </c>
      <c r="W2215">
        <v>4.4130599999999999E-2</v>
      </c>
      <c r="X2215">
        <v>0.94529169999999996</v>
      </c>
      <c r="Y2215">
        <v>-0.54317019999999905</v>
      </c>
      <c r="Z2215">
        <v>0.1056952</v>
      </c>
      <c r="AA2215">
        <v>0.8329434</v>
      </c>
      <c r="AB2215">
        <v>21</v>
      </c>
      <c r="AC2215">
        <v>-0.60910000000001197</v>
      </c>
      <c r="AD2215">
        <v>-1.11896601215</v>
      </c>
      <c r="AE2215">
        <v>-5.84469999999998</v>
      </c>
      <c r="AF2215">
        <v>-3.1590777663515901</v>
      </c>
      <c r="AG2215">
        <v>-1.11896601215</v>
      </c>
      <c r="AH2215">
        <v>4.70929706220738</v>
      </c>
      <c r="AI2215">
        <v>101.162368453301</v>
      </c>
      <c r="AJ2215">
        <v>123.854391126298</v>
      </c>
      <c r="AK2215">
        <v>5.7800809761039602</v>
      </c>
      <c r="AL2215">
        <v>87.470681508676805</v>
      </c>
      <c r="AM2215">
        <v>108.87732015280901</v>
      </c>
      <c r="AN2215">
        <v>1.0000000269962599</v>
      </c>
    </row>
    <row r="2216" spans="1:40" x14ac:dyDescent="0.25">
      <c r="A2216" t="str">
        <f>"20190312151311141"</f>
        <v>20190312151311141</v>
      </c>
      <c r="B2216" t="str">
        <f>"1552374791132114"</f>
        <v>1552374791132114</v>
      </c>
      <c r="C2216" t="s">
        <v>40</v>
      </c>
      <c r="D2216">
        <v>4.5798880000000004</v>
      </c>
      <c r="E2216">
        <v>0.40415430000000002</v>
      </c>
      <c r="F2216" t="s">
        <v>42</v>
      </c>
      <c r="G2216">
        <v>-491.58510000000001</v>
      </c>
      <c r="H2216" s="1">
        <v>-2.9426009999999998E-6</v>
      </c>
      <c r="I2216">
        <v>265.46530000000001</v>
      </c>
      <c r="J2216">
        <v>-491.02940000000001</v>
      </c>
      <c r="K2216">
        <v>1.118822</v>
      </c>
      <c r="L2216">
        <v>271.34829999999999</v>
      </c>
      <c r="M2216">
        <v>-0.63051889999999999</v>
      </c>
      <c r="N2216">
        <v>0</v>
      </c>
      <c r="O2216">
        <v>-0.77577320000000005</v>
      </c>
      <c r="P2216">
        <v>-0.3475183</v>
      </c>
      <c r="Q2216">
        <v>2.6056099999999999E-2</v>
      </c>
      <c r="R2216">
        <v>-0.93731169999999997</v>
      </c>
      <c r="S2216">
        <v>-0.34436040000000001</v>
      </c>
      <c r="T2216">
        <v>-0.5734515</v>
      </c>
      <c r="U2216">
        <v>-3.0983890000000001</v>
      </c>
      <c r="V2216">
        <v>-0.32231219999999999</v>
      </c>
      <c r="W2216">
        <v>4.4059620000000001E-2</v>
      </c>
      <c r="X2216">
        <v>0.94560750000000005</v>
      </c>
      <c r="Y2216">
        <v>-0.54097410000000001</v>
      </c>
      <c r="Z2216">
        <v>0.10715330000000001</v>
      </c>
      <c r="AA2216">
        <v>0.83418539999999997</v>
      </c>
      <c r="AB2216">
        <v>21</v>
      </c>
      <c r="AC2216">
        <v>-0.55570000000000097</v>
      </c>
      <c r="AD2216">
        <v>-1.118824942601</v>
      </c>
      <c r="AE2216">
        <v>-5.8829999999999796</v>
      </c>
      <c r="AF2216">
        <v>-3.1657774958893801</v>
      </c>
      <c r="AG2216">
        <v>-1.118824942601</v>
      </c>
      <c r="AH2216">
        <v>4.7456579241238002</v>
      </c>
      <c r="AI2216">
        <v>101.096232899806</v>
      </c>
      <c r="AJ2216">
        <v>123.706827501365</v>
      </c>
      <c r="AK2216">
        <v>5.8133626704743602</v>
      </c>
      <c r="AL2216">
        <v>87.474752189165002</v>
      </c>
      <c r="AM2216">
        <v>108.821779065573</v>
      </c>
      <c r="AN2216">
        <v>0.99999997421981601</v>
      </c>
    </row>
    <row r="2217" spans="1:40" x14ac:dyDescent="0.25">
      <c r="A2217" t="str">
        <f>"20190312151311164"</f>
        <v>20190312151311164</v>
      </c>
      <c r="B2217" t="str">
        <f>"1552374791152610"</f>
        <v>1552374791152610</v>
      </c>
      <c r="C2217" t="s">
        <v>40</v>
      </c>
      <c r="D2217">
        <v>4.6038480000000002</v>
      </c>
      <c r="E2217">
        <v>0.40492729999999999</v>
      </c>
      <c r="F2217" t="s">
        <v>42</v>
      </c>
      <c r="G2217">
        <v>-491.64659999999998</v>
      </c>
      <c r="H2217" s="1">
        <v>-2.885634E-6</v>
      </c>
      <c r="I2217">
        <v>265.29430000000002</v>
      </c>
      <c r="J2217">
        <v>-491.14400000000001</v>
      </c>
      <c r="K2217">
        <v>1.1187020000000001</v>
      </c>
      <c r="L2217">
        <v>271.18349999999998</v>
      </c>
      <c r="M2217">
        <v>-0.62090419999999902</v>
      </c>
      <c r="N2217">
        <v>0</v>
      </c>
      <c r="O2217">
        <v>-0.78349340000000001</v>
      </c>
      <c r="P2217">
        <v>-0.3368604</v>
      </c>
      <c r="Q2217">
        <v>2.5819539999999998E-2</v>
      </c>
      <c r="R2217">
        <v>-0.94120060000000005</v>
      </c>
      <c r="S2217">
        <v>-0.31597900000000001</v>
      </c>
      <c r="T2217">
        <v>-0.57280209999999998</v>
      </c>
      <c r="U2217">
        <v>-3.0994259999999998</v>
      </c>
      <c r="V2217">
        <v>-0.32136569999999998</v>
      </c>
      <c r="W2217">
        <v>4.379856E-2</v>
      </c>
      <c r="X2217">
        <v>0.9459417</v>
      </c>
      <c r="Y2217">
        <v>-0.53823290000000001</v>
      </c>
      <c r="Z2217">
        <v>0.1091997</v>
      </c>
      <c r="AA2217">
        <v>0.83569189999999904</v>
      </c>
      <c r="AB2217">
        <v>21</v>
      </c>
      <c r="AC2217">
        <v>-0.50259999999997196</v>
      </c>
      <c r="AD2217">
        <v>-1.1187048856340001</v>
      </c>
      <c r="AE2217">
        <v>-5.8891999999999598</v>
      </c>
      <c r="AF2217">
        <v>-3.1509722239323601</v>
      </c>
      <c r="AG2217">
        <v>-1.1187048856340001</v>
      </c>
      <c r="AH2217">
        <v>4.7573108731995104</v>
      </c>
      <c r="AI2217">
        <v>101.092210867791</v>
      </c>
      <c r="AJ2217">
        <v>123.518226810831</v>
      </c>
      <c r="AK2217">
        <v>5.8148201452320896</v>
      </c>
      <c r="AL2217">
        <v>87.489724251890905</v>
      </c>
      <c r="AM2217">
        <v>108.76421552753899</v>
      </c>
      <c r="AN2217">
        <v>0.99999996339672603</v>
      </c>
    </row>
    <row r="2218" spans="1:40" x14ac:dyDescent="0.25">
      <c r="A2218" t="str">
        <f>"20190312151311186"</f>
        <v>20190312151311186</v>
      </c>
      <c r="B2218" t="str">
        <f>"1552374791181891"</f>
        <v>1552374791181891</v>
      </c>
      <c r="C2218" t="s">
        <v>40</v>
      </c>
      <c r="D2218">
        <v>4.5650529999999998</v>
      </c>
      <c r="E2218">
        <v>0.40653030000000001</v>
      </c>
      <c r="F2218" t="s">
        <v>42</v>
      </c>
      <c r="G2218">
        <v>-491.7</v>
      </c>
      <c r="H2218" s="1">
        <v>-2.8507149999999999E-6</v>
      </c>
      <c r="I2218">
        <v>265.1798</v>
      </c>
      <c r="J2218">
        <v>-491.25510000000003</v>
      </c>
      <c r="K2218">
        <v>1.118582</v>
      </c>
      <c r="L2218">
        <v>271.01940000000002</v>
      </c>
      <c r="M2218">
        <v>-0.61131999999999997</v>
      </c>
      <c r="N2218">
        <v>0</v>
      </c>
      <c r="O2218">
        <v>-0.79100159999999997</v>
      </c>
      <c r="P2218">
        <v>-0.32632430000000001</v>
      </c>
      <c r="Q2218">
        <v>2.5854820000000001E-2</v>
      </c>
      <c r="R2218">
        <v>-0.94490430000000003</v>
      </c>
      <c r="S2218">
        <v>-0.2871399</v>
      </c>
      <c r="T2218">
        <v>-0.57772900000000005</v>
      </c>
      <c r="U2218">
        <v>-3.1004939999999999</v>
      </c>
      <c r="V2218">
        <v>-0.32040180000000001</v>
      </c>
      <c r="W2218">
        <v>4.3687570000000002E-2</v>
      </c>
      <c r="X2218">
        <v>0.94627380000000005</v>
      </c>
      <c r="Y2218">
        <v>-0.53573909999999902</v>
      </c>
      <c r="Z2218">
        <v>0.1122235</v>
      </c>
      <c r="AA2218">
        <v>0.83689279999999999</v>
      </c>
      <c r="AB2218">
        <v>21</v>
      </c>
      <c r="AC2218">
        <v>-0.44489999999996099</v>
      </c>
      <c r="AD2218">
        <v>-1.118584850715</v>
      </c>
      <c r="AE2218">
        <v>-5.8396000000000097</v>
      </c>
      <c r="AF2218">
        <v>-3.1056263371818198</v>
      </c>
      <c r="AG2218">
        <v>-1.118584850715</v>
      </c>
      <c r="AH2218">
        <v>4.7203867772282901</v>
      </c>
      <c r="AI2218">
        <v>101.19781884161701</v>
      </c>
      <c r="AJ2218">
        <v>123.341628345001</v>
      </c>
      <c r="AK2218">
        <v>5.76005193909553</v>
      </c>
      <c r="AL2218">
        <v>87.496089722518306</v>
      </c>
      <c r="AM2218">
        <v>108.705746812492</v>
      </c>
      <c r="AN2218">
        <v>1.00000001089109</v>
      </c>
    </row>
    <row r="2219" spans="1:40" x14ac:dyDescent="0.25">
      <c r="A2219" t="str">
        <f>"20190312151311210"</f>
        <v>20190312151311210</v>
      </c>
      <c r="B2219" t="str">
        <f>"1552374791202390"</f>
        <v>1552374791202390</v>
      </c>
      <c r="C2219" t="s">
        <v>40</v>
      </c>
      <c r="D2219">
        <v>4.6360060000000001</v>
      </c>
      <c r="E2219">
        <v>0.40741179999999999</v>
      </c>
      <c r="F2219" t="s">
        <v>42</v>
      </c>
      <c r="G2219">
        <v>-491.7704</v>
      </c>
      <c r="H2219" s="1">
        <v>-2.7931279999999999E-6</v>
      </c>
      <c r="I2219">
        <v>265.00200000000001</v>
      </c>
      <c r="J2219">
        <v>-491.36579999999998</v>
      </c>
      <c r="K2219">
        <v>1.118411</v>
      </c>
      <c r="L2219">
        <v>270.85079999999999</v>
      </c>
      <c r="M2219">
        <v>-0.60145839999999995</v>
      </c>
      <c r="N2219">
        <v>0</v>
      </c>
      <c r="O2219">
        <v>-0.79853260000000004</v>
      </c>
      <c r="P2219">
        <v>-0.31567289999999998</v>
      </c>
      <c r="Q2219">
        <v>2.5040179999999999E-2</v>
      </c>
      <c r="R2219">
        <v>-0.94853810000000005</v>
      </c>
      <c r="S2219">
        <v>-0.26538089999999998</v>
      </c>
      <c r="T2219">
        <v>-0.57607769999999903</v>
      </c>
      <c r="U2219">
        <v>-3.09903</v>
      </c>
      <c r="V2219">
        <v>-0.31928450000000003</v>
      </c>
      <c r="W2219">
        <v>4.2793379999999999E-2</v>
      </c>
      <c r="X2219">
        <v>0.94669219999999998</v>
      </c>
      <c r="Y2219">
        <v>-0.53110159999999995</v>
      </c>
      <c r="Z2219">
        <v>0.11424140000000001</v>
      </c>
      <c r="AA2219">
        <v>0.83957139999999997</v>
      </c>
      <c r="AB2219">
        <v>20</v>
      </c>
      <c r="AC2219">
        <v>-0.404600000000016</v>
      </c>
      <c r="AD2219">
        <v>-1.118413793128</v>
      </c>
      <c r="AE2219">
        <v>-5.8487999999999802</v>
      </c>
      <c r="AF2219">
        <v>-3.08346072448367</v>
      </c>
      <c r="AG2219">
        <v>-1.118413793128</v>
      </c>
      <c r="AH2219">
        <v>4.7426740003333903</v>
      </c>
      <c r="AI2219">
        <v>101.183571339016</v>
      </c>
      <c r="AJ2219">
        <v>123.03000417801999</v>
      </c>
      <c r="AK2219">
        <v>5.7664144947732199</v>
      </c>
      <c r="AL2219">
        <v>87.5473709576261</v>
      </c>
      <c r="AM2219">
        <v>108.637360862336</v>
      </c>
      <c r="AN2219">
        <v>0.99999999342645696</v>
      </c>
    </row>
    <row r="2220" spans="1:40" x14ac:dyDescent="0.25">
      <c r="A2220" t="str">
        <f>"20190312151311230"</f>
        <v>20190312151311230</v>
      </c>
      <c r="B2220" t="str">
        <f>"1552374791221911"</f>
        <v>1552374791221911</v>
      </c>
      <c r="C2220" t="s">
        <v>40</v>
      </c>
      <c r="D2220">
        <v>4.5969709999999999</v>
      </c>
      <c r="E2220">
        <v>0.40848899999999999</v>
      </c>
      <c r="F2220" t="s">
        <v>42</v>
      </c>
      <c r="G2220">
        <v>-491.82380000000001</v>
      </c>
      <c r="H2220" s="1">
        <v>-2.7529200000000001E-6</v>
      </c>
      <c r="I2220">
        <v>264.87509999999997</v>
      </c>
      <c r="J2220">
        <v>-491.46429999999998</v>
      </c>
      <c r="K2220">
        <v>1.1182319999999999</v>
      </c>
      <c r="L2220">
        <v>270.69729999999998</v>
      </c>
      <c r="M2220">
        <v>-0.59239919999999902</v>
      </c>
      <c r="N2220">
        <v>0</v>
      </c>
      <c r="O2220">
        <v>-0.80528149999999998</v>
      </c>
      <c r="P2220">
        <v>-0.30614950000000002</v>
      </c>
      <c r="Q2220">
        <v>2.4531509999999999E-2</v>
      </c>
      <c r="R2220">
        <v>-0.9516675</v>
      </c>
      <c r="S2220">
        <v>-0.23751829999999999</v>
      </c>
      <c r="T2220">
        <v>-0.58000499999999999</v>
      </c>
      <c r="U2220">
        <v>-3.0989990000000001</v>
      </c>
      <c r="V2220">
        <v>-0.31805480000000003</v>
      </c>
      <c r="W2220">
        <v>4.2282670000000001E-2</v>
      </c>
      <c r="X2220">
        <v>0.947129</v>
      </c>
      <c r="Y2220">
        <v>-0.5290589</v>
      </c>
      <c r="Z2220">
        <v>0.11692959999999999</v>
      </c>
      <c r="AA2220">
        <v>0.84049039999999997</v>
      </c>
      <c r="AB2220">
        <v>20</v>
      </c>
      <c r="AC2220">
        <v>-0.35950000000002502</v>
      </c>
      <c r="AD2220">
        <v>-1.1182347529200001</v>
      </c>
      <c r="AE2220">
        <v>-5.8221999999999996</v>
      </c>
      <c r="AF2220">
        <v>-3.04846592272638</v>
      </c>
      <c r="AG2220">
        <v>-1.1182347529200001</v>
      </c>
      <c r="AH2220">
        <v>4.72912353118965</v>
      </c>
      <c r="AI2220">
        <v>101.240692622233</v>
      </c>
      <c r="AJ2220">
        <v>122.806452073354</v>
      </c>
      <c r="AK2220">
        <v>5.7365671632008102</v>
      </c>
      <c r="AL2220">
        <v>87.576659039175496</v>
      </c>
      <c r="AM2220">
        <v>108.56253403779201</v>
      </c>
      <c r="AN2220">
        <v>1.0000000113131799</v>
      </c>
    </row>
    <row r="2221" spans="1:40" x14ac:dyDescent="0.25">
      <c r="A2221" t="str">
        <f>"20190312151311254"</f>
        <v>20190312151311254</v>
      </c>
      <c r="B2221" t="str">
        <f>"1552374791242402"</f>
        <v>1552374791242402</v>
      </c>
      <c r="C2221" t="s">
        <v>40</v>
      </c>
      <c r="D2221">
        <v>4.539879</v>
      </c>
      <c r="E2221">
        <v>0.40949380000000002</v>
      </c>
      <c r="F2221" t="s">
        <v>42</v>
      </c>
      <c r="G2221">
        <v>-491.8766</v>
      </c>
      <c r="H2221" s="1">
        <v>-2.6997880000000001E-6</v>
      </c>
      <c r="I2221">
        <v>264.71850000000001</v>
      </c>
      <c r="J2221">
        <v>-491.57049999999998</v>
      </c>
      <c r="K2221">
        <v>1.1180369999999999</v>
      </c>
      <c r="L2221">
        <v>270.5274</v>
      </c>
      <c r="M2221">
        <v>-0.58230039999999905</v>
      </c>
      <c r="N2221">
        <v>0</v>
      </c>
      <c r="O2221">
        <v>-0.81261899999999998</v>
      </c>
      <c r="P2221">
        <v>-0.29568539999999999</v>
      </c>
      <c r="Q2221">
        <v>2.4121529999999999E-2</v>
      </c>
      <c r="R2221">
        <v>-0.95498090000000002</v>
      </c>
      <c r="S2221">
        <v>-0.21368409999999999</v>
      </c>
      <c r="T2221">
        <v>-0.5795302</v>
      </c>
      <c r="U2221">
        <v>-3.0985719999999999</v>
      </c>
      <c r="V2221">
        <v>-0.31660149999999998</v>
      </c>
      <c r="W2221">
        <v>4.1874389999999997E-2</v>
      </c>
      <c r="X2221">
        <v>0.94763390000000003</v>
      </c>
      <c r="Y2221">
        <v>-0.52492839999999996</v>
      </c>
      <c r="Z2221">
        <v>0.11906369999999999</v>
      </c>
      <c r="AA2221">
        <v>0.84277760000000002</v>
      </c>
      <c r="AB2221">
        <v>20</v>
      </c>
      <c r="AC2221">
        <v>-0.30610000000001403</v>
      </c>
      <c r="AD2221">
        <v>-1.118039699788</v>
      </c>
      <c r="AE2221">
        <v>-5.8088999999999897</v>
      </c>
      <c r="AF2221">
        <v>-3.02300946019106</v>
      </c>
      <c r="AG2221">
        <v>-1.118039699788</v>
      </c>
      <c r="AH2221">
        <v>4.7255070895601596</v>
      </c>
      <c r="AI2221">
        <v>101.27157603811</v>
      </c>
      <c r="AJ2221">
        <v>122.607929898436</v>
      </c>
      <c r="AK2221">
        <v>5.7200538651475998</v>
      </c>
      <c r="AL2221">
        <v>87.600072449227795</v>
      </c>
      <c r="AM2221">
        <v>108.47431140354701</v>
      </c>
      <c r="AN2221">
        <v>0.999999991384666</v>
      </c>
    </row>
    <row r="2222" spans="1:40" x14ac:dyDescent="0.25">
      <c r="A2222" t="str">
        <f>"20190312151311276"</f>
        <v>20190312151311276</v>
      </c>
      <c r="B2222" t="str">
        <f>"1552374791272658"</f>
        <v>1552374791272658</v>
      </c>
      <c r="C2222" t="s">
        <v>40</v>
      </c>
      <c r="D2222">
        <v>4.5905500000000004</v>
      </c>
      <c r="E2222">
        <v>0.43277179999999998</v>
      </c>
      <c r="F2222" t="s">
        <v>42</v>
      </c>
      <c r="G2222">
        <v>-491.9323</v>
      </c>
      <c r="H2222" s="1">
        <v>-2.6321519999999999E-6</v>
      </c>
      <c r="I2222">
        <v>264.52620000000002</v>
      </c>
      <c r="J2222">
        <v>-491.67110000000002</v>
      </c>
      <c r="K2222">
        <v>1.1178729999999999</v>
      </c>
      <c r="L2222">
        <v>270.36219999999997</v>
      </c>
      <c r="M2222">
        <v>-0.57249240000000001</v>
      </c>
      <c r="N2222">
        <v>0</v>
      </c>
      <c r="O2222">
        <v>-0.81956390000000001</v>
      </c>
      <c r="P2222">
        <v>-0.28589389999999998</v>
      </c>
      <c r="Q2222">
        <v>2.3937739999999999E-2</v>
      </c>
      <c r="R2222">
        <v>-0.95796269999999994</v>
      </c>
      <c r="S2222">
        <v>-0.18679809999999999</v>
      </c>
      <c r="T2222">
        <v>-0.57720899999999997</v>
      </c>
      <c r="U2222">
        <v>-3.0982059999999998</v>
      </c>
      <c r="V2222">
        <v>-0.3148917</v>
      </c>
      <c r="W2222">
        <v>4.1665239999999999E-2</v>
      </c>
      <c r="X2222">
        <v>0.94821270000000002</v>
      </c>
      <c r="Y2222">
        <v>-0.52201169999999997</v>
      </c>
      <c r="Z2222">
        <v>0.120641899999999</v>
      </c>
      <c r="AA2222">
        <v>0.84436329999999904</v>
      </c>
      <c r="AB2222">
        <v>20</v>
      </c>
      <c r="AC2222">
        <v>-0.26119999999997301</v>
      </c>
      <c r="AD2222">
        <v>-1.11787563215199</v>
      </c>
      <c r="AE2222">
        <v>-5.8359999999999497</v>
      </c>
      <c r="AF2222">
        <v>-3.0173940854268499</v>
      </c>
      <c r="AG2222">
        <v>-1.11787563215199</v>
      </c>
      <c r="AH2222">
        <v>4.7596250265843398</v>
      </c>
      <c r="AI2222">
        <v>101.219755663889</v>
      </c>
      <c r="AJ2222">
        <v>122.372909770007</v>
      </c>
      <c r="AK2222">
        <v>5.74528879947876</v>
      </c>
      <c r="AL2222">
        <v>87.612066468498995</v>
      </c>
      <c r="AM2222">
        <v>108.37079704156901</v>
      </c>
      <c r="AN2222">
        <v>1.0000000496972099</v>
      </c>
    </row>
    <row r="2223" spans="1:40" x14ac:dyDescent="0.25">
      <c r="A2223" t="str">
        <f>"20190312151311299"</f>
        <v>20190312151311299</v>
      </c>
      <c r="B2223" t="str">
        <f>"1552374791292178"</f>
        <v>1552374791292178</v>
      </c>
      <c r="C2223" t="s">
        <v>40</v>
      </c>
      <c r="D2223">
        <v>4.5439210000000001</v>
      </c>
      <c r="E2223">
        <v>0.43351279999999998</v>
      </c>
      <c r="F2223" t="s">
        <v>42</v>
      </c>
      <c r="G2223">
        <v>-492.32220000000001</v>
      </c>
      <c r="H2223" s="1">
        <v>-2.6780309999999998E-6</v>
      </c>
      <c r="I2223">
        <v>264.39139999999998</v>
      </c>
      <c r="J2223">
        <v>-491.77120000000002</v>
      </c>
      <c r="K2223">
        <v>1.1177360000000001</v>
      </c>
      <c r="L2223">
        <v>270.19330000000002</v>
      </c>
      <c r="M2223">
        <v>-0.56254680000000001</v>
      </c>
      <c r="N2223">
        <v>0</v>
      </c>
      <c r="O2223">
        <v>-0.82642749999999998</v>
      </c>
      <c r="P2223">
        <v>-0.27621010000000001</v>
      </c>
      <c r="Q2223">
        <v>2.3862789999999998E-2</v>
      </c>
      <c r="R2223">
        <v>-0.96080129999999997</v>
      </c>
      <c r="S2223">
        <v>-0.33224490000000001</v>
      </c>
      <c r="T2223">
        <v>-0.57042209999999904</v>
      </c>
      <c r="U2223">
        <v>-3.0467529999999998</v>
      </c>
      <c r="V2223">
        <v>-0.31298399999999998</v>
      </c>
      <c r="W2223">
        <v>4.1549469999999998E-2</v>
      </c>
      <c r="X2223">
        <v>0.9488491</v>
      </c>
      <c r="Y2223">
        <v>-0.47017959999999898</v>
      </c>
      <c r="Z2223">
        <v>0.125802</v>
      </c>
      <c r="AA2223">
        <v>0.87355879999999997</v>
      </c>
      <c r="AB2223">
        <v>20</v>
      </c>
      <c r="AC2223">
        <v>-0.55099999999998694</v>
      </c>
      <c r="AD2223">
        <v>-1.1177386780309999</v>
      </c>
      <c r="AE2223">
        <v>-5.8019000000000398</v>
      </c>
      <c r="AF2223">
        <v>-2.70959792254496</v>
      </c>
      <c r="AG2223">
        <v>-1.1177386780309999</v>
      </c>
      <c r="AH2223">
        <v>4.9250829522351696</v>
      </c>
      <c r="AI2223">
        <v>101.246118232356</v>
      </c>
      <c r="AJ2223">
        <v>118.81795909656699</v>
      </c>
      <c r="AK2223">
        <v>5.7312915421067201</v>
      </c>
      <c r="AL2223">
        <v>87.618705180277701</v>
      </c>
      <c r="AM2223">
        <v>108.255472770666</v>
      </c>
      <c r="AN2223">
        <v>0.99999997864204504</v>
      </c>
    </row>
    <row r="2224" spans="1:40" x14ac:dyDescent="0.25">
      <c r="A2224" t="str">
        <f>"20190312151311321"</f>
        <v>20190312151311321</v>
      </c>
      <c r="B2224" t="str">
        <f>"1552374791312679"</f>
        <v>1552374791312679</v>
      </c>
      <c r="C2224" t="s">
        <v>40</v>
      </c>
      <c r="D2224">
        <v>4.5792089999999996</v>
      </c>
      <c r="E2224">
        <v>0.43482690000000002</v>
      </c>
      <c r="F2224" t="s">
        <v>42</v>
      </c>
      <c r="G2224">
        <v>-492.3827</v>
      </c>
      <c r="H2224" s="1">
        <v>-2.5822200000000002E-6</v>
      </c>
      <c r="I2224">
        <v>264.13049999999998</v>
      </c>
      <c r="J2224">
        <v>-491.86110000000002</v>
      </c>
      <c r="K2224">
        <v>1.1176079999999999</v>
      </c>
      <c r="L2224">
        <v>270.0376</v>
      </c>
      <c r="M2224">
        <v>-0.55345310000000003</v>
      </c>
      <c r="N2224">
        <v>0</v>
      </c>
      <c r="O2224">
        <v>-0.83254950000000005</v>
      </c>
      <c r="P2224">
        <v>-0.26811590000000002</v>
      </c>
      <c r="Q2224">
        <v>2.347204E-2</v>
      </c>
      <c r="R2224">
        <v>-0.96310070000000003</v>
      </c>
      <c r="S2224">
        <v>-0.30743409999999999</v>
      </c>
      <c r="T2224">
        <v>-0.56192980000000003</v>
      </c>
      <c r="U2224">
        <v>-3.0480040000000002</v>
      </c>
      <c r="V2224">
        <v>-0.31054589999999999</v>
      </c>
      <c r="W2224">
        <v>4.1141169999999998E-2</v>
      </c>
      <c r="X2224">
        <v>0.94966759999999995</v>
      </c>
      <c r="Y2224">
        <v>-0.46759669999999998</v>
      </c>
      <c r="Z2224">
        <v>0.12569759999999999</v>
      </c>
      <c r="AA2224">
        <v>0.87495909999999999</v>
      </c>
      <c r="AB2224">
        <v>19</v>
      </c>
      <c r="AC2224">
        <v>-0.52159999999997797</v>
      </c>
      <c r="AD2224">
        <v>-1.11761058222</v>
      </c>
      <c r="AE2224">
        <v>-5.9071000000000096</v>
      </c>
      <c r="AF2224">
        <v>-2.73855591058188</v>
      </c>
      <c r="AG2224">
        <v>-1.11761058222</v>
      </c>
      <c r="AH2224">
        <v>5.0294295738064596</v>
      </c>
      <c r="AI2224">
        <v>101.042962597094</v>
      </c>
      <c r="AJ2224">
        <v>118.568568891296</v>
      </c>
      <c r="AK2224">
        <v>5.8347153938090397</v>
      </c>
      <c r="AL2224">
        <v>87.6421190037602</v>
      </c>
      <c r="AM2224">
        <v>108.107995178555</v>
      </c>
      <c r="AN2224">
        <v>0.99999995118276797</v>
      </c>
    </row>
    <row r="2225" spans="1:40" x14ac:dyDescent="0.25">
      <c r="A2225" t="str">
        <f>"20190312151311343"</f>
        <v>20190312151311343</v>
      </c>
      <c r="B2225" t="str">
        <f>"1552374791332194"</f>
        <v>1552374791332194</v>
      </c>
      <c r="C2225" t="s">
        <v>40</v>
      </c>
      <c r="D2225">
        <v>4.6097970000000004</v>
      </c>
      <c r="E2225">
        <v>0.43638070000000001</v>
      </c>
      <c r="F2225" t="s">
        <v>42</v>
      </c>
      <c r="G2225">
        <v>-492.45159999999998</v>
      </c>
      <c r="H2225" s="1">
        <v>-2.4853210000000001E-6</v>
      </c>
      <c r="I2225">
        <v>263.86189999999999</v>
      </c>
      <c r="J2225">
        <v>-491.9547</v>
      </c>
      <c r="K2225">
        <v>1.117442</v>
      </c>
      <c r="L2225">
        <v>269.87150000000003</v>
      </c>
      <c r="M2225">
        <v>-0.54381769999999996</v>
      </c>
      <c r="N2225">
        <v>0</v>
      </c>
      <c r="O2225">
        <v>-0.83888009999999902</v>
      </c>
      <c r="P2225">
        <v>-0.25987290000000002</v>
      </c>
      <c r="Q2225">
        <v>2.309744E-2</v>
      </c>
      <c r="R2225">
        <v>-0.96536639999999996</v>
      </c>
      <c r="S2225">
        <v>-0.29138180000000002</v>
      </c>
      <c r="T2225">
        <v>-0.55145559999999905</v>
      </c>
      <c r="U2225">
        <v>-3.0472410000000001</v>
      </c>
      <c r="V2225">
        <v>-0.30769239999999998</v>
      </c>
      <c r="W2225">
        <v>4.0761930000000002E-2</v>
      </c>
      <c r="X2225">
        <v>0.95061240000000002</v>
      </c>
      <c r="Y2225">
        <v>-0.46197009999999999</v>
      </c>
      <c r="Z2225">
        <v>0.12537590000000001</v>
      </c>
      <c r="AA2225">
        <v>0.87798889999999996</v>
      </c>
      <c r="AB2225">
        <v>19</v>
      </c>
      <c r="AC2225">
        <v>-0.49689999999998202</v>
      </c>
      <c r="AD2225">
        <v>-1.1174444853209999</v>
      </c>
      <c r="AE2225">
        <v>-6.00960000000003</v>
      </c>
      <c r="AF2225">
        <v>-2.7573725467858901</v>
      </c>
      <c r="AG2225">
        <v>-1.1174444853209999</v>
      </c>
      <c r="AH2225">
        <v>5.1366065190019299</v>
      </c>
      <c r="AI2225">
        <v>100.850535092661</v>
      </c>
      <c r="AJ2225">
        <v>118.227268550468</v>
      </c>
      <c r="AK2225">
        <v>5.9360350462742399</v>
      </c>
      <c r="AL2225">
        <v>87.663866310384904</v>
      </c>
      <c r="AM2225">
        <v>107.935630567236</v>
      </c>
      <c r="AN2225">
        <v>1.0000000414944199</v>
      </c>
    </row>
    <row r="2226" spans="1:40" x14ac:dyDescent="0.25">
      <c r="A2226" t="str">
        <f>"20190312151311377"</f>
        <v>20190312151311377</v>
      </c>
      <c r="B2226" t="str">
        <f>"1552374791372210"</f>
        <v>1552374791372210</v>
      </c>
      <c r="C2226" t="s">
        <v>40</v>
      </c>
      <c r="D2226">
        <v>4.609038</v>
      </c>
      <c r="E2226">
        <v>0.42291859999999998</v>
      </c>
      <c r="F2226" t="s">
        <v>42</v>
      </c>
      <c r="G2226">
        <v>-492.51940000000002</v>
      </c>
      <c r="H2226" s="1">
        <v>-2.4096039999999999E-6</v>
      </c>
      <c r="I2226">
        <v>263.64330000000001</v>
      </c>
      <c r="J2226">
        <v>-492.0831</v>
      </c>
      <c r="K2226">
        <v>1.1171799999999901</v>
      </c>
      <c r="L2226">
        <v>269.63560000000001</v>
      </c>
      <c r="M2226">
        <v>-0.53027469999999999</v>
      </c>
      <c r="N2226">
        <v>0</v>
      </c>
      <c r="O2226">
        <v>-0.84751330000000002</v>
      </c>
      <c r="P2226">
        <v>-0.2471651</v>
      </c>
      <c r="Q2226">
        <v>2.2621209999999999E-2</v>
      </c>
      <c r="R2226">
        <v>-0.9687095</v>
      </c>
      <c r="S2226">
        <v>-0.27624510000000002</v>
      </c>
      <c r="T2226">
        <v>-0.54657049999999996</v>
      </c>
      <c r="U2226">
        <v>-3.0463260000000001</v>
      </c>
      <c r="V2226">
        <v>-0.30488120000000002</v>
      </c>
      <c r="W2226">
        <v>4.0281200000000003E-2</v>
      </c>
      <c r="X2226">
        <v>0.95153810000000005</v>
      </c>
      <c r="Y2226">
        <v>-0.45205240000000002</v>
      </c>
      <c r="Z2226">
        <v>0.12703030000000001</v>
      </c>
      <c r="AA2226">
        <v>0.88289969999999995</v>
      </c>
      <c r="AB2226">
        <v>19</v>
      </c>
      <c r="AC2226">
        <v>-0.43630000000001701</v>
      </c>
      <c r="AD2226">
        <v>-1.1171824096039999</v>
      </c>
      <c r="AE2226">
        <v>-5.9923000000000002</v>
      </c>
      <c r="AF2226">
        <v>-2.7146787330702402</v>
      </c>
      <c r="AG2226">
        <v>-1.1171824096039999</v>
      </c>
      <c r="AH2226">
        <v>5.1338175280107601</v>
      </c>
      <c r="AI2226">
        <v>100.88914439736701</v>
      </c>
      <c r="AJ2226">
        <v>117.869153603119</v>
      </c>
      <c r="AK2226">
        <v>5.9138531915345096</v>
      </c>
      <c r="AL2226">
        <v>87.691432512930604</v>
      </c>
      <c r="AM2226">
        <v>107.765916991362</v>
      </c>
      <c r="AN2226">
        <v>0.99999993846924295</v>
      </c>
    </row>
    <row r="2227" spans="1:40" x14ac:dyDescent="0.25">
      <c r="A2227" t="str">
        <f>"20190312151311399"</f>
        <v>20190312151311399</v>
      </c>
      <c r="B2227" t="str">
        <f>"1552374791391730"</f>
        <v>1552374791391730</v>
      </c>
      <c r="C2227" t="s">
        <v>40</v>
      </c>
      <c r="D2227">
        <v>4.5878240000000003</v>
      </c>
      <c r="E2227">
        <v>0.42151840000000002</v>
      </c>
      <c r="F2227" t="s">
        <v>41</v>
      </c>
      <c r="G2227">
        <v>-492.12349999999998</v>
      </c>
      <c r="H2227">
        <v>0.99918450000000003</v>
      </c>
      <c r="I2227">
        <v>268.72059999999999</v>
      </c>
      <c r="J2227">
        <v>-492.16980000000001</v>
      </c>
      <c r="K2227">
        <v>1.116968</v>
      </c>
      <c r="L2227">
        <v>269.47149999999999</v>
      </c>
      <c r="M2227">
        <v>-0.52095270000000005</v>
      </c>
      <c r="N2227">
        <v>0</v>
      </c>
      <c r="O2227">
        <v>-0.85327960000000003</v>
      </c>
      <c r="P2227">
        <v>-0.23787739999999999</v>
      </c>
      <c r="Q2227">
        <v>2.2001E-2</v>
      </c>
      <c r="R2227">
        <v>-0.97104590000000002</v>
      </c>
      <c r="S2227">
        <v>-0.1355896</v>
      </c>
      <c r="T2227">
        <v>-0.39610240000000002</v>
      </c>
      <c r="U2227">
        <v>-3.071564</v>
      </c>
      <c r="V2227">
        <v>-0.30353570000000002</v>
      </c>
      <c r="W2227">
        <v>3.9666559999999997E-2</v>
      </c>
      <c r="X2227">
        <v>0.95199400000000001</v>
      </c>
      <c r="Y2227">
        <v>-0.48286950000000001</v>
      </c>
      <c r="Z2227">
        <v>9.1988990000000007E-2</v>
      </c>
      <c r="AA2227">
        <v>0.87084729999999999</v>
      </c>
      <c r="AB2227">
        <v>19</v>
      </c>
      <c r="AC2227">
        <v>4.6300000000030601E-2</v>
      </c>
      <c r="AD2227">
        <v>-0.1177835</v>
      </c>
      <c r="AE2227">
        <v>-0.75090000000000101</v>
      </c>
      <c r="AF2227">
        <v>-0.42049605109266402</v>
      </c>
      <c r="AG2227">
        <v>-0.1177835</v>
      </c>
      <c r="AH2227">
        <v>0.60201281461052603</v>
      </c>
      <c r="AI2227">
        <v>99.112425953096405</v>
      </c>
      <c r="AJ2227">
        <v>124.933665974329</v>
      </c>
      <c r="AK2227">
        <v>0.74371319123171598</v>
      </c>
      <c r="AL2227">
        <v>87.726677027561294</v>
      </c>
      <c r="AM2227">
        <v>107.684467480986</v>
      </c>
      <c r="AN2227">
        <v>0.99999996659636103</v>
      </c>
    </row>
    <row r="2228" spans="1:40" x14ac:dyDescent="0.25">
      <c r="A2228" t="str">
        <f>"20190312151311421"</f>
        <v>20190312151311421</v>
      </c>
      <c r="B2228" t="str">
        <f>"1552374791412230"</f>
        <v>1552374791412230</v>
      </c>
      <c r="C2228" t="s">
        <v>40</v>
      </c>
      <c r="D2228">
        <v>4.600492</v>
      </c>
      <c r="E2228">
        <v>0.42199399999999998</v>
      </c>
      <c r="F2228" t="s">
        <v>41</v>
      </c>
      <c r="G2228">
        <v>-492.19729999999998</v>
      </c>
      <c r="H2228">
        <v>1.003763</v>
      </c>
      <c r="I2228">
        <v>268.5788</v>
      </c>
      <c r="J2228">
        <v>-492.2516</v>
      </c>
      <c r="K2228">
        <v>1.116673</v>
      </c>
      <c r="L2228">
        <v>269.31360000000001</v>
      </c>
      <c r="M2228">
        <v>-0.51253320000000002</v>
      </c>
      <c r="N2228">
        <v>0</v>
      </c>
      <c r="O2228">
        <v>-0.85835049999999902</v>
      </c>
      <c r="P2228">
        <v>-0.22983809999999999</v>
      </c>
      <c r="Q2228">
        <v>2.0143029999999999E-2</v>
      </c>
      <c r="R2228">
        <v>-0.97302060000000001</v>
      </c>
      <c r="S2228">
        <v>-9.5031740000000003E-2</v>
      </c>
      <c r="T2228">
        <v>-0.38998899999999997</v>
      </c>
      <c r="U2228">
        <v>-3.0750120000000001</v>
      </c>
      <c r="V2228">
        <v>-0.30200729999999998</v>
      </c>
      <c r="W2228">
        <v>3.8634990000000001E-2</v>
      </c>
      <c r="X2228">
        <v>0.95252239999999999</v>
      </c>
      <c r="Y2228">
        <v>-0.48577749999999997</v>
      </c>
      <c r="Z2228">
        <v>9.1328179999999995E-2</v>
      </c>
      <c r="AA2228">
        <v>0.86929820000000002</v>
      </c>
      <c r="AB2228">
        <v>19</v>
      </c>
      <c r="AC2228">
        <v>5.4300000000011998E-2</v>
      </c>
      <c r="AD2228">
        <v>-0.11291</v>
      </c>
      <c r="AE2228">
        <v>-0.734800000000007</v>
      </c>
      <c r="AF2228">
        <v>-0.413619811170573</v>
      </c>
      <c r="AG2228">
        <v>-0.11291</v>
      </c>
      <c r="AH2228">
        <v>0.58921275730662004</v>
      </c>
      <c r="AI2228">
        <v>98.913749005189601</v>
      </c>
      <c r="AJ2228">
        <v>125.06836359629899</v>
      </c>
      <c r="AK2228">
        <v>0.72869862746244496</v>
      </c>
      <c r="AL2228">
        <v>87.785827056447204</v>
      </c>
      <c r="AM2228">
        <v>107.591768812691</v>
      </c>
      <c r="AN2228">
        <v>0.99999999710367404</v>
      </c>
    </row>
    <row r="2229" spans="1:40" x14ac:dyDescent="0.25">
      <c r="A2229" t="str">
        <f>"20190312151311444"</f>
        <v>20190312151311444</v>
      </c>
      <c r="B2229" t="str">
        <f>"1552374791431747"</f>
        <v>1552374791431747</v>
      </c>
      <c r="C2229" t="s">
        <v>40</v>
      </c>
      <c r="D2229">
        <v>4.6440199999999896</v>
      </c>
      <c r="E2229">
        <v>0.4226221</v>
      </c>
      <c r="F2229" t="s">
        <v>41</v>
      </c>
      <c r="G2229">
        <v>-492.27260000000001</v>
      </c>
      <c r="H2229">
        <v>1.0034510000000001</v>
      </c>
      <c r="I2229">
        <v>268.44040000000001</v>
      </c>
      <c r="J2229">
        <v>-492.3304</v>
      </c>
      <c r="K2229">
        <v>1.116277</v>
      </c>
      <c r="L2229">
        <v>269.15879999999999</v>
      </c>
      <c r="M2229">
        <v>-0.50487119999999996</v>
      </c>
      <c r="N2229">
        <v>0</v>
      </c>
      <c r="O2229">
        <v>-0.86284899999999998</v>
      </c>
      <c r="P2229">
        <v>-0.2221516</v>
      </c>
      <c r="Q2229">
        <v>1.756253E-2</v>
      </c>
      <c r="R2229">
        <v>-0.97485440000000001</v>
      </c>
      <c r="S2229">
        <v>-7.3059079999999998E-2</v>
      </c>
      <c r="T2229">
        <v>-0.39844619999999997</v>
      </c>
      <c r="U2229">
        <v>-3.0741580000000002</v>
      </c>
      <c r="V2229">
        <v>-0.30100159999999998</v>
      </c>
      <c r="W2229">
        <v>3.7646279999999997E-2</v>
      </c>
      <c r="X2229">
        <v>0.95288030000000001</v>
      </c>
      <c r="Y2229">
        <v>-0.48421110000000001</v>
      </c>
      <c r="Z2229">
        <v>9.4218319999999994E-2</v>
      </c>
      <c r="AA2229">
        <v>0.86986350000000001</v>
      </c>
      <c r="AB2229">
        <v>19</v>
      </c>
      <c r="AC2229">
        <v>5.7799999999986001E-2</v>
      </c>
      <c r="AD2229">
        <v>-0.112825999999999</v>
      </c>
      <c r="AE2229">
        <v>-0.71839999999997395</v>
      </c>
      <c r="AF2229">
        <v>-0.40282344029773498</v>
      </c>
      <c r="AG2229">
        <v>-0.112825999999999</v>
      </c>
      <c r="AH2229">
        <v>0.57673172206067402</v>
      </c>
      <c r="AI2229">
        <v>99.111634741900403</v>
      </c>
      <c r="AJ2229">
        <v>124.932718939151</v>
      </c>
      <c r="AK2229">
        <v>0.71247169035714897</v>
      </c>
      <c r="AL2229">
        <v>87.842517301583001</v>
      </c>
      <c r="AM2229">
        <v>107.530600201944</v>
      </c>
      <c r="AN2229">
        <v>1.00000003586424</v>
      </c>
    </row>
    <row r="2230" spans="1:40" x14ac:dyDescent="0.25">
      <c r="A2230" t="str">
        <f>"20190312151311466"</f>
        <v>20190312151311466</v>
      </c>
      <c r="B2230" t="str">
        <f>"1552374791462099"</f>
        <v>1552374791462099</v>
      </c>
      <c r="C2230" t="s">
        <v>40</v>
      </c>
      <c r="D2230">
        <v>4.6256579999999996</v>
      </c>
      <c r="E2230">
        <v>0.42367919999999998</v>
      </c>
      <c r="F2230" t="s">
        <v>41</v>
      </c>
      <c r="G2230">
        <v>-492.34550000000002</v>
      </c>
      <c r="H2230">
        <v>1.0023979999999999</v>
      </c>
      <c r="I2230">
        <v>268.29169999999999</v>
      </c>
      <c r="J2230">
        <v>-492.40440000000001</v>
      </c>
      <c r="K2230">
        <v>1.1160060000000001</v>
      </c>
      <c r="L2230">
        <v>269.01150000000001</v>
      </c>
      <c r="M2230">
        <v>-0.49809829999999999</v>
      </c>
      <c r="N2230">
        <v>0</v>
      </c>
      <c r="O2230">
        <v>-0.86673860000000003</v>
      </c>
      <c r="P2230">
        <v>-0.21651619999999999</v>
      </c>
      <c r="Q2230">
        <v>1.5715400000000001E-2</v>
      </c>
      <c r="R2230">
        <v>-0.97615260000000004</v>
      </c>
      <c r="S2230">
        <v>-5.3771970000000002E-2</v>
      </c>
      <c r="T2230">
        <v>-0.40357999999999999</v>
      </c>
      <c r="U2230">
        <v>-3.0723569999999998</v>
      </c>
      <c r="V2230">
        <v>-0.29901759999999999</v>
      </c>
      <c r="W2230">
        <v>3.7484280000000002E-2</v>
      </c>
      <c r="X2230">
        <v>0.95351109999999994</v>
      </c>
      <c r="Y2230">
        <v>-0.48282320000000001</v>
      </c>
      <c r="Z2230">
        <v>9.6271109999999993E-2</v>
      </c>
      <c r="AA2230">
        <v>0.87041000000000002</v>
      </c>
      <c r="AB2230">
        <v>18</v>
      </c>
      <c r="AC2230">
        <v>5.8899999999994103E-2</v>
      </c>
      <c r="AD2230">
        <v>-0.113608</v>
      </c>
      <c r="AE2230">
        <v>-0.71980000000001998</v>
      </c>
      <c r="AF2230">
        <v>-0.39982392254217503</v>
      </c>
      <c r="AG2230">
        <v>-0.113608</v>
      </c>
      <c r="AH2230">
        <v>0.58037575342500103</v>
      </c>
      <c r="AI2230">
        <v>99.157280333309004</v>
      </c>
      <c r="AJ2230">
        <v>124.56316164538001</v>
      </c>
      <c r="AK2230">
        <v>0.71386410602064099</v>
      </c>
      <c r="AL2230">
        <v>87.851805711728005</v>
      </c>
      <c r="AM2230">
        <v>107.41123432071799</v>
      </c>
      <c r="AN2230">
        <v>1.0000000070900401</v>
      </c>
    </row>
    <row r="2231" spans="1:40" x14ac:dyDescent="0.25">
      <c r="A2231" t="str">
        <f>"20190312151311490"</f>
        <v>20190312151311490</v>
      </c>
      <c r="B2231" t="str">
        <f>"1552374791482595"</f>
        <v>1552374791482595</v>
      </c>
      <c r="C2231" t="s">
        <v>40</v>
      </c>
      <c r="D2231">
        <v>4.6345260000000001</v>
      </c>
      <c r="E2231">
        <v>0.42468990000000001</v>
      </c>
      <c r="F2231" t="s">
        <v>41</v>
      </c>
      <c r="G2231">
        <v>-492.41890000000001</v>
      </c>
      <c r="H2231">
        <v>0.98693410000000004</v>
      </c>
      <c r="I2231">
        <v>268.02339999999998</v>
      </c>
      <c r="J2231">
        <v>-492.48390000000001</v>
      </c>
      <c r="K2231">
        <v>1.115831</v>
      </c>
      <c r="L2231">
        <v>268.85050000000001</v>
      </c>
      <c r="M2231">
        <v>-0.4903652</v>
      </c>
      <c r="N2231">
        <v>0</v>
      </c>
      <c r="O2231">
        <v>-0.87110759999999898</v>
      </c>
      <c r="P2231">
        <v>-0.21062549999999999</v>
      </c>
      <c r="Q2231">
        <v>1.4254930000000001E-2</v>
      </c>
      <c r="R2231">
        <v>-0.97746290000000002</v>
      </c>
      <c r="S2231">
        <v>-4.5196529999999999E-2</v>
      </c>
      <c r="T2231">
        <v>-0.40100049999999998</v>
      </c>
      <c r="U2231">
        <v>-3.069763</v>
      </c>
      <c r="V2231">
        <v>-0.29626970000000002</v>
      </c>
      <c r="W2231">
        <v>3.7244109999999997E-2</v>
      </c>
      <c r="X2231">
        <v>0.9543779</v>
      </c>
      <c r="Y2231">
        <v>-0.47746749999999999</v>
      </c>
      <c r="Z2231">
        <v>9.6780000000000005E-2</v>
      </c>
      <c r="AA2231">
        <v>0.873303099999999</v>
      </c>
      <c r="AB2231">
        <v>17</v>
      </c>
      <c r="AC2231">
        <v>6.4999999999997699E-2</v>
      </c>
      <c r="AD2231">
        <v>-0.12889689999999901</v>
      </c>
      <c r="AE2231">
        <v>-0.82710000000002903</v>
      </c>
      <c r="AF2231">
        <v>-0.45147059691513403</v>
      </c>
      <c r="AG2231">
        <v>-0.12889689999999901</v>
      </c>
      <c r="AH2231">
        <v>0.67262946872960305</v>
      </c>
      <c r="AI2231">
        <v>99.040719953472802</v>
      </c>
      <c r="AJ2231">
        <v>123.869611771645</v>
      </c>
      <c r="AK2231">
        <v>0.82028684794526896</v>
      </c>
      <c r="AL2231">
        <v>87.865576076755005</v>
      </c>
      <c r="AM2231">
        <v>107.24602933202</v>
      </c>
      <c r="AN2231">
        <v>1.0000000174380901</v>
      </c>
    </row>
    <row r="2232" spans="1:40" x14ac:dyDescent="0.25">
      <c r="A2232" t="str">
        <f>"20190312151311511"</f>
        <v>20190312151311511</v>
      </c>
      <c r="B2232" t="str">
        <f>"1552374791502115"</f>
        <v>1552374791502115</v>
      </c>
      <c r="C2232" t="s">
        <v>40</v>
      </c>
      <c r="D2232">
        <v>4.6027180000000003</v>
      </c>
      <c r="E2232">
        <v>0.42554140000000001</v>
      </c>
      <c r="F2232" t="s">
        <v>41</v>
      </c>
      <c r="G2232">
        <v>-492.49459999999999</v>
      </c>
      <c r="H2232">
        <v>0.99062410000000001</v>
      </c>
      <c r="I2232">
        <v>267.89589999999998</v>
      </c>
      <c r="J2232">
        <v>-492.55419999999998</v>
      </c>
      <c r="K2232">
        <v>1.1158429999999999</v>
      </c>
      <c r="L2232">
        <v>268.7047</v>
      </c>
      <c r="M2232">
        <v>-0.48274669999999997</v>
      </c>
      <c r="N2232">
        <v>0</v>
      </c>
      <c r="O2232">
        <v>-0.8753628</v>
      </c>
      <c r="P2232">
        <v>-0.2049298</v>
      </c>
      <c r="Q2232">
        <v>1.4594279999999999E-2</v>
      </c>
      <c r="R2232">
        <v>-0.97866779999999998</v>
      </c>
      <c r="S2232">
        <v>-3.3996579999999998E-2</v>
      </c>
      <c r="T2232">
        <v>-0.40231990000000001</v>
      </c>
      <c r="U2232">
        <v>-3.0677189999999999</v>
      </c>
      <c r="V2232">
        <v>-0.29351120000000003</v>
      </c>
      <c r="W2232">
        <v>3.7145480000000002E-2</v>
      </c>
      <c r="X2232">
        <v>0.95523369999999996</v>
      </c>
      <c r="Y2232">
        <v>-0.47298059999999997</v>
      </c>
      <c r="Z2232">
        <v>9.8134319999999997E-2</v>
      </c>
      <c r="AA2232">
        <v>0.87559069999999894</v>
      </c>
      <c r="AB2232">
        <v>17</v>
      </c>
      <c r="AC2232">
        <v>5.9599999999989002E-2</v>
      </c>
      <c r="AD2232">
        <v>-0.12521889999999899</v>
      </c>
      <c r="AE2232">
        <v>-0.80880000000001895</v>
      </c>
      <c r="AF2232">
        <v>-0.432461312725685</v>
      </c>
      <c r="AG2232">
        <v>-0.12521889999999899</v>
      </c>
      <c r="AH2232">
        <v>0.66363700128921999</v>
      </c>
      <c r="AI2232">
        <v>98.983144555524603</v>
      </c>
      <c r="AJ2232">
        <v>123.090413543298</v>
      </c>
      <c r="AK2232">
        <v>0.80194552770233796</v>
      </c>
      <c r="AL2232">
        <v>87.871231070272003</v>
      </c>
      <c r="AM2232">
        <v>107.08043298808001</v>
      </c>
      <c r="AN2232">
        <v>1.00000001641278</v>
      </c>
    </row>
    <row r="2233" spans="1:40" x14ac:dyDescent="0.25">
      <c r="A2233" t="str">
        <f>"20190312151311533"</f>
        <v>20190312151311533</v>
      </c>
      <c r="B2233" t="str">
        <f>"1552374791521635"</f>
        <v>1552374791521635</v>
      </c>
      <c r="C2233" t="s">
        <v>40</v>
      </c>
      <c r="D2233">
        <v>4.5999080000000001</v>
      </c>
      <c r="E2233">
        <v>0.42660189999999998</v>
      </c>
      <c r="F2233" t="s">
        <v>41</v>
      </c>
      <c r="G2233">
        <v>-492.56079999999997</v>
      </c>
      <c r="H2233">
        <v>0.99476410000000004</v>
      </c>
      <c r="I2233">
        <v>267.76400000000001</v>
      </c>
      <c r="J2233">
        <v>-492.62290000000002</v>
      </c>
      <c r="K2233">
        <v>1.115931</v>
      </c>
      <c r="L2233">
        <v>268.55810000000002</v>
      </c>
      <c r="M2233">
        <v>-0.475192</v>
      </c>
      <c r="N2233">
        <v>0</v>
      </c>
      <c r="O2233">
        <v>-0.87951380000000001</v>
      </c>
      <c r="P2233">
        <v>-0.19918369999999999</v>
      </c>
      <c r="Q2233">
        <v>1.6609490000000001E-2</v>
      </c>
      <c r="R2233">
        <v>-0.97982139999999995</v>
      </c>
      <c r="S2233">
        <v>-2.2125240000000001E-2</v>
      </c>
      <c r="T2233">
        <v>-0.3948101</v>
      </c>
      <c r="U2233">
        <v>-3.066681</v>
      </c>
      <c r="V2233">
        <v>-0.29091009999999901</v>
      </c>
      <c r="W2233">
        <v>3.8032719999999999E-2</v>
      </c>
      <c r="X2233">
        <v>0.95599420000000002</v>
      </c>
      <c r="Y2233">
        <v>-0.46878209999999998</v>
      </c>
      <c r="Z2233">
        <v>9.7287719999999994E-2</v>
      </c>
      <c r="AA2233">
        <v>0.8779399</v>
      </c>
      <c r="AB2233">
        <v>17</v>
      </c>
      <c r="AC2233">
        <v>6.2100000000043502E-2</v>
      </c>
      <c r="AD2233">
        <v>-0.12116689999999999</v>
      </c>
      <c r="AE2233">
        <v>-0.79410000000001402</v>
      </c>
      <c r="AF2233">
        <v>-0.42233483599914301</v>
      </c>
      <c r="AG2233">
        <v>-0.12116689999999999</v>
      </c>
      <c r="AH2233">
        <v>0.65399564897401297</v>
      </c>
      <c r="AI2233">
        <v>98.846515745351994</v>
      </c>
      <c r="AJ2233">
        <v>122.85341257227201</v>
      </c>
      <c r="AK2233">
        <v>0.78788225023221203</v>
      </c>
      <c r="AL2233">
        <v>87.820360066772594</v>
      </c>
      <c r="AM2233">
        <v>106.925063517284</v>
      </c>
      <c r="AN2233">
        <v>1.0000000422531199</v>
      </c>
    </row>
    <row r="2234" spans="1:40" x14ac:dyDescent="0.25">
      <c r="A2234" t="str">
        <f>"20190312151311555"</f>
        <v>20190312151311555</v>
      </c>
      <c r="B2234" t="str">
        <f>"1552374791551891"</f>
        <v>1552374791551891</v>
      </c>
      <c r="C2234" t="s">
        <v>40</v>
      </c>
      <c r="D2234">
        <v>4.5841450000000004</v>
      </c>
      <c r="E2234">
        <v>0.43942219999999999</v>
      </c>
      <c r="F2234" t="s">
        <v>41</v>
      </c>
      <c r="G2234">
        <v>-492.62670000000003</v>
      </c>
      <c r="H2234">
        <v>1.000326</v>
      </c>
      <c r="I2234">
        <v>267.6327</v>
      </c>
      <c r="J2234">
        <v>-492.68990000000002</v>
      </c>
      <c r="K2234">
        <v>1.115907</v>
      </c>
      <c r="L2234">
        <v>268.41050000000001</v>
      </c>
      <c r="M2234">
        <v>-0.46789219999999998</v>
      </c>
      <c r="N2234">
        <v>0</v>
      </c>
      <c r="O2234">
        <v>-0.88343449999999901</v>
      </c>
      <c r="P2234">
        <v>-0.19340189999999999</v>
      </c>
      <c r="Q2234">
        <v>1.690587E-2</v>
      </c>
      <c r="R2234">
        <v>-0.98097409999999996</v>
      </c>
      <c r="S2234">
        <v>-1.2207030000000001E-2</v>
      </c>
      <c r="T2234">
        <v>-0.38293779999999999</v>
      </c>
      <c r="U2234">
        <v>-3.0658259999999999</v>
      </c>
      <c r="V2234">
        <v>-0.28862880000000002</v>
      </c>
      <c r="W2234">
        <v>3.7761599999999999E-2</v>
      </c>
      <c r="X2234">
        <v>0.95669610000000005</v>
      </c>
      <c r="Y2234">
        <v>-0.46431539999999999</v>
      </c>
      <c r="Z2234">
        <v>9.5295809999999995E-2</v>
      </c>
      <c r="AA2234">
        <v>0.88052819999999898</v>
      </c>
      <c r="AB2234">
        <v>17</v>
      </c>
      <c r="AC2234">
        <v>6.3199999999994802E-2</v>
      </c>
      <c r="AD2234">
        <v>-0.115580999999999</v>
      </c>
      <c r="AE2234">
        <v>-0.77780000000001304</v>
      </c>
      <c r="AF2234">
        <v>-0.410876443210549</v>
      </c>
      <c r="AG2234">
        <v>-0.115580999999999</v>
      </c>
      <c r="AH2234">
        <v>0.64364884511759601</v>
      </c>
      <c r="AI2234">
        <v>98.607008389684495</v>
      </c>
      <c r="AJ2234">
        <v>122.55232811178</v>
      </c>
      <c r="AK2234">
        <v>0.77230968851074699</v>
      </c>
      <c r="AL2234">
        <v>87.835905119680703</v>
      </c>
      <c r="AM2234">
        <v>106.788210712446</v>
      </c>
      <c r="AN2234">
        <v>0.99999997518960404</v>
      </c>
    </row>
    <row r="2235" spans="1:40" x14ac:dyDescent="0.25">
      <c r="A2235" t="str">
        <f>"20190312151311578"</f>
        <v>20190312151311578</v>
      </c>
      <c r="B2235" t="str">
        <f>"1552374791572388"</f>
        <v>1552374791572388</v>
      </c>
      <c r="C2235" t="s">
        <v>40</v>
      </c>
      <c r="D2235">
        <v>4.5880179999999999</v>
      </c>
      <c r="E2235">
        <v>0.43994470000000002</v>
      </c>
      <c r="F2235" t="s">
        <v>42</v>
      </c>
      <c r="G2235">
        <v>-493.08510000000001</v>
      </c>
      <c r="H2235" s="1">
        <v>-3.6036009999999999E-6</v>
      </c>
      <c r="I2235">
        <v>256.07569999999998</v>
      </c>
      <c r="J2235">
        <v>-492.755</v>
      </c>
      <c r="K2235">
        <v>1.1156429999999999</v>
      </c>
      <c r="L2235">
        <v>268.26420000000002</v>
      </c>
      <c r="M2235">
        <v>-0.46061980000000002</v>
      </c>
      <c r="N2235">
        <v>0</v>
      </c>
      <c r="O2235">
        <v>-0.88725119999999902</v>
      </c>
      <c r="P2235">
        <v>-0.1884313</v>
      </c>
      <c r="Q2235">
        <v>1.6255760000000001E-2</v>
      </c>
      <c r="R2235">
        <v>-0.98195200000000005</v>
      </c>
      <c r="S2235">
        <v>-9.7503660000000006E-2</v>
      </c>
      <c r="T2235">
        <v>-0.27535799999999999</v>
      </c>
      <c r="U2235">
        <v>-3.0436709999999998</v>
      </c>
      <c r="V2235">
        <v>-0.28558480000000003</v>
      </c>
      <c r="W2235">
        <v>3.7229819999999997E-2</v>
      </c>
      <c r="X2235">
        <v>0.95762999999999998</v>
      </c>
      <c r="Y2235">
        <v>-0.43209950000000003</v>
      </c>
      <c r="Z2235">
        <v>7.0518639999999994E-2</v>
      </c>
      <c r="AA2235">
        <v>0.89906459999999999</v>
      </c>
      <c r="AB2235">
        <v>17</v>
      </c>
      <c r="AC2235">
        <v>-0.33010000000001499</v>
      </c>
      <c r="AD2235">
        <v>-1.115646603601</v>
      </c>
      <c r="AE2235">
        <v>-12.188499999999999</v>
      </c>
      <c r="AF2235">
        <v>-5.2788242757876702</v>
      </c>
      <c r="AG2235">
        <v>-1.115646603601</v>
      </c>
      <c r="AH2235">
        <v>10.878607168258799</v>
      </c>
      <c r="AI2235">
        <v>95.271482651520301</v>
      </c>
      <c r="AJ2235">
        <v>115.884895678958</v>
      </c>
      <c r="AK2235">
        <v>12.1430946220501</v>
      </c>
      <c r="AL2235">
        <v>87.866395315757103</v>
      </c>
      <c r="AM2235">
        <v>106.60565382713899</v>
      </c>
      <c r="AN2235">
        <v>0.99999997719413503</v>
      </c>
    </row>
    <row r="2236" spans="1:40" x14ac:dyDescent="0.25">
      <c r="A2236" t="str">
        <f>"20190312151311600"</f>
        <v>20190312151311600</v>
      </c>
      <c r="B2236" t="str">
        <f>"1552374791591912"</f>
        <v>1552374791591912</v>
      </c>
      <c r="C2236" t="s">
        <v>40</v>
      </c>
      <c r="D2236">
        <v>4.7347029999999997</v>
      </c>
      <c r="E2236">
        <v>0.4410462</v>
      </c>
      <c r="F2236" t="s">
        <v>42</v>
      </c>
      <c r="G2236">
        <v>-493.1071</v>
      </c>
      <c r="H2236" s="1">
        <v>-3.5005499999999999E-6</v>
      </c>
      <c r="I2236">
        <v>255.8219</v>
      </c>
      <c r="J2236">
        <v>-492.81979999999999</v>
      </c>
      <c r="K2236">
        <v>1.1151789999999999</v>
      </c>
      <c r="L2236">
        <v>268.11619999999999</v>
      </c>
      <c r="M2236">
        <v>-0.4528527</v>
      </c>
      <c r="N2236">
        <v>0</v>
      </c>
      <c r="O2236">
        <v>-0.89124509999999901</v>
      </c>
      <c r="P2236">
        <v>-0.18221619999999999</v>
      </c>
      <c r="Q2236">
        <v>1.6649850000000001E-2</v>
      </c>
      <c r="R2236">
        <v>-0.98311769999999998</v>
      </c>
      <c r="S2236">
        <v>-8.612061E-2</v>
      </c>
      <c r="T2236">
        <v>-0.27286640000000001</v>
      </c>
      <c r="U2236">
        <v>-3.0431520000000001</v>
      </c>
      <c r="V2236">
        <v>-0.28323209999999999</v>
      </c>
      <c r="W2236">
        <v>3.7810669999999998E-2</v>
      </c>
      <c r="X2236">
        <v>0.95830579999999999</v>
      </c>
      <c r="Y2236">
        <v>-0.4275756</v>
      </c>
      <c r="Z2236">
        <v>7.0524669999999998E-2</v>
      </c>
      <c r="AA2236">
        <v>0.90122440000000004</v>
      </c>
      <c r="AB2236">
        <v>17</v>
      </c>
      <c r="AC2236">
        <v>-0.28730000000001599</v>
      </c>
      <c r="AD2236">
        <v>-1.11518250055</v>
      </c>
      <c r="AE2236">
        <v>-12.2942999999999</v>
      </c>
      <c r="AF2236">
        <v>-5.2697292702389902</v>
      </c>
      <c r="AG2236">
        <v>-1.11518250055</v>
      </c>
      <c r="AH2236">
        <v>11.0002450228206</v>
      </c>
      <c r="AI2236">
        <v>95.223928389798402</v>
      </c>
      <c r="AJ2236">
        <v>115.59701317856501</v>
      </c>
      <c r="AK2236">
        <v>12.248227184096301</v>
      </c>
      <c r="AL2236">
        <v>87.833091742117901</v>
      </c>
      <c r="AM2236">
        <v>106.465309808773</v>
      </c>
      <c r="AN2236">
        <v>1.0000000377749401</v>
      </c>
    </row>
    <row r="2237" spans="1:40" x14ac:dyDescent="0.25">
      <c r="A2237" t="str">
        <f>"20190312151311623"</f>
        <v>20190312151311623</v>
      </c>
      <c r="B2237" t="str">
        <f>"1552374791612408"</f>
        <v>1552374791612408</v>
      </c>
      <c r="C2237" t="s">
        <v>40</v>
      </c>
      <c r="D2237">
        <v>4.5701340000000004</v>
      </c>
      <c r="E2237">
        <v>0.4420538</v>
      </c>
      <c r="F2237" t="s">
        <v>42</v>
      </c>
      <c r="G2237">
        <v>-493.12759999999997</v>
      </c>
      <c r="H2237" s="1">
        <v>-3.4455560000000002E-6</v>
      </c>
      <c r="I2237">
        <v>255.68090000000001</v>
      </c>
      <c r="J2237">
        <v>-492.88260000000002</v>
      </c>
      <c r="K2237">
        <v>1.1147579999999999</v>
      </c>
      <c r="L2237">
        <v>267.97059999999999</v>
      </c>
      <c r="M2237">
        <v>-0.44508120000000001</v>
      </c>
      <c r="N2237">
        <v>0</v>
      </c>
      <c r="O2237">
        <v>-0.89516409999999902</v>
      </c>
      <c r="P2237">
        <v>-0.17534430000000001</v>
      </c>
      <c r="Q2237">
        <v>1.8622039999999999E-2</v>
      </c>
      <c r="R2237">
        <v>-0.98433119999999996</v>
      </c>
      <c r="S2237">
        <v>-7.5317380000000003E-2</v>
      </c>
      <c r="T2237">
        <v>-0.27281899999999998</v>
      </c>
      <c r="U2237">
        <v>-3.0421749999999999</v>
      </c>
      <c r="V2237">
        <v>-0.28154639999999997</v>
      </c>
      <c r="W2237">
        <v>3.9607959999999998E-2</v>
      </c>
      <c r="X2237">
        <v>0.95872979999999997</v>
      </c>
      <c r="Y2237">
        <v>-0.4228943</v>
      </c>
      <c r="Z2237">
        <v>7.1153960000000002E-2</v>
      </c>
      <c r="AA2237">
        <v>0.9033812</v>
      </c>
      <c r="AB2237">
        <v>16</v>
      </c>
      <c r="AC2237">
        <v>-0.24499999999994701</v>
      </c>
      <c r="AD2237">
        <v>-1.114761445556</v>
      </c>
      <c r="AE2237">
        <v>-12.2896999999999</v>
      </c>
      <c r="AF2237">
        <v>-5.20928923427065</v>
      </c>
      <c r="AG2237">
        <v>-1.114761445556</v>
      </c>
      <c r="AH2237">
        <v>11.0229306142471</v>
      </c>
      <c r="AI2237">
        <v>95.224302683638896</v>
      </c>
      <c r="AJ2237">
        <v>115.294790207584</v>
      </c>
      <c r="AK2237">
        <v>12.242727912246201</v>
      </c>
      <c r="AL2237">
        <v>87.730037271474202</v>
      </c>
      <c r="AM2237">
        <v>106.365723262362</v>
      </c>
      <c r="AN2237">
        <v>0.99999999762818004</v>
      </c>
    </row>
    <row r="2238" spans="1:40" x14ac:dyDescent="0.25">
      <c r="A2238" t="str">
        <f>"20190312151311645"</f>
        <v>20190312151311645</v>
      </c>
      <c r="B2238" t="str">
        <f>"1552374791641683"</f>
        <v>1552374791641683</v>
      </c>
      <c r="C2238" t="s">
        <v>40</v>
      </c>
      <c r="D2238">
        <v>4.6074950000000001</v>
      </c>
      <c r="E2238">
        <v>0.44335999999999998</v>
      </c>
      <c r="F2238" t="s">
        <v>42</v>
      </c>
      <c r="G2238">
        <v>-493.1422</v>
      </c>
      <c r="H2238" s="1">
        <v>-3.213966E-6</v>
      </c>
      <c r="I2238">
        <v>255.13210000000001</v>
      </c>
      <c r="J2238">
        <v>-492.9436</v>
      </c>
      <c r="K2238">
        <v>1.114498</v>
      </c>
      <c r="L2238">
        <v>267.8272</v>
      </c>
      <c r="M2238">
        <v>-0.43782670000000001</v>
      </c>
      <c r="N2238">
        <v>0</v>
      </c>
      <c r="O2238">
        <v>-0.89874880000000001</v>
      </c>
      <c r="P2238">
        <v>-0.16902890000000001</v>
      </c>
      <c r="Q2238">
        <v>2.0511709999999999E-2</v>
      </c>
      <c r="R2238">
        <v>-0.98539779999999999</v>
      </c>
      <c r="S2238">
        <v>-6.149292E-2</v>
      </c>
      <c r="T2238">
        <v>-0.26411560000000001</v>
      </c>
      <c r="U2238">
        <v>-3.041779</v>
      </c>
      <c r="V2238">
        <v>-0.2799102</v>
      </c>
      <c r="W2238">
        <v>4.1111630000000003E-2</v>
      </c>
      <c r="X2238">
        <v>0.95914549999999998</v>
      </c>
      <c r="Y2238">
        <v>-0.41966300000000001</v>
      </c>
      <c r="Z2238">
        <v>6.9434679999999999E-2</v>
      </c>
      <c r="AA2238">
        <v>0.90502039999999995</v>
      </c>
      <c r="AB2238">
        <v>16</v>
      </c>
      <c r="AC2238">
        <v>-0.198599999999999</v>
      </c>
      <c r="AD2238">
        <v>-1.114501213966</v>
      </c>
      <c r="AE2238">
        <v>-12.695099999999901</v>
      </c>
      <c r="AF2238">
        <v>-5.3401182683146899</v>
      </c>
      <c r="AG2238">
        <v>-1.114501213966</v>
      </c>
      <c r="AH2238">
        <v>11.41193834872</v>
      </c>
      <c r="AI2238">
        <v>95.054969432373099</v>
      </c>
      <c r="AJ2238">
        <v>115.076839106492</v>
      </c>
      <c r="AK2238">
        <v>12.6487672502306</v>
      </c>
      <c r="AL2238">
        <v>87.643813041550104</v>
      </c>
      <c r="AM2238">
        <v>106.268981362234</v>
      </c>
      <c r="AN2238">
        <v>0.99999998817777302</v>
      </c>
    </row>
    <row r="2239" spans="1:40" x14ac:dyDescent="0.25">
      <c r="A2239" t="str">
        <f>"20190312151311668"</f>
        <v>20190312151311668</v>
      </c>
      <c r="B2239" t="str">
        <f>"1552374791662180"</f>
        <v>1552374791662180</v>
      </c>
      <c r="C2239" t="s">
        <v>40</v>
      </c>
      <c r="D2239">
        <v>4.6199170000000001</v>
      </c>
      <c r="E2239">
        <v>0.44375219999999999</v>
      </c>
      <c r="F2239" t="s">
        <v>42</v>
      </c>
      <c r="G2239">
        <v>-493.16930000000002</v>
      </c>
      <c r="H2239" s="1">
        <v>-3.0520370000000001E-6</v>
      </c>
      <c r="I2239">
        <v>254.73779999999999</v>
      </c>
      <c r="J2239">
        <v>-493.00439999999998</v>
      </c>
      <c r="K2239">
        <v>1.114347</v>
      </c>
      <c r="L2239">
        <v>267.68119999999999</v>
      </c>
      <c r="M2239">
        <v>-0.43105529999999997</v>
      </c>
      <c r="N2239">
        <v>0</v>
      </c>
      <c r="O2239">
        <v>-0.90202760000000004</v>
      </c>
      <c r="P2239">
        <v>-0.16308449999999999</v>
      </c>
      <c r="Q2239">
        <v>2.229163E-2</v>
      </c>
      <c r="R2239">
        <v>-0.98636040000000003</v>
      </c>
      <c r="S2239">
        <v>-5.2429199999999898E-2</v>
      </c>
      <c r="T2239">
        <v>-0.25891570000000003</v>
      </c>
      <c r="U2239">
        <v>-3.0408629999999999</v>
      </c>
      <c r="V2239">
        <v>-0.27845589999999998</v>
      </c>
      <c r="W2239">
        <v>4.2563759999999999E-2</v>
      </c>
      <c r="X2239">
        <v>0.95950539999999995</v>
      </c>
      <c r="Y2239">
        <v>-0.4155237</v>
      </c>
      <c r="Z2239">
        <v>6.8591769999999996E-2</v>
      </c>
      <c r="AA2239">
        <v>0.90699240000000003</v>
      </c>
      <c r="AB2239">
        <v>16</v>
      </c>
      <c r="AC2239">
        <v>-0.16490000000004501</v>
      </c>
      <c r="AD2239">
        <v>-1.114350052037</v>
      </c>
      <c r="AE2239">
        <v>-12.943399999999899</v>
      </c>
      <c r="AF2239">
        <v>-5.3920763686313098</v>
      </c>
      <c r="AG2239">
        <v>-1.114350052037</v>
      </c>
      <c r="AH2239">
        <v>11.6631082471086</v>
      </c>
      <c r="AI2239">
        <v>94.956579308655805</v>
      </c>
      <c r="AJ2239">
        <v>114.81199693468901</v>
      </c>
      <c r="AK2239">
        <v>12.8974554694869</v>
      </c>
      <c r="AL2239">
        <v>87.560539197798605</v>
      </c>
      <c r="AM2239">
        <v>106.183138023917</v>
      </c>
      <c r="AN2239">
        <v>0.999999987269653</v>
      </c>
    </row>
    <row r="2240" spans="1:40" x14ac:dyDescent="0.25">
      <c r="A2240" t="str">
        <f>"20190312151311691"</f>
        <v>20190312151311691</v>
      </c>
      <c r="B2240" t="str">
        <f>"1552374791681699"</f>
        <v>1552374791681699</v>
      </c>
      <c r="C2240" t="s">
        <v>40</v>
      </c>
      <c r="D2240">
        <v>4.6394199999999897</v>
      </c>
      <c r="E2240">
        <v>0.44246380000000002</v>
      </c>
      <c r="F2240" t="s">
        <v>42</v>
      </c>
      <c r="G2240">
        <v>-493.16680000000002</v>
      </c>
      <c r="H2240" s="1">
        <v>-2.8542129999999999E-6</v>
      </c>
      <c r="I2240">
        <v>254.2782</v>
      </c>
      <c r="J2240">
        <v>-493.06630000000001</v>
      </c>
      <c r="K2240">
        <v>1.114195</v>
      </c>
      <c r="L2240">
        <v>267.52980000000002</v>
      </c>
      <c r="M2240">
        <v>-0.42444569999999998</v>
      </c>
      <c r="N2240">
        <v>0</v>
      </c>
      <c r="O2240">
        <v>-0.90516600000000003</v>
      </c>
      <c r="P2240">
        <v>-0.15664810000000001</v>
      </c>
      <c r="Q2240">
        <v>2.4290490000000001E-2</v>
      </c>
      <c r="R2240">
        <v>-0.98735640000000002</v>
      </c>
      <c r="S2240">
        <v>-3.6834720000000001E-2</v>
      </c>
      <c r="T2240">
        <v>-0.2528416</v>
      </c>
      <c r="U2240">
        <v>-3.041077</v>
      </c>
      <c r="V2240">
        <v>-0.27766790000000002</v>
      </c>
      <c r="W2240">
        <v>4.4313999999999999E-2</v>
      </c>
      <c r="X2240">
        <v>0.95965449999999997</v>
      </c>
      <c r="Y2240">
        <v>-0.41352090000000002</v>
      </c>
      <c r="Z2240">
        <v>6.7412230000000004E-2</v>
      </c>
      <c r="AA2240">
        <v>0.90799560000000001</v>
      </c>
      <c r="AB2240">
        <v>16</v>
      </c>
      <c r="AC2240">
        <v>-0.10050000000001</v>
      </c>
      <c r="AD2240">
        <v>-1.114197854213</v>
      </c>
      <c r="AE2240">
        <v>-13.2516</v>
      </c>
      <c r="AF2240">
        <v>-5.4962026465677196</v>
      </c>
      <c r="AG2240">
        <v>-1.114197854213</v>
      </c>
      <c r="AH2240">
        <v>11.9561685771173</v>
      </c>
      <c r="AI2240">
        <v>94.839814785020707</v>
      </c>
      <c r="AJ2240">
        <v>114.68805172064999</v>
      </c>
      <c r="AK2240">
        <v>13.206045866758</v>
      </c>
      <c r="AL2240">
        <v>87.460163044286801</v>
      </c>
      <c r="AM2240">
        <v>106.13735201308501</v>
      </c>
      <c r="AN2240">
        <v>0.99999997632832904</v>
      </c>
    </row>
    <row r="2241" spans="1:40" x14ac:dyDescent="0.25">
      <c r="A2241" t="str">
        <f>"20190312151311713"</f>
        <v>20190312151311713</v>
      </c>
      <c r="B2241" t="str">
        <f>"1552374791702195"</f>
        <v>1552374791702195</v>
      </c>
      <c r="C2241" t="s">
        <v>40</v>
      </c>
      <c r="D2241">
        <v>4.6488129999999996</v>
      </c>
      <c r="E2241">
        <v>0.40732689999999999</v>
      </c>
      <c r="F2241" t="s">
        <v>42</v>
      </c>
      <c r="G2241">
        <v>-493.09429999999998</v>
      </c>
      <c r="H2241" s="1">
        <v>-2.8331239999999998E-6</v>
      </c>
      <c r="I2241">
        <v>254.274</v>
      </c>
      <c r="J2241">
        <v>-493.12240000000003</v>
      </c>
      <c r="K2241">
        <v>1.114042</v>
      </c>
      <c r="L2241">
        <v>267.39060000000001</v>
      </c>
      <c r="M2241">
        <v>-0.4184774</v>
      </c>
      <c r="N2241">
        <v>0</v>
      </c>
      <c r="O2241">
        <v>-0.90794889999999995</v>
      </c>
      <c r="P2241">
        <v>-0.1516863</v>
      </c>
      <c r="Q2241">
        <v>2.525227E-2</v>
      </c>
      <c r="R2241">
        <v>-0.9881067</v>
      </c>
      <c r="S2241">
        <v>-6.4086909999999898E-3</v>
      </c>
      <c r="T2241">
        <v>-0.25583149999999999</v>
      </c>
      <c r="U2241">
        <v>-3.0436709999999998</v>
      </c>
      <c r="V2241">
        <v>-0.27614450000000001</v>
      </c>
      <c r="W2241">
        <v>4.50657E-2</v>
      </c>
      <c r="X2241">
        <v>0.960059</v>
      </c>
      <c r="Y2241">
        <v>-0.41660520000000001</v>
      </c>
      <c r="Z2241">
        <v>6.8429279999999995E-2</v>
      </c>
      <c r="AA2241">
        <v>0.90650839999999999</v>
      </c>
      <c r="AB2241">
        <v>16</v>
      </c>
      <c r="AC2241">
        <v>2.8100000000051702E-2</v>
      </c>
      <c r="AD2241">
        <v>-1.114044833124</v>
      </c>
      <c r="AE2241">
        <v>-13.1166</v>
      </c>
      <c r="AF2241">
        <v>-5.4764028678929701</v>
      </c>
      <c r="AG2241">
        <v>-1.114044833124</v>
      </c>
      <c r="AH2241">
        <v>11.815219330963</v>
      </c>
      <c r="AI2241">
        <v>94.889546727921399</v>
      </c>
      <c r="AJ2241">
        <v>114.867917288394</v>
      </c>
      <c r="AK2241">
        <v>13.0702521819757</v>
      </c>
      <c r="AL2241">
        <v>87.4170507743587</v>
      </c>
      <c r="AM2241">
        <v>106.046973328292</v>
      </c>
      <c r="AN2241">
        <v>0.99999999283886898</v>
      </c>
    </row>
    <row r="2242" spans="1:40" x14ac:dyDescent="0.25">
      <c r="A2242" t="str">
        <f>"20190312151311735"</f>
        <v>20190312151311735</v>
      </c>
      <c r="B2242" t="str">
        <f>"1552374791732451"</f>
        <v>1552374791732451</v>
      </c>
      <c r="C2242" t="s">
        <v>40</v>
      </c>
      <c r="D2242">
        <v>4.6902629999999998</v>
      </c>
      <c r="E2242">
        <v>0.40737109999999999</v>
      </c>
      <c r="F2242" t="s">
        <v>41</v>
      </c>
      <c r="G2242">
        <v>-493.03550000000001</v>
      </c>
      <c r="H2242">
        <v>1.011916</v>
      </c>
      <c r="I2242">
        <v>266.46440000000001</v>
      </c>
      <c r="J2242">
        <v>-493.17739999999998</v>
      </c>
      <c r="K2242">
        <v>1.1138729999999999</v>
      </c>
      <c r="L2242">
        <v>267.25200000000001</v>
      </c>
      <c r="M2242">
        <v>-0.4125915</v>
      </c>
      <c r="N2242">
        <v>0</v>
      </c>
      <c r="O2242">
        <v>-0.91064710000000004</v>
      </c>
      <c r="P2242">
        <v>-0.14788860000000001</v>
      </c>
      <c r="Q2242">
        <v>2.5740499999999999E-2</v>
      </c>
      <c r="R2242">
        <v>-0.98866929999999997</v>
      </c>
      <c r="S2242">
        <v>0.28973389999999999</v>
      </c>
      <c r="T2242">
        <v>-0.340655599999999</v>
      </c>
      <c r="U2242">
        <v>-3.089264</v>
      </c>
      <c r="V2242">
        <v>-0.2735919</v>
      </c>
      <c r="W2242">
        <v>4.5355319999999998E-2</v>
      </c>
      <c r="X2242">
        <v>0.96077590000000002</v>
      </c>
      <c r="Y2242">
        <v>-0.49538510000000002</v>
      </c>
      <c r="Z2242">
        <v>8.7489330000000004E-2</v>
      </c>
      <c r="AA2242">
        <v>0.86425640000000004</v>
      </c>
      <c r="AB2242">
        <v>16</v>
      </c>
      <c r="AC2242">
        <v>0.141899999999964</v>
      </c>
      <c r="AD2242">
        <v>-0.10195699999999901</v>
      </c>
      <c r="AE2242">
        <v>-0.78759999999999697</v>
      </c>
      <c r="AF2242">
        <v>-0.44703336353252199</v>
      </c>
      <c r="AG2242">
        <v>-0.10195699999999901</v>
      </c>
      <c r="AH2242">
        <v>0.64831745719385303</v>
      </c>
      <c r="AI2242">
        <v>97.377014446921805</v>
      </c>
      <c r="AJ2242">
        <v>124.587369924176</v>
      </c>
      <c r="AK2242">
        <v>0.79407152276259296</v>
      </c>
      <c r="AL2242">
        <v>87.400439755753396</v>
      </c>
      <c r="AM2242">
        <v>105.894907884861</v>
      </c>
      <c r="AN2242">
        <v>0.99999998140936097</v>
      </c>
    </row>
    <row r="2243" spans="1:40" x14ac:dyDescent="0.25">
      <c r="A2243" t="str">
        <f>"20190312151311757"</f>
        <v>20190312151311757</v>
      </c>
      <c r="B2243" t="str">
        <f>"1552374791751971"</f>
        <v>1552374791751971</v>
      </c>
      <c r="C2243" t="s">
        <v>40</v>
      </c>
      <c r="D2243">
        <v>4.616352</v>
      </c>
      <c r="E2243">
        <v>0.40764860000000003</v>
      </c>
      <c r="F2243" t="s">
        <v>41</v>
      </c>
      <c r="G2243">
        <v>-493.08839999999998</v>
      </c>
      <c r="H2243">
        <v>1.0131220000000001</v>
      </c>
      <c r="I2243">
        <v>266.3408</v>
      </c>
      <c r="J2243">
        <v>-493.23180000000002</v>
      </c>
      <c r="K2243">
        <v>1.113726</v>
      </c>
      <c r="L2243">
        <v>267.11329999999998</v>
      </c>
      <c r="M2243">
        <v>-0.40681309999999998</v>
      </c>
      <c r="N2243">
        <v>0</v>
      </c>
      <c r="O2243">
        <v>-0.91325060000000002</v>
      </c>
      <c r="P2243">
        <v>-0.1440717</v>
      </c>
      <c r="Q2243">
        <v>2.6994839999999999E-2</v>
      </c>
      <c r="R2243">
        <v>-0.98919950000000001</v>
      </c>
      <c r="S2243">
        <v>0.30258180000000001</v>
      </c>
      <c r="T2243">
        <v>-0.34140350000000003</v>
      </c>
      <c r="U2243">
        <v>-3.0885310000000001</v>
      </c>
      <c r="V2243">
        <v>-0.27118340000000002</v>
      </c>
      <c r="W2243">
        <v>4.6432790000000002E-2</v>
      </c>
      <c r="X2243">
        <v>0.96140709999999996</v>
      </c>
      <c r="Y2243">
        <v>-0.49345840000000002</v>
      </c>
      <c r="Z2243">
        <v>8.816889E-2</v>
      </c>
      <c r="AA2243">
        <v>0.86528899999999997</v>
      </c>
      <c r="AB2243">
        <v>16</v>
      </c>
      <c r="AC2243">
        <v>0.14340000000004199</v>
      </c>
      <c r="AD2243">
        <v>-0.100604</v>
      </c>
      <c r="AE2243">
        <v>-0.77249999999997898</v>
      </c>
      <c r="AF2243">
        <v>-0.43814580840073503</v>
      </c>
      <c r="AG2243">
        <v>-0.100604</v>
      </c>
      <c r="AH2243">
        <v>0.63686174854718303</v>
      </c>
      <c r="AI2243">
        <v>97.415002724636494</v>
      </c>
      <c r="AJ2243">
        <v>124.527051155915</v>
      </c>
      <c r="AK2243">
        <v>0.77954204568946095</v>
      </c>
      <c r="AL2243">
        <v>87.3386402698099</v>
      </c>
      <c r="AM2243">
        <v>105.75212840687399</v>
      </c>
      <c r="AN2243">
        <v>1.00000002617657</v>
      </c>
    </row>
    <row r="2244" spans="1:40" x14ac:dyDescent="0.25">
      <c r="A2244" t="str">
        <f>"20190312151311791"</f>
        <v>20190312151311791</v>
      </c>
      <c r="B2244" t="str">
        <f>"1552374791782227"</f>
        <v>1552374791782227</v>
      </c>
      <c r="C2244" t="s">
        <v>40</v>
      </c>
      <c r="D2244">
        <v>4.6652360000000002</v>
      </c>
      <c r="E2244">
        <v>0.40812490000000001</v>
      </c>
      <c r="F2244" t="s">
        <v>41</v>
      </c>
      <c r="G2244">
        <v>-493.14120000000003</v>
      </c>
      <c r="H2244">
        <v>1.0177309999999999</v>
      </c>
      <c r="I2244">
        <v>266.21800000000002</v>
      </c>
      <c r="J2244">
        <v>-493.31369999999998</v>
      </c>
      <c r="K2244">
        <v>1.1135489999999999</v>
      </c>
      <c r="L2244">
        <v>266.89999999999998</v>
      </c>
      <c r="M2244">
        <v>-0.39830080000000001</v>
      </c>
      <c r="N2244">
        <v>0</v>
      </c>
      <c r="O2244">
        <v>-0.91700329999999997</v>
      </c>
      <c r="P2244">
        <v>-0.136512299999999</v>
      </c>
      <c r="Q2244">
        <v>3.0746869999999999E-2</v>
      </c>
      <c r="R2244">
        <v>-0.99016119999999996</v>
      </c>
      <c r="S2244">
        <v>0.31240839999999998</v>
      </c>
      <c r="T2244">
        <v>-0.33103860000000002</v>
      </c>
      <c r="U2244">
        <v>-3.0872799999999998</v>
      </c>
      <c r="V2244">
        <v>-0.26953290000000002</v>
      </c>
      <c r="W2244">
        <v>4.9972519999999999E-2</v>
      </c>
      <c r="X2244">
        <v>0.96169369999999998</v>
      </c>
      <c r="Y2244">
        <v>-0.48815619999999998</v>
      </c>
      <c r="Z2244">
        <v>8.6301039999999996E-2</v>
      </c>
      <c r="AA2244">
        <v>0.868479</v>
      </c>
      <c r="AB2244">
        <v>15</v>
      </c>
      <c r="AC2244">
        <v>0.17249999999995599</v>
      </c>
      <c r="AD2244">
        <v>-9.5817999999999903E-2</v>
      </c>
      <c r="AE2244">
        <v>-0.68199999999995897</v>
      </c>
      <c r="AF2244">
        <v>-0.42209269012383599</v>
      </c>
      <c r="AG2244">
        <v>-9.5817999999999903E-2</v>
      </c>
      <c r="AH2244">
        <v>0.54667583282896404</v>
      </c>
      <c r="AI2244">
        <v>97.898409288516206</v>
      </c>
      <c r="AJ2244">
        <v>127.67201141483299</v>
      </c>
      <c r="AK2244">
        <v>0.69727884980057897</v>
      </c>
      <c r="AL2244">
        <v>87.135592489843901</v>
      </c>
      <c r="AM2244">
        <v>105.656535779583</v>
      </c>
      <c r="AN2244">
        <v>1.0000000047786199</v>
      </c>
    </row>
    <row r="2245" spans="1:40" x14ac:dyDescent="0.25">
      <c r="A2245" t="str">
        <f>"20190312151311814"</f>
        <v>20190312151311814</v>
      </c>
      <c r="B2245" t="str">
        <f>"1552374791812484"</f>
        <v>1552374791812484</v>
      </c>
      <c r="C2245" t="s">
        <v>40</v>
      </c>
      <c r="D2245">
        <v>4.702744</v>
      </c>
      <c r="E2245">
        <v>0.40897640000000002</v>
      </c>
      <c r="F2245" t="s">
        <v>41</v>
      </c>
      <c r="G2245">
        <v>-493.21409999999997</v>
      </c>
      <c r="H2245">
        <v>1.015682</v>
      </c>
      <c r="I2245">
        <v>265.96879999999999</v>
      </c>
      <c r="J2245">
        <v>-493.36649999999997</v>
      </c>
      <c r="K2245">
        <v>1.1134329999999999</v>
      </c>
      <c r="L2245">
        <v>266.76060000000001</v>
      </c>
      <c r="M2245">
        <v>-0.39295999999999998</v>
      </c>
      <c r="N2245">
        <v>0</v>
      </c>
      <c r="O2245">
        <v>-0.91931149999999995</v>
      </c>
      <c r="P2245">
        <v>-0.13134799999999999</v>
      </c>
      <c r="Q2245">
        <v>3.064476E-2</v>
      </c>
      <c r="R2245">
        <v>-0.99086289999999999</v>
      </c>
      <c r="S2245">
        <v>0.33056639999999998</v>
      </c>
      <c r="T2245">
        <v>-0.3242487</v>
      </c>
      <c r="U2245">
        <v>-3.08548</v>
      </c>
      <c r="V2245">
        <v>-0.2689376</v>
      </c>
      <c r="W2245">
        <v>4.9665340000000002E-2</v>
      </c>
      <c r="X2245">
        <v>0.96187630000000002</v>
      </c>
      <c r="Y2245">
        <v>-0.48820809999999998</v>
      </c>
      <c r="Z2245">
        <v>8.4929030000000003E-2</v>
      </c>
      <c r="AA2245">
        <v>0.86858500000000005</v>
      </c>
      <c r="AB2245">
        <v>15</v>
      </c>
      <c r="AC2245">
        <v>0.15240000000000001</v>
      </c>
      <c r="AD2245">
        <v>-9.7750999999999894E-2</v>
      </c>
      <c r="AE2245">
        <v>-0.79180000000002304</v>
      </c>
      <c r="AF2245">
        <v>-0.44481290948463897</v>
      </c>
      <c r="AG2245">
        <v>-9.7750999999999894E-2</v>
      </c>
      <c r="AH2245">
        <v>0.65849611955820797</v>
      </c>
      <c r="AI2245">
        <v>97.012764189595799</v>
      </c>
      <c r="AJ2245">
        <v>124.038953395682</v>
      </c>
      <c r="AK2245">
        <v>0.80064406693511903</v>
      </c>
      <c r="AL2245">
        <v>87.153214611206593</v>
      </c>
      <c r="AM2245">
        <v>105.62082561924601</v>
      </c>
      <c r="AN2245">
        <v>1.0000000475963799</v>
      </c>
    </row>
    <row r="2246" spans="1:40" x14ac:dyDescent="0.25">
      <c r="A2246" t="str">
        <f>"20190312151311835"</f>
        <v>20190312151311835</v>
      </c>
      <c r="B2246" t="str">
        <f>"1552374791832004"</f>
        <v>1552374791832004</v>
      </c>
      <c r="C2246" t="s">
        <v>40</v>
      </c>
      <c r="D2246">
        <v>4.6669479999999997</v>
      </c>
      <c r="E2246">
        <v>0.4097556</v>
      </c>
      <c r="F2246" t="s">
        <v>41</v>
      </c>
      <c r="G2246">
        <v>-493.26639999999998</v>
      </c>
      <c r="H2246">
        <v>1.0156160000000001</v>
      </c>
      <c r="I2246">
        <v>265.84829999999999</v>
      </c>
      <c r="J2246">
        <v>-493.41520000000003</v>
      </c>
      <c r="K2246">
        <v>1.1133169999999999</v>
      </c>
      <c r="L2246">
        <v>266.63010000000003</v>
      </c>
      <c r="M2246">
        <v>-0.38806649999999998</v>
      </c>
      <c r="N2246">
        <v>0</v>
      </c>
      <c r="O2246">
        <v>-0.92139530000000003</v>
      </c>
      <c r="P2246">
        <v>-0.1272799</v>
      </c>
      <c r="Q2246">
        <v>2.933703E-2</v>
      </c>
      <c r="R2246">
        <v>-0.99143309999999996</v>
      </c>
      <c r="S2246">
        <v>0.33901979999999998</v>
      </c>
      <c r="T2246">
        <v>-0.33047130000000002</v>
      </c>
      <c r="U2246">
        <v>-3.0828549999999999</v>
      </c>
      <c r="V2246">
        <v>-0.26776620000000001</v>
      </c>
      <c r="W2246">
        <v>4.8106990000000002E-2</v>
      </c>
      <c r="X2246">
        <v>0.96228219999999998</v>
      </c>
      <c r="Y2246">
        <v>-0.4859752</v>
      </c>
      <c r="Z2246">
        <v>8.6999220000000002E-2</v>
      </c>
      <c r="AA2246">
        <v>0.86963169999999901</v>
      </c>
      <c r="AB2246">
        <v>15</v>
      </c>
      <c r="AC2246">
        <v>0.148800000000051</v>
      </c>
      <c r="AD2246">
        <v>-9.7700999999999996E-2</v>
      </c>
      <c r="AE2246">
        <v>-0.78180000000003202</v>
      </c>
      <c r="AF2246">
        <v>-0.434048173784994</v>
      </c>
      <c r="AG2246">
        <v>-9.7700999999999996E-2</v>
      </c>
      <c r="AH2246">
        <v>0.65290655529761599</v>
      </c>
      <c r="AI2246">
        <v>97.1033355506829</v>
      </c>
      <c r="AJ2246">
        <v>123.61571017084</v>
      </c>
      <c r="AK2246">
        <v>0.79008244665837701</v>
      </c>
      <c r="AL2246">
        <v>87.242608318622601</v>
      </c>
      <c r="AM2246">
        <v>105.549843862671</v>
      </c>
      <c r="AN2246">
        <v>1.00000002639306</v>
      </c>
    </row>
    <row r="2247" spans="1:40" x14ac:dyDescent="0.25">
      <c r="A2247" t="str">
        <f>"20190312151311858"</f>
        <v>20190312151311858</v>
      </c>
      <c r="B2247" t="str">
        <f>"1552374791852499"</f>
        <v>1552374791852499</v>
      </c>
      <c r="C2247" t="s">
        <v>40</v>
      </c>
      <c r="D2247">
        <v>4.7270750000000001</v>
      </c>
      <c r="E2247">
        <v>0.41060489999999999</v>
      </c>
      <c r="F2247" t="s">
        <v>41</v>
      </c>
      <c r="G2247">
        <v>-493.31369999999998</v>
      </c>
      <c r="H2247">
        <v>1.0152859999999999</v>
      </c>
      <c r="I2247">
        <v>265.72739999999999</v>
      </c>
      <c r="J2247">
        <v>-493.46559999999999</v>
      </c>
      <c r="K2247">
        <v>1.113189</v>
      </c>
      <c r="L2247">
        <v>266.49299999999999</v>
      </c>
      <c r="M2247">
        <v>-0.38305899999999998</v>
      </c>
      <c r="N2247">
        <v>0</v>
      </c>
      <c r="O2247">
        <v>-0.92349570000000003</v>
      </c>
      <c r="P2247">
        <v>-0.1228593</v>
      </c>
      <c r="Q2247">
        <v>2.8861669999999999E-2</v>
      </c>
      <c r="R2247">
        <v>-0.99200460000000001</v>
      </c>
      <c r="S2247">
        <v>0.34637449999999997</v>
      </c>
      <c r="T2247">
        <v>-0.33454050000000002</v>
      </c>
      <c r="U2247">
        <v>-3.080292</v>
      </c>
      <c r="V2247">
        <v>-0.26681959999999999</v>
      </c>
      <c r="W2247">
        <v>4.7377309999999999E-2</v>
      </c>
      <c r="X2247">
        <v>0.96258129999999997</v>
      </c>
      <c r="Y2247">
        <v>-0.4833421</v>
      </c>
      <c r="Z2247">
        <v>8.8536920000000005E-2</v>
      </c>
      <c r="AA2247">
        <v>0.87094300000000002</v>
      </c>
      <c r="AB2247">
        <v>15</v>
      </c>
      <c r="AC2247">
        <v>0.151900000000011</v>
      </c>
      <c r="AD2247">
        <v>-9.7902999999999796E-2</v>
      </c>
      <c r="AE2247">
        <v>-0.76560000000000605</v>
      </c>
      <c r="AF2247">
        <v>-0.426923447874268</v>
      </c>
      <c r="AG2247">
        <v>-9.7902999999999796E-2</v>
      </c>
      <c r="AH2247">
        <v>0.63892601181293496</v>
      </c>
      <c r="AI2247">
        <v>97.260705695987596</v>
      </c>
      <c r="AJ2247">
        <v>123.75041757746899</v>
      </c>
      <c r="AK2247">
        <v>0.77464512928504003</v>
      </c>
      <c r="AL2247">
        <v>87.284463650806103</v>
      </c>
      <c r="AM2247">
        <v>105.492934866167</v>
      </c>
      <c r="AN2247">
        <v>1.0000000337783399</v>
      </c>
    </row>
    <row r="2248" spans="1:40" x14ac:dyDescent="0.25">
      <c r="A2248" t="str">
        <f>"20190312151311892"</f>
        <v>20190312151311892</v>
      </c>
      <c r="B2248" t="str">
        <f>"1552374791881780"</f>
        <v>1552374791881780</v>
      </c>
      <c r="C2248" t="s">
        <v>40</v>
      </c>
      <c r="D2248">
        <v>4.7081780000000002</v>
      </c>
      <c r="E2248">
        <v>0.41156979999999999</v>
      </c>
      <c r="F2248" t="s">
        <v>41</v>
      </c>
      <c r="G2248">
        <v>-493.3639</v>
      </c>
      <c r="H2248">
        <v>1.0157050000000001</v>
      </c>
      <c r="I2248">
        <v>265.6078</v>
      </c>
      <c r="J2248">
        <v>-493.54149999999998</v>
      </c>
      <c r="K2248">
        <v>1.1129639999999901</v>
      </c>
      <c r="L2248">
        <v>266.28370000000001</v>
      </c>
      <c r="M2248">
        <v>-0.37572860000000002</v>
      </c>
      <c r="N2248">
        <v>0</v>
      </c>
      <c r="O2248">
        <v>-0.92651320000000004</v>
      </c>
      <c r="P2248">
        <v>-0.1159873</v>
      </c>
      <c r="Q2248">
        <v>2.9290610000000002E-2</v>
      </c>
      <c r="R2248">
        <v>-0.9928188</v>
      </c>
      <c r="S2248">
        <v>0.35385129999999998</v>
      </c>
      <c r="T2248">
        <v>-0.338885099999999</v>
      </c>
      <c r="U2248">
        <v>-3.0778500000000002</v>
      </c>
      <c r="V2248">
        <v>-0.26582610000000001</v>
      </c>
      <c r="W2248">
        <v>4.7455900000000002E-2</v>
      </c>
      <c r="X2248">
        <v>0.96285220000000005</v>
      </c>
      <c r="Y2248">
        <v>-0.4785452</v>
      </c>
      <c r="Z2248">
        <v>9.0369820000000003E-2</v>
      </c>
      <c r="AA2248">
        <v>0.87340019999999996</v>
      </c>
      <c r="AB2248">
        <v>15</v>
      </c>
      <c r="AC2248">
        <v>0.17759999999998399</v>
      </c>
      <c r="AD2248">
        <v>-9.7258999999999901E-2</v>
      </c>
      <c r="AE2248">
        <v>-0.67590000000001205</v>
      </c>
      <c r="AF2248">
        <v>-0.410634271886268</v>
      </c>
      <c r="AG2248">
        <v>-9.7258999999999901E-2</v>
      </c>
      <c r="AH2248">
        <v>0.54898016583641995</v>
      </c>
      <c r="AI2248">
        <v>98.0744911537723</v>
      </c>
      <c r="AJ2248">
        <v>126.79629506123599</v>
      </c>
      <c r="AK2248">
        <v>0.69242980930224896</v>
      </c>
      <c r="AL2248">
        <v>87.279955527321405</v>
      </c>
      <c r="AM2248">
        <v>105.43386727227799</v>
      </c>
      <c r="AN2248">
        <v>0.99999996846542905</v>
      </c>
    </row>
    <row r="2249" spans="1:40" x14ac:dyDescent="0.25">
      <c r="A2249" t="str">
        <f>"20190312151311917"</f>
        <v>20190312151311917</v>
      </c>
      <c r="B2249" t="str">
        <f>"1552374791912035"</f>
        <v>1552374791912035</v>
      </c>
      <c r="C2249" t="s">
        <v>40</v>
      </c>
      <c r="D2249">
        <v>4.734191</v>
      </c>
      <c r="E2249">
        <v>0.41285859999999902</v>
      </c>
      <c r="F2249" t="s">
        <v>41</v>
      </c>
      <c r="G2249">
        <v>-493.43209999999999</v>
      </c>
      <c r="H2249">
        <v>1.0102869999999999</v>
      </c>
      <c r="I2249">
        <v>265.36439999999999</v>
      </c>
      <c r="J2249">
        <v>-493.59620000000001</v>
      </c>
      <c r="K2249">
        <v>1.1127689999999999</v>
      </c>
      <c r="L2249">
        <v>266.1311</v>
      </c>
      <c r="M2249">
        <v>-0.37065629999999999</v>
      </c>
      <c r="N2249">
        <v>0</v>
      </c>
      <c r="O2249">
        <v>-0.92856309999999997</v>
      </c>
      <c r="P2249">
        <v>-0.11179740000000001</v>
      </c>
      <c r="Q2249">
        <v>2.9288660000000001E-2</v>
      </c>
      <c r="R2249">
        <v>-0.9932995</v>
      </c>
      <c r="S2249">
        <v>0.36724849999999998</v>
      </c>
      <c r="T2249">
        <v>-0.34331669999999997</v>
      </c>
      <c r="U2249">
        <v>-3.074738</v>
      </c>
      <c r="V2249">
        <v>-0.26460230000000001</v>
      </c>
      <c r="W2249">
        <v>4.712964E-2</v>
      </c>
      <c r="X2249">
        <v>0.96320530000000004</v>
      </c>
      <c r="Y2249">
        <v>-0.47757749999999999</v>
      </c>
      <c r="Z2249">
        <v>9.1973310000000003E-2</v>
      </c>
      <c r="AA2249">
        <v>0.87376239999999905</v>
      </c>
      <c r="AB2249">
        <v>15</v>
      </c>
      <c r="AC2249">
        <v>0.16410000000001901</v>
      </c>
      <c r="AD2249">
        <v>-0.102481999999999</v>
      </c>
      <c r="AE2249">
        <v>-0.76670000000001404</v>
      </c>
      <c r="AF2249">
        <v>-0.42930899491317698</v>
      </c>
      <c r="AG2249">
        <v>-0.102481999999999</v>
      </c>
      <c r="AH2249">
        <v>0.64029105939988895</v>
      </c>
      <c r="AI2249">
        <v>97.572444032324995</v>
      </c>
      <c r="AJ2249">
        <v>123.84147251864199</v>
      </c>
      <c r="AK2249">
        <v>0.77767693432735596</v>
      </c>
      <c r="AL2249">
        <v>87.2986699148572</v>
      </c>
      <c r="AM2249">
        <v>105.360812064501</v>
      </c>
      <c r="AN2249">
        <v>1.00000001503995</v>
      </c>
    </row>
    <row r="2250" spans="1:40" x14ac:dyDescent="0.25">
      <c r="A2250" t="str">
        <f>"20190312151311936"</f>
        <v>20190312151311936</v>
      </c>
      <c r="B2250" t="str">
        <f>"1552374791932531"</f>
        <v>1552374791932531</v>
      </c>
      <c r="C2250" t="s">
        <v>40</v>
      </c>
      <c r="D2250">
        <v>4.6762119999999996</v>
      </c>
      <c r="E2250">
        <v>0.413802</v>
      </c>
      <c r="F2250" t="s">
        <v>41</v>
      </c>
      <c r="G2250">
        <v>-493.48989999999998</v>
      </c>
      <c r="H2250">
        <v>1.0129379999999999</v>
      </c>
      <c r="I2250">
        <v>265.24619999999999</v>
      </c>
      <c r="J2250">
        <v>-493.63510000000002</v>
      </c>
      <c r="K2250">
        <v>1.112638</v>
      </c>
      <c r="L2250">
        <v>266.0215</v>
      </c>
      <c r="M2250">
        <v>-0.36717149999999998</v>
      </c>
      <c r="N2250">
        <v>0</v>
      </c>
      <c r="O2250">
        <v>-0.92995399999999995</v>
      </c>
      <c r="P2250">
        <v>-0.109094899999999</v>
      </c>
      <c r="Q2250">
        <v>2.831177E-2</v>
      </c>
      <c r="R2250">
        <v>-0.99362810000000001</v>
      </c>
      <c r="S2250">
        <v>0.3692627</v>
      </c>
      <c r="T2250">
        <v>-0.34658</v>
      </c>
      <c r="U2250">
        <v>-3.0719910000000001</v>
      </c>
      <c r="V2250">
        <v>-0.26360349999999999</v>
      </c>
      <c r="W2250">
        <v>4.586929E-2</v>
      </c>
      <c r="X2250">
        <v>0.96353999999999995</v>
      </c>
      <c r="Y2250">
        <v>-0.47492230000000002</v>
      </c>
      <c r="Z2250">
        <v>9.3228939999999996E-2</v>
      </c>
      <c r="AA2250">
        <v>0.87507549999999901</v>
      </c>
      <c r="AB2250">
        <v>15</v>
      </c>
      <c r="AC2250">
        <v>0.14520000000004499</v>
      </c>
      <c r="AD2250">
        <v>-9.9700000000000094E-2</v>
      </c>
      <c r="AE2250">
        <v>-0.77530000000001498</v>
      </c>
      <c r="AF2250">
        <v>-0.41317414866795699</v>
      </c>
      <c r="AG2250">
        <v>-9.9700000000000094E-2</v>
      </c>
      <c r="AH2250">
        <v>0.65730247511574502</v>
      </c>
      <c r="AI2250">
        <v>97.317712851954894</v>
      </c>
      <c r="AJ2250">
        <v>122.153081956477</v>
      </c>
      <c r="AK2250">
        <v>0.78275124459867595</v>
      </c>
      <c r="AL2250">
        <v>87.370960979897802</v>
      </c>
      <c r="AM2250">
        <v>105.300485972476</v>
      </c>
      <c r="AN2250">
        <v>1.0000000642886699</v>
      </c>
    </row>
    <row r="2251" spans="1:40" x14ac:dyDescent="0.25">
      <c r="A2251" t="str">
        <f>"20190312151311958"</f>
        <v>20190312151311958</v>
      </c>
      <c r="B2251" t="str">
        <f>"1552374791952052"</f>
        <v>1552374791952052</v>
      </c>
      <c r="C2251" t="s">
        <v>40</v>
      </c>
      <c r="D2251">
        <v>4.6688669999999997</v>
      </c>
      <c r="E2251">
        <v>0.4147381</v>
      </c>
      <c r="F2251" t="s">
        <v>41</v>
      </c>
      <c r="G2251">
        <v>-493.52710000000002</v>
      </c>
      <c r="H2251">
        <v>1.0104489999999999</v>
      </c>
      <c r="I2251">
        <v>265.12580000000003</v>
      </c>
      <c r="J2251">
        <v>-493.68310000000002</v>
      </c>
      <c r="K2251">
        <v>1.112468</v>
      </c>
      <c r="L2251">
        <v>265.8852</v>
      </c>
      <c r="M2251">
        <v>-0.36303360000000001</v>
      </c>
      <c r="N2251">
        <v>0</v>
      </c>
      <c r="O2251">
        <v>-0.93158730000000001</v>
      </c>
      <c r="P2251">
        <v>-0.1059673</v>
      </c>
      <c r="Q2251">
        <v>2.796746E-2</v>
      </c>
      <c r="R2251">
        <v>-0.99397650000000004</v>
      </c>
      <c r="S2251">
        <v>0.37026979999999998</v>
      </c>
      <c r="T2251">
        <v>-0.35019889999999998</v>
      </c>
      <c r="U2251">
        <v>-3.0698850000000002</v>
      </c>
      <c r="V2251">
        <v>-0.2623375</v>
      </c>
      <c r="W2251">
        <v>4.513238E-2</v>
      </c>
      <c r="X2251">
        <v>0.9639202</v>
      </c>
      <c r="Y2251">
        <v>-0.47134330000000002</v>
      </c>
      <c r="Z2251">
        <v>9.4638120000000006E-2</v>
      </c>
      <c r="AA2251">
        <v>0.87685749999999996</v>
      </c>
      <c r="AB2251">
        <v>15</v>
      </c>
      <c r="AC2251">
        <v>0.156000000000005</v>
      </c>
      <c r="AD2251">
        <v>-0.102019</v>
      </c>
      <c r="AE2251">
        <v>-0.75939999999997099</v>
      </c>
      <c r="AF2251">
        <v>-0.41392155481882698</v>
      </c>
      <c r="AG2251">
        <v>-0.102019</v>
      </c>
      <c r="AH2251">
        <v>0.63984844343115099</v>
      </c>
      <c r="AI2251">
        <v>97.624992014692197</v>
      </c>
      <c r="AJ2251">
        <v>122.899055182032</v>
      </c>
      <c r="AK2251">
        <v>0.76885951933100405</v>
      </c>
      <c r="AL2251">
        <v>87.4132264806736</v>
      </c>
      <c r="AM2251">
        <v>105.22469495648799</v>
      </c>
      <c r="AN2251">
        <v>1.00000002379937</v>
      </c>
    </row>
    <row r="2252" spans="1:40" x14ac:dyDescent="0.25">
      <c r="A2252" t="str">
        <f>"20190312151311981"</f>
        <v>20190312151311981</v>
      </c>
      <c r="B2252" t="str">
        <f>"1552374791972133"</f>
        <v>1552374791972133</v>
      </c>
      <c r="C2252" t="s">
        <v>40</v>
      </c>
      <c r="D2252">
        <v>4.6418359999999996</v>
      </c>
      <c r="E2252">
        <v>0.41561169999999997</v>
      </c>
      <c r="F2252" t="s">
        <v>41</v>
      </c>
      <c r="G2252">
        <v>-493.57380000000001</v>
      </c>
      <c r="H2252">
        <v>1.009973</v>
      </c>
      <c r="I2252">
        <v>264.98869999999999</v>
      </c>
      <c r="J2252">
        <v>-493.73219999999998</v>
      </c>
      <c r="K2252">
        <v>1.112276</v>
      </c>
      <c r="L2252">
        <v>265.74450000000002</v>
      </c>
      <c r="M2252">
        <v>-0.35899009999999998</v>
      </c>
      <c r="N2252">
        <v>0</v>
      </c>
      <c r="O2252">
        <v>-0.93316399999999999</v>
      </c>
      <c r="P2252">
        <v>-0.1031478</v>
      </c>
      <c r="Q2252">
        <v>2.849525E-2</v>
      </c>
      <c r="R2252">
        <v>-0.99425799999999998</v>
      </c>
      <c r="S2252">
        <v>0.37365720000000002</v>
      </c>
      <c r="T2252">
        <v>-0.35078880000000001</v>
      </c>
      <c r="U2252">
        <v>-3.0679319999999999</v>
      </c>
      <c r="V2252">
        <v>-0.26087009999999999</v>
      </c>
      <c r="W2252">
        <v>4.5180020000000001E-2</v>
      </c>
      <c r="X2252">
        <v>0.96431610000000001</v>
      </c>
      <c r="Y2252">
        <v>-0.46853149999999899</v>
      </c>
      <c r="Z2252">
        <v>9.5201030000000006E-2</v>
      </c>
      <c r="AA2252">
        <v>0.87830229999999998</v>
      </c>
      <c r="AB2252">
        <v>15</v>
      </c>
      <c r="AC2252">
        <v>0.15839999999997101</v>
      </c>
      <c r="AD2252">
        <v>-0.10230300000000001</v>
      </c>
      <c r="AE2252">
        <v>-0.75580000000002101</v>
      </c>
      <c r="AF2252">
        <v>-0.41197681257604102</v>
      </c>
      <c r="AG2252">
        <v>-0.10230300000000001</v>
      </c>
      <c r="AH2252">
        <v>0.63734286836933896</v>
      </c>
      <c r="AI2252">
        <v>97.677425993798593</v>
      </c>
      <c r="AJ2252">
        <v>122.878524765888</v>
      </c>
      <c r="AK2252">
        <v>0.76576545349772096</v>
      </c>
      <c r="AL2252">
        <v>87.410494040228997</v>
      </c>
      <c r="AM2252">
        <v>105.13752408160499</v>
      </c>
      <c r="AN2252">
        <v>0.99999999200020995</v>
      </c>
    </row>
    <row r="2253" spans="1:40" x14ac:dyDescent="0.25">
      <c r="A2253" t="str">
        <f>"20190312151312003"</f>
        <v>20190312151312003</v>
      </c>
      <c r="B2253" t="str">
        <f>"1552374791992629"</f>
        <v>1552374791992629</v>
      </c>
      <c r="C2253" t="s">
        <v>40</v>
      </c>
      <c r="D2253">
        <v>4.7933859999999999</v>
      </c>
      <c r="E2253">
        <v>0.45415309999999998</v>
      </c>
      <c r="F2253" t="s">
        <v>41</v>
      </c>
      <c r="G2253">
        <v>-493.6198</v>
      </c>
      <c r="H2253">
        <v>1.007409</v>
      </c>
      <c r="I2253">
        <v>264.8236</v>
      </c>
      <c r="J2253">
        <v>-493.77820000000003</v>
      </c>
      <c r="K2253">
        <v>1.112093</v>
      </c>
      <c r="L2253">
        <v>265.61180000000002</v>
      </c>
      <c r="M2253">
        <v>-0.35537790000000002</v>
      </c>
      <c r="N2253">
        <v>0</v>
      </c>
      <c r="O2253">
        <v>-0.93455739999999998</v>
      </c>
      <c r="P2253">
        <v>-0.1010486</v>
      </c>
      <c r="Q2253">
        <v>2.8176179999999999E-2</v>
      </c>
      <c r="R2253">
        <v>-0.99448250000000005</v>
      </c>
      <c r="S2253">
        <v>0.375</v>
      </c>
      <c r="T2253">
        <v>-0.34912199999999999</v>
      </c>
      <c r="U2253">
        <v>-3.0661930000000002</v>
      </c>
      <c r="V2253">
        <v>-0.25916060000000002</v>
      </c>
      <c r="W2253">
        <v>4.4341159999999998E-2</v>
      </c>
      <c r="X2253">
        <v>0.96481589999999995</v>
      </c>
      <c r="Y2253">
        <v>-0.46555419999999997</v>
      </c>
      <c r="Z2253">
        <v>9.5128889999999994E-2</v>
      </c>
      <c r="AA2253">
        <v>0.87989189999999995</v>
      </c>
      <c r="AB2253">
        <v>14</v>
      </c>
      <c r="AC2253">
        <v>0.15840000000002799</v>
      </c>
      <c r="AD2253">
        <v>-0.104683999999999</v>
      </c>
      <c r="AE2253">
        <v>-0.788200000000017</v>
      </c>
      <c r="AF2253">
        <v>-0.42106976043134497</v>
      </c>
      <c r="AG2253">
        <v>-0.104683999999999</v>
      </c>
      <c r="AH2253">
        <v>0.66908717516660998</v>
      </c>
      <c r="AI2253">
        <v>97.543127952948396</v>
      </c>
      <c r="AJ2253">
        <v>122.183016951395</v>
      </c>
      <c r="AK2253">
        <v>0.79745603701905998</v>
      </c>
      <c r="AL2253">
        <v>87.45860551653</v>
      </c>
      <c r="AM2253">
        <v>105.035397012191</v>
      </c>
      <c r="AN2253">
        <v>1.0000000379776499</v>
      </c>
    </row>
    <row r="2254" spans="1:40" x14ac:dyDescent="0.25">
      <c r="A2254" t="str">
        <f>"20190312151312025"</f>
        <v>20190312151312025</v>
      </c>
      <c r="B2254" t="str">
        <f>"1552374792021910"</f>
        <v>1552374792021910</v>
      </c>
      <c r="C2254" t="s">
        <v>40</v>
      </c>
      <c r="D2254">
        <v>4.9101549999999996</v>
      </c>
      <c r="E2254">
        <v>0.46775329999999898</v>
      </c>
      <c r="F2254" t="s">
        <v>42</v>
      </c>
      <c r="G2254">
        <v>-493.46039999999999</v>
      </c>
      <c r="H2254" s="1">
        <v>-2.0638180000000001E-6</v>
      </c>
      <c r="I2254">
        <v>252.25370000000001</v>
      </c>
      <c r="J2254">
        <v>-493.82350000000002</v>
      </c>
      <c r="K2254">
        <v>1.11191</v>
      </c>
      <c r="L2254">
        <v>265.4803</v>
      </c>
      <c r="M2254">
        <v>-0.35198400000000002</v>
      </c>
      <c r="N2254">
        <v>0</v>
      </c>
      <c r="O2254">
        <v>-0.93585200000000002</v>
      </c>
      <c r="P2254">
        <v>-9.9136349999999998E-2</v>
      </c>
      <c r="Q2254">
        <v>2.7380439999999999E-2</v>
      </c>
      <c r="R2254">
        <v>-0.99469739999999995</v>
      </c>
      <c r="S2254">
        <v>7.2113040000000003E-2</v>
      </c>
      <c r="T2254">
        <v>-0.2523456</v>
      </c>
      <c r="U2254">
        <v>-3.0310969999999999</v>
      </c>
      <c r="V2254">
        <v>-0.2575036</v>
      </c>
      <c r="W2254">
        <v>4.3029680000000001E-2</v>
      </c>
      <c r="X2254">
        <v>0.96531880000000003</v>
      </c>
      <c r="Y2254">
        <v>-0.37408570000000002</v>
      </c>
      <c r="Z2254">
        <v>7.1973770000000006E-2</v>
      </c>
      <c r="AA2254">
        <v>0.924597</v>
      </c>
      <c r="AB2254">
        <v>14</v>
      </c>
      <c r="AC2254">
        <v>0.36310000000003101</v>
      </c>
      <c r="AD2254">
        <v>-1.111912063818</v>
      </c>
      <c r="AE2254">
        <v>-13.2265999999999</v>
      </c>
      <c r="AF2254">
        <v>-4.9610456052035996</v>
      </c>
      <c r="AG2254">
        <v>-1.111912063818</v>
      </c>
      <c r="AH2254">
        <v>12.1661853915158</v>
      </c>
      <c r="AI2254">
        <v>94.837308812482704</v>
      </c>
      <c r="AJ2254">
        <v>112.184323483231</v>
      </c>
      <c r="AK2254">
        <v>13.1857646314237</v>
      </c>
      <c r="AL2254">
        <v>87.533819551504095</v>
      </c>
      <c r="AM2254">
        <v>104.936141279008</v>
      </c>
      <c r="AN2254">
        <v>1.00000002150365</v>
      </c>
    </row>
    <row r="2255" spans="1:40" x14ac:dyDescent="0.25">
      <c r="A2255" t="str">
        <f>"20190312151312048"</f>
        <v>20190312151312048</v>
      </c>
      <c r="B2255" t="str">
        <f>"1552374792042405"</f>
        <v>1552374792042405</v>
      </c>
      <c r="C2255" t="s">
        <v>40</v>
      </c>
      <c r="D2255">
        <v>4.7323629999999897</v>
      </c>
      <c r="E2255">
        <v>0.47059139999999999</v>
      </c>
      <c r="F2255" t="s">
        <v>42</v>
      </c>
      <c r="G2255">
        <v>-493.96409999999997</v>
      </c>
      <c r="H2255" s="1">
        <v>-1.9293619999999999E-6</v>
      </c>
      <c r="I2255">
        <v>251.62790000000001</v>
      </c>
      <c r="J2255">
        <v>-493.86959999999999</v>
      </c>
      <c r="K2255">
        <v>1.1117520000000001</v>
      </c>
      <c r="L2255">
        <v>265.34539999999998</v>
      </c>
      <c r="M2255">
        <v>-0.34870250000000003</v>
      </c>
      <c r="N2255">
        <v>0</v>
      </c>
      <c r="O2255">
        <v>-0.93708990000000003</v>
      </c>
      <c r="P2255">
        <v>-9.7104599999999999E-2</v>
      </c>
      <c r="Q2255">
        <v>2.6937429999999998E-2</v>
      </c>
      <c r="R2255">
        <v>-0.99491010000000002</v>
      </c>
      <c r="S2255">
        <v>-3.0639650000000001E-2</v>
      </c>
      <c r="T2255">
        <v>-0.24238029999999999</v>
      </c>
      <c r="U2255">
        <v>-3.0196230000000002</v>
      </c>
      <c r="V2255">
        <v>-0.25608039999999999</v>
      </c>
      <c r="W2255">
        <v>4.211546E-2</v>
      </c>
      <c r="X2255">
        <v>0.96573759999999997</v>
      </c>
      <c r="Y2255">
        <v>-0.33921449999999997</v>
      </c>
      <c r="Z2255">
        <v>7.0114720000000005E-2</v>
      </c>
      <c r="AA2255">
        <v>0.9380925</v>
      </c>
      <c r="AB2255">
        <v>14</v>
      </c>
      <c r="AC2255">
        <v>-9.4499999999982195E-2</v>
      </c>
      <c r="AD2255">
        <v>-1.111753929362</v>
      </c>
      <c r="AE2255">
        <v>-13.7174999999999</v>
      </c>
      <c r="AF2255">
        <v>-4.6647641894601497</v>
      </c>
      <c r="AG2255">
        <v>-1.111753929362</v>
      </c>
      <c r="AH2255">
        <v>12.8051107473422</v>
      </c>
      <c r="AI2255">
        <v>94.663678779799994</v>
      </c>
      <c r="AJ2255">
        <v>110.016138446985</v>
      </c>
      <c r="AK2255">
        <v>13.6735833999146</v>
      </c>
      <c r="AL2255">
        <v>87.586247974993796</v>
      </c>
      <c r="AM2255">
        <v>104.851092835212</v>
      </c>
      <c r="AN2255">
        <v>0.99999999764446501</v>
      </c>
    </row>
    <row r="2256" spans="1:40" x14ac:dyDescent="0.25">
      <c r="A2256" t="str">
        <f>"20190312151312070"</f>
        <v>20190312151312070</v>
      </c>
      <c r="B2256" t="str">
        <f>"1552374792061937"</f>
        <v>1552374792061937</v>
      </c>
      <c r="C2256" t="s">
        <v>40</v>
      </c>
      <c r="D2256">
        <v>4.8678819999999998</v>
      </c>
      <c r="E2256">
        <v>0.47280359999999999</v>
      </c>
      <c r="F2256" t="s">
        <v>42</v>
      </c>
      <c r="G2256">
        <v>-494.08569999999997</v>
      </c>
      <c r="H2256" s="1">
        <v>-1.866453E-6</v>
      </c>
      <c r="I2256">
        <v>251.4058</v>
      </c>
      <c r="J2256">
        <v>-493.9171</v>
      </c>
      <c r="K2256">
        <v>1.1116440000000001</v>
      </c>
      <c r="L2256">
        <v>265.20580000000001</v>
      </c>
      <c r="M2256">
        <v>-0.34552250000000001</v>
      </c>
      <c r="N2256">
        <v>0</v>
      </c>
      <c r="O2256">
        <v>-0.93827159999999998</v>
      </c>
      <c r="P2256">
        <v>-9.5290150000000004E-2</v>
      </c>
      <c r="Q2256">
        <v>2.6575419999999999E-2</v>
      </c>
      <c r="R2256">
        <v>-0.99509479999999995</v>
      </c>
      <c r="S2256">
        <v>-4.6783449999999997E-2</v>
      </c>
      <c r="T2256">
        <v>-0.2406431</v>
      </c>
      <c r="U2256">
        <v>-3.0172729999999999</v>
      </c>
      <c r="V2256">
        <v>-0.25455280000000002</v>
      </c>
      <c r="W2256">
        <v>4.1577580000000003E-2</v>
      </c>
      <c r="X2256">
        <v>0.96616469999999999</v>
      </c>
      <c r="Y2256">
        <v>-0.33098630000000001</v>
      </c>
      <c r="Z2256">
        <v>6.9925749999999995E-2</v>
      </c>
      <c r="AA2256">
        <v>0.94104120000000002</v>
      </c>
      <c r="AB2256">
        <v>14</v>
      </c>
      <c r="AC2256">
        <v>-0.168599999999969</v>
      </c>
      <c r="AD2256">
        <v>-1.111645866453</v>
      </c>
      <c r="AE2256">
        <v>-13.8</v>
      </c>
      <c r="AF2256">
        <v>-4.58089792345526</v>
      </c>
      <c r="AG2256">
        <v>-1.111645866453</v>
      </c>
      <c r="AH2256">
        <v>12.924245951975999</v>
      </c>
      <c r="AI2256">
        <v>94.634868624917203</v>
      </c>
      <c r="AJ2256">
        <v>109.516473710505</v>
      </c>
      <c r="AK2256">
        <v>13.757053308928</v>
      </c>
      <c r="AL2256">
        <v>87.617093314244499</v>
      </c>
      <c r="AM2256">
        <v>104.760140757952</v>
      </c>
      <c r="AN2256">
        <v>1.00000002533629</v>
      </c>
    </row>
    <row r="2257" spans="1:40" x14ac:dyDescent="0.25">
      <c r="A2257" t="str">
        <f>"20190312151312094"</f>
        <v>20190312151312094</v>
      </c>
      <c r="B2257" t="str">
        <f>"1552374792082437"</f>
        <v>1552374792082437</v>
      </c>
      <c r="C2257" t="s">
        <v>40</v>
      </c>
      <c r="D2257">
        <v>4.769139</v>
      </c>
      <c r="E2257">
        <v>0.47411429999999999</v>
      </c>
      <c r="F2257" t="s">
        <v>42</v>
      </c>
      <c r="G2257">
        <v>-494.1848</v>
      </c>
      <c r="H2257" s="1">
        <v>-1.8638869999999999E-6</v>
      </c>
      <c r="I2257">
        <v>251.3383</v>
      </c>
      <c r="J2257">
        <v>-493.96190000000001</v>
      </c>
      <c r="K2257">
        <v>1.1117440000000001</v>
      </c>
      <c r="L2257">
        <v>265.07350000000002</v>
      </c>
      <c r="M2257">
        <v>-0.34276839999999997</v>
      </c>
      <c r="N2257">
        <v>0</v>
      </c>
      <c r="O2257">
        <v>-0.93926690000000002</v>
      </c>
      <c r="P2257">
        <v>-9.4070979999999998E-2</v>
      </c>
      <c r="Q2257">
        <v>2.506968E-2</v>
      </c>
      <c r="R2257">
        <v>-0.99524970000000001</v>
      </c>
      <c r="S2257">
        <v>-5.8227540000000001E-2</v>
      </c>
      <c r="T2257">
        <v>-0.2417407</v>
      </c>
      <c r="U2257">
        <v>-3.0156559999999999</v>
      </c>
      <c r="V2257">
        <v>-0.25289830000000002</v>
      </c>
      <c r="W2257">
        <v>4.09787E-2</v>
      </c>
      <c r="X2257">
        <v>0.96662459999999994</v>
      </c>
      <c r="Y2257">
        <v>-0.32463920000000002</v>
      </c>
      <c r="Z2257">
        <v>7.0488040000000002E-2</v>
      </c>
      <c r="AA2257">
        <v>0.94320769999999998</v>
      </c>
      <c r="AB2257">
        <v>14</v>
      </c>
      <c r="AC2257">
        <v>-0.222899999999981</v>
      </c>
      <c r="AD2257">
        <v>-1.1117458638869999</v>
      </c>
      <c r="AE2257">
        <v>-13.735200000000001</v>
      </c>
      <c r="AF2257">
        <v>-4.4699992743103403</v>
      </c>
      <c r="AG2257">
        <v>-1.1117458638869999</v>
      </c>
      <c r="AH2257">
        <v>12.894829506646699</v>
      </c>
      <c r="AI2257">
        <v>94.657076339506503</v>
      </c>
      <c r="AJ2257">
        <v>109.118900127472</v>
      </c>
      <c r="AK2257">
        <v>13.692826603141199</v>
      </c>
      <c r="AL2257">
        <v>87.651435728708094</v>
      </c>
      <c r="AM2257">
        <v>104.661676957729</v>
      </c>
      <c r="AN2257">
        <v>0.99999996066086905</v>
      </c>
    </row>
    <row r="2258" spans="1:40" x14ac:dyDescent="0.25">
      <c r="A2258" t="str">
        <f>"20190312151312116"</f>
        <v>20190312151312116</v>
      </c>
      <c r="B2258" t="str">
        <f>"1552374792112689"</f>
        <v>1552374792112689</v>
      </c>
      <c r="C2258" t="s">
        <v>40</v>
      </c>
      <c r="D2258">
        <v>4.83453</v>
      </c>
      <c r="E2258">
        <v>0.4756531</v>
      </c>
      <c r="F2258" t="s">
        <v>42</v>
      </c>
      <c r="G2258">
        <v>-494.26100000000002</v>
      </c>
      <c r="H2258" s="1">
        <v>-1.828907E-6</v>
      </c>
      <c r="I2258">
        <v>251.20959999999999</v>
      </c>
      <c r="J2258">
        <v>-494.00540000000001</v>
      </c>
      <c r="K2258">
        <v>1.1119019999999999</v>
      </c>
      <c r="L2258">
        <v>264.94450000000001</v>
      </c>
      <c r="M2258">
        <v>-0.34029490000000001</v>
      </c>
      <c r="N2258">
        <v>0</v>
      </c>
      <c r="O2258">
        <v>-0.94014169999999997</v>
      </c>
      <c r="P2258">
        <v>-9.4186729999999996E-2</v>
      </c>
      <c r="Q2258">
        <v>2.395394E-2</v>
      </c>
      <c r="R2258">
        <v>-0.99526669999999995</v>
      </c>
      <c r="S2258">
        <v>-6.5032960000000001E-2</v>
      </c>
      <c r="T2258">
        <v>-0.2417088</v>
      </c>
      <c r="U2258">
        <v>-3.014221</v>
      </c>
      <c r="V2258">
        <v>-0.25023669999999998</v>
      </c>
      <c r="W2258">
        <v>4.1257410000000001E-2</v>
      </c>
      <c r="X2258">
        <v>0.96730519999999998</v>
      </c>
      <c r="Y2258">
        <v>-0.32001760000000001</v>
      </c>
      <c r="Z2258">
        <v>7.0681530000000006E-2</v>
      </c>
      <c r="AA2258">
        <v>0.94477129999999998</v>
      </c>
      <c r="AB2258">
        <v>14</v>
      </c>
      <c r="AC2258">
        <v>-0.25559999999995803</v>
      </c>
      <c r="AD2258">
        <v>-1.111903828907</v>
      </c>
      <c r="AE2258">
        <v>-13.7349</v>
      </c>
      <c r="AF2258">
        <v>-4.4054924335889503</v>
      </c>
      <c r="AG2258">
        <v>-1.111903828907</v>
      </c>
      <c r="AH2258">
        <v>12.9172703783556</v>
      </c>
      <c r="AI2258">
        <v>94.657651537082799</v>
      </c>
      <c r="AJ2258">
        <v>108.832170562416</v>
      </c>
      <c r="AK2258">
        <v>13.693084668353301</v>
      </c>
      <c r="AL2258">
        <v>87.635453314998699</v>
      </c>
      <c r="AM2258">
        <v>104.50413974983699</v>
      </c>
      <c r="AN2258">
        <v>0.99999996492691801</v>
      </c>
    </row>
    <row r="2259" spans="1:40" x14ac:dyDescent="0.25">
      <c r="A2259" t="str">
        <f>"20190312151312140"</f>
        <v>20190312151312140</v>
      </c>
      <c r="B2259" t="str">
        <f>"1552374792132211"</f>
        <v>1552374792132211</v>
      </c>
      <c r="C2259" t="s">
        <v>40</v>
      </c>
      <c r="D2259">
        <v>4.7907089999999997</v>
      </c>
      <c r="E2259">
        <v>0.47656660000000001</v>
      </c>
      <c r="F2259" t="s">
        <v>42</v>
      </c>
      <c r="G2259">
        <v>-494.3492</v>
      </c>
      <c r="H2259" s="1">
        <v>-1.9966379999999999E-6</v>
      </c>
      <c r="I2259">
        <v>251.54580000000001</v>
      </c>
      <c r="J2259">
        <v>-494.04910000000001</v>
      </c>
      <c r="K2259">
        <v>1.1121080000000001</v>
      </c>
      <c r="L2259">
        <v>264.81459999999998</v>
      </c>
      <c r="M2259">
        <v>-0.33805869999999999</v>
      </c>
      <c r="N2259">
        <v>0</v>
      </c>
      <c r="O2259">
        <v>-0.94091709999999995</v>
      </c>
      <c r="P2259">
        <v>-9.5260170000000005E-2</v>
      </c>
      <c r="Q2259">
        <v>2.2343189999999999E-2</v>
      </c>
      <c r="R2259">
        <v>-0.99520169999999997</v>
      </c>
      <c r="S2259">
        <v>-7.7301030000000007E-2</v>
      </c>
      <c r="T2259">
        <v>-0.2500346</v>
      </c>
      <c r="U2259">
        <v>-3.0129700000000001</v>
      </c>
      <c r="V2259">
        <v>-0.2468979</v>
      </c>
      <c r="W2259">
        <v>4.1235019999999997E-2</v>
      </c>
      <c r="X2259">
        <v>0.96816380000000002</v>
      </c>
      <c r="Y2259">
        <v>-0.31391960000000002</v>
      </c>
      <c r="Z2259">
        <v>7.3312420000000003E-2</v>
      </c>
      <c r="AA2259">
        <v>0.94661490000000004</v>
      </c>
      <c r="AB2259">
        <v>14</v>
      </c>
      <c r="AC2259">
        <v>-0.30009999999998599</v>
      </c>
      <c r="AD2259">
        <v>-1.1121099966379999</v>
      </c>
      <c r="AE2259">
        <v>-13.268799999999899</v>
      </c>
      <c r="AF2259">
        <v>-4.1747748769961497</v>
      </c>
      <c r="AG2259">
        <v>-1.1121099966379999</v>
      </c>
      <c r="AH2259">
        <v>12.5009839723285</v>
      </c>
      <c r="AI2259">
        <v>94.823238183100798</v>
      </c>
      <c r="AJ2259">
        <v>108.467036011819</v>
      </c>
      <c r="AK2259">
        <v>13.226493647019</v>
      </c>
      <c r="AL2259">
        <v>87.636737394566595</v>
      </c>
      <c r="AM2259">
        <v>104.306448188212</v>
      </c>
      <c r="AN2259">
        <v>1.0000000217646201</v>
      </c>
    </row>
    <row r="2260" spans="1:40" x14ac:dyDescent="0.25">
      <c r="A2260" t="str">
        <f>"20190312151312160"</f>
        <v>20190312151312160</v>
      </c>
      <c r="B2260" t="str">
        <f>"1552374792152705"</f>
        <v>1552374792152705</v>
      </c>
      <c r="C2260" t="s">
        <v>40</v>
      </c>
      <c r="D2260">
        <v>4.7992879999999998</v>
      </c>
      <c r="E2260">
        <v>0.47715010000000002</v>
      </c>
      <c r="F2260" t="s">
        <v>42</v>
      </c>
      <c r="G2260">
        <v>-494.4228</v>
      </c>
      <c r="H2260" s="1">
        <v>-2.1422870000000001E-6</v>
      </c>
      <c r="I2260">
        <v>251.83969999999999</v>
      </c>
      <c r="J2260">
        <v>-494.08659999999998</v>
      </c>
      <c r="K2260">
        <v>1.112279</v>
      </c>
      <c r="L2260">
        <v>264.70319999999998</v>
      </c>
      <c r="M2260">
        <v>-0.33629350000000002</v>
      </c>
      <c r="N2260">
        <v>0</v>
      </c>
      <c r="O2260">
        <v>-0.94152020000000003</v>
      </c>
      <c r="P2260">
        <v>-9.6745250000000005E-2</v>
      </c>
      <c r="Q2260">
        <v>2.0706680000000002E-2</v>
      </c>
      <c r="R2260">
        <v>-0.99509389999999998</v>
      </c>
      <c r="S2260">
        <v>-8.6730959999999996E-2</v>
      </c>
      <c r="T2260">
        <v>-0.25816240000000001</v>
      </c>
      <c r="U2260">
        <v>-3.0119630000000002</v>
      </c>
      <c r="V2260">
        <v>-0.2436468</v>
      </c>
      <c r="W2260">
        <v>4.0972500000000002E-2</v>
      </c>
      <c r="X2260">
        <v>0.96899820000000003</v>
      </c>
      <c r="Y2260">
        <v>-0.3091798</v>
      </c>
      <c r="Z2260">
        <v>7.5849050000000001E-2</v>
      </c>
      <c r="AA2260">
        <v>0.94797410000000004</v>
      </c>
      <c r="AB2260">
        <v>13</v>
      </c>
      <c r="AC2260">
        <v>-0.33620000000001898</v>
      </c>
      <c r="AD2260">
        <v>-1.112281142287</v>
      </c>
      <c r="AE2260">
        <v>-12.863499999999901</v>
      </c>
      <c r="AF2260">
        <v>-3.9805265788386999</v>
      </c>
      <c r="AG2260">
        <v>-1.112281142287</v>
      </c>
      <c r="AH2260">
        <v>12.136358160908401</v>
      </c>
      <c r="AI2260">
        <v>94.977007947895501</v>
      </c>
      <c r="AJ2260">
        <v>108.158642673514</v>
      </c>
      <c r="AK2260">
        <v>12.8208014801796</v>
      </c>
      <c r="AL2260">
        <v>87.651791377672197</v>
      </c>
      <c r="AM2260">
        <v>104.11397500425601</v>
      </c>
      <c r="AN2260">
        <v>1.0000000102548601</v>
      </c>
    </row>
    <row r="2261" spans="1:40" x14ac:dyDescent="0.25">
      <c r="A2261" t="str">
        <f>"20190312151312181"</f>
        <v>20190312151312181</v>
      </c>
      <c r="B2261" t="str">
        <f>"1552374792172229"</f>
        <v>1552374792172229</v>
      </c>
      <c r="C2261" t="s">
        <v>40</v>
      </c>
      <c r="D2261">
        <v>4.848948</v>
      </c>
      <c r="E2261">
        <v>0.47755330000000001</v>
      </c>
      <c r="F2261" t="s">
        <v>42</v>
      </c>
      <c r="G2261">
        <v>-494.4855</v>
      </c>
      <c r="H2261" s="1">
        <v>-2.274031E-6</v>
      </c>
      <c r="I2261">
        <v>252.1079</v>
      </c>
      <c r="J2261">
        <v>-494.12470000000002</v>
      </c>
      <c r="K2261">
        <v>1.112384</v>
      </c>
      <c r="L2261">
        <v>264.58909999999997</v>
      </c>
      <c r="M2261">
        <v>-0.3344065</v>
      </c>
      <c r="N2261">
        <v>0</v>
      </c>
      <c r="O2261">
        <v>-0.94216690000000003</v>
      </c>
      <c r="P2261">
        <v>-9.7366770000000005E-2</v>
      </c>
      <c r="Q2261">
        <v>1.8547330000000001E-2</v>
      </c>
      <c r="R2261">
        <v>-0.99507610000000002</v>
      </c>
      <c r="S2261">
        <v>-9.5367430000000003E-2</v>
      </c>
      <c r="T2261">
        <v>-0.26590340000000001</v>
      </c>
      <c r="U2261">
        <v>-3.011047</v>
      </c>
      <c r="V2261">
        <v>-0.24111730000000001</v>
      </c>
      <c r="W2261">
        <v>3.99148E-2</v>
      </c>
      <c r="X2261">
        <v>0.96967479999999995</v>
      </c>
      <c r="Y2261">
        <v>-0.30455949999999998</v>
      </c>
      <c r="Z2261">
        <v>7.8281580000000003E-2</v>
      </c>
      <c r="AA2261">
        <v>0.94927099999999998</v>
      </c>
      <c r="AB2261">
        <v>13</v>
      </c>
      <c r="AC2261">
        <v>-0.36079999999998302</v>
      </c>
      <c r="AD2261">
        <v>-1.112386274031</v>
      </c>
      <c r="AE2261">
        <v>-12.4811999999999</v>
      </c>
      <c r="AF2261">
        <v>-3.8046117971946898</v>
      </c>
      <c r="AG2261">
        <v>-1.112386274031</v>
      </c>
      <c r="AH2261">
        <v>11.7893938099755</v>
      </c>
      <c r="AI2261">
        <v>95.131100960863705</v>
      </c>
      <c r="AJ2261">
        <v>107.88565806967399</v>
      </c>
      <c r="AK2261">
        <v>12.4379371503756</v>
      </c>
      <c r="AL2261">
        <v>87.712442681895396</v>
      </c>
      <c r="AM2261">
        <v>103.963847342734</v>
      </c>
      <c r="AN2261">
        <v>0.99999998068668405</v>
      </c>
    </row>
    <row r="2262" spans="1:40" x14ac:dyDescent="0.25">
      <c r="A2262" t="str">
        <f>"20190312151312204"</f>
        <v>20190312151312204</v>
      </c>
      <c r="B2262" t="str">
        <f>"1552374792192726"</f>
        <v>1552374792192726</v>
      </c>
      <c r="C2262" t="s">
        <v>40</v>
      </c>
      <c r="D2262">
        <v>4.865005</v>
      </c>
      <c r="E2262">
        <v>0.47806290000000001</v>
      </c>
      <c r="F2262" t="s">
        <v>42</v>
      </c>
      <c r="G2262">
        <v>-494.52980000000002</v>
      </c>
      <c r="H2262" s="1">
        <v>-2.4308870000000002E-6</v>
      </c>
      <c r="I2262">
        <v>252.4461</v>
      </c>
      <c r="J2262">
        <v>-494.16340000000002</v>
      </c>
      <c r="K2262">
        <v>1.1123019999999999</v>
      </c>
      <c r="L2262">
        <v>264.47289999999998</v>
      </c>
      <c r="M2262">
        <v>-0.33219130000000002</v>
      </c>
      <c r="N2262">
        <v>0</v>
      </c>
      <c r="O2262">
        <v>-0.94294909999999998</v>
      </c>
      <c r="P2262">
        <v>-9.7455269999999997E-2</v>
      </c>
      <c r="Q2262">
        <v>1.8013080000000001E-2</v>
      </c>
      <c r="R2262">
        <v>-0.99507699999999999</v>
      </c>
      <c r="S2262">
        <v>-0.1004028</v>
      </c>
      <c r="T2262">
        <v>-0.27575119999999997</v>
      </c>
      <c r="U2262">
        <v>-3.0101619999999998</v>
      </c>
      <c r="V2262">
        <v>-0.23876159999999999</v>
      </c>
      <c r="W2262">
        <v>3.9386400000000002E-2</v>
      </c>
      <c r="X2262">
        <v>0.97027920000000001</v>
      </c>
      <c r="Y2262">
        <v>-0.30073100000000003</v>
      </c>
      <c r="Z2262">
        <v>8.1342339999999999E-2</v>
      </c>
      <c r="AA2262">
        <v>0.95023380000000002</v>
      </c>
      <c r="AB2262">
        <v>13</v>
      </c>
      <c r="AC2262">
        <v>-0.36639999999999801</v>
      </c>
      <c r="AD2262">
        <v>-1.112304430887</v>
      </c>
      <c r="AE2262">
        <v>-12.0267999999999</v>
      </c>
      <c r="AF2262">
        <v>-3.61967470758557</v>
      </c>
      <c r="AG2262">
        <v>-1.112304430887</v>
      </c>
      <c r="AH2262">
        <v>11.3680711137595</v>
      </c>
      <c r="AI2262">
        <v>95.326435707936</v>
      </c>
      <c r="AJ2262">
        <v>107.661845211933</v>
      </c>
      <c r="AK2262">
        <v>11.982166205791</v>
      </c>
      <c r="AL2262">
        <v>87.7427417743353</v>
      </c>
      <c r="AM2262">
        <v>103.82439955208299</v>
      </c>
      <c r="AN2262">
        <v>1.00000005804607</v>
      </c>
    </row>
    <row r="2263" spans="1:40" x14ac:dyDescent="0.25">
      <c r="A2263" t="str">
        <f>"20190312151312226"</f>
        <v>20190312151312226</v>
      </c>
      <c r="B2263" t="str">
        <f>"1552374792222001"</f>
        <v>1552374792222001</v>
      </c>
      <c r="C2263" t="s">
        <v>40</v>
      </c>
      <c r="D2263">
        <v>4.8840839999999996</v>
      </c>
      <c r="E2263">
        <v>0.47849419999999998</v>
      </c>
      <c r="F2263" t="s">
        <v>42</v>
      </c>
      <c r="G2263">
        <v>-494.58</v>
      </c>
      <c r="H2263" s="1">
        <v>-2.45705E-6</v>
      </c>
      <c r="I2263">
        <v>252.476</v>
      </c>
      <c r="J2263">
        <v>-494.20159999999998</v>
      </c>
      <c r="K2263">
        <v>1.1120909999999999</v>
      </c>
      <c r="L2263">
        <v>264.35660000000001</v>
      </c>
      <c r="M2263">
        <v>-0.32996419999999999</v>
      </c>
      <c r="N2263">
        <v>0</v>
      </c>
      <c r="O2263">
        <v>-0.94375439999999999</v>
      </c>
      <c r="P2263">
        <v>-9.6901749999999995E-2</v>
      </c>
      <c r="Q2263">
        <v>1.7703509999999999E-2</v>
      </c>
      <c r="R2263">
        <v>-0.99513680000000004</v>
      </c>
      <c r="S2263">
        <v>-0.10449219999999999</v>
      </c>
      <c r="T2263">
        <v>-0.279043599999999</v>
      </c>
      <c r="U2263">
        <v>-3.009674</v>
      </c>
      <c r="V2263">
        <v>-0.23702019999999999</v>
      </c>
      <c r="W2263">
        <v>3.7976969999999999E-2</v>
      </c>
      <c r="X2263">
        <v>0.97076209999999996</v>
      </c>
      <c r="Y2263">
        <v>-0.29717860000000001</v>
      </c>
      <c r="Z2263">
        <v>8.2477049999999996E-2</v>
      </c>
      <c r="AA2263">
        <v>0.95125309999999996</v>
      </c>
      <c r="AB2263">
        <v>12</v>
      </c>
      <c r="AC2263">
        <v>-0.37839999999999901</v>
      </c>
      <c r="AD2263">
        <v>-1.1120934570499901</v>
      </c>
      <c r="AE2263">
        <v>-11.880599999999999</v>
      </c>
      <c r="AF2263">
        <v>-3.5329358164338101</v>
      </c>
      <c r="AG2263">
        <v>-1.1120934570499901</v>
      </c>
      <c r="AH2263">
        <v>11.241388050556999</v>
      </c>
      <c r="AI2263">
        <v>95.391452765688399</v>
      </c>
      <c r="AJ2263">
        <v>107.446855103438</v>
      </c>
      <c r="AK2263">
        <v>11.835843554367401</v>
      </c>
      <c r="AL2263">
        <v>87.823556393299</v>
      </c>
      <c r="AM2263">
        <v>103.720828905126</v>
      </c>
      <c r="AN2263">
        <v>0.999999940127413</v>
      </c>
    </row>
    <row r="2264" spans="1:40" x14ac:dyDescent="0.25">
      <c r="A2264" t="str">
        <f>"20190312151312249"</f>
        <v>20190312151312249</v>
      </c>
      <c r="B2264" t="str">
        <f>"1552374792242497"</f>
        <v>1552374792242497</v>
      </c>
      <c r="C2264" t="s">
        <v>40</v>
      </c>
      <c r="D2264">
        <v>4.9069180000000001</v>
      </c>
      <c r="E2264">
        <v>0.47862379999999999</v>
      </c>
      <c r="F2264" t="s">
        <v>42</v>
      </c>
      <c r="G2264">
        <v>-494.62509999999997</v>
      </c>
      <c r="H2264" s="1">
        <v>-2.4351070000000002E-6</v>
      </c>
      <c r="I2264">
        <v>252.39680000000001</v>
      </c>
      <c r="J2264">
        <v>-494.24209999999999</v>
      </c>
      <c r="K2264">
        <v>1.1118589999999999</v>
      </c>
      <c r="L2264">
        <v>264.23169999999999</v>
      </c>
      <c r="M2264">
        <v>-0.3276828</v>
      </c>
      <c r="N2264">
        <v>0</v>
      </c>
      <c r="O2264">
        <v>-0.94457469999999999</v>
      </c>
      <c r="P2264">
        <v>-9.6736649999999993E-2</v>
      </c>
      <c r="Q2264">
        <v>1.7660249999999999E-2</v>
      </c>
      <c r="R2264">
        <v>-0.99515359999999997</v>
      </c>
      <c r="S2264">
        <v>-0.10656740000000001</v>
      </c>
      <c r="T2264">
        <v>-0.27981899999999998</v>
      </c>
      <c r="U2264">
        <v>-3.009277</v>
      </c>
      <c r="V2264">
        <v>-0.2348355</v>
      </c>
      <c r="W2264">
        <v>3.6732819999999999E-2</v>
      </c>
      <c r="X2264">
        <v>0.9713408</v>
      </c>
      <c r="Y2264">
        <v>-0.29420420000000003</v>
      </c>
      <c r="Z2264">
        <v>8.2867339999999998E-2</v>
      </c>
      <c r="AA2264">
        <v>0.95214330000000003</v>
      </c>
      <c r="AB2264">
        <v>13</v>
      </c>
      <c r="AC2264">
        <v>-0.38299999999998102</v>
      </c>
      <c r="AD2264">
        <v>-1.111861435107</v>
      </c>
      <c r="AE2264">
        <v>-11.8348999999999</v>
      </c>
      <c r="AF2264">
        <v>-3.4862907489328498</v>
      </c>
      <c r="AG2264">
        <v>-1.111861435107</v>
      </c>
      <c r="AH2264">
        <v>11.207906643518401</v>
      </c>
      <c r="AI2264">
        <v>95.411277513082496</v>
      </c>
      <c r="AJ2264">
        <v>107.278638646392</v>
      </c>
      <c r="AK2264">
        <v>11.7901497177431</v>
      </c>
      <c r="AL2264">
        <v>87.894890819142105</v>
      </c>
      <c r="AM2264">
        <v>103.591274799327</v>
      </c>
      <c r="AN2264">
        <v>0.99999998093502096</v>
      </c>
    </row>
    <row r="2265" spans="1:40" x14ac:dyDescent="0.25">
      <c r="A2265" t="str">
        <f>"20190312151312270"</f>
        <v>20190312151312270</v>
      </c>
      <c r="B2265" t="str">
        <f>"1552374792262017"</f>
        <v>1552374792262017</v>
      </c>
      <c r="C2265" t="s">
        <v>40</v>
      </c>
      <c r="D2265">
        <v>4.8410449999999896</v>
      </c>
      <c r="E2265">
        <v>0.4788367</v>
      </c>
      <c r="F2265" t="s">
        <v>42</v>
      </c>
      <c r="G2265">
        <v>-494.66829999999999</v>
      </c>
      <c r="H2265" s="1">
        <v>-2.3628920000000001E-6</v>
      </c>
      <c r="I2265">
        <v>252.20169999999999</v>
      </c>
      <c r="J2265">
        <v>-494.27940000000001</v>
      </c>
      <c r="K2265">
        <v>1.111696</v>
      </c>
      <c r="L2265">
        <v>264.1155</v>
      </c>
      <c r="M2265">
        <v>-0.32565359999999999</v>
      </c>
      <c r="N2265">
        <v>0</v>
      </c>
      <c r="O2265">
        <v>-0.9452912</v>
      </c>
      <c r="P2265">
        <v>-9.6358869999999999E-2</v>
      </c>
      <c r="Q2265">
        <v>1.8375280000000001E-2</v>
      </c>
      <c r="R2265">
        <v>-0.99517710000000004</v>
      </c>
      <c r="S2265">
        <v>-0.1065979</v>
      </c>
      <c r="T2265">
        <v>-0.27811999999999998</v>
      </c>
      <c r="U2265">
        <v>-3.0091860000000001</v>
      </c>
      <c r="V2265">
        <v>-0.23310929999999999</v>
      </c>
      <c r="W2265">
        <v>3.6736629999999999E-2</v>
      </c>
      <c r="X2265">
        <v>0.97175639999999996</v>
      </c>
      <c r="Y2265">
        <v>-0.29213539999999999</v>
      </c>
      <c r="Z2265">
        <v>8.2496609999999998E-2</v>
      </c>
      <c r="AA2265">
        <v>0.95281229999999995</v>
      </c>
      <c r="AB2265">
        <v>13</v>
      </c>
      <c r="AC2265">
        <v>-0.38889999999997799</v>
      </c>
      <c r="AD2265">
        <v>-1.1116983628919901</v>
      </c>
      <c r="AE2265">
        <v>-11.9138</v>
      </c>
      <c r="AF2265">
        <v>-3.48251524216071</v>
      </c>
      <c r="AG2265">
        <v>-1.1116983628919901</v>
      </c>
      <c r="AH2265">
        <v>11.292568043362399</v>
      </c>
      <c r="AI2265">
        <v>95.374188165989196</v>
      </c>
      <c r="AJ2265">
        <v>107.139240195733</v>
      </c>
      <c r="AK2265">
        <v>11.869535739695401</v>
      </c>
      <c r="AL2265">
        <v>87.894672443024007</v>
      </c>
      <c r="AM2265">
        <v>103.489475975536</v>
      </c>
      <c r="AN2265">
        <v>1.0000000133356</v>
      </c>
    </row>
    <row r="2266" spans="1:40" x14ac:dyDescent="0.25">
      <c r="A2266" t="str">
        <f>"20190312151312296"</f>
        <v>20190312151312296</v>
      </c>
      <c r="B2266" t="str">
        <f>"1552374792292273"</f>
        <v>1552374792292273</v>
      </c>
      <c r="C2266" t="s">
        <v>40</v>
      </c>
      <c r="D2266">
        <v>4.8669449999999896</v>
      </c>
      <c r="E2266">
        <v>0.47908699999999999</v>
      </c>
      <c r="F2266" t="s">
        <v>42</v>
      </c>
      <c r="G2266">
        <v>-494.71210000000002</v>
      </c>
      <c r="H2266" s="1">
        <v>-2.2578709999999999E-6</v>
      </c>
      <c r="I2266">
        <v>251.9297</v>
      </c>
      <c r="J2266">
        <v>-494.32</v>
      </c>
      <c r="K2266">
        <v>1.111526</v>
      </c>
      <c r="L2266">
        <v>263.98849999999999</v>
      </c>
      <c r="M2266">
        <v>-0.32344010000000001</v>
      </c>
      <c r="N2266">
        <v>0</v>
      </c>
      <c r="O2266">
        <v>-0.94606239999999997</v>
      </c>
      <c r="P2266">
        <v>-9.5931160000000001E-2</v>
      </c>
      <c r="Q2266">
        <v>1.9556770000000001E-2</v>
      </c>
      <c r="R2266">
        <v>-0.99519559999999996</v>
      </c>
      <c r="S2266">
        <v>-0.10684200000000001</v>
      </c>
      <c r="T2266">
        <v>-0.27453339999999998</v>
      </c>
      <c r="U2266">
        <v>-3.009277</v>
      </c>
      <c r="V2266">
        <v>-0.2312343</v>
      </c>
      <c r="W2266">
        <v>3.7409940000000003E-2</v>
      </c>
      <c r="X2266">
        <v>0.9721786</v>
      </c>
      <c r="Y2266">
        <v>-0.28981469999999998</v>
      </c>
      <c r="Z2266">
        <v>8.1574019999999997E-2</v>
      </c>
      <c r="AA2266">
        <v>0.9536</v>
      </c>
      <c r="AB2266">
        <v>13</v>
      </c>
      <c r="AC2266">
        <v>-0.39210000000002698</v>
      </c>
      <c r="AD2266">
        <v>-1.111528257871</v>
      </c>
      <c r="AE2266">
        <v>-12.0587999999999</v>
      </c>
      <c r="AF2266">
        <v>-3.5002624365453499</v>
      </c>
      <c r="AG2266">
        <v>-1.111528257871</v>
      </c>
      <c r="AH2266">
        <v>11.440134557611801</v>
      </c>
      <c r="AI2266">
        <v>95.308050993504907</v>
      </c>
      <c r="AJ2266">
        <v>107.01219307456</v>
      </c>
      <c r="AK2266">
        <v>12.015157547406501</v>
      </c>
      <c r="AL2266">
        <v>87.856068092281802</v>
      </c>
      <c r="AM2266">
        <v>103.379290088879</v>
      </c>
      <c r="AN2266">
        <v>1.00000001770262</v>
      </c>
    </row>
    <row r="2267" spans="1:40" x14ac:dyDescent="0.25">
      <c r="A2267" t="str">
        <f>"20190312151312317"</f>
        <v>20190312151312317</v>
      </c>
      <c r="B2267" t="str">
        <f>"1552374792312769"</f>
        <v>1552374792312769</v>
      </c>
      <c r="C2267" t="s">
        <v>40</v>
      </c>
      <c r="D2267">
        <v>5.1772070000000001</v>
      </c>
      <c r="E2267">
        <v>0.47921219999999998</v>
      </c>
      <c r="F2267" t="s">
        <v>42</v>
      </c>
      <c r="G2267">
        <v>-494.7629</v>
      </c>
      <c r="H2267" s="1">
        <v>-2.1098800000000002E-6</v>
      </c>
      <c r="I2267">
        <v>251.5532</v>
      </c>
      <c r="J2267">
        <v>-494.35629999999998</v>
      </c>
      <c r="K2267">
        <v>1.111356</v>
      </c>
      <c r="L2267">
        <v>263.87450000000001</v>
      </c>
      <c r="M2267">
        <v>-0.321393599999999</v>
      </c>
      <c r="N2267">
        <v>0</v>
      </c>
      <c r="O2267">
        <v>-0.94677069999999997</v>
      </c>
      <c r="P2267">
        <v>-9.4869380000000003E-2</v>
      </c>
      <c r="Q2267">
        <v>2.153977E-2</v>
      </c>
      <c r="R2267">
        <v>-0.99525669999999999</v>
      </c>
      <c r="S2267">
        <v>-0.1071777</v>
      </c>
      <c r="T2267">
        <v>-0.268997599999999</v>
      </c>
      <c r="U2267">
        <v>-3.00943</v>
      </c>
      <c r="V2267">
        <v>-0.2301455</v>
      </c>
      <c r="W2267">
        <v>3.8913740000000002E-2</v>
      </c>
      <c r="X2267">
        <v>0.97237790000000002</v>
      </c>
      <c r="Y2267">
        <v>-0.28763359999999999</v>
      </c>
      <c r="Z2267">
        <v>8.0059850000000002E-2</v>
      </c>
      <c r="AA2267">
        <v>0.95438840000000003</v>
      </c>
      <c r="AB2267">
        <v>13</v>
      </c>
      <c r="AC2267">
        <v>-0.406600000000025</v>
      </c>
      <c r="AD2267">
        <v>-1.1113581098799901</v>
      </c>
      <c r="AE2267">
        <v>-12.321300000000001</v>
      </c>
      <c r="AF2267">
        <v>-3.5467982179715598</v>
      </c>
      <c r="AG2267">
        <v>-1.1113581098799901</v>
      </c>
      <c r="AH2267">
        <v>11.702971236919</v>
      </c>
      <c r="AI2267">
        <v>95.1928710727652</v>
      </c>
      <c r="AJ2267">
        <v>106.86038652534999</v>
      </c>
      <c r="AK2267">
        <v>12.279023992954601</v>
      </c>
      <c r="AL2267">
        <v>87.769843856738305</v>
      </c>
      <c r="AM2267">
        <v>103.315909218115</v>
      </c>
      <c r="AN2267">
        <v>1.00000000536972</v>
      </c>
    </row>
    <row r="2268" spans="1:40" x14ac:dyDescent="0.25">
      <c r="A2268" t="str">
        <f>"20190312151312339"</f>
        <v>20190312151312339</v>
      </c>
      <c r="B2268" t="str">
        <f>"1552374792332289"</f>
        <v>1552374792332289</v>
      </c>
      <c r="C2268" t="s">
        <v>40</v>
      </c>
      <c r="D2268">
        <v>4.8877329999999999</v>
      </c>
      <c r="E2268">
        <v>0.47934779999999999</v>
      </c>
      <c r="F2268" t="s">
        <v>42</v>
      </c>
      <c r="G2268">
        <v>-494.80450000000002</v>
      </c>
      <c r="H2268" s="1">
        <v>-1.9324150000000001E-6</v>
      </c>
      <c r="I2268">
        <v>251.11369999999999</v>
      </c>
      <c r="J2268">
        <v>-494.39389999999997</v>
      </c>
      <c r="K2268">
        <v>1.1111899999999999</v>
      </c>
      <c r="L2268">
        <v>263.7559</v>
      </c>
      <c r="M2268">
        <v>-0.31925029999999999</v>
      </c>
      <c r="N2268">
        <v>0</v>
      </c>
      <c r="O2268">
        <v>-0.94750749999999995</v>
      </c>
      <c r="P2268">
        <v>-9.3581319999999996E-2</v>
      </c>
      <c r="Q2268">
        <v>2.2308330000000001E-2</v>
      </c>
      <c r="R2268">
        <v>-0.99536170000000002</v>
      </c>
      <c r="S2268">
        <v>-0.105712899999999</v>
      </c>
      <c r="T2268">
        <v>-0.26214019999999999</v>
      </c>
      <c r="U2268">
        <v>-3.0099179999999999</v>
      </c>
      <c r="V2268">
        <v>-0.22918749999999999</v>
      </c>
      <c r="W2268">
        <v>3.9115759999999999E-2</v>
      </c>
      <c r="X2268">
        <v>0.97259600000000002</v>
      </c>
      <c r="Y2268">
        <v>-0.28592770000000001</v>
      </c>
      <c r="Z2268">
        <v>7.8138159999999998E-2</v>
      </c>
      <c r="AA2268">
        <v>0.95506009999999997</v>
      </c>
      <c r="AB2268">
        <v>13</v>
      </c>
      <c r="AC2268">
        <v>-0.41060000000004399</v>
      </c>
      <c r="AD2268">
        <v>-1.1111919324149999</v>
      </c>
      <c r="AE2268">
        <v>-12.642200000000001</v>
      </c>
      <c r="AF2268">
        <v>-3.61960853537953</v>
      </c>
      <c r="AG2268">
        <v>-1.1111919324149999</v>
      </c>
      <c r="AH2268">
        <v>12.0187789837354</v>
      </c>
      <c r="AI2268">
        <v>95.059041135772603</v>
      </c>
      <c r="AJ2268">
        <v>106.76034455771899</v>
      </c>
      <c r="AK2268">
        <v>12.601085735758501</v>
      </c>
      <c r="AL2268">
        <v>87.758260055725103</v>
      </c>
      <c r="AM2268">
        <v>103.259574312789</v>
      </c>
      <c r="AN2268">
        <v>0.99999996602631303</v>
      </c>
    </row>
    <row r="2269" spans="1:40" x14ac:dyDescent="0.25">
      <c r="A2269" t="str">
        <f>"20190312151312361"</f>
        <v>20190312151312361</v>
      </c>
      <c r="B2269" t="str">
        <f>"1552374792352789"</f>
        <v>1552374792352789</v>
      </c>
      <c r="C2269" t="s">
        <v>40</v>
      </c>
      <c r="D2269">
        <v>5.005166</v>
      </c>
      <c r="E2269">
        <v>0.4794602</v>
      </c>
      <c r="F2269" t="s">
        <v>42</v>
      </c>
      <c r="G2269">
        <v>-494.83670000000001</v>
      </c>
      <c r="H2269" s="1">
        <v>-1.822587E-6</v>
      </c>
      <c r="I2269">
        <v>250.83770000000001</v>
      </c>
      <c r="J2269">
        <v>-494.43130000000002</v>
      </c>
      <c r="K2269">
        <v>1.1111120000000001</v>
      </c>
      <c r="L2269">
        <v>263.63740000000001</v>
      </c>
      <c r="M2269">
        <v>-0.3171583</v>
      </c>
      <c r="N2269">
        <v>0</v>
      </c>
      <c r="O2269">
        <v>-0.94822030000000002</v>
      </c>
      <c r="P2269">
        <v>-9.2487319999999998E-2</v>
      </c>
      <c r="Q2269">
        <v>2.185115E-2</v>
      </c>
      <c r="R2269">
        <v>-0.99547459999999999</v>
      </c>
      <c r="S2269">
        <v>-0.1031799</v>
      </c>
      <c r="T2269">
        <v>-0.25891900000000001</v>
      </c>
      <c r="U2269">
        <v>-3.0100709999999999</v>
      </c>
      <c r="V2269">
        <v>-0.2281068</v>
      </c>
      <c r="W2269">
        <v>3.8112769999999997E-2</v>
      </c>
      <c r="X2269">
        <v>0.97288989999999997</v>
      </c>
      <c r="Y2269">
        <v>-0.28461209999999998</v>
      </c>
      <c r="Z2269">
        <v>7.7288590000000004E-2</v>
      </c>
      <c r="AA2269">
        <v>0.95552210000000004</v>
      </c>
      <c r="AB2269">
        <v>13</v>
      </c>
      <c r="AC2269">
        <v>-0.40539999999998599</v>
      </c>
      <c r="AD2269">
        <v>-1.1111138225870001</v>
      </c>
      <c r="AE2269">
        <v>-12.7997</v>
      </c>
      <c r="AF2269">
        <v>-3.6481897956798899</v>
      </c>
      <c r="AG2269">
        <v>-1.1111138225870001</v>
      </c>
      <c r="AH2269">
        <v>12.1756247123721</v>
      </c>
      <c r="AI2269">
        <v>94.995951255297001</v>
      </c>
      <c r="AJ2269">
        <v>106.679825022568</v>
      </c>
      <c r="AK2269">
        <v>12.7589066870392</v>
      </c>
      <c r="AL2269">
        <v>87.815770177571096</v>
      </c>
      <c r="AM2269">
        <v>103.19539654318601</v>
      </c>
      <c r="AN2269">
        <v>1.0000000264826601</v>
      </c>
    </row>
    <row r="2270" spans="1:40" x14ac:dyDescent="0.25">
      <c r="A2270" t="str">
        <f>"20190312151312383"</f>
        <v>20190312151312383</v>
      </c>
      <c r="B2270" t="str">
        <f>"1552374792372309"</f>
        <v>1552374792372309</v>
      </c>
      <c r="C2270" t="s">
        <v>40</v>
      </c>
      <c r="D2270">
        <v>4.8359550000000002</v>
      </c>
      <c r="E2270">
        <v>0.47966500000000001</v>
      </c>
      <c r="F2270" t="s">
        <v>42</v>
      </c>
      <c r="G2270">
        <v>-494.86270000000002</v>
      </c>
      <c r="H2270" s="1">
        <v>-1.7883549999999999E-6</v>
      </c>
      <c r="I2270">
        <v>250.74189999999999</v>
      </c>
      <c r="J2270">
        <v>-494.46679999999998</v>
      </c>
      <c r="K2270">
        <v>1.1111329999999999</v>
      </c>
      <c r="L2270">
        <v>263.52409999999998</v>
      </c>
      <c r="M2270">
        <v>-0.31523869999999998</v>
      </c>
      <c r="N2270">
        <v>0</v>
      </c>
      <c r="O2270">
        <v>-0.94886769999999998</v>
      </c>
      <c r="P2270">
        <v>-9.1673309999999994E-2</v>
      </c>
      <c r="Q2270">
        <v>2.0841780000000001E-2</v>
      </c>
      <c r="R2270">
        <v>-0.99557110000000004</v>
      </c>
      <c r="S2270">
        <v>-0.1006775</v>
      </c>
      <c r="T2270">
        <v>-0.25935029999999998</v>
      </c>
      <c r="U2270">
        <v>-3.0100099999999999</v>
      </c>
      <c r="V2270">
        <v>-0.22693869999999999</v>
      </c>
      <c r="W2270">
        <v>3.6668010000000001E-2</v>
      </c>
      <c r="X2270">
        <v>0.97321849999999999</v>
      </c>
      <c r="Y2270">
        <v>-0.28346320000000003</v>
      </c>
      <c r="Z2270">
        <v>7.7515509999999996E-2</v>
      </c>
      <c r="AA2270">
        <v>0.9558451</v>
      </c>
      <c r="AB2270">
        <v>13</v>
      </c>
      <c r="AC2270">
        <v>-0.39590000000004</v>
      </c>
      <c r="AD2270">
        <v>-1.111134788355</v>
      </c>
      <c r="AE2270">
        <v>-12.7821999999999</v>
      </c>
      <c r="AF2270">
        <v>-3.6269086792554601</v>
      </c>
      <c r="AG2270">
        <v>-1.111134788355</v>
      </c>
      <c r="AH2270">
        <v>12.1632787000205</v>
      </c>
      <c r="AI2270">
        <v>95.003064354835203</v>
      </c>
      <c r="AJ2270">
        <v>106.603797425129</v>
      </c>
      <c r="AK2270">
        <v>12.7410531676123</v>
      </c>
      <c r="AL2270">
        <v>87.898606665559996</v>
      </c>
      <c r="AM2270">
        <v>103.125891866652</v>
      </c>
      <c r="AN2270">
        <v>0.99999998262864898</v>
      </c>
    </row>
    <row r="2271" spans="1:40" x14ac:dyDescent="0.25">
      <c r="A2271" t="str">
        <f>"20190312151312405"</f>
        <v>20190312151312405</v>
      </c>
      <c r="B2271" t="str">
        <f>"1552374792402562"</f>
        <v>1552374792402562</v>
      </c>
      <c r="C2271" t="s">
        <v>40</v>
      </c>
      <c r="D2271">
        <v>5.1189239999999998</v>
      </c>
      <c r="E2271">
        <v>0.47975679999999998</v>
      </c>
      <c r="F2271" t="s">
        <v>42</v>
      </c>
      <c r="G2271">
        <v>-494.88670000000002</v>
      </c>
      <c r="H2271" s="1">
        <v>-1.8617939999999999E-6</v>
      </c>
      <c r="I2271">
        <v>250.8981</v>
      </c>
      <c r="J2271">
        <v>-494.5027</v>
      </c>
      <c r="K2271">
        <v>1.111189</v>
      </c>
      <c r="L2271">
        <v>263.4083</v>
      </c>
      <c r="M2271">
        <v>-0.31332090000000001</v>
      </c>
      <c r="N2271">
        <v>0</v>
      </c>
      <c r="O2271">
        <v>-0.94950889999999999</v>
      </c>
      <c r="P2271">
        <v>-9.0725829999999993E-2</v>
      </c>
      <c r="Q2271">
        <v>2.0353119999999999E-2</v>
      </c>
      <c r="R2271">
        <v>-0.9956682</v>
      </c>
      <c r="S2271">
        <v>-0.1000977</v>
      </c>
      <c r="T2271">
        <v>-0.26486539999999997</v>
      </c>
      <c r="U2271">
        <v>-3.0097049999999999</v>
      </c>
      <c r="V2271">
        <v>-0.2259034</v>
      </c>
      <c r="W2271">
        <v>3.580407E-2</v>
      </c>
      <c r="X2271">
        <v>0.97349149999999995</v>
      </c>
      <c r="Y2271">
        <v>-0.28170820000000002</v>
      </c>
      <c r="Z2271">
        <v>7.9265779999999994E-2</v>
      </c>
      <c r="AA2271">
        <v>0.95622039999999997</v>
      </c>
      <c r="AB2271">
        <v>12</v>
      </c>
      <c r="AC2271">
        <v>-0.384000000000014</v>
      </c>
      <c r="AD2271">
        <v>-1.1111908617940001</v>
      </c>
      <c r="AE2271">
        <v>-12.5101999999999</v>
      </c>
      <c r="AF2271">
        <v>-3.5277570498389998</v>
      </c>
      <c r="AG2271">
        <v>-1.1111908617940001</v>
      </c>
      <c r="AH2271">
        <v>11.906590323749899</v>
      </c>
      <c r="AI2271">
        <v>95.113251556564805</v>
      </c>
      <c r="AJ2271">
        <v>106.50382361009</v>
      </c>
      <c r="AK2271">
        <v>12.467826918578799</v>
      </c>
      <c r="AL2271">
        <v>87.948139327054307</v>
      </c>
      <c r="AM2271">
        <v>103.064531868098</v>
      </c>
      <c r="AN2271">
        <v>0.99999998906618703</v>
      </c>
    </row>
    <row r="2272" spans="1:40" x14ac:dyDescent="0.25">
      <c r="A2272" t="str">
        <f>"20190312151312427"</f>
        <v>20190312151312427</v>
      </c>
      <c r="B2272" t="str">
        <f>"1552374792422082"</f>
        <v>1552374792422082</v>
      </c>
      <c r="C2272" t="s">
        <v>40</v>
      </c>
      <c r="D2272">
        <v>4.8521599999999996</v>
      </c>
      <c r="E2272">
        <v>0.47983930000000002</v>
      </c>
      <c r="F2272" t="s">
        <v>42</v>
      </c>
      <c r="G2272">
        <v>-494.91300000000001</v>
      </c>
      <c r="H2272" s="1">
        <v>-1.848669E-6</v>
      </c>
      <c r="I2272">
        <v>250.85120000000001</v>
      </c>
      <c r="J2272">
        <v>-494.53809999999999</v>
      </c>
      <c r="K2272">
        <v>1.111235</v>
      </c>
      <c r="L2272">
        <v>263.29320000000001</v>
      </c>
      <c r="M2272">
        <v>-0.31140410000000002</v>
      </c>
      <c r="N2272">
        <v>0</v>
      </c>
      <c r="O2272">
        <v>-0.95014480000000001</v>
      </c>
      <c r="P2272">
        <v>-9.0131799999999998E-2</v>
      </c>
      <c r="Q2272">
        <v>1.974362E-2</v>
      </c>
      <c r="R2272">
        <v>-0.99573460000000003</v>
      </c>
      <c r="S2272">
        <v>-9.8327639999999994E-2</v>
      </c>
      <c r="T2272">
        <v>-0.2663162</v>
      </c>
      <c r="U2272">
        <v>-3.0095209999999999</v>
      </c>
      <c r="V2272">
        <v>-0.2245241</v>
      </c>
      <c r="W2272">
        <v>3.485576E-2</v>
      </c>
      <c r="X2272">
        <v>0.97384490000000001</v>
      </c>
      <c r="Y2272">
        <v>-0.28033130000000001</v>
      </c>
      <c r="Z2272">
        <v>7.9802890000000001E-2</v>
      </c>
      <c r="AA2272">
        <v>0.95658030000000005</v>
      </c>
      <c r="AB2272">
        <v>12</v>
      </c>
      <c r="AC2272">
        <v>-0.37490000000002499</v>
      </c>
      <c r="AD2272">
        <v>-1.1112368486690001</v>
      </c>
      <c r="AE2272">
        <v>-12.442</v>
      </c>
      <c r="AF2272">
        <v>-3.4909032768328001</v>
      </c>
      <c r="AG2272">
        <v>-1.1112368486690001</v>
      </c>
      <c r="AH2272">
        <v>11.8455488219267</v>
      </c>
      <c r="AI2272">
        <v>95.141873207823707</v>
      </c>
      <c r="AJ2272">
        <v>106.42033448008</v>
      </c>
      <c r="AK2272">
        <v>12.3991241591771</v>
      </c>
      <c r="AL2272">
        <v>88.002507338862102</v>
      </c>
      <c r="AM2272">
        <v>102.982922632293</v>
      </c>
      <c r="AN2272">
        <v>0.99999994237099699</v>
      </c>
    </row>
    <row r="2273" spans="1:40" x14ac:dyDescent="0.25">
      <c r="A2273" t="str">
        <f>"20190312151312450"</f>
        <v>20190312151312450</v>
      </c>
      <c r="B2273" t="str">
        <f>"1552374792442581"</f>
        <v>1552374792442581</v>
      </c>
      <c r="C2273" t="s">
        <v>40</v>
      </c>
      <c r="D2273">
        <v>5.1238210000000004</v>
      </c>
      <c r="E2273">
        <v>0.47994239999999999</v>
      </c>
      <c r="F2273" t="s">
        <v>42</v>
      </c>
      <c r="G2273">
        <v>-494.93990000000002</v>
      </c>
      <c r="H2273" s="1">
        <v>-1.832117E-6</v>
      </c>
      <c r="I2273">
        <v>250.79599999999999</v>
      </c>
      <c r="J2273">
        <v>-494.5754</v>
      </c>
      <c r="K2273">
        <v>1.111246</v>
      </c>
      <c r="L2273">
        <v>263.17090000000002</v>
      </c>
      <c r="M2273">
        <v>-0.30931429999999999</v>
      </c>
      <c r="N2273">
        <v>0</v>
      </c>
      <c r="O2273">
        <v>-0.95083269999999998</v>
      </c>
      <c r="P2273">
        <v>-8.9560840000000003E-2</v>
      </c>
      <c r="Q2273">
        <v>1.940588E-2</v>
      </c>
      <c r="R2273">
        <v>-0.99579260000000003</v>
      </c>
      <c r="S2273">
        <v>-9.6740720000000002E-2</v>
      </c>
      <c r="T2273">
        <v>-0.26759119999999997</v>
      </c>
      <c r="U2273">
        <v>-3.0093990000000002</v>
      </c>
      <c r="V2273">
        <v>-0.22294230000000001</v>
      </c>
      <c r="W2273">
        <v>3.4184779999999998E-2</v>
      </c>
      <c r="X2273">
        <v>0.97423210000000005</v>
      </c>
      <c r="Y2273">
        <v>-0.27872279999999999</v>
      </c>
      <c r="Z2273">
        <v>8.0296870000000006E-2</v>
      </c>
      <c r="AA2273">
        <v>0.95700890000000005</v>
      </c>
      <c r="AB2273">
        <v>12</v>
      </c>
      <c r="AC2273">
        <v>-0.36450000000001997</v>
      </c>
      <c r="AD2273">
        <v>-1.1112478321169901</v>
      </c>
      <c r="AE2273">
        <v>-12.3749</v>
      </c>
      <c r="AF2273">
        <v>-3.4537499060695498</v>
      </c>
      <c r="AG2273">
        <v>-1.1112478321169901</v>
      </c>
      <c r="AH2273">
        <v>11.785686582342001</v>
      </c>
      <c r="AI2273">
        <v>95.170202123860804</v>
      </c>
      <c r="AJ2273">
        <v>106.33301884773699</v>
      </c>
      <c r="AK2273">
        <v>12.3314909226442</v>
      </c>
      <c r="AL2273">
        <v>88.040974755365298</v>
      </c>
      <c r="AM2273">
        <v>102.889570268657</v>
      </c>
      <c r="AN2273">
        <v>1.00000002649167</v>
      </c>
    </row>
    <row r="2274" spans="1:40" x14ac:dyDescent="0.25">
      <c r="A2274" t="str">
        <f>"20190312151312471"</f>
        <v>20190312151312471</v>
      </c>
      <c r="B2274" t="str">
        <f>"1552374792462097"</f>
        <v>1552374792462097</v>
      </c>
      <c r="C2274" t="s">
        <v>40</v>
      </c>
      <c r="D2274">
        <v>4.9687910000000004</v>
      </c>
      <c r="E2274">
        <v>0.48003699999999999</v>
      </c>
      <c r="F2274" t="s">
        <v>42</v>
      </c>
      <c r="G2274">
        <v>-494.97460000000001</v>
      </c>
      <c r="H2274" s="1">
        <v>-1.7952260000000001E-6</v>
      </c>
      <c r="I2274">
        <v>250.6885</v>
      </c>
      <c r="J2274">
        <v>-494.6096</v>
      </c>
      <c r="K2274">
        <v>1.1112420000000001</v>
      </c>
      <c r="L2274">
        <v>263.05810000000002</v>
      </c>
      <c r="M2274">
        <v>-0.30734980000000001</v>
      </c>
      <c r="N2274">
        <v>0</v>
      </c>
      <c r="O2274">
        <v>-0.95147400000000004</v>
      </c>
      <c r="P2274">
        <v>-8.9208599999999999E-2</v>
      </c>
      <c r="Q2274">
        <v>1.8817049999999998E-2</v>
      </c>
      <c r="R2274">
        <v>-0.99583549999999998</v>
      </c>
      <c r="S2274">
        <v>-9.6221920000000002E-2</v>
      </c>
      <c r="T2274">
        <v>-0.26789839999999998</v>
      </c>
      <c r="U2274">
        <v>-3.0092469999999998</v>
      </c>
      <c r="V2274">
        <v>-0.2212741</v>
      </c>
      <c r="W2274">
        <v>3.3329810000000001E-2</v>
      </c>
      <c r="X2274">
        <v>0.97464189999999995</v>
      </c>
      <c r="Y2274">
        <v>-0.27690160000000003</v>
      </c>
      <c r="Z2274">
        <v>8.0500329999999995E-2</v>
      </c>
      <c r="AA2274">
        <v>0.95752040000000005</v>
      </c>
      <c r="AB2274">
        <v>12</v>
      </c>
      <c r="AC2274">
        <v>-0.36500000000000898</v>
      </c>
      <c r="AD2274">
        <v>-1.1112437952259999</v>
      </c>
      <c r="AE2274">
        <v>-12.3696</v>
      </c>
      <c r="AF2274">
        <v>-3.4272729770151402</v>
      </c>
      <c r="AG2274">
        <v>-1.1112437952259999</v>
      </c>
      <c r="AH2274">
        <v>11.787869100834101</v>
      </c>
      <c r="AI2274">
        <v>95.172413473440898</v>
      </c>
      <c r="AJ2274">
        <v>106.211565391213</v>
      </c>
      <c r="AK2274">
        <v>12.3261884120682</v>
      </c>
      <c r="AL2274">
        <v>88.089988752275005</v>
      </c>
      <c r="AM2274">
        <v>102.79110545030299</v>
      </c>
      <c r="AN2274">
        <v>0.99999996840052696</v>
      </c>
    </row>
    <row r="2275" spans="1:40" x14ac:dyDescent="0.25">
      <c r="A2275" t="str">
        <f>"20190312151312506"</f>
        <v>20190312151312506</v>
      </c>
      <c r="B2275" t="str">
        <f>"1552374792502115"</f>
        <v>1552374792502115</v>
      </c>
      <c r="C2275" t="s">
        <v>40</v>
      </c>
      <c r="D2275">
        <v>4.8676919999999999</v>
      </c>
      <c r="E2275">
        <v>0.46997480000000003</v>
      </c>
      <c r="F2275" t="s">
        <v>42</v>
      </c>
      <c r="G2275">
        <v>-495.00380000000001</v>
      </c>
      <c r="H2275" s="1">
        <v>-1.7827230000000001E-6</v>
      </c>
      <c r="I2275">
        <v>250.64109999999999</v>
      </c>
      <c r="J2275">
        <v>-494.66309999999999</v>
      </c>
      <c r="K2275">
        <v>1.1112379999999999</v>
      </c>
      <c r="L2275">
        <v>262.87900000000002</v>
      </c>
      <c r="M2275">
        <v>-0.3042068</v>
      </c>
      <c r="N2275">
        <v>0</v>
      </c>
      <c r="O2275">
        <v>-0.95248940000000004</v>
      </c>
      <c r="P2275">
        <v>-8.7229009999999996E-2</v>
      </c>
      <c r="Q2275">
        <v>1.8949489999999999E-2</v>
      </c>
      <c r="R2275">
        <v>-0.99600829999999996</v>
      </c>
      <c r="S2275">
        <v>-9.5550540000000003E-2</v>
      </c>
      <c r="T2275">
        <v>-0.26928849999999999</v>
      </c>
      <c r="U2275">
        <v>-3.0090029999999999</v>
      </c>
      <c r="V2275">
        <v>-0.2199885</v>
      </c>
      <c r="W2275">
        <v>3.312441E-2</v>
      </c>
      <c r="X2275">
        <v>0.97493989999999997</v>
      </c>
      <c r="Y2275">
        <v>-0.27393899999999999</v>
      </c>
      <c r="Z2275">
        <v>8.1093890000000002E-2</v>
      </c>
      <c r="AA2275">
        <v>0.95832200000000001</v>
      </c>
      <c r="AB2275">
        <v>12</v>
      </c>
      <c r="AC2275">
        <v>-0.34070000000002598</v>
      </c>
      <c r="AD2275">
        <v>-1.1112397827230001</v>
      </c>
      <c r="AE2275">
        <v>-12.2379</v>
      </c>
      <c r="AF2275">
        <v>-3.3709441991096698</v>
      </c>
      <c r="AG2275">
        <v>-1.1112397827230001</v>
      </c>
      <c r="AH2275">
        <v>11.6653113877286</v>
      </c>
      <c r="AI2275">
        <v>95.228903744069001</v>
      </c>
      <c r="AJ2275">
        <v>106.117794377168</v>
      </c>
      <c r="AK2275">
        <v>12.1933427910843</v>
      </c>
      <c r="AL2275">
        <v>88.101763844182599</v>
      </c>
      <c r="AM2275">
        <v>102.715452244182</v>
      </c>
      <c r="AN2275">
        <v>0.99999998764105302</v>
      </c>
    </row>
    <row r="2276" spans="1:40" x14ac:dyDescent="0.25">
      <c r="A2276" t="str">
        <f>"20190312151312529"</f>
        <v>20190312151312529</v>
      </c>
      <c r="B2276" t="str">
        <f>"1552374792522610"</f>
        <v>1552374792522610</v>
      </c>
      <c r="C2276" t="s">
        <v>40</v>
      </c>
      <c r="D2276">
        <v>4.8672209999999998</v>
      </c>
      <c r="E2276">
        <v>0.47104869999999999</v>
      </c>
      <c r="F2276" t="s">
        <v>42</v>
      </c>
      <c r="G2276">
        <v>-494.6816</v>
      </c>
      <c r="H2276" s="1">
        <v>-2.9164569999999998E-6</v>
      </c>
      <c r="I2276">
        <v>253.4838</v>
      </c>
      <c r="J2276">
        <v>-494.6977</v>
      </c>
      <c r="K2276">
        <v>1.111232</v>
      </c>
      <c r="L2276">
        <v>262.76209999999998</v>
      </c>
      <c r="M2276">
        <v>-0.30215409999999998</v>
      </c>
      <c r="N2276">
        <v>0</v>
      </c>
      <c r="O2276">
        <v>-0.95314540000000003</v>
      </c>
      <c r="P2276">
        <v>-8.6370550000000004E-2</v>
      </c>
      <c r="Q2276">
        <v>1.8969960000000001E-2</v>
      </c>
      <c r="R2276">
        <v>-0.99608280000000005</v>
      </c>
      <c r="S2276">
        <v>-5.9509280000000003E-3</v>
      </c>
      <c r="T2276">
        <v>-0.35699619999999999</v>
      </c>
      <c r="U2276">
        <v>-3.0183110000000002</v>
      </c>
      <c r="V2276">
        <v>-0.21872539999999999</v>
      </c>
      <c r="W2276">
        <v>3.297572E-2</v>
      </c>
      <c r="X2276">
        <v>0.97522909999999996</v>
      </c>
      <c r="Y2276">
        <v>-0.30026900000000001</v>
      </c>
      <c r="Z2276">
        <v>0.1065305</v>
      </c>
      <c r="AA2276">
        <v>0.94788700000000004</v>
      </c>
      <c r="AB2276">
        <v>12</v>
      </c>
      <c r="AC2276">
        <v>1.60999999999944E-2</v>
      </c>
      <c r="AD2276">
        <v>-1.1112349164569999</v>
      </c>
      <c r="AE2276">
        <v>-9.2782999999999696</v>
      </c>
      <c r="AF2276">
        <v>-2.7792615262030198</v>
      </c>
      <c r="AG2276">
        <v>-1.1112349164569999</v>
      </c>
      <c r="AH2276">
        <v>8.7146582942962301</v>
      </c>
      <c r="AI2276">
        <v>96.926626639154904</v>
      </c>
      <c r="AJ2276">
        <v>107.688419248223</v>
      </c>
      <c r="AK2276">
        <v>9.2143587328110694</v>
      </c>
      <c r="AL2276">
        <v>88.110287830189705</v>
      </c>
      <c r="AM2276">
        <v>102.64116919375201</v>
      </c>
      <c r="AN2276">
        <v>0.99999999810074403</v>
      </c>
    </row>
    <row r="2277" spans="1:40" x14ac:dyDescent="0.25">
      <c r="A2277" t="str">
        <f>"20190312151312550"</f>
        <v>20190312151312550</v>
      </c>
      <c r="B2277" t="str">
        <f>"1552374792542130"</f>
        <v>1552374792542130</v>
      </c>
      <c r="C2277" t="s">
        <v>40</v>
      </c>
      <c r="D2277">
        <v>4.8757270000000004</v>
      </c>
      <c r="E2277">
        <v>0.47131139999999999</v>
      </c>
      <c r="F2277" t="s">
        <v>42</v>
      </c>
      <c r="G2277">
        <v>-494.74290000000002</v>
      </c>
      <c r="H2277" s="1">
        <v>-2.566318E-6</v>
      </c>
      <c r="I2277">
        <v>252.62960000000001</v>
      </c>
      <c r="J2277">
        <v>-494.73140000000001</v>
      </c>
      <c r="K2277">
        <v>1.1112340000000001</v>
      </c>
      <c r="L2277">
        <v>262.64749999999998</v>
      </c>
      <c r="M2277">
        <v>-0.30013800000000002</v>
      </c>
      <c r="N2277">
        <v>0</v>
      </c>
      <c r="O2277">
        <v>-0.95378459999999998</v>
      </c>
      <c r="P2277">
        <v>-8.5620950000000001E-2</v>
      </c>
      <c r="Q2277">
        <v>1.8660610000000001E-2</v>
      </c>
      <c r="R2277">
        <v>-0.99615310000000001</v>
      </c>
      <c r="S2277">
        <v>-1.345825E-2</v>
      </c>
      <c r="T2277">
        <v>-0.33086320000000002</v>
      </c>
      <c r="U2277">
        <v>-3.0169069999999998</v>
      </c>
      <c r="V2277">
        <v>-0.2173966</v>
      </c>
      <c r="W2277">
        <v>3.2517730000000002E-2</v>
      </c>
      <c r="X2277">
        <v>0.97554149999999995</v>
      </c>
      <c r="Y2277">
        <v>-0.29589349999999998</v>
      </c>
      <c r="Z2277">
        <v>9.9050550000000001E-2</v>
      </c>
      <c r="AA2277">
        <v>0.95007160000000002</v>
      </c>
      <c r="AB2277">
        <v>12</v>
      </c>
      <c r="AC2277">
        <v>-1.15000000000122E-2</v>
      </c>
      <c r="AD2277">
        <v>-1.1112365663179999</v>
      </c>
      <c r="AE2277">
        <v>-10.0178999999999</v>
      </c>
      <c r="AF2277">
        <v>-2.9596846961730998</v>
      </c>
      <c r="AG2277">
        <v>-1.1112365663179999</v>
      </c>
      <c r="AH2277">
        <v>9.4431917947617094</v>
      </c>
      <c r="AI2277">
        <v>96.406898453000395</v>
      </c>
      <c r="AJ2277">
        <v>107.402031846673</v>
      </c>
      <c r="AK2277">
        <v>9.9583357786197606</v>
      </c>
      <c r="AL2277">
        <v>88.136542718371103</v>
      </c>
      <c r="AM2277">
        <v>102.56292153418801</v>
      </c>
      <c r="AN2277">
        <v>0.99999995133908004</v>
      </c>
    </row>
    <row r="2278" spans="1:40" x14ac:dyDescent="0.25">
      <c r="A2278" t="str">
        <f>"20190312151312572"</f>
        <v>20190312151312572</v>
      </c>
      <c r="B2278" t="str">
        <f>"1552374792562629"</f>
        <v>1552374792562629</v>
      </c>
      <c r="C2278" t="s">
        <v>40</v>
      </c>
      <c r="D2278">
        <v>4.8622040000000002</v>
      </c>
      <c r="E2278">
        <v>0.47148869999999998</v>
      </c>
      <c r="F2278" t="s">
        <v>42</v>
      </c>
      <c r="G2278">
        <v>-494.7774</v>
      </c>
      <c r="H2278" s="1">
        <v>-2.4226439999999998E-6</v>
      </c>
      <c r="I2278">
        <v>252.27330000000001</v>
      </c>
      <c r="J2278">
        <v>-494.7647</v>
      </c>
      <c r="K2278">
        <v>1.1112390000000001</v>
      </c>
      <c r="L2278">
        <v>262.5333</v>
      </c>
      <c r="M2278">
        <v>-0.29811910000000003</v>
      </c>
      <c r="N2278">
        <v>0</v>
      </c>
      <c r="O2278">
        <v>-0.95441969999999998</v>
      </c>
      <c r="P2278">
        <v>-8.4443790000000005E-2</v>
      </c>
      <c r="Q2278">
        <v>1.7998810000000001E-2</v>
      </c>
      <c r="R2278">
        <v>-0.99626579999999998</v>
      </c>
      <c r="S2278">
        <v>-1.33667E-2</v>
      </c>
      <c r="T2278">
        <v>-0.32310879999999997</v>
      </c>
      <c r="U2278">
        <v>-3.0164490000000002</v>
      </c>
      <c r="V2278">
        <v>-0.2164866</v>
      </c>
      <c r="W2278">
        <v>3.171848E-2</v>
      </c>
      <c r="X2278">
        <v>0.97577020000000003</v>
      </c>
      <c r="Y2278">
        <v>-0.29390090000000002</v>
      </c>
      <c r="Z2278">
        <v>9.6903260000000005E-2</v>
      </c>
      <c r="AA2278">
        <v>0.95091119999999996</v>
      </c>
      <c r="AB2278">
        <v>12</v>
      </c>
      <c r="AC2278">
        <v>-1.26999999999952E-2</v>
      </c>
      <c r="AD2278">
        <v>-1.1112414226439999</v>
      </c>
      <c r="AE2278">
        <v>-10.2599999999999</v>
      </c>
      <c r="AF2278">
        <v>-3.0115701632151399</v>
      </c>
      <c r="AG2278">
        <v>-1.1112414226439999</v>
      </c>
      <c r="AH2278">
        <v>9.6835571227169908</v>
      </c>
      <c r="AI2278">
        <v>96.253439906261505</v>
      </c>
      <c r="AJ2278">
        <v>107.27560692871999</v>
      </c>
      <c r="AK2278">
        <v>10.201749403719401</v>
      </c>
      <c r="AL2278">
        <v>88.182360093893195</v>
      </c>
      <c r="AM2278">
        <v>102.509153469423</v>
      </c>
      <c r="AN2278">
        <v>0.99999999658055505</v>
      </c>
    </row>
    <row r="2279" spans="1:40" x14ac:dyDescent="0.25">
      <c r="A2279" t="str">
        <f>"20190312151312594"</f>
        <v>20190312151312594</v>
      </c>
      <c r="B2279" t="str">
        <f>"1552374792582146"</f>
        <v>1552374792582146</v>
      </c>
      <c r="C2279" t="s">
        <v>40</v>
      </c>
      <c r="D2279">
        <v>4.9054419999999999</v>
      </c>
      <c r="E2279">
        <v>0.47169889999999998</v>
      </c>
      <c r="F2279" t="s">
        <v>42</v>
      </c>
      <c r="G2279">
        <v>-494.8039</v>
      </c>
      <c r="H2279" s="1">
        <v>-2.3727609999999999E-6</v>
      </c>
      <c r="I2279">
        <v>252.14060000000001</v>
      </c>
      <c r="J2279">
        <v>-494.79809999999998</v>
      </c>
      <c r="K2279">
        <v>1.1112470000000001</v>
      </c>
      <c r="L2279">
        <v>262.41789999999997</v>
      </c>
      <c r="M2279">
        <v>-0.29606460000000001</v>
      </c>
      <c r="N2279">
        <v>0</v>
      </c>
      <c r="O2279">
        <v>-0.95506080000000004</v>
      </c>
      <c r="P2279">
        <v>-8.2580860000000006E-2</v>
      </c>
      <c r="Q2279">
        <v>1.8263519999999998E-2</v>
      </c>
      <c r="R2279">
        <v>-0.9964172</v>
      </c>
      <c r="S2279">
        <v>-1.135254E-2</v>
      </c>
      <c r="T2279">
        <v>-0.32249609999999901</v>
      </c>
      <c r="U2279">
        <v>-3.0160830000000001</v>
      </c>
      <c r="V2279">
        <v>-0.21621019999999999</v>
      </c>
      <c r="W2279">
        <v>3.1853359999999997E-2</v>
      </c>
      <c r="X2279">
        <v>0.97582709999999995</v>
      </c>
      <c r="Y2279">
        <v>-0.29247849999999997</v>
      </c>
      <c r="Z2279">
        <v>9.6857960000000007E-2</v>
      </c>
      <c r="AA2279">
        <v>0.95135429999999999</v>
      </c>
      <c r="AB2279">
        <v>12</v>
      </c>
      <c r="AC2279">
        <v>-5.8000000000220098E-3</v>
      </c>
      <c r="AD2279">
        <v>-1.11124937276099</v>
      </c>
      <c r="AE2279">
        <v>-10.277299999999901</v>
      </c>
      <c r="AF2279">
        <v>-3.0024138599452699</v>
      </c>
      <c r="AG2279">
        <v>-1.11124937276099</v>
      </c>
      <c r="AH2279">
        <v>9.7047069126303498</v>
      </c>
      <c r="AI2279">
        <v>96.242804157206606</v>
      </c>
      <c r="AJ2279">
        <v>107.19086878747601</v>
      </c>
      <c r="AK2279">
        <v>10.219134034491701</v>
      </c>
      <c r="AL2279">
        <v>88.174628153214002</v>
      </c>
      <c r="AM2279">
        <v>102.49297851557</v>
      </c>
      <c r="AN2279">
        <v>1.00000000811086</v>
      </c>
    </row>
    <row r="2280" spans="1:40" x14ac:dyDescent="0.25">
      <c r="A2280" t="str">
        <f>"20190312151312617"</f>
        <v>20190312151312617</v>
      </c>
      <c r="B2280" t="str">
        <f>"1552374792612402"</f>
        <v>1552374792612402</v>
      </c>
      <c r="C2280" t="s">
        <v>40</v>
      </c>
      <c r="D2280">
        <v>4.9064120000000004</v>
      </c>
      <c r="E2280">
        <v>0.4720876</v>
      </c>
      <c r="F2280" t="s">
        <v>42</v>
      </c>
      <c r="G2280">
        <v>-494.82319999999999</v>
      </c>
      <c r="H2280" s="1">
        <v>-2.3381600000000001E-6</v>
      </c>
      <c r="I2280">
        <v>252.048</v>
      </c>
      <c r="J2280">
        <v>-494.83179999999999</v>
      </c>
      <c r="K2280">
        <v>1.111251</v>
      </c>
      <c r="L2280">
        <v>262.30009999999999</v>
      </c>
      <c r="M2280">
        <v>-0.29394670000000001</v>
      </c>
      <c r="N2280">
        <v>0</v>
      </c>
      <c r="O2280">
        <v>-0.95571669999999997</v>
      </c>
      <c r="P2280">
        <v>-7.98397E-2</v>
      </c>
      <c r="Q2280">
        <v>1.8427490000000001E-2</v>
      </c>
      <c r="R2280">
        <v>-0.99663760000000001</v>
      </c>
      <c r="S2280">
        <v>-7.2937009999999997E-3</v>
      </c>
      <c r="T2280">
        <v>-0.3232024</v>
      </c>
      <c r="U2280">
        <v>-3.0160520000000002</v>
      </c>
      <c r="V2280">
        <v>-0.21673149999999999</v>
      </c>
      <c r="W2280">
        <v>3.1897200000000001E-2</v>
      </c>
      <c r="X2280">
        <v>0.97570999999999997</v>
      </c>
      <c r="Y2280">
        <v>-0.29163860000000003</v>
      </c>
      <c r="Z2280">
        <v>9.7186410000000001E-2</v>
      </c>
      <c r="AA2280">
        <v>0.95157860000000005</v>
      </c>
      <c r="AB2280">
        <v>12</v>
      </c>
      <c r="AC2280">
        <v>8.6000000000012698E-3</v>
      </c>
      <c r="AD2280">
        <v>-1.11125333816</v>
      </c>
      <c r="AE2280">
        <v>-10.252099999999899</v>
      </c>
      <c r="AF2280">
        <v>-2.9869995523166</v>
      </c>
      <c r="AG2280">
        <v>-1.11125333816</v>
      </c>
      <c r="AH2280">
        <v>9.6827964965203499</v>
      </c>
      <c r="AI2280">
        <v>96.258402158240798</v>
      </c>
      <c r="AJ2280">
        <v>107.14422081841499</v>
      </c>
      <c r="AK2280">
        <v>10.1938019551165</v>
      </c>
      <c r="AL2280">
        <v>88.172114994794597</v>
      </c>
      <c r="AM2280">
        <v>102.523606549737</v>
      </c>
      <c r="AN2280">
        <v>0.99999998928004397</v>
      </c>
    </row>
    <row r="2281" spans="1:40" x14ac:dyDescent="0.25">
      <c r="A2281" t="str">
        <f>"20190312151312640"</f>
        <v>20190312151312640</v>
      </c>
      <c r="B2281" t="str">
        <f>"1552374792632898"</f>
        <v>1552374792632898</v>
      </c>
      <c r="C2281" t="s">
        <v>40</v>
      </c>
      <c r="D2281">
        <v>4.9160550000000001</v>
      </c>
      <c r="E2281">
        <v>0.47223949999999998</v>
      </c>
      <c r="F2281" t="s">
        <v>42</v>
      </c>
      <c r="G2281">
        <v>-494.84230000000002</v>
      </c>
      <c r="H2281" s="1">
        <v>-2.271163E-6</v>
      </c>
      <c r="I2281">
        <v>251.87989999999999</v>
      </c>
      <c r="J2281">
        <v>-494.86529999999999</v>
      </c>
      <c r="K2281">
        <v>1.111256</v>
      </c>
      <c r="L2281">
        <v>262.18209999999999</v>
      </c>
      <c r="M2281">
        <v>-0.29179909999999998</v>
      </c>
      <c r="N2281">
        <v>0</v>
      </c>
      <c r="O2281">
        <v>-0.956376</v>
      </c>
      <c r="P2281">
        <v>-7.5972020000000001E-2</v>
      </c>
      <c r="Q2281">
        <v>1.714889E-2</v>
      </c>
      <c r="R2281">
        <v>-0.99696280000000004</v>
      </c>
      <c r="S2281">
        <v>-3.0212400000000001E-3</v>
      </c>
      <c r="T2281">
        <v>-0.32162629999999998</v>
      </c>
      <c r="U2281">
        <v>-3.0158689999999999</v>
      </c>
      <c r="V2281">
        <v>-0.21833140000000001</v>
      </c>
      <c r="W2281">
        <v>3.0507900000000001E-2</v>
      </c>
      <c r="X2281">
        <v>0.97539770000000003</v>
      </c>
      <c r="Y2281">
        <v>-0.29083819999999999</v>
      </c>
      <c r="Z2281">
        <v>9.6840460000000003E-2</v>
      </c>
      <c r="AA2281">
        <v>0.9518588</v>
      </c>
      <c r="AB2281">
        <v>12</v>
      </c>
      <c r="AC2281">
        <v>2.2999999999967699E-2</v>
      </c>
      <c r="AD2281">
        <v>-1.1112582711629999</v>
      </c>
      <c r="AE2281">
        <v>-10.302199999999999</v>
      </c>
      <c r="AF2281">
        <v>-2.9936384166136798</v>
      </c>
      <c r="AG2281">
        <v>-1.1112582711629999</v>
      </c>
      <c r="AH2281">
        <v>9.7337884730273601</v>
      </c>
      <c r="AI2281">
        <v>96.227525379983604</v>
      </c>
      <c r="AJ2281">
        <v>107.095343523747</v>
      </c>
      <c r="AK2281">
        <v>10.244188789371901</v>
      </c>
      <c r="AL2281">
        <v>88.251754830047602</v>
      </c>
      <c r="AM2281">
        <v>102.61701657355999</v>
      </c>
      <c r="AN2281">
        <v>1.0000000026768201</v>
      </c>
    </row>
    <row r="2282" spans="1:40" x14ac:dyDescent="0.25">
      <c r="A2282" t="str">
        <f>"20190312151312661"</f>
        <v>20190312151312661</v>
      </c>
      <c r="B2282" t="str">
        <f>"1552374792652418"</f>
        <v>1552374792652418</v>
      </c>
      <c r="C2282" t="s">
        <v>40</v>
      </c>
      <c r="D2282">
        <v>4.9058809999999999</v>
      </c>
      <c r="E2282">
        <v>0.47232649999999998</v>
      </c>
      <c r="F2282" t="s">
        <v>42</v>
      </c>
      <c r="G2282">
        <v>-494.84039999999999</v>
      </c>
      <c r="H2282" s="1">
        <v>-2.2741259999999998E-6</v>
      </c>
      <c r="I2282">
        <v>251.88800000000001</v>
      </c>
      <c r="J2282">
        <v>-494.8954</v>
      </c>
      <c r="K2282">
        <v>1.1112610000000001</v>
      </c>
      <c r="L2282">
        <v>262.07499999999999</v>
      </c>
      <c r="M2282">
        <v>-0.28981689999999999</v>
      </c>
      <c r="N2282">
        <v>0</v>
      </c>
      <c r="O2282">
        <v>-0.95697949999999998</v>
      </c>
      <c r="P2282">
        <v>-7.234778E-2</v>
      </c>
      <c r="Q2282">
        <v>1.4912989999999999E-2</v>
      </c>
      <c r="R2282">
        <v>-0.9972683</v>
      </c>
      <c r="S2282">
        <v>7.2937009999999997E-3</v>
      </c>
      <c r="T2282">
        <v>-0.32549879999999998</v>
      </c>
      <c r="U2282">
        <v>-3.0152589999999999</v>
      </c>
      <c r="V2282">
        <v>-0.2198629</v>
      </c>
      <c r="W2282">
        <v>2.8182889999999999E-2</v>
      </c>
      <c r="X2282">
        <v>0.97512359999999998</v>
      </c>
      <c r="Y2282">
        <v>-0.29210999999999998</v>
      </c>
      <c r="Z2282">
        <v>9.8087679999999997E-2</v>
      </c>
      <c r="AA2282">
        <v>0.95134149999999995</v>
      </c>
      <c r="AB2282">
        <v>12</v>
      </c>
      <c r="AC2282">
        <v>5.50000000000068E-2</v>
      </c>
      <c r="AD2282">
        <v>-1.111263274126</v>
      </c>
      <c r="AE2282">
        <v>-10.1869999999999</v>
      </c>
      <c r="AF2282">
        <v>-2.9699528201540399</v>
      </c>
      <c r="AG2282">
        <v>-1.111263274126</v>
      </c>
      <c r="AH2282">
        <v>9.6193012854944797</v>
      </c>
      <c r="AI2282">
        <v>96.298972515481296</v>
      </c>
      <c r="AJ2282">
        <v>107.158037525325</v>
      </c>
      <c r="AK2282">
        <v>10.1284985580034</v>
      </c>
      <c r="AL2282">
        <v>88.385025515663003</v>
      </c>
      <c r="AM2282">
        <v>102.70611197112</v>
      </c>
      <c r="AN2282">
        <v>1.00000000268106</v>
      </c>
    </row>
    <row r="2283" spans="1:40" x14ac:dyDescent="0.25">
      <c r="A2283" t="str">
        <f>"20190312151312684"</f>
        <v>20190312151312684</v>
      </c>
      <c r="B2283" t="str">
        <f>"1552374792671938"</f>
        <v>1552374792671938</v>
      </c>
      <c r="C2283" t="s">
        <v>40</v>
      </c>
      <c r="D2283">
        <v>4.9004699999999897</v>
      </c>
      <c r="E2283">
        <v>0.47239759999999997</v>
      </c>
      <c r="F2283" t="s">
        <v>42</v>
      </c>
      <c r="G2283">
        <v>-494.83679999999998</v>
      </c>
      <c r="H2283" s="1">
        <v>-2.3149270000000002E-6</v>
      </c>
      <c r="I2283">
        <v>251.9853</v>
      </c>
      <c r="J2283">
        <v>-494.92849999999999</v>
      </c>
      <c r="K2283">
        <v>1.11127</v>
      </c>
      <c r="L2283">
        <v>261.95609999999999</v>
      </c>
      <c r="M2283">
        <v>-0.2875838</v>
      </c>
      <c r="N2283">
        <v>0</v>
      </c>
      <c r="O2283">
        <v>-0.95765420000000001</v>
      </c>
      <c r="P2283">
        <v>-6.8102670000000004E-2</v>
      </c>
      <c r="Q2283">
        <v>1.329229E-2</v>
      </c>
      <c r="R2283">
        <v>-0.99759019999999998</v>
      </c>
      <c r="S2283">
        <v>1.7517089999999999E-2</v>
      </c>
      <c r="T2283">
        <v>-0.33200750000000001</v>
      </c>
      <c r="U2283">
        <v>-3.0144350000000002</v>
      </c>
      <c r="V2283">
        <v>-0.22174289999999999</v>
      </c>
      <c r="W2283">
        <v>2.6473110000000001E-2</v>
      </c>
      <c r="X2283">
        <v>0.9747458</v>
      </c>
      <c r="Y2283">
        <v>-0.2931029</v>
      </c>
      <c r="Z2283">
        <v>0.1001451</v>
      </c>
      <c r="AA2283">
        <v>0.95082160000000004</v>
      </c>
      <c r="AB2283">
        <v>12</v>
      </c>
      <c r="AC2283">
        <v>9.1700000000003001E-2</v>
      </c>
      <c r="AD2283">
        <v>-1.1112723149269901</v>
      </c>
      <c r="AE2283">
        <v>-9.9707999999999899</v>
      </c>
      <c r="AF2283">
        <v>-2.9192847244111002</v>
      </c>
      <c r="AG2283">
        <v>-1.1112723149269901</v>
      </c>
      <c r="AH2283">
        <v>9.4062984886661702</v>
      </c>
      <c r="AI2283">
        <v>96.437582715540302</v>
      </c>
      <c r="AJ2283">
        <v>107.241951898645</v>
      </c>
      <c r="AK2283">
        <v>9.9113874264901405</v>
      </c>
      <c r="AL2283">
        <v>88.483025388502497</v>
      </c>
      <c r="AM2283">
        <v>102.815989877113</v>
      </c>
      <c r="AN2283">
        <v>1.0000000569355501</v>
      </c>
    </row>
    <row r="2284" spans="1:40" x14ac:dyDescent="0.25">
      <c r="A2284" t="str">
        <f>"20190312151312709"</f>
        <v>20190312151312709</v>
      </c>
      <c r="B2284" t="str">
        <f>"1552374792702194"</f>
        <v>1552374792702194</v>
      </c>
      <c r="C2284" t="s">
        <v>40</v>
      </c>
      <c r="D2284">
        <v>4.9225019999999997</v>
      </c>
      <c r="E2284">
        <v>0.47266580000000002</v>
      </c>
      <c r="F2284" t="s">
        <v>42</v>
      </c>
      <c r="G2284">
        <v>-494.83019999999999</v>
      </c>
      <c r="H2284" s="1">
        <v>-2.4150320000000002E-6</v>
      </c>
      <c r="I2284">
        <v>252.22280000000001</v>
      </c>
      <c r="J2284">
        <v>-494.96199999999999</v>
      </c>
      <c r="K2284">
        <v>1.1112740000000001</v>
      </c>
      <c r="L2284">
        <v>261.83460000000002</v>
      </c>
      <c r="M2284">
        <v>-0.28526000000000001</v>
      </c>
      <c r="N2284">
        <v>0</v>
      </c>
      <c r="O2284">
        <v>-0.95834989999999998</v>
      </c>
      <c r="P2284">
        <v>-6.3435130000000006E-2</v>
      </c>
      <c r="Q2284">
        <v>1.2943730000000001E-2</v>
      </c>
      <c r="R2284">
        <v>-0.99790219999999996</v>
      </c>
      <c r="S2284">
        <v>3.0456540000000001E-2</v>
      </c>
      <c r="T2284">
        <v>-0.34410600000000002</v>
      </c>
      <c r="U2284">
        <v>-3.013916</v>
      </c>
      <c r="V2284">
        <v>-0.2239392</v>
      </c>
      <c r="W2284">
        <v>2.6044589999999999E-2</v>
      </c>
      <c r="X2284">
        <v>0.97425499999999998</v>
      </c>
      <c r="Y2284">
        <v>-0.29485879999999998</v>
      </c>
      <c r="Z2284">
        <v>0.103851</v>
      </c>
      <c r="AA2284">
        <v>0.94988070000000002</v>
      </c>
      <c r="AB2284">
        <v>12</v>
      </c>
      <c r="AC2284">
        <v>0.131799999999998</v>
      </c>
      <c r="AD2284">
        <v>-1.11127641503199</v>
      </c>
      <c r="AE2284">
        <v>-9.6118000000000094</v>
      </c>
      <c r="AF2284">
        <v>-2.8306184254511502</v>
      </c>
      <c r="AG2284">
        <v>-1.11127641503199</v>
      </c>
      <c r="AH2284">
        <v>9.05375305643609</v>
      </c>
      <c r="AI2284">
        <v>96.6817437609444</v>
      </c>
      <c r="AJ2284">
        <v>107.361638048541</v>
      </c>
      <c r="AK2284">
        <v>9.5507999847151908</v>
      </c>
      <c r="AL2284">
        <v>88.507586077524905</v>
      </c>
      <c r="AM2284">
        <v>102.944975275649</v>
      </c>
      <c r="AN2284">
        <v>0.99999994549495197</v>
      </c>
    </row>
    <row r="2285" spans="1:40" x14ac:dyDescent="0.25">
      <c r="A2285" t="str">
        <f>"20190312151312730"</f>
        <v>20190312151312730</v>
      </c>
      <c r="B2285" t="str">
        <f>"1552374792722690"</f>
        <v>1552374792722690</v>
      </c>
      <c r="C2285" t="s">
        <v>40</v>
      </c>
      <c r="D2285">
        <v>4.9008789999999998</v>
      </c>
      <c r="E2285">
        <v>0.47290300000000002</v>
      </c>
      <c r="F2285" t="s">
        <v>42</v>
      </c>
      <c r="G2285">
        <v>-494.8261</v>
      </c>
      <c r="H2285" s="1">
        <v>-2.3240390000000001E-6</v>
      </c>
      <c r="I2285">
        <v>252.01320000000001</v>
      </c>
      <c r="J2285">
        <v>-494.99299999999999</v>
      </c>
      <c r="K2285">
        <v>1.1112789999999999</v>
      </c>
      <c r="L2285">
        <v>261.72059999999999</v>
      </c>
      <c r="M2285">
        <v>-0.28304879999999999</v>
      </c>
      <c r="N2285">
        <v>0</v>
      </c>
      <c r="O2285">
        <v>-0.95900600000000003</v>
      </c>
      <c r="P2285">
        <v>-5.9647150000000003E-2</v>
      </c>
      <c r="Q2285">
        <v>1.3031060000000001E-2</v>
      </c>
      <c r="R2285">
        <v>-0.99813470000000004</v>
      </c>
      <c r="S2285">
        <v>4.1687009999999997E-2</v>
      </c>
      <c r="T2285">
        <v>-0.34095619999999999</v>
      </c>
      <c r="U2285">
        <v>-3.0133359999999998</v>
      </c>
      <c r="V2285">
        <v>-0.22539010000000001</v>
      </c>
      <c r="W2285">
        <v>2.606938E-2</v>
      </c>
      <c r="X2285">
        <v>0.97391970000000005</v>
      </c>
      <c r="Y2285">
        <v>-0.29619790000000001</v>
      </c>
      <c r="Z2285">
        <v>0.1030152</v>
      </c>
      <c r="AA2285">
        <v>0.94955500000000004</v>
      </c>
      <c r="AB2285">
        <v>12</v>
      </c>
      <c r="AC2285">
        <v>0.166900000000055</v>
      </c>
      <c r="AD2285">
        <v>-1.111281324039</v>
      </c>
      <c r="AE2285">
        <v>-9.7073999999999696</v>
      </c>
      <c r="AF2285">
        <v>-2.8703976676992702</v>
      </c>
      <c r="AG2285">
        <v>-1.111281324039</v>
      </c>
      <c r="AH2285">
        <v>9.1433089832072092</v>
      </c>
      <c r="AI2285">
        <v>96.6145001758143</v>
      </c>
      <c r="AJ2285">
        <v>107.42885840495801</v>
      </c>
      <c r="AK2285">
        <v>9.6474985418132597</v>
      </c>
      <c r="AL2285">
        <v>88.506165233243394</v>
      </c>
      <c r="AM2285">
        <v>103.030325677213</v>
      </c>
      <c r="AN2285">
        <v>0.99999994589983998</v>
      </c>
    </row>
    <row r="2286" spans="1:40" x14ac:dyDescent="0.25">
      <c r="A2286" t="str">
        <f>"20190312151312752"</f>
        <v>20190312151312752</v>
      </c>
      <c r="B2286" t="str">
        <f>"1552374792742210"</f>
        <v>1552374792742210</v>
      </c>
      <c r="C2286" t="s">
        <v>40</v>
      </c>
      <c r="D2286">
        <v>4.9863730000000004</v>
      </c>
      <c r="E2286">
        <v>0.4766707</v>
      </c>
      <c r="F2286" t="s">
        <v>42</v>
      </c>
      <c r="G2286">
        <v>-494.82960000000003</v>
      </c>
      <c r="H2286" s="1">
        <v>-2.2961330000000002E-6</v>
      </c>
      <c r="I2286">
        <v>251.946</v>
      </c>
      <c r="J2286">
        <v>-495.02350000000001</v>
      </c>
      <c r="K2286">
        <v>1.111291</v>
      </c>
      <c r="L2286">
        <v>261.60739999999998</v>
      </c>
      <c r="M2286">
        <v>-0.28082990000000002</v>
      </c>
      <c r="N2286">
        <v>0</v>
      </c>
      <c r="O2286">
        <v>-0.95965869999999998</v>
      </c>
      <c r="P2286">
        <v>-5.618008E-2</v>
      </c>
      <c r="Q2286">
        <v>1.289945E-2</v>
      </c>
      <c r="R2286">
        <v>-0.99833749999999999</v>
      </c>
      <c r="S2286">
        <v>5.0354000000000003E-2</v>
      </c>
      <c r="T2286">
        <v>-0.34256409999999998</v>
      </c>
      <c r="U2286">
        <v>-3.0131230000000002</v>
      </c>
      <c r="V2286">
        <v>-0.22652040000000001</v>
      </c>
      <c r="W2286">
        <v>2.588681E-2</v>
      </c>
      <c r="X2286">
        <v>0.97366240000000004</v>
      </c>
      <c r="Y2286">
        <v>-0.29671900000000001</v>
      </c>
      <c r="Z2286">
        <v>0.1036001</v>
      </c>
      <c r="AA2286">
        <v>0.94932870000000003</v>
      </c>
      <c r="AB2286">
        <v>12</v>
      </c>
      <c r="AC2286">
        <v>0.193899999999985</v>
      </c>
      <c r="AD2286">
        <v>-1.111293296133</v>
      </c>
      <c r="AE2286">
        <v>-9.6613999999999791</v>
      </c>
      <c r="AF2286">
        <v>-2.8617161432891498</v>
      </c>
      <c r="AG2286">
        <v>-1.111293296133</v>
      </c>
      <c r="AH2286">
        <v>9.0977486582611107</v>
      </c>
      <c r="AI2286">
        <v>96.646235880356699</v>
      </c>
      <c r="AJ2286">
        <v>107.461079211582</v>
      </c>
      <c r="AK2286">
        <v>9.6017406090606201</v>
      </c>
      <c r="AL2286">
        <v>88.516629401113505</v>
      </c>
      <c r="AM2286">
        <v>103.09676570031699</v>
      </c>
      <c r="AN2286">
        <v>1.00000004386094</v>
      </c>
    </row>
    <row r="2287" spans="1:40" x14ac:dyDescent="0.25">
      <c r="A2287" t="str">
        <f>"20190312151312774"</f>
        <v>20190312151312774</v>
      </c>
      <c r="B2287" t="str">
        <f>"1552374792762706"</f>
        <v>1552374792762706</v>
      </c>
      <c r="C2287" t="s">
        <v>40</v>
      </c>
      <c r="D2287">
        <v>4.9107159999999999</v>
      </c>
      <c r="E2287">
        <v>0.47901749999999998</v>
      </c>
      <c r="F2287" t="s">
        <v>42</v>
      </c>
      <c r="G2287">
        <v>-494.93340000000001</v>
      </c>
      <c r="H2287" s="1">
        <v>-3.0719070000000002E-6</v>
      </c>
      <c r="I2287">
        <v>253.69</v>
      </c>
      <c r="J2287">
        <v>-495.05380000000002</v>
      </c>
      <c r="K2287">
        <v>1.111297</v>
      </c>
      <c r="L2287">
        <v>261.4939</v>
      </c>
      <c r="M2287">
        <v>-0.27858270000000002</v>
      </c>
      <c r="N2287">
        <v>0</v>
      </c>
      <c r="O2287">
        <v>-0.96031390000000005</v>
      </c>
      <c r="P2287">
        <v>-5.2803959999999997E-2</v>
      </c>
      <c r="Q2287">
        <v>1.4579379999999999E-2</v>
      </c>
      <c r="R2287">
        <v>-0.99849869999999996</v>
      </c>
      <c r="S2287">
        <v>3.4301760000000001E-2</v>
      </c>
      <c r="T2287">
        <v>-0.42281580000000002</v>
      </c>
      <c r="U2287">
        <v>-3.0123600000000001</v>
      </c>
      <c r="V2287">
        <v>-0.22753039999999999</v>
      </c>
      <c r="W2287">
        <v>2.752226E-2</v>
      </c>
      <c r="X2287">
        <v>0.97338190000000002</v>
      </c>
      <c r="Y2287">
        <v>-0.28937000000000002</v>
      </c>
      <c r="Z2287">
        <v>0.1277858</v>
      </c>
      <c r="AA2287">
        <v>0.94864950000000003</v>
      </c>
      <c r="AB2287">
        <v>12</v>
      </c>
      <c r="AC2287">
        <v>0.12040000000001699</v>
      </c>
      <c r="AD2287">
        <v>-1.1113000719069901</v>
      </c>
      <c r="AE2287">
        <v>-7.8038999999999898</v>
      </c>
      <c r="AF2287">
        <v>-2.24436766398756</v>
      </c>
      <c r="AG2287">
        <v>-1.1113000719069901</v>
      </c>
      <c r="AH2287">
        <v>7.3130925781168301</v>
      </c>
      <c r="AI2287">
        <v>98.265702725039802</v>
      </c>
      <c r="AJ2287">
        <v>107.06110356759</v>
      </c>
      <c r="AK2287">
        <v>7.7300386232593299</v>
      </c>
      <c r="AL2287">
        <v>88.4228914193816</v>
      </c>
      <c r="AM2287">
        <v>103.156793688913</v>
      </c>
      <c r="AN2287">
        <v>0.99999994048363705</v>
      </c>
    </row>
    <row r="2288" spans="1:40" x14ac:dyDescent="0.25">
      <c r="A2288" t="str">
        <f>"20190312151312798"</f>
        <v>20190312151312798</v>
      </c>
      <c r="B2288" t="str">
        <f>"1552374792791986"</f>
        <v>1552374792791986</v>
      </c>
      <c r="C2288" t="s">
        <v>40</v>
      </c>
      <c r="D2288">
        <v>4.9959749999999996</v>
      </c>
      <c r="E2288">
        <v>0.4797188</v>
      </c>
      <c r="F2288" t="s">
        <v>42</v>
      </c>
      <c r="G2288">
        <v>-494.98419999999999</v>
      </c>
      <c r="H2288" s="1">
        <v>-2.532695E-6</v>
      </c>
      <c r="I2288">
        <v>252.4016</v>
      </c>
      <c r="J2288">
        <v>-495.08519999999999</v>
      </c>
      <c r="K2288">
        <v>1.1112930000000001</v>
      </c>
      <c r="L2288">
        <v>261.37479999999999</v>
      </c>
      <c r="M2288">
        <v>-0.27620460000000002</v>
      </c>
      <c r="N2288">
        <v>0</v>
      </c>
      <c r="O2288">
        <v>-0.96100129999999995</v>
      </c>
      <c r="P2288">
        <v>-4.9871939999999997E-2</v>
      </c>
      <c r="Q2288">
        <v>1.524287E-2</v>
      </c>
      <c r="R2288">
        <v>-0.99863970000000002</v>
      </c>
      <c r="S2288">
        <v>2.3071290000000001E-2</v>
      </c>
      <c r="T2288">
        <v>-0.36803399999999997</v>
      </c>
      <c r="U2288">
        <v>-3.011139</v>
      </c>
      <c r="V2288">
        <v>-0.2279775</v>
      </c>
      <c r="W2288">
        <v>2.8148570000000001E-2</v>
      </c>
      <c r="X2288">
        <v>0.9732594</v>
      </c>
      <c r="Y2288">
        <v>-0.2834933</v>
      </c>
      <c r="Z2288">
        <v>0.11176460000000001</v>
      </c>
      <c r="AA2288">
        <v>0.95243909999999998</v>
      </c>
      <c r="AB2288">
        <v>12</v>
      </c>
      <c r="AC2288">
        <v>0.10099999999999899</v>
      </c>
      <c r="AD2288">
        <v>-1.111295532695</v>
      </c>
      <c r="AE2288">
        <v>-8.9731999999999896</v>
      </c>
      <c r="AF2288">
        <v>-2.53683706778809</v>
      </c>
      <c r="AG2288">
        <v>-1.111295532695</v>
      </c>
      <c r="AH2288">
        <v>8.4663274191235001</v>
      </c>
      <c r="AI2288">
        <v>97.166612158557598</v>
      </c>
      <c r="AJ2288">
        <v>106.680236514334</v>
      </c>
      <c r="AK2288">
        <v>8.9078179167119202</v>
      </c>
      <c r="AL2288">
        <v>88.386992636288497</v>
      </c>
      <c r="AM2288">
        <v>103.183346311859</v>
      </c>
      <c r="AN2288">
        <v>0.99999997109382699</v>
      </c>
    </row>
    <row r="2289" spans="1:40" x14ac:dyDescent="0.25">
      <c r="A2289" t="str">
        <f>"20190312151312819"</f>
        <v>20190312151312819</v>
      </c>
      <c r="B2289" t="str">
        <f>"1552374792812482"</f>
        <v>1552374792812482</v>
      </c>
      <c r="C2289" t="s">
        <v>40</v>
      </c>
      <c r="D2289">
        <v>4.9170720000000001</v>
      </c>
      <c r="E2289">
        <v>0.48200860000000001</v>
      </c>
      <c r="F2289" t="s">
        <v>42</v>
      </c>
      <c r="G2289">
        <v>-494.9991</v>
      </c>
      <c r="H2289" s="1">
        <v>-1.631653E-6</v>
      </c>
      <c r="I2289">
        <v>250.2919</v>
      </c>
      <c r="J2289">
        <v>-495.11329999999998</v>
      </c>
      <c r="K2289">
        <v>1.111283</v>
      </c>
      <c r="L2289">
        <v>261.26769999999999</v>
      </c>
      <c r="M2289">
        <v>-0.27404780000000001</v>
      </c>
      <c r="N2289">
        <v>0</v>
      </c>
      <c r="O2289">
        <v>-0.96161909999999895</v>
      </c>
      <c r="P2289">
        <v>-4.6732019999999999E-2</v>
      </c>
      <c r="Q2289">
        <v>1.402599E-2</v>
      </c>
      <c r="R2289">
        <v>-0.99880930000000001</v>
      </c>
      <c r="S2289">
        <v>2.3376460000000002E-2</v>
      </c>
      <c r="T2289">
        <v>-0.30180010000000002</v>
      </c>
      <c r="U2289">
        <v>-3.009827</v>
      </c>
      <c r="V2289">
        <v>-0.22885639999999999</v>
      </c>
      <c r="W2289">
        <v>2.6900210000000001E-2</v>
      </c>
      <c r="X2289">
        <v>0.97308839999999996</v>
      </c>
      <c r="Y2289">
        <v>-0.28147169999999999</v>
      </c>
      <c r="Z2289">
        <v>9.2029529999999998E-2</v>
      </c>
      <c r="AA2289">
        <v>0.95514619999999995</v>
      </c>
      <c r="AB2289">
        <v>12</v>
      </c>
      <c r="AC2289">
        <v>0.114199999999982</v>
      </c>
      <c r="AD2289">
        <v>-1.1112846316530001</v>
      </c>
      <c r="AE2289">
        <v>-10.9757999999999</v>
      </c>
      <c r="AF2289">
        <v>-3.0863657413869201</v>
      </c>
      <c r="AG2289">
        <v>-1.1112846316530001</v>
      </c>
      <c r="AH2289">
        <v>10.4174435325065</v>
      </c>
      <c r="AI2289">
        <v>95.839955860140506</v>
      </c>
      <c r="AJ2289">
        <v>106.502924456391</v>
      </c>
      <c r="AK2289">
        <v>10.921709425502801</v>
      </c>
      <c r="AL2289">
        <v>88.4585454845394</v>
      </c>
      <c r="AM2289">
        <v>103.234629498961</v>
      </c>
      <c r="AN2289">
        <v>0.99999995366678096</v>
      </c>
    </row>
    <row r="2290" spans="1:40" x14ac:dyDescent="0.25">
      <c r="A2290" t="str">
        <f>"20190312151312842"</f>
        <v>20190312151312842</v>
      </c>
      <c r="B2290" t="str">
        <f>"1552374792832002"</f>
        <v>1552374792832002</v>
      </c>
      <c r="C2290" t="s">
        <v>40</v>
      </c>
      <c r="D2290">
        <v>4.980391</v>
      </c>
      <c r="E2290">
        <v>0.48227559999999903</v>
      </c>
      <c r="F2290" t="s">
        <v>42</v>
      </c>
      <c r="G2290">
        <v>-495.06180000000001</v>
      </c>
      <c r="H2290" s="1">
        <v>-2.3387569999999998E-6</v>
      </c>
      <c r="I2290">
        <v>251.9014</v>
      </c>
      <c r="J2290">
        <v>-495.14449999999999</v>
      </c>
      <c r="K2290">
        <v>1.111259</v>
      </c>
      <c r="L2290">
        <v>261.14679999999998</v>
      </c>
      <c r="M2290">
        <v>-0.2715919</v>
      </c>
      <c r="N2290">
        <v>0</v>
      </c>
      <c r="O2290">
        <v>-0.9623157</v>
      </c>
      <c r="P2290">
        <v>-4.2627539999999998E-2</v>
      </c>
      <c r="Q2290">
        <v>1.1853239999999999E-2</v>
      </c>
      <c r="R2290">
        <v>-0.99902060000000004</v>
      </c>
      <c r="S2290">
        <v>1.6540530000000001E-2</v>
      </c>
      <c r="T2290">
        <v>-0.35705029999999999</v>
      </c>
      <c r="U2290">
        <v>-3.009369</v>
      </c>
      <c r="V2290">
        <v>-0.23037450000000001</v>
      </c>
      <c r="W2290">
        <v>2.469176E-2</v>
      </c>
      <c r="X2290">
        <v>0.97278880000000001</v>
      </c>
      <c r="Y2290">
        <v>-0.27683099999999999</v>
      </c>
      <c r="Z2290">
        <v>0.10888589999999999</v>
      </c>
      <c r="AA2290">
        <v>0.95472950000000001</v>
      </c>
      <c r="AB2290">
        <v>12</v>
      </c>
      <c r="AC2290">
        <v>8.2699999999988394E-2</v>
      </c>
      <c r="AD2290">
        <v>-1.1112613387570001</v>
      </c>
      <c r="AE2290">
        <v>-9.2453999999999894</v>
      </c>
      <c r="AF2290">
        <v>-2.5539070227982199</v>
      </c>
      <c r="AG2290">
        <v>-1.1112613387570001</v>
      </c>
      <c r="AH2290">
        <v>8.74897258653065</v>
      </c>
      <c r="AI2290">
        <v>96.951624239829599</v>
      </c>
      <c r="AJ2290">
        <v>106.273019207681</v>
      </c>
      <c r="AK2290">
        <v>9.1816046617124094</v>
      </c>
      <c r="AL2290">
        <v>88.585122668233396</v>
      </c>
      <c r="AM2290">
        <v>103.323257055166</v>
      </c>
      <c r="AN2290">
        <v>1.00000007133379</v>
      </c>
    </row>
    <row r="2291" spans="1:40" x14ac:dyDescent="0.25">
      <c r="A2291" t="str">
        <f>"20190312151312863"</f>
        <v>20190312151312863</v>
      </c>
      <c r="B2291" t="str">
        <f>"1552374792852498"</f>
        <v>1552374792852498</v>
      </c>
      <c r="C2291" t="s">
        <v>40</v>
      </c>
      <c r="D2291">
        <v>5.2046999999999999</v>
      </c>
      <c r="E2291">
        <v>0.4825738</v>
      </c>
      <c r="F2291" t="s">
        <v>42</v>
      </c>
      <c r="G2291">
        <v>-495.0634</v>
      </c>
      <c r="H2291" s="1">
        <v>-2.3098650000000002E-6</v>
      </c>
      <c r="I2291">
        <v>251.833</v>
      </c>
      <c r="J2291">
        <v>-495.17090000000002</v>
      </c>
      <c r="K2291">
        <v>1.1112420000000001</v>
      </c>
      <c r="L2291">
        <v>261.04349999999999</v>
      </c>
      <c r="M2291">
        <v>-0.2694764</v>
      </c>
      <c r="N2291">
        <v>0</v>
      </c>
      <c r="O2291">
        <v>-0.96291070000000001</v>
      </c>
      <c r="P2291">
        <v>-3.8691549999999998E-2</v>
      </c>
      <c r="Q2291">
        <v>1.0146509999999999E-2</v>
      </c>
      <c r="R2291">
        <v>-0.99919950000000002</v>
      </c>
      <c r="S2291">
        <v>2.6184079999999998E-2</v>
      </c>
      <c r="T2291">
        <v>-0.35893709999999901</v>
      </c>
      <c r="U2291">
        <v>-3.008362</v>
      </c>
      <c r="V2291">
        <v>-0.23206979999999999</v>
      </c>
      <c r="W2291">
        <v>2.2955130000000001E-2</v>
      </c>
      <c r="X2291">
        <v>0.97242819999999996</v>
      </c>
      <c r="Y2291">
        <v>-0.27778000000000003</v>
      </c>
      <c r="Z2291">
        <v>0.10957649999999999</v>
      </c>
      <c r="AA2291">
        <v>0.95437479999999997</v>
      </c>
      <c r="AB2291">
        <v>12</v>
      </c>
      <c r="AC2291">
        <v>0.107500000000015</v>
      </c>
      <c r="AD2291">
        <v>-1.111244309865</v>
      </c>
      <c r="AE2291">
        <v>-9.2104999999999908</v>
      </c>
      <c r="AF2291">
        <v>-2.5486707560738502</v>
      </c>
      <c r="AG2291">
        <v>-1.111244309865</v>
      </c>
      <c r="AH2291">
        <v>8.7139145304125805</v>
      </c>
      <c r="AI2291">
        <v>96.978144159468101</v>
      </c>
      <c r="AJ2291">
        <v>106.303294029502</v>
      </c>
      <c r="AK2291">
        <v>9.1467422059665004</v>
      </c>
      <c r="AL2291">
        <v>88.684652354534407</v>
      </c>
      <c r="AM2291">
        <v>103.422563687942</v>
      </c>
      <c r="AN2291">
        <v>0.99999996711029704</v>
      </c>
    </row>
    <row r="2292" spans="1:40" x14ac:dyDescent="0.25">
      <c r="A2292" t="str">
        <f>"20190312151312885"</f>
        <v>20190312151312885</v>
      </c>
      <c r="B2292" t="str">
        <f>"1552374792882754"</f>
        <v>1552374792882754</v>
      </c>
      <c r="C2292" t="s">
        <v>40</v>
      </c>
      <c r="D2292">
        <v>4.9682839999999997</v>
      </c>
      <c r="E2292">
        <v>0.48298990000000003</v>
      </c>
      <c r="F2292" t="s">
        <v>42</v>
      </c>
      <c r="G2292">
        <v>-495.0634</v>
      </c>
      <c r="H2292" s="1">
        <v>-2.2565860000000002E-6</v>
      </c>
      <c r="I2292">
        <v>251.7088</v>
      </c>
      <c r="J2292">
        <v>-495.19909999999999</v>
      </c>
      <c r="K2292">
        <v>1.111232</v>
      </c>
      <c r="L2292">
        <v>260.9323</v>
      </c>
      <c r="M2292">
        <v>-0.26717800000000003</v>
      </c>
      <c r="N2292">
        <v>0</v>
      </c>
      <c r="O2292">
        <v>-0.96355139999999995</v>
      </c>
      <c r="P2292">
        <v>-3.4947949999999998E-2</v>
      </c>
      <c r="Q2292">
        <v>9.924937E-3</v>
      </c>
      <c r="R2292">
        <v>-0.99934020000000001</v>
      </c>
      <c r="S2292">
        <v>3.463745E-2</v>
      </c>
      <c r="T2292">
        <v>-0.35800389999999999</v>
      </c>
      <c r="U2292">
        <v>-3.0073240000000001</v>
      </c>
      <c r="V2292">
        <v>-0.2333934</v>
      </c>
      <c r="W2292">
        <v>2.2705340000000001E-2</v>
      </c>
      <c r="X2292">
        <v>0.97211720000000001</v>
      </c>
      <c r="Y2292">
        <v>-0.27817360000000002</v>
      </c>
      <c r="Z2292">
        <v>0.1094368</v>
      </c>
      <c r="AA2292">
        <v>0.95427620000000002</v>
      </c>
      <c r="AB2292">
        <v>12</v>
      </c>
      <c r="AC2292">
        <v>0.135699999999985</v>
      </c>
      <c r="AD2292">
        <v>-1.1112342565860001</v>
      </c>
      <c r="AE2292">
        <v>-9.2234999999999996</v>
      </c>
      <c r="AF2292">
        <v>-2.5581855288470998</v>
      </c>
      <c r="AG2292">
        <v>-1.1112342565860001</v>
      </c>
      <c r="AH2292">
        <v>8.7252569360412497</v>
      </c>
      <c r="AI2292">
        <v>96.967777952163402</v>
      </c>
      <c r="AJ2292">
        <v>106.34077547891</v>
      </c>
      <c r="AK2292">
        <v>9.1601999635897098</v>
      </c>
      <c r="AL2292">
        <v>88.698967952208903</v>
      </c>
      <c r="AM2292">
        <v>103.500485323844</v>
      </c>
      <c r="AN2292">
        <v>0.99999993108195495</v>
      </c>
    </row>
    <row r="2293" spans="1:40" x14ac:dyDescent="0.25">
      <c r="A2293" t="str">
        <f>"20190312151312909"</f>
        <v>20190312151312909</v>
      </c>
      <c r="B2293" t="str">
        <f>"1552374792902275"</f>
        <v>1552374792902275</v>
      </c>
      <c r="C2293" t="s">
        <v>40</v>
      </c>
      <c r="D2293">
        <v>5.1353489999999997</v>
      </c>
      <c r="E2293">
        <v>0.48321789999999998</v>
      </c>
      <c r="F2293" t="s">
        <v>42</v>
      </c>
      <c r="G2293">
        <v>-495.06720000000001</v>
      </c>
      <c r="H2293" s="1">
        <v>-2.2072459999999998E-6</v>
      </c>
      <c r="I2293">
        <v>251.59139999999999</v>
      </c>
      <c r="J2293">
        <v>-495.22859999999997</v>
      </c>
      <c r="K2293">
        <v>1.111232</v>
      </c>
      <c r="L2293">
        <v>260.8143</v>
      </c>
      <c r="M2293">
        <v>-0.26471889999999998</v>
      </c>
      <c r="N2293">
        <v>0</v>
      </c>
      <c r="O2293">
        <v>-0.96423009999999998</v>
      </c>
      <c r="P2293">
        <v>-3.2162299999999998E-2</v>
      </c>
      <c r="Q2293">
        <v>1.078614E-2</v>
      </c>
      <c r="R2293">
        <v>-0.99942489999999995</v>
      </c>
      <c r="S2293">
        <v>4.244995E-2</v>
      </c>
      <c r="T2293">
        <v>-0.3577342</v>
      </c>
      <c r="U2293">
        <v>-3.00705</v>
      </c>
      <c r="V2293">
        <v>-0.23362250000000001</v>
      </c>
      <c r="W2293">
        <v>2.3545779999999999E-2</v>
      </c>
      <c r="X2293">
        <v>0.97204230000000003</v>
      </c>
      <c r="Y2293">
        <v>-0.27820329999999999</v>
      </c>
      <c r="Z2293">
        <v>0.1094822</v>
      </c>
      <c r="AA2293">
        <v>0.95426230000000001</v>
      </c>
      <c r="AB2293">
        <v>12</v>
      </c>
      <c r="AC2293">
        <v>0.16139999999995699</v>
      </c>
      <c r="AD2293">
        <v>-1.111234207246</v>
      </c>
      <c r="AE2293">
        <v>-9.2229000000000099</v>
      </c>
      <c r="AF2293">
        <v>-2.5601871303905401</v>
      </c>
      <c r="AG2293">
        <v>-1.111234207246</v>
      </c>
      <c r="AH2293">
        <v>8.7244732554056696</v>
      </c>
      <c r="AI2293">
        <v>96.967920772144893</v>
      </c>
      <c r="AJ2293">
        <v>106.35426854208499</v>
      </c>
      <c r="AK2293">
        <v>9.1600127287171293</v>
      </c>
      <c r="AL2293">
        <v>88.650801567996098</v>
      </c>
      <c r="AM2293">
        <v>103.514254747934</v>
      </c>
      <c r="AN2293">
        <v>1.00000005462567</v>
      </c>
    </row>
    <row r="2294" spans="1:40" x14ac:dyDescent="0.25">
      <c r="A2294" t="str">
        <f>"20190312151312933"</f>
        <v>20190312151312933</v>
      </c>
      <c r="B2294" t="str">
        <f>"1552374792922770"</f>
        <v>1552374792922770</v>
      </c>
      <c r="C2294" t="s">
        <v>40</v>
      </c>
      <c r="D2294">
        <v>4.9939299999999998</v>
      </c>
      <c r="E2294">
        <v>0.48315350000000001</v>
      </c>
      <c r="F2294" t="s">
        <v>42</v>
      </c>
      <c r="G2294">
        <v>-495.07810000000001</v>
      </c>
      <c r="H2294" s="1">
        <v>-2.1457410000000001E-6</v>
      </c>
      <c r="I2294">
        <v>251.44130000000001</v>
      </c>
      <c r="J2294">
        <v>-495.25850000000003</v>
      </c>
      <c r="K2294">
        <v>1.111235</v>
      </c>
      <c r="L2294">
        <v>260.69349999999997</v>
      </c>
      <c r="M2294">
        <v>-0.26217869999999999</v>
      </c>
      <c r="N2294">
        <v>0</v>
      </c>
      <c r="O2294">
        <v>-0.96492409999999995</v>
      </c>
      <c r="P2294">
        <v>-2.9732519999999998E-2</v>
      </c>
      <c r="Q2294">
        <v>1.2437459999999999E-2</v>
      </c>
      <c r="R2294">
        <v>-0.99948099999999995</v>
      </c>
      <c r="S2294">
        <v>4.8278809999999998E-2</v>
      </c>
      <c r="T2294">
        <v>-0.3565217</v>
      </c>
      <c r="U2294">
        <v>-3.0071720000000002</v>
      </c>
      <c r="V2294">
        <v>-0.23342370000000001</v>
      </c>
      <c r="W2294">
        <v>2.5180359999999999E-2</v>
      </c>
      <c r="X2294">
        <v>0.9720491</v>
      </c>
      <c r="Y2294">
        <v>-0.27752369999999998</v>
      </c>
      <c r="Z2294">
        <v>0.1092436</v>
      </c>
      <c r="AA2294">
        <v>0.95448750000000004</v>
      </c>
      <c r="AB2294">
        <v>12</v>
      </c>
      <c r="AC2294">
        <v>0.18040000000001999</v>
      </c>
      <c r="AD2294">
        <v>-1.111237145741</v>
      </c>
      <c r="AE2294">
        <v>-9.2521999999999593</v>
      </c>
      <c r="AF2294">
        <v>-2.5630819857866398</v>
      </c>
      <c r="AG2294">
        <v>-1.111237145741</v>
      </c>
      <c r="AH2294">
        <v>8.7549456638310197</v>
      </c>
      <c r="AI2294">
        <v>96.945205722319699</v>
      </c>
      <c r="AJ2294">
        <v>106.317823988999</v>
      </c>
      <c r="AK2294">
        <v>9.1898482488326305</v>
      </c>
      <c r="AL2294">
        <v>88.557119233104004</v>
      </c>
      <c r="AM2294">
        <v>103.503085138369</v>
      </c>
      <c r="AN2294">
        <v>1.0000000635311099</v>
      </c>
    </row>
    <row r="2295" spans="1:40" x14ac:dyDescent="0.25">
      <c r="A2295" t="str">
        <f>"20190312151312953"</f>
        <v>20190312151312953</v>
      </c>
      <c r="B2295" t="str">
        <f>"1552374792942290"</f>
        <v>1552374792942290</v>
      </c>
      <c r="C2295" t="s">
        <v>40</v>
      </c>
      <c r="D2295">
        <v>4.9500289999999998</v>
      </c>
      <c r="E2295">
        <v>0.48137600000000003</v>
      </c>
      <c r="F2295" t="s">
        <v>42</v>
      </c>
      <c r="G2295">
        <v>-495.08019999999999</v>
      </c>
      <c r="H2295" s="1">
        <v>-1.99781E-6</v>
      </c>
      <c r="I2295">
        <v>251.09520000000001</v>
      </c>
      <c r="J2295">
        <v>-495.28339999999997</v>
      </c>
      <c r="K2295">
        <v>1.111246</v>
      </c>
      <c r="L2295">
        <v>260.59120000000001</v>
      </c>
      <c r="M2295">
        <v>-0.26001190000000002</v>
      </c>
      <c r="N2295">
        <v>0</v>
      </c>
      <c r="O2295">
        <v>-0.96551019999999999</v>
      </c>
      <c r="P2295">
        <v>-2.802808E-2</v>
      </c>
      <c r="Q2295">
        <v>1.366443E-2</v>
      </c>
      <c r="R2295">
        <v>-0.9995136</v>
      </c>
      <c r="S2295">
        <v>5.5847170000000002E-2</v>
      </c>
      <c r="T2295">
        <v>-0.34819840000000002</v>
      </c>
      <c r="U2295">
        <v>-3.007568</v>
      </c>
      <c r="V2295">
        <v>-0.2328972</v>
      </c>
      <c r="W2295">
        <v>2.639733E-2</v>
      </c>
      <c r="X2295">
        <v>0.97214310000000004</v>
      </c>
      <c r="Y2295">
        <v>-0.2777734</v>
      </c>
      <c r="Z2295">
        <v>0.1068066</v>
      </c>
      <c r="AA2295">
        <v>0.9546907</v>
      </c>
      <c r="AB2295">
        <v>12</v>
      </c>
      <c r="AC2295">
        <v>0.20319999999998101</v>
      </c>
      <c r="AD2295">
        <v>-1.1112479978100001</v>
      </c>
      <c r="AE2295">
        <v>-9.4960000000000093</v>
      </c>
      <c r="AF2295">
        <v>-2.6295167628084601</v>
      </c>
      <c r="AG2295">
        <v>-1.1112479978100001</v>
      </c>
      <c r="AH2295">
        <v>8.99338660933096</v>
      </c>
      <c r="AI2295">
        <v>96.763538652278399</v>
      </c>
      <c r="AJ2295">
        <v>106.298042525355</v>
      </c>
      <c r="AK2295">
        <v>9.4355833536364297</v>
      </c>
      <c r="AL2295">
        <v>88.487368793788903</v>
      </c>
      <c r="AM2295">
        <v>103.472484549341</v>
      </c>
      <c r="AN2295">
        <v>1.0000000658382799</v>
      </c>
    </row>
    <row r="2296" spans="1:40" x14ac:dyDescent="0.25">
      <c r="A2296" t="str">
        <f>"20190312151312975"</f>
        <v>20190312151312975</v>
      </c>
      <c r="B2296" t="str">
        <f>"1552374792972823"</f>
        <v>1552374792972823</v>
      </c>
      <c r="C2296" t="s">
        <v>40</v>
      </c>
      <c r="D2296">
        <v>5.190734</v>
      </c>
      <c r="E2296">
        <v>0.48160550000000002</v>
      </c>
      <c r="F2296" t="s">
        <v>42</v>
      </c>
      <c r="G2296">
        <v>-494.98540000000003</v>
      </c>
      <c r="H2296" s="1">
        <v>-4.7166020000000003E-6</v>
      </c>
      <c r="I2296">
        <v>248.24809999999999</v>
      </c>
      <c r="J2296">
        <v>-495.31040000000002</v>
      </c>
      <c r="K2296">
        <v>1.111253</v>
      </c>
      <c r="L2296">
        <v>260.47989999999999</v>
      </c>
      <c r="M2296">
        <v>-0.25763930000000002</v>
      </c>
      <c r="N2296">
        <v>0</v>
      </c>
      <c r="O2296">
        <v>-0.96614650000000002</v>
      </c>
      <c r="P2296">
        <v>-2.6085400000000002E-2</v>
      </c>
      <c r="Q2296">
        <v>1.472414E-2</v>
      </c>
      <c r="R2296">
        <v>-0.99955159999999998</v>
      </c>
      <c r="S2296">
        <v>7.2601319999999997E-2</v>
      </c>
      <c r="T2296">
        <v>-0.27074169999999997</v>
      </c>
      <c r="U2296">
        <v>-3.0072329999999998</v>
      </c>
      <c r="V2296">
        <v>-0.2323964</v>
      </c>
      <c r="W2296">
        <v>2.7448839999999999E-2</v>
      </c>
      <c r="X2296">
        <v>0.97223380000000004</v>
      </c>
      <c r="Y2296">
        <v>-0.2808001</v>
      </c>
      <c r="Z2296">
        <v>8.3310889999999999E-2</v>
      </c>
      <c r="AA2296">
        <v>0.95614359999999998</v>
      </c>
      <c r="AB2296">
        <v>12</v>
      </c>
      <c r="AC2296">
        <v>0.32499999999998802</v>
      </c>
      <c r="AD2296">
        <v>-1.1112577166019999</v>
      </c>
      <c r="AE2296">
        <v>-12.2317999999999</v>
      </c>
      <c r="AF2296">
        <v>-3.4373561089403699</v>
      </c>
      <c r="AG2296">
        <v>-1.1112577166019999</v>
      </c>
      <c r="AH2296">
        <v>11.639053868962799</v>
      </c>
      <c r="AI2296">
        <v>95.231807190547002</v>
      </c>
      <c r="AJ2296">
        <v>106.45342589588201</v>
      </c>
      <c r="AK2296">
        <v>12.1867914438951</v>
      </c>
      <c r="AL2296">
        <v>88.427099828036404</v>
      </c>
      <c r="AM2296">
        <v>103.443358719957</v>
      </c>
      <c r="AN2296">
        <v>1.0000000437063701</v>
      </c>
    </row>
    <row r="2297" spans="1:40" x14ac:dyDescent="0.25">
      <c r="A2297" t="str">
        <f>"20190312151312997"</f>
        <v>20190312151312997</v>
      </c>
      <c r="B2297" t="str">
        <f>"1552374792992343"</f>
        <v>1552374792992343</v>
      </c>
      <c r="C2297" t="s">
        <v>40</v>
      </c>
      <c r="D2297">
        <v>5.3869129999999998</v>
      </c>
      <c r="E2297">
        <v>0.48222219999999999</v>
      </c>
      <c r="F2297" t="s">
        <v>42</v>
      </c>
      <c r="G2297">
        <v>-494.99169999999998</v>
      </c>
      <c r="H2297" s="1">
        <v>-4.6241649999999998E-6</v>
      </c>
      <c r="I2297">
        <v>247.97319999999999</v>
      </c>
      <c r="J2297">
        <v>-495.33609999999999</v>
      </c>
      <c r="K2297">
        <v>1.111248</v>
      </c>
      <c r="L2297">
        <v>260.37240000000003</v>
      </c>
      <c r="M2297">
        <v>-0.25533319999999998</v>
      </c>
      <c r="N2297">
        <v>0</v>
      </c>
      <c r="O2297">
        <v>-0.96675840000000002</v>
      </c>
      <c r="P2297">
        <v>-2.384524E-2</v>
      </c>
      <c r="Q2297">
        <v>1.4365899999999999E-2</v>
      </c>
      <c r="R2297">
        <v>-0.99961250000000001</v>
      </c>
      <c r="S2297">
        <v>7.6629639999999999E-2</v>
      </c>
      <c r="T2297">
        <v>-0.26720650000000001</v>
      </c>
      <c r="U2297">
        <v>-3.0072939999999999</v>
      </c>
      <c r="V2297">
        <v>-0.23225589999999999</v>
      </c>
      <c r="W2297">
        <v>2.7082769999999999E-2</v>
      </c>
      <c r="X2297">
        <v>0.97227759999999996</v>
      </c>
      <c r="Y2297">
        <v>-0.2797925</v>
      </c>
      <c r="Z2297">
        <v>8.2322510000000002E-2</v>
      </c>
      <c r="AA2297">
        <v>0.9565245</v>
      </c>
      <c r="AB2297">
        <v>12</v>
      </c>
      <c r="AC2297">
        <v>0.34440000000000698</v>
      </c>
      <c r="AD2297">
        <v>-1.111252624165</v>
      </c>
      <c r="AE2297">
        <v>-12.3992</v>
      </c>
      <c r="AF2297">
        <v>-3.4713382365648799</v>
      </c>
      <c r="AG2297">
        <v>-1.111252624165</v>
      </c>
      <c r="AH2297">
        <v>11.805432512627</v>
      </c>
      <c r="AI2297">
        <v>95.160236430467407</v>
      </c>
      <c r="AJ2297">
        <v>106.385753214468</v>
      </c>
      <c r="AK2297">
        <v>12.355294749925701</v>
      </c>
      <c r="AL2297">
        <v>88.448081834654701</v>
      </c>
      <c r="AM2297">
        <v>103.434942714287</v>
      </c>
      <c r="AN2297">
        <v>1.0000000054887199</v>
      </c>
    </row>
    <row r="2298" spans="1:40" x14ac:dyDescent="0.25">
      <c r="A2298" t="str">
        <f>"20190312151313021"</f>
        <v>20190312151313021</v>
      </c>
      <c r="B2298" t="str">
        <f>"1552374793011865"</f>
        <v>1552374793011865</v>
      </c>
      <c r="C2298" t="s">
        <v>40</v>
      </c>
      <c r="D2298">
        <v>5.6933740000000004</v>
      </c>
      <c r="E2298">
        <v>0.48283799999999999</v>
      </c>
      <c r="F2298" t="s">
        <v>42</v>
      </c>
      <c r="G2298">
        <v>-495.00799999999998</v>
      </c>
      <c r="H2298" s="1">
        <v>-4.5326590000000002E-6</v>
      </c>
      <c r="I2298">
        <v>247.69579999999999</v>
      </c>
      <c r="J2298">
        <v>-495.36430000000001</v>
      </c>
      <c r="K2298">
        <v>1.11124</v>
      </c>
      <c r="L2298">
        <v>260.25299999999999</v>
      </c>
      <c r="M2298">
        <v>-0.2527527</v>
      </c>
      <c r="N2298">
        <v>0</v>
      </c>
      <c r="O2298">
        <v>-0.96743630000000003</v>
      </c>
      <c r="P2298">
        <v>-2.1582509999999999E-2</v>
      </c>
      <c r="Q2298">
        <v>1.347717E-2</v>
      </c>
      <c r="R2298">
        <v>-0.99967609999999996</v>
      </c>
      <c r="S2298">
        <v>7.7819819999999998E-2</v>
      </c>
      <c r="T2298">
        <v>-0.26358100000000001</v>
      </c>
      <c r="U2298">
        <v>-3.0068049999999999</v>
      </c>
      <c r="V2298">
        <v>-0.23186370000000001</v>
      </c>
      <c r="W2298">
        <v>2.618711E-2</v>
      </c>
      <c r="X2298">
        <v>0.97239569999999997</v>
      </c>
      <c r="Y2298">
        <v>-0.27761570000000002</v>
      </c>
      <c r="Z2298">
        <v>8.1342979999999995E-2</v>
      </c>
      <c r="AA2298">
        <v>0.95724229999999999</v>
      </c>
      <c r="AB2298">
        <v>12</v>
      </c>
      <c r="AC2298">
        <v>0.35629999999997602</v>
      </c>
      <c r="AD2298">
        <v>-1.1112445326589999</v>
      </c>
      <c r="AE2298">
        <v>-12.5571999999999</v>
      </c>
      <c r="AF2298">
        <v>-3.49156440947311</v>
      </c>
      <c r="AG2298">
        <v>-1.1112445326589999</v>
      </c>
      <c r="AH2298">
        <v>11.9657076512577</v>
      </c>
      <c r="AI2298">
        <v>95.094519072045301</v>
      </c>
      <c r="AJ2298">
        <v>106.267116628587</v>
      </c>
      <c r="AK2298">
        <v>12.514153828055299</v>
      </c>
      <c r="AL2298">
        <v>88.499417531355306</v>
      </c>
      <c r="AM2298">
        <v>103.41150604832499</v>
      </c>
      <c r="AN2298">
        <v>0.99999996874316499</v>
      </c>
    </row>
    <row r="2299" spans="1:40" x14ac:dyDescent="0.25">
      <c r="A2299" t="str">
        <f>"20190312151313043"</f>
        <v>20190312151313043</v>
      </c>
      <c r="B2299" t="str">
        <f>"1552374793032361"</f>
        <v>1552374793032361</v>
      </c>
      <c r="C2299" t="s">
        <v>40</v>
      </c>
      <c r="D2299">
        <v>4.972734</v>
      </c>
      <c r="E2299">
        <v>0.48300609999999999</v>
      </c>
      <c r="F2299" t="s">
        <v>42</v>
      </c>
      <c r="G2299">
        <v>-495.02820000000003</v>
      </c>
      <c r="H2299" s="1">
        <v>-4.4978980000000001E-6</v>
      </c>
      <c r="I2299">
        <v>247.5831</v>
      </c>
      <c r="J2299">
        <v>-495.38979999999998</v>
      </c>
      <c r="K2299">
        <v>1.111235</v>
      </c>
      <c r="L2299">
        <v>260.14389999999997</v>
      </c>
      <c r="M2299">
        <v>-0.2503765</v>
      </c>
      <c r="N2299">
        <v>0</v>
      </c>
      <c r="O2299">
        <v>-0.96805430000000003</v>
      </c>
      <c r="P2299">
        <v>-1.9321399999999999E-2</v>
      </c>
      <c r="Q2299">
        <v>1.222313E-2</v>
      </c>
      <c r="R2299">
        <v>-0.99973889999999999</v>
      </c>
      <c r="S2299">
        <v>7.9742430000000003E-2</v>
      </c>
      <c r="T2299">
        <v>-0.26366849999999997</v>
      </c>
      <c r="U2299">
        <v>-3.0062259999999998</v>
      </c>
      <c r="V2299">
        <v>-0.23167689999999999</v>
      </c>
      <c r="W2299">
        <v>2.4925340000000001E-2</v>
      </c>
      <c r="X2299">
        <v>0.97247340000000004</v>
      </c>
      <c r="Y2299">
        <v>-0.27587309999999998</v>
      </c>
      <c r="Z2299">
        <v>8.1487470000000006E-2</v>
      </c>
      <c r="AA2299">
        <v>0.95773370000000002</v>
      </c>
      <c r="AB2299">
        <v>12</v>
      </c>
      <c r="AC2299">
        <v>0.36159999999995301</v>
      </c>
      <c r="AD2299">
        <v>-1.111239497898</v>
      </c>
      <c r="AE2299">
        <v>-12.560799999999899</v>
      </c>
      <c r="AF2299">
        <v>-3.4681744902141198</v>
      </c>
      <c r="AG2299">
        <v>-1.111239497898</v>
      </c>
      <c r="AH2299">
        <v>11.9764427905563</v>
      </c>
      <c r="AI2299">
        <v>95.092959978639499</v>
      </c>
      <c r="AJ2299">
        <v>106.15011882418599</v>
      </c>
      <c r="AK2299">
        <v>12.5179179351731</v>
      </c>
      <c r="AL2299">
        <v>88.571735278945894</v>
      </c>
      <c r="AM2299">
        <v>103.400058930087</v>
      </c>
      <c r="AN2299">
        <v>0.99999998613764196</v>
      </c>
    </row>
    <row r="2300" spans="1:40" x14ac:dyDescent="0.25">
      <c r="A2300" t="str">
        <f>"20190312151313065"</f>
        <v>20190312151313065</v>
      </c>
      <c r="B2300" t="str">
        <f>"1552374793062615"</f>
        <v>1552374793062615</v>
      </c>
      <c r="C2300" t="s">
        <v>40</v>
      </c>
      <c r="D2300">
        <v>5.1091930000000003</v>
      </c>
      <c r="E2300">
        <v>0.48425200000000002</v>
      </c>
      <c r="F2300" t="s">
        <v>42</v>
      </c>
      <c r="G2300">
        <v>-495.04059999999998</v>
      </c>
      <c r="H2300" s="1">
        <v>-4.5829230000000002E-6</v>
      </c>
      <c r="I2300">
        <v>247.82650000000001</v>
      </c>
      <c r="J2300">
        <v>-495.41550000000001</v>
      </c>
      <c r="K2300">
        <v>1.111226</v>
      </c>
      <c r="L2300">
        <v>260.03280000000001</v>
      </c>
      <c r="M2300">
        <v>-0.24793860000000001</v>
      </c>
      <c r="N2300">
        <v>0</v>
      </c>
      <c r="O2300">
        <v>-0.96868160000000003</v>
      </c>
      <c r="P2300">
        <v>-1.6889700000000001E-2</v>
      </c>
      <c r="Q2300">
        <v>1.1262940000000001E-2</v>
      </c>
      <c r="R2300">
        <v>-0.99979379999999995</v>
      </c>
      <c r="S2300">
        <v>8.5205080000000002E-2</v>
      </c>
      <c r="T2300">
        <v>-0.27116820000000003</v>
      </c>
      <c r="U2300">
        <v>-3.0057369999999999</v>
      </c>
      <c r="V2300">
        <v>-0.23159469999999999</v>
      </c>
      <c r="W2300">
        <v>2.395622E-2</v>
      </c>
      <c r="X2300">
        <v>0.97251730000000003</v>
      </c>
      <c r="Y2300">
        <v>-0.27519009999999999</v>
      </c>
      <c r="Z2300">
        <v>8.3891530000000006E-2</v>
      </c>
      <c r="AA2300">
        <v>0.95772259999999998</v>
      </c>
      <c r="AB2300">
        <v>12</v>
      </c>
      <c r="AC2300">
        <v>0.37490000000002499</v>
      </c>
      <c r="AD2300">
        <v>-1.111230582923</v>
      </c>
      <c r="AE2300">
        <v>-12.206300000000001</v>
      </c>
      <c r="AF2300">
        <v>-3.3620431038284901</v>
      </c>
      <c r="AG2300">
        <v>-1.111230582923</v>
      </c>
      <c r="AH2300">
        <v>11.6357916440069</v>
      </c>
      <c r="AI2300">
        <v>95.242096680470794</v>
      </c>
      <c r="AJ2300">
        <v>106.116109558459</v>
      </c>
      <c r="AK2300">
        <v>12.1626401090867</v>
      </c>
      <c r="AL2300">
        <v>88.627278312957401</v>
      </c>
      <c r="AM2300">
        <v>103.394893038638</v>
      </c>
      <c r="AN2300">
        <v>0.99999995217203297</v>
      </c>
    </row>
    <row r="2301" spans="1:40" x14ac:dyDescent="0.25">
      <c r="A2301" t="str">
        <f>"20190312151313087"</f>
        <v>20190312151313087</v>
      </c>
      <c r="B2301" t="str">
        <f>"1552374793082135"</f>
        <v>1552374793082135</v>
      </c>
      <c r="C2301" t="s">
        <v>40</v>
      </c>
      <c r="D2301">
        <v>5.1303989999999997</v>
      </c>
      <c r="E2301">
        <v>0.48474600000000001</v>
      </c>
      <c r="F2301" t="s">
        <v>42</v>
      </c>
      <c r="G2301">
        <v>-495.08370000000002</v>
      </c>
      <c r="H2301" s="1">
        <v>-4.6148189999999997E-6</v>
      </c>
      <c r="I2301">
        <v>247.89769999999999</v>
      </c>
      <c r="J2301">
        <v>-495.44040000000001</v>
      </c>
      <c r="K2301">
        <v>1.1112280000000001</v>
      </c>
      <c r="L2301">
        <v>259.92320000000001</v>
      </c>
      <c r="M2301">
        <v>-0.24550910000000001</v>
      </c>
      <c r="N2301">
        <v>0</v>
      </c>
      <c r="O2301">
        <v>-0.96930039999999995</v>
      </c>
      <c r="P2301">
        <v>-1.4571819999999999E-2</v>
      </c>
      <c r="Q2301">
        <v>1.0106769999999999E-2</v>
      </c>
      <c r="R2301">
        <v>-0.99984289999999998</v>
      </c>
      <c r="S2301">
        <v>8.2153320000000002E-2</v>
      </c>
      <c r="T2301">
        <v>-0.2751788</v>
      </c>
      <c r="U2301">
        <v>-3.0050659999999998</v>
      </c>
      <c r="V2301">
        <v>-0.23141229999999999</v>
      </c>
      <c r="W2301">
        <v>2.279115E-2</v>
      </c>
      <c r="X2301">
        <v>0.97258880000000003</v>
      </c>
      <c r="Y2301">
        <v>-0.27180900000000002</v>
      </c>
      <c r="Z2301">
        <v>8.5270899999999997E-2</v>
      </c>
      <c r="AA2301">
        <v>0.95856600000000003</v>
      </c>
      <c r="AB2301">
        <v>12</v>
      </c>
      <c r="AC2301">
        <v>0.35669999999998903</v>
      </c>
      <c r="AD2301">
        <v>-1.1112326148189999</v>
      </c>
      <c r="AE2301">
        <v>-12.025499999999999</v>
      </c>
      <c r="AF2301">
        <v>-3.2705171496255101</v>
      </c>
      <c r="AG2301">
        <v>-1.1112326148189999</v>
      </c>
      <c r="AH2301">
        <v>11.4719299135543</v>
      </c>
      <c r="AI2301">
        <v>95.321957733724901</v>
      </c>
      <c r="AJ2301">
        <v>105.91225015683</v>
      </c>
      <c r="AK2301">
        <v>11.980663432871101</v>
      </c>
      <c r="AL2301">
        <v>88.694050259579896</v>
      </c>
      <c r="AM2301">
        <v>103.383774662947</v>
      </c>
      <c r="AN2301">
        <v>1.0000000314975199</v>
      </c>
    </row>
    <row r="2302" spans="1:40" x14ac:dyDescent="0.25">
      <c r="A2302" t="str">
        <f>"20190312151313109"</f>
        <v>20190312151313109</v>
      </c>
      <c r="B2302" t="str">
        <f>"1552374793102630"</f>
        <v>1552374793102630</v>
      </c>
      <c r="C2302" t="s">
        <v>40</v>
      </c>
      <c r="D2302">
        <v>5.1824870000000001</v>
      </c>
      <c r="E2302">
        <v>0.48514770000000002</v>
      </c>
      <c r="F2302" t="s">
        <v>42</v>
      </c>
      <c r="G2302">
        <v>-495.10120000000001</v>
      </c>
      <c r="H2302" s="1">
        <v>-4.6307870000000001E-6</v>
      </c>
      <c r="I2302">
        <v>247.93559999999999</v>
      </c>
      <c r="J2302">
        <v>-495.46530000000001</v>
      </c>
      <c r="K2302">
        <v>1.1112280000000001</v>
      </c>
      <c r="L2302">
        <v>259.81240000000003</v>
      </c>
      <c r="M2302">
        <v>-0.24302879999999999</v>
      </c>
      <c r="N2302">
        <v>0</v>
      </c>
      <c r="O2302">
        <v>-0.96992520000000004</v>
      </c>
      <c r="P2302">
        <v>-1.135838E-2</v>
      </c>
      <c r="Q2302">
        <v>9.0683210000000007E-3</v>
      </c>
      <c r="R2302">
        <v>-0.99989439999999996</v>
      </c>
      <c r="S2302">
        <v>8.5021970000000002E-2</v>
      </c>
      <c r="T2302">
        <v>-0.27850950000000002</v>
      </c>
      <c r="U2302">
        <v>-3.004486</v>
      </c>
      <c r="V2302">
        <v>-0.23205120000000001</v>
      </c>
      <c r="W2302">
        <v>2.1739979999999999E-2</v>
      </c>
      <c r="X2302">
        <v>0.97246060000000001</v>
      </c>
      <c r="Y2302">
        <v>-0.2702638</v>
      </c>
      <c r="Z2302">
        <v>8.6416220000000002E-2</v>
      </c>
      <c r="AA2302">
        <v>0.95890030000000004</v>
      </c>
      <c r="AB2302">
        <v>11</v>
      </c>
      <c r="AC2302">
        <v>0.36410000000000697</v>
      </c>
      <c r="AD2302">
        <v>-1.111232630787</v>
      </c>
      <c r="AE2302">
        <v>-11.876799999999999</v>
      </c>
      <c r="AF2302">
        <v>-3.2117595945606001</v>
      </c>
      <c r="AG2302">
        <v>-1.111232630787</v>
      </c>
      <c r="AH2302">
        <v>11.333044468139001</v>
      </c>
      <c r="AI2302">
        <v>95.389178479241906</v>
      </c>
      <c r="AJ2302">
        <v>105.82261178615499</v>
      </c>
      <c r="AK2302">
        <v>11.8316581496337</v>
      </c>
      <c r="AL2302">
        <v>88.754292763331705</v>
      </c>
      <c r="AM2302">
        <v>103.421095825603</v>
      </c>
      <c r="AN2302">
        <v>1.0000000023521001</v>
      </c>
    </row>
    <row r="2303" spans="1:40" x14ac:dyDescent="0.25">
      <c r="A2303" t="str">
        <f>"20190312151313133"</f>
        <v>20190312151313133</v>
      </c>
      <c r="B2303" t="str">
        <f>"1552374793122150"</f>
        <v>1552374793122150</v>
      </c>
      <c r="C2303" t="s">
        <v>40</v>
      </c>
      <c r="D2303">
        <v>5.0370739999999996</v>
      </c>
      <c r="E2303">
        <v>0.4855062</v>
      </c>
      <c r="F2303" t="s">
        <v>42</v>
      </c>
      <c r="G2303">
        <v>-495.10250000000002</v>
      </c>
      <c r="H2303" s="1">
        <v>-4.6011389999999999E-6</v>
      </c>
      <c r="I2303">
        <v>247.84780000000001</v>
      </c>
      <c r="J2303">
        <v>-495.49160000000001</v>
      </c>
      <c r="K2303">
        <v>1.111226</v>
      </c>
      <c r="L2303">
        <v>259.69400000000002</v>
      </c>
      <c r="M2303">
        <v>-0.24035429999999999</v>
      </c>
      <c r="N2303">
        <v>0</v>
      </c>
      <c r="O2303">
        <v>-0.9705916</v>
      </c>
      <c r="P2303">
        <v>-8.1277669999999993E-3</v>
      </c>
      <c r="Q2303">
        <v>9.2886289999999996E-3</v>
      </c>
      <c r="R2303">
        <v>-0.99992409999999998</v>
      </c>
      <c r="S2303">
        <v>9.1094969999999997E-2</v>
      </c>
      <c r="T2303">
        <v>-0.27898859999999998</v>
      </c>
      <c r="U2303">
        <v>-3.003876</v>
      </c>
      <c r="V2303">
        <v>-0.23251240000000001</v>
      </c>
      <c r="W2303">
        <v>2.1949739999999999E-2</v>
      </c>
      <c r="X2303">
        <v>0.97234569999999998</v>
      </c>
      <c r="Y2303">
        <v>-0.26955210000000002</v>
      </c>
      <c r="Z2303">
        <v>8.6679800000000001E-2</v>
      </c>
      <c r="AA2303">
        <v>0.95907679999999995</v>
      </c>
      <c r="AB2303">
        <v>11</v>
      </c>
      <c r="AC2303">
        <v>0.38909999999998401</v>
      </c>
      <c r="AD2303">
        <v>-1.1112306011390001</v>
      </c>
      <c r="AE2303">
        <v>-11.8462</v>
      </c>
      <c r="AF2303">
        <v>-3.1971330641639701</v>
      </c>
      <c r="AG2303">
        <v>-1.1112306011390001</v>
      </c>
      <c r="AH2303">
        <v>11.305959096468699</v>
      </c>
      <c r="AI2303">
        <v>95.402868401748606</v>
      </c>
      <c r="AJ2303">
        <v>105.790001308353</v>
      </c>
      <c r="AK2303">
        <v>11.8017458187296</v>
      </c>
      <c r="AL2303">
        <v>88.742271508662</v>
      </c>
      <c r="AM2303">
        <v>103.448333574305</v>
      </c>
      <c r="AN2303">
        <v>0.999999983774158</v>
      </c>
    </row>
    <row r="2304" spans="1:40" x14ac:dyDescent="0.25">
      <c r="A2304" t="str">
        <f>"20190312151313154"</f>
        <v>20190312151313154</v>
      </c>
      <c r="B2304" t="str">
        <f>"1552374793142646"</f>
        <v>1552374793142646</v>
      </c>
      <c r="C2304" t="s">
        <v>40</v>
      </c>
      <c r="D2304">
        <v>5.1756890000000002</v>
      </c>
      <c r="E2304">
        <v>0.48576399999999997</v>
      </c>
      <c r="F2304" t="s">
        <v>42</v>
      </c>
      <c r="G2304">
        <v>-495.09629999999999</v>
      </c>
      <c r="H2304" s="1">
        <v>-4.5144380000000001E-6</v>
      </c>
      <c r="I2304">
        <v>247.59620000000001</v>
      </c>
      <c r="J2304">
        <v>-495.5145</v>
      </c>
      <c r="K2304">
        <v>1.1112200000000001</v>
      </c>
      <c r="L2304">
        <v>259.58940000000001</v>
      </c>
      <c r="M2304">
        <v>-0.23797409999999999</v>
      </c>
      <c r="N2304">
        <v>0</v>
      </c>
      <c r="O2304">
        <v>-0.97117779999999998</v>
      </c>
      <c r="P2304">
        <v>-5.056385E-3</v>
      </c>
      <c r="Q2304">
        <v>9.1981790000000008E-3</v>
      </c>
      <c r="R2304">
        <v>-0.99994490000000003</v>
      </c>
      <c r="S2304">
        <v>9.8144529999999994E-2</v>
      </c>
      <c r="T2304">
        <v>-0.27589069999999999</v>
      </c>
      <c r="U2304">
        <v>-3.003571</v>
      </c>
      <c r="V2304">
        <v>-0.23311560000000001</v>
      </c>
      <c r="W2304">
        <v>2.1850109999999999E-2</v>
      </c>
      <c r="X2304">
        <v>0.9722035</v>
      </c>
      <c r="Y2304">
        <v>-0.26944620000000002</v>
      </c>
      <c r="Z2304">
        <v>8.5812180000000002E-2</v>
      </c>
      <c r="AA2304">
        <v>0.95918460000000005</v>
      </c>
      <c r="AB2304">
        <v>11</v>
      </c>
      <c r="AC2304">
        <v>0.41820000000001201</v>
      </c>
      <c r="AD2304">
        <v>-1.111224514438</v>
      </c>
      <c r="AE2304">
        <v>-11.9932</v>
      </c>
      <c r="AF2304">
        <v>-3.2327948624984102</v>
      </c>
      <c r="AG2304">
        <v>-1.111224514438</v>
      </c>
      <c r="AH2304">
        <v>11.4508750491655</v>
      </c>
      <c r="AI2304">
        <v>95.335505236826904</v>
      </c>
      <c r="AJ2304">
        <v>105.765359507168</v>
      </c>
      <c r="AK2304">
        <v>11.9502435931694</v>
      </c>
      <c r="AL2304">
        <v>88.747981249221695</v>
      </c>
      <c r="AM2304">
        <v>103.48385005649401</v>
      </c>
      <c r="AN2304">
        <v>0.99999997784131001</v>
      </c>
    </row>
    <row r="2305" spans="1:40" x14ac:dyDescent="0.25">
      <c r="A2305" t="str">
        <f>"20190312151313176"</f>
        <v>20190312151313176</v>
      </c>
      <c r="B2305" t="str">
        <f>"1552374793171929"</f>
        <v>1552374793171929</v>
      </c>
      <c r="C2305" t="s">
        <v>40</v>
      </c>
      <c r="D2305">
        <v>5.0314649999999999</v>
      </c>
      <c r="E2305">
        <v>0.48615079999999999</v>
      </c>
      <c r="F2305" t="s">
        <v>42</v>
      </c>
      <c r="G2305">
        <v>-495.0899</v>
      </c>
      <c r="H2305" s="1">
        <v>-4.4706159999999996E-6</v>
      </c>
      <c r="I2305">
        <v>247.4708</v>
      </c>
      <c r="J2305">
        <v>-495.53750000000002</v>
      </c>
      <c r="K2305">
        <v>1.111219</v>
      </c>
      <c r="L2305">
        <v>259.4828</v>
      </c>
      <c r="M2305">
        <v>-0.23552980000000001</v>
      </c>
      <c r="N2305">
        <v>0</v>
      </c>
      <c r="O2305">
        <v>-0.97177360000000002</v>
      </c>
      <c r="P2305">
        <v>-2.0884269999999999E-3</v>
      </c>
      <c r="Q2305">
        <v>9.4253300000000009E-3</v>
      </c>
      <c r="R2305">
        <v>-0.99995339999999999</v>
      </c>
      <c r="S2305">
        <v>0.1052246</v>
      </c>
      <c r="T2305">
        <v>-0.27538390000000001</v>
      </c>
      <c r="U2305">
        <v>-3.0032350000000001</v>
      </c>
      <c r="V2305">
        <v>-0.23355480000000001</v>
      </c>
      <c r="W2305">
        <v>2.2070349999999999E-2</v>
      </c>
      <c r="X2305">
        <v>0.97209310000000004</v>
      </c>
      <c r="Y2305">
        <v>-0.26928600000000003</v>
      </c>
      <c r="Z2305">
        <v>8.5745219999999997E-2</v>
      </c>
      <c r="AA2305">
        <v>0.95923550000000002</v>
      </c>
      <c r="AB2305">
        <v>11</v>
      </c>
      <c r="AC2305">
        <v>0.44760000000002198</v>
      </c>
      <c r="AD2305">
        <v>-1.111223470616</v>
      </c>
      <c r="AE2305">
        <v>-12.012</v>
      </c>
      <c r="AF2305">
        <v>-3.2367845601879601</v>
      </c>
      <c r="AG2305">
        <v>-1.111223470616</v>
      </c>
      <c r="AH2305">
        <v>11.4705441054854</v>
      </c>
      <c r="AI2305">
        <v>95.326592577093294</v>
      </c>
      <c r="AJ2305">
        <v>105.758127217431</v>
      </c>
      <c r="AK2305">
        <v>11.970170172834001</v>
      </c>
      <c r="AL2305">
        <v>88.735359372705503</v>
      </c>
      <c r="AM2305">
        <v>103.509801963139</v>
      </c>
      <c r="AN2305">
        <v>0.99999997000988505</v>
      </c>
    </row>
    <row r="2306" spans="1:40" x14ac:dyDescent="0.25">
      <c r="A2306" t="str">
        <f>"20190312151313200"</f>
        <v>20190312151313200</v>
      </c>
      <c r="B2306" t="str">
        <f>"1552374793192425"</f>
        <v>1552374793192425</v>
      </c>
      <c r="C2306" t="s">
        <v>40</v>
      </c>
      <c r="D2306">
        <v>4.9928739999999996</v>
      </c>
      <c r="E2306">
        <v>0.48641649999999997</v>
      </c>
      <c r="F2306" t="s">
        <v>42</v>
      </c>
      <c r="G2306">
        <v>-495.08690000000001</v>
      </c>
      <c r="H2306" s="1">
        <v>-4.4074600000000003E-6</v>
      </c>
      <c r="I2306">
        <v>247.2868</v>
      </c>
      <c r="J2306">
        <v>-495.56229999999999</v>
      </c>
      <c r="K2306">
        <v>1.1112200000000001</v>
      </c>
      <c r="L2306">
        <v>259.36709999999999</v>
      </c>
      <c r="M2306">
        <v>-0.23285639999999999</v>
      </c>
      <c r="N2306">
        <v>0</v>
      </c>
      <c r="O2306">
        <v>-0.97241770000000005</v>
      </c>
      <c r="P2306">
        <v>1.0688399999999999E-3</v>
      </c>
      <c r="Q2306">
        <v>9.3787200000000001E-3</v>
      </c>
      <c r="R2306">
        <v>-0.9999555</v>
      </c>
      <c r="S2306">
        <v>0.1109619</v>
      </c>
      <c r="T2306">
        <v>-0.2736073</v>
      </c>
      <c r="U2306">
        <v>-3.0029300000000001</v>
      </c>
      <c r="V2306">
        <v>-0.23395099999999999</v>
      </c>
      <c r="W2306">
        <v>2.2017430000000001E-2</v>
      </c>
      <c r="X2306">
        <v>0.97199899999999995</v>
      </c>
      <c r="Y2306">
        <v>-0.26847330000000003</v>
      </c>
      <c r="Z2306">
        <v>8.5299890000000003E-2</v>
      </c>
      <c r="AA2306">
        <v>0.95950299999999999</v>
      </c>
      <c r="AB2306">
        <v>11</v>
      </c>
      <c r="AC2306">
        <v>0.47539999999997901</v>
      </c>
      <c r="AD2306">
        <v>-1.11122440746</v>
      </c>
      <c r="AE2306">
        <v>-12.0802999999999</v>
      </c>
      <c r="AF2306">
        <v>-3.2481186591095099</v>
      </c>
      <c r="AG2306">
        <v>-1.11122440746</v>
      </c>
      <c r="AH2306">
        <v>11.539960444639201</v>
      </c>
      <c r="AI2306">
        <v>95.295721832024498</v>
      </c>
      <c r="AJ2306">
        <v>105.720161788082</v>
      </c>
      <c r="AK2306">
        <v>12.0397583684735</v>
      </c>
      <c r="AL2306">
        <v>88.738392173144106</v>
      </c>
      <c r="AM2306">
        <v>103.533139609461</v>
      </c>
      <c r="AN2306">
        <v>0.99999994681290005</v>
      </c>
    </row>
    <row r="2307" spans="1:40" x14ac:dyDescent="0.25">
      <c r="A2307" t="str">
        <f>"20190312151313221"</f>
        <v>20190312151313221</v>
      </c>
      <c r="B2307" t="str">
        <f>"1552374793211948"</f>
        <v>1552374793211948</v>
      </c>
      <c r="C2307" t="s">
        <v>40</v>
      </c>
      <c r="D2307">
        <v>5.0184959999999998</v>
      </c>
      <c r="E2307">
        <v>0.4867184</v>
      </c>
      <c r="F2307" t="s">
        <v>42</v>
      </c>
      <c r="G2307">
        <v>-495.0788</v>
      </c>
      <c r="H2307" s="1">
        <v>-4.3420979999999998E-6</v>
      </c>
      <c r="I2307">
        <v>247.09889999999999</v>
      </c>
      <c r="J2307">
        <v>-495.5849</v>
      </c>
      <c r="K2307">
        <v>1.1112169999999999</v>
      </c>
      <c r="L2307">
        <v>259.25920000000002</v>
      </c>
      <c r="M2307">
        <v>-0.2303432</v>
      </c>
      <c r="N2307">
        <v>0</v>
      </c>
      <c r="O2307">
        <v>-0.9730164</v>
      </c>
      <c r="P2307">
        <v>3.823272E-3</v>
      </c>
      <c r="Q2307">
        <v>8.7909289999999994E-3</v>
      </c>
      <c r="R2307">
        <v>-0.99995429999999996</v>
      </c>
      <c r="S2307">
        <v>0.1183167</v>
      </c>
      <c r="T2307">
        <v>-0.27196989999999999</v>
      </c>
      <c r="U2307">
        <v>-3.0026250000000001</v>
      </c>
      <c r="V2307">
        <v>-0.23411709999999999</v>
      </c>
      <c r="W2307">
        <v>2.1424390000000001E-2</v>
      </c>
      <c r="X2307">
        <v>0.97197230000000001</v>
      </c>
      <c r="Y2307">
        <v>-0.26833689999999999</v>
      </c>
      <c r="Z2307">
        <v>8.4880490000000003E-2</v>
      </c>
      <c r="AA2307">
        <v>0.9595783</v>
      </c>
      <c r="AB2307">
        <v>11</v>
      </c>
      <c r="AC2307">
        <v>0.50610000000000299</v>
      </c>
      <c r="AD2307">
        <v>-1.1112213420979999</v>
      </c>
      <c r="AE2307">
        <v>-12.160299999999999</v>
      </c>
      <c r="AF2307">
        <v>-3.2665540745950601</v>
      </c>
      <c r="AG2307">
        <v>-1.1112213420979999</v>
      </c>
      <c r="AH2307">
        <v>11.6197922864323</v>
      </c>
      <c r="AI2307">
        <v>95.260002164812704</v>
      </c>
      <c r="AJ2307">
        <v>105.70172630575399</v>
      </c>
      <c r="AK2307">
        <v>12.1212524589343</v>
      </c>
      <c r="AL2307">
        <v>88.7723789316167</v>
      </c>
      <c r="AM2307">
        <v>103.542752392144</v>
      </c>
      <c r="AN2307">
        <v>0.99999998648328503</v>
      </c>
    </row>
    <row r="2308" spans="1:40" x14ac:dyDescent="0.25">
      <c r="A2308" t="str">
        <f>"20190312151313243"</f>
        <v>20190312151313243</v>
      </c>
      <c r="B2308" t="str">
        <f>"1552374793232441"</f>
        <v>1552374793232441</v>
      </c>
      <c r="C2308" t="s">
        <v>40</v>
      </c>
      <c r="D2308">
        <v>5.0351019999999904</v>
      </c>
      <c r="E2308">
        <v>0.48694009999999999</v>
      </c>
      <c r="F2308" t="s">
        <v>42</v>
      </c>
      <c r="G2308">
        <v>-495.07729999999998</v>
      </c>
      <c r="H2308" s="1">
        <v>-4.3010789999999901E-6</v>
      </c>
      <c r="I2308">
        <v>246.97909999999999</v>
      </c>
      <c r="J2308">
        <v>-495.6062</v>
      </c>
      <c r="K2308">
        <v>1.111218</v>
      </c>
      <c r="L2308">
        <v>259.15629999999999</v>
      </c>
      <c r="M2308">
        <v>-0.22793359999999999</v>
      </c>
      <c r="N2308">
        <v>0</v>
      </c>
      <c r="O2308">
        <v>-0.97358359999999999</v>
      </c>
      <c r="P2308">
        <v>6.3367149999999997E-3</v>
      </c>
      <c r="Q2308">
        <v>8.4456389999999996E-3</v>
      </c>
      <c r="R2308">
        <v>-0.99994419999999995</v>
      </c>
      <c r="S2308">
        <v>0.1240845</v>
      </c>
      <c r="T2308">
        <v>-0.27165869999999998</v>
      </c>
      <c r="U2308">
        <v>-3.002075</v>
      </c>
      <c r="V2308">
        <v>-0.23415359999999999</v>
      </c>
      <c r="W2308">
        <v>2.1075420000000001E-2</v>
      </c>
      <c r="X2308">
        <v>0.97197120000000004</v>
      </c>
      <c r="Y2308">
        <v>-0.26779999999999998</v>
      </c>
      <c r="Z2308">
        <v>8.4879419999999997E-2</v>
      </c>
      <c r="AA2308">
        <v>0.95972840000000004</v>
      </c>
      <c r="AB2308">
        <v>11</v>
      </c>
      <c r="AC2308">
        <v>0.52890000000002102</v>
      </c>
      <c r="AD2308">
        <v>-1.1112223010789899</v>
      </c>
      <c r="AE2308">
        <v>-12.177199999999999</v>
      </c>
      <c r="AF2308">
        <v>-3.2636928889245498</v>
      </c>
      <c r="AG2308">
        <v>-1.1112223010789899</v>
      </c>
      <c r="AH2308">
        <v>11.6392897634709</v>
      </c>
      <c r="AI2308">
        <v>95.252218836652602</v>
      </c>
      <c r="AJ2308">
        <v>105.663660868562</v>
      </c>
      <c r="AK2308">
        <v>12.139175115042599</v>
      </c>
      <c r="AL2308">
        <v>88.7923780299474</v>
      </c>
      <c r="AM2308">
        <v>103.544800754143</v>
      </c>
      <c r="AN2308">
        <v>1.0000000476752799</v>
      </c>
    </row>
    <row r="2309" spans="1:40" x14ac:dyDescent="0.25">
      <c r="A2309" t="str">
        <f>"20190312151313265"</f>
        <v>20190312151313265</v>
      </c>
      <c r="B2309" t="str">
        <f>"1552374793262697"</f>
        <v>1552374793262697</v>
      </c>
      <c r="C2309" t="s">
        <v>40</v>
      </c>
      <c r="D2309">
        <v>5.3325089999999999</v>
      </c>
      <c r="E2309">
        <v>0.48726609999999998</v>
      </c>
      <c r="F2309" t="s">
        <v>42</v>
      </c>
      <c r="G2309">
        <v>-495.07589999999999</v>
      </c>
      <c r="H2309" s="1">
        <v>-4.2682169999999999E-6</v>
      </c>
      <c r="I2309">
        <v>246.88329999999999</v>
      </c>
      <c r="J2309">
        <v>-495.62880000000001</v>
      </c>
      <c r="K2309">
        <v>1.111216</v>
      </c>
      <c r="L2309">
        <v>259.04590000000002</v>
      </c>
      <c r="M2309">
        <v>-0.22533329999999999</v>
      </c>
      <c r="N2309">
        <v>0</v>
      </c>
      <c r="O2309">
        <v>-0.97418859999999996</v>
      </c>
      <c r="P2309">
        <v>8.6314110000000003E-3</v>
      </c>
      <c r="Q2309">
        <v>8.6768709999999992E-3</v>
      </c>
      <c r="R2309">
        <v>-0.99992530000000002</v>
      </c>
      <c r="S2309">
        <v>0.1296997</v>
      </c>
      <c r="T2309">
        <v>-0.27177810000000002</v>
      </c>
      <c r="U2309">
        <v>-3.0016780000000001</v>
      </c>
      <c r="V2309">
        <v>-0.2337891</v>
      </c>
      <c r="W2309">
        <v>2.130425E-2</v>
      </c>
      <c r="X2309">
        <v>0.97205390000000003</v>
      </c>
      <c r="Y2309">
        <v>-0.26702480000000001</v>
      </c>
      <c r="Z2309">
        <v>8.5015569999999999E-2</v>
      </c>
      <c r="AA2309">
        <v>0.95993229999999996</v>
      </c>
      <c r="AB2309">
        <v>11</v>
      </c>
      <c r="AC2309">
        <v>0.55290000000002204</v>
      </c>
      <c r="AD2309">
        <v>-1.111220268217</v>
      </c>
      <c r="AE2309">
        <v>-12.162599999999999</v>
      </c>
      <c r="AF2309">
        <v>-3.25247180691807</v>
      </c>
      <c r="AG2309">
        <v>-1.111220268217</v>
      </c>
      <c r="AH2309">
        <v>11.6282785688765</v>
      </c>
      <c r="AI2309">
        <v>95.258104558920806</v>
      </c>
      <c r="AJ2309">
        <v>105.626499369334</v>
      </c>
      <c r="AK2309">
        <v>12.125602905203801</v>
      </c>
      <c r="AL2309">
        <v>88.779264033940507</v>
      </c>
      <c r="AM2309">
        <v>103.523382683747</v>
      </c>
      <c r="AN2309">
        <v>0.99999999942604101</v>
      </c>
    </row>
    <row r="2310" spans="1:40" x14ac:dyDescent="0.25">
      <c r="A2310" t="str">
        <f>"20190312151313288"</f>
        <v>20190312151313288</v>
      </c>
      <c r="B2310" t="str">
        <f>"1552374793282217"</f>
        <v>1552374793282217</v>
      </c>
      <c r="C2310" t="s">
        <v>40</v>
      </c>
      <c r="D2310">
        <v>5.008623</v>
      </c>
      <c r="E2310">
        <v>0.48757929999999999</v>
      </c>
      <c r="F2310" t="s">
        <v>42</v>
      </c>
      <c r="G2310">
        <v>-495.07619999999997</v>
      </c>
      <c r="H2310" s="1">
        <v>-4.1996130000000001E-6</v>
      </c>
      <c r="I2310">
        <v>246.6816</v>
      </c>
      <c r="J2310">
        <v>-495.65050000000002</v>
      </c>
      <c r="K2310">
        <v>1.111218</v>
      </c>
      <c r="L2310">
        <v>258.93860000000001</v>
      </c>
      <c r="M2310">
        <v>-0.2227894</v>
      </c>
      <c r="N2310">
        <v>0</v>
      </c>
      <c r="O2310">
        <v>-0.97477380000000002</v>
      </c>
      <c r="P2310">
        <v>1.102699E-2</v>
      </c>
      <c r="Q2310">
        <v>9.7780860000000001E-3</v>
      </c>
      <c r="R2310">
        <v>-0.99989159999999999</v>
      </c>
      <c r="S2310">
        <v>0.13415529999999901</v>
      </c>
      <c r="T2310">
        <v>-0.26974510000000002</v>
      </c>
      <c r="U2310">
        <v>-3.001404</v>
      </c>
      <c r="V2310">
        <v>-0.2335805</v>
      </c>
      <c r="W2310">
        <v>2.2403579999999999E-2</v>
      </c>
      <c r="X2310">
        <v>0.97207929999999998</v>
      </c>
      <c r="Y2310">
        <v>-0.265937799999999</v>
      </c>
      <c r="Z2310">
        <v>8.4481429999999996E-2</v>
      </c>
      <c r="AA2310">
        <v>0.96028119999999995</v>
      </c>
      <c r="AB2310">
        <v>11</v>
      </c>
      <c r="AC2310">
        <v>0.57430000000004999</v>
      </c>
      <c r="AD2310">
        <v>-1.1112221996130001</v>
      </c>
      <c r="AE2310">
        <v>-12.257</v>
      </c>
      <c r="AF2310">
        <v>-3.2640704559704199</v>
      </c>
      <c r="AG2310">
        <v>-1.1112221996130001</v>
      </c>
      <c r="AH2310">
        <v>11.724765937647801</v>
      </c>
      <c r="AI2310">
        <v>95.216844905414405</v>
      </c>
      <c r="AJ2310">
        <v>105.556729222513</v>
      </c>
      <c r="AK2310">
        <v>12.221256359764199</v>
      </c>
      <c r="AL2310">
        <v>88.716261974521203</v>
      </c>
      <c r="AM2310">
        <v>103.51141883890099</v>
      </c>
      <c r="AN2310">
        <v>0.99999996793277701</v>
      </c>
    </row>
    <row r="2311" spans="1:40" x14ac:dyDescent="0.25">
      <c r="A2311" t="str">
        <f>"20190312151313311"</f>
        <v>20190312151313311</v>
      </c>
      <c r="B2311" t="str">
        <f>"1552374793302716"</f>
        <v>1552374793302716</v>
      </c>
      <c r="C2311" t="s">
        <v>40</v>
      </c>
      <c r="D2311">
        <v>5.0093870000000003</v>
      </c>
      <c r="E2311">
        <v>0.48771130000000001</v>
      </c>
      <c r="F2311" t="s">
        <v>42</v>
      </c>
      <c r="G2311">
        <v>-495.06790000000001</v>
      </c>
      <c r="H2311" s="1">
        <v>-4.0847769999999998E-6</v>
      </c>
      <c r="I2311">
        <v>246.3484</v>
      </c>
      <c r="J2311">
        <v>-495.67270000000002</v>
      </c>
      <c r="K2311">
        <v>1.111216</v>
      </c>
      <c r="L2311">
        <v>258.82659999999998</v>
      </c>
      <c r="M2311">
        <v>-0.22012419999999999</v>
      </c>
      <c r="N2311">
        <v>0</v>
      </c>
      <c r="O2311">
        <v>-0.975379</v>
      </c>
      <c r="P2311">
        <v>1.3629250000000001E-2</v>
      </c>
      <c r="Q2311">
        <v>1.0404450000000001E-2</v>
      </c>
      <c r="R2311">
        <v>-0.99985299999999999</v>
      </c>
      <c r="S2311">
        <v>0.1388855</v>
      </c>
      <c r="T2311">
        <v>-0.26490439999999998</v>
      </c>
      <c r="U2311">
        <v>-3.0013580000000002</v>
      </c>
      <c r="V2311">
        <v>-0.23345289999999999</v>
      </c>
      <c r="W2311">
        <v>2.3028070000000001E-2</v>
      </c>
      <c r="X2311">
        <v>0.97209540000000005</v>
      </c>
      <c r="Y2311">
        <v>-0.26482050000000001</v>
      </c>
      <c r="Z2311">
        <v>8.306856E-2</v>
      </c>
      <c r="AA2311">
        <v>0.96071309999999999</v>
      </c>
      <c r="AB2311">
        <v>11</v>
      </c>
      <c r="AC2311">
        <v>0.604800000000011</v>
      </c>
      <c r="AD2311">
        <v>-1.111220084777</v>
      </c>
      <c r="AE2311">
        <v>-12.4781999999999</v>
      </c>
      <c r="AF2311">
        <v>-3.3107709847108202</v>
      </c>
      <c r="AG2311">
        <v>-1.111220084777</v>
      </c>
      <c r="AH2311">
        <v>11.944431183668501</v>
      </c>
      <c r="AI2311">
        <v>95.122999053950295</v>
      </c>
      <c r="AJ2311">
        <v>105.49236975918799</v>
      </c>
      <c r="AK2311">
        <v>12.444494802578699</v>
      </c>
      <c r="AL2311">
        <v>88.680472148676003</v>
      </c>
      <c r="AM2311">
        <v>103.504092773664</v>
      </c>
      <c r="AN2311">
        <v>1.0000000076137401</v>
      </c>
    </row>
    <row r="2312" spans="1:40" x14ac:dyDescent="0.25">
      <c r="A2312" t="str">
        <f>"20190312151313334"</f>
        <v>20190312151313334</v>
      </c>
      <c r="B2312" t="str">
        <f>"1552374793322233"</f>
        <v>1552374793322233</v>
      </c>
      <c r="C2312" t="s">
        <v>40</v>
      </c>
      <c r="D2312">
        <v>4.9981530000000003</v>
      </c>
      <c r="E2312">
        <v>0.49420510000000001</v>
      </c>
      <c r="F2312" t="s">
        <v>42</v>
      </c>
      <c r="G2312">
        <v>-495.05829999999997</v>
      </c>
      <c r="H2312" s="1">
        <v>-4.0242140000000003E-6</v>
      </c>
      <c r="I2312">
        <v>246.1755</v>
      </c>
      <c r="J2312">
        <v>-495.69490000000002</v>
      </c>
      <c r="K2312">
        <v>1.111213</v>
      </c>
      <c r="L2312">
        <v>258.71339999999998</v>
      </c>
      <c r="M2312">
        <v>-0.21741849999999999</v>
      </c>
      <c r="N2312">
        <v>0</v>
      </c>
      <c r="O2312">
        <v>-0.97598609999999997</v>
      </c>
      <c r="P2312">
        <v>1.6479230000000001E-2</v>
      </c>
      <c r="Q2312">
        <v>1.1020230000000001E-2</v>
      </c>
      <c r="R2312">
        <v>-0.99980380000000002</v>
      </c>
      <c r="S2312">
        <v>0.14575199999999999</v>
      </c>
      <c r="T2312">
        <v>-0.26361630000000003</v>
      </c>
      <c r="U2312">
        <v>-3.0012509999999999</v>
      </c>
      <c r="V2312">
        <v>-0.23352700000000001</v>
      </c>
      <c r="W2312">
        <v>2.3642070000000001E-2</v>
      </c>
      <c r="X2312">
        <v>0.97206289999999995</v>
      </c>
      <c r="Y2312">
        <v>-0.26434279999999999</v>
      </c>
      <c r="Z2312">
        <v>8.2751309999999995E-2</v>
      </c>
      <c r="AA2312">
        <v>0.96087210000000001</v>
      </c>
      <c r="AB2312">
        <v>11</v>
      </c>
      <c r="AC2312">
        <v>0.63660000000004302</v>
      </c>
      <c r="AD2312">
        <v>-1.111217024214</v>
      </c>
      <c r="AE2312">
        <v>-12.537899999999899</v>
      </c>
      <c r="AF2312">
        <v>-3.3215621089569698</v>
      </c>
      <c r="AG2312">
        <v>-1.111217024214</v>
      </c>
      <c r="AH2312">
        <v>12.0054378418877</v>
      </c>
      <c r="AI2312">
        <v>95.097754300071799</v>
      </c>
      <c r="AJ2312">
        <v>105.465247938414</v>
      </c>
      <c r="AK2312">
        <v>12.5059232323724</v>
      </c>
      <c r="AL2312">
        <v>88.6452830075755</v>
      </c>
      <c r="AM2312">
        <v>103.508657119917</v>
      </c>
      <c r="AN2312">
        <v>1.00000004437964</v>
      </c>
    </row>
    <row r="2313" spans="1:40" x14ac:dyDescent="0.25">
      <c r="A2313" t="str">
        <f>"20190312151313356"</f>
        <v>20190312151313356</v>
      </c>
      <c r="B2313" t="str">
        <f>"1552374793342729"</f>
        <v>1552374793342729</v>
      </c>
      <c r="C2313" t="s">
        <v>40</v>
      </c>
      <c r="D2313">
        <v>5.0293130000000001</v>
      </c>
      <c r="E2313">
        <v>0.49426779999999998</v>
      </c>
      <c r="F2313" t="s">
        <v>42</v>
      </c>
      <c r="G2313">
        <v>-495.27890000000002</v>
      </c>
      <c r="H2313" s="1">
        <v>-4.2047970000000001E-6</v>
      </c>
      <c r="I2313">
        <v>246.59110000000001</v>
      </c>
      <c r="J2313">
        <v>-495.71539999999999</v>
      </c>
      <c r="K2313">
        <v>1.1112010000000001</v>
      </c>
      <c r="L2313">
        <v>258.6069</v>
      </c>
      <c r="M2313">
        <v>-0.21486649999999999</v>
      </c>
      <c r="N2313">
        <v>0</v>
      </c>
      <c r="O2313">
        <v>-0.9765509</v>
      </c>
      <c r="P2313">
        <v>1.942613E-2</v>
      </c>
      <c r="Q2313">
        <v>1.1120990000000001E-2</v>
      </c>
      <c r="R2313">
        <v>-0.99974940000000001</v>
      </c>
      <c r="S2313">
        <v>0.1029968</v>
      </c>
      <c r="T2313">
        <v>-0.27517619999999998</v>
      </c>
      <c r="U2313">
        <v>-3.0018919999999998</v>
      </c>
      <c r="V2313">
        <v>-0.23385139999999999</v>
      </c>
      <c r="W2313">
        <v>2.3740750000000001E-2</v>
      </c>
      <c r="X2313">
        <v>0.97198249999999997</v>
      </c>
      <c r="Y2313">
        <v>-0.24810270000000001</v>
      </c>
      <c r="Z2313">
        <v>8.6633550000000004E-2</v>
      </c>
      <c r="AA2313">
        <v>0.96485220000000005</v>
      </c>
      <c r="AB2313">
        <v>11</v>
      </c>
      <c r="AC2313">
        <v>0.43649999999996603</v>
      </c>
      <c r="AD2313">
        <v>-1.111205204797</v>
      </c>
      <c r="AE2313">
        <v>-12.015799999999899</v>
      </c>
      <c r="AF2313">
        <v>-2.98285257114197</v>
      </c>
      <c r="AG2313">
        <v>-1.111205204797</v>
      </c>
      <c r="AH2313">
        <v>11.5427163498023</v>
      </c>
      <c r="AI2313">
        <v>95.324985942952793</v>
      </c>
      <c r="AJ2313">
        <v>104.48931311787599</v>
      </c>
      <c r="AK2313">
        <v>11.9735745373022</v>
      </c>
      <c r="AL2313">
        <v>88.639627467485994</v>
      </c>
      <c r="AM2313">
        <v>103.527811121431</v>
      </c>
      <c r="AN2313">
        <v>1.0000000403993801</v>
      </c>
    </row>
    <row r="2314" spans="1:40" x14ac:dyDescent="0.25">
      <c r="A2314" t="str">
        <f>"20190312151313377"</f>
        <v>20190312151313377</v>
      </c>
      <c r="B2314" t="str">
        <f>"1552374793372009"</f>
        <v>1552374793372009</v>
      </c>
      <c r="C2314" t="s">
        <v>40</v>
      </c>
      <c r="D2314">
        <v>5.0339519999999904</v>
      </c>
      <c r="E2314">
        <v>0.49515609999999999</v>
      </c>
      <c r="F2314" t="s">
        <v>42</v>
      </c>
      <c r="G2314">
        <v>-495.26369999999997</v>
      </c>
      <c r="H2314" s="1">
        <v>-4.1401850000000004E-6</v>
      </c>
      <c r="I2314">
        <v>246.4092</v>
      </c>
      <c r="J2314">
        <v>-495.73500000000001</v>
      </c>
      <c r="K2314">
        <v>1.111189</v>
      </c>
      <c r="L2314">
        <v>258.50360000000001</v>
      </c>
      <c r="M2314">
        <v>-0.21238560000000001</v>
      </c>
      <c r="N2314">
        <v>0</v>
      </c>
      <c r="O2314">
        <v>-0.97709360000000001</v>
      </c>
      <c r="P2314">
        <v>2.2280069999999999E-2</v>
      </c>
      <c r="Q2314">
        <v>1.039313E-2</v>
      </c>
      <c r="R2314">
        <v>-0.99969779999999997</v>
      </c>
      <c r="S2314">
        <v>0.11114499999999999</v>
      </c>
      <c r="T2314">
        <v>-0.27344780000000002</v>
      </c>
      <c r="U2314">
        <v>-3.001633</v>
      </c>
      <c r="V2314">
        <v>-0.23415710000000001</v>
      </c>
      <c r="W2314">
        <v>2.3011859999999999E-2</v>
      </c>
      <c r="X2314">
        <v>0.97192639999999997</v>
      </c>
      <c r="Y2314">
        <v>-0.24826309999999999</v>
      </c>
      <c r="Z2314">
        <v>8.6168720000000004E-2</v>
      </c>
      <c r="AA2314">
        <v>0.9648525</v>
      </c>
      <c r="AB2314">
        <v>11</v>
      </c>
      <c r="AC2314">
        <v>0.47130000000004202</v>
      </c>
      <c r="AD2314">
        <v>-1.1111931401849999</v>
      </c>
      <c r="AE2314">
        <v>-12.0944</v>
      </c>
      <c r="AF2314">
        <v>-3.0041335573310199</v>
      </c>
      <c r="AG2314">
        <v>-1.1111931401849999</v>
      </c>
      <c r="AH2314">
        <v>11.620378237509501</v>
      </c>
      <c r="AI2314">
        <v>95.289410296864801</v>
      </c>
      <c r="AJ2314">
        <v>104.49491346806199</v>
      </c>
      <c r="AK2314">
        <v>12.053744605219601</v>
      </c>
      <c r="AL2314">
        <v>88.681401162715304</v>
      </c>
      <c r="AM2314">
        <v>103.545597093654</v>
      </c>
      <c r="AN2314">
        <v>1.0000000100990101</v>
      </c>
    </row>
    <row r="2315" spans="1:40" x14ac:dyDescent="0.25">
      <c r="A2315" t="str">
        <f>"20190312151313400"</f>
        <v>20190312151313400</v>
      </c>
      <c r="B2315" t="str">
        <f>"1552374793392504"</f>
        <v>1552374793392504</v>
      </c>
      <c r="C2315" t="s">
        <v>40</v>
      </c>
      <c r="D2315">
        <v>5.0183169999999997</v>
      </c>
      <c r="E2315">
        <v>0.49396370000000001</v>
      </c>
      <c r="F2315" t="s">
        <v>42</v>
      </c>
      <c r="G2315">
        <v>-495.21899999999999</v>
      </c>
      <c r="H2315" s="1">
        <v>-3.5480920000000002E-6</v>
      </c>
      <c r="I2315">
        <v>244.6926</v>
      </c>
      <c r="J2315">
        <v>-495.75560000000002</v>
      </c>
      <c r="K2315">
        <v>1.111183</v>
      </c>
      <c r="L2315">
        <v>258.39359999999999</v>
      </c>
      <c r="M2315">
        <v>-0.20973929999999999</v>
      </c>
      <c r="N2315">
        <v>0</v>
      </c>
      <c r="O2315">
        <v>-0.97766500000000001</v>
      </c>
      <c r="P2315">
        <v>2.497825E-2</v>
      </c>
      <c r="Q2315">
        <v>1.005152E-2</v>
      </c>
      <c r="R2315">
        <v>-0.99963749999999996</v>
      </c>
      <c r="S2315">
        <v>0.1121216</v>
      </c>
      <c r="T2315">
        <v>-0.24144470000000001</v>
      </c>
      <c r="U2315">
        <v>-3.0009160000000001</v>
      </c>
      <c r="V2315">
        <v>-0.23414869999999999</v>
      </c>
      <c r="W2315">
        <v>2.2666720000000001E-2</v>
      </c>
      <c r="X2315">
        <v>0.97193649999999998</v>
      </c>
      <c r="Y2315">
        <v>-0.2459961</v>
      </c>
      <c r="Z2315">
        <v>7.6261839999999997E-2</v>
      </c>
      <c r="AA2315">
        <v>0.96626599999999996</v>
      </c>
      <c r="AB2315">
        <v>11</v>
      </c>
      <c r="AC2315">
        <v>0.53660000000002095</v>
      </c>
      <c r="AD2315">
        <v>-1.111186548092</v>
      </c>
      <c r="AE2315">
        <v>-13.700999999999899</v>
      </c>
      <c r="AF2315">
        <v>-3.3763854481514599</v>
      </c>
      <c r="AG2315">
        <v>-1.111186548092</v>
      </c>
      <c r="AH2315">
        <v>13.196969616711</v>
      </c>
      <c r="AI2315">
        <v>94.663445743732197</v>
      </c>
      <c r="AJ2315">
        <v>104.351029138293</v>
      </c>
      <c r="AK2315">
        <v>13.667286537698001</v>
      </c>
      <c r="AL2315">
        <v>88.701181344602304</v>
      </c>
      <c r="AM2315">
        <v>103.544993501859</v>
      </c>
      <c r="AN2315">
        <v>0.99999997696974896</v>
      </c>
    </row>
    <row r="2316" spans="1:40" x14ac:dyDescent="0.25">
      <c r="A2316" t="str">
        <f>"20190312151313422"</f>
        <v>20190312151313422</v>
      </c>
      <c r="B2316" t="str">
        <f>"1552374793412025"</f>
        <v>1552374793412025</v>
      </c>
      <c r="C2316" t="s">
        <v>40</v>
      </c>
      <c r="D2316">
        <v>4.9961589999999996</v>
      </c>
      <c r="E2316">
        <v>0.46828959999999997</v>
      </c>
      <c r="F2316" t="s">
        <v>42</v>
      </c>
      <c r="G2316">
        <v>-495.21600000000001</v>
      </c>
      <c r="H2316" s="1">
        <v>-3.9811870000000004E-6</v>
      </c>
      <c r="I2316">
        <v>245.96690000000001</v>
      </c>
      <c r="J2316">
        <v>-495.7758</v>
      </c>
      <c r="K2316">
        <v>1.111178</v>
      </c>
      <c r="L2316">
        <v>258.28440000000001</v>
      </c>
      <c r="M2316">
        <v>-0.20710980000000001</v>
      </c>
      <c r="N2316">
        <v>0</v>
      </c>
      <c r="O2316">
        <v>-0.97822560000000003</v>
      </c>
      <c r="P2316">
        <v>2.761332E-2</v>
      </c>
      <c r="Q2316">
        <v>9.6262459999999998E-3</v>
      </c>
      <c r="R2316">
        <v>-0.99957269999999998</v>
      </c>
      <c r="S2316">
        <v>0.13031010000000001</v>
      </c>
      <c r="T2316">
        <v>-0.26830320000000002</v>
      </c>
      <c r="U2316">
        <v>-3.0005039999999998</v>
      </c>
      <c r="V2316">
        <v>-0.23409720000000001</v>
      </c>
      <c r="W2316">
        <v>2.2231480000000001E-2</v>
      </c>
      <c r="X2316">
        <v>0.97195900000000002</v>
      </c>
      <c r="Y2316">
        <v>-0.2492085</v>
      </c>
      <c r="Z2316">
        <v>8.4720879999999998E-2</v>
      </c>
      <c r="AA2316">
        <v>0.96473699999999996</v>
      </c>
      <c r="AB2316">
        <v>11</v>
      </c>
      <c r="AC2316">
        <v>0.55979999999999497</v>
      </c>
      <c r="AD2316">
        <v>-1.1111819811870001</v>
      </c>
      <c r="AE2316">
        <v>-12.3174999999999</v>
      </c>
      <c r="AF2316">
        <v>-3.0739998106703199</v>
      </c>
      <c r="AG2316">
        <v>-1.1111819811870001</v>
      </c>
      <c r="AH2316">
        <v>11.838286073565399</v>
      </c>
      <c r="AI2316">
        <v>95.191100189604896</v>
      </c>
      <c r="AJ2316">
        <v>104.556287049997</v>
      </c>
      <c r="AK2316">
        <v>12.2812547156586</v>
      </c>
      <c r="AL2316">
        <v>88.7261250984957</v>
      </c>
      <c r="AM2316">
        <v>103.541822124701</v>
      </c>
      <c r="AN2316">
        <v>1.0000000177159101</v>
      </c>
    </row>
    <row r="2317" spans="1:40" x14ac:dyDescent="0.25">
      <c r="A2317" t="str">
        <f>"20190312151313445"</f>
        <v>20190312151313445</v>
      </c>
      <c r="B2317" t="str">
        <f>"1552374793442282"</f>
        <v>1552374793442282</v>
      </c>
      <c r="C2317" t="s">
        <v>40</v>
      </c>
      <c r="D2317">
        <v>5.0356670000000001</v>
      </c>
      <c r="E2317">
        <v>0.46676679999999998</v>
      </c>
      <c r="F2317" t="s">
        <v>42</v>
      </c>
      <c r="G2317">
        <v>-494.46370000000002</v>
      </c>
      <c r="H2317" s="1">
        <v>-4.1460970000000001E-6</v>
      </c>
      <c r="I2317">
        <v>246.84360000000001</v>
      </c>
      <c r="J2317">
        <v>-495.79480000000001</v>
      </c>
      <c r="K2317">
        <v>1.1111719999999901</v>
      </c>
      <c r="L2317">
        <v>258.17959999999999</v>
      </c>
      <c r="M2317">
        <v>-0.20458570000000001</v>
      </c>
      <c r="N2317">
        <v>0</v>
      </c>
      <c r="O2317">
        <v>-0.97875699999999999</v>
      </c>
      <c r="P2317">
        <v>2.9992979999999999E-2</v>
      </c>
      <c r="Q2317">
        <v>9.5140239999999994E-3</v>
      </c>
      <c r="R2317">
        <v>-0.99950499999999998</v>
      </c>
      <c r="S2317">
        <v>0.34344479999999999</v>
      </c>
      <c r="T2317">
        <v>-0.29084939999999998</v>
      </c>
      <c r="U2317">
        <v>-2.9945979999999999</v>
      </c>
      <c r="V2317">
        <v>-0.23390369999999999</v>
      </c>
      <c r="W2317">
        <v>2.2101340000000001E-2</v>
      </c>
      <c r="X2317">
        <v>0.97200850000000005</v>
      </c>
      <c r="Y2317">
        <v>-0.31429689999999999</v>
      </c>
      <c r="Z2317">
        <v>9.0847899999999995E-2</v>
      </c>
      <c r="AA2317">
        <v>0.94496780000000002</v>
      </c>
      <c r="AB2317">
        <v>11</v>
      </c>
      <c r="AC2317">
        <v>1.33109999999999</v>
      </c>
      <c r="AD2317">
        <v>-1.11117614609699</v>
      </c>
      <c r="AE2317">
        <v>-11.335999999999901</v>
      </c>
      <c r="AF2317">
        <v>-3.5883231831364601</v>
      </c>
      <c r="AG2317">
        <v>-1.11117614609699</v>
      </c>
      <c r="AH2317">
        <v>10.722215397628601</v>
      </c>
      <c r="AI2317">
        <v>95.612760138195299</v>
      </c>
      <c r="AJ2317">
        <v>108.503460454421</v>
      </c>
      <c r="AK2317">
        <v>11.361191782882299</v>
      </c>
      <c r="AL2317">
        <v>88.733583339531293</v>
      </c>
      <c r="AM2317">
        <v>103.53037671777101</v>
      </c>
      <c r="AN2317">
        <v>0.99999996708786698</v>
      </c>
    </row>
    <row r="2318" spans="1:40" x14ac:dyDescent="0.25">
      <c r="A2318" t="str">
        <f>"20190312151313466"</f>
        <v>20190312151313466</v>
      </c>
      <c r="B2318" t="str">
        <f>"1552374793462777"</f>
        <v>1552374793462777</v>
      </c>
      <c r="C2318" t="s">
        <v>40</v>
      </c>
      <c r="D2318">
        <v>5.0278429999999998</v>
      </c>
      <c r="E2318">
        <v>0.46673579999999998</v>
      </c>
      <c r="F2318" t="s">
        <v>42</v>
      </c>
      <c r="G2318">
        <v>-494.20859999999999</v>
      </c>
      <c r="H2318" s="1">
        <v>-3.4689130000000001E-6</v>
      </c>
      <c r="I2318">
        <v>245.06489999999999</v>
      </c>
      <c r="J2318">
        <v>-495.81290000000001</v>
      </c>
      <c r="K2318">
        <v>1.1111599999999999</v>
      </c>
      <c r="L2318">
        <v>258.07889999999998</v>
      </c>
      <c r="M2318">
        <v>-0.2021589</v>
      </c>
      <c r="N2318">
        <v>0</v>
      </c>
      <c r="O2318">
        <v>-0.97926139999999995</v>
      </c>
      <c r="P2318">
        <v>3.2382180000000003E-2</v>
      </c>
      <c r="Q2318">
        <v>9.6853579999999998E-3</v>
      </c>
      <c r="R2318">
        <v>-0.99942869999999995</v>
      </c>
      <c r="S2318">
        <v>0.36199949999999997</v>
      </c>
      <c r="T2318">
        <v>-0.25358829999999999</v>
      </c>
      <c r="U2318">
        <v>-2.9929809999999999</v>
      </c>
      <c r="V2318">
        <v>-0.2338172</v>
      </c>
      <c r="W2318">
        <v>2.2249120000000001E-2</v>
      </c>
      <c r="X2318">
        <v>0.97202599999999995</v>
      </c>
      <c r="Y2318">
        <v>-0.31790420000000003</v>
      </c>
      <c r="Z2318">
        <v>7.9323649999999996E-2</v>
      </c>
      <c r="AA2318">
        <v>0.94479880000000005</v>
      </c>
      <c r="AB2318">
        <v>11</v>
      </c>
      <c r="AC2318">
        <v>1.60430000000002</v>
      </c>
      <c r="AD2318">
        <v>-1.1111634689130001</v>
      </c>
      <c r="AE2318">
        <v>-13.0139999999999</v>
      </c>
      <c r="AF2318">
        <v>-4.1723393672286297</v>
      </c>
      <c r="AG2318">
        <v>-1.1111634689130001</v>
      </c>
      <c r="AH2318">
        <v>12.3323370263155</v>
      </c>
      <c r="AI2318">
        <v>94.878327792959496</v>
      </c>
      <c r="AJ2318">
        <v>108.69196952116801</v>
      </c>
      <c r="AK2318">
        <v>13.066355137551</v>
      </c>
      <c r="AL2318">
        <v>88.725114160855298</v>
      </c>
      <c r="AM2318">
        <v>103.525322345923</v>
      </c>
      <c r="AN2318">
        <v>1.0000000255163</v>
      </c>
    </row>
    <row r="2319" spans="1:40" x14ac:dyDescent="0.25">
      <c r="A2319" t="str">
        <f>"20190312151313490"</f>
        <v>20190312151313490</v>
      </c>
      <c r="B2319" t="str">
        <f>"1552374793482299"</f>
        <v>1552374793482299</v>
      </c>
      <c r="C2319" t="s">
        <v>40</v>
      </c>
      <c r="D2319">
        <v>5.0556469999999996</v>
      </c>
      <c r="E2319">
        <v>0.46699459999999998</v>
      </c>
      <c r="F2319" t="s">
        <v>42</v>
      </c>
      <c r="G2319">
        <v>-494.10919999999999</v>
      </c>
      <c r="H2319" s="1">
        <v>-3.0978260000000001E-6</v>
      </c>
      <c r="I2319">
        <v>244.26159999999999</v>
      </c>
      <c r="J2319">
        <v>-495.83319999999998</v>
      </c>
      <c r="K2319">
        <v>1.111148</v>
      </c>
      <c r="L2319">
        <v>257.96390000000002</v>
      </c>
      <c r="M2319">
        <v>-0.19939029999999999</v>
      </c>
      <c r="N2319">
        <v>0</v>
      </c>
      <c r="O2319">
        <v>-0.97982950000000002</v>
      </c>
      <c r="P2319">
        <v>3.5830130000000002E-2</v>
      </c>
      <c r="Q2319">
        <v>9.7469110000000005E-3</v>
      </c>
      <c r="R2319">
        <v>-0.99931040000000004</v>
      </c>
      <c r="S2319">
        <v>0.368927</v>
      </c>
      <c r="T2319">
        <v>-0.24061920000000001</v>
      </c>
      <c r="U2319">
        <v>-2.9920960000000001</v>
      </c>
      <c r="V2319">
        <v>-0.2344232</v>
      </c>
      <c r="W2319">
        <v>2.2279150000000001E-2</v>
      </c>
      <c r="X2319">
        <v>0.9718793</v>
      </c>
      <c r="Y2319">
        <v>-0.31745380000000001</v>
      </c>
      <c r="Z2319">
        <v>7.537895E-2</v>
      </c>
      <c r="AA2319">
        <v>0.94527300000000003</v>
      </c>
      <c r="AB2319">
        <v>11</v>
      </c>
      <c r="AC2319">
        <v>1.72399999999998</v>
      </c>
      <c r="AD2319">
        <v>-1.111151097826</v>
      </c>
      <c r="AE2319">
        <v>-13.702299999999999</v>
      </c>
      <c r="AF2319">
        <v>-4.3932846997973298</v>
      </c>
      <c r="AG2319">
        <v>-1.111151097826</v>
      </c>
      <c r="AH2319">
        <v>12.9991811131493</v>
      </c>
      <c r="AI2319">
        <v>94.629642229723103</v>
      </c>
      <c r="AJ2319">
        <v>108.673518590469</v>
      </c>
      <c r="AK2319">
        <v>13.7664198987293</v>
      </c>
      <c r="AL2319">
        <v>88.723393090941201</v>
      </c>
      <c r="AM2319">
        <v>103.561055312311</v>
      </c>
      <c r="AN2319">
        <v>0.999999985495726</v>
      </c>
    </row>
    <row r="2320" spans="1:40" x14ac:dyDescent="0.25">
      <c r="A2320" t="str">
        <f>"20190312151313512"</f>
        <v>20190312151313512</v>
      </c>
      <c r="B2320" t="str">
        <f>"1552374793501818"</f>
        <v>1552374793501818</v>
      </c>
      <c r="C2320" t="s">
        <v>40</v>
      </c>
      <c r="D2320">
        <v>5.0842299999999998</v>
      </c>
      <c r="E2320">
        <v>0.46761259999999999</v>
      </c>
      <c r="F2320" t="s">
        <v>42</v>
      </c>
      <c r="G2320">
        <v>-494.04129999999998</v>
      </c>
      <c r="H2320" s="1">
        <v>-2.8545809999999999E-6</v>
      </c>
      <c r="I2320">
        <v>243.73670000000001</v>
      </c>
      <c r="J2320">
        <v>-495.85210000000001</v>
      </c>
      <c r="K2320">
        <v>1.1111359999999999</v>
      </c>
      <c r="L2320">
        <v>257.85500000000002</v>
      </c>
      <c r="M2320">
        <v>-0.19676950000000001</v>
      </c>
      <c r="N2320">
        <v>0</v>
      </c>
      <c r="O2320">
        <v>-0.98035939999999999</v>
      </c>
      <c r="P2320">
        <v>3.9215739999999999E-2</v>
      </c>
      <c r="Q2320">
        <v>1.0158169999999999E-2</v>
      </c>
      <c r="R2320">
        <v>-0.99917940000000005</v>
      </c>
      <c r="S2320">
        <v>0.37667850000000003</v>
      </c>
      <c r="T2320">
        <v>-0.23358390000000001</v>
      </c>
      <c r="U2320">
        <v>-2.9908139999999999</v>
      </c>
      <c r="V2320">
        <v>-0.2351172</v>
      </c>
      <c r="W2320">
        <v>2.2663389999999999E-2</v>
      </c>
      <c r="X2320">
        <v>0.97170279999999998</v>
      </c>
      <c r="Y2320">
        <v>-0.3174014</v>
      </c>
      <c r="Z2320">
        <v>7.3270130000000003E-2</v>
      </c>
      <c r="AA2320">
        <v>0.94545639999999997</v>
      </c>
      <c r="AB2320">
        <v>11</v>
      </c>
      <c r="AC2320">
        <v>1.8108000000000199</v>
      </c>
      <c r="AD2320">
        <v>-1.1111388545809999</v>
      </c>
      <c r="AE2320">
        <v>-14.1183</v>
      </c>
      <c r="AF2320">
        <v>-4.5261080953723098</v>
      </c>
      <c r="AG2320">
        <v>-1.1111388545809999</v>
      </c>
      <c r="AH2320">
        <v>13.404210777070199</v>
      </c>
      <c r="AI2320">
        <v>94.490692894706498</v>
      </c>
      <c r="AJ2320">
        <v>108.65793048858001</v>
      </c>
      <c r="AK2320">
        <v>14.191305457965401</v>
      </c>
      <c r="AL2320">
        <v>88.701372256488199</v>
      </c>
      <c r="AM2320">
        <v>103.60209179108</v>
      </c>
      <c r="AN2320">
        <v>1.00000002925498</v>
      </c>
    </row>
    <row r="2321" spans="1:40" x14ac:dyDescent="0.25">
      <c r="A2321" t="str">
        <f>"20190312151313568"</f>
        <v>20190312151313568</v>
      </c>
      <c r="B2321" t="str">
        <f>"1552374793562331"</f>
        <v>1552374793562331</v>
      </c>
      <c r="C2321" t="s">
        <v>40</v>
      </c>
      <c r="D2321">
        <v>5.049029</v>
      </c>
      <c r="E2321">
        <v>0.46827479999999999</v>
      </c>
      <c r="F2321" t="s">
        <v>42</v>
      </c>
      <c r="G2321">
        <v>-494.00810000000001</v>
      </c>
      <c r="H2321" s="1">
        <v>-2.7163909999999999E-6</v>
      </c>
      <c r="I2321">
        <v>243.43520000000001</v>
      </c>
      <c r="J2321">
        <v>-495.89620000000002</v>
      </c>
      <c r="K2321">
        <v>1.11111</v>
      </c>
      <c r="L2321">
        <v>257.59390000000002</v>
      </c>
      <c r="M2321">
        <v>-0.1904874</v>
      </c>
      <c r="N2321">
        <v>0</v>
      </c>
      <c r="O2321">
        <v>-0.98160009999999998</v>
      </c>
      <c r="P2321">
        <v>4.6500029999999998E-2</v>
      </c>
      <c r="Q2321">
        <v>1.042187E-2</v>
      </c>
      <c r="R2321">
        <v>-0.99886410000000003</v>
      </c>
      <c r="S2321">
        <v>0.3823242</v>
      </c>
      <c r="T2321">
        <v>-0.23038130000000001</v>
      </c>
      <c r="U2321">
        <v>-2.9897770000000001</v>
      </c>
      <c r="V2321">
        <v>-0.2359783</v>
      </c>
      <c r="W2321">
        <v>2.287457E-2</v>
      </c>
      <c r="X2321">
        <v>0.97148909999999999</v>
      </c>
      <c r="Y2321">
        <v>-0.31313299999999999</v>
      </c>
      <c r="Z2321">
        <v>7.2484899999999894E-2</v>
      </c>
      <c r="AA2321">
        <v>0.94693910000000003</v>
      </c>
      <c r="AB2321">
        <v>11</v>
      </c>
      <c r="AC2321">
        <v>1.8880999999999999</v>
      </c>
      <c r="AD2321">
        <v>-1.111112716391</v>
      </c>
      <c r="AE2321">
        <v>-14.1587</v>
      </c>
      <c r="AF2321">
        <v>-4.5234425779112</v>
      </c>
      <c r="AG2321">
        <v>-1.111112716391</v>
      </c>
      <c r="AH2321">
        <v>13.458278592586099</v>
      </c>
      <c r="AI2321">
        <v>94.474715985179202</v>
      </c>
      <c r="AJ2321">
        <v>108.57793714659201</v>
      </c>
      <c r="AK2321">
        <v>14.241536676210499</v>
      </c>
      <c r="AL2321">
        <v>88.689269407572993</v>
      </c>
      <c r="AM2321">
        <v>103.65293824104999</v>
      </c>
      <c r="AN2321">
        <v>1.0000000377211899</v>
      </c>
    </row>
    <row r="2322" spans="1:40" x14ac:dyDescent="0.25">
      <c r="A2322" t="str">
        <f>"20190312151313589"</f>
        <v>20190312151313589</v>
      </c>
      <c r="B2322" t="str">
        <f>"1552374793581799"</f>
        <v>1552374793581799</v>
      </c>
      <c r="C2322" t="s">
        <v>40</v>
      </c>
      <c r="D2322">
        <v>5.0203699999999998</v>
      </c>
      <c r="E2322">
        <v>0.47355079999999999</v>
      </c>
      <c r="F2322" t="s">
        <v>42</v>
      </c>
      <c r="G2322">
        <v>-493.97890000000001</v>
      </c>
      <c r="H2322" s="1">
        <v>-2.626816E-6</v>
      </c>
      <c r="I2322">
        <v>243.24449999999999</v>
      </c>
      <c r="J2322">
        <v>-495.91359999999997</v>
      </c>
      <c r="K2322">
        <v>1.111102</v>
      </c>
      <c r="L2322">
        <v>257.48770000000002</v>
      </c>
      <c r="M2322">
        <v>-0.18793119999999999</v>
      </c>
      <c r="N2322">
        <v>0</v>
      </c>
      <c r="O2322">
        <v>-0.98209299999999999</v>
      </c>
      <c r="P2322">
        <v>4.847195E-2</v>
      </c>
      <c r="Q2322">
        <v>9.9801349999999994E-3</v>
      </c>
      <c r="R2322">
        <v>-0.99877459999999996</v>
      </c>
      <c r="S2322">
        <v>0.39913939999999998</v>
      </c>
      <c r="T2322">
        <v>-0.2313075</v>
      </c>
      <c r="U2322">
        <v>-2.9872130000000001</v>
      </c>
      <c r="V2322">
        <v>-0.2353664</v>
      </c>
      <c r="W2322">
        <v>2.2418830000000001E-2</v>
      </c>
      <c r="X2322">
        <v>0.97164810000000001</v>
      </c>
      <c r="Y2322">
        <v>-0.31599860000000002</v>
      </c>
      <c r="Z2322">
        <v>7.2830039999999999E-2</v>
      </c>
      <c r="AA2322">
        <v>0.94596020000000003</v>
      </c>
      <c r="AB2322">
        <v>11</v>
      </c>
      <c r="AC2322">
        <v>1.9346999999999599</v>
      </c>
      <c r="AD2322">
        <v>-1.1111046268160001</v>
      </c>
      <c r="AE2322">
        <v>-14.2432</v>
      </c>
      <c r="AF2322">
        <v>-4.5500106140443499</v>
      </c>
      <c r="AG2322">
        <v>-1.1111046268160001</v>
      </c>
      <c r="AH2322">
        <v>13.544816794092499</v>
      </c>
      <c r="AI2322">
        <v>94.446458250049702</v>
      </c>
      <c r="AJ2322">
        <v>108.56836564731999</v>
      </c>
      <c r="AK2322">
        <v>14.331755372779</v>
      </c>
      <c r="AL2322">
        <v>88.715388020397896</v>
      </c>
      <c r="AM2322">
        <v>103.616710172507</v>
      </c>
      <c r="AN2322">
        <v>0.99999998821056901</v>
      </c>
    </row>
    <row r="2323" spans="1:40" x14ac:dyDescent="0.25">
      <c r="A2323" t="str">
        <f>"20190312151313612"</f>
        <v>20190312151313612</v>
      </c>
      <c r="B2323" t="str">
        <f>"1552374793602291"</f>
        <v>1552374793602291</v>
      </c>
      <c r="C2323" t="s">
        <v>40</v>
      </c>
      <c r="D2323">
        <v>5.0861640000000001</v>
      </c>
      <c r="E2323">
        <v>0.47313319999999998</v>
      </c>
      <c r="F2323" t="s">
        <v>42</v>
      </c>
      <c r="G2323">
        <v>-494.6823</v>
      </c>
      <c r="H2323" s="1">
        <v>-4.3832429999999999E-6</v>
      </c>
      <c r="I2323">
        <v>247.4265</v>
      </c>
      <c r="J2323">
        <v>-495.93099999999998</v>
      </c>
      <c r="K2323">
        <v>1.1110949999999999</v>
      </c>
      <c r="L2323">
        <v>257.38040000000001</v>
      </c>
      <c r="M2323">
        <v>-0.18535450000000001</v>
      </c>
      <c r="N2323">
        <v>0</v>
      </c>
      <c r="O2323">
        <v>-0.98258279999999998</v>
      </c>
      <c r="P2323">
        <v>5.0169520000000002E-2</v>
      </c>
      <c r="Q2323">
        <v>1.0194750000000001E-2</v>
      </c>
      <c r="R2323">
        <v>-0.99868860000000004</v>
      </c>
      <c r="S2323">
        <v>0.36584470000000002</v>
      </c>
      <c r="T2323">
        <v>-0.33011620000000003</v>
      </c>
      <c r="U2323">
        <v>-2.9892270000000001</v>
      </c>
      <c r="V2323">
        <v>-0.2344687</v>
      </c>
      <c r="W2323">
        <v>2.2622389999999999E-2</v>
      </c>
      <c r="X2323">
        <v>0.97186039999999996</v>
      </c>
      <c r="Y2323">
        <v>-0.302678</v>
      </c>
      <c r="Z2323">
        <v>0.1039479</v>
      </c>
      <c r="AA2323">
        <v>0.94740740000000001</v>
      </c>
      <c r="AB2323">
        <v>11</v>
      </c>
      <c r="AC2323">
        <v>1.2486999999999799</v>
      </c>
      <c r="AD2323">
        <v>-1.1110993832430001</v>
      </c>
      <c r="AE2323">
        <v>-9.9539000000000009</v>
      </c>
      <c r="AF2323">
        <v>-3.03498957260868</v>
      </c>
      <c r="AG2323">
        <v>-1.1110993832430001</v>
      </c>
      <c r="AH2323">
        <v>9.43418422423726</v>
      </c>
      <c r="AI2323">
        <v>96.397006835597793</v>
      </c>
      <c r="AJ2323">
        <v>107.83305206148501</v>
      </c>
      <c r="AK2323">
        <v>9.9724387951059192</v>
      </c>
      <c r="AL2323">
        <v>88.703721935498095</v>
      </c>
      <c r="AM2323">
        <v>103.563844221254</v>
      </c>
      <c r="AN2323">
        <v>0.99999999044858001</v>
      </c>
    </row>
    <row r="2324" spans="1:40" x14ac:dyDescent="0.25">
      <c r="A2324" t="str">
        <f>"20190312151313637"</f>
        <v>20190312151313637</v>
      </c>
      <c r="B2324" t="str">
        <f>"1552374793632547"</f>
        <v>1552374793632547</v>
      </c>
      <c r="C2324" t="s">
        <v>40</v>
      </c>
      <c r="D2324">
        <v>5.0853089999999996</v>
      </c>
      <c r="E2324">
        <v>0.47413640000000001</v>
      </c>
      <c r="F2324" t="s">
        <v>42</v>
      </c>
      <c r="G2324">
        <v>-494.62040000000002</v>
      </c>
      <c r="H2324" s="1">
        <v>-4.1934920000000004E-6</v>
      </c>
      <c r="I2324">
        <v>246.90119999999999</v>
      </c>
      <c r="J2324">
        <v>-495.94990000000001</v>
      </c>
      <c r="K2324">
        <v>1.1110880000000001</v>
      </c>
      <c r="L2324">
        <v>257.26139999999998</v>
      </c>
      <c r="M2324">
        <v>-0.1824944</v>
      </c>
      <c r="N2324">
        <v>0</v>
      </c>
      <c r="O2324">
        <v>-0.98311850000000001</v>
      </c>
      <c r="P2324">
        <v>5.231276E-2</v>
      </c>
      <c r="Q2324">
        <v>9.7285779999999999E-3</v>
      </c>
      <c r="R2324">
        <v>-0.99858369999999996</v>
      </c>
      <c r="S2324">
        <v>0.37374879999999999</v>
      </c>
      <c r="T2324">
        <v>-0.31685609999999997</v>
      </c>
      <c r="U2324">
        <v>-2.9884029999999999</v>
      </c>
      <c r="V2324">
        <v>-0.23372599999999999</v>
      </c>
      <c r="W2324">
        <v>2.214329E-2</v>
      </c>
      <c r="X2324">
        <v>0.97205030000000003</v>
      </c>
      <c r="Y2324">
        <v>-0.30245949999999999</v>
      </c>
      <c r="Z2324">
        <v>9.9918510000000002E-2</v>
      </c>
      <c r="AA2324">
        <v>0.94791060000000005</v>
      </c>
      <c r="AB2324">
        <v>11</v>
      </c>
      <c r="AC2324">
        <v>1.3294999999999899</v>
      </c>
      <c r="AD2324">
        <v>-1.1110921934919999</v>
      </c>
      <c r="AE2324">
        <v>-10.360199999999899</v>
      </c>
      <c r="AF2324">
        <v>-3.1622305342191499</v>
      </c>
      <c r="AG2324">
        <v>-1.1110921934919999</v>
      </c>
      <c r="AH2324">
        <v>9.8322858308867396</v>
      </c>
      <c r="AI2324">
        <v>96.1401269488709</v>
      </c>
      <c r="AJ2324">
        <v>107.828674953522</v>
      </c>
      <c r="AK2324">
        <v>10.387881038702799</v>
      </c>
      <c r="AL2324">
        <v>88.731179205779597</v>
      </c>
      <c r="AM2324">
        <v>103.519914940639</v>
      </c>
      <c r="AN2324">
        <v>0.99999997704905597</v>
      </c>
    </row>
    <row r="2325" spans="1:40" x14ac:dyDescent="0.25">
      <c r="A2325" t="str">
        <f>"20190312151313656"</f>
        <v>20190312151313656</v>
      </c>
      <c r="B2325" t="str">
        <f>"1552374793652068"</f>
        <v>1552374793652068</v>
      </c>
      <c r="C2325" t="s">
        <v>40</v>
      </c>
      <c r="D2325">
        <v>5.1325370000000001</v>
      </c>
      <c r="E2325">
        <v>0.4742614</v>
      </c>
      <c r="F2325" t="s">
        <v>42</v>
      </c>
      <c r="G2325">
        <v>-494.60070000000002</v>
      </c>
      <c r="H2325" s="1">
        <v>-4.0211250000000004E-6</v>
      </c>
      <c r="I2325">
        <v>246.4049</v>
      </c>
      <c r="J2325">
        <v>-495.96370000000002</v>
      </c>
      <c r="K2325">
        <v>1.111089</v>
      </c>
      <c r="L2325">
        <v>257.17270000000002</v>
      </c>
      <c r="M2325">
        <v>-0.18036360000000001</v>
      </c>
      <c r="N2325">
        <v>0</v>
      </c>
      <c r="O2325">
        <v>-0.98351160000000004</v>
      </c>
      <c r="P2325">
        <v>5.3803520000000001E-2</v>
      </c>
      <c r="Q2325">
        <v>9.0656910000000007E-3</v>
      </c>
      <c r="R2325">
        <v>-0.99851049999999997</v>
      </c>
      <c r="S2325">
        <v>0.37130740000000001</v>
      </c>
      <c r="T2325">
        <v>-0.3057802</v>
      </c>
      <c r="U2325">
        <v>-2.987778</v>
      </c>
      <c r="V2325">
        <v>-0.23307020000000001</v>
      </c>
      <c r="W2325">
        <v>2.1473010000000001E-2</v>
      </c>
      <c r="X2325">
        <v>0.97222280000000005</v>
      </c>
      <c r="Y2325">
        <v>-0.29969859999999998</v>
      </c>
      <c r="Z2325">
        <v>9.6591239999999995E-2</v>
      </c>
      <c r="AA2325">
        <v>0.94913170000000002</v>
      </c>
      <c r="AB2325">
        <v>11</v>
      </c>
      <c r="AC2325">
        <v>1.36299999999999</v>
      </c>
      <c r="AD2325">
        <v>-1.1110930211250001</v>
      </c>
      <c r="AE2325">
        <v>-10.767799999999999</v>
      </c>
      <c r="AF2325">
        <v>-3.2488840478263699</v>
      </c>
      <c r="AG2325">
        <v>-1.1110930211250001</v>
      </c>
      <c r="AH2325">
        <v>10.238030061595</v>
      </c>
      <c r="AI2325">
        <v>95.905817015417199</v>
      </c>
      <c r="AJ2325">
        <v>107.60604860716001</v>
      </c>
      <c r="AK2325">
        <v>10.7984737254825</v>
      </c>
      <c r="AL2325">
        <v>88.7695925747975</v>
      </c>
      <c r="AM2325">
        <v>103.481062043538</v>
      </c>
      <c r="AN2325">
        <v>0.99999999056317002</v>
      </c>
    </row>
    <row r="2326" spans="1:40" x14ac:dyDescent="0.25">
      <c r="A2326" t="str">
        <f>"20190312151313679"</f>
        <v>20190312151313679</v>
      </c>
      <c r="B2326" t="str">
        <f>"1552374793672563"</f>
        <v>1552374793672563</v>
      </c>
      <c r="C2326" t="s">
        <v>40</v>
      </c>
      <c r="D2326">
        <v>5.0245839999999999</v>
      </c>
      <c r="E2326">
        <v>0.47723300000000002</v>
      </c>
      <c r="F2326" t="s">
        <v>42</v>
      </c>
      <c r="G2326">
        <v>-494.62110000000001</v>
      </c>
      <c r="H2326" s="1">
        <v>-4.0585780000000002E-6</v>
      </c>
      <c r="I2326">
        <v>246.5043</v>
      </c>
      <c r="J2326">
        <v>-495.98050000000001</v>
      </c>
      <c r="K2326">
        <v>1.1110910000000001</v>
      </c>
      <c r="L2326">
        <v>257.06400000000002</v>
      </c>
      <c r="M2326">
        <v>-0.17774809999999999</v>
      </c>
      <c r="N2326">
        <v>0</v>
      </c>
      <c r="O2326">
        <v>-0.98398790000000003</v>
      </c>
      <c r="P2326">
        <v>5.6003440000000002E-2</v>
      </c>
      <c r="Q2326">
        <v>9.4277739999999999E-3</v>
      </c>
      <c r="R2326">
        <v>-0.99838629999999995</v>
      </c>
      <c r="S2326">
        <v>0.37591550000000001</v>
      </c>
      <c r="T2326">
        <v>-0.31109239999999999</v>
      </c>
      <c r="U2326">
        <v>-2.987015</v>
      </c>
      <c r="V2326">
        <v>-0.2326271</v>
      </c>
      <c r="W2326">
        <v>2.1825790000000001E-2</v>
      </c>
      <c r="X2326">
        <v>0.97232110000000005</v>
      </c>
      <c r="Y2326">
        <v>-0.29861179999999998</v>
      </c>
      <c r="Z2326">
        <v>9.8358459999999995E-2</v>
      </c>
      <c r="AA2326">
        <v>0.94929269999999999</v>
      </c>
      <c r="AB2326">
        <v>11</v>
      </c>
      <c r="AC2326">
        <v>1.3593999999999899</v>
      </c>
      <c r="AD2326">
        <v>-1.1110950585779999</v>
      </c>
      <c r="AE2326">
        <v>-10.559699999999999</v>
      </c>
      <c r="AF2326">
        <v>-3.1802430688716199</v>
      </c>
      <c r="AG2326">
        <v>-1.1110950585779999</v>
      </c>
      <c r="AH2326">
        <v>10.0405168892883</v>
      </c>
      <c r="AI2326">
        <v>96.022182312040002</v>
      </c>
      <c r="AJ2326">
        <v>107.575128013738</v>
      </c>
      <c r="AK2326">
        <v>10.5905834405091</v>
      </c>
      <c r="AL2326">
        <v>88.749375076647596</v>
      </c>
      <c r="AM2326">
        <v>103.455054601497</v>
      </c>
      <c r="AN2326">
        <v>1.0000000271343701</v>
      </c>
    </row>
    <row r="2327" spans="1:40" x14ac:dyDescent="0.25">
      <c r="A2327" t="str">
        <f>"20190312151313701"</f>
        <v>20190312151313701</v>
      </c>
      <c r="B2327" t="str">
        <f>"1552374793692083"</f>
        <v>1552374793692083</v>
      </c>
      <c r="C2327" t="s">
        <v>40</v>
      </c>
      <c r="D2327">
        <v>5.023301</v>
      </c>
      <c r="E2327">
        <v>0.47721720000000001</v>
      </c>
      <c r="F2327" t="s">
        <v>42</v>
      </c>
      <c r="G2327">
        <v>-494.2627</v>
      </c>
      <c r="H2327" s="1">
        <v>-2.4538729999999998E-6</v>
      </c>
      <c r="I2327">
        <v>242.6653</v>
      </c>
      <c r="J2327">
        <v>-495.99619999999999</v>
      </c>
      <c r="K2327">
        <v>1.111083</v>
      </c>
      <c r="L2327">
        <v>256.95999999999998</v>
      </c>
      <c r="M2327">
        <v>-0.17524890000000001</v>
      </c>
      <c r="N2327">
        <v>0</v>
      </c>
      <c r="O2327">
        <v>-0.98443630000000004</v>
      </c>
      <c r="P2327">
        <v>5.8447529999999998E-2</v>
      </c>
      <c r="Q2327">
        <v>9.4581860000000004E-3</v>
      </c>
      <c r="R2327">
        <v>-0.99824610000000003</v>
      </c>
      <c r="S2327">
        <v>0.3563538</v>
      </c>
      <c r="T2327">
        <v>-0.23049739999999999</v>
      </c>
      <c r="U2327">
        <v>-2.987015</v>
      </c>
      <c r="V2327">
        <v>-0.23253840000000001</v>
      </c>
      <c r="W2327">
        <v>2.1846290000000001E-2</v>
      </c>
      <c r="X2327">
        <v>0.97234180000000003</v>
      </c>
      <c r="Y2327">
        <v>-0.2903232</v>
      </c>
      <c r="Z2327">
        <v>7.3230710000000004E-2</v>
      </c>
      <c r="AA2327">
        <v>0.95412249999999998</v>
      </c>
      <c r="AB2327">
        <v>11</v>
      </c>
      <c r="AC2327">
        <v>1.73349999999999</v>
      </c>
      <c r="AD2327">
        <v>-1.111085453873</v>
      </c>
      <c r="AE2327">
        <v>-14.294699999999899</v>
      </c>
      <c r="AF2327">
        <v>-4.1870854581907198</v>
      </c>
      <c r="AG2327">
        <v>-1.111085453873</v>
      </c>
      <c r="AH2327">
        <v>13.688120425888799</v>
      </c>
      <c r="AI2327">
        <v>94.438467689477505</v>
      </c>
      <c r="AJ2327">
        <v>107.008448283192</v>
      </c>
      <c r="AK2327">
        <v>14.357257269883901</v>
      </c>
      <c r="AL2327">
        <v>88.748200163977998</v>
      </c>
      <c r="AM2327">
        <v>103.449834743865</v>
      </c>
      <c r="AN2327">
        <v>0.99999997194428103</v>
      </c>
    </row>
    <row r="2328" spans="1:40" x14ac:dyDescent="0.25">
      <c r="A2328" t="str">
        <f>"20190312151313725"</f>
        <v>20190312151313725</v>
      </c>
      <c r="B2328" t="str">
        <f>"1552374793722339"</f>
        <v>1552374793722339</v>
      </c>
      <c r="C2328" t="s">
        <v>40</v>
      </c>
      <c r="D2328">
        <v>5.0651219999999997</v>
      </c>
      <c r="E2328">
        <v>0.48179040000000001</v>
      </c>
      <c r="F2328" t="s">
        <v>42</v>
      </c>
      <c r="G2328">
        <v>-494.28949999999998</v>
      </c>
      <c r="H2328" s="1">
        <v>-2.5854030000000001E-6</v>
      </c>
      <c r="I2328">
        <v>242.95529999999999</v>
      </c>
      <c r="J2328">
        <v>-496.0127</v>
      </c>
      <c r="K2328">
        <v>1.1110770000000001</v>
      </c>
      <c r="L2328">
        <v>256.84890000000001</v>
      </c>
      <c r="M2328">
        <v>-0.17257620000000001</v>
      </c>
      <c r="N2328">
        <v>0</v>
      </c>
      <c r="O2328">
        <v>-0.98490849999999996</v>
      </c>
      <c r="P2328">
        <v>6.1032120000000002E-2</v>
      </c>
      <c r="Q2328">
        <v>9.4283590000000007E-3</v>
      </c>
      <c r="R2328">
        <v>-0.99809130000000001</v>
      </c>
      <c r="S2328">
        <v>0.36392210000000003</v>
      </c>
      <c r="T2328">
        <v>-0.23691509999999999</v>
      </c>
      <c r="U2328">
        <v>-2.9862060000000001</v>
      </c>
      <c r="V2328">
        <v>-0.2324167</v>
      </c>
      <c r="W2328">
        <v>2.1811009999999999E-2</v>
      </c>
      <c r="X2328">
        <v>0.97237180000000001</v>
      </c>
      <c r="Y2328">
        <v>-0.2901205</v>
      </c>
      <c r="Z2328">
        <v>7.5324340000000004E-2</v>
      </c>
      <c r="AA2328">
        <v>0.95402120000000001</v>
      </c>
      <c r="AB2328">
        <v>11</v>
      </c>
      <c r="AC2328">
        <v>1.7232000000000101</v>
      </c>
      <c r="AD2328">
        <v>-1.111079585403</v>
      </c>
      <c r="AE2328">
        <v>-13.893599999999999</v>
      </c>
      <c r="AF2328">
        <v>-4.0696205292964498</v>
      </c>
      <c r="AG2328">
        <v>-1.111079585403</v>
      </c>
      <c r="AH2328">
        <v>13.3039040892088</v>
      </c>
      <c r="AI2328">
        <v>94.566085901749602</v>
      </c>
      <c r="AJ2328">
        <v>107.008699321341</v>
      </c>
      <c r="AK2328">
        <v>13.956725013857501</v>
      </c>
      <c r="AL2328">
        <v>88.750222175982103</v>
      </c>
      <c r="AM2328">
        <v>103.44265157884</v>
      </c>
      <c r="AN2328">
        <v>1.0000000800156701</v>
      </c>
    </row>
    <row r="2329" spans="1:40" x14ac:dyDescent="0.25">
      <c r="A2329" t="str">
        <f>"20190312151313747"</f>
        <v>20190312151313747</v>
      </c>
      <c r="B2329" t="str">
        <f>"1552374793741859"</f>
        <v>1552374793741859</v>
      </c>
      <c r="C2329" t="s">
        <v>40</v>
      </c>
      <c r="D2329">
        <v>4.6863960000000002</v>
      </c>
      <c r="E2329">
        <v>0.54094129999999996</v>
      </c>
      <c r="F2329" t="s">
        <v>42</v>
      </c>
      <c r="G2329">
        <v>-494.51780000000002</v>
      </c>
      <c r="H2329" s="1">
        <v>-2.8976200000000001E-6</v>
      </c>
      <c r="I2329">
        <v>243.54150000000001</v>
      </c>
      <c r="J2329">
        <v>-496.02780000000001</v>
      </c>
      <c r="K2329">
        <v>1.1110709999999999</v>
      </c>
      <c r="L2329">
        <v>256.745</v>
      </c>
      <c r="M2329">
        <v>-0.17007639999999999</v>
      </c>
      <c r="N2329">
        <v>0</v>
      </c>
      <c r="O2329">
        <v>-0.98534299999999997</v>
      </c>
      <c r="P2329">
        <v>6.3209559999999998E-2</v>
      </c>
      <c r="Q2329">
        <v>9.8368369999999993E-3</v>
      </c>
      <c r="R2329">
        <v>-0.9979517</v>
      </c>
      <c r="S2329">
        <v>0.33560180000000001</v>
      </c>
      <c r="T2329">
        <v>-0.2494384</v>
      </c>
      <c r="U2329">
        <v>-2.9875340000000001</v>
      </c>
      <c r="V2329">
        <v>-0.23207050000000001</v>
      </c>
      <c r="W2329">
        <v>2.2223380000000001E-2</v>
      </c>
      <c r="X2329">
        <v>0.97244509999999995</v>
      </c>
      <c r="Y2329">
        <v>-0.2786633</v>
      </c>
      <c r="Z2329">
        <v>7.9483750000000006E-2</v>
      </c>
      <c r="AA2329">
        <v>0.95709409999999895</v>
      </c>
      <c r="AB2329">
        <v>11</v>
      </c>
      <c r="AC2329">
        <v>1.50999999999999</v>
      </c>
      <c r="AD2329">
        <v>-1.1110738976200001</v>
      </c>
      <c r="AE2329">
        <v>-13.203499999999901</v>
      </c>
      <c r="AF2329">
        <v>-3.7078777162489902</v>
      </c>
      <c r="AG2329">
        <v>-1.1110738976200001</v>
      </c>
      <c r="AH2329">
        <v>12.665734558649801</v>
      </c>
      <c r="AI2329">
        <v>94.812347483635904</v>
      </c>
      <c r="AJ2329">
        <v>106.31732516123201</v>
      </c>
      <c r="AK2329">
        <v>13.24400522028</v>
      </c>
      <c r="AL2329">
        <v>88.726589329794606</v>
      </c>
      <c r="AM2329">
        <v>103.42237788144701</v>
      </c>
      <c r="AN2329">
        <v>1.0000000340514399</v>
      </c>
    </row>
    <row r="2330" spans="1:40" x14ac:dyDescent="0.25">
      <c r="A2330" t="str">
        <f>"20190312151313769"</f>
        <v>20190312151313769</v>
      </c>
      <c r="B2330" t="str">
        <f>"1552374793762356"</f>
        <v>1552374793762356</v>
      </c>
      <c r="C2330" t="s">
        <v>40</v>
      </c>
      <c r="D2330">
        <v>5.1184900000000004</v>
      </c>
      <c r="E2330">
        <v>0.60954569999999997</v>
      </c>
      <c r="F2330" t="s">
        <v>42</v>
      </c>
      <c r="G2330">
        <v>-496.3329</v>
      </c>
      <c r="H2330" s="1">
        <v>-5.2982600000000003E-6</v>
      </c>
      <c r="I2330">
        <v>249.255</v>
      </c>
      <c r="J2330">
        <v>-496.04250000000002</v>
      </c>
      <c r="K2330">
        <v>1.111081</v>
      </c>
      <c r="L2330">
        <v>256.64249999999998</v>
      </c>
      <c r="M2330">
        <v>-0.16761210000000001</v>
      </c>
      <c r="N2330">
        <v>0</v>
      </c>
      <c r="O2330">
        <v>-0.98576549999999996</v>
      </c>
      <c r="P2330">
        <v>6.5654459999999998E-2</v>
      </c>
      <c r="Q2330">
        <v>1.011396E-2</v>
      </c>
      <c r="R2330">
        <v>-0.9977916</v>
      </c>
      <c r="S2330">
        <v>-0.1229248</v>
      </c>
      <c r="T2330">
        <v>-0.44774199999999997</v>
      </c>
      <c r="U2330">
        <v>-3.0183260000000001</v>
      </c>
      <c r="V2330">
        <v>-0.23202130000000001</v>
      </c>
      <c r="W2330">
        <v>2.250655E-2</v>
      </c>
      <c r="X2330">
        <v>0.97245029999999999</v>
      </c>
      <c r="Y2330">
        <v>-0.1277877</v>
      </c>
      <c r="Z2330">
        <v>0.14297899999999999</v>
      </c>
      <c r="AA2330">
        <v>0.98144140000000002</v>
      </c>
      <c r="AB2330">
        <v>11</v>
      </c>
      <c r="AC2330">
        <v>-0.29039999999997601</v>
      </c>
      <c r="AD2330">
        <v>-1.11108629826</v>
      </c>
      <c r="AE2330">
        <v>-7.3874999999999797</v>
      </c>
      <c r="AF2330">
        <v>-0.931022609147373</v>
      </c>
      <c r="AG2330">
        <v>-1.11108629826</v>
      </c>
      <c r="AH2330">
        <v>7.1697180153720996</v>
      </c>
      <c r="AI2330">
        <v>98.736808671659702</v>
      </c>
      <c r="AJ2330">
        <v>97.398733327720095</v>
      </c>
      <c r="AK2330">
        <v>7.3147913354296001</v>
      </c>
      <c r="AL2330">
        <v>88.710360790595502</v>
      </c>
      <c r="AM2330">
        <v>103.41956605601899</v>
      </c>
      <c r="AN2330">
        <v>1.0000000072083399</v>
      </c>
    </row>
    <row r="2331" spans="1:40" x14ac:dyDescent="0.25">
      <c r="A2331" t="str">
        <f>"20190312151313803"</f>
        <v>20190312151313803</v>
      </c>
      <c r="B2331" t="str">
        <f>"1552374793792611"</f>
        <v>1552374793792611</v>
      </c>
      <c r="C2331" t="s">
        <v>40</v>
      </c>
      <c r="D2331">
        <v>5.12859</v>
      </c>
      <c r="E2331">
        <v>0.62258369999999996</v>
      </c>
      <c r="F2331" t="s">
        <v>41</v>
      </c>
      <c r="G2331">
        <v>-496.20350000000002</v>
      </c>
      <c r="H2331">
        <v>0.95497169999999998</v>
      </c>
      <c r="I2331">
        <v>255.89510000000001</v>
      </c>
      <c r="J2331">
        <v>-496.06439999999998</v>
      </c>
      <c r="K2331">
        <v>1.111078</v>
      </c>
      <c r="L2331">
        <v>256.48610000000002</v>
      </c>
      <c r="M2331">
        <v>-0.16384760000000001</v>
      </c>
      <c r="N2331">
        <v>0</v>
      </c>
      <c r="O2331">
        <v>-0.98639790000000005</v>
      </c>
      <c r="P2331">
        <v>7.0531780000000002E-2</v>
      </c>
      <c r="Q2331">
        <v>9.8631050000000005E-3</v>
      </c>
      <c r="R2331">
        <v>-0.99746089999999998</v>
      </c>
      <c r="S2331">
        <v>-0.65716549999999996</v>
      </c>
      <c r="T2331">
        <v>-0.63900829999999997</v>
      </c>
      <c r="U2331">
        <v>-3.0563660000000001</v>
      </c>
      <c r="V2331">
        <v>-0.23306289999999999</v>
      </c>
      <c r="W2331">
        <v>2.2262469999999999E-2</v>
      </c>
      <c r="X2331">
        <v>0.97220680000000004</v>
      </c>
      <c r="Y2331">
        <v>4.293723E-2</v>
      </c>
      <c r="Z2331">
        <v>0.19832179999999999</v>
      </c>
      <c r="AA2331">
        <v>0.97919599999999996</v>
      </c>
      <c r="AB2331">
        <v>11</v>
      </c>
      <c r="AC2331">
        <v>-0.139100000000041</v>
      </c>
      <c r="AD2331">
        <v>-0.1561063</v>
      </c>
      <c r="AE2331">
        <v>-0.59100000000000796</v>
      </c>
      <c r="AF2331">
        <v>3.7873773458536597E-2</v>
      </c>
      <c r="AG2331">
        <v>-0.1561063</v>
      </c>
      <c r="AH2331">
        <v>0.56823991678397101</v>
      </c>
      <c r="AI2331">
        <v>105.32887627978501</v>
      </c>
      <c r="AJ2331">
        <v>86.186817346515198</v>
      </c>
      <c r="AK2331">
        <v>0.59050842724074004</v>
      </c>
      <c r="AL2331">
        <v>88.724349036899895</v>
      </c>
      <c r="AM2331">
        <v>103.480868973079</v>
      </c>
      <c r="AN2331">
        <v>0.99999999744657497</v>
      </c>
    </row>
    <row r="2332" spans="1:40" x14ac:dyDescent="0.25">
      <c r="A2332" t="str">
        <f>"20190312151313826"</f>
        <v>20190312151313826</v>
      </c>
      <c r="B2332" t="str">
        <f>"1552374793821891"</f>
        <v>1552374793821891</v>
      </c>
      <c r="C2332" t="s">
        <v>40</v>
      </c>
      <c r="D2332">
        <v>5.023695</v>
      </c>
      <c r="E2332">
        <v>0.62575890000000001</v>
      </c>
      <c r="F2332" t="s">
        <v>41</v>
      </c>
      <c r="G2332">
        <v>-496.22660000000002</v>
      </c>
      <c r="H2332">
        <v>0.93390010000000001</v>
      </c>
      <c r="I2332">
        <v>255.8141</v>
      </c>
      <c r="J2332">
        <v>-496.07900000000001</v>
      </c>
      <c r="K2332">
        <v>1.111076</v>
      </c>
      <c r="L2332">
        <v>256.3793</v>
      </c>
      <c r="M2332">
        <v>-0.16127810000000001</v>
      </c>
      <c r="N2332">
        <v>0</v>
      </c>
      <c r="O2332">
        <v>-0.98682110000000001</v>
      </c>
      <c r="P2332">
        <v>7.4126429999999993E-2</v>
      </c>
      <c r="Q2332">
        <v>9.9078340000000008E-3</v>
      </c>
      <c r="R2332">
        <v>-0.99719999999999998</v>
      </c>
      <c r="S2332">
        <v>-0.74102780000000001</v>
      </c>
      <c r="T2332">
        <v>-0.80860810000000005</v>
      </c>
      <c r="U2332">
        <v>-3.0680390000000002</v>
      </c>
      <c r="V2332">
        <v>-0.2340351</v>
      </c>
      <c r="W2332">
        <v>2.2315379999999999E-2</v>
      </c>
      <c r="X2332">
        <v>0.97197199999999995</v>
      </c>
      <c r="Y2332">
        <v>6.7591639999999995E-2</v>
      </c>
      <c r="Z2332">
        <v>0.24640500000000001</v>
      </c>
      <c r="AA2332">
        <v>0.96680710000000003</v>
      </c>
      <c r="AB2332">
        <v>11</v>
      </c>
      <c r="AC2332">
        <v>-0.147600000000011</v>
      </c>
      <c r="AD2332">
        <v>-0.177175899999999</v>
      </c>
      <c r="AE2332">
        <v>-0.56520000000000403</v>
      </c>
      <c r="AF2332">
        <v>4.9913465351349398E-2</v>
      </c>
      <c r="AG2332">
        <v>-0.177175899999999</v>
      </c>
      <c r="AH2332">
        <v>0.53261013509056199</v>
      </c>
      <c r="AI2332">
        <v>108.325111984122</v>
      </c>
      <c r="AJ2332">
        <v>84.646172810614701</v>
      </c>
      <c r="AK2332">
        <v>0.56352125919558405</v>
      </c>
      <c r="AL2332">
        <v>88.7213167498942</v>
      </c>
      <c r="AM2332">
        <v>103.538187659343</v>
      </c>
      <c r="AN2332">
        <v>0.99999998650027699</v>
      </c>
    </row>
    <row r="2333" spans="1:40" x14ac:dyDescent="0.25">
      <c r="A2333" t="str">
        <f>"20190312151313846"</f>
        <v>20190312151313846</v>
      </c>
      <c r="B2333" t="str">
        <f>"1552374793842388"</f>
        <v>1552374793842388</v>
      </c>
      <c r="C2333" t="s">
        <v>40</v>
      </c>
      <c r="D2333">
        <v>5.0111499999999998</v>
      </c>
      <c r="E2333">
        <v>0.62676769999999904</v>
      </c>
      <c r="F2333" t="s">
        <v>41</v>
      </c>
      <c r="G2333">
        <v>-496.26010000000002</v>
      </c>
      <c r="H2333">
        <v>0.90888630000000004</v>
      </c>
      <c r="I2333">
        <v>255.64169999999999</v>
      </c>
      <c r="J2333">
        <v>-496.09199999999998</v>
      </c>
      <c r="K2333">
        <v>1.1110739999999999</v>
      </c>
      <c r="L2333">
        <v>256.2826</v>
      </c>
      <c r="M2333">
        <v>-0.1589525</v>
      </c>
      <c r="N2333">
        <v>0</v>
      </c>
      <c r="O2333">
        <v>-0.98719820000000003</v>
      </c>
      <c r="P2333">
        <v>7.7065720000000004E-2</v>
      </c>
      <c r="Q2333">
        <v>9.7667789999999997E-3</v>
      </c>
      <c r="R2333">
        <v>-0.99697800000000003</v>
      </c>
      <c r="S2333">
        <v>-0.7546387</v>
      </c>
      <c r="T2333">
        <v>-0.84230609999999995</v>
      </c>
      <c r="U2333">
        <v>-3.0728610000000001</v>
      </c>
      <c r="V2333">
        <v>-0.2346096</v>
      </c>
      <c r="W2333">
        <v>2.2185719999999999E-2</v>
      </c>
      <c r="X2333">
        <v>0.97183649999999999</v>
      </c>
      <c r="Y2333">
        <v>7.3064399999999904E-2</v>
      </c>
      <c r="Z2333">
        <v>0.2556041</v>
      </c>
      <c r="AA2333">
        <v>0.96401669999999995</v>
      </c>
      <c r="AB2333">
        <v>11</v>
      </c>
      <c r="AC2333">
        <v>-0.168100000000038</v>
      </c>
      <c r="AD2333">
        <v>-0.202187699999999</v>
      </c>
      <c r="AE2333">
        <v>-0.64090000000001601</v>
      </c>
      <c r="AF2333">
        <v>5.8622140575022297E-2</v>
      </c>
      <c r="AG2333">
        <v>-0.202187699999999</v>
      </c>
      <c r="AH2333">
        <v>0.603294821746864</v>
      </c>
      <c r="AI2333">
        <v>108.44705150386</v>
      </c>
      <c r="AJ2333">
        <v>84.449994701010894</v>
      </c>
      <c r="AK2333">
        <v>0.63896874989585195</v>
      </c>
      <c r="AL2333">
        <v>88.728747611507103</v>
      </c>
      <c r="AM2333">
        <v>103.57201520212401</v>
      </c>
      <c r="AN2333">
        <v>1.0000000266581599</v>
      </c>
    </row>
    <row r="2334" spans="1:40" x14ac:dyDescent="0.25">
      <c r="A2334" t="str">
        <f>"20190312151313869"</f>
        <v>20190312151313869</v>
      </c>
      <c r="B2334" t="str">
        <f>"1552374793861907"</f>
        <v>1552374793861907</v>
      </c>
      <c r="C2334" t="s">
        <v>40</v>
      </c>
      <c r="D2334">
        <v>4.9838559999999896</v>
      </c>
      <c r="E2334">
        <v>0.62762680000000004</v>
      </c>
      <c r="F2334" t="s">
        <v>41</v>
      </c>
      <c r="G2334">
        <v>-496.27089999999998</v>
      </c>
      <c r="H2334">
        <v>0.9027406</v>
      </c>
      <c r="I2334">
        <v>255.5514</v>
      </c>
      <c r="J2334">
        <v>-496.10570000000001</v>
      </c>
      <c r="K2334">
        <v>1.1110789999999999</v>
      </c>
      <c r="L2334">
        <v>256.17790000000002</v>
      </c>
      <c r="M2334">
        <v>-0.1564352</v>
      </c>
      <c r="N2334">
        <v>0</v>
      </c>
      <c r="O2334">
        <v>-0.98760000000000003</v>
      </c>
      <c r="P2334">
        <v>8.0046610000000004E-2</v>
      </c>
      <c r="Q2334">
        <v>9.4557449999999998E-3</v>
      </c>
      <c r="R2334">
        <v>-0.99674620000000003</v>
      </c>
      <c r="S2334">
        <v>-0.75158689999999995</v>
      </c>
      <c r="T2334">
        <v>-0.87679339999999995</v>
      </c>
      <c r="U2334">
        <v>-3.0757750000000001</v>
      </c>
      <c r="V2334">
        <v>-0.23503830000000001</v>
      </c>
      <c r="W2334">
        <v>2.188824E-2</v>
      </c>
      <c r="X2334">
        <v>0.97173960000000004</v>
      </c>
      <c r="Y2334">
        <v>7.3867730000000006E-2</v>
      </c>
      <c r="Z2334">
        <v>0.26527979999999901</v>
      </c>
      <c r="AA2334">
        <v>0.96133769999999996</v>
      </c>
      <c r="AB2334">
        <v>11</v>
      </c>
      <c r="AC2334">
        <v>-0.16519999999997001</v>
      </c>
      <c r="AD2334">
        <v>-0.20833840000000001</v>
      </c>
      <c r="AE2334">
        <v>-0.62650000000002104</v>
      </c>
      <c r="AF2334">
        <v>5.9045485440515098E-2</v>
      </c>
      <c r="AG2334">
        <v>-0.20833840000000001</v>
      </c>
      <c r="AH2334">
        <v>0.58422429268889098</v>
      </c>
      <c r="AI2334">
        <v>109.534656681857</v>
      </c>
      <c r="AJ2334">
        <v>84.228914181453405</v>
      </c>
      <c r="AK2334">
        <v>0.623064428797939</v>
      </c>
      <c r="AL2334">
        <v>88.745796033496603</v>
      </c>
      <c r="AM2334">
        <v>103.597200906789</v>
      </c>
      <c r="AN2334">
        <v>0.99999997386267303</v>
      </c>
    </row>
    <row r="2335" spans="1:40" x14ac:dyDescent="0.25">
      <c r="A2335" t="str">
        <f>"20190312151313892"</f>
        <v>20190312151313892</v>
      </c>
      <c r="B2335" t="str">
        <f>"1552374793882404"</f>
        <v>1552374793882404</v>
      </c>
      <c r="C2335" t="s">
        <v>40</v>
      </c>
      <c r="D2335">
        <v>4.9927149999999996</v>
      </c>
      <c r="E2335">
        <v>0.6283145</v>
      </c>
      <c r="F2335" t="s">
        <v>41</v>
      </c>
      <c r="G2335">
        <v>-496.28039999999999</v>
      </c>
      <c r="H2335">
        <v>0.89926119999999898</v>
      </c>
      <c r="I2335">
        <v>255.4598</v>
      </c>
      <c r="J2335">
        <v>-496.11959999999999</v>
      </c>
      <c r="K2335">
        <v>1.1110770000000001</v>
      </c>
      <c r="L2335">
        <v>256.07080000000002</v>
      </c>
      <c r="M2335">
        <v>-0.15385869999999999</v>
      </c>
      <c r="N2335">
        <v>0</v>
      </c>
      <c r="O2335">
        <v>-0.98800460000000001</v>
      </c>
      <c r="P2335">
        <v>8.3054589999999998E-2</v>
      </c>
      <c r="Q2335">
        <v>9.3875079999999993E-3</v>
      </c>
      <c r="R2335">
        <v>-0.99650099999999997</v>
      </c>
      <c r="S2335">
        <v>-0.74884030000000001</v>
      </c>
      <c r="T2335">
        <v>-0.90809700000000004</v>
      </c>
      <c r="U2335">
        <v>-3.0785830000000001</v>
      </c>
      <c r="V2335">
        <v>-0.23543620000000001</v>
      </c>
      <c r="W2335">
        <v>2.1831989999999999E-2</v>
      </c>
      <c r="X2335">
        <v>0.97164459999999997</v>
      </c>
      <c r="Y2335">
        <v>7.4875929999999993E-2</v>
      </c>
      <c r="Z2335">
        <v>0.2739895</v>
      </c>
      <c r="AA2335">
        <v>0.95881349999999999</v>
      </c>
      <c r="AB2335">
        <v>11</v>
      </c>
      <c r="AC2335">
        <v>-0.160799999999994</v>
      </c>
      <c r="AD2335">
        <v>-0.2118158</v>
      </c>
      <c r="AE2335">
        <v>-0.61100000000001797</v>
      </c>
      <c r="AF2335">
        <v>5.8314787679600799E-2</v>
      </c>
      <c r="AG2335">
        <v>-0.2118158</v>
      </c>
      <c r="AH2335">
        <v>0.56496620790709495</v>
      </c>
      <c r="AI2335">
        <v>110.452310220744</v>
      </c>
      <c r="AJ2335">
        <v>84.106902729604897</v>
      </c>
      <c r="AK2335">
        <v>0.60617931643093803</v>
      </c>
      <c r="AL2335">
        <v>88.749019767229399</v>
      </c>
      <c r="AM2335">
        <v>103.62064515752699</v>
      </c>
      <c r="AN2335">
        <v>1.0000000343834701</v>
      </c>
    </row>
    <row r="2336" spans="1:40" x14ac:dyDescent="0.25">
      <c r="A2336" t="str">
        <f>"20190312151313913"</f>
        <v>20190312151313913</v>
      </c>
      <c r="B2336" t="str">
        <f>"1552374793901924"</f>
        <v>1552374793901924</v>
      </c>
      <c r="C2336" t="s">
        <v>40</v>
      </c>
      <c r="D2336">
        <v>4.9830709999999998</v>
      </c>
      <c r="E2336">
        <v>0.6287391</v>
      </c>
      <c r="F2336" t="s">
        <v>41</v>
      </c>
      <c r="G2336">
        <v>-496.2903</v>
      </c>
      <c r="H2336">
        <v>0.89969719999999997</v>
      </c>
      <c r="I2336">
        <v>255.36689999999999</v>
      </c>
      <c r="J2336">
        <v>-496.13220000000001</v>
      </c>
      <c r="K2336">
        <v>1.111076</v>
      </c>
      <c r="L2336">
        <v>255.97069999999999</v>
      </c>
      <c r="M2336">
        <v>-0.15144949999999999</v>
      </c>
      <c r="N2336">
        <v>0</v>
      </c>
      <c r="O2336">
        <v>-0.98837660000000005</v>
      </c>
      <c r="P2336">
        <v>8.5701169999999993E-2</v>
      </c>
      <c r="Q2336">
        <v>9.2081119999999992E-3</v>
      </c>
      <c r="R2336">
        <v>-0.99627849999999996</v>
      </c>
      <c r="S2336">
        <v>-0.74496459999999998</v>
      </c>
      <c r="T2336">
        <v>-0.9262551</v>
      </c>
      <c r="U2336">
        <v>-3.0813139999999999</v>
      </c>
      <c r="V2336">
        <v>-0.2356483</v>
      </c>
      <c r="W2336">
        <v>2.1663229999999999E-2</v>
      </c>
      <c r="X2336">
        <v>0.97159689999999999</v>
      </c>
      <c r="Y2336">
        <v>7.5632210000000005E-2</v>
      </c>
      <c r="Z2336">
        <v>0.27899639999999998</v>
      </c>
      <c r="AA2336">
        <v>0.95730910000000002</v>
      </c>
      <c r="AB2336">
        <v>11</v>
      </c>
      <c r="AC2336">
        <v>-0.15809999999999</v>
      </c>
      <c r="AD2336">
        <v>-0.21137880000000001</v>
      </c>
      <c r="AE2336">
        <v>-0.603800000000006</v>
      </c>
      <c r="AF2336">
        <v>5.815304346663E-2</v>
      </c>
      <c r="AG2336">
        <v>-0.21137880000000001</v>
      </c>
      <c r="AH2336">
        <v>0.55690682765091803</v>
      </c>
      <c r="AI2336">
        <v>110.68182702565301</v>
      </c>
      <c r="AJ2336">
        <v>84.038693468878705</v>
      </c>
      <c r="AK2336">
        <v>0.59850479383049304</v>
      </c>
      <c r="AL2336">
        <v>88.758691218129698</v>
      </c>
      <c r="AM2336">
        <v>103.633102346176</v>
      </c>
      <c r="AN2336">
        <v>0.99999997645826599</v>
      </c>
    </row>
    <row r="2337" spans="1:40" x14ac:dyDescent="0.25">
      <c r="A2337" t="str">
        <f>"20190312151313937"</f>
        <v>20190312151313937</v>
      </c>
      <c r="B2337" t="str">
        <f>"1552374793932180"</f>
        <v>1552374793932180</v>
      </c>
      <c r="C2337" t="s">
        <v>40</v>
      </c>
      <c r="D2337">
        <v>4.9057430000000002</v>
      </c>
      <c r="E2337">
        <v>0.62975000000000003</v>
      </c>
      <c r="F2337" t="s">
        <v>41</v>
      </c>
      <c r="G2337">
        <v>-496.29910000000001</v>
      </c>
      <c r="H2337">
        <v>0.8975841</v>
      </c>
      <c r="I2337">
        <v>255.27510000000001</v>
      </c>
      <c r="J2337">
        <v>-496.1454</v>
      </c>
      <c r="K2337">
        <v>1.1110690000000001</v>
      </c>
      <c r="L2337">
        <v>255.8639</v>
      </c>
      <c r="M2337">
        <v>-0.1488804</v>
      </c>
      <c r="N2337">
        <v>0</v>
      </c>
      <c r="O2337">
        <v>-0.9887667</v>
      </c>
      <c r="P2337">
        <v>8.8507669999999997E-2</v>
      </c>
      <c r="Q2337">
        <v>8.337957E-3</v>
      </c>
      <c r="R2337">
        <v>-0.99604090000000001</v>
      </c>
      <c r="S2337">
        <v>-0.74011229999999995</v>
      </c>
      <c r="T2337">
        <v>-0.94625130000000002</v>
      </c>
      <c r="U2337">
        <v>-3.0835720000000002</v>
      </c>
      <c r="V2337">
        <v>-0.23585970000000001</v>
      </c>
      <c r="W2337">
        <v>2.0801779999999999E-2</v>
      </c>
      <c r="X2337">
        <v>0.97156450000000005</v>
      </c>
      <c r="Y2337">
        <v>7.6257119999999998E-2</v>
      </c>
      <c r="Z2337">
        <v>0.2845433</v>
      </c>
      <c r="AA2337">
        <v>0.95562539999999996</v>
      </c>
      <c r="AB2337">
        <v>11</v>
      </c>
      <c r="AC2337">
        <v>-0.15370000000001399</v>
      </c>
      <c r="AD2337">
        <v>-0.21348490000000001</v>
      </c>
      <c r="AE2337">
        <v>-0.588799999999992</v>
      </c>
      <c r="AF2337">
        <v>5.7269808920642797E-2</v>
      </c>
      <c r="AG2337">
        <v>-0.21348490000000001</v>
      </c>
      <c r="AH2337">
        <v>0.53880791897657598</v>
      </c>
      <c r="AI2337">
        <v>111.504327624239</v>
      </c>
      <c r="AJ2337">
        <v>83.932820232106494</v>
      </c>
      <c r="AK2337">
        <v>0.58238269814073695</v>
      </c>
      <c r="AL2337">
        <v>88.808059881078606</v>
      </c>
      <c r="AM2337">
        <v>103.645313607037</v>
      </c>
      <c r="AN2337">
        <v>1.00000004489775</v>
      </c>
    </row>
    <row r="2338" spans="1:40" x14ac:dyDescent="0.25">
      <c r="A2338" t="str">
        <f>"20190312151313960"</f>
        <v>20190312151313960</v>
      </c>
      <c r="B2338" t="str">
        <f>"1552374793952675"</f>
        <v>1552374793952675</v>
      </c>
      <c r="C2338" t="s">
        <v>40</v>
      </c>
      <c r="D2338">
        <v>4.9077719999999996</v>
      </c>
      <c r="E2338">
        <v>0.631254599999999</v>
      </c>
      <c r="F2338" t="s">
        <v>41</v>
      </c>
      <c r="G2338">
        <v>-496.30959999999999</v>
      </c>
      <c r="H2338">
        <v>0.89918159999999903</v>
      </c>
      <c r="I2338">
        <v>255.18219999999999</v>
      </c>
      <c r="J2338">
        <v>-496.15809999999999</v>
      </c>
      <c r="K2338">
        <v>1.1110599999999999</v>
      </c>
      <c r="L2338">
        <v>255.7602</v>
      </c>
      <c r="M2338">
        <v>-0.14638119999999999</v>
      </c>
      <c r="N2338">
        <v>0</v>
      </c>
      <c r="O2338">
        <v>-0.98913989999999996</v>
      </c>
      <c r="P2338">
        <v>9.1454569999999999E-2</v>
      </c>
      <c r="Q2338">
        <v>7.6085950000000001E-3</v>
      </c>
      <c r="R2338">
        <v>-0.99578040000000001</v>
      </c>
      <c r="S2338">
        <v>-0.74029540000000005</v>
      </c>
      <c r="T2338">
        <v>-0.96035789999999999</v>
      </c>
      <c r="U2338">
        <v>-3.085785</v>
      </c>
      <c r="V2338">
        <v>-0.23627970000000001</v>
      </c>
      <c r="W2338">
        <v>2.0073799999999999E-2</v>
      </c>
      <c r="X2338">
        <v>0.9714777</v>
      </c>
      <c r="Y2338">
        <v>7.8406920000000005E-2</v>
      </c>
      <c r="Z2338">
        <v>0.2883754</v>
      </c>
      <c r="AA2338">
        <v>0.95430179999999998</v>
      </c>
      <c r="AB2338">
        <v>10</v>
      </c>
      <c r="AC2338">
        <v>-0.151499999999998</v>
      </c>
      <c r="AD2338">
        <v>-0.21187839999999999</v>
      </c>
      <c r="AE2338">
        <v>-0.57800000000000296</v>
      </c>
      <c r="AF2338">
        <v>5.7963892808705203E-2</v>
      </c>
      <c r="AG2338">
        <v>-0.21187839999999999</v>
      </c>
      <c r="AH2338">
        <v>0.52761154653706399</v>
      </c>
      <c r="AI2338">
        <v>111.760826237995</v>
      </c>
      <c r="AJ2338">
        <v>83.730574746351493</v>
      </c>
      <c r="AK2338">
        <v>0.57151221622580495</v>
      </c>
      <c r="AL2338">
        <v>88.849778710026499</v>
      </c>
      <c r="AM2338">
        <v>103.669876814265</v>
      </c>
      <c r="AN2338">
        <v>0.999999987837909</v>
      </c>
    </row>
    <row r="2339" spans="1:40" x14ac:dyDescent="0.25">
      <c r="A2339" t="str">
        <f>"20190312151313981"</f>
        <v>20190312151313981</v>
      </c>
      <c r="B2339" t="str">
        <f>"1552374793972199"</f>
        <v>1552374793972199</v>
      </c>
      <c r="C2339" t="s">
        <v>40</v>
      </c>
      <c r="D2339">
        <v>4.9708059999999996</v>
      </c>
      <c r="E2339">
        <v>0.63154330000000003</v>
      </c>
      <c r="F2339" t="s">
        <v>41</v>
      </c>
      <c r="G2339">
        <v>-496.31979999999999</v>
      </c>
      <c r="H2339">
        <v>0.89994229999999997</v>
      </c>
      <c r="I2339">
        <v>255.0899</v>
      </c>
      <c r="J2339">
        <v>-496.17009999999999</v>
      </c>
      <c r="K2339">
        <v>1.111046</v>
      </c>
      <c r="L2339">
        <v>255.65889999999999</v>
      </c>
      <c r="M2339">
        <v>-0.1439425</v>
      </c>
      <c r="N2339">
        <v>0</v>
      </c>
      <c r="O2339">
        <v>-0.98949770000000004</v>
      </c>
      <c r="P2339">
        <v>9.4480159999999994E-2</v>
      </c>
      <c r="Q2339">
        <v>6.9122000000000003E-3</v>
      </c>
      <c r="R2339">
        <v>-0.99550309999999997</v>
      </c>
      <c r="S2339">
        <v>-0.743927</v>
      </c>
      <c r="T2339">
        <v>-0.97327300000000005</v>
      </c>
      <c r="U2339">
        <v>-3.0884860000000001</v>
      </c>
      <c r="V2339">
        <v>-0.23683650000000001</v>
      </c>
      <c r="W2339">
        <v>1.9370120000000001E-2</v>
      </c>
      <c r="X2339">
        <v>0.97135640000000001</v>
      </c>
      <c r="Y2339">
        <v>8.1494269999999994E-2</v>
      </c>
      <c r="Z2339">
        <v>0.2917729</v>
      </c>
      <c r="AA2339">
        <v>0.95300960000000001</v>
      </c>
      <c r="AB2339">
        <v>10</v>
      </c>
      <c r="AC2339">
        <v>-0.149699999999995</v>
      </c>
      <c r="AD2339">
        <v>-0.21110369999999901</v>
      </c>
      <c r="AE2339">
        <v>-0.56899999999998796</v>
      </c>
      <c r="AF2339">
        <v>5.8676518273891101E-2</v>
      </c>
      <c r="AG2339">
        <v>-0.21110369999999901</v>
      </c>
      <c r="AH2339">
        <v>0.51794517338199098</v>
      </c>
      <c r="AI2339">
        <v>112.047392135867</v>
      </c>
      <c r="AJ2339">
        <v>83.5366820269371</v>
      </c>
      <c r="AK2339">
        <v>0.56238323995309203</v>
      </c>
      <c r="AL2339">
        <v>88.890104453935507</v>
      </c>
      <c r="AM2339">
        <v>103.702524021109</v>
      </c>
      <c r="AN2339">
        <v>0.99999999255101202</v>
      </c>
    </row>
    <row r="2340" spans="1:40" x14ac:dyDescent="0.25">
      <c r="A2340" t="str">
        <f>"20190312151314003"</f>
        <v>20190312151314003</v>
      </c>
      <c r="B2340" t="str">
        <f>"1552374793992692"</f>
        <v>1552374793992692</v>
      </c>
      <c r="C2340" t="s">
        <v>40</v>
      </c>
      <c r="D2340">
        <v>4.840573</v>
      </c>
      <c r="E2340">
        <v>0.64158280000000001</v>
      </c>
      <c r="F2340" t="s">
        <v>41</v>
      </c>
      <c r="G2340">
        <v>-496.32870000000003</v>
      </c>
      <c r="H2340">
        <v>0.90379750000000003</v>
      </c>
      <c r="I2340">
        <v>254.99619999999999</v>
      </c>
      <c r="J2340">
        <v>-496.18150000000003</v>
      </c>
      <c r="K2340">
        <v>1.1110370000000001</v>
      </c>
      <c r="L2340">
        <v>255.56039999999999</v>
      </c>
      <c r="M2340">
        <v>-0.14156930000000001</v>
      </c>
      <c r="N2340">
        <v>0</v>
      </c>
      <c r="O2340">
        <v>-0.9898401</v>
      </c>
      <c r="P2340">
        <v>9.7824820000000007E-2</v>
      </c>
      <c r="Q2340">
        <v>6.3582430000000004E-3</v>
      </c>
      <c r="R2340">
        <v>-0.9951835</v>
      </c>
      <c r="S2340">
        <v>-0.73681640000000004</v>
      </c>
      <c r="T2340">
        <v>-0.96777179999999996</v>
      </c>
      <c r="U2340">
        <v>-3.0901489999999998</v>
      </c>
      <c r="V2340">
        <v>-0.2377705</v>
      </c>
      <c r="W2340">
        <v>1.879755E-2</v>
      </c>
      <c r="X2340">
        <v>0.97113950000000004</v>
      </c>
      <c r="Y2340">
        <v>8.1797149999999999E-2</v>
      </c>
      <c r="Z2340">
        <v>0.2903386</v>
      </c>
      <c r="AA2340">
        <v>0.95342159999999998</v>
      </c>
      <c r="AB2340">
        <v>10</v>
      </c>
      <c r="AC2340">
        <v>-0.147199999999998</v>
      </c>
      <c r="AD2340">
        <v>-0.20723949999999999</v>
      </c>
      <c r="AE2340">
        <v>-0.56419999999999904</v>
      </c>
      <c r="AF2340">
        <v>5.8452915673897897E-2</v>
      </c>
      <c r="AG2340">
        <v>-0.20723949999999999</v>
      </c>
      <c r="AH2340">
        <v>0.51437981998930005</v>
      </c>
      <c r="AI2340">
        <v>111.81699236639599</v>
      </c>
      <c r="AJ2340">
        <v>83.516853354055598</v>
      </c>
      <c r="AK2340">
        <v>0.55763030129580904</v>
      </c>
      <c r="AL2340">
        <v>88.922916329453997</v>
      </c>
      <c r="AM2340">
        <v>103.757468734428</v>
      </c>
      <c r="AN2340">
        <v>1.0000000435082499</v>
      </c>
    </row>
    <row r="2341" spans="1:40" x14ac:dyDescent="0.25">
      <c r="A2341" t="str">
        <f>"20190312151314026"</f>
        <v>20190312151314026</v>
      </c>
      <c r="B2341" t="str">
        <f>"1552374794021972"</f>
        <v>1552374794021972</v>
      </c>
      <c r="C2341" t="s">
        <v>40</v>
      </c>
      <c r="D2341">
        <v>4.7677069999999997</v>
      </c>
      <c r="E2341">
        <v>0.64180079999999995</v>
      </c>
      <c r="F2341" t="s">
        <v>41</v>
      </c>
      <c r="G2341">
        <v>-496.36349999999999</v>
      </c>
      <c r="H2341">
        <v>0.98253990000000002</v>
      </c>
      <c r="I2341">
        <v>254.86959999999999</v>
      </c>
      <c r="J2341">
        <v>-496.19330000000002</v>
      </c>
      <c r="K2341">
        <v>1.1110260000000001</v>
      </c>
      <c r="L2341">
        <v>255.45609999999999</v>
      </c>
      <c r="M2341">
        <v>-0.139060299999999</v>
      </c>
      <c r="N2341">
        <v>0</v>
      </c>
      <c r="O2341">
        <v>-0.99019630000000003</v>
      </c>
      <c r="P2341">
        <v>0.1009037</v>
      </c>
      <c r="Q2341">
        <v>6.20741E-3</v>
      </c>
      <c r="R2341">
        <v>-0.99487729999999996</v>
      </c>
      <c r="S2341">
        <v>-0.81591800000000003</v>
      </c>
      <c r="T2341">
        <v>-0.57657209999999903</v>
      </c>
      <c r="U2341">
        <v>-3.0984189999999998</v>
      </c>
      <c r="V2341">
        <v>-0.2383139</v>
      </c>
      <c r="W2341">
        <v>1.862163E-2</v>
      </c>
      <c r="X2341">
        <v>0.97100960000000003</v>
      </c>
      <c r="Y2341">
        <v>0.113645</v>
      </c>
      <c r="Z2341">
        <v>0.17682809999999999</v>
      </c>
      <c r="AA2341">
        <v>0.97765869999999999</v>
      </c>
      <c r="AB2341">
        <v>10</v>
      </c>
      <c r="AC2341">
        <v>-0.17019999999996499</v>
      </c>
      <c r="AD2341">
        <v>-0.12848609999999999</v>
      </c>
      <c r="AE2341">
        <v>-0.58650000000000002</v>
      </c>
      <c r="AF2341">
        <v>8.3293113922489795E-2</v>
      </c>
      <c r="AG2341">
        <v>-0.12848609999999999</v>
      </c>
      <c r="AH2341">
        <v>0.57884788592344605</v>
      </c>
      <c r="AI2341">
        <v>102.39133680891</v>
      </c>
      <c r="AJ2341">
        <v>81.811650244009101</v>
      </c>
      <c r="AK2341">
        <v>0.598758127926593</v>
      </c>
      <c r="AL2341">
        <v>88.932997479839699</v>
      </c>
      <c r="AM2341">
        <v>103.789485571887</v>
      </c>
      <c r="AN2341">
        <v>0.99999996166461202</v>
      </c>
    </row>
    <row r="2342" spans="1:40" x14ac:dyDescent="0.25">
      <c r="A2342" t="str">
        <f>"20190312151314048"</f>
        <v>20190312151314048</v>
      </c>
      <c r="B2342" t="str">
        <f>"1552374794042469"</f>
        <v>1552374794042469</v>
      </c>
      <c r="C2342" t="s">
        <v>40</v>
      </c>
      <c r="D2342">
        <v>4.4423969999999997</v>
      </c>
      <c r="E2342">
        <v>0.64217409999999997</v>
      </c>
      <c r="F2342" t="s">
        <v>41</v>
      </c>
      <c r="G2342">
        <v>-496.39179999999999</v>
      </c>
      <c r="H2342">
        <v>0.96821959999999996</v>
      </c>
      <c r="I2342">
        <v>254.69479999999999</v>
      </c>
      <c r="J2342">
        <v>-496.20429999999999</v>
      </c>
      <c r="K2342">
        <v>1.1110070000000001</v>
      </c>
      <c r="L2342">
        <v>255.35679999999999</v>
      </c>
      <c r="M2342">
        <v>-0.13667379999999901</v>
      </c>
      <c r="N2342">
        <v>0</v>
      </c>
      <c r="O2342">
        <v>-0.99052890000000005</v>
      </c>
      <c r="P2342">
        <v>0.10367510000000001</v>
      </c>
      <c r="Q2342">
        <v>5.5560330000000002E-3</v>
      </c>
      <c r="R2342">
        <v>-0.99459589999999998</v>
      </c>
      <c r="S2342">
        <v>-0.80838009999999905</v>
      </c>
      <c r="T2342">
        <v>-0.58169789999999999</v>
      </c>
      <c r="U2342">
        <v>-3.1010439999999999</v>
      </c>
      <c r="V2342">
        <v>-0.23867849999999999</v>
      </c>
      <c r="W2342">
        <v>1.7936049999999999E-2</v>
      </c>
      <c r="X2342">
        <v>0.97093300000000005</v>
      </c>
      <c r="Y2342">
        <v>0.1135417</v>
      </c>
      <c r="Z2342">
        <v>0.1783497</v>
      </c>
      <c r="AA2342">
        <v>0.97739430000000005</v>
      </c>
      <c r="AB2342">
        <v>10</v>
      </c>
      <c r="AC2342">
        <v>-0.1875</v>
      </c>
      <c r="AD2342">
        <v>-0.14278740000000001</v>
      </c>
      <c r="AE2342">
        <v>-0.66200000000000603</v>
      </c>
      <c r="AF2342">
        <v>9.1321345318808894E-2</v>
      </c>
      <c r="AG2342">
        <v>-0.14278740000000001</v>
      </c>
      <c r="AH2342">
        <v>0.65328009049732905</v>
      </c>
      <c r="AI2342">
        <v>102.21409765727201</v>
      </c>
      <c r="AJ2342">
        <v>82.042249133332305</v>
      </c>
      <c r="AK2342">
        <v>0.67490940603150196</v>
      </c>
      <c r="AL2342">
        <v>88.972284935491899</v>
      </c>
      <c r="AM2342">
        <v>103.810823060822</v>
      </c>
      <c r="AN2342">
        <v>1.00000000937042</v>
      </c>
    </row>
    <row r="2343" spans="1:40" x14ac:dyDescent="0.25">
      <c r="A2343" t="str">
        <f>"20190312151314070"</f>
        <v>20190312151314070</v>
      </c>
      <c r="B2343" t="str">
        <f>"1552374794061988"</f>
        <v>1552374794061988</v>
      </c>
      <c r="C2343" t="s">
        <v>40</v>
      </c>
      <c r="D2343">
        <v>4.6779310000000001</v>
      </c>
      <c r="E2343">
        <v>0.64230669999999901</v>
      </c>
      <c r="F2343" t="s">
        <v>41</v>
      </c>
      <c r="G2343">
        <v>-496.39960000000002</v>
      </c>
      <c r="H2343">
        <v>0.96681189999999995</v>
      </c>
      <c r="I2343">
        <v>254.60390000000001</v>
      </c>
      <c r="J2343">
        <v>-496.21559999999999</v>
      </c>
      <c r="K2343">
        <v>1.110992</v>
      </c>
      <c r="L2343">
        <v>255.25319999999999</v>
      </c>
      <c r="M2343">
        <v>-0.13419</v>
      </c>
      <c r="N2343">
        <v>0</v>
      </c>
      <c r="O2343">
        <v>-0.99086909999999895</v>
      </c>
      <c r="P2343">
        <v>0.1063204</v>
      </c>
      <c r="Q2343">
        <v>5.8480219999999996E-3</v>
      </c>
      <c r="R2343">
        <v>-0.9943149</v>
      </c>
      <c r="S2343">
        <v>-0.80279540000000005</v>
      </c>
      <c r="T2343">
        <v>-0.59528389999999998</v>
      </c>
      <c r="U2343">
        <v>-3.1033019999999998</v>
      </c>
      <c r="V2343">
        <v>-0.23882700000000001</v>
      </c>
      <c r="W2343">
        <v>1.8183959999999999E-2</v>
      </c>
      <c r="X2343">
        <v>0.97089190000000003</v>
      </c>
      <c r="Y2343">
        <v>0.114025</v>
      </c>
      <c r="Z2343">
        <v>0.1823775</v>
      </c>
      <c r="AA2343">
        <v>0.97659439999999997</v>
      </c>
      <c r="AB2343">
        <v>10</v>
      </c>
      <c r="AC2343">
        <v>-0.184000000000025</v>
      </c>
      <c r="AD2343">
        <v>-0.14418009999999901</v>
      </c>
      <c r="AE2343">
        <v>-0.649299999999982</v>
      </c>
      <c r="AF2343">
        <v>9.1043040691820398E-2</v>
      </c>
      <c r="AG2343">
        <v>-0.14418009999999901</v>
      </c>
      <c r="AH2343">
        <v>0.63895575325367204</v>
      </c>
      <c r="AI2343">
        <v>102.592729134376</v>
      </c>
      <c r="AJ2343">
        <v>81.890668809849402</v>
      </c>
      <c r="AK2343">
        <v>0.661317768633499</v>
      </c>
      <c r="AL2343">
        <v>88.958078450570596</v>
      </c>
      <c r="AM2343">
        <v>103.819649101864</v>
      </c>
      <c r="AN2343">
        <v>1.00000003690794</v>
      </c>
    </row>
    <row r="2344" spans="1:40" x14ac:dyDescent="0.25">
      <c r="A2344" t="str">
        <f>"20190312151314093"</f>
        <v>20190312151314093</v>
      </c>
      <c r="B2344" t="str">
        <f>"1552374794082484"</f>
        <v>1552374794082484</v>
      </c>
      <c r="C2344" t="s">
        <v>40</v>
      </c>
      <c r="D2344">
        <v>4.6809789999999998</v>
      </c>
      <c r="E2344">
        <v>0.64223989999999997</v>
      </c>
      <c r="F2344" t="s">
        <v>41</v>
      </c>
      <c r="G2344">
        <v>-496.40539999999999</v>
      </c>
      <c r="H2344">
        <v>0.96743440000000003</v>
      </c>
      <c r="I2344">
        <v>254.51179999999999</v>
      </c>
      <c r="J2344">
        <v>-496.22640000000001</v>
      </c>
      <c r="K2344">
        <v>1.110973</v>
      </c>
      <c r="L2344">
        <v>255.15170000000001</v>
      </c>
      <c r="M2344">
        <v>-0.13176179999999901</v>
      </c>
      <c r="N2344">
        <v>0</v>
      </c>
      <c r="O2344">
        <v>-0.99119559999999995</v>
      </c>
      <c r="P2344">
        <v>0.1091404</v>
      </c>
      <c r="Q2344">
        <v>5.5078409999999899E-3</v>
      </c>
      <c r="R2344">
        <v>-0.99401130000000004</v>
      </c>
      <c r="S2344">
        <v>-0.79541019999999996</v>
      </c>
      <c r="T2344">
        <v>-0.60118769999999999</v>
      </c>
      <c r="U2344">
        <v>-3.1057589999999999</v>
      </c>
      <c r="V2344">
        <v>-0.23920130000000001</v>
      </c>
      <c r="W2344">
        <v>1.779207E-2</v>
      </c>
      <c r="X2344">
        <v>0.97080699999999998</v>
      </c>
      <c r="Y2344">
        <v>0.1140123</v>
      </c>
      <c r="Z2344">
        <v>0.18412909999999999</v>
      </c>
      <c r="AA2344">
        <v>0.9762672</v>
      </c>
      <c r="AB2344">
        <v>10</v>
      </c>
      <c r="AC2344">
        <v>-0.17899999999997299</v>
      </c>
      <c r="AD2344">
        <v>-0.14353859999999899</v>
      </c>
      <c r="AE2344">
        <v>-0.63990000000001102</v>
      </c>
      <c r="AF2344">
        <v>8.8965936431485704E-2</v>
      </c>
      <c r="AG2344">
        <v>-0.14353859999999899</v>
      </c>
      <c r="AH2344">
        <v>0.62857476791404399</v>
      </c>
      <c r="AI2344">
        <v>102.74047726691499</v>
      </c>
      <c r="AJ2344">
        <v>81.944095278070606</v>
      </c>
      <c r="AK2344">
        <v>0.65086443011835005</v>
      </c>
      <c r="AL2344">
        <v>88.980535714779194</v>
      </c>
      <c r="AM2344">
        <v>103.841639533622</v>
      </c>
      <c r="AN2344">
        <v>1.0000000254627801</v>
      </c>
    </row>
    <row r="2345" spans="1:40" x14ac:dyDescent="0.25">
      <c r="A2345" t="str">
        <f>"20190312151314114"</f>
        <v>20190312151314114</v>
      </c>
      <c r="B2345" t="str">
        <f>"1552374794112740"</f>
        <v>1552374794112740</v>
      </c>
      <c r="C2345" t="s">
        <v>40</v>
      </c>
      <c r="D2345">
        <v>4.5777769999999904</v>
      </c>
      <c r="E2345">
        <v>0.64267799999999997</v>
      </c>
      <c r="F2345" t="s">
        <v>41</v>
      </c>
      <c r="G2345">
        <v>-496.41219999999998</v>
      </c>
      <c r="H2345">
        <v>0.96919109999999997</v>
      </c>
      <c r="I2345">
        <v>254.4194</v>
      </c>
      <c r="J2345">
        <v>-496.23680000000002</v>
      </c>
      <c r="K2345">
        <v>1.1109579999999999</v>
      </c>
      <c r="L2345">
        <v>255.0513</v>
      </c>
      <c r="M2345">
        <v>-0.12936239999999999</v>
      </c>
      <c r="N2345">
        <v>0</v>
      </c>
      <c r="O2345">
        <v>-0.99151239999999996</v>
      </c>
      <c r="P2345">
        <v>0.1118291</v>
      </c>
      <c r="Q2345">
        <v>4.8378070000000004E-3</v>
      </c>
      <c r="R2345">
        <v>-0.99371580000000004</v>
      </c>
      <c r="S2345">
        <v>-0.7871399</v>
      </c>
      <c r="T2345">
        <v>-0.60219709999999904</v>
      </c>
      <c r="U2345">
        <v>-3.1078489999999999</v>
      </c>
      <c r="V2345">
        <v>-0.23947750000000001</v>
      </c>
      <c r="W2345">
        <v>1.705928E-2</v>
      </c>
      <c r="X2345">
        <v>0.97075199999999995</v>
      </c>
      <c r="Y2345">
        <v>0.11380410000000001</v>
      </c>
      <c r="Z2345">
        <v>0.18445790000000001</v>
      </c>
      <c r="AA2345">
        <v>0.97622940000000002</v>
      </c>
      <c r="AB2345">
        <v>10</v>
      </c>
      <c r="AC2345">
        <v>-0.175399999999967</v>
      </c>
      <c r="AD2345">
        <v>-0.141766899999999</v>
      </c>
      <c r="AE2345">
        <v>-0.63190000000000102</v>
      </c>
      <c r="AF2345">
        <v>8.8059702938275503E-2</v>
      </c>
      <c r="AG2345">
        <v>-0.141766899999999</v>
      </c>
      <c r="AH2345">
        <v>0.62029376476537701</v>
      </c>
      <c r="AI2345">
        <v>102.750123766261</v>
      </c>
      <c r="AJ2345">
        <v>81.920024878422794</v>
      </c>
      <c r="AK2345">
        <v>0.64235248876609197</v>
      </c>
      <c r="AL2345">
        <v>89.022527809530303</v>
      </c>
      <c r="AM2345">
        <v>103.85776133124</v>
      </c>
      <c r="AN2345">
        <v>0.999999968772183</v>
      </c>
    </row>
    <row r="2346" spans="1:40" x14ac:dyDescent="0.25">
      <c r="A2346" t="str">
        <f>"20190312151314139"</f>
        <v>20190312151314139</v>
      </c>
      <c r="B2346" t="str">
        <f>"1552374794132260"</f>
        <v>1552374794132260</v>
      </c>
      <c r="C2346" t="s">
        <v>40</v>
      </c>
      <c r="D2346">
        <v>4.5172089999999896</v>
      </c>
      <c r="E2346">
        <v>0.64292590000000005</v>
      </c>
      <c r="F2346" t="s">
        <v>41</v>
      </c>
      <c r="G2346">
        <v>-496.41860000000003</v>
      </c>
      <c r="H2346">
        <v>0.96881030000000001</v>
      </c>
      <c r="I2346">
        <v>254.32810000000001</v>
      </c>
      <c r="J2346">
        <v>-496.24770000000001</v>
      </c>
      <c r="K2346">
        <v>1.1109439999999999</v>
      </c>
      <c r="L2346">
        <v>254.9436</v>
      </c>
      <c r="M2346">
        <v>-0.12679889999999999</v>
      </c>
      <c r="N2346">
        <v>0</v>
      </c>
      <c r="O2346">
        <v>-0.99184470000000002</v>
      </c>
      <c r="P2346">
        <v>0.1142465</v>
      </c>
      <c r="Q2346">
        <v>5.0463249999999999E-3</v>
      </c>
      <c r="R2346">
        <v>-0.99343970000000004</v>
      </c>
      <c r="S2346">
        <v>-0.78216549999999996</v>
      </c>
      <c r="T2346">
        <v>-0.61140240000000001</v>
      </c>
      <c r="U2346">
        <v>-3.1099549999999998</v>
      </c>
      <c r="V2346">
        <v>-0.23932980000000001</v>
      </c>
      <c r="W2346">
        <v>1.719039E-2</v>
      </c>
      <c r="X2346">
        <v>0.97078620000000004</v>
      </c>
      <c r="Y2346">
        <v>0.114621</v>
      </c>
      <c r="Z2346">
        <v>0.18717729999999999</v>
      </c>
      <c r="AA2346">
        <v>0.97561609999999999</v>
      </c>
      <c r="AB2346">
        <v>10</v>
      </c>
      <c r="AC2346">
        <v>-0.17090000000001701</v>
      </c>
      <c r="AD2346">
        <v>-0.1421337</v>
      </c>
      <c r="AE2346">
        <v>-0.61549999999999705</v>
      </c>
      <c r="AF2346">
        <v>8.7154219072254499E-2</v>
      </c>
      <c r="AG2346">
        <v>-0.1421337</v>
      </c>
      <c r="AH2346">
        <v>0.60237966563182099</v>
      </c>
      <c r="AI2346">
        <v>103.144281932665</v>
      </c>
      <c r="AJ2346">
        <v>81.767390967173597</v>
      </c>
      <c r="AK2346">
        <v>0.62502728591997403</v>
      </c>
      <c r="AL2346">
        <v>89.015014742248098</v>
      </c>
      <c r="AM2346">
        <v>103.849074451045</v>
      </c>
      <c r="AN2346">
        <v>1.00000005439341</v>
      </c>
    </row>
    <row r="2347" spans="1:40" x14ac:dyDescent="0.25">
      <c r="A2347" t="str">
        <f>"20190312151314162"</f>
        <v>20190312151314162</v>
      </c>
      <c r="B2347" t="str">
        <f>"1552374794152756"</f>
        <v>1552374794152756</v>
      </c>
      <c r="C2347" t="s">
        <v>40</v>
      </c>
      <c r="D2347">
        <v>4.5183470000000003</v>
      </c>
      <c r="E2347">
        <v>0.64316099999999998</v>
      </c>
      <c r="F2347" t="s">
        <v>41</v>
      </c>
      <c r="G2347">
        <v>-496.42469999999997</v>
      </c>
      <c r="H2347">
        <v>0.97084590000000004</v>
      </c>
      <c r="I2347">
        <v>254.23560000000001</v>
      </c>
      <c r="J2347">
        <v>-496.25810000000001</v>
      </c>
      <c r="K2347">
        <v>1.110924</v>
      </c>
      <c r="L2347">
        <v>254.83969999999999</v>
      </c>
      <c r="M2347">
        <v>-0.12433470000000001</v>
      </c>
      <c r="N2347">
        <v>0</v>
      </c>
      <c r="O2347">
        <v>-0.99215779999999998</v>
      </c>
      <c r="P2347">
        <v>0.11659609999999999</v>
      </c>
      <c r="Q2347">
        <v>4.9432800000000004E-3</v>
      </c>
      <c r="R2347">
        <v>-0.99316720000000003</v>
      </c>
      <c r="S2347">
        <v>-0.77575680000000002</v>
      </c>
      <c r="T2347">
        <v>-0.61686909999999995</v>
      </c>
      <c r="U2347">
        <v>-3.112152</v>
      </c>
      <c r="V2347">
        <v>-0.23921339999999999</v>
      </c>
      <c r="W2347">
        <v>1.7003020000000001E-2</v>
      </c>
      <c r="X2347">
        <v>0.97081819999999996</v>
      </c>
      <c r="Y2347">
        <v>0.1149599</v>
      </c>
      <c r="Z2347">
        <v>0.1887943</v>
      </c>
      <c r="AA2347">
        <v>0.97526449999999998</v>
      </c>
      <c r="AB2347">
        <v>10</v>
      </c>
      <c r="AC2347">
        <v>-0.166599999999959</v>
      </c>
      <c r="AD2347">
        <v>-0.14007809999999901</v>
      </c>
      <c r="AE2347">
        <v>-0.60409999999998798</v>
      </c>
      <c r="AF2347">
        <v>8.5898162883817103E-2</v>
      </c>
      <c r="AG2347">
        <v>-0.14007809999999901</v>
      </c>
      <c r="AH2347">
        <v>0.59061584839388903</v>
      </c>
      <c r="AI2347">
        <v>103.20846040618299</v>
      </c>
      <c r="AJ2347">
        <v>81.725018881820404</v>
      </c>
      <c r="AK2347">
        <v>0.61304767258383597</v>
      </c>
      <c r="AL2347">
        <v>89.025751831974603</v>
      </c>
      <c r="AM2347">
        <v>103.842159232477</v>
      </c>
      <c r="AN2347">
        <v>1.0000000654399499</v>
      </c>
    </row>
    <row r="2348" spans="1:40" x14ac:dyDescent="0.25">
      <c r="A2348" t="str">
        <f>"20190312151314183"</f>
        <v>20190312151314183</v>
      </c>
      <c r="B2348" t="str">
        <f>"1552374794172276"</f>
        <v>1552374794172276</v>
      </c>
      <c r="C2348" t="s">
        <v>40</v>
      </c>
      <c r="D2348">
        <v>4.5092400000000001</v>
      </c>
      <c r="E2348">
        <v>0.64337239999999996</v>
      </c>
      <c r="F2348" t="s">
        <v>41</v>
      </c>
      <c r="G2348">
        <v>-496.43029999999999</v>
      </c>
      <c r="H2348">
        <v>0.97208380000000005</v>
      </c>
      <c r="I2348">
        <v>254.14349999999999</v>
      </c>
      <c r="J2348">
        <v>-496.26740000000001</v>
      </c>
      <c r="K2348">
        <v>1.110895</v>
      </c>
      <c r="L2348">
        <v>254.74340000000001</v>
      </c>
      <c r="M2348">
        <v>-0.1220594</v>
      </c>
      <c r="N2348">
        <v>0</v>
      </c>
      <c r="O2348">
        <v>-0.99244169999999998</v>
      </c>
      <c r="P2348">
        <v>0.119019899999999</v>
      </c>
      <c r="Q2348">
        <v>5.1453469999999998E-3</v>
      </c>
      <c r="R2348">
        <v>-0.99287899999999996</v>
      </c>
      <c r="S2348">
        <v>-0.77011109999999905</v>
      </c>
      <c r="T2348">
        <v>-0.62107650000000003</v>
      </c>
      <c r="U2348">
        <v>-3.11409</v>
      </c>
      <c r="V2348">
        <v>-0.23935690000000001</v>
      </c>
      <c r="W2348">
        <v>1.7117449999999999E-2</v>
      </c>
      <c r="X2348">
        <v>0.97078070000000005</v>
      </c>
      <c r="Y2348">
        <v>0.1153719</v>
      </c>
      <c r="Z2348">
        <v>0.19003880000000001</v>
      </c>
      <c r="AA2348">
        <v>0.97497420000000001</v>
      </c>
      <c r="AB2348">
        <v>10</v>
      </c>
      <c r="AC2348">
        <v>-0.16289999999997901</v>
      </c>
      <c r="AD2348">
        <v>-0.1388112</v>
      </c>
      <c r="AE2348">
        <v>-0.59990000000001897</v>
      </c>
      <c r="AF2348">
        <v>8.4251271812670697E-2</v>
      </c>
      <c r="AG2348">
        <v>-0.1388112</v>
      </c>
      <c r="AH2348">
        <v>0.58607434099007105</v>
      </c>
      <c r="AI2348">
        <v>103.19409271206101</v>
      </c>
      <c r="AJ2348">
        <v>81.819474599785295</v>
      </c>
      <c r="AK2348">
        <v>0.60815290775794095</v>
      </c>
      <c r="AL2348">
        <v>89.019194408868699</v>
      </c>
      <c r="AM2348">
        <v>103.850657691051</v>
      </c>
      <c r="AN2348">
        <v>0.99999995008230003</v>
      </c>
    </row>
    <row r="2349" spans="1:40" x14ac:dyDescent="0.25">
      <c r="A2349" t="str">
        <f>"20190312151314205"</f>
        <v>20190312151314205</v>
      </c>
      <c r="B2349" t="str">
        <f>"1552374794202532"</f>
        <v>1552374794202532</v>
      </c>
      <c r="C2349" t="s">
        <v>40</v>
      </c>
      <c r="D2349">
        <v>4.4265530000000002</v>
      </c>
      <c r="E2349">
        <v>0.64303639999999995</v>
      </c>
      <c r="F2349" t="s">
        <v>41</v>
      </c>
      <c r="G2349">
        <v>-496.43729999999999</v>
      </c>
      <c r="H2349">
        <v>0.97252110000000003</v>
      </c>
      <c r="I2349">
        <v>254.05189999999999</v>
      </c>
      <c r="J2349">
        <v>-496.27699999999999</v>
      </c>
      <c r="K2349">
        <v>1.110868</v>
      </c>
      <c r="L2349">
        <v>254.6422</v>
      </c>
      <c r="M2349">
        <v>-0.1196753</v>
      </c>
      <c r="N2349">
        <v>0</v>
      </c>
      <c r="O2349">
        <v>-0.99273319999999998</v>
      </c>
      <c r="P2349">
        <v>0.1211541</v>
      </c>
      <c r="Q2349">
        <v>4.9320809999999996E-3</v>
      </c>
      <c r="R2349">
        <v>-0.9926218</v>
      </c>
      <c r="S2349">
        <v>-0.764679</v>
      </c>
      <c r="T2349">
        <v>-0.62398719999999996</v>
      </c>
      <c r="U2349">
        <v>-3.116425</v>
      </c>
      <c r="V2349">
        <v>-0.23911099999999999</v>
      </c>
      <c r="W2349">
        <v>1.6800389999999998E-2</v>
      </c>
      <c r="X2349">
        <v>0.97084689999999996</v>
      </c>
      <c r="Y2349">
        <v>0.11594640000000001</v>
      </c>
      <c r="Z2349">
        <v>0.1908765</v>
      </c>
      <c r="AA2349">
        <v>0.97474240000000001</v>
      </c>
      <c r="AB2349">
        <v>10</v>
      </c>
      <c r="AC2349">
        <v>-0.16030000000000599</v>
      </c>
      <c r="AD2349">
        <v>-0.13834689999999999</v>
      </c>
      <c r="AE2349">
        <v>-0.59030000000001304</v>
      </c>
      <c r="AF2349">
        <v>8.4190983703058095E-2</v>
      </c>
      <c r="AG2349">
        <v>-0.13834689999999999</v>
      </c>
      <c r="AH2349">
        <v>0.57578761874960405</v>
      </c>
      <c r="AI2349">
        <v>103.373566683466</v>
      </c>
      <c r="AJ2349">
        <v>81.681229649521299</v>
      </c>
      <c r="AK2349">
        <v>0.59812989256668803</v>
      </c>
      <c r="AL2349">
        <v>89.0373632835054</v>
      </c>
      <c r="AM2349">
        <v>103.83606825739599</v>
      </c>
      <c r="AN2349">
        <v>1.0000000133323801</v>
      </c>
    </row>
    <row r="2350" spans="1:40" x14ac:dyDescent="0.25">
      <c r="A2350" t="str">
        <f>"20190312151314227"</f>
        <v>20190312151314227</v>
      </c>
      <c r="B2350" t="str">
        <f>"1552374794222052"</f>
        <v>1552374794222052</v>
      </c>
      <c r="C2350" t="s">
        <v>40</v>
      </c>
      <c r="D2350">
        <v>4.4313409999999998</v>
      </c>
      <c r="E2350">
        <v>0.64523169999999996</v>
      </c>
      <c r="F2350" t="s">
        <v>41</v>
      </c>
      <c r="G2350">
        <v>-496.43729999999999</v>
      </c>
      <c r="H2350">
        <v>0.93648560000000003</v>
      </c>
      <c r="I2350">
        <v>253.97739999999999</v>
      </c>
      <c r="J2350">
        <v>-496.28629999999998</v>
      </c>
      <c r="K2350">
        <v>1.1108450000000001</v>
      </c>
      <c r="L2350">
        <v>254.54150000000001</v>
      </c>
      <c r="M2350">
        <v>-0.1173101</v>
      </c>
      <c r="N2350">
        <v>0</v>
      </c>
      <c r="O2350">
        <v>-0.99301729999999999</v>
      </c>
      <c r="P2350">
        <v>0.12326380000000001</v>
      </c>
      <c r="Q2350">
        <v>5.476023E-3</v>
      </c>
      <c r="R2350">
        <v>-0.99235949999999995</v>
      </c>
      <c r="S2350">
        <v>-0.75045779999999995</v>
      </c>
      <c r="T2350">
        <v>-0.81850840000000002</v>
      </c>
      <c r="U2350">
        <v>-3.11795</v>
      </c>
      <c r="V2350">
        <v>-0.23886209999999999</v>
      </c>
      <c r="W2350">
        <v>1.7226620000000002E-2</v>
      </c>
      <c r="X2350">
        <v>0.97090069999999995</v>
      </c>
      <c r="Y2350">
        <v>0.1110221</v>
      </c>
      <c r="Z2350">
        <v>0.24728620000000001</v>
      </c>
      <c r="AA2350">
        <v>0.962561</v>
      </c>
      <c r="AB2350">
        <v>10</v>
      </c>
      <c r="AC2350">
        <v>-0.15100000000000999</v>
      </c>
      <c r="AD2350">
        <v>-0.1743594</v>
      </c>
      <c r="AE2350">
        <v>-0.56410000000002403</v>
      </c>
      <c r="AF2350">
        <v>7.6920017904134302E-2</v>
      </c>
      <c r="AG2350">
        <v>-0.1743594</v>
      </c>
      <c r="AH2350">
        <v>0.53061506301140904</v>
      </c>
      <c r="AI2350">
        <v>108.014498016971</v>
      </c>
      <c r="AJ2350">
        <v>81.751639733351993</v>
      </c>
      <c r="AK2350">
        <v>0.56379981785855005</v>
      </c>
      <c r="AL2350">
        <v>89.012938569219699</v>
      </c>
      <c r="AM2350">
        <v>103.821481802533</v>
      </c>
      <c r="AN2350">
        <v>1.00000001425676</v>
      </c>
    </row>
    <row r="2351" spans="1:40" x14ac:dyDescent="0.25">
      <c r="A2351" t="str">
        <f>"20190312151314249"</f>
        <v>20190312151314249</v>
      </c>
      <c r="B2351" t="str">
        <f>"1552374794242548"</f>
        <v>1552374794242548</v>
      </c>
      <c r="C2351" t="s">
        <v>40</v>
      </c>
      <c r="D2351">
        <v>4.4527359999999998</v>
      </c>
      <c r="E2351">
        <v>0.64644279999999998</v>
      </c>
      <c r="F2351" t="s">
        <v>41</v>
      </c>
      <c r="G2351">
        <v>-496.47129999999999</v>
      </c>
      <c r="H2351">
        <v>0.9564414</v>
      </c>
      <c r="I2351">
        <v>253.7867</v>
      </c>
      <c r="J2351">
        <v>-496.2953</v>
      </c>
      <c r="K2351">
        <v>1.110833</v>
      </c>
      <c r="L2351">
        <v>254.4409</v>
      </c>
      <c r="M2351">
        <v>-0.11495379999999999</v>
      </c>
      <c r="N2351">
        <v>0</v>
      </c>
      <c r="O2351">
        <v>-0.99329420000000002</v>
      </c>
      <c r="P2351">
        <v>0.12573329999999999</v>
      </c>
      <c r="Q2351">
        <v>6.857625E-3</v>
      </c>
      <c r="R2351">
        <v>-0.99204049999999999</v>
      </c>
      <c r="S2351">
        <v>-0.76452640000000005</v>
      </c>
      <c r="T2351">
        <v>-0.63917950000000001</v>
      </c>
      <c r="U2351">
        <v>-3.1215820000000001</v>
      </c>
      <c r="V2351">
        <v>-0.23897570000000001</v>
      </c>
      <c r="W2351">
        <v>1.847669E-2</v>
      </c>
      <c r="X2351">
        <v>0.97084979999999999</v>
      </c>
      <c r="Y2351">
        <v>0.1200495</v>
      </c>
      <c r="Z2351">
        <v>0.195159</v>
      </c>
      <c r="AA2351">
        <v>0.9733967</v>
      </c>
      <c r="AB2351">
        <v>10</v>
      </c>
      <c r="AC2351">
        <v>-0.175999999999987</v>
      </c>
      <c r="AD2351">
        <v>-0.15439159999999899</v>
      </c>
      <c r="AE2351">
        <v>-0.654200000000002</v>
      </c>
      <c r="AF2351">
        <v>9.4705832181234295E-2</v>
      </c>
      <c r="AG2351">
        <v>-0.15439159999999899</v>
      </c>
      <c r="AH2351">
        <v>0.63701136403477399</v>
      </c>
      <c r="AI2351">
        <v>103.481305025699</v>
      </c>
      <c r="AJ2351">
        <v>81.543656395110006</v>
      </c>
      <c r="AK2351">
        <v>0.66226085397609302</v>
      </c>
      <c r="AL2351">
        <v>88.941303456939806</v>
      </c>
      <c r="AM2351">
        <v>103.82850004713799</v>
      </c>
      <c r="AN2351">
        <v>1.00000005371194</v>
      </c>
    </row>
    <row r="2352" spans="1:40" x14ac:dyDescent="0.25">
      <c r="A2352" t="str">
        <f>"20190312151314275"</f>
        <v>20190312151314275</v>
      </c>
      <c r="B2352" t="str">
        <f>"1552374794272804"</f>
        <v>1552374794272804</v>
      </c>
      <c r="C2352" t="s">
        <v>40</v>
      </c>
      <c r="D2352">
        <v>4.3742330000000003</v>
      </c>
      <c r="E2352">
        <v>0.59938990000000003</v>
      </c>
      <c r="F2352" t="s">
        <v>41</v>
      </c>
      <c r="G2352">
        <v>-496.47050000000002</v>
      </c>
      <c r="H2352">
        <v>0.89679979999999904</v>
      </c>
      <c r="I2352">
        <v>253.72219999999999</v>
      </c>
      <c r="J2352">
        <v>-496.30579999999998</v>
      </c>
      <c r="K2352">
        <v>1.110808</v>
      </c>
      <c r="L2352">
        <v>254.32050000000001</v>
      </c>
      <c r="M2352">
        <v>-0.112137</v>
      </c>
      <c r="N2352">
        <v>0</v>
      </c>
      <c r="O2352">
        <v>-0.993618</v>
      </c>
      <c r="P2352">
        <v>0.12904779999999999</v>
      </c>
      <c r="Q2352">
        <v>7.3575580000000002E-3</v>
      </c>
      <c r="R2352">
        <v>-0.99161100000000002</v>
      </c>
      <c r="S2352">
        <v>-0.7600403</v>
      </c>
      <c r="T2352">
        <v>-0.93249459999999995</v>
      </c>
      <c r="U2352">
        <v>-3.126862</v>
      </c>
      <c r="V2352">
        <v>-0.23946809999999999</v>
      </c>
      <c r="W2352">
        <v>1.8814239999999999E-2</v>
      </c>
      <c r="X2352">
        <v>0.97072190000000003</v>
      </c>
      <c r="Y2352">
        <v>0.1163397</v>
      </c>
      <c r="Z2352">
        <v>0.27850649999999999</v>
      </c>
      <c r="AA2352">
        <v>0.95336200000000004</v>
      </c>
      <c r="AB2352">
        <v>10</v>
      </c>
      <c r="AC2352">
        <v>-0.16470000000003801</v>
      </c>
      <c r="AD2352">
        <v>-0.21400820000000001</v>
      </c>
      <c r="AE2352">
        <v>-0.59830000000002304</v>
      </c>
      <c r="AF2352">
        <v>8.6300567626345207E-2</v>
      </c>
      <c r="AG2352">
        <v>-0.21400820000000001</v>
      </c>
      <c r="AH2352">
        <v>0.54784025928111602</v>
      </c>
      <c r="AI2352">
        <v>111.10066622271</v>
      </c>
      <c r="AJ2352">
        <v>81.047836380555395</v>
      </c>
      <c r="AK2352">
        <v>0.59445457970232696</v>
      </c>
      <c r="AL2352">
        <v>88.921959821915905</v>
      </c>
      <c r="AM2352">
        <v>103.85765147148</v>
      </c>
      <c r="AN2352">
        <v>0.99999997684199804</v>
      </c>
    </row>
    <row r="2353" spans="1:40" x14ac:dyDescent="0.25">
      <c r="A2353" t="str">
        <f>"20190312151314294"</f>
        <v>20190312151314294</v>
      </c>
      <c r="B2353" t="str">
        <f>"1552374794282568"</f>
        <v>1552374794282568</v>
      </c>
      <c r="C2353" t="s">
        <v>40</v>
      </c>
      <c r="D2353">
        <v>4.5302850000000001</v>
      </c>
      <c r="E2353">
        <v>0.58676949999999894</v>
      </c>
      <c r="F2353" t="s">
        <v>41</v>
      </c>
      <c r="G2353">
        <v>-496.3997</v>
      </c>
      <c r="H2353">
        <v>0.99311640000000001</v>
      </c>
      <c r="I2353">
        <v>253.57480000000001</v>
      </c>
      <c r="J2353">
        <v>-496.31319999999999</v>
      </c>
      <c r="K2353">
        <v>1.1107880000000001</v>
      </c>
      <c r="L2353">
        <v>254.23439999999999</v>
      </c>
      <c r="M2353">
        <v>-0.1101278</v>
      </c>
      <c r="N2353">
        <v>0</v>
      </c>
      <c r="O2353">
        <v>-0.99384410000000001</v>
      </c>
      <c r="P2353">
        <v>0.13098989999999999</v>
      </c>
      <c r="Q2353">
        <v>6.337433E-3</v>
      </c>
      <c r="R2353">
        <v>-0.99136349999999995</v>
      </c>
      <c r="S2353">
        <v>-0.38717649999999998</v>
      </c>
      <c r="T2353">
        <v>-0.48638799999999999</v>
      </c>
      <c r="U2353">
        <v>-3.0793759999999999</v>
      </c>
      <c r="V2353">
        <v>-0.23940549999999999</v>
      </c>
      <c r="W2353">
        <v>1.768575E-2</v>
      </c>
      <c r="X2353">
        <v>0.97075860000000003</v>
      </c>
      <c r="Y2353">
        <v>1.321809E-2</v>
      </c>
      <c r="Z2353">
        <v>0.15400939999999999</v>
      </c>
      <c r="AA2353">
        <v>0.987981</v>
      </c>
      <c r="AB2353">
        <v>10</v>
      </c>
      <c r="AC2353">
        <v>-8.6500000000000896E-2</v>
      </c>
      <c r="AD2353">
        <v>-0.117671599999999</v>
      </c>
      <c r="AE2353">
        <v>-0.65959999999998298</v>
      </c>
      <c r="AF2353">
        <v>1.2923829547244799E-2</v>
      </c>
      <c r="AG2353">
        <v>-0.117671599999999</v>
      </c>
      <c r="AH2353">
        <v>0.64493541701597601</v>
      </c>
      <c r="AI2353">
        <v>100.338123338277</v>
      </c>
      <c r="AJ2353">
        <v>88.852006298906502</v>
      </c>
      <c r="AK2353">
        <v>0.65570978560510795</v>
      </c>
      <c r="AL2353">
        <v>88.986628354346493</v>
      </c>
      <c r="AM2353">
        <v>103.85366489607</v>
      </c>
      <c r="AN2353">
        <v>1.00000001932863</v>
      </c>
    </row>
    <row r="2354" spans="1:40" x14ac:dyDescent="0.25">
      <c r="A2354" t="str">
        <f>"20190312151314316"</f>
        <v>20190312151314316</v>
      </c>
      <c r="B2354" t="str">
        <f>"1552374794312821"</f>
        <v>1552374794312821</v>
      </c>
      <c r="C2354" t="s">
        <v>40</v>
      </c>
      <c r="D2354">
        <v>4.4117040000000003</v>
      </c>
      <c r="E2354">
        <v>0.52673190000000003</v>
      </c>
      <c r="F2354" t="s">
        <v>41</v>
      </c>
      <c r="G2354">
        <v>-496.38310000000001</v>
      </c>
      <c r="H2354">
        <v>0.99825129999999995</v>
      </c>
      <c r="I2354">
        <v>253.47730000000001</v>
      </c>
      <c r="J2354">
        <v>-496.32159999999999</v>
      </c>
      <c r="K2354">
        <v>1.110784</v>
      </c>
      <c r="L2354">
        <v>254.1335</v>
      </c>
      <c r="M2354">
        <v>-0.1077751</v>
      </c>
      <c r="N2354">
        <v>0</v>
      </c>
      <c r="O2354">
        <v>-0.99410359999999998</v>
      </c>
      <c r="P2354">
        <v>0.1331967</v>
      </c>
      <c r="Q2354">
        <v>5.4173310000000001E-3</v>
      </c>
      <c r="R2354">
        <v>-0.99107509999999999</v>
      </c>
      <c r="S2354">
        <v>-0.28240969999999999</v>
      </c>
      <c r="T2354">
        <v>-0.45625769999999999</v>
      </c>
      <c r="U2354">
        <v>-3.0663450000000001</v>
      </c>
      <c r="V2354">
        <v>-0.23926810000000001</v>
      </c>
      <c r="W2354">
        <v>1.6649259999999999E-2</v>
      </c>
      <c r="X2354">
        <v>0.97081079999999997</v>
      </c>
      <c r="Y2354">
        <v>-1.713404E-2</v>
      </c>
      <c r="Z2354">
        <v>0.145587299999999</v>
      </c>
      <c r="AA2354">
        <v>0.98919699999999999</v>
      </c>
      <c r="AB2354">
        <v>10</v>
      </c>
      <c r="AC2354">
        <v>-6.1500000000023598E-2</v>
      </c>
      <c r="AD2354">
        <v>-0.112532699999999</v>
      </c>
      <c r="AE2354">
        <v>-0.65619999999998402</v>
      </c>
      <c r="AF2354">
        <v>-9.3138048140425696E-3</v>
      </c>
      <c r="AG2354">
        <v>-0.112532699999999</v>
      </c>
      <c r="AH2354">
        <v>0.64033799348755305</v>
      </c>
      <c r="AI2354">
        <v>99.966320328441896</v>
      </c>
      <c r="AJ2354">
        <v>90.833316287110307</v>
      </c>
      <c r="AK2354">
        <v>0.65021773386541104</v>
      </c>
      <c r="AL2354">
        <v>89.046023607908396</v>
      </c>
      <c r="AM2354">
        <v>103.845304167577</v>
      </c>
      <c r="AN2354">
        <v>1.0000000154663899</v>
      </c>
    </row>
    <row r="2355" spans="1:40" x14ac:dyDescent="0.25">
      <c r="A2355" t="str">
        <f>"20190312151314340"</f>
        <v>20190312151314340</v>
      </c>
      <c r="B2355" t="str">
        <f>"1552374794332340"</f>
        <v>1552374794332340</v>
      </c>
      <c r="C2355" t="s">
        <v>40</v>
      </c>
      <c r="D2355">
        <v>4.4241109999999999</v>
      </c>
      <c r="E2355">
        <v>0.52172669999999999</v>
      </c>
      <c r="F2355" t="s">
        <v>42</v>
      </c>
      <c r="G2355">
        <v>-495.33550000000002</v>
      </c>
      <c r="H2355" s="1">
        <v>-4.9925470000000003E-6</v>
      </c>
      <c r="I2355">
        <v>238.87649999999999</v>
      </c>
      <c r="J2355">
        <v>-496.33019999999999</v>
      </c>
      <c r="K2355">
        <v>1.1107800000000001</v>
      </c>
      <c r="L2355">
        <v>254.02690000000001</v>
      </c>
      <c r="M2355">
        <v>-0.1052922</v>
      </c>
      <c r="N2355">
        <v>0</v>
      </c>
      <c r="O2355">
        <v>-0.99437059999999999</v>
      </c>
      <c r="P2355">
        <v>0.13497509999999999</v>
      </c>
      <c r="Q2355">
        <v>4.8649490000000004E-3</v>
      </c>
      <c r="R2355">
        <v>-0.99083699999999997</v>
      </c>
      <c r="S2355">
        <v>0.1940308</v>
      </c>
      <c r="T2355">
        <v>-0.2185714</v>
      </c>
      <c r="U2355">
        <v>-3.002151</v>
      </c>
      <c r="V2355">
        <v>-0.23858499999999999</v>
      </c>
      <c r="W2355">
        <v>1.5989880000000001E-2</v>
      </c>
      <c r="X2355">
        <v>0.97098989999999996</v>
      </c>
      <c r="Y2355">
        <v>-0.16905020000000001</v>
      </c>
      <c r="Z2355">
        <v>7.1410080000000001E-2</v>
      </c>
      <c r="AA2355">
        <v>0.98301709999999998</v>
      </c>
      <c r="AB2355">
        <v>10</v>
      </c>
      <c r="AC2355">
        <v>0.99469999999996594</v>
      </c>
      <c r="AD2355">
        <v>-1.1107849925469999</v>
      </c>
      <c r="AE2355">
        <v>-15.150399999999999</v>
      </c>
      <c r="AF2355">
        <v>-2.5707416743633198</v>
      </c>
      <c r="AG2355">
        <v>-1.1107849925469999</v>
      </c>
      <c r="AH2355">
        <v>14.881778129574499</v>
      </c>
      <c r="AI2355">
        <v>94.206602670403498</v>
      </c>
      <c r="AJ2355">
        <v>99.800793483804</v>
      </c>
      <c r="AK2355">
        <v>15.1429810920392</v>
      </c>
      <c r="AL2355">
        <v>89.083808254711897</v>
      </c>
      <c r="AM2355">
        <v>103.804841771873</v>
      </c>
      <c r="AN2355">
        <v>0.99999993219470895</v>
      </c>
    </row>
    <row r="2356" spans="1:40" x14ac:dyDescent="0.25">
      <c r="A2356" t="str">
        <f>"20190312151314363"</f>
        <v>20190312151314363</v>
      </c>
      <c r="B2356" t="str">
        <f>"1552374794352836"</f>
        <v>1552374794352836</v>
      </c>
      <c r="C2356" t="s">
        <v>40</v>
      </c>
      <c r="D2356">
        <v>4.3623129999999897</v>
      </c>
      <c r="E2356">
        <v>0.5205128</v>
      </c>
      <c r="F2356" t="s">
        <v>42</v>
      </c>
      <c r="G2356">
        <v>-494.98360000000002</v>
      </c>
      <c r="H2356" s="1">
        <v>-4.3191239999999997E-6</v>
      </c>
      <c r="I2356">
        <v>237.08099999999999</v>
      </c>
      <c r="J2356">
        <v>-496.33870000000002</v>
      </c>
      <c r="K2356">
        <v>1.1107720000000001</v>
      </c>
      <c r="L2356">
        <v>253.91759999999999</v>
      </c>
      <c r="M2356">
        <v>-0.10274899999999999</v>
      </c>
      <c r="N2356">
        <v>0</v>
      </c>
      <c r="O2356">
        <v>-0.99463800000000002</v>
      </c>
      <c r="P2356">
        <v>0.13742460000000001</v>
      </c>
      <c r="Q2356">
        <v>4.1943659999999997E-3</v>
      </c>
      <c r="R2356">
        <v>-0.99050360000000004</v>
      </c>
      <c r="S2356">
        <v>0.23809810000000001</v>
      </c>
      <c r="T2356">
        <v>-0.19640250000000001</v>
      </c>
      <c r="U2356">
        <v>-2.9962770000000001</v>
      </c>
      <c r="V2356">
        <v>-0.2385022</v>
      </c>
      <c r="W2356">
        <v>1.521988E-2</v>
      </c>
      <c r="X2356">
        <v>0.97102270000000002</v>
      </c>
      <c r="Y2356">
        <v>-0.18106249999999999</v>
      </c>
      <c r="Z2356">
        <v>6.4247150000000003E-2</v>
      </c>
      <c r="AA2356">
        <v>0.98137079999999999</v>
      </c>
      <c r="AB2356">
        <v>10</v>
      </c>
      <c r="AC2356">
        <v>1.35509999999999</v>
      </c>
      <c r="AD2356">
        <v>-1.1107763191240001</v>
      </c>
      <c r="AE2356">
        <v>-16.836600000000001</v>
      </c>
      <c r="AF2356">
        <v>-3.0647364059173898</v>
      </c>
      <c r="AG2356">
        <v>-1.1107763191240001</v>
      </c>
      <c r="AH2356">
        <v>16.5367183456211</v>
      </c>
      <c r="AI2356">
        <v>93.778648792350396</v>
      </c>
      <c r="AJ2356">
        <v>100.499453400264</v>
      </c>
      <c r="AK2356">
        <v>16.8549543728627</v>
      </c>
      <c r="AL2356">
        <v>89.127931452983503</v>
      </c>
      <c r="AM2356">
        <v>103.799785702463</v>
      </c>
      <c r="AN2356">
        <v>1.00000001403367</v>
      </c>
    </row>
    <row r="2357" spans="1:40" x14ac:dyDescent="0.25">
      <c r="A2357" t="str">
        <f>"20190312151314384"</f>
        <v>20190312151314384</v>
      </c>
      <c r="B2357" t="str">
        <f>"1552374794372356"</f>
        <v>1552374794372356</v>
      </c>
      <c r="C2357" t="s">
        <v>40</v>
      </c>
      <c r="D2357">
        <v>4.3916709999999997</v>
      </c>
      <c r="E2357">
        <v>0.52022789999999997</v>
      </c>
      <c r="F2357" t="s">
        <v>42</v>
      </c>
      <c r="G2357">
        <v>-494.8605</v>
      </c>
      <c r="H2357" s="1">
        <v>-4.1245960000000002E-6</v>
      </c>
      <c r="I2357">
        <v>236.5735</v>
      </c>
      <c r="J2357">
        <v>-496.346</v>
      </c>
      <c r="K2357">
        <v>1.1107640000000001</v>
      </c>
      <c r="L2357">
        <v>253.82130000000001</v>
      </c>
      <c r="M2357">
        <v>-0.1005167</v>
      </c>
      <c r="N2357">
        <v>0</v>
      </c>
      <c r="O2357">
        <v>-0.9948671</v>
      </c>
      <c r="P2357">
        <v>0.13944279999999901</v>
      </c>
      <c r="Q2357">
        <v>3.7972700000000002E-3</v>
      </c>
      <c r="R2357">
        <v>-0.99022310000000002</v>
      </c>
      <c r="S2357">
        <v>0.25518800000000003</v>
      </c>
      <c r="T2357">
        <v>-0.19175900000000001</v>
      </c>
      <c r="U2357">
        <v>-2.994186</v>
      </c>
      <c r="V2357">
        <v>-0.23830109999999999</v>
      </c>
      <c r="W2357">
        <v>1.4747390000000001E-2</v>
      </c>
      <c r="X2357">
        <v>0.97107929999999998</v>
      </c>
      <c r="Y2357">
        <v>-0.18448020000000001</v>
      </c>
      <c r="Z2357">
        <v>6.2764790000000001E-2</v>
      </c>
      <c r="AA2357">
        <v>0.98083010000000004</v>
      </c>
      <c r="AB2357">
        <v>10</v>
      </c>
      <c r="AC2357">
        <v>1.4855</v>
      </c>
      <c r="AD2357">
        <v>-1.1107681245959999</v>
      </c>
      <c r="AE2357">
        <v>-17.247800000000002</v>
      </c>
      <c r="AF2357">
        <v>-3.1986168087277398</v>
      </c>
      <c r="AG2357">
        <v>-1.1107681245959999</v>
      </c>
      <c r="AH2357">
        <v>16.941360897988101</v>
      </c>
      <c r="AI2357">
        <v>93.686310952145504</v>
      </c>
      <c r="AJ2357">
        <v>100.691880101706</v>
      </c>
      <c r="AK2357">
        <v>17.276419316269699</v>
      </c>
      <c r="AL2357">
        <v>89.155006123854704</v>
      </c>
      <c r="AM2357">
        <v>103.787821267041</v>
      </c>
      <c r="AN2357">
        <v>0.99999995333075498</v>
      </c>
    </row>
    <row r="2358" spans="1:40" x14ac:dyDescent="0.25">
      <c r="A2358" t="str">
        <f>"20190312151314406"</f>
        <v>20190312151314406</v>
      </c>
      <c r="B2358" t="str">
        <f>"1552374794402613"</f>
        <v>1552374794402613</v>
      </c>
      <c r="C2358" t="s">
        <v>40</v>
      </c>
      <c r="D2358">
        <v>4.3829690000000001</v>
      </c>
      <c r="E2358">
        <v>0.52039530000000001</v>
      </c>
      <c r="F2358" t="s">
        <v>42</v>
      </c>
      <c r="G2358">
        <v>-494.79199999999997</v>
      </c>
      <c r="H2358" s="1">
        <v>-3.9594609999999999E-6</v>
      </c>
      <c r="I2358">
        <v>236.124</v>
      </c>
      <c r="J2358">
        <v>-496.3535</v>
      </c>
      <c r="K2358">
        <v>1.1107629999999999</v>
      </c>
      <c r="L2358">
        <v>253.7193</v>
      </c>
      <c r="M2358">
        <v>-9.816163E-2</v>
      </c>
      <c r="N2358">
        <v>0</v>
      </c>
      <c r="O2358">
        <v>-0.99510319999999997</v>
      </c>
      <c r="P2358">
        <v>0.14185710000000001</v>
      </c>
      <c r="Q2358">
        <v>4.4418749999999996E-3</v>
      </c>
      <c r="R2358">
        <v>-0.98987729999999996</v>
      </c>
      <c r="S2358">
        <v>0.26284790000000002</v>
      </c>
      <c r="T2358">
        <v>-0.1878756</v>
      </c>
      <c r="U2358">
        <v>-2.9933169999999998</v>
      </c>
      <c r="V2358">
        <v>-0.23837120000000001</v>
      </c>
      <c r="W2358">
        <v>1.5326680000000001E-2</v>
      </c>
      <c r="X2358">
        <v>0.97105319999999995</v>
      </c>
      <c r="Y2358">
        <v>-0.18467620000000001</v>
      </c>
      <c r="Z2358">
        <v>6.1530639999999998E-2</v>
      </c>
      <c r="AA2358">
        <v>0.98087139999999995</v>
      </c>
      <c r="AB2358">
        <v>10</v>
      </c>
      <c r="AC2358">
        <v>1.5615000000000201</v>
      </c>
      <c r="AD2358">
        <v>-1.1107669594609999</v>
      </c>
      <c r="AE2358">
        <v>-17.595299999999899</v>
      </c>
      <c r="AF2358">
        <v>-3.26833343314498</v>
      </c>
      <c r="AG2358">
        <v>-1.1107669594609999</v>
      </c>
      <c r="AH2358">
        <v>17.2886614093192</v>
      </c>
      <c r="AI2358">
        <v>93.612295851031504</v>
      </c>
      <c r="AJ2358">
        <v>100.705141859363</v>
      </c>
      <c r="AK2358">
        <v>17.629906976343499</v>
      </c>
      <c r="AL2358">
        <v>89.121811561066295</v>
      </c>
      <c r="AM2358">
        <v>103.79207886643501</v>
      </c>
      <c r="AN2358">
        <v>1.00000002666975</v>
      </c>
    </row>
    <row r="2359" spans="1:40" x14ac:dyDescent="0.25">
      <c r="A2359" t="str">
        <f>"20190312151314427"</f>
        <v>20190312151314427</v>
      </c>
      <c r="B2359" t="str">
        <f>"1552374794422132"</f>
        <v>1552374794422132</v>
      </c>
      <c r="C2359" t="s">
        <v>40</v>
      </c>
      <c r="D2359">
        <v>4.352843</v>
      </c>
      <c r="E2359">
        <v>0.52031799999999995</v>
      </c>
      <c r="F2359" t="s">
        <v>42</v>
      </c>
      <c r="G2359">
        <v>-494.68729999999999</v>
      </c>
      <c r="H2359" s="1">
        <v>-3.6174560000000001E-6</v>
      </c>
      <c r="I2359">
        <v>235.17359999999999</v>
      </c>
      <c r="J2359">
        <v>-496.36059999999998</v>
      </c>
      <c r="K2359">
        <v>1.1107629999999999</v>
      </c>
      <c r="L2359">
        <v>253.61940000000001</v>
      </c>
      <c r="M2359">
        <v>-9.5867469999999996E-2</v>
      </c>
      <c r="N2359">
        <v>0</v>
      </c>
      <c r="O2359">
        <v>-0.99532750000000003</v>
      </c>
      <c r="P2359">
        <v>0.1439616</v>
      </c>
      <c r="Q2359">
        <v>5.2379590000000004E-3</v>
      </c>
      <c r="R2359">
        <v>-0.98956980000000005</v>
      </c>
      <c r="S2359">
        <v>0.26889039999999997</v>
      </c>
      <c r="T2359">
        <v>-0.179257</v>
      </c>
      <c r="U2359">
        <v>-2.9929350000000001</v>
      </c>
      <c r="V2359">
        <v>-0.2381981</v>
      </c>
      <c r="W2359">
        <v>1.6074270000000002E-2</v>
      </c>
      <c r="X2359">
        <v>0.97108360000000005</v>
      </c>
      <c r="Y2359">
        <v>-0.1844016</v>
      </c>
      <c r="Z2359">
        <v>5.8742059999999999E-2</v>
      </c>
      <c r="AA2359">
        <v>0.98109400000000002</v>
      </c>
      <c r="AB2359">
        <v>10</v>
      </c>
      <c r="AC2359">
        <v>1.67329999999998</v>
      </c>
      <c r="AD2359">
        <v>-1.110766617456</v>
      </c>
      <c r="AE2359">
        <v>-18.445799999999998</v>
      </c>
      <c r="AF2359">
        <v>-3.4217547002533801</v>
      </c>
      <c r="AG2359">
        <v>-1.110766617456</v>
      </c>
      <c r="AH2359">
        <v>18.135178776362402</v>
      </c>
      <c r="AI2359">
        <v>93.444323452026495</v>
      </c>
      <c r="AJ2359">
        <v>100.684982127232</v>
      </c>
      <c r="AK2359">
        <v>18.488561787164102</v>
      </c>
      <c r="AL2359">
        <v>89.078972539125502</v>
      </c>
      <c r="AM2359">
        <v>103.782030387666</v>
      </c>
      <c r="AN2359">
        <v>1.0000000375942999</v>
      </c>
    </row>
    <row r="2360" spans="1:40" x14ac:dyDescent="0.25">
      <c r="A2360" t="str">
        <f>"20190312151314451"</f>
        <v>20190312151314451</v>
      </c>
      <c r="B2360" t="str">
        <f>"1552374794442628"</f>
        <v>1552374794442628</v>
      </c>
      <c r="C2360" t="s">
        <v>40</v>
      </c>
      <c r="D2360">
        <v>4.3696250000000001</v>
      </c>
      <c r="E2360">
        <v>0.52028459999999999</v>
      </c>
      <c r="F2360" t="s">
        <v>42</v>
      </c>
      <c r="G2360">
        <v>-494.56830000000002</v>
      </c>
      <c r="H2360" s="1">
        <v>-3.1795959999999999E-6</v>
      </c>
      <c r="I2360">
        <v>234.16739999999999</v>
      </c>
      <c r="J2360">
        <v>-496.36799999999999</v>
      </c>
      <c r="K2360">
        <v>1.1107659999999999</v>
      </c>
      <c r="L2360">
        <v>253.51179999999999</v>
      </c>
      <c r="M2360">
        <v>-9.3411460000000002E-2</v>
      </c>
      <c r="N2360">
        <v>0</v>
      </c>
      <c r="O2360">
        <v>-0.99556129999999998</v>
      </c>
      <c r="P2360">
        <v>0.146281299999999</v>
      </c>
      <c r="Q2360">
        <v>6.9188599999999998E-3</v>
      </c>
      <c r="R2360">
        <v>-0.98921899999999996</v>
      </c>
      <c r="S2360">
        <v>0.27572629999999998</v>
      </c>
      <c r="T2360">
        <v>-0.1708771</v>
      </c>
      <c r="U2360">
        <v>-2.992432</v>
      </c>
      <c r="V2360">
        <v>-0.23807990000000001</v>
      </c>
      <c r="W2360">
        <v>1.7713880000000001E-2</v>
      </c>
      <c r="X2360">
        <v>0.97108410000000001</v>
      </c>
      <c r="Y2360">
        <v>-0.1842289</v>
      </c>
      <c r="Z2360">
        <v>5.6029530000000001E-2</v>
      </c>
      <c r="AA2360">
        <v>0.98128510000000002</v>
      </c>
      <c r="AB2360">
        <v>10</v>
      </c>
      <c r="AC2360">
        <v>1.7997000000000201</v>
      </c>
      <c r="AD2360">
        <v>-1.110769179596</v>
      </c>
      <c r="AE2360">
        <v>-19.3444</v>
      </c>
      <c r="AF2360">
        <v>-3.5872118129755202</v>
      </c>
      <c r="AG2360">
        <v>-1.110769179596</v>
      </c>
      <c r="AH2360">
        <v>19.029479062224599</v>
      </c>
      <c r="AI2360">
        <v>93.282928775710104</v>
      </c>
      <c r="AJ2360">
        <v>100.67544582325399</v>
      </c>
      <c r="AK2360">
        <v>19.396467981081901</v>
      </c>
      <c r="AL2360">
        <v>88.985016427885498</v>
      </c>
      <c r="AM2360">
        <v>103.775445151765</v>
      </c>
      <c r="AN2360">
        <v>1.0000000748007301</v>
      </c>
    </row>
    <row r="2361" spans="1:40" x14ac:dyDescent="0.25">
      <c r="A2361" t="str">
        <f>"20190312151314475"</f>
        <v>20190312151314475</v>
      </c>
      <c r="B2361" t="str">
        <f>"1552374794472884"</f>
        <v>1552374794472884</v>
      </c>
      <c r="C2361" t="s">
        <v>40</v>
      </c>
      <c r="D2361">
        <v>4.4241239999999999</v>
      </c>
      <c r="E2361">
        <v>0.52074299999999996</v>
      </c>
      <c r="F2361" t="s">
        <v>42</v>
      </c>
      <c r="G2361">
        <v>-494.41919999999999</v>
      </c>
      <c r="H2361" s="1">
        <v>-2.6032610000000001E-6</v>
      </c>
      <c r="I2361">
        <v>232.91640000000001</v>
      </c>
      <c r="J2361">
        <v>-496.37529999999998</v>
      </c>
      <c r="K2361">
        <v>1.110762</v>
      </c>
      <c r="L2361">
        <v>253.40379999999999</v>
      </c>
      <c r="M2361">
        <v>-9.0962639999999997E-2</v>
      </c>
      <c r="N2361">
        <v>0</v>
      </c>
      <c r="O2361">
        <v>-0.99578840000000002</v>
      </c>
      <c r="P2361">
        <v>0.148565</v>
      </c>
      <c r="Q2361">
        <v>7.4418510000000002E-3</v>
      </c>
      <c r="R2361">
        <v>-0.98887440000000004</v>
      </c>
      <c r="S2361">
        <v>0.28311160000000002</v>
      </c>
      <c r="T2361">
        <v>-0.16136600000000001</v>
      </c>
      <c r="U2361">
        <v>-2.9919739999999999</v>
      </c>
      <c r="V2361">
        <v>-0.23793420000000001</v>
      </c>
      <c r="W2361">
        <v>1.8203029999999999E-2</v>
      </c>
      <c r="X2361">
        <v>0.97111069999999999</v>
      </c>
      <c r="Y2361">
        <v>-0.18424260000000001</v>
      </c>
      <c r="Z2361">
        <v>5.2940380000000002E-2</v>
      </c>
      <c r="AA2361">
        <v>0.98145400000000005</v>
      </c>
      <c r="AB2361">
        <v>10</v>
      </c>
      <c r="AC2361">
        <v>1.95609999999999</v>
      </c>
      <c r="AD2361">
        <v>-1.1107646032609999</v>
      </c>
      <c r="AE2361">
        <v>-20.487399999999901</v>
      </c>
      <c r="AF2361">
        <v>-3.8006289057273199</v>
      </c>
      <c r="AG2361">
        <v>-1.1107646032609999</v>
      </c>
      <c r="AH2361">
        <v>20.165769264797198</v>
      </c>
      <c r="AI2361">
        <v>93.098324270582197</v>
      </c>
      <c r="AJ2361">
        <v>100.673297826405</v>
      </c>
      <c r="AK2361">
        <v>20.5508352171863</v>
      </c>
      <c r="AL2361">
        <v>88.956985614011003</v>
      </c>
      <c r="AM2361">
        <v>103.76697296445801</v>
      </c>
      <c r="AN2361">
        <v>1.00000001274265</v>
      </c>
    </row>
    <row r="2362" spans="1:40" x14ac:dyDescent="0.25">
      <c r="A2362" t="str">
        <f>"20190312151314495"</f>
        <v>20190312151314495</v>
      </c>
      <c r="B2362" t="str">
        <f>"1552374794492404"</f>
        <v>1552374794492404</v>
      </c>
      <c r="C2362" t="s">
        <v>40</v>
      </c>
      <c r="D2362">
        <v>4.3822099999999997</v>
      </c>
      <c r="E2362">
        <v>0.5209049</v>
      </c>
      <c r="F2362" t="s">
        <v>42</v>
      </c>
      <c r="G2362">
        <v>-494.40379999999999</v>
      </c>
      <c r="H2362" s="1">
        <v>-2.5588329999999998E-6</v>
      </c>
      <c r="I2362">
        <v>232.82239999999999</v>
      </c>
      <c r="J2362">
        <v>-496.38150000000002</v>
      </c>
      <c r="K2362">
        <v>1.1107549999999999</v>
      </c>
      <c r="L2362">
        <v>253.3083</v>
      </c>
      <c r="M2362">
        <v>-8.8812959999999996E-2</v>
      </c>
      <c r="N2362">
        <v>0</v>
      </c>
      <c r="O2362">
        <v>-0.9959829</v>
      </c>
      <c r="P2362">
        <v>0.15043609999999999</v>
      </c>
      <c r="Q2362">
        <v>7.3768000000000002E-3</v>
      </c>
      <c r="R2362">
        <v>-0.98859240000000004</v>
      </c>
      <c r="S2362">
        <v>0.28659059999999997</v>
      </c>
      <c r="T2362">
        <v>-0.16147210000000001</v>
      </c>
      <c r="U2362">
        <v>-2.9919129999999998</v>
      </c>
      <c r="V2362">
        <v>-0.23767479999999999</v>
      </c>
      <c r="W2362">
        <v>1.8111970000000002E-2</v>
      </c>
      <c r="X2362">
        <v>0.97117589999999998</v>
      </c>
      <c r="Y2362">
        <v>-0.18325350000000001</v>
      </c>
      <c r="Z2362">
        <v>5.2993899999999997E-2</v>
      </c>
      <c r="AA2362">
        <v>0.98163630000000002</v>
      </c>
      <c r="AB2362">
        <v>10</v>
      </c>
      <c r="AC2362">
        <v>1.97770000000002</v>
      </c>
      <c r="AD2362">
        <v>-1.1107575588330001</v>
      </c>
      <c r="AE2362">
        <v>-20.485900000000001</v>
      </c>
      <c r="AF2362">
        <v>-3.7784102533089698</v>
      </c>
      <c r="AG2362">
        <v>-1.1107575588330001</v>
      </c>
      <c r="AH2362">
        <v>20.170527673830701</v>
      </c>
      <c r="AI2362">
        <v>93.098218230810204</v>
      </c>
      <c r="AJ2362">
        <v>100.609875864393</v>
      </c>
      <c r="AK2362">
        <v>20.551407568280698</v>
      </c>
      <c r="AL2362">
        <v>88.962203805732599</v>
      </c>
      <c r="AM2362">
        <v>103.751645906619</v>
      </c>
      <c r="AN2362">
        <v>0.99999999137656503</v>
      </c>
    </row>
    <row r="2363" spans="1:40" x14ac:dyDescent="0.25">
      <c r="A2363" t="str">
        <f>"20190312151314518"</f>
        <v>20190312151314518</v>
      </c>
      <c r="B2363" t="str">
        <f>"1552374794512901"</f>
        <v>1552374794512901</v>
      </c>
      <c r="C2363" t="s">
        <v>40</v>
      </c>
      <c r="D2363">
        <v>4.408506</v>
      </c>
      <c r="E2363">
        <v>0.52107029999999999</v>
      </c>
      <c r="F2363" t="s">
        <v>42</v>
      </c>
      <c r="G2363">
        <v>-494.38459999999998</v>
      </c>
      <c r="H2363" s="1">
        <v>-2.5367560000000001E-6</v>
      </c>
      <c r="I2363">
        <v>232.78290000000001</v>
      </c>
      <c r="J2363">
        <v>-496.38799999999998</v>
      </c>
      <c r="K2363">
        <v>1.110746</v>
      </c>
      <c r="L2363">
        <v>253.203</v>
      </c>
      <c r="M2363">
        <v>-8.6460549999999997E-2</v>
      </c>
      <c r="N2363">
        <v>0</v>
      </c>
      <c r="O2363">
        <v>-0.99619029999999997</v>
      </c>
      <c r="P2363">
        <v>0.15206059999999999</v>
      </c>
      <c r="Q2363">
        <v>7.1939200000000003E-3</v>
      </c>
      <c r="R2363">
        <v>-0.98834529999999998</v>
      </c>
      <c r="S2363">
        <v>0.29104609999999997</v>
      </c>
      <c r="T2363">
        <v>-0.16189379999999901</v>
      </c>
      <c r="U2363">
        <v>-2.9915919999999998</v>
      </c>
      <c r="V2363">
        <v>-0.23697679999999999</v>
      </c>
      <c r="W2363">
        <v>1.790601E-2</v>
      </c>
      <c r="X2363">
        <v>0.9713503</v>
      </c>
      <c r="Y2363">
        <v>-0.18238960000000001</v>
      </c>
      <c r="Z2363">
        <v>5.3154890000000003E-2</v>
      </c>
      <c r="AA2363">
        <v>0.98178849999999995</v>
      </c>
      <c r="AB2363">
        <v>10</v>
      </c>
      <c r="AC2363">
        <v>2.0034000000000498</v>
      </c>
      <c r="AD2363">
        <v>-1.1107485367559999</v>
      </c>
      <c r="AE2363">
        <v>-20.420099999999898</v>
      </c>
      <c r="AF2363">
        <v>-3.75055287207628</v>
      </c>
      <c r="AG2363">
        <v>-1.1107485367559999</v>
      </c>
      <c r="AH2363">
        <v>20.111457650699201</v>
      </c>
      <c r="AI2363">
        <v>93.107742778019102</v>
      </c>
      <c r="AJ2363">
        <v>100.563651197677</v>
      </c>
      <c r="AK2363">
        <v>20.488317109855899</v>
      </c>
      <c r="AL2363">
        <v>88.974006385099699</v>
      </c>
      <c r="AM2363">
        <v>103.71041788629</v>
      </c>
      <c r="AN2363">
        <v>1.00000001712122</v>
      </c>
    </row>
    <row r="2364" spans="1:40" x14ac:dyDescent="0.25">
      <c r="A2364" t="str">
        <f>"20190312151314541"</f>
        <v>20190312151314541</v>
      </c>
      <c r="B2364" t="str">
        <f>"1552374794532420"</f>
        <v>1552374794532420</v>
      </c>
      <c r="C2364" t="s">
        <v>40</v>
      </c>
      <c r="D2364">
        <v>4.3850689999999997</v>
      </c>
      <c r="E2364">
        <v>0.52124099999999995</v>
      </c>
      <c r="F2364" t="s">
        <v>42</v>
      </c>
      <c r="G2364">
        <v>-494.36970000000002</v>
      </c>
      <c r="H2364" s="1">
        <v>-2.5057439999999999E-6</v>
      </c>
      <c r="I2364">
        <v>232.71979999999999</v>
      </c>
      <c r="J2364">
        <v>-496.39440000000002</v>
      </c>
      <c r="K2364">
        <v>1.1107370000000001</v>
      </c>
      <c r="L2364">
        <v>253.09719999999999</v>
      </c>
      <c r="M2364">
        <v>-8.4111870000000005E-2</v>
      </c>
      <c r="N2364">
        <v>0</v>
      </c>
      <c r="O2364">
        <v>-0.99639180000000005</v>
      </c>
      <c r="P2364">
        <v>0.15387529999999999</v>
      </c>
      <c r="Q2364">
        <v>7.2412750000000001E-3</v>
      </c>
      <c r="R2364">
        <v>-0.98806430000000001</v>
      </c>
      <c r="S2364">
        <v>0.29473880000000002</v>
      </c>
      <c r="T2364">
        <v>-0.16220570000000001</v>
      </c>
      <c r="U2364">
        <v>-2.9912109999999998</v>
      </c>
      <c r="V2364">
        <v>-0.23647000000000001</v>
      </c>
      <c r="W2364">
        <v>1.7933660000000001E-2</v>
      </c>
      <c r="X2364">
        <v>0.97147329999999998</v>
      </c>
      <c r="Y2364">
        <v>-0.18128359999999999</v>
      </c>
      <c r="Z2364">
        <v>5.3282370000000003E-2</v>
      </c>
      <c r="AA2364">
        <v>0.98198640000000004</v>
      </c>
      <c r="AB2364">
        <v>10</v>
      </c>
      <c r="AC2364">
        <v>2.02469999999999</v>
      </c>
      <c r="AD2364">
        <v>-1.1107395057439999</v>
      </c>
      <c r="AE2364">
        <v>-20.377399999999898</v>
      </c>
      <c r="AF2364">
        <v>-3.72066894515965</v>
      </c>
      <c r="AG2364">
        <v>-1.1107395057439999</v>
      </c>
      <c r="AH2364">
        <v>20.075801997520401</v>
      </c>
      <c r="AI2364">
        <v>93.113872437622902</v>
      </c>
      <c r="AJ2364">
        <v>100.49955570511899</v>
      </c>
      <c r="AK2364">
        <v>20.447859190945699</v>
      </c>
      <c r="AL2364">
        <v>88.972421910327199</v>
      </c>
      <c r="AM2364">
        <v>103.680532638286</v>
      </c>
      <c r="AN2364">
        <v>1.0000000248369401</v>
      </c>
    </row>
    <row r="2365" spans="1:40" x14ac:dyDescent="0.25">
      <c r="A2365" t="str">
        <f>"20190312151314564"</f>
        <v>20190312151314564</v>
      </c>
      <c r="B2365" t="str">
        <f>"1552374794552917"</f>
        <v>1552374794552917</v>
      </c>
      <c r="C2365" t="s">
        <v>40</v>
      </c>
      <c r="D2365">
        <v>4.3766970000000001</v>
      </c>
      <c r="E2365">
        <v>0.52139159999999996</v>
      </c>
      <c r="F2365" t="s">
        <v>42</v>
      </c>
      <c r="G2365">
        <v>-494.33440000000002</v>
      </c>
      <c r="H2365" s="1">
        <v>-2.399606E-6</v>
      </c>
      <c r="I2365">
        <v>232.49430000000001</v>
      </c>
      <c r="J2365">
        <v>-496.40069999999997</v>
      </c>
      <c r="K2365">
        <v>1.11073</v>
      </c>
      <c r="L2365">
        <v>252.98920000000001</v>
      </c>
      <c r="M2365">
        <v>-8.1730700000000003E-2</v>
      </c>
      <c r="N2365">
        <v>0</v>
      </c>
      <c r="O2365">
        <v>-0.99658990000000003</v>
      </c>
      <c r="P2365">
        <v>0.1553435</v>
      </c>
      <c r="Q2365">
        <v>6.9184019999999997E-3</v>
      </c>
      <c r="R2365">
        <v>-0.98783659999999995</v>
      </c>
      <c r="S2365">
        <v>0.29904170000000002</v>
      </c>
      <c r="T2365">
        <v>-0.16124439999999901</v>
      </c>
      <c r="U2365">
        <v>-2.990891</v>
      </c>
      <c r="V2365">
        <v>-0.2355921</v>
      </c>
      <c r="W2365">
        <v>1.7595639999999999E-2</v>
      </c>
      <c r="X2365">
        <v>0.97169269999999996</v>
      </c>
      <c r="Y2365">
        <v>-0.18034449999999999</v>
      </c>
      <c r="Z2365">
        <v>5.2990009999999997E-2</v>
      </c>
      <c r="AA2365">
        <v>0.98217509999999997</v>
      </c>
      <c r="AB2365">
        <v>11</v>
      </c>
      <c r="AC2365">
        <v>2.0662999999999498</v>
      </c>
      <c r="AD2365">
        <v>-1.1107323996059999</v>
      </c>
      <c r="AE2365">
        <v>-20.494900000000001</v>
      </c>
      <c r="AF2365">
        <v>-3.7237293668654399</v>
      </c>
      <c r="AG2365">
        <v>-1.1107323996059999</v>
      </c>
      <c r="AH2365">
        <v>20.198703630815199</v>
      </c>
      <c r="AI2365">
        <v>93.095481845899798</v>
      </c>
      <c r="AJ2365">
        <v>100.445473958397</v>
      </c>
      <c r="AK2365">
        <v>20.569091259136801</v>
      </c>
      <c r="AL2365">
        <v>88.991792034436799</v>
      </c>
      <c r="AM2365">
        <v>103.628678600564</v>
      </c>
      <c r="AN2365">
        <v>0.99999997368135396</v>
      </c>
    </row>
    <row r="2366" spans="1:40" x14ac:dyDescent="0.25">
      <c r="A2366" t="str">
        <f>"20190312151314589"</f>
        <v>20190312151314589</v>
      </c>
      <c r="B2366" t="str">
        <f>"1552374794582196"</f>
        <v>1552374794582196</v>
      </c>
      <c r="C2366" t="s">
        <v>40</v>
      </c>
      <c r="D2366">
        <v>4.4085489999999998</v>
      </c>
      <c r="E2366">
        <v>0.52182299999999904</v>
      </c>
      <c r="F2366" t="s">
        <v>42</v>
      </c>
      <c r="G2366">
        <v>-494.32670000000002</v>
      </c>
      <c r="H2366" s="1">
        <v>-2.3926549999999998E-6</v>
      </c>
      <c r="I2366">
        <v>232.4829</v>
      </c>
      <c r="J2366">
        <v>-496.40690000000001</v>
      </c>
      <c r="K2366">
        <v>1.1107180000000001</v>
      </c>
      <c r="L2366">
        <v>252.8792</v>
      </c>
      <c r="M2366">
        <v>-7.9319269999999997E-2</v>
      </c>
      <c r="N2366">
        <v>0</v>
      </c>
      <c r="O2366">
        <v>-0.99678500000000003</v>
      </c>
      <c r="P2366">
        <v>0.157410299999999</v>
      </c>
      <c r="Q2366">
        <v>6.4819860000000003E-3</v>
      </c>
      <c r="R2366">
        <v>-0.98751239999999996</v>
      </c>
      <c r="S2366">
        <v>0.3024597</v>
      </c>
      <c r="T2366">
        <v>-0.16198280000000001</v>
      </c>
      <c r="U2366">
        <v>-2.9905240000000002</v>
      </c>
      <c r="V2366">
        <v>-0.2352737</v>
      </c>
      <c r="W2366">
        <v>1.7143660000000002E-2</v>
      </c>
      <c r="X2366">
        <v>0.97177789999999997</v>
      </c>
      <c r="Y2366">
        <v>-0.17908650000000001</v>
      </c>
      <c r="Z2366">
        <v>5.3257390000000002E-2</v>
      </c>
      <c r="AA2366">
        <v>0.98239080000000001</v>
      </c>
      <c r="AB2366">
        <v>11</v>
      </c>
      <c r="AC2366">
        <v>2.0801999999999898</v>
      </c>
      <c r="AD2366">
        <v>-1.110720392655</v>
      </c>
      <c r="AE2366">
        <v>-20.3963</v>
      </c>
      <c r="AF2366">
        <v>-3.6807651103218002</v>
      </c>
      <c r="AG2366">
        <v>-1.110720392655</v>
      </c>
      <c r="AH2366">
        <v>20.108000269436801</v>
      </c>
      <c r="AI2366">
        <v>93.110103888017207</v>
      </c>
      <c r="AJ2366">
        <v>100.37313915273</v>
      </c>
      <c r="AK2366">
        <v>20.472259436215001</v>
      </c>
      <c r="AL2366">
        <v>89.017692468845695</v>
      </c>
      <c r="AM2366">
        <v>103.609796267693</v>
      </c>
      <c r="AN2366">
        <v>0.99999995295914601</v>
      </c>
    </row>
    <row r="2367" spans="1:40" x14ac:dyDescent="0.25">
      <c r="A2367" t="str">
        <f>"20190312151314607"</f>
        <v>20190312151314607</v>
      </c>
      <c r="B2367" t="str">
        <f>"1552374794602693"</f>
        <v>1552374794602693</v>
      </c>
      <c r="C2367" t="s">
        <v>40</v>
      </c>
      <c r="D2367">
        <v>4.4202320000000004</v>
      </c>
      <c r="E2367">
        <v>0.52210310000000004</v>
      </c>
      <c r="F2367" t="s">
        <v>42</v>
      </c>
      <c r="G2367">
        <v>-494.32049999999998</v>
      </c>
      <c r="H2367" s="1">
        <v>-2.379644E-6</v>
      </c>
      <c r="I2367">
        <v>232.4564</v>
      </c>
      <c r="J2367">
        <v>-496.41180000000003</v>
      </c>
      <c r="K2367">
        <v>1.1107180000000001</v>
      </c>
      <c r="L2367">
        <v>252.78710000000001</v>
      </c>
      <c r="M2367">
        <v>-7.7312370000000005E-2</v>
      </c>
      <c r="N2367">
        <v>0</v>
      </c>
      <c r="O2367">
        <v>-0.99694289999999997</v>
      </c>
      <c r="P2367">
        <v>0.15865940000000001</v>
      </c>
      <c r="Q2367">
        <v>6.4903679999999998E-3</v>
      </c>
      <c r="R2367">
        <v>-0.98731230000000003</v>
      </c>
      <c r="S2367">
        <v>0.305481</v>
      </c>
      <c r="T2367">
        <v>-0.1626322</v>
      </c>
      <c r="U2367">
        <v>-2.9903110000000002</v>
      </c>
      <c r="V2367">
        <v>-0.23454659999999999</v>
      </c>
      <c r="W2367">
        <v>1.7142709999999999E-2</v>
      </c>
      <c r="X2367">
        <v>0.97195370000000003</v>
      </c>
      <c r="Y2367">
        <v>-0.178094</v>
      </c>
      <c r="Z2367">
        <v>5.348907E-2</v>
      </c>
      <c r="AA2367">
        <v>0.98255859999999995</v>
      </c>
      <c r="AB2367">
        <v>11</v>
      </c>
      <c r="AC2367">
        <v>2.0913000000000399</v>
      </c>
      <c r="AD2367">
        <v>-1.1107203796439999</v>
      </c>
      <c r="AE2367">
        <v>-20.3307</v>
      </c>
      <c r="AF2367">
        <v>-3.64618577516555</v>
      </c>
      <c r="AG2367">
        <v>-1.1107203796439999</v>
      </c>
      <c r="AH2367">
        <v>20.048933043309098</v>
      </c>
      <c r="AI2367">
        <v>93.119900343932898</v>
      </c>
      <c r="AJ2367">
        <v>100.307405933033</v>
      </c>
      <c r="AK2367">
        <v>20.408039755053998</v>
      </c>
      <c r="AL2367">
        <v>89.017746941780601</v>
      </c>
      <c r="AM2367">
        <v>103.56692981042799</v>
      </c>
      <c r="AN2367">
        <v>0.99999998751069696</v>
      </c>
    </row>
    <row r="2368" spans="1:40" x14ac:dyDescent="0.25">
      <c r="A2368" t="str">
        <f>"20190312151314641"</f>
        <v>20190312151314641</v>
      </c>
      <c r="B2368" t="str">
        <f>"1552374794632948"</f>
        <v>1552374794632948</v>
      </c>
      <c r="C2368" t="s">
        <v>40</v>
      </c>
      <c r="D2368">
        <v>4.4678149999999999</v>
      </c>
      <c r="E2368">
        <v>0.52239609999999903</v>
      </c>
      <c r="F2368" t="s">
        <v>42</v>
      </c>
      <c r="G2368">
        <v>-494.32130000000001</v>
      </c>
      <c r="H2368" s="1">
        <v>-2.3707049999999999E-6</v>
      </c>
      <c r="I2368">
        <v>232.43510000000001</v>
      </c>
      <c r="J2368">
        <v>-496.42</v>
      </c>
      <c r="K2368">
        <v>1.1107129999999901</v>
      </c>
      <c r="L2368">
        <v>252.62690000000001</v>
      </c>
      <c r="M2368">
        <v>-7.3836620000000006E-2</v>
      </c>
      <c r="N2368">
        <v>0</v>
      </c>
      <c r="O2368">
        <v>-0.99720660000000005</v>
      </c>
      <c r="P2368">
        <v>0.16196070000000001</v>
      </c>
      <c r="Q2368">
        <v>6.8089580000000004E-3</v>
      </c>
      <c r="R2368">
        <v>-0.98677380000000003</v>
      </c>
      <c r="S2368">
        <v>0.30715940000000003</v>
      </c>
      <c r="T2368">
        <v>-0.16319320000000001</v>
      </c>
      <c r="U2368">
        <v>-2.9902340000000001</v>
      </c>
      <c r="V2368">
        <v>-0.23440910000000001</v>
      </c>
      <c r="W2368">
        <v>1.7440210000000001E-2</v>
      </c>
      <c r="X2368">
        <v>0.9719816</v>
      </c>
      <c r="Y2368">
        <v>-0.17521030000000001</v>
      </c>
      <c r="Z2368">
        <v>5.370846E-2</v>
      </c>
      <c r="AA2368">
        <v>0.98306490000000002</v>
      </c>
      <c r="AB2368">
        <v>11</v>
      </c>
      <c r="AC2368">
        <v>2.0987</v>
      </c>
      <c r="AD2368">
        <v>-1.1107153707049999</v>
      </c>
      <c r="AE2368">
        <v>-20.191800000000001</v>
      </c>
      <c r="AF2368">
        <v>-3.5732628137689701</v>
      </c>
      <c r="AG2368">
        <v>-1.1107153707049999</v>
      </c>
      <c r="AH2368">
        <v>19.922067660094701</v>
      </c>
      <c r="AI2368">
        <v>93.141086073946497</v>
      </c>
      <c r="AJ2368">
        <v>100.168564830082</v>
      </c>
      <c r="AK2368">
        <v>20.270438466505201</v>
      </c>
      <c r="AL2368">
        <v>89.000698919662298</v>
      </c>
      <c r="AM2368">
        <v>103.55889525674</v>
      </c>
      <c r="AN2368">
        <v>1.0000000089131</v>
      </c>
    </row>
    <row r="2369" spans="1:40" x14ac:dyDescent="0.25">
      <c r="A2369" t="str">
        <f>"20190312151314664"</f>
        <v>20190312151314664</v>
      </c>
      <c r="B2369" t="str">
        <f>"1552374794652472"</f>
        <v>1552374794652472</v>
      </c>
      <c r="C2369" t="s">
        <v>40</v>
      </c>
      <c r="D2369">
        <v>4.4970650000000001</v>
      </c>
      <c r="E2369">
        <v>0.52237549999999999</v>
      </c>
      <c r="F2369" t="s">
        <v>42</v>
      </c>
      <c r="G2369">
        <v>-494.29840000000002</v>
      </c>
      <c r="H2369" s="1">
        <v>-2.3845429999999999E-6</v>
      </c>
      <c r="I2369">
        <v>232.48150000000001</v>
      </c>
      <c r="J2369">
        <v>-496.42500000000001</v>
      </c>
      <c r="K2369">
        <v>1.1107089999999999</v>
      </c>
      <c r="L2369">
        <v>252.5241</v>
      </c>
      <c r="M2369">
        <v>-7.1618669999999995E-2</v>
      </c>
      <c r="N2369">
        <v>0</v>
      </c>
      <c r="O2369">
        <v>-0.99736829999999999</v>
      </c>
      <c r="P2369">
        <v>0.16475619999999999</v>
      </c>
      <c r="Q2369">
        <v>7.0679840000000002E-3</v>
      </c>
      <c r="R2369">
        <v>-0.98630899999999999</v>
      </c>
      <c r="S2369">
        <v>0.31484990000000002</v>
      </c>
      <c r="T2369">
        <v>-0.16483689999999901</v>
      </c>
      <c r="U2369">
        <v>-2.9897</v>
      </c>
      <c r="V2369">
        <v>-0.23500180000000001</v>
      </c>
      <c r="W2369">
        <v>1.7680020000000001E-2</v>
      </c>
      <c r="X2369">
        <v>0.97183410000000003</v>
      </c>
      <c r="Y2369">
        <v>-0.1755372</v>
      </c>
      <c r="Z2369">
        <v>5.4261940000000002E-2</v>
      </c>
      <c r="AA2369">
        <v>0.98297630000000003</v>
      </c>
      <c r="AB2369">
        <v>11</v>
      </c>
      <c r="AC2369">
        <v>2.1265999999999901</v>
      </c>
      <c r="AD2369">
        <v>-1.1107113845429999</v>
      </c>
      <c r="AE2369">
        <v>-20.0426</v>
      </c>
      <c r="AF2369">
        <v>-3.5458855187295599</v>
      </c>
      <c r="AG2369">
        <v>-1.1107113845429999</v>
      </c>
      <c r="AH2369">
        <v>19.778745487077799</v>
      </c>
      <c r="AI2369">
        <v>93.1638361699207</v>
      </c>
      <c r="AJ2369">
        <v>100.163875759444</v>
      </c>
      <c r="AK2369">
        <v>20.1247548291722</v>
      </c>
      <c r="AL2369">
        <v>88.9869566640823</v>
      </c>
      <c r="AM2369">
        <v>103.593894799426</v>
      </c>
      <c r="AN2369">
        <v>0.99999997351662495</v>
      </c>
    </row>
    <row r="2370" spans="1:40" x14ac:dyDescent="0.25">
      <c r="A2370" t="str">
        <f>"20190312151314686"</f>
        <v>20190312151314686</v>
      </c>
      <c r="B2370" t="str">
        <f>"1552374794682234"</f>
        <v>1552374794682234</v>
      </c>
      <c r="C2370" t="s">
        <v>40</v>
      </c>
      <c r="D2370">
        <v>4.5042269999999904</v>
      </c>
      <c r="E2370">
        <v>0.52403520000000003</v>
      </c>
      <c r="F2370" t="s">
        <v>42</v>
      </c>
      <c r="G2370">
        <v>-494.28960000000001</v>
      </c>
      <c r="H2370" s="1">
        <v>-2.517093E-6</v>
      </c>
      <c r="I2370">
        <v>232.79599999999999</v>
      </c>
      <c r="J2370">
        <v>-496.4298</v>
      </c>
      <c r="K2370">
        <v>1.110698</v>
      </c>
      <c r="L2370">
        <v>252.4213</v>
      </c>
      <c r="M2370">
        <v>-6.9414580000000004E-2</v>
      </c>
      <c r="N2370">
        <v>0</v>
      </c>
      <c r="O2370">
        <v>-0.99752459999999998</v>
      </c>
      <c r="P2370">
        <v>0.1672526</v>
      </c>
      <c r="Q2370">
        <v>6.8151499999999999E-3</v>
      </c>
      <c r="R2370">
        <v>-0.98589070000000001</v>
      </c>
      <c r="S2370">
        <v>0.32351679999999999</v>
      </c>
      <c r="T2370">
        <v>-0.168271799999999</v>
      </c>
      <c r="U2370">
        <v>-2.988785</v>
      </c>
      <c r="V2370">
        <v>-0.23531479999999999</v>
      </c>
      <c r="W2370">
        <v>1.740446E-2</v>
      </c>
      <c r="X2370">
        <v>0.97176340000000005</v>
      </c>
      <c r="Y2370">
        <v>-0.17620469999999999</v>
      </c>
      <c r="Z2370">
        <v>5.540726E-2</v>
      </c>
      <c r="AA2370">
        <v>0.98279289999999997</v>
      </c>
      <c r="AB2370">
        <v>11</v>
      </c>
      <c r="AC2370">
        <v>2.1401999999999899</v>
      </c>
      <c r="AD2370">
        <v>-1.110700517093</v>
      </c>
      <c r="AE2370">
        <v>-19.625299999999999</v>
      </c>
      <c r="AF2370">
        <v>-3.48636924297859</v>
      </c>
      <c r="AG2370">
        <v>-1.110700517093</v>
      </c>
      <c r="AH2370">
        <v>19.3680778628508</v>
      </c>
      <c r="AI2370">
        <v>93.230339207313705</v>
      </c>
      <c r="AJ2370">
        <v>100.204303896914</v>
      </c>
      <c r="AK2370">
        <v>19.710678989788999</v>
      </c>
      <c r="AL2370">
        <v>89.002747583667698</v>
      </c>
      <c r="AM2370">
        <v>103.61228086944401</v>
      </c>
      <c r="AN2370">
        <v>1.0000000379532401</v>
      </c>
    </row>
    <row r="2371" spans="1:40" x14ac:dyDescent="0.25">
      <c r="A2371" t="str">
        <f>"20190312151314710"</f>
        <v>20190312151314710</v>
      </c>
      <c r="B2371" t="str">
        <f>"1552374794702730"</f>
        <v>1552374794702730</v>
      </c>
      <c r="C2371" t="s">
        <v>40</v>
      </c>
      <c r="D2371">
        <v>4.5144769999999896</v>
      </c>
      <c r="E2371">
        <v>0.52358720000000003</v>
      </c>
      <c r="F2371" t="s">
        <v>42</v>
      </c>
      <c r="G2371">
        <v>-495.09589999999997</v>
      </c>
      <c r="H2371" s="1">
        <v>-1.524722E-6</v>
      </c>
      <c r="I2371">
        <v>239.98269999999999</v>
      </c>
      <c r="J2371">
        <v>-496.43470000000002</v>
      </c>
      <c r="K2371">
        <v>1.1106769999999999</v>
      </c>
      <c r="L2371">
        <v>252.30860000000001</v>
      </c>
      <c r="M2371">
        <v>-6.702197E-2</v>
      </c>
      <c r="N2371">
        <v>0</v>
      </c>
      <c r="O2371">
        <v>-0.99768849999999998</v>
      </c>
      <c r="P2371">
        <v>0.16994229999999999</v>
      </c>
      <c r="Q2371">
        <v>6.5485069999999899E-3</v>
      </c>
      <c r="R2371">
        <v>-0.98543230000000004</v>
      </c>
      <c r="S2371">
        <v>0.32067869999999998</v>
      </c>
      <c r="T2371">
        <v>-0.26702189999999998</v>
      </c>
      <c r="U2371">
        <v>-2.9903559999999998</v>
      </c>
      <c r="V2371">
        <v>-0.23563529999999999</v>
      </c>
      <c r="W2371">
        <v>1.7106E-2</v>
      </c>
      <c r="X2371">
        <v>0.97169099999999997</v>
      </c>
      <c r="Y2371">
        <v>-0.17261660000000001</v>
      </c>
      <c r="Z2371">
        <v>8.7722820000000007E-2</v>
      </c>
      <c r="AA2371">
        <v>0.98107500000000003</v>
      </c>
      <c r="AB2371">
        <v>11</v>
      </c>
      <c r="AC2371">
        <v>1.33880000000004</v>
      </c>
      <c r="AD2371">
        <v>-1.1106785247219999</v>
      </c>
      <c r="AE2371">
        <v>-12.325900000000001</v>
      </c>
      <c r="AF2371">
        <v>-2.1447358241747998</v>
      </c>
      <c r="AG2371">
        <v>-1.1106785247219999</v>
      </c>
      <c r="AH2371">
        <v>12.111254081907401</v>
      </c>
      <c r="AI2371">
        <v>95.159891163967302</v>
      </c>
      <c r="AJ2371">
        <v>100.04218225443999</v>
      </c>
      <c r="AK2371">
        <v>12.3497357857282</v>
      </c>
      <c r="AL2371">
        <v>89.019850595146494</v>
      </c>
      <c r="AM2371">
        <v>103.631107391367</v>
      </c>
      <c r="AN2371">
        <v>1.00000000466154</v>
      </c>
    </row>
    <row r="2372" spans="1:40" x14ac:dyDescent="0.25">
      <c r="A2372" t="str">
        <f>"20190312151314731"</f>
        <v>20190312151314731</v>
      </c>
      <c r="B2372" t="str">
        <f>"1552374794722250"</f>
        <v>1552374794722250</v>
      </c>
      <c r="C2372" t="s">
        <v>40</v>
      </c>
      <c r="D2372">
        <v>4.5410830000000004</v>
      </c>
      <c r="E2372">
        <v>0.5238408</v>
      </c>
      <c r="F2372" t="s">
        <v>42</v>
      </c>
      <c r="G2372">
        <v>-495.0421</v>
      </c>
      <c r="H2372" s="1">
        <v>-1.4230730000000001E-6</v>
      </c>
      <c r="I2372">
        <v>239.779</v>
      </c>
      <c r="J2372">
        <v>-496.43900000000002</v>
      </c>
      <c r="K2372">
        <v>1.1106549999999999</v>
      </c>
      <c r="L2372">
        <v>252.20859999999999</v>
      </c>
      <c r="M2372">
        <v>-6.4918149999999994E-2</v>
      </c>
      <c r="N2372">
        <v>0</v>
      </c>
      <c r="O2372">
        <v>-0.9978281</v>
      </c>
      <c r="P2372">
        <v>0.17197309999999999</v>
      </c>
      <c r="Q2372">
        <v>5.5552319999999898E-3</v>
      </c>
      <c r="R2372">
        <v>-0.98508589999999996</v>
      </c>
      <c r="S2372">
        <v>0.33218379999999997</v>
      </c>
      <c r="T2372">
        <v>-0.26494250000000003</v>
      </c>
      <c r="U2372">
        <v>-2.9888150000000002</v>
      </c>
      <c r="V2372">
        <v>-0.23558750000000001</v>
      </c>
      <c r="W2372">
        <v>1.6074270000000002E-2</v>
      </c>
      <c r="X2372">
        <v>0.97172020000000003</v>
      </c>
      <c r="Y2372">
        <v>-0.1743316</v>
      </c>
      <c r="Z2372">
        <v>8.7076360000000005E-2</v>
      </c>
      <c r="AA2372">
        <v>0.98082939999999996</v>
      </c>
      <c r="AB2372">
        <v>11</v>
      </c>
      <c r="AC2372">
        <v>1.39690000000001</v>
      </c>
      <c r="AD2372">
        <v>-1.1106564230730001</v>
      </c>
      <c r="AE2372">
        <v>-12.429599999999899</v>
      </c>
      <c r="AF2372">
        <v>-2.1836918461949</v>
      </c>
      <c r="AG2372">
        <v>-1.1106564230730001</v>
      </c>
      <c r="AH2372">
        <v>12.2163634459398</v>
      </c>
      <c r="AI2372">
        <v>95.114169787736799</v>
      </c>
      <c r="AJ2372">
        <v>100.134663282579</v>
      </c>
      <c r="AK2372">
        <v>12.4595988543992</v>
      </c>
      <c r="AL2372">
        <v>89.078972504220999</v>
      </c>
      <c r="AM2372">
        <v>103.62805111554</v>
      </c>
      <c r="AN2372">
        <v>0.99999999970016096</v>
      </c>
    </row>
    <row r="2373" spans="1:40" x14ac:dyDescent="0.25">
      <c r="A2373" t="str">
        <f>"20190312151314755"</f>
        <v>20190312151314755</v>
      </c>
      <c r="B2373" t="str">
        <f>"1552374794742745"</f>
        <v>1552374794742745</v>
      </c>
      <c r="C2373" t="s">
        <v>40</v>
      </c>
      <c r="D2373">
        <v>4.5547309999999896</v>
      </c>
      <c r="E2373">
        <v>0.52394600000000002</v>
      </c>
      <c r="F2373" t="s">
        <v>42</v>
      </c>
      <c r="G2373">
        <v>-495.0367</v>
      </c>
      <c r="H2373" s="1">
        <v>-1.411785E-6</v>
      </c>
      <c r="I2373">
        <v>239.7561</v>
      </c>
      <c r="J2373">
        <v>-496.44349999999997</v>
      </c>
      <c r="K2373">
        <v>1.1106339999999999</v>
      </c>
      <c r="L2373">
        <v>252.09649999999999</v>
      </c>
      <c r="M2373">
        <v>-6.2580479999999994E-2</v>
      </c>
      <c r="N2373">
        <v>0</v>
      </c>
      <c r="O2373">
        <v>-0.99797809999999998</v>
      </c>
      <c r="P2373">
        <v>0.1740322</v>
      </c>
      <c r="Q2373">
        <v>5.4016619999999998E-3</v>
      </c>
      <c r="R2373">
        <v>-0.98472519999999997</v>
      </c>
      <c r="S2373">
        <v>0.33648679999999997</v>
      </c>
      <c r="T2373">
        <v>-0.26651629999999998</v>
      </c>
      <c r="U2373">
        <v>-2.9881440000000001</v>
      </c>
      <c r="V2373">
        <v>-0.2353422</v>
      </c>
      <c r="W2373">
        <v>1.5866399999999999E-2</v>
      </c>
      <c r="X2373">
        <v>0.97178299999999995</v>
      </c>
      <c r="Y2373">
        <v>-0.1734388</v>
      </c>
      <c r="Z2373">
        <v>8.7628880000000006E-2</v>
      </c>
      <c r="AA2373">
        <v>0.98093839999999999</v>
      </c>
      <c r="AB2373">
        <v>11</v>
      </c>
      <c r="AC2373">
        <v>1.4067999999999701</v>
      </c>
      <c r="AD2373">
        <v>-1.1106354117849999</v>
      </c>
      <c r="AE2373">
        <v>-12.340399999999899</v>
      </c>
      <c r="AF2373">
        <v>-2.1590937508353298</v>
      </c>
      <c r="AG2373">
        <v>-1.1106354117849999</v>
      </c>
      <c r="AH2373">
        <v>12.131163502903</v>
      </c>
      <c r="AI2373">
        <v>95.150482239636602</v>
      </c>
      <c r="AJ2373">
        <v>100.091779985389</v>
      </c>
      <c r="AK2373">
        <v>12.371755121120501</v>
      </c>
      <c r="AL2373">
        <v>89.090884048623195</v>
      </c>
      <c r="AM2373">
        <v>103.613542537079</v>
      </c>
      <c r="AN2373">
        <v>0.99999994641939804</v>
      </c>
    </row>
    <row r="2374" spans="1:40" x14ac:dyDescent="0.25">
      <c r="A2374" t="str">
        <f>"20190312151314776"</f>
        <v>20190312151314776</v>
      </c>
      <c r="B2374" t="str">
        <f>"1552374794772026"</f>
        <v>1552374794772026</v>
      </c>
      <c r="C2374" t="s">
        <v>40</v>
      </c>
      <c r="D2374">
        <v>4.4810610000000004</v>
      </c>
      <c r="E2374">
        <v>0.52408290000000002</v>
      </c>
      <c r="F2374" t="s">
        <v>42</v>
      </c>
      <c r="G2374">
        <v>-495.0256</v>
      </c>
      <c r="H2374" s="1">
        <v>-1.386171E-6</v>
      </c>
      <c r="I2374">
        <v>239.70330000000001</v>
      </c>
      <c r="J2374">
        <v>-496.44740000000002</v>
      </c>
      <c r="K2374">
        <v>1.110617</v>
      </c>
      <c r="L2374">
        <v>251.994</v>
      </c>
      <c r="M2374">
        <v>-6.0463320000000001E-2</v>
      </c>
      <c r="N2374">
        <v>0</v>
      </c>
      <c r="O2374">
        <v>-0.99810920000000003</v>
      </c>
      <c r="P2374">
        <v>0.1759085</v>
      </c>
      <c r="Q2374">
        <v>6.3556130000000004E-3</v>
      </c>
      <c r="R2374">
        <v>-0.98438579999999998</v>
      </c>
      <c r="S2374">
        <v>0.34179690000000001</v>
      </c>
      <c r="T2374">
        <v>-0.26773669999999999</v>
      </c>
      <c r="U2374">
        <v>-2.9875949999999998</v>
      </c>
      <c r="V2374">
        <v>-0.23513300000000001</v>
      </c>
      <c r="W2374">
        <v>1.6763199999999999E-2</v>
      </c>
      <c r="X2374">
        <v>0.97181859999999998</v>
      </c>
      <c r="Y2374">
        <v>-0.17308699999999999</v>
      </c>
      <c r="Z2374">
        <v>8.8054359999999998E-2</v>
      </c>
      <c r="AA2374">
        <v>0.98096249999999996</v>
      </c>
      <c r="AB2374">
        <v>11</v>
      </c>
      <c r="AC2374">
        <v>1.4218000000000099</v>
      </c>
      <c r="AD2374">
        <v>-1.1106183861709999</v>
      </c>
      <c r="AE2374">
        <v>-12.290699999999999</v>
      </c>
      <c r="AF2374">
        <v>-2.1450960969306698</v>
      </c>
      <c r="AG2374">
        <v>-1.1106183861709999</v>
      </c>
      <c r="AH2374">
        <v>12.0848639737927</v>
      </c>
      <c r="AI2374">
        <v>95.170451295370896</v>
      </c>
      <c r="AJ2374">
        <v>100.065319843045</v>
      </c>
      <c r="AK2374">
        <v>12.3239136531315</v>
      </c>
      <c r="AL2374">
        <v>89.039494364259497</v>
      </c>
      <c r="AM2374">
        <v>103.601411209627</v>
      </c>
      <c r="AN2374">
        <v>0.99999996193459895</v>
      </c>
    </row>
    <row r="2375" spans="1:40" x14ac:dyDescent="0.25">
      <c r="A2375" t="str">
        <f>"20190312151314799"</f>
        <v>20190312151314799</v>
      </c>
      <c r="B2375" t="str">
        <f>"1552374794792523"</f>
        <v>1552374794792523</v>
      </c>
      <c r="C2375" t="s">
        <v>40</v>
      </c>
      <c r="D2375">
        <v>4.661092</v>
      </c>
      <c r="E2375">
        <v>0.51095349999999995</v>
      </c>
      <c r="F2375" t="s">
        <v>42</v>
      </c>
      <c r="G2375">
        <v>-494.98129999999998</v>
      </c>
      <c r="H2375" s="1">
        <v>-5.096046E-6</v>
      </c>
      <c r="I2375">
        <v>239.36519999999999</v>
      </c>
      <c r="J2375">
        <v>-496.45139999999998</v>
      </c>
      <c r="K2375">
        <v>1.1106020000000001</v>
      </c>
      <c r="L2375">
        <v>251.88390000000001</v>
      </c>
      <c r="M2375">
        <v>-5.8213929999999997E-2</v>
      </c>
      <c r="N2375">
        <v>0</v>
      </c>
      <c r="O2375">
        <v>-0.99824389999999996</v>
      </c>
      <c r="P2375">
        <v>0.178005</v>
      </c>
      <c r="Q2375">
        <v>6.2693559999999898E-3</v>
      </c>
      <c r="R2375">
        <v>-0.98400989999999999</v>
      </c>
      <c r="S2375">
        <v>0.34680179999999999</v>
      </c>
      <c r="T2375">
        <v>-0.26271699999999998</v>
      </c>
      <c r="U2375">
        <v>-2.9873349999999999</v>
      </c>
      <c r="V2375">
        <v>-0.2350131</v>
      </c>
      <c r="W2375">
        <v>1.660826E-2</v>
      </c>
      <c r="X2375">
        <v>0.97185029999999994</v>
      </c>
      <c r="Y2375">
        <v>-0.17251569999999999</v>
      </c>
      <c r="Z2375">
        <v>8.643729E-2</v>
      </c>
      <c r="AA2375">
        <v>0.98120689999999999</v>
      </c>
      <c r="AB2375">
        <v>11</v>
      </c>
      <c r="AC2375">
        <v>1.4701</v>
      </c>
      <c r="AD2375">
        <v>-1.1106070960459999</v>
      </c>
      <c r="AE2375">
        <v>-12.518700000000001</v>
      </c>
      <c r="AF2375">
        <v>-2.1794927868895799</v>
      </c>
      <c r="AG2375">
        <v>-1.1106070960459999</v>
      </c>
      <c r="AH2375">
        <v>12.316265324714999</v>
      </c>
      <c r="AI2375">
        <v>95.074238275534398</v>
      </c>
      <c r="AJ2375">
        <v>100.035201075125</v>
      </c>
      <c r="AK2375">
        <v>12.556831944350799</v>
      </c>
      <c r="AL2375">
        <v>89.048373043576703</v>
      </c>
      <c r="AM2375">
        <v>103.594306000226</v>
      </c>
      <c r="AN2375">
        <v>0.999999998540963</v>
      </c>
    </row>
    <row r="2376" spans="1:40" x14ac:dyDescent="0.25">
      <c r="A2376" t="str">
        <f>"20190312151314820"</f>
        <v>20190312151314820</v>
      </c>
      <c r="B2376" t="str">
        <f>"1552374794812042"</f>
        <v>1552374794812042</v>
      </c>
      <c r="C2376" t="s">
        <v>40</v>
      </c>
      <c r="D2376">
        <v>4.5991010000000001</v>
      </c>
      <c r="E2376">
        <v>0.50350410000000001</v>
      </c>
      <c r="F2376" t="s">
        <v>53</v>
      </c>
      <c r="G2376">
        <v>-492.7987</v>
      </c>
      <c r="H2376" s="1">
        <v>5.4810349999999996E-6</v>
      </c>
      <c r="I2376">
        <v>227.93170000000001</v>
      </c>
      <c r="J2376">
        <v>-496.45479999999998</v>
      </c>
      <c r="K2376">
        <v>1.1105860000000001</v>
      </c>
      <c r="L2376">
        <v>251.78370000000001</v>
      </c>
      <c r="M2376">
        <v>-5.619524E-2</v>
      </c>
      <c r="N2376">
        <v>0</v>
      </c>
      <c r="O2376">
        <v>-0.99836049999999998</v>
      </c>
      <c r="P2376">
        <v>0.18037909999999999</v>
      </c>
      <c r="Q2376">
        <v>5.9482830000000004E-3</v>
      </c>
      <c r="R2376">
        <v>-0.98357939999999999</v>
      </c>
      <c r="S2376">
        <v>0.45257570000000003</v>
      </c>
      <c r="T2376">
        <v>-0.13760510000000001</v>
      </c>
      <c r="U2376">
        <v>-2.9677280000000001</v>
      </c>
      <c r="V2376">
        <v>-0.2353923</v>
      </c>
      <c r="W2376">
        <v>1.621539E-2</v>
      </c>
      <c r="X2376">
        <v>0.9717652</v>
      </c>
      <c r="Y2376">
        <v>-0.2059175</v>
      </c>
      <c r="Z2376">
        <v>4.5448910000000002E-2</v>
      </c>
      <c r="AA2376">
        <v>0.97751339999999998</v>
      </c>
      <c r="AB2376">
        <v>11</v>
      </c>
      <c r="AC2376">
        <v>3.6560999999999799</v>
      </c>
      <c r="AD2376">
        <v>-1.110580518965</v>
      </c>
      <c r="AE2376">
        <v>-23.852</v>
      </c>
      <c r="AF2376">
        <v>-4.9802211233882803</v>
      </c>
      <c r="AG2376">
        <v>-1.110580518965</v>
      </c>
      <c r="AH2376">
        <v>23.558934741773498</v>
      </c>
      <c r="AI2376">
        <v>92.6406824637711</v>
      </c>
      <c r="AJ2376">
        <v>101.936262990885</v>
      </c>
      <c r="AK2376">
        <v>24.105173670689201</v>
      </c>
      <c r="AL2376">
        <v>89.070885906204595</v>
      </c>
      <c r="AM2376">
        <v>103.61657285532399</v>
      </c>
      <c r="AN2376">
        <v>1.0000000388515899</v>
      </c>
    </row>
    <row r="2377" spans="1:40" x14ac:dyDescent="0.25">
      <c r="A2377" t="str">
        <f>"20190312151314845"</f>
        <v>20190312151314845</v>
      </c>
      <c r="B2377" t="str">
        <f>"1552374794832538"</f>
        <v>1552374794832538</v>
      </c>
      <c r="C2377" t="s">
        <v>40</v>
      </c>
      <c r="D2377">
        <v>4.6169719999999996</v>
      </c>
      <c r="E2377">
        <v>0.50027469999999996</v>
      </c>
      <c r="F2377" t="s">
        <v>53</v>
      </c>
      <c r="G2377">
        <v>-492.26560000000001</v>
      </c>
      <c r="H2377" s="1">
        <v>5.5854400000000002E-6</v>
      </c>
      <c r="I2377">
        <v>227.8871</v>
      </c>
      <c r="J2377">
        <v>-496.45859999999999</v>
      </c>
      <c r="K2377">
        <v>1.1105579999999999</v>
      </c>
      <c r="L2377">
        <v>251.66970000000001</v>
      </c>
      <c r="M2377">
        <v>-5.3924180000000002E-2</v>
      </c>
      <c r="N2377">
        <v>0</v>
      </c>
      <c r="O2377">
        <v>-0.99848669999999995</v>
      </c>
      <c r="P2377">
        <v>0.1831238</v>
      </c>
      <c r="Q2377">
        <v>5.2728280000000002E-3</v>
      </c>
      <c r="R2377">
        <v>-0.98307599999999995</v>
      </c>
      <c r="S2377">
        <v>0.51818850000000005</v>
      </c>
      <c r="T2377">
        <v>-0.1373733</v>
      </c>
      <c r="U2377">
        <v>-2.955902</v>
      </c>
      <c r="V2377">
        <v>-0.2358933</v>
      </c>
      <c r="W2377">
        <v>1.545064E-2</v>
      </c>
      <c r="X2377">
        <v>0.97165610000000002</v>
      </c>
      <c r="Y2377">
        <v>-0.22536030000000001</v>
      </c>
      <c r="Z2377">
        <v>4.5380179999999999E-2</v>
      </c>
      <c r="AA2377">
        <v>0.97321800000000003</v>
      </c>
      <c r="AB2377">
        <v>11</v>
      </c>
      <c r="AC2377">
        <v>4.1929999999999801</v>
      </c>
      <c r="AD2377">
        <v>-1.1105524145600001</v>
      </c>
      <c r="AE2377">
        <v>-23.782599999999999</v>
      </c>
      <c r="AF2377">
        <v>-5.4578882767129997</v>
      </c>
      <c r="AG2377">
        <v>-1.1105524145600001</v>
      </c>
      <c r="AH2377">
        <v>23.4722371459059</v>
      </c>
      <c r="AI2377">
        <v>92.638552466572193</v>
      </c>
      <c r="AJ2377">
        <v>103.090106386792</v>
      </c>
      <c r="AK2377">
        <v>24.1240085338281</v>
      </c>
      <c r="AL2377">
        <v>89.114708288648998</v>
      </c>
      <c r="AM2377">
        <v>103.64594635447</v>
      </c>
      <c r="AN2377">
        <v>0.999999973964254</v>
      </c>
    </row>
    <row r="2378" spans="1:40" x14ac:dyDescent="0.25">
      <c r="A2378" t="str">
        <f>"20190312151314865"</f>
        <v>20190312151314865</v>
      </c>
      <c r="B2378" t="str">
        <f>"1552374794862794"</f>
        <v>1552374794862794</v>
      </c>
      <c r="C2378" t="s">
        <v>40</v>
      </c>
      <c r="D2378">
        <v>4.6074599999999997</v>
      </c>
      <c r="E2378">
        <v>0.49838480000000002</v>
      </c>
      <c r="F2378" t="s">
        <v>53</v>
      </c>
      <c r="G2378">
        <v>-492.09089999999998</v>
      </c>
      <c r="H2378" s="1">
        <v>5.7542340000000004E-6</v>
      </c>
      <c r="I2378">
        <v>228.30690000000001</v>
      </c>
      <c r="J2378">
        <v>-496.46170000000001</v>
      </c>
      <c r="K2378">
        <v>1.1105389999999999</v>
      </c>
      <c r="L2378">
        <v>251.56890000000001</v>
      </c>
      <c r="M2378">
        <v>-5.1942700000000001E-2</v>
      </c>
      <c r="N2378">
        <v>0</v>
      </c>
      <c r="O2378">
        <v>-0.9985927</v>
      </c>
      <c r="P2378">
        <v>0.18542120000000001</v>
      </c>
      <c r="Q2378">
        <v>4.7912550000000003E-3</v>
      </c>
      <c r="R2378">
        <v>-0.98264790000000002</v>
      </c>
      <c r="S2378">
        <v>0.55145259999999996</v>
      </c>
      <c r="T2378">
        <v>-0.14021539999999999</v>
      </c>
      <c r="U2378">
        <v>-2.949722</v>
      </c>
      <c r="V2378">
        <v>-0.2362358</v>
      </c>
      <c r="W2378">
        <v>1.4883749999999999E-2</v>
      </c>
      <c r="X2378">
        <v>0.97158180000000005</v>
      </c>
      <c r="Y2378">
        <v>-0.23438149999999999</v>
      </c>
      <c r="Z2378">
        <v>4.6323410000000002E-2</v>
      </c>
      <c r="AA2378">
        <v>0.97104040000000003</v>
      </c>
      <c r="AB2378">
        <v>11</v>
      </c>
      <c r="AC2378">
        <v>4.3708000000000302</v>
      </c>
      <c r="AD2378">
        <v>-1.110533245766</v>
      </c>
      <c r="AE2378">
        <v>-23.261999999999901</v>
      </c>
      <c r="AF2378">
        <v>-5.5610172680434804</v>
      </c>
      <c r="AG2378">
        <v>-1.110533245766</v>
      </c>
      <c r="AH2378">
        <v>22.953021074714499</v>
      </c>
      <c r="AI2378">
        <v>92.692206436422396</v>
      </c>
      <c r="AJ2378">
        <v>103.619092948522</v>
      </c>
      <c r="AK2378">
        <v>23.643167588157802</v>
      </c>
      <c r="AL2378">
        <v>89.147192484446805</v>
      </c>
      <c r="AM2378">
        <v>103.666022779874</v>
      </c>
      <c r="AN2378">
        <v>1.00000003665347</v>
      </c>
    </row>
    <row r="2379" spans="1:40" x14ac:dyDescent="0.25">
      <c r="A2379" t="str">
        <f>"20190312151314887"</f>
        <v>20190312151314887</v>
      </c>
      <c r="B2379" t="str">
        <f>"1552374794882315"</f>
        <v>1552374794882315</v>
      </c>
      <c r="C2379" t="s">
        <v>40</v>
      </c>
      <c r="D2379">
        <v>4.6391989999999996</v>
      </c>
      <c r="E2379">
        <v>0.49756929999999999</v>
      </c>
      <c r="F2379" t="s">
        <v>53</v>
      </c>
      <c r="G2379">
        <v>-492.05119999999999</v>
      </c>
      <c r="H2379" s="1">
        <v>5.9180029999999998E-6</v>
      </c>
      <c r="I2379">
        <v>228.9025</v>
      </c>
      <c r="J2379">
        <v>-496.46460000000002</v>
      </c>
      <c r="K2379">
        <v>1.110519</v>
      </c>
      <c r="L2379">
        <v>251.4675</v>
      </c>
      <c r="M2379">
        <v>-4.9970609999999999E-2</v>
      </c>
      <c r="N2379">
        <v>0</v>
      </c>
      <c r="O2379">
        <v>-0.99869450000000004</v>
      </c>
      <c r="P2379">
        <v>0.1874548</v>
      </c>
      <c r="Q2379">
        <v>4.7677179999999998E-3</v>
      </c>
      <c r="R2379">
        <v>-0.98226210000000003</v>
      </c>
      <c r="S2379">
        <v>0.57315059999999995</v>
      </c>
      <c r="T2379">
        <v>-0.14431620000000001</v>
      </c>
      <c r="U2379">
        <v>-2.945557</v>
      </c>
      <c r="V2379">
        <v>-0.23632800000000001</v>
      </c>
      <c r="W2379">
        <v>1.477027E-2</v>
      </c>
      <c r="X2379">
        <v>0.97156109999999896</v>
      </c>
      <c r="Y2379">
        <v>-0.23959559999999999</v>
      </c>
      <c r="Z2379">
        <v>4.7685089999999999E-2</v>
      </c>
      <c r="AA2379">
        <v>0.96970100000000004</v>
      </c>
      <c r="AB2379">
        <v>11</v>
      </c>
      <c r="AC2379">
        <v>4.4134000000000198</v>
      </c>
      <c r="AD2379">
        <v>-1.1105130819969999</v>
      </c>
      <c r="AE2379">
        <v>-22.565000000000001</v>
      </c>
      <c r="AF2379">
        <v>-5.5226526532777296</v>
      </c>
      <c r="AG2379">
        <v>-1.1105130819969999</v>
      </c>
      <c r="AH2379">
        <v>22.264315787124499</v>
      </c>
      <c r="AI2379">
        <v>92.771610380643807</v>
      </c>
      <c r="AJ2379">
        <v>103.93101433893</v>
      </c>
      <c r="AK2379">
        <v>22.965902749573001</v>
      </c>
      <c r="AL2379">
        <v>89.153695116542806</v>
      </c>
      <c r="AM2379">
        <v>103.671436697628</v>
      </c>
      <c r="AN2379">
        <v>1.00000002774654</v>
      </c>
    </row>
    <row r="2380" spans="1:40" x14ac:dyDescent="0.25">
      <c r="A2380" t="str">
        <f>"20190312151314909"</f>
        <v>20190312151314909</v>
      </c>
      <c r="B2380" t="str">
        <f>"1552374794902810"</f>
        <v>1552374794902810</v>
      </c>
      <c r="C2380" t="s">
        <v>40</v>
      </c>
      <c r="D2380">
        <v>4.6407129999999999</v>
      </c>
      <c r="E2380">
        <v>0.49716100000000002</v>
      </c>
      <c r="F2380" t="s">
        <v>53</v>
      </c>
      <c r="G2380">
        <v>-492.09059999999999</v>
      </c>
      <c r="H2380" s="1">
        <v>6.0404109999999999E-6</v>
      </c>
      <c r="I2380">
        <v>229.5035</v>
      </c>
      <c r="J2380">
        <v>-496.4676</v>
      </c>
      <c r="K2380">
        <v>1.1105039999999999</v>
      </c>
      <c r="L2380">
        <v>251.35769999999999</v>
      </c>
      <c r="M2380">
        <v>-4.7853939999999998E-2</v>
      </c>
      <c r="N2380">
        <v>0</v>
      </c>
      <c r="O2380">
        <v>-0.99879910000000005</v>
      </c>
      <c r="P2380">
        <v>0.1897094</v>
      </c>
      <c r="Q2380">
        <v>4.9799379999999997E-3</v>
      </c>
      <c r="R2380">
        <v>-0.98182780000000003</v>
      </c>
      <c r="S2380">
        <v>0.58609009999999995</v>
      </c>
      <c r="T2380">
        <v>-0.14880280000000001</v>
      </c>
      <c r="U2380">
        <v>-2.9430540000000001</v>
      </c>
      <c r="V2380">
        <v>-0.23649899999999999</v>
      </c>
      <c r="W2380">
        <v>1.4879460000000001E-2</v>
      </c>
      <c r="X2380">
        <v>0.97151779999999999</v>
      </c>
      <c r="Y2380">
        <v>-0.2417821</v>
      </c>
      <c r="Z2380">
        <v>4.9178399999999997E-2</v>
      </c>
      <c r="AA2380">
        <v>0.96908349999999999</v>
      </c>
      <c r="AB2380">
        <v>11</v>
      </c>
      <c r="AC2380">
        <v>4.3769999999999998</v>
      </c>
      <c r="AD2380">
        <v>-1.1104979595890001</v>
      </c>
      <c r="AE2380">
        <v>-21.854199999999899</v>
      </c>
      <c r="AF2380">
        <v>-5.4044358087399598</v>
      </c>
      <c r="AG2380">
        <v>-1.1104979595890001</v>
      </c>
      <c r="AH2380">
        <v>21.5661541008627</v>
      </c>
      <c r="AI2380">
        <v>92.859441896273196</v>
      </c>
      <c r="AJ2380">
        <v>104.06848814886401</v>
      </c>
      <c r="AK2380">
        <v>22.2607307793612</v>
      </c>
      <c r="AL2380">
        <v>89.147438284012196</v>
      </c>
      <c r="AM2380">
        <v>103.681544172557</v>
      </c>
      <c r="AN2380">
        <v>1.00000000552386</v>
      </c>
    </row>
    <row r="2381" spans="1:40" x14ac:dyDescent="0.25">
      <c r="A2381" t="str">
        <f>"20190312151314933"</f>
        <v>20190312151314933</v>
      </c>
      <c r="B2381" t="str">
        <f>"1552374794922333"</f>
        <v>1552374794922333</v>
      </c>
      <c r="C2381" t="s">
        <v>40</v>
      </c>
      <c r="D2381">
        <v>4.6387049999999999</v>
      </c>
      <c r="E2381">
        <v>0.49690030000000002</v>
      </c>
      <c r="F2381" t="s">
        <v>42</v>
      </c>
      <c r="G2381">
        <v>-492.23689999999999</v>
      </c>
      <c r="H2381" s="1">
        <v>-9.746073999999999E-7</v>
      </c>
      <c r="I2381">
        <v>230.4736</v>
      </c>
      <c r="J2381">
        <v>-496.47050000000002</v>
      </c>
      <c r="K2381">
        <v>1.110501</v>
      </c>
      <c r="L2381">
        <v>251.2449</v>
      </c>
      <c r="M2381">
        <v>-4.5697179999999997E-2</v>
      </c>
      <c r="N2381">
        <v>0</v>
      </c>
      <c r="O2381">
        <v>-0.99890129999999999</v>
      </c>
      <c r="P2381">
        <v>0.19169310000000001</v>
      </c>
      <c r="Q2381">
        <v>5.4919419999999997E-3</v>
      </c>
      <c r="R2381">
        <v>-0.98143990000000003</v>
      </c>
      <c r="S2381">
        <v>0.59582519999999894</v>
      </c>
      <c r="T2381">
        <v>-0.15639700000000001</v>
      </c>
      <c r="U2381">
        <v>-2.9411930000000002</v>
      </c>
      <c r="V2381">
        <v>-0.23636499999999999</v>
      </c>
      <c r="W2381">
        <v>1.5285679999999999E-2</v>
      </c>
      <c r="X2381">
        <v>0.97154410000000002</v>
      </c>
      <c r="Y2381">
        <v>-0.2428621</v>
      </c>
      <c r="Z2381">
        <v>5.1697710000000001E-2</v>
      </c>
      <c r="AA2381">
        <v>0.9686823</v>
      </c>
      <c r="AB2381">
        <v>11</v>
      </c>
      <c r="AC2381">
        <v>4.2336000000000196</v>
      </c>
      <c r="AD2381">
        <v>-1.1105019746074001</v>
      </c>
      <c r="AE2381">
        <v>-20.7713</v>
      </c>
      <c r="AF2381">
        <v>-5.1642455899377504</v>
      </c>
      <c r="AG2381">
        <v>-1.1105019746074001</v>
      </c>
      <c r="AH2381">
        <v>20.499866507829999</v>
      </c>
      <c r="AI2381">
        <v>93.006983328025697</v>
      </c>
      <c r="AJ2381">
        <v>104.13952114269</v>
      </c>
      <c r="AK2381">
        <v>21.169486861698999</v>
      </c>
      <c r="AL2381">
        <v>89.124160941352997</v>
      </c>
      <c r="AM2381">
        <v>103.673727060088</v>
      </c>
      <c r="AN2381">
        <v>1.0000000017414299</v>
      </c>
    </row>
    <row r="2382" spans="1:40" x14ac:dyDescent="0.25">
      <c r="A2382" t="str">
        <f>"20190312151314954"</f>
        <v>20190312151314954</v>
      </c>
      <c r="B2382" t="str">
        <f>"1552374794942831"</f>
        <v>1552374794942831</v>
      </c>
      <c r="C2382" t="s">
        <v>40</v>
      </c>
      <c r="D2382">
        <v>4.6638099999999998</v>
      </c>
      <c r="E2382">
        <v>0.49672260000000001</v>
      </c>
      <c r="F2382" t="s">
        <v>42</v>
      </c>
      <c r="G2382">
        <v>-492.25450000000001</v>
      </c>
      <c r="H2382" s="1">
        <v>-1.088168E-6</v>
      </c>
      <c r="I2382">
        <v>230.72730000000001</v>
      </c>
      <c r="J2382">
        <v>-496.47300000000001</v>
      </c>
      <c r="K2382">
        <v>1.110493</v>
      </c>
      <c r="L2382">
        <v>251.13849999999999</v>
      </c>
      <c r="M2382">
        <v>-4.3670390000000003E-2</v>
      </c>
      <c r="N2382">
        <v>0</v>
      </c>
      <c r="O2382">
        <v>-0.99899289999999996</v>
      </c>
      <c r="P2382">
        <v>0.1939612</v>
      </c>
      <c r="Q2382">
        <v>5.6560250000000003E-3</v>
      </c>
      <c r="R2382">
        <v>-0.98099309999999995</v>
      </c>
      <c r="S2382">
        <v>0.60403439999999997</v>
      </c>
      <c r="T2382">
        <v>-0.15910739999999901</v>
      </c>
      <c r="U2382">
        <v>-2.939667</v>
      </c>
      <c r="V2382">
        <v>-0.23663999999999999</v>
      </c>
      <c r="W2382">
        <v>1.534575E-2</v>
      </c>
      <c r="X2382">
        <v>0.97147620000000001</v>
      </c>
      <c r="Y2382">
        <v>-0.2435792</v>
      </c>
      <c r="Z2382">
        <v>5.2605770000000003E-2</v>
      </c>
      <c r="AA2382">
        <v>0.96845329999999996</v>
      </c>
      <c r="AB2382">
        <v>11</v>
      </c>
      <c r="AC2382">
        <v>4.2184999999999997</v>
      </c>
      <c r="AD2382">
        <v>-1.1104940881680001</v>
      </c>
      <c r="AE2382">
        <v>-20.411199999999901</v>
      </c>
      <c r="AF2382">
        <v>-5.0914340448829503</v>
      </c>
      <c r="AG2382">
        <v>-1.1104940881680001</v>
      </c>
      <c r="AH2382">
        <v>20.1502902084978</v>
      </c>
      <c r="AI2382">
        <v>93.058481779093995</v>
      </c>
      <c r="AJ2382">
        <v>104.180294641327</v>
      </c>
      <c r="AK2382">
        <v>20.813219194539101</v>
      </c>
      <c r="AL2382">
        <v>89.120718773692104</v>
      </c>
      <c r="AM2382">
        <v>103.689958396813</v>
      </c>
      <c r="AN2382">
        <v>0.99999999440475096</v>
      </c>
    </row>
    <row r="2383" spans="1:40" x14ac:dyDescent="0.25">
      <c r="A2383" t="str">
        <f>"20190312151314977"</f>
        <v>20190312151314977</v>
      </c>
      <c r="B2383" t="str">
        <f>"1552374794972106"</f>
        <v>1552374794972106</v>
      </c>
      <c r="C2383" t="s">
        <v>40</v>
      </c>
      <c r="D2383">
        <v>4.6761489999999997</v>
      </c>
      <c r="E2383">
        <v>0.49658780000000002</v>
      </c>
      <c r="F2383" t="s">
        <v>42</v>
      </c>
      <c r="G2383">
        <v>-492.27870000000001</v>
      </c>
      <c r="H2383" s="1">
        <v>-1.218805E-6</v>
      </c>
      <c r="I2383">
        <v>231.01679999999999</v>
      </c>
      <c r="J2383">
        <v>-496.4753</v>
      </c>
      <c r="K2383">
        <v>1.1104889999999901</v>
      </c>
      <c r="L2383">
        <v>251.02500000000001</v>
      </c>
      <c r="M2383">
        <v>-4.1516900000000002E-2</v>
      </c>
      <c r="N2383">
        <v>0</v>
      </c>
      <c r="O2383">
        <v>-0.99908589999999997</v>
      </c>
      <c r="P2383">
        <v>0.197021</v>
      </c>
      <c r="Q2383">
        <v>6.0245259999999997E-3</v>
      </c>
      <c r="R2383">
        <v>-0.98038099999999995</v>
      </c>
      <c r="S2383">
        <v>0.61239619999999995</v>
      </c>
      <c r="T2383">
        <v>-0.16214300000000001</v>
      </c>
      <c r="U2383">
        <v>-2.9379580000000001</v>
      </c>
      <c r="V2383">
        <v>-0.23757790000000001</v>
      </c>
      <c r="W2383">
        <v>1.5596540000000001E-2</v>
      </c>
      <c r="X2383">
        <v>0.97124330000000003</v>
      </c>
      <c r="Y2383">
        <v>-0.2442317</v>
      </c>
      <c r="Z2383">
        <v>5.3624709999999999E-2</v>
      </c>
      <c r="AA2383">
        <v>0.96823300000000001</v>
      </c>
      <c r="AB2383">
        <v>11</v>
      </c>
      <c r="AC2383">
        <v>4.1965999999999797</v>
      </c>
      <c r="AD2383">
        <v>-1.1104902188050001</v>
      </c>
      <c r="AE2383">
        <v>-20.008199999999999</v>
      </c>
      <c r="AF2383">
        <v>-5.0089233179129096</v>
      </c>
      <c r="AG2383">
        <v>-1.1104902188050001</v>
      </c>
      <c r="AH2383">
        <v>19.758408393302702</v>
      </c>
      <c r="AI2383">
        <v>93.118394735787007</v>
      </c>
      <c r="AJ2383">
        <v>104.225280976929</v>
      </c>
      <c r="AK2383">
        <v>20.413652381857801</v>
      </c>
      <c r="AL2383">
        <v>89.106347876148405</v>
      </c>
      <c r="AM2383">
        <v>103.745334335867</v>
      </c>
      <c r="AN2383">
        <v>1.00000002921163</v>
      </c>
    </row>
    <row r="2384" spans="1:40" x14ac:dyDescent="0.25">
      <c r="A2384" t="str">
        <f>"20190312151315001"</f>
        <v>20190312151315001</v>
      </c>
      <c r="B2384" t="str">
        <f>"1552374794992602"</f>
        <v>1552374794992602</v>
      </c>
      <c r="C2384" t="s">
        <v>40</v>
      </c>
      <c r="D2384">
        <v>4.7939470000000002</v>
      </c>
      <c r="E2384">
        <v>0.4967298</v>
      </c>
      <c r="F2384" t="s">
        <v>42</v>
      </c>
      <c r="G2384">
        <v>-492.28500000000003</v>
      </c>
      <c r="H2384" s="1">
        <v>-1.323848E-6</v>
      </c>
      <c r="I2384">
        <v>231.2578</v>
      </c>
      <c r="J2384">
        <v>-496.4776</v>
      </c>
      <c r="K2384">
        <v>1.1104909999999999</v>
      </c>
      <c r="L2384">
        <v>250.911</v>
      </c>
      <c r="M2384">
        <v>-3.9358579999999997E-2</v>
      </c>
      <c r="N2384">
        <v>0</v>
      </c>
      <c r="O2384">
        <v>-0.99917440000000002</v>
      </c>
      <c r="P2384">
        <v>0.19996649999999999</v>
      </c>
      <c r="Q2384">
        <v>6.2119230000000003E-3</v>
      </c>
      <c r="R2384">
        <v>-0.97978299999999996</v>
      </c>
      <c r="S2384">
        <v>0.62237549999999997</v>
      </c>
      <c r="T2384">
        <v>-0.1649361</v>
      </c>
      <c r="U2384">
        <v>-2.9359280000000001</v>
      </c>
      <c r="V2384">
        <v>-0.23839920000000001</v>
      </c>
      <c r="W2384">
        <v>1.5657089999999999E-2</v>
      </c>
      <c r="X2384">
        <v>0.97104100000000004</v>
      </c>
      <c r="Y2384">
        <v>-0.24541170000000001</v>
      </c>
      <c r="Z2384">
        <v>5.4562609999999998E-2</v>
      </c>
      <c r="AA2384">
        <v>0.96788220000000003</v>
      </c>
      <c r="AB2384">
        <v>11</v>
      </c>
      <c r="AC2384">
        <v>4.1925999999999704</v>
      </c>
      <c r="AD2384">
        <v>-1.11049232384799</v>
      </c>
      <c r="AE2384">
        <v>-19.653199999999899</v>
      </c>
      <c r="AF2384">
        <v>-4.9478028471354998</v>
      </c>
      <c r="AG2384">
        <v>-1.11049232384799</v>
      </c>
      <c r="AH2384">
        <v>19.413662133446199</v>
      </c>
      <c r="AI2384">
        <v>93.172641419018404</v>
      </c>
      <c r="AJ2384">
        <v>104.298122236376</v>
      </c>
      <c r="AK2384">
        <v>20.0649999662858</v>
      </c>
      <c r="AL2384">
        <v>89.102878143015403</v>
      </c>
      <c r="AM2384">
        <v>103.793803746949</v>
      </c>
      <c r="AN2384">
        <v>0.99999997335445301</v>
      </c>
    </row>
    <row r="2385" spans="1:40" x14ac:dyDescent="0.25">
      <c r="A2385" t="str">
        <f>"20190312151315020"</f>
        <v>20190312151315020</v>
      </c>
      <c r="B2385" t="str">
        <f>"1552374795013098"</f>
        <v>1552374795013098</v>
      </c>
      <c r="C2385" t="s">
        <v>40</v>
      </c>
      <c r="D2385">
        <v>4.7049469999999998</v>
      </c>
      <c r="E2385">
        <v>0.49683509999999997</v>
      </c>
      <c r="F2385" t="s">
        <v>42</v>
      </c>
      <c r="G2385">
        <v>-492.24560000000002</v>
      </c>
      <c r="H2385" s="1">
        <v>-1.2919139999999901E-6</v>
      </c>
      <c r="I2385">
        <v>231.20779999999999</v>
      </c>
      <c r="J2385">
        <v>-496.47930000000002</v>
      </c>
      <c r="K2385">
        <v>1.1104940000000001</v>
      </c>
      <c r="L2385">
        <v>250.8116</v>
      </c>
      <c r="M2385">
        <v>-3.7476639999999999E-2</v>
      </c>
      <c r="N2385">
        <v>0</v>
      </c>
      <c r="O2385">
        <v>-0.99924809999999997</v>
      </c>
      <c r="P2385">
        <v>0.20265430000000001</v>
      </c>
      <c r="Q2385">
        <v>7.2673629999999998E-3</v>
      </c>
      <c r="R2385">
        <v>-0.97922350000000002</v>
      </c>
      <c r="S2385">
        <v>0.63024899999999995</v>
      </c>
      <c r="T2385">
        <v>-0.16538039999999901</v>
      </c>
      <c r="U2385">
        <v>-2.9343110000000001</v>
      </c>
      <c r="V2385">
        <v>-0.23923639999999999</v>
      </c>
      <c r="W2385">
        <v>1.6597770000000001E-2</v>
      </c>
      <c r="X2385">
        <v>0.97081949999999995</v>
      </c>
      <c r="Y2385">
        <v>-0.24617629999999999</v>
      </c>
      <c r="Z2385">
        <v>5.4724109999999999E-2</v>
      </c>
      <c r="AA2385">
        <v>0.96767890000000001</v>
      </c>
      <c r="AB2385">
        <v>11</v>
      </c>
      <c r="AC2385">
        <v>4.23369999999999</v>
      </c>
      <c r="AD2385">
        <v>-1.1104952919140001</v>
      </c>
      <c r="AE2385">
        <v>-19.6038</v>
      </c>
      <c r="AF2385">
        <v>-4.9502694310739201</v>
      </c>
      <c r="AG2385">
        <v>-1.1104952919140001</v>
      </c>
      <c r="AH2385">
        <v>19.371962199308498</v>
      </c>
      <c r="AI2385">
        <v>93.178951481102303</v>
      </c>
      <c r="AJ2385">
        <v>104.33448276521401</v>
      </c>
      <c r="AK2385">
        <v>20.025266207594399</v>
      </c>
      <c r="AL2385">
        <v>89.0489741808248</v>
      </c>
      <c r="AM2385">
        <v>103.843421117964</v>
      </c>
      <c r="AN2385">
        <v>1.0000000213170901</v>
      </c>
    </row>
    <row r="2386" spans="1:40" x14ac:dyDescent="0.25">
      <c r="A2386" t="str">
        <f>"20190312151315044"</f>
        <v>20190312151315044</v>
      </c>
      <c r="B2386" t="str">
        <f>"1552374795032622"</f>
        <v>1552374795032622</v>
      </c>
      <c r="C2386" t="s">
        <v>40</v>
      </c>
      <c r="D2386">
        <v>4.708774</v>
      </c>
      <c r="E2386">
        <v>0.49691390000000002</v>
      </c>
      <c r="F2386" t="s">
        <v>42</v>
      </c>
      <c r="G2386">
        <v>-492.09179999999998</v>
      </c>
      <c r="H2386" s="1">
        <v>-9.9955630000000001E-7</v>
      </c>
      <c r="I2386">
        <v>230.6217</v>
      </c>
      <c r="J2386">
        <v>-496.48110000000003</v>
      </c>
      <c r="K2386">
        <v>1.110493</v>
      </c>
      <c r="L2386">
        <v>250.6961</v>
      </c>
      <c r="M2386">
        <v>-3.5295819999999999E-2</v>
      </c>
      <c r="N2386">
        <v>0</v>
      </c>
      <c r="O2386">
        <v>-0.99932860000000001</v>
      </c>
      <c r="P2386">
        <v>0.2053574</v>
      </c>
      <c r="Q2386">
        <v>8.4587810000000003E-3</v>
      </c>
      <c r="R2386">
        <v>-0.97865069999999998</v>
      </c>
      <c r="S2386">
        <v>0.63735959999999903</v>
      </c>
      <c r="T2386">
        <v>-0.1613193</v>
      </c>
      <c r="U2386">
        <v>-2.932938</v>
      </c>
      <c r="V2386">
        <v>-0.2397995</v>
      </c>
      <c r="W2386">
        <v>1.766239E-2</v>
      </c>
      <c r="X2386">
        <v>0.97066180000000002</v>
      </c>
      <c r="Y2386">
        <v>-0.24641089999999999</v>
      </c>
      <c r="Z2386">
        <v>5.3400059999999999E-2</v>
      </c>
      <c r="AA2386">
        <v>0.96769320000000003</v>
      </c>
      <c r="AB2386">
        <v>11</v>
      </c>
      <c r="AC2386">
        <v>4.3893000000000404</v>
      </c>
      <c r="AD2386">
        <v>-1.1104939995562999</v>
      </c>
      <c r="AE2386">
        <v>-20.074400000000001</v>
      </c>
      <c r="AF2386">
        <v>-5.0803041114292897</v>
      </c>
      <c r="AG2386">
        <v>-1.1104939995562999</v>
      </c>
      <c r="AH2386">
        <v>19.8489891197246</v>
      </c>
      <c r="AI2386">
        <v>93.102395174358094</v>
      </c>
      <c r="AJ2386">
        <v>104.356526950381</v>
      </c>
      <c r="AK2386">
        <v>20.518895093610698</v>
      </c>
      <c r="AL2386">
        <v>88.987967018907696</v>
      </c>
      <c r="AM2386">
        <v>103.876914382092</v>
      </c>
      <c r="AN2386">
        <v>1.0000000451</v>
      </c>
    </row>
    <row r="2387" spans="1:40" x14ac:dyDescent="0.25">
      <c r="A2387" t="str">
        <f>"20190312151315066"</f>
        <v>20190312151315066</v>
      </c>
      <c r="B2387" t="str">
        <f>"1552374795062874"</f>
        <v>1552374795062874</v>
      </c>
      <c r="C2387" t="s">
        <v>40</v>
      </c>
      <c r="D2387">
        <v>4.797949</v>
      </c>
      <c r="E2387">
        <v>0.49710969999999999</v>
      </c>
      <c r="F2387" t="s">
        <v>42</v>
      </c>
      <c r="G2387">
        <v>-491.91719999999998</v>
      </c>
      <c r="H2387" s="1">
        <v>-6.6271159999999996E-7</v>
      </c>
      <c r="I2387">
        <v>229.94479999999999</v>
      </c>
      <c r="J2387">
        <v>-496.48250000000002</v>
      </c>
      <c r="K2387">
        <v>1.1104879999999999</v>
      </c>
      <c r="L2387">
        <v>250.5883</v>
      </c>
      <c r="M2387">
        <v>-3.3263859999999999E-2</v>
      </c>
      <c r="N2387">
        <v>0</v>
      </c>
      <c r="O2387">
        <v>-0.99939909999999998</v>
      </c>
      <c r="P2387">
        <v>0.2075321</v>
      </c>
      <c r="Q2387">
        <v>9.7694819999999995E-3</v>
      </c>
      <c r="R2387">
        <v>-0.97817980000000004</v>
      </c>
      <c r="S2387">
        <v>0.64474489999999995</v>
      </c>
      <c r="T2387">
        <v>-0.15688009999999999</v>
      </c>
      <c r="U2387">
        <v>-2.931549</v>
      </c>
      <c r="V2387">
        <v>-0.23998530000000001</v>
      </c>
      <c r="W2387">
        <v>1.886811E-2</v>
      </c>
      <c r="X2387">
        <v>0.97059320000000004</v>
      </c>
      <c r="Y2387">
        <v>-0.24687880000000001</v>
      </c>
      <c r="Z2387">
        <v>5.1947359999999998E-2</v>
      </c>
      <c r="AA2387">
        <v>0.96765299999999999</v>
      </c>
      <c r="AB2387">
        <v>11</v>
      </c>
      <c r="AC2387">
        <v>4.5653000000000299</v>
      </c>
      <c r="AD2387">
        <v>-1.1104886627116</v>
      </c>
      <c r="AE2387">
        <v>-20.6435</v>
      </c>
      <c r="AF2387">
        <v>-5.2350458532932898</v>
      </c>
      <c r="AG2387">
        <v>-1.1104886627116</v>
      </c>
      <c r="AH2387">
        <v>20.423862272702898</v>
      </c>
      <c r="AI2387">
        <v>93.014951315340198</v>
      </c>
      <c r="AJ2387">
        <v>104.37654607840599</v>
      </c>
      <c r="AK2387">
        <v>21.113337971302201</v>
      </c>
      <c r="AL2387">
        <v>88.918872834547798</v>
      </c>
      <c r="AM2387">
        <v>103.888193912247</v>
      </c>
      <c r="AN2387">
        <v>1.0000000548386401</v>
      </c>
    </row>
    <row r="2388" spans="1:40" x14ac:dyDescent="0.25">
      <c r="A2388" t="str">
        <f>"20190312151315088"</f>
        <v>20190312151315088</v>
      </c>
      <c r="B2388" t="str">
        <f>"1552374795082150"</f>
        <v>1552374795082150</v>
      </c>
      <c r="C2388" t="s">
        <v>40</v>
      </c>
      <c r="D2388">
        <v>4.7249879999999997</v>
      </c>
      <c r="E2388">
        <v>0.4977297</v>
      </c>
      <c r="F2388" t="s">
        <v>53</v>
      </c>
      <c r="G2388">
        <v>-491.80220000000003</v>
      </c>
      <c r="H2388" s="1">
        <v>6.1130440000000001E-6</v>
      </c>
      <c r="I2388">
        <v>229.48500000000001</v>
      </c>
      <c r="J2388">
        <v>-496.48379999999997</v>
      </c>
      <c r="K2388">
        <v>1.1104860000000001</v>
      </c>
      <c r="L2388">
        <v>250.47909999999999</v>
      </c>
      <c r="M2388">
        <v>-3.121519E-2</v>
      </c>
      <c r="N2388">
        <v>0</v>
      </c>
      <c r="O2388">
        <v>-0.99946639999999998</v>
      </c>
      <c r="P2388">
        <v>0.2094116</v>
      </c>
      <c r="Q2388">
        <v>1.074899E-2</v>
      </c>
      <c r="R2388">
        <v>-0.97776909999999895</v>
      </c>
      <c r="S2388">
        <v>0.64993290000000004</v>
      </c>
      <c r="T2388">
        <v>-0.1542087</v>
      </c>
      <c r="U2388">
        <v>-2.930542</v>
      </c>
      <c r="V2388">
        <v>-0.2398623</v>
      </c>
      <c r="W2388">
        <v>1.9754859999999999E-2</v>
      </c>
      <c r="X2388">
        <v>0.97060590000000002</v>
      </c>
      <c r="Y2388">
        <v>-0.2466054</v>
      </c>
      <c r="Z2388">
        <v>5.1079619999999999E-2</v>
      </c>
      <c r="AA2388">
        <v>0.96776890000000004</v>
      </c>
      <c r="AB2388">
        <v>11</v>
      </c>
      <c r="AC2388">
        <v>4.68159999999994</v>
      </c>
      <c r="AD2388">
        <v>-1.110479886956</v>
      </c>
      <c r="AE2388">
        <v>-20.9940999999999</v>
      </c>
      <c r="AF2388">
        <v>-5.3205026492688097</v>
      </c>
      <c r="AG2388">
        <v>-1.110479886956</v>
      </c>
      <c r="AH2388">
        <v>20.782332862603301</v>
      </c>
      <c r="AI2388">
        <v>92.963236960703597</v>
      </c>
      <c r="AJ2388">
        <v>104.35991983245501</v>
      </c>
      <c r="AK2388">
        <v>21.4813005479708</v>
      </c>
      <c r="AL2388">
        <v>88.868056259292899</v>
      </c>
      <c r="AM2388">
        <v>103.881176527384</v>
      </c>
      <c r="AN2388">
        <v>0.99999999528485894</v>
      </c>
    </row>
    <row r="2389" spans="1:40" x14ac:dyDescent="0.25">
      <c r="A2389" t="str">
        <f>"20190312151315112"</f>
        <v>20190312151315112</v>
      </c>
      <c r="B2389" t="str">
        <f>"1552374795102646"</f>
        <v>1552374795102646</v>
      </c>
      <c r="C2389" t="s">
        <v>40</v>
      </c>
      <c r="D2389">
        <v>4.7575519999999996</v>
      </c>
      <c r="E2389">
        <v>0.49967519999999999</v>
      </c>
      <c r="F2389" t="s">
        <v>42</v>
      </c>
      <c r="G2389">
        <v>-493.45260000000002</v>
      </c>
      <c r="H2389" s="1">
        <v>-3.9761680000000001E-6</v>
      </c>
      <c r="I2389">
        <v>236.87129999999999</v>
      </c>
      <c r="J2389">
        <v>-496.48489999999998</v>
      </c>
      <c r="K2389">
        <v>1.110487</v>
      </c>
      <c r="L2389">
        <v>250.35589999999999</v>
      </c>
      <c r="M2389">
        <v>-2.8912549999999999E-2</v>
      </c>
      <c r="N2389">
        <v>0</v>
      </c>
      <c r="O2389">
        <v>-0.99953619999999999</v>
      </c>
      <c r="P2389">
        <v>0.21180669999999999</v>
      </c>
      <c r="Q2389">
        <v>1.2024999999999999E-2</v>
      </c>
      <c r="R2389">
        <v>-0.97723780000000005</v>
      </c>
      <c r="S2389">
        <v>0.6528931</v>
      </c>
      <c r="T2389">
        <v>-0.2391896</v>
      </c>
      <c r="U2389">
        <v>-2.931</v>
      </c>
      <c r="V2389">
        <v>-0.240006</v>
      </c>
      <c r="W2389">
        <v>2.0937170000000001E-2</v>
      </c>
      <c r="X2389">
        <v>0.97054560000000001</v>
      </c>
      <c r="Y2389">
        <v>-0.24487410000000001</v>
      </c>
      <c r="Z2389">
        <v>7.9084070000000006E-2</v>
      </c>
      <c r="AA2389">
        <v>0.96632419999999997</v>
      </c>
      <c r="AB2389">
        <v>11</v>
      </c>
      <c r="AC2389">
        <v>3.0322999999999598</v>
      </c>
      <c r="AD2389">
        <v>-1.110490976168</v>
      </c>
      <c r="AE2389">
        <v>-13.4846</v>
      </c>
      <c r="AF2389">
        <v>-3.3989820741755401</v>
      </c>
      <c r="AG2389">
        <v>-1.110490976168</v>
      </c>
      <c r="AH2389">
        <v>13.305393626838599</v>
      </c>
      <c r="AI2389">
        <v>94.623153491841506</v>
      </c>
      <c r="AJ2389">
        <v>104.33024030041599</v>
      </c>
      <c r="AK2389">
        <v>13.7775095323441</v>
      </c>
      <c r="AL2389">
        <v>88.800300866208104</v>
      </c>
      <c r="AM2389">
        <v>103.89000028200699</v>
      </c>
      <c r="AN2389">
        <v>1.00000000340148</v>
      </c>
    </row>
    <row r="2390" spans="1:40" x14ac:dyDescent="0.25">
      <c r="A2390" t="str">
        <f>"20190312151315201"</f>
        <v>20190312151315201</v>
      </c>
      <c r="B2390" t="str">
        <f>"1552374795192438"</f>
        <v>1552374795192438</v>
      </c>
      <c r="C2390" t="s">
        <v>40</v>
      </c>
      <c r="D2390">
        <v>4.7343289999999998</v>
      </c>
      <c r="E2390">
        <v>0.5132582</v>
      </c>
      <c r="F2390" t="s">
        <v>42</v>
      </c>
      <c r="G2390">
        <v>-493.01760000000002</v>
      </c>
      <c r="H2390" s="1">
        <v>-2.9443470000000002E-6</v>
      </c>
      <c r="I2390">
        <v>234.58080000000001</v>
      </c>
      <c r="J2390">
        <v>-496.48680000000002</v>
      </c>
      <c r="K2390">
        <v>1.110466</v>
      </c>
      <c r="L2390">
        <v>249.90770000000001</v>
      </c>
      <c r="M2390">
        <v>-2.0659259999999999E-2</v>
      </c>
      <c r="N2390">
        <v>0</v>
      </c>
      <c r="O2390">
        <v>-0.9997433</v>
      </c>
      <c r="P2390">
        <v>0.21999070000000001</v>
      </c>
      <c r="Q2390">
        <v>1.354518E-2</v>
      </c>
      <c r="R2390">
        <v>-0.97540800000000005</v>
      </c>
      <c r="S2390">
        <v>0.64459230000000001</v>
      </c>
      <c r="T2390">
        <v>-0.2064501</v>
      </c>
      <c r="U2390">
        <v>-2.9327239999999999</v>
      </c>
      <c r="V2390">
        <v>-0.24012990000000001</v>
      </c>
      <c r="W2390">
        <v>2.2206690000000001E-2</v>
      </c>
      <c r="X2390">
        <v>0.97048670000000004</v>
      </c>
      <c r="Y2390">
        <v>-0.23429800000000001</v>
      </c>
      <c r="Z2390">
        <v>6.84091E-2</v>
      </c>
      <c r="AA2390">
        <v>0.96975489999999998</v>
      </c>
      <c r="AB2390">
        <v>11</v>
      </c>
      <c r="AC2390">
        <v>3.4691999999999998</v>
      </c>
      <c r="AD2390">
        <v>-1.1104689443469999</v>
      </c>
      <c r="AE2390">
        <v>-15.326899999999901</v>
      </c>
      <c r="AF2390">
        <v>-3.76630856559209</v>
      </c>
      <c r="AG2390">
        <v>-1.1104689443469999</v>
      </c>
      <c r="AH2390">
        <v>15.176172123893</v>
      </c>
      <c r="AI2390">
        <v>94.062187362937095</v>
      </c>
      <c r="AJ2390">
        <v>103.937652391786</v>
      </c>
      <c r="AK2390">
        <v>15.6759185319917</v>
      </c>
      <c r="AL2390">
        <v>88.727545751385193</v>
      </c>
      <c r="AM2390">
        <v>103.89770367534101</v>
      </c>
      <c r="AN2390">
        <v>0.999999970415827</v>
      </c>
    </row>
    <row r="2391" spans="1:40" x14ac:dyDescent="0.25">
      <c r="A2391" t="str">
        <f>"20190312151315223"</f>
        <v>20190312151315223</v>
      </c>
      <c r="B2391" t="str">
        <f>"1552374795212934"</f>
        <v>1552374795212934</v>
      </c>
      <c r="C2391" t="s">
        <v>40</v>
      </c>
      <c r="D2391">
        <v>4.8067979999999997</v>
      </c>
      <c r="E2391">
        <v>0.51320329999999903</v>
      </c>
      <c r="F2391" t="s">
        <v>57</v>
      </c>
      <c r="G2391">
        <v>-471.89679999999998</v>
      </c>
      <c r="H2391">
        <v>1.6085100000000001</v>
      </c>
      <c r="I2391">
        <v>119.8177</v>
      </c>
      <c r="J2391">
        <v>-496.48680000000002</v>
      </c>
      <c r="K2391">
        <v>1.110463</v>
      </c>
      <c r="L2391">
        <v>249.78739999999999</v>
      </c>
      <c r="M2391">
        <v>-1.848282E-2</v>
      </c>
      <c r="N2391">
        <v>0</v>
      </c>
      <c r="O2391">
        <v>-0.99978639999999996</v>
      </c>
      <c r="P2391">
        <v>0.2218513</v>
      </c>
      <c r="Q2391">
        <v>1.3136190000000001E-2</v>
      </c>
      <c r="R2391">
        <v>-0.97499250000000004</v>
      </c>
      <c r="S2391">
        <v>0.55755619999999995</v>
      </c>
      <c r="T2391">
        <v>1.129341E-2</v>
      </c>
      <c r="U2391">
        <v>-2.9496920000000002</v>
      </c>
      <c r="V2391">
        <v>-0.2398681</v>
      </c>
      <c r="W2391">
        <v>2.175142E-2</v>
      </c>
      <c r="X2391">
        <v>0.97056180000000003</v>
      </c>
      <c r="Y2391">
        <v>-0.20386190000000001</v>
      </c>
      <c r="Z2391">
        <v>-3.7542249999999999E-3</v>
      </c>
      <c r="AA2391">
        <v>0.97899250000000004</v>
      </c>
      <c r="AB2391">
        <v>12</v>
      </c>
      <c r="AC2391">
        <v>24.59</v>
      </c>
      <c r="AD2391">
        <v>0.49804700000000002</v>
      </c>
      <c r="AE2391">
        <v>-129.96969999999999</v>
      </c>
      <c r="AF2391">
        <v>-26.987725845977</v>
      </c>
      <c r="AG2391">
        <v>0.49804700000000002</v>
      </c>
      <c r="AH2391">
        <v>129.491148657634</v>
      </c>
      <c r="AI2391">
        <v>89.784266364040604</v>
      </c>
      <c r="AJ2391">
        <v>101.77270047907</v>
      </c>
      <c r="AK2391">
        <v>132.27449859222801</v>
      </c>
      <c r="AL2391">
        <v>88.753637164893604</v>
      </c>
      <c r="AM2391">
        <v>103.882105546422</v>
      </c>
      <c r="AN2391">
        <v>1.00000001864443</v>
      </c>
    </row>
    <row r="2392" spans="1:40" x14ac:dyDescent="0.25">
      <c r="A2392" t="str">
        <f>"20190312151315244"</f>
        <v>20190312151315244</v>
      </c>
      <c r="B2392" t="str">
        <f>"1552374795232457"</f>
        <v>1552374795232457</v>
      </c>
      <c r="C2392" t="s">
        <v>40</v>
      </c>
      <c r="D2392">
        <v>4.739255</v>
      </c>
      <c r="E2392">
        <v>0.51387890000000003</v>
      </c>
      <c r="F2392" t="s">
        <v>43</v>
      </c>
      <c r="G2392">
        <v>-468.11279999999999</v>
      </c>
      <c r="H2392">
        <v>-0.05</v>
      </c>
      <c r="I2392">
        <v>101.5557</v>
      </c>
      <c r="J2392">
        <v>-496.48649999999998</v>
      </c>
      <c r="K2392">
        <v>1.1104609999999999</v>
      </c>
      <c r="L2392">
        <v>249.6814</v>
      </c>
      <c r="M2392">
        <v>-1.6582920000000001E-2</v>
      </c>
      <c r="N2392">
        <v>0</v>
      </c>
      <c r="O2392">
        <v>-0.9998203</v>
      </c>
      <c r="P2392">
        <v>0.22348109999999999</v>
      </c>
      <c r="Q2392">
        <v>1.284591E-2</v>
      </c>
      <c r="R2392">
        <v>-0.97462409999999999</v>
      </c>
      <c r="S2392">
        <v>0.56445310000000004</v>
      </c>
      <c r="T2392">
        <v>-2.308547E-2</v>
      </c>
      <c r="U2392">
        <v>-2.9488219999999998</v>
      </c>
      <c r="V2392">
        <v>-0.2396462</v>
      </c>
      <c r="W2392">
        <v>2.1425820000000002E-2</v>
      </c>
      <c r="X2392">
        <v>0.97062389999999998</v>
      </c>
      <c r="Y2392">
        <v>-0.20425969999999999</v>
      </c>
      <c r="Z2392">
        <v>7.6746669999999996E-3</v>
      </c>
      <c r="AA2392">
        <v>0.9788867</v>
      </c>
      <c r="AB2392">
        <v>12</v>
      </c>
      <c r="AC2392">
        <v>28.3736999999999</v>
      </c>
      <c r="AD2392">
        <v>-1.160461</v>
      </c>
      <c r="AE2392">
        <v>-148.12569999999999</v>
      </c>
      <c r="AF2392">
        <v>-30.8244334536531</v>
      </c>
      <c r="AG2392">
        <v>-1.160461</v>
      </c>
      <c r="AH2392">
        <v>147.62605140740499</v>
      </c>
      <c r="AI2392">
        <v>90.440874557936596</v>
      </c>
      <c r="AJ2392">
        <v>101.793954709134</v>
      </c>
      <c r="AK2392">
        <v>150.814267964317</v>
      </c>
      <c r="AL2392">
        <v>88.772297071453394</v>
      </c>
      <c r="AM2392">
        <v>103.868906270095</v>
      </c>
      <c r="AN2392">
        <v>1.00000006109415</v>
      </c>
    </row>
    <row r="2393" spans="1:40" x14ac:dyDescent="0.25">
      <c r="A2393" t="str">
        <f>"20190312151315268"</f>
        <v>20190312151315268</v>
      </c>
      <c r="B2393" t="str">
        <f>"1552374795262710"</f>
        <v>1552374795262710</v>
      </c>
      <c r="C2393" t="s">
        <v>40</v>
      </c>
      <c r="D2393">
        <v>4.7125949999999897</v>
      </c>
      <c r="E2393">
        <v>0.51426110000000003</v>
      </c>
      <c r="F2393" t="s">
        <v>42</v>
      </c>
      <c r="G2393">
        <v>-482.56450000000001</v>
      </c>
      <c r="H2393" s="1">
        <v>-4.490261E-6</v>
      </c>
      <c r="I2393">
        <v>177.02520000000001</v>
      </c>
      <c r="J2393">
        <v>-496.48599999999999</v>
      </c>
      <c r="K2393">
        <v>1.1104540000000001</v>
      </c>
      <c r="L2393">
        <v>249.5573</v>
      </c>
      <c r="M2393">
        <v>-1.4373489999999999E-2</v>
      </c>
      <c r="N2393">
        <v>0</v>
      </c>
      <c r="O2393">
        <v>-0.99985489999999999</v>
      </c>
      <c r="P2393">
        <v>0.2252516</v>
      </c>
      <c r="Q2393">
        <v>1.2673240000000001E-2</v>
      </c>
      <c r="R2393">
        <v>-0.97421860000000005</v>
      </c>
      <c r="S2393">
        <v>0.56509399999999999</v>
      </c>
      <c r="T2393">
        <v>-4.5073990000000001E-2</v>
      </c>
      <c r="U2393">
        <v>-2.9491269999999998</v>
      </c>
      <c r="V2393">
        <v>-0.239264</v>
      </c>
      <c r="W2393">
        <v>2.1217010000000001E-2</v>
      </c>
      <c r="X2393">
        <v>0.97072270000000005</v>
      </c>
      <c r="Y2393">
        <v>-0.202267</v>
      </c>
      <c r="Z2393">
        <v>1.4985470000000001E-2</v>
      </c>
      <c r="AA2393">
        <v>0.97921570000000002</v>
      </c>
      <c r="AB2393">
        <v>12</v>
      </c>
      <c r="AC2393">
        <v>13.921499999999901</v>
      </c>
      <c r="AD2393">
        <v>-1.110458490261</v>
      </c>
      <c r="AE2393">
        <v>-72.5320999999999</v>
      </c>
      <c r="AF2393">
        <v>-14.959262958454699</v>
      </c>
      <c r="AG2393">
        <v>-1.110458490261</v>
      </c>
      <c r="AH2393">
        <v>72.308151299309898</v>
      </c>
      <c r="AI2393">
        <v>90.8615974619577</v>
      </c>
      <c r="AJ2393">
        <v>101.68857572539601</v>
      </c>
      <c r="AK2393">
        <v>73.847690624979506</v>
      </c>
      <c r="AL2393">
        <v>88.784263638495403</v>
      </c>
      <c r="AM2393">
        <v>103.84628423573</v>
      </c>
      <c r="AN2393">
        <v>0.99999999175231502</v>
      </c>
    </row>
    <row r="2394" spans="1:40" x14ac:dyDescent="0.25">
      <c r="A2394" t="str">
        <f>"20190312151315289"</f>
        <v>20190312151315289</v>
      </c>
      <c r="B2394" t="str">
        <f>"1552374795282798"</f>
        <v>1552374795282798</v>
      </c>
      <c r="C2394" t="s">
        <v>40</v>
      </c>
      <c r="D2394">
        <v>4.8655429999999997</v>
      </c>
      <c r="E2394">
        <v>0.51381080000000001</v>
      </c>
      <c r="F2394" t="s">
        <v>53</v>
      </c>
      <c r="G2394">
        <v>-487.28750000000002</v>
      </c>
      <c r="H2394" s="1">
        <v>4.3712640000000001E-7</v>
      </c>
      <c r="I2394">
        <v>201.7919</v>
      </c>
      <c r="J2394">
        <v>-496.4853</v>
      </c>
      <c r="K2394">
        <v>1.110452</v>
      </c>
      <c r="L2394">
        <v>249.44839999999999</v>
      </c>
      <c r="M2394">
        <v>-1.244868E-2</v>
      </c>
      <c r="N2394">
        <v>0</v>
      </c>
      <c r="O2394">
        <v>-0.99988089999999996</v>
      </c>
      <c r="P2394">
        <v>0.22677030000000001</v>
      </c>
      <c r="Q2394">
        <v>1.308776E-2</v>
      </c>
      <c r="R2394">
        <v>-0.97386039999999996</v>
      </c>
      <c r="S2394">
        <v>0.56790160000000001</v>
      </c>
      <c r="T2394">
        <v>-6.8558339999999995E-2</v>
      </c>
      <c r="U2394">
        <v>-2.9489899999999998</v>
      </c>
      <c r="V2394">
        <v>-0.23890929999999999</v>
      </c>
      <c r="W2394">
        <v>2.1602679999999999E-2</v>
      </c>
      <c r="X2394">
        <v>0.97080149999999998</v>
      </c>
      <c r="Y2394">
        <v>-0.2012613</v>
      </c>
      <c r="Z2394">
        <v>2.279202E-2</v>
      </c>
      <c r="AA2394">
        <v>0.97927240000000004</v>
      </c>
      <c r="AB2394">
        <v>12</v>
      </c>
      <c r="AC2394">
        <v>9.1977999999999707</v>
      </c>
      <c r="AD2394">
        <v>-1.1104515628736</v>
      </c>
      <c r="AE2394">
        <v>-47.656500000000001</v>
      </c>
      <c r="AF2394">
        <v>-9.7852503807741993</v>
      </c>
      <c r="AG2394">
        <v>-1.1104515628736</v>
      </c>
      <c r="AH2394">
        <v>47.513430961831503</v>
      </c>
      <c r="AI2394">
        <v>91.311323564497798</v>
      </c>
      <c r="AJ2394">
        <v>101.637189436984</v>
      </c>
      <c r="AK2394">
        <v>48.523296976325298</v>
      </c>
      <c r="AL2394">
        <v>88.762161245711894</v>
      </c>
      <c r="AM2394">
        <v>103.825466619975</v>
      </c>
      <c r="AN2394">
        <v>0.99999994090595901</v>
      </c>
    </row>
    <row r="2395" spans="1:40" x14ac:dyDescent="0.25">
      <c r="A2395" t="str">
        <f>"20190312151315311"</f>
        <v>20190312151315311</v>
      </c>
      <c r="B2395" t="str">
        <f>"1552374795302321"</f>
        <v>1552374795302321</v>
      </c>
      <c r="C2395" t="s">
        <v>40</v>
      </c>
      <c r="D2395">
        <v>4.7517120000000004</v>
      </c>
      <c r="E2395">
        <v>0.51377019999999995</v>
      </c>
      <c r="F2395" t="s">
        <v>53</v>
      </c>
      <c r="G2395">
        <v>-488.37419999999997</v>
      </c>
      <c r="H2395" s="1">
        <v>2.3083960000000001E-6</v>
      </c>
      <c r="I2395">
        <v>207.97460000000001</v>
      </c>
      <c r="J2395">
        <v>-496.48430000000002</v>
      </c>
      <c r="K2395">
        <v>1.1104540000000001</v>
      </c>
      <c r="L2395">
        <v>249.33260000000001</v>
      </c>
      <c r="M2395">
        <v>-1.041044E-2</v>
      </c>
      <c r="N2395">
        <v>0</v>
      </c>
      <c r="O2395">
        <v>-0.99990449999999997</v>
      </c>
      <c r="P2395">
        <v>0.2285983</v>
      </c>
      <c r="Q2395">
        <v>1.355631E-2</v>
      </c>
      <c r="R2395">
        <v>-0.97342649999999997</v>
      </c>
      <c r="S2395">
        <v>0.57641600000000004</v>
      </c>
      <c r="T2395">
        <v>-7.891476E-2</v>
      </c>
      <c r="U2395">
        <v>-2.9473569999999998</v>
      </c>
      <c r="V2395">
        <v>-0.2387543</v>
      </c>
      <c r="W2395">
        <v>2.2041749999999999E-2</v>
      </c>
      <c r="X2395">
        <v>0.97082979999999997</v>
      </c>
      <c r="Y2395">
        <v>-0.20207520000000001</v>
      </c>
      <c r="Z2395">
        <v>2.6238540000000001E-2</v>
      </c>
      <c r="AA2395">
        <v>0.97901839999999996</v>
      </c>
      <c r="AB2395">
        <v>12</v>
      </c>
      <c r="AC2395">
        <v>8.1101000000000401</v>
      </c>
      <c r="AD2395">
        <v>-1.1104516916039999</v>
      </c>
      <c r="AE2395">
        <v>-41.357999999999997</v>
      </c>
      <c r="AF2395">
        <v>-8.5343086041669398</v>
      </c>
      <c r="AG2395">
        <v>-1.1104516916039999</v>
      </c>
      <c r="AH2395">
        <v>41.2426941709289</v>
      </c>
      <c r="AI2395">
        <v>91.510323829143303</v>
      </c>
      <c r="AJ2395">
        <v>101.691150854019</v>
      </c>
      <c r="AK2395">
        <v>42.131073435023197</v>
      </c>
      <c r="AL2395">
        <v>88.736998440284907</v>
      </c>
      <c r="AM2395">
        <v>103.81645340374899</v>
      </c>
      <c r="AN2395">
        <v>0.99999997753979597</v>
      </c>
    </row>
    <row r="2396" spans="1:40" x14ac:dyDescent="0.25">
      <c r="A2396" t="str">
        <f>"20190312151315333"</f>
        <v>20190312151315333</v>
      </c>
      <c r="B2396" t="str">
        <f>"1552374795322818"</f>
        <v>1552374795322818</v>
      </c>
      <c r="C2396" t="s">
        <v>40</v>
      </c>
      <c r="D2396">
        <v>4.7180859999999996</v>
      </c>
      <c r="E2396">
        <v>0.51383259999999997</v>
      </c>
      <c r="F2396" t="s">
        <v>53</v>
      </c>
      <c r="G2396">
        <v>-488.40460000000002</v>
      </c>
      <c r="H2396" s="1">
        <v>2.4604039999999999E-6</v>
      </c>
      <c r="I2396">
        <v>208.4479</v>
      </c>
      <c r="J2396">
        <v>-496.48309999999998</v>
      </c>
      <c r="K2396">
        <v>1.1104620000000001</v>
      </c>
      <c r="L2396">
        <v>249.21289999999999</v>
      </c>
      <c r="M2396">
        <v>-8.3104960000000005E-3</v>
      </c>
      <c r="N2396">
        <v>0</v>
      </c>
      <c r="O2396">
        <v>-0.99992420000000004</v>
      </c>
      <c r="P2396">
        <v>0.2304457</v>
      </c>
      <c r="Q2396">
        <v>1.3673390000000001E-2</v>
      </c>
      <c r="R2396">
        <v>-0.9729892</v>
      </c>
      <c r="S2396">
        <v>0.58224489999999995</v>
      </c>
      <c r="T2396">
        <v>-8.0021739999999994E-2</v>
      </c>
      <c r="U2396">
        <v>-2.9462429999999999</v>
      </c>
      <c r="V2396">
        <v>-0.23855850000000001</v>
      </c>
      <c r="W2396">
        <v>2.2132329999999999E-2</v>
      </c>
      <c r="X2396">
        <v>0.97087590000000001</v>
      </c>
      <c r="Y2396">
        <v>-0.20195099999999999</v>
      </c>
      <c r="Z2396">
        <v>2.661231E-2</v>
      </c>
      <c r="AA2396">
        <v>0.97903399999999996</v>
      </c>
      <c r="AB2396">
        <v>12</v>
      </c>
      <c r="AC2396">
        <v>8.0784999999999592</v>
      </c>
      <c r="AD2396">
        <v>-1.110459539596</v>
      </c>
      <c r="AE2396">
        <v>-40.764999999999901</v>
      </c>
      <c r="AF2396">
        <v>-8.4110068533894502</v>
      </c>
      <c r="AG2396">
        <v>-1.110459539596</v>
      </c>
      <c r="AH2396">
        <v>40.667416306349203</v>
      </c>
      <c r="AI2396">
        <v>91.531721273275906</v>
      </c>
      <c r="AJ2396">
        <v>101.685395200868</v>
      </c>
      <c r="AK2396">
        <v>41.542952539639799</v>
      </c>
      <c r="AL2396">
        <v>88.731807357655697</v>
      </c>
      <c r="AM2396">
        <v>103.804925882362</v>
      </c>
      <c r="AN2396">
        <v>1.0000000055771401</v>
      </c>
    </row>
    <row r="2397" spans="1:40" x14ac:dyDescent="0.25">
      <c r="A2397" t="str">
        <f>"20190312151315356"</f>
        <v>20190312151315356</v>
      </c>
      <c r="B2397" t="str">
        <f>"1552374795352095"</f>
        <v>1552374795352095</v>
      </c>
      <c r="C2397" t="s">
        <v>40</v>
      </c>
      <c r="D2397">
        <v>4.6689319999999999</v>
      </c>
      <c r="E2397">
        <v>0.51386109999999996</v>
      </c>
      <c r="F2397" t="s">
        <v>53</v>
      </c>
      <c r="G2397">
        <v>-488.565</v>
      </c>
      <c r="H2397" s="1">
        <v>2.8186259999999999E-6</v>
      </c>
      <c r="I2397">
        <v>209.51240000000001</v>
      </c>
      <c r="J2397">
        <v>-496.48169999999999</v>
      </c>
      <c r="K2397">
        <v>1.1104719999999999</v>
      </c>
      <c r="L2397">
        <v>249.09389999999999</v>
      </c>
      <c r="M2397">
        <v>-6.2299740000000001E-3</v>
      </c>
      <c r="N2397">
        <v>0</v>
      </c>
      <c r="O2397">
        <v>-0.99993949999999998</v>
      </c>
      <c r="P2397">
        <v>0.23224310000000001</v>
      </c>
      <c r="Q2397">
        <v>1.407447E-2</v>
      </c>
      <c r="R2397">
        <v>-0.97255610000000003</v>
      </c>
      <c r="S2397">
        <v>0.58743290000000004</v>
      </c>
      <c r="T2397">
        <v>-8.2382799999999895E-2</v>
      </c>
      <c r="U2397">
        <v>-2.9452970000000001</v>
      </c>
      <c r="V2397">
        <v>-0.2383333</v>
      </c>
      <c r="W2397">
        <v>2.2513700000000001E-2</v>
      </c>
      <c r="X2397">
        <v>0.97092250000000002</v>
      </c>
      <c r="Y2397">
        <v>-0.201628</v>
      </c>
      <c r="Z2397">
        <v>2.7402449999999998E-2</v>
      </c>
      <c r="AA2397">
        <v>0.97907880000000003</v>
      </c>
      <c r="AB2397">
        <v>12</v>
      </c>
      <c r="AC2397">
        <v>7.9166999999999899</v>
      </c>
      <c r="AD2397">
        <v>-1.110469181374</v>
      </c>
      <c r="AE2397">
        <v>-39.581499999999899</v>
      </c>
      <c r="AF2397">
        <v>-8.1569748271230296</v>
      </c>
      <c r="AG2397">
        <v>-1.110469181374</v>
      </c>
      <c r="AH2397">
        <v>39.501513340458601</v>
      </c>
      <c r="AI2397">
        <v>91.577023803411194</v>
      </c>
      <c r="AJ2397">
        <v>101.667457413584</v>
      </c>
      <c r="AK2397">
        <v>40.350203671351203</v>
      </c>
      <c r="AL2397">
        <v>88.709951096243302</v>
      </c>
      <c r="AM2397">
        <v>103.791755151271</v>
      </c>
      <c r="AN2397">
        <v>1.00000006479141</v>
      </c>
    </row>
    <row r="2398" spans="1:40" x14ac:dyDescent="0.25">
      <c r="A2398" t="str">
        <f>"20190312151315380"</f>
        <v>20190312151315380</v>
      </c>
      <c r="B2398" t="str">
        <f>"1552374795372589"</f>
        <v>1552374795372589</v>
      </c>
      <c r="C2398" t="s">
        <v>40</v>
      </c>
      <c r="D2398">
        <v>4.6599930000000001</v>
      </c>
      <c r="E2398">
        <v>0.51398619999999995</v>
      </c>
      <c r="F2398" t="s">
        <v>53</v>
      </c>
      <c r="G2398">
        <v>-489.02460000000002</v>
      </c>
      <c r="H2398" s="1">
        <v>3.0396730000000002E-6</v>
      </c>
      <c r="I2398">
        <v>212.0718</v>
      </c>
      <c r="J2398">
        <v>-496.47989999999999</v>
      </c>
      <c r="K2398">
        <v>1.110487</v>
      </c>
      <c r="L2398">
        <v>248.9676</v>
      </c>
      <c r="M2398">
        <v>-4.0252659999999996E-3</v>
      </c>
      <c r="N2398">
        <v>0</v>
      </c>
      <c r="O2398">
        <v>-0.99995089999999998</v>
      </c>
      <c r="P2398">
        <v>0.23431099999999999</v>
      </c>
      <c r="Q2398">
        <v>1.480126E-2</v>
      </c>
      <c r="R2398">
        <v>-0.97204939999999995</v>
      </c>
      <c r="S2398">
        <v>0.59304809999999997</v>
      </c>
      <c r="T2398">
        <v>-8.8313820000000001E-2</v>
      </c>
      <c r="U2398">
        <v>-2.9443049999999999</v>
      </c>
      <c r="V2398">
        <v>-0.238259</v>
      </c>
      <c r="W2398">
        <v>2.3228769999999999E-2</v>
      </c>
      <c r="X2398">
        <v>0.9709238</v>
      </c>
      <c r="Y2398">
        <v>-0.20131569999999999</v>
      </c>
      <c r="Z2398">
        <v>2.9379269999999999E-2</v>
      </c>
      <c r="AA2398">
        <v>0.97908569999999995</v>
      </c>
      <c r="AB2398">
        <v>12</v>
      </c>
      <c r="AC2398">
        <v>7.4552999999999603</v>
      </c>
      <c r="AD2398">
        <v>-1.110483960327</v>
      </c>
      <c r="AE2398">
        <v>-36.895800000000001</v>
      </c>
      <c r="AF2398">
        <v>-7.5971489605270897</v>
      </c>
      <c r="AG2398">
        <v>-1.110483960327</v>
      </c>
      <c r="AH2398">
        <v>36.833432507382703</v>
      </c>
      <c r="AI2398">
        <v>91.691296707071501</v>
      </c>
      <c r="AJ2398">
        <v>101.654218832883</v>
      </c>
      <c r="AK2398">
        <v>37.625145810089599</v>
      </c>
      <c r="AL2398">
        <v>88.668969767022205</v>
      </c>
      <c r="AM2398">
        <v>103.787601934968</v>
      </c>
      <c r="AN2398">
        <v>0.99999997612157598</v>
      </c>
    </row>
    <row r="2399" spans="1:40" x14ac:dyDescent="0.25">
      <c r="A2399" t="str">
        <f>"20190312151315402"</f>
        <v>20190312151315402</v>
      </c>
      <c r="B2399" t="str">
        <f>"1552374795392616"</f>
        <v>1552374795392616</v>
      </c>
      <c r="C2399" t="s">
        <v>40</v>
      </c>
      <c r="D2399">
        <v>4.6530750000000003</v>
      </c>
      <c r="E2399">
        <v>0.51406289999999999</v>
      </c>
      <c r="F2399" t="s">
        <v>53</v>
      </c>
      <c r="G2399">
        <v>-489.29169999999999</v>
      </c>
      <c r="H2399" s="1">
        <v>3.154323E-6</v>
      </c>
      <c r="I2399">
        <v>213.61080000000001</v>
      </c>
      <c r="J2399">
        <v>-496.47800000000001</v>
      </c>
      <c r="K2399">
        <v>1.1105</v>
      </c>
      <c r="L2399">
        <v>248.85149999999999</v>
      </c>
      <c r="M2399">
        <v>-2.001119E-3</v>
      </c>
      <c r="N2399">
        <v>0</v>
      </c>
      <c r="O2399">
        <v>-0.99995699999999998</v>
      </c>
      <c r="P2399">
        <v>0.2365244</v>
      </c>
      <c r="Q2399">
        <v>1.528354E-2</v>
      </c>
      <c r="R2399">
        <v>-0.97150530000000002</v>
      </c>
      <c r="S2399">
        <v>0.59841919999999904</v>
      </c>
      <c r="T2399">
        <v>-9.2447879999999996E-2</v>
      </c>
      <c r="U2399">
        <v>-2.943451</v>
      </c>
      <c r="V2399">
        <v>-0.23850589999999999</v>
      </c>
      <c r="W2399">
        <v>2.370738E-2</v>
      </c>
      <c r="X2399">
        <v>0.97085169999999998</v>
      </c>
      <c r="Y2399">
        <v>-0.201096</v>
      </c>
      <c r="Z2399">
        <v>3.075746E-2</v>
      </c>
      <c r="AA2399">
        <v>0.97908850000000003</v>
      </c>
      <c r="AB2399">
        <v>12</v>
      </c>
      <c r="AC2399">
        <v>7.1863000000000099</v>
      </c>
      <c r="AD2399">
        <v>-1.1104968456769999</v>
      </c>
      <c r="AE2399">
        <v>-35.240699999999897</v>
      </c>
      <c r="AF2399">
        <v>-7.24989765984642</v>
      </c>
      <c r="AG2399">
        <v>-1.1104968456769999</v>
      </c>
      <c r="AH2399">
        <v>35.192697312809898</v>
      </c>
      <c r="AI2399">
        <v>91.770206768372802</v>
      </c>
      <c r="AJ2399">
        <v>101.640415926998</v>
      </c>
      <c r="AK2399">
        <v>35.948854828402602</v>
      </c>
      <c r="AL2399">
        <v>88.641539997644699</v>
      </c>
      <c r="AM2399">
        <v>103.802329307048</v>
      </c>
      <c r="AN2399">
        <v>1.0000000637970801</v>
      </c>
    </row>
    <row r="2400" spans="1:40" x14ac:dyDescent="0.25">
      <c r="A2400" t="str">
        <f>"20190312151315423"</f>
        <v>20190312151315423</v>
      </c>
      <c r="B2400" t="str">
        <f>"1552374795412136"</f>
        <v>1552374795412136</v>
      </c>
      <c r="C2400" t="s">
        <v>40</v>
      </c>
      <c r="D2400">
        <v>4.639602</v>
      </c>
      <c r="E2400">
        <v>0.51423129999999995</v>
      </c>
      <c r="F2400" t="s">
        <v>53</v>
      </c>
      <c r="G2400">
        <v>-489.3297</v>
      </c>
      <c r="H2400" s="1">
        <v>3.1810819999999998E-6</v>
      </c>
      <c r="I2400">
        <v>214.06899999999999</v>
      </c>
      <c r="J2400">
        <v>-496.47579999999999</v>
      </c>
      <c r="K2400">
        <v>1.1105179999999999</v>
      </c>
      <c r="L2400">
        <v>248.73220000000001</v>
      </c>
      <c r="M2400" s="1">
        <v>7.7642919999999996E-5</v>
      </c>
      <c r="N2400">
        <v>0</v>
      </c>
      <c r="O2400">
        <v>-0.99995909999999999</v>
      </c>
      <c r="P2400">
        <v>0.2385593</v>
      </c>
      <c r="Q2400">
        <v>1.6103659999999999E-2</v>
      </c>
      <c r="R2400">
        <v>-0.97099489999999999</v>
      </c>
      <c r="S2400">
        <v>0.60467530000000003</v>
      </c>
      <c r="T2400">
        <v>-9.3936199999999997E-2</v>
      </c>
      <c r="U2400">
        <v>-2.9422299999999999</v>
      </c>
      <c r="V2400">
        <v>-0.23852429999999999</v>
      </c>
      <c r="W2400">
        <v>2.4535410000000001E-2</v>
      </c>
      <c r="X2400">
        <v>0.97082659999999998</v>
      </c>
      <c r="Y2400">
        <v>-0.20113420000000001</v>
      </c>
      <c r="Z2400">
        <v>3.1258229999999998E-2</v>
      </c>
      <c r="AA2400">
        <v>0.97906479999999996</v>
      </c>
      <c r="AB2400">
        <v>12</v>
      </c>
      <c r="AC2400">
        <v>7.1460999999999899</v>
      </c>
      <c r="AD2400">
        <v>-1.1105148189180001</v>
      </c>
      <c r="AE2400">
        <v>-34.663199999999897</v>
      </c>
      <c r="AF2400">
        <v>-7.1363824381752403</v>
      </c>
      <c r="AG2400">
        <v>-1.1105148189180001</v>
      </c>
      <c r="AH2400">
        <v>34.629660359126497</v>
      </c>
      <c r="AI2400">
        <v>91.798973172087599</v>
      </c>
      <c r="AJ2400">
        <v>101.644341936505</v>
      </c>
      <c r="AK2400">
        <v>35.374773130797401</v>
      </c>
      <c r="AL2400">
        <v>88.594083558287807</v>
      </c>
      <c r="AM2400">
        <v>103.80369661672</v>
      </c>
      <c r="AN2400">
        <v>1.00000005765095</v>
      </c>
    </row>
    <row r="2401" spans="1:40" x14ac:dyDescent="0.25">
      <c r="A2401" t="str">
        <f>"20190312151315446"</f>
        <v>20190312151315446</v>
      </c>
      <c r="B2401" t="str">
        <f>"1552374795442393"</f>
        <v>1552374795442393</v>
      </c>
      <c r="C2401" t="s">
        <v>40</v>
      </c>
      <c r="D2401">
        <v>4.6680440000000001</v>
      </c>
      <c r="E2401">
        <v>0.51432479999999903</v>
      </c>
      <c r="F2401" t="s">
        <v>53</v>
      </c>
      <c r="G2401">
        <v>-489.0419</v>
      </c>
      <c r="H2401" s="1">
        <v>3.0783510000000002E-6</v>
      </c>
      <c r="I2401">
        <v>212.88659999999999</v>
      </c>
      <c r="J2401">
        <v>-496.47340000000003</v>
      </c>
      <c r="K2401">
        <v>1.110535</v>
      </c>
      <c r="L2401">
        <v>248.61580000000001</v>
      </c>
      <c r="M2401">
        <v>2.1085359999999998E-3</v>
      </c>
      <c r="N2401">
        <v>0</v>
      </c>
      <c r="O2401">
        <v>-0.99995650000000003</v>
      </c>
      <c r="P2401">
        <v>0.24063490000000001</v>
      </c>
      <c r="Q2401">
        <v>1.705837E-2</v>
      </c>
      <c r="R2401">
        <v>-0.9704661</v>
      </c>
      <c r="S2401">
        <v>0.60998540000000001</v>
      </c>
      <c r="T2401">
        <v>-9.1122270000000005E-2</v>
      </c>
      <c r="U2401">
        <v>-2.941284</v>
      </c>
      <c r="V2401">
        <v>-0.23863000000000001</v>
      </c>
      <c r="W2401">
        <v>2.5509759999999999E-2</v>
      </c>
      <c r="X2401">
        <v>0.97077550000000001</v>
      </c>
      <c r="Y2401">
        <v>-0.200908</v>
      </c>
      <c r="Z2401">
        <v>3.0327440000000001E-2</v>
      </c>
      <c r="AA2401">
        <v>0.97914060000000003</v>
      </c>
      <c r="AB2401">
        <v>12</v>
      </c>
      <c r="AC2401">
        <v>7.4315000000000202</v>
      </c>
      <c r="AD2401">
        <v>-1.1105319216489999</v>
      </c>
      <c r="AE2401">
        <v>-35.729199999999999</v>
      </c>
      <c r="AF2401">
        <v>-7.3493384024795301</v>
      </c>
      <c r="AG2401">
        <v>-1.1105319216489999</v>
      </c>
      <c r="AH2401">
        <v>35.711720898822598</v>
      </c>
      <c r="AI2401">
        <v>91.744622333304505</v>
      </c>
      <c r="AJ2401">
        <v>101.62890143895299</v>
      </c>
      <c r="AK2401">
        <v>36.4770210633841</v>
      </c>
      <c r="AL2401">
        <v>88.538239917113202</v>
      </c>
      <c r="AM2401">
        <v>103.81027857863199</v>
      </c>
      <c r="AN2401">
        <v>1.00000004807775</v>
      </c>
    </row>
    <row r="2402" spans="1:40" x14ac:dyDescent="0.25">
      <c r="A2402" t="str">
        <f>"20190312151315467"</f>
        <v>20190312151315467</v>
      </c>
      <c r="B2402" t="str">
        <f>"1552374795462888"</f>
        <v>1552374795462888</v>
      </c>
      <c r="C2402" t="s">
        <v>40</v>
      </c>
      <c r="D2402">
        <v>4.6774339999999999</v>
      </c>
      <c r="E2402">
        <v>0.51458979999999999</v>
      </c>
      <c r="F2402" t="s">
        <v>53</v>
      </c>
      <c r="G2402">
        <v>-489.15559999999999</v>
      </c>
      <c r="H2402" s="1">
        <v>3.1327410000000002E-6</v>
      </c>
      <c r="I2402">
        <v>213.66919999999999</v>
      </c>
      <c r="J2402">
        <v>-496.4708</v>
      </c>
      <c r="K2402">
        <v>1.1105560000000001</v>
      </c>
      <c r="L2402">
        <v>248.49690000000001</v>
      </c>
      <c r="M2402">
        <v>4.1832689999999999E-3</v>
      </c>
      <c r="N2402">
        <v>0</v>
      </c>
      <c r="O2402">
        <v>-0.99994959999999999</v>
      </c>
      <c r="P2402">
        <v>0.24294460000000001</v>
      </c>
      <c r="Q2402">
        <v>1.8240969999999999E-2</v>
      </c>
      <c r="R2402">
        <v>-0.96986919999999999</v>
      </c>
      <c r="S2402">
        <v>0.61569209999999996</v>
      </c>
      <c r="T2402">
        <v>-9.3436000000000005E-2</v>
      </c>
      <c r="U2402">
        <v>-2.940277</v>
      </c>
      <c r="V2402">
        <v>-0.23892930000000001</v>
      </c>
      <c r="W2402">
        <v>2.6722409999999999E-2</v>
      </c>
      <c r="X2402">
        <v>0.97066920000000001</v>
      </c>
      <c r="Y2402">
        <v>-0.20075860000000001</v>
      </c>
      <c r="Z2402">
        <v>3.110125E-2</v>
      </c>
      <c r="AA2402">
        <v>0.97914690000000004</v>
      </c>
      <c r="AB2402">
        <v>12</v>
      </c>
      <c r="AC2402">
        <v>7.3151999999999999</v>
      </c>
      <c r="AD2402">
        <v>-1.1105528672589999</v>
      </c>
      <c r="AE2402">
        <v>-34.8277</v>
      </c>
      <c r="AF2402">
        <v>-7.1624613144904501</v>
      </c>
      <c r="AG2402">
        <v>-1.1105528672589999</v>
      </c>
      <c r="AH2402">
        <v>34.824085477738699</v>
      </c>
      <c r="AI2402">
        <v>91.789139022718899</v>
      </c>
      <c r="AJ2402">
        <v>101.622263866759</v>
      </c>
      <c r="AK2402">
        <v>35.570368414080299</v>
      </c>
      <c r="AL2402">
        <v>88.468736404038793</v>
      </c>
      <c r="AM2402">
        <v>103.82839179155501</v>
      </c>
      <c r="AN2402">
        <v>0.99999999671166895</v>
      </c>
    </row>
    <row r="2403" spans="1:40" x14ac:dyDescent="0.25">
      <c r="A2403" t="str">
        <f>"20190312151315491"</f>
        <v>20190312151315491</v>
      </c>
      <c r="B2403" t="str">
        <f>"1552374795482409"</f>
        <v>1552374795482409</v>
      </c>
      <c r="C2403" t="s">
        <v>40</v>
      </c>
      <c r="D2403">
        <v>4.7257020000000001</v>
      </c>
      <c r="E2403">
        <v>0.51473709999999995</v>
      </c>
      <c r="F2403" t="s">
        <v>53</v>
      </c>
      <c r="G2403">
        <v>-488.89940000000001</v>
      </c>
      <c r="H2403" s="1">
        <v>3.0421320000000001E-6</v>
      </c>
      <c r="I2403">
        <v>212.636</v>
      </c>
      <c r="J2403">
        <v>-496.46780000000001</v>
      </c>
      <c r="K2403">
        <v>1.110579</v>
      </c>
      <c r="L2403">
        <v>248.37639999999999</v>
      </c>
      <c r="M2403">
        <v>6.2864189999999997E-3</v>
      </c>
      <c r="N2403">
        <v>0</v>
      </c>
      <c r="O2403">
        <v>-0.99993840000000001</v>
      </c>
      <c r="P2403">
        <v>0.2448302</v>
      </c>
      <c r="Q2403">
        <v>1.9153280000000002E-2</v>
      </c>
      <c r="R2403">
        <v>-0.9693773</v>
      </c>
      <c r="S2403">
        <v>0.62060550000000003</v>
      </c>
      <c r="T2403">
        <v>-9.1029639999999995E-2</v>
      </c>
      <c r="U2403">
        <v>-2.939438</v>
      </c>
      <c r="V2403">
        <v>-0.2387773</v>
      </c>
      <c r="W2403">
        <v>2.767097E-2</v>
      </c>
      <c r="X2403">
        <v>0.97067999999999999</v>
      </c>
      <c r="Y2403">
        <v>-0.2003267</v>
      </c>
      <c r="Z2403">
        <v>3.0305180000000001E-2</v>
      </c>
      <c r="AA2403">
        <v>0.97926029999999997</v>
      </c>
      <c r="AB2403">
        <v>12</v>
      </c>
      <c r="AC2403">
        <v>7.5683999999999898</v>
      </c>
      <c r="AD2403">
        <v>-1.1105759578679999</v>
      </c>
      <c r="AE2403">
        <v>-35.740399999999902</v>
      </c>
      <c r="AF2403">
        <v>-7.33678186344767</v>
      </c>
      <c r="AG2403">
        <v>-1.1105759578679999</v>
      </c>
      <c r="AH2403">
        <v>35.754232754213298</v>
      </c>
      <c r="AI2403">
        <v>91.742822936755005</v>
      </c>
      <c r="AJ2403">
        <v>101.596143254187</v>
      </c>
      <c r="AK2403">
        <v>36.516118453533203</v>
      </c>
      <c r="AL2403">
        <v>88.414367767132305</v>
      </c>
      <c r="AM2403">
        <v>103.819784056633</v>
      </c>
      <c r="AN2403">
        <v>0.99999997198801505</v>
      </c>
    </row>
    <row r="2404" spans="1:40" x14ac:dyDescent="0.25">
      <c r="A2404" t="str">
        <f>"20190312151315512"</f>
        <v>20190312151315512</v>
      </c>
      <c r="B2404" t="str">
        <f>"1552374795502904"</f>
        <v>1552374795502904</v>
      </c>
      <c r="C2404" t="s">
        <v>40</v>
      </c>
      <c r="D2404">
        <v>4.63408</v>
      </c>
      <c r="E2404">
        <v>0.51490219999999998</v>
      </c>
      <c r="F2404" t="s">
        <v>53</v>
      </c>
      <c r="G2404">
        <v>-488.92169999999999</v>
      </c>
      <c r="H2404" s="1">
        <v>3.0597920000000001E-6</v>
      </c>
      <c r="I2404">
        <v>212.9496</v>
      </c>
      <c r="J2404">
        <v>-496.46460000000002</v>
      </c>
      <c r="K2404">
        <v>1.1105940000000001</v>
      </c>
      <c r="L2404">
        <v>248.25479999999999</v>
      </c>
      <c r="M2404">
        <v>8.4089390000000007E-3</v>
      </c>
      <c r="N2404">
        <v>0</v>
      </c>
      <c r="O2404">
        <v>-0.99992219999999998</v>
      </c>
      <c r="P2404">
        <v>0.2471845</v>
      </c>
      <c r="Q2404">
        <v>2.0346690000000001E-2</v>
      </c>
      <c r="R2404">
        <v>-0.96875509999999998</v>
      </c>
      <c r="S2404">
        <v>0.62591549999999996</v>
      </c>
      <c r="T2404">
        <v>-9.2117669999999999E-2</v>
      </c>
      <c r="U2404">
        <v>-2.938507</v>
      </c>
      <c r="V2404">
        <v>-0.2390777</v>
      </c>
      <c r="W2404">
        <v>2.889976E-2</v>
      </c>
      <c r="X2404">
        <v>0.9705703</v>
      </c>
      <c r="Y2404">
        <v>-0.20000080000000001</v>
      </c>
      <c r="Z2404">
        <v>3.0671179999999999E-2</v>
      </c>
      <c r="AA2404">
        <v>0.97931559999999995</v>
      </c>
      <c r="AB2404">
        <v>12</v>
      </c>
      <c r="AC2404">
        <v>7.5429000000000297</v>
      </c>
      <c r="AD2404">
        <v>-1.1105909402079901</v>
      </c>
      <c r="AE2404">
        <v>-35.3051999999999</v>
      </c>
      <c r="AF2404">
        <v>-7.2388909793637701</v>
      </c>
      <c r="AG2404">
        <v>-1.1105909402079901</v>
      </c>
      <c r="AH2404">
        <v>35.333944269329997</v>
      </c>
      <c r="AI2404">
        <v>91.763678463644894</v>
      </c>
      <c r="AJ2404">
        <v>101.578018164833</v>
      </c>
      <c r="AK2404">
        <v>36.084935533761197</v>
      </c>
      <c r="AL2404">
        <v>88.343935186745</v>
      </c>
      <c r="AM2404">
        <v>103.83800644763799</v>
      </c>
      <c r="AN2404">
        <v>1.00000002500371</v>
      </c>
    </row>
    <row r="2405" spans="1:40" x14ac:dyDescent="0.25">
      <c r="A2405" t="str">
        <f>"20190312151315534"</f>
        <v>20190312151315534</v>
      </c>
      <c r="B2405" t="str">
        <f>"1552374795522424"</f>
        <v>1552374795522424</v>
      </c>
      <c r="C2405" t="s">
        <v>40</v>
      </c>
      <c r="D2405">
        <v>4.8201989999999997</v>
      </c>
      <c r="E2405">
        <v>0.51516130000000004</v>
      </c>
      <c r="F2405" t="s">
        <v>53</v>
      </c>
      <c r="G2405">
        <v>-488.71120000000002</v>
      </c>
      <c r="H2405" s="1">
        <v>2.9896659999999998E-6</v>
      </c>
      <c r="I2405">
        <v>212.19970000000001</v>
      </c>
      <c r="J2405">
        <v>-496.46109999999999</v>
      </c>
      <c r="K2405">
        <v>1.1106069999999999</v>
      </c>
      <c r="L2405">
        <v>248.13659999999999</v>
      </c>
      <c r="M2405">
        <v>1.047208E-2</v>
      </c>
      <c r="N2405">
        <v>0</v>
      </c>
      <c r="O2405">
        <v>-0.99990239999999997</v>
      </c>
      <c r="P2405">
        <v>0.24951760000000001</v>
      </c>
      <c r="Q2405">
        <v>2.1832230000000001E-2</v>
      </c>
      <c r="R2405">
        <v>-0.96812419999999999</v>
      </c>
      <c r="S2405">
        <v>0.63168329999999995</v>
      </c>
      <c r="T2405">
        <v>-9.0482119999999999E-2</v>
      </c>
      <c r="U2405">
        <v>-2.9374850000000001</v>
      </c>
      <c r="V2405">
        <v>-0.23941680000000001</v>
      </c>
      <c r="W2405">
        <v>3.0418779999999999E-2</v>
      </c>
      <c r="X2405">
        <v>0.97044030000000003</v>
      </c>
      <c r="Y2405">
        <v>-0.19989080000000001</v>
      </c>
      <c r="Z2405">
        <v>3.01307E-2</v>
      </c>
      <c r="AA2405">
        <v>0.97935479999999997</v>
      </c>
      <c r="AB2405">
        <v>12</v>
      </c>
      <c r="AC2405">
        <v>7.7498999999999603</v>
      </c>
      <c r="AD2405">
        <v>-1.11060401033399</v>
      </c>
      <c r="AE2405">
        <v>-35.936899999999902</v>
      </c>
      <c r="AF2405">
        <v>-7.3664020114275504</v>
      </c>
      <c r="AG2405">
        <v>-1.11060401033399</v>
      </c>
      <c r="AH2405">
        <v>35.983250873396898</v>
      </c>
      <c r="AI2405">
        <v>91.731945482730197</v>
      </c>
      <c r="AJ2405">
        <v>101.56959339009499</v>
      </c>
      <c r="AK2405">
        <v>36.746314961905398</v>
      </c>
      <c r="AL2405">
        <v>88.256863467836695</v>
      </c>
      <c r="AM2405">
        <v>103.85866259714</v>
      </c>
      <c r="AN2405">
        <v>1.0000000410815</v>
      </c>
    </row>
    <row r="2406" spans="1:40" x14ac:dyDescent="0.25">
      <c r="A2406" t="str">
        <f>"20190312151315558"</f>
        <v>20190312151315558</v>
      </c>
      <c r="B2406" t="str">
        <f>"1552374795552681"</f>
        <v>1552374795552681</v>
      </c>
      <c r="C2406" t="s">
        <v>40</v>
      </c>
      <c r="D2406">
        <v>4.6816649999999997</v>
      </c>
      <c r="E2406">
        <v>0.51523419999999998</v>
      </c>
      <c r="F2406" t="s">
        <v>53</v>
      </c>
      <c r="G2406">
        <v>-488.3546</v>
      </c>
      <c r="H2406" s="1">
        <v>2.8636169999999998E-6</v>
      </c>
      <c r="I2406">
        <v>210.76320000000001</v>
      </c>
      <c r="J2406">
        <v>-496.45710000000003</v>
      </c>
      <c r="K2406">
        <v>1.110622</v>
      </c>
      <c r="L2406">
        <v>248.00630000000001</v>
      </c>
      <c r="M2406">
        <v>1.2742109999999999E-2</v>
      </c>
      <c r="N2406">
        <v>0</v>
      </c>
      <c r="O2406">
        <v>-0.99987570000000003</v>
      </c>
      <c r="P2406">
        <v>0.25215070000000001</v>
      </c>
      <c r="Q2406">
        <v>2.2923180000000001E-2</v>
      </c>
      <c r="R2406">
        <v>-0.96741659999999996</v>
      </c>
      <c r="S2406">
        <v>0.6369629</v>
      </c>
      <c r="T2406">
        <v>-8.7264659999999994E-2</v>
      </c>
      <c r="U2406">
        <v>-2.9365839999999999</v>
      </c>
      <c r="V2406">
        <v>-0.23985670000000001</v>
      </c>
      <c r="W2406">
        <v>3.1550719999999997E-2</v>
      </c>
      <c r="X2406">
        <v>0.97029549999999998</v>
      </c>
      <c r="Y2406">
        <v>-0.19941700000000001</v>
      </c>
      <c r="Z2406">
        <v>2.9063740000000001E-2</v>
      </c>
      <c r="AA2406">
        <v>0.97948360000000001</v>
      </c>
      <c r="AB2406">
        <v>12</v>
      </c>
      <c r="AC2406">
        <v>8.1025000000000098</v>
      </c>
      <c r="AD2406">
        <v>-1.110619136383</v>
      </c>
      <c r="AE2406">
        <v>-37.243099999999998</v>
      </c>
      <c r="AF2406">
        <v>-7.6207952579246099</v>
      </c>
      <c r="AG2406">
        <v>-1.110619136383</v>
      </c>
      <c r="AH2406">
        <v>37.311642582598203</v>
      </c>
      <c r="AI2406">
        <v>91.670496163766003</v>
      </c>
      <c r="AJ2406">
        <v>101.54372255181801</v>
      </c>
      <c r="AK2406">
        <v>38.0981451968578</v>
      </c>
      <c r="AL2406">
        <v>88.191976891059497</v>
      </c>
      <c r="AM2406">
        <v>103.88513370160599</v>
      </c>
      <c r="AN2406">
        <v>1.00000002089382</v>
      </c>
    </row>
    <row r="2407" spans="1:40" x14ac:dyDescent="0.25">
      <c r="A2407" t="str">
        <f>"20190312151315580"</f>
        <v>20190312151315580</v>
      </c>
      <c r="B2407" t="str">
        <f>"1552374795572200"</f>
        <v>1552374795572200</v>
      </c>
      <c r="C2407" t="s">
        <v>40</v>
      </c>
      <c r="D2407">
        <v>4.6101000000000001</v>
      </c>
      <c r="E2407">
        <v>0.51550980000000002</v>
      </c>
      <c r="F2407" t="s">
        <v>53</v>
      </c>
      <c r="G2407">
        <v>-488.17320000000001</v>
      </c>
      <c r="H2407" s="1">
        <v>2.8111870000000001E-6</v>
      </c>
      <c r="I2407">
        <v>210.2998</v>
      </c>
      <c r="J2407">
        <v>-496.45319999999998</v>
      </c>
      <c r="K2407">
        <v>1.1106339999999999</v>
      </c>
      <c r="L2407">
        <v>247.88749999999999</v>
      </c>
      <c r="M2407">
        <v>1.4803810000000001E-2</v>
      </c>
      <c r="N2407">
        <v>0</v>
      </c>
      <c r="O2407">
        <v>-0.99984680000000004</v>
      </c>
      <c r="P2407">
        <v>0.25484649999999998</v>
      </c>
      <c r="Q2407">
        <v>2.4728569999999998E-2</v>
      </c>
      <c r="R2407">
        <v>-0.96666560000000001</v>
      </c>
      <c r="S2407">
        <v>0.64480590000000004</v>
      </c>
      <c r="T2407">
        <v>-8.6448789999999998E-2</v>
      </c>
      <c r="U2407">
        <v>-2.9350130000000001</v>
      </c>
      <c r="V2407">
        <v>-0.2405649</v>
      </c>
      <c r="W2407">
        <v>3.3399400000000003E-2</v>
      </c>
      <c r="X2407">
        <v>0.97005830000000004</v>
      </c>
      <c r="Y2407">
        <v>-0.20000499999999999</v>
      </c>
      <c r="Z2407">
        <v>2.8796209999999999E-2</v>
      </c>
      <c r="AA2407">
        <v>0.97937160000000001</v>
      </c>
      <c r="AB2407">
        <v>12</v>
      </c>
      <c r="AC2407">
        <v>8.2799999999999692</v>
      </c>
      <c r="AD2407">
        <v>-1.110631188813</v>
      </c>
      <c r="AE2407">
        <v>-37.587699999999899</v>
      </c>
      <c r="AF2407">
        <v>-7.7162021443598698</v>
      </c>
      <c r="AG2407">
        <v>-1.110631188813</v>
      </c>
      <c r="AH2407">
        <v>37.674791178432002</v>
      </c>
      <c r="AI2407">
        <v>91.654238178609702</v>
      </c>
      <c r="AJ2407">
        <v>101.574719784216</v>
      </c>
      <c r="AK2407">
        <v>38.472888733608798</v>
      </c>
      <c r="AL2407">
        <v>88.085999470543399</v>
      </c>
      <c r="AM2407">
        <v>103.92781008890999</v>
      </c>
      <c r="AN2407">
        <v>1.0000000482156199</v>
      </c>
    </row>
    <row r="2408" spans="1:40" x14ac:dyDescent="0.25">
      <c r="A2408" t="str">
        <f>"20190312151315604"</f>
        <v>20190312151315604</v>
      </c>
      <c r="B2408" t="str">
        <f>"1552374795592152"</f>
        <v>1552374795592152</v>
      </c>
      <c r="C2408" t="s">
        <v>40</v>
      </c>
      <c r="D2408">
        <v>5.5437789999999998</v>
      </c>
      <c r="E2408">
        <v>0.51566350000000005</v>
      </c>
      <c r="F2408" t="s">
        <v>53</v>
      </c>
      <c r="G2408">
        <v>-487.39510000000001</v>
      </c>
      <c r="H2408" s="1">
        <v>1.8512679999999999E-6</v>
      </c>
      <c r="I2408">
        <v>207.05969999999999</v>
      </c>
      <c r="J2408">
        <v>-496.44839999999999</v>
      </c>
      <c r="K2408">
        <v>1.1106400000000001</v>
      </c>
      <c r="L2408">
        <v>247.7533</v>
      </c>
      <c r="M2408">
        <v>1.7116329999999999E-2</v>
      </c>
      <c r="N2408">
        <v>0</v>
      </c>
      <c r="O2408">
        <v>-0.99980910000000001</v>
      </c>
      <c r="P2408">
        <v>0.2578994</v>
      </c>
      <c r="Q2408">
        <v>2.6309019999999999E-2</v>
      </c>
      <c r="R2408">
        <v>-0.96581320000000004</v>
      </c>
      <c r="S2408">
        <v>0.65090939999999997</v>
      </c>
      <c r="T2408">
        <v>-7.9809430000000001E-2</v>
      </c>
      <c r="U2408">
        <v>-2.9338679999999999</v>
      </c>
      <c r="V2408">
        <v>-0.24138899999999999</v>
      </c>
      <c r="W2408">
        <v>3.5033040000000001E-2</v>
      </c>
      <c r="X2408">
        <v>0.96979590000000004</v>
      </c>
      <c r="Y2408">
        <v>-0.19977490000000001</v>
      </c>
      <c r="Z2408">
        <v>2.6589660000000001E-2</v>
      </c>
      <c r="AA2408">
        <v>0.97948100000000005</v>
      </c>
      <c r="AB2408">
        <v>12</v>
      </c>
      <c r="AC2408">
        <v>9.0532999999999806</v>
      </c>
      <c r="AD2408">
        <v>-1.1106381487320001</v>
      </c>
      <c r="AE2408">
        <v>-40.693600000000004</v>
      </c>
      <c r="AF2408">
        <v>-8.3494914563253193</v>
      </c>
      <c r="AG2408">
        <v>-1.1106381487320001</v>
      </c>
      <c r="AH2408">
        <v>40.813636251896398</v>
      </c>
      <c r="AI2408">
        <v>91.527158759258697</v>
      </c>
      <c r="AJ2408">
        <v>101.56181198323399</v>
      </c>
      <c r="AK2408">
        <v>41.673737878654201</v>
      </c>
      <c r="AL2408">
        <v>87.992343901962101</v>
      </c>
      <c r="AM2408">
        <v>103.977288484382</v>
      </c>
      <c r="AN2408">
        <v>1.0000000254347201</v>
      </c>
    </row>
    <row r="2409" spans="1:40" x14ac:dyDescent="0.25">
      <c r="A2409" t="str">
        <f>"20190312151315626"</f>
        <v>20190312151315626</v>
      </c>
      <c r="B2409" t="str">
        <f>"1552374795622408"</f>
        <v>1552374795622408</v>
      </c>
      <c r="C2409" t="s">
        <v>40</v>
      </c>
      <c r="D2409">
        <v>5.184768</v>
      </c>
      <c r="E2409">
        <v>0.51577090000000003</v>
      </c>
      <c r="F2409" t="s">
        <v>53</v>
      </c>
      <c r="G2409">
        <v>-486.88510000000002</v>
      </c>
      <c r="H2409" s="1">
        <v>1.3561250000000001E-6</v>
      </c>
      <c r="I2409">
        <v>205.2184</v>
      </c>
      <c r="J2409">
        <v>-496.44400000000002</v>
      </c>
      <c r="K2409">
        <v>1.110643</v>
      </c>
      <c r="L2409">
        <v>247.63390000000001</v>
      </c>
      <c r="M2409">
        <v>1.9149940000000001E-2</v>
      </c>
      <c r="N2409">
        <v>0</v>
      </c>
      <c r="O2409">
        <v>-0.99977210000000005</v>
      </c>
      <c r="P2409">
        <v>0.26068789999999997</v>
      </c>
      <c r="Q2409">
        <v>2.7753659999999999E-2</v>
      </c>
      <c r="R2409">
        <v>-0.96502480000000002</v>
      </c>
      <c r="S2409">
        <v>0.65927119999999995</v>
      </c>
      <c r="T2409">
        <v>-7.6564670000000001E-2</v>
      </c>
      <c r="U2409">
        <v>-2.9322509999999999</v>
      </c>
      <c r="V2409">
        <v>-0.2422204</v>
      </c>
      <c r="W2409">
        <v>3.6527440000000001E-2</v>
      </c>
      <c r="X2409">
        <v>0.96953339999999999</v>
      </c>
      <c r="Y2409">
        <v>-0.20056260000000001</v>
      </c>
      <c r="Z2409">
        <v>2.551175E-2</v>
      </c>
      <c r="AA2409">
        <v>0.97934869999999996</v>
      </c>
      <c r="AB2409">
        <v>12</v>
      </c>
      <c r="AC2409">
        <v>9.5588999999999906</v>
      </c>
      <c r="AD2409">
        <v>-1.110641643875</v>
      </c>
      <c r="AE2409">
        <v>-42.415500000000002</v>
      </c>
      <c r="AF2409">
        <v>-8.7391541878604606</v>
      </c>
      <c r="AG2409">
        <v>-1.110641643875</v>
      </c>
      <c r="AH2409">
        <v>42.563009249349697</v>
      </c>
      <c r="AI2409">
        <v>91.464208889199696</v>
      </c>
      <c r="AJ2409">
        <v>101.602871621091</v>
      </c>
      <c r="AK2409">
        <v>43.465113564104897</v>
      </c>
      <c r="AL2409">
        <v>87.906666158302798</v>
      </c>
      <c r="AM2409">
        <v>104.027179831943</v>
      </c>
      <c r="AN2409">
        <v>0.99999999488233604</v>
      </c>
    </row>
    <row r="2410" spans="1:40" x14ac:dyDescent="0.25">
      <c r="A2410" t="str">
        <f>"20190312151315646"</f>
        <v>20190312151315646</v>
      </c>
      <c r="B2410" t="str">
        <f>"1552374795642903"</f>
        <v>1552374795642903</v>
      </c>
      <c r="C2410" t="s">
        <v>40</v>
      </c>
      <c r="D2410">
        <v>4.6085909999999997</v>
      </c>
      <c r="E2410">
        <v>0.51608259999999995</v>
      </c>
      <c r="F2410" t="s">
        <v>53</v>
      </c>
      <c r="G2410">
        <v>-486.64179999999999</v>
      </c>
      <c r="H2410" s="1">
        <v>1.23789E-6</v>
      </c>
      <c r="I2410">
        <v>204.5616</v>
      </c>
      <c r="J2410">
        <v>-496.43950000000001</v>
      </c>
      <c r="K2410">
        <v>1.110638</v>
      </c>
      <c r="L2410">
        <v>247.51769999999999</v>
      </c>
      <c r="M2410">
        <v>2.1104970000000001E-2</v>
      </c>
      <c r="N2410">
        <v>0</v>
      </c>
      <c r="O2410">
        <v>-0.99973230000000002</v>
      </c>
      <c r="P2410">
        <v>0.26373750000000001</v>
      </c>
      <c r="Q2410">
        <v>2.9401500000000001E-2</v>
      </c>
      <c r="R2410">
        <v>-0.96414670000000002</v>
      </c>
      <c r="S2410">
        <v>0.66696169999999899</v>
      </c>
      <c r="T2410">
        <v>-7.5569869999999997E-2</v>
      </c>
      <c r="U2410">
        <v>-2.9307099999999999</v>
      </c>
      <c r="V2410">
        <v>-0.24339240000000001</v>
      </c>
      <c r="W2410">
        <v>3.8224269999999998E-2</v>
      </c>
      <c r="X2410">
        <v>0.96917439999999999</v>
      </c>
      <c r="Y2410">
        <v>-0.20120360000000001</v>
      </c>
      <c r="Z2410">
        <v>2.518304E-2</v>
      </c>
      <c r="AA2410">
        <v>0.97922569999999998</v>
      </c>
      <c r="AB2410">
        <v>12</v>
      </c>
      <c r="AC2410">
        <v>9.7977000000000096</v>
      </c>
      <c r="AD2410">
        <v>-1.11063676211</v>
      </c>
      <c r="AE2410">
        <v>-42.9560999999999</v>
      </c>
      <c r="AF2410">
        <v>-8.8832448595107607</v>
      </c>
      <c r="AG2410">
        <v>-1.11063676211</v>
      </c>
      <c r="AH2410">
        <v>43.125917203962601</v>
      </c>
      <c r="AI2410">
        <v>91.444910453533694</v>
      </c>
      <c r="AJ2410">
        <v>101.639215822834</v>
      </c>
      <c r="AK2410">
        <v>44.0453208404073</v>
      </c>
      <c r="AL2410">
        <v>87.809376951909996</v>
      </c>
      <c r="AM2410">
        <v>104.097365024637</v>
      </c>
      <c r="AN2410">
        <v>0.99999998640507604</v>
      </c>
    </row>
    <row r="2411" spans="1:40" x14ac:dyDescent="0.25">
      <c r="A2411" t="str">
        <f>"20190312151315680"</f>
        <v>20190312151315680</v>
      </c>
      <c r="B2411" t="str">
        <f>"1552374795672184"</f>
        <v>1552374795672184</v>
      </c>
      <c r="C2411" t="s">
        <v>40</v>
      </c>
      <c r="D2411">
        <v>4.590001</v>
      </c>
      <c r="E2411">
        <v>0.51651749999999996</v>
      </c>
      <c r="F2411" t="s">
        <v>53</v>
      </c>
      <c r="G2411">
        <v>-486.31150000000002</v>
      </c>
      <c r="H2411" s="1">
        <v>8.8711400000000001E-7</v>
      </c>
      <c r="I2411">
        <v>203.5239</v>
      </c>
      <c r="J2411">
        <v>-496.43189999999998</v>
      </c>
      <c r="K2411">
        <v>1.1106320000000001</v>
      </c>
      <c r="L2411">
        <v>247.33359999999999</v>
      </c>
      <c r="M2411">
        <v>2.4148260000000001E-2</v>
      </c>
      <c r="N2411">
        <v>0</v>
      </c>
      <c r="O2411">
        <v>-0.99966250000000001</v>
      </c>
      <c r="P2411">
        <v>0.2674569</v>
      </c>
      <c r="Q2411">
        <v>3.1538730000000001E-2</v>
      </c>
      <c r="R2411">
        <v>-0.96305370000000001</v>
      </c>
      <c r="S2411">
        <v>0.67437740000000002</v>
      </c>
      <c r="T2411">
        <v>-7.3952439999999994E-2</v>
      </c>
      <c r="U2411">
        <v>-2.9293520000000002</v>
      </c>
      <c r="V2411">
        <v>-0.24418570000000001</v>
      </c>
      <c r="W2411">
        <v>4.0443189999999997E-2</v>
      </c>
      <c r="X2411">
        <v>0.96888479999999999</v>
      </c>
      <c r="Y2411">
        <v>-0.2006783</v>
      </c>
      <c r="Z2411">
        <v>2.464742E-2</v>
      </c>
      <c r="AA2411">
        <v>0.97934710000000003</v>
      </c>
      <c r="AB2411">
        <v>12</v>
      </c>
      <c r="AC2411">
        <v>10.120399999999901</v>
      </c>
      <c r="AD2411">
        <v>-1.110631112886</v>
      </c>
      <c r="AE2411">
        <v>-43.8096999999999</v>
      </c>
      <c r="AF2411">
        <v>-9.0539478819980506</v>
      </c>
      <c r="AG2411">
        <v>-1.110631112886</v>
      </c>
      <c r="AH2411">
        <v>44.014470245647097</v>
      </c>
      <c r="AI2411">
        <v>91.415824016069905</v>
      </c>
      <c r="AJ2411">
        <v>101.623824445436</v>
      </c>
      <c r="AK2411">
        <v>44.949761564704602</v>
      </c>
      <c r="AL2411">
        <v>87.682143815807095</v>
      </c>
      <c r="AM2411">
        <v>104.14552981600301</v>
      </c>
      <c r="AN2411">
        <v>1.0000000316864499</v>
      </c>
    </row>
    <row r="2412" spans="1:40" x14ac:dyDescent="0.25">
      <c r="A2412" t="str">
        <f>"20190312151315703"</f>
        <v>20190312151315703</v>
      </c>
      <c r="B2412" t="str">
        <f>"1552374795692679"</f>
        <v>1552374795692679</v>
      </c>
      <c r="C2412" t="s">
        <v>40</v>
      </c>
      <c r="D2412">
        <v>4.6859630000000001</v>
      </c>
      <c r="E2412">
        <v>0.51651740000000002</v>
      </c>
      <c r="F2412" t="s">
        <v>53</v>
      </c>
      <c r="G2412">
        <v>-485.61279999999999</v>
      </c>
      <c r="H2412" s="1">
        <v>1.722016E-7</v>
      </c>
      <c r="I2412">
        <v>200.9169</v>
      </c>
      <c r="J2412">
        <v>-496.42619999999999</v>
      </c>
      <c r="K2412">
        <v>1.1106259999999999</v>
      </c>
      <c r="L2412">
        <v>247.2039</v>
      </c>
      <c r="M2412">
        <v>2.6253080000000002E-2</v>
      </c>
      <c r="N2412">
        <v>0</v>
      </c>
      <c r="O2412">
        <v>-0.99960879999999996</v>
      </c>
      <c r="P2412">
        <v>0.26969080000000001</v>
      </c>
      <c r="Q2412">
        <v>3.2835410000000002E-2</v>
      </c>
      <c r="R2412">
        <v>-0.9623872</v>
      </c>
      <c r="S2412">
        <v>0.68243409999999904</v>
      </c>
      <c r="T2412">
        <v>-7.0055370000000006E-2</v>
      </c>
      <c r="U2412">
        <v>-2.927826</v>
      </c>
      <c r="V2412">
        <v>-0.24439569999999999</v>
      </c>
      <c r="W2412">
        <v>4.1801489999999997E-2</v>
      </c>
      <c r="X2412">
        <v>0.96877420000000003</v>
      </c>
      <c r="Y2412">
        <v>-0.20129179999999999</v>
      </c>
      <c r="Z2412">
        <v>2.3350650000000001E-2</v>
      </c>
      <c r="AA2412">
        <v>0.97925289999999998</v>
      </c>
      <c r="AB2412">
        <v>12</v>
      </c>
      <c r="AC2412">
        <v>10.8134</v>
      </c>
      <c r="AD2412">
        <v>-1.1106258277984</v>
      </c>
      <c r="AE2412">
        <v>-46.286999999999999</v>
      </c>
      <c r="AF2412">
        <v>-9.5892046817412595</v>
      </c>
      <c r="AG2412">
        <v>-1.1106258277984</v>
      </c>
      <c r="AH2412">
        <v>46.529540954232601</v>
      </c>
      <c r="AI2412">
        <v>91.339214780744598</v>
      </c>
      <c r="AJ2412">
        <v>101.64496622907799</v>
      </c>
      <c r="AK2412">
        <v>47.520358979802602</v>
      </c>
      <c r="AL2412">
        <v>87.604253080558905</v>
      </c>
      <c r="AM2412">
        <v>104.158757305305</v>
      </c>
      <c r="AN2412">
        <v>1.00000003666517</v>
      </c>
    </row>
    <row r="2413" spans="1:40" x14ac:dyDescent="0.25">
      <c r="A2413" t="str">
        <f>"20190312151315724"</f>
        <v>20190312151315724</v>
      </c>
      <c r="B2413" t="str">
        <f>"1552374795721959"</f>
        <v>1552374795721959</v>
      </c>
      <c r="C2413" t="s">
        <v>40</v>
      </c>
      <c r="D2413">
        <v>4.7537849999999997</v>
      </c>
      <c r="E2413">
        <v>0.49308920000000001</v>
      </c>
      <c r="F2413" t="s">
        <v>42</v>
      </c>
      <c r="G2413">
        <v>-484.85129999999998</v>
      </c>
      <c r="H2413" s="1">
        <v>-4.5261959999999999E-6</v>
      </c>
      <c r="I2413">
        <v>198.05459999999999</v>
      </c>
      <c r="J2413">
        <v>-496.42090000000002</v>
      </c>
      <c r="K2413">
        <v>1.1106199999999999</v>
      </c>
      <c r="L2413">
        <v>247.08580000000001</v>
      </c>
      <c r="M2413">
        <v>2.8129120000000001E-2</v>
      </c>
      <c r="N2413">
        <v>0</v>
      </c>
      <c r="O2413">
        <v>-0.99955749999999999</v>
      </c>
      <c r="P2413">
        <v>0.27134940000000002</v>
      </c>
      <c r="Q2413">
        <v>3.307467E-2</v>
      </c>
      <c r="R2413">
        <v>-0.96191289999999996</v>
      </c>
      <c r="S2413">
        <v>0.68917850000000003</v>
      </c>
      <c r="T2413">
        <v>-6.6127900000000003E-2</v>
      </c>
      <c r="U2413">
        <v>-2.9263919999999999</v>
      </c>
      <c r="V2413">
        <v>-0.24424650000000001</v>
      </c>
      <c r="W2413">
        <v>4.2106400000000002E-2</v>
      </c>
      <c r="X2413">
        <v>0.96879859999999896</v>
      </c>
      <c r="Y2413">
        <v>-0.20170560000000001</v>
      </c>
      <c r="Z2413">
        <v>2.2044370000000001E-2</v>
      </c>
      <c r="AA2413">
        <v>0.97919809999999996</v>
      </c>
      <c r="AB2413">
        <v>13</v>
      </c>
      <c r="AC2413">
        <v>11.569599999999999</v>
      </c>
      <c r="AD2413">
        <v>-1.1106245261959999</v>
      </c>
      <c r="AE2413">
        <v>-49.031199999999998</v>
      </c>
      <c r="AF2413">
        <v>-10.1808043141057</v>
      </c>
      <c r="AG2413">
        <v>-1.1106245261959999</v>
      </c>
      <c r="AH2413">
        <v>49.3132868990578</v>
      </c>
      <c r="AI2413">
        <v>91.263548848805698</v>
      </c>
      <c r="AJ2413">
        <v>101.664916688156</v>
      </c>
      <c r="AK2413">
        <v>50.365489455668801</v>
      </c>
      <c r="AL2413">
        <v>87.5867675763931</v>
      </c>
      <c r="AM2413">
        <v>104.150118835699</v>
      </c>
      <c r="AN2413">
        <v>1.00000001452258</v>
      </c>
    </row>
    <row r="2414" spans="1:40" x14ac:dyDescent="0.25">
      <c r="A2414" t="str">
        <f>"20190312151315747"</f>
        <v>20190312151315747</v>
      </c>
      <c r="B2414" t="str">
        <f>"1552374795742455"</f>
        <v>1552374795742455</v>
      </c>
      <c r="C2414" t="s">
        <v>40</v>
      </c>
      <c r="D2414">
        <v>4.5836649999999999</v>
      </c>
      <c r="E2414">
        <v>0.49194949999999998</v>
      </c>
      <c r="F2414" t="s">
        <v>53</v>
      </c>
      <c r="G2414">
        <v>-489.29750000000001</v>
      </c>
      <c r="H2414" s="1">
        <v>4.661768E-6</v>
      </c>
      <c r="I2414">
        <v>223.72620000000001</v>
      </c>
      <c r="J2414">
        <v>-496.4151</v>
      </c>
      <c r="K2414">
        <v>1.1106229999999999</v>
      </c>
      <c r="L2414">
        <v>246.96080000000001</v>
      </c>
      <c r="M2414">
        <v>3.0065600000000001E-2</v>
      </c>
      <c r="N2414">
        <v>0</v>
      </c>
      <c r="O2414">
        <v>-0.99950039999999996</v>
      </c>
      <c r="P2414">
        <v>0.27279300000000001</v>
      </c>
      <c r="Q2414">
        <v>3.3431820000000001E-2</v>
      </c>
      <c r="R2414">
        <v>-0.96149220000000002</v>
      </c>
      <c r="S2414">
        <v>0.87704470000000001</v>
      </c>
      <c r="T2414">
        <v>-0.13674020000000001</v>
      </c>
      <c r="U2414">
        <v>-2.8760530000000002</v>
      </c>
      <c r="V2414">
        <v>-0.24382300000000001</v>
      </c>
      <c r="W2414">
        <v>4.2544699999999998E-2</v>
      </c>
      <c r="X2414">
        <v>0.96888609999999997</v>
      </c>
      <c r="Y2414">
        <v>-0.26249210000000001</v>
      </c>
      <c r="Z2414">
        <v>4.5591989999999999E-2</v>
      </c>
      <c r="AA2414">
        <v>0.9638565</v>
      </c>
      <c r="AB2414">
        <v>13</v>
      </c>
      <c r="AC2414">
        <v>7.1175999999999799</v>
      </c>
      <c r="AD2414">
        <v>-1.1106183382319901</v>
      </c>
      <c r="AE2414">
        <v>-23.2346</v>
      </c>
      <c r="AF2414">
        <v>-6.4024130440878197</v>
      </c>
      <c r="AG2414">
        <v>-1.1106183382319901</v>
      </c>
      <c r="AH2414">
        <v>23.3892440247777</v>
      </c>
      <c r="AI2414">
        <v>92.622272628584298</v>
      </c>
      <c r="AJ2414">
        <v>105.308751221154</v>
      </c>
      <c r="AK2414">
        <v>24.275112809849499</v>
      </c>
      <c r="AL2414">
        <v>87.561632254111899</v>
      </c>
      <c r="AM2414">
        <v>104.1253422791</v>
      </c>
      <c r="AN2414">
        <v>0.99999999080015001</v>
      </c>
    </row>
    <row r="2415" spans="1:40" x14ac:dyDescent="0.25">
      <c r="A2415" t="str">
        <f>"20190312151315769"</f>
        <v>20190312151315769</v>
      </c>
      <c r="B2415" t="str">
        <f>"1552374795761976"</f>
        <v>1552374795761976</v>
      </c>
      <c r="C2415" t="s">
        <v>40</v>
      </c>
      <c r="D2415">
        <v>4.5222220000000002</v>
      </c>
      <c r="E2415">
        <v>0.49156860000000002</v>
      </c>
      <c r="F2415" t="s">
        <v>53</v>
      </c>
      <c r="G2415">
        <v>-489.19330000000002</v>
      </c>
      <c r="H2415" s="1">
        <v>4.6221259999999996E-6</v>
      </c>
      <c r="I2415">
        <v>223.6728</v>
      </c>
      <c r="J2415">
        <v>-496.40899999999999</v>
      </c>
      <c r="K2415">
        <v>1.1106229999999999</v>
      </c>
      <c r="L2415">
        <v>246.8349</v>
      </c>
      <c r="M2415">
        <v>3.1969919999999999E-2</v>
      </c>
      <c r="N2415">
        <v>0</v>
      </c>
      <c r="O2415">
        <v>-0.99944049999999995</v>
      </c>
      <c r="P2415">
        <v>0.27394190000000002</v>
      </c>
      <c r="Q2415">
        <v>3.4385100000000002E-2</v>
      </c>
      <c r="R2415">
        <v>-0.96113179999999998</v>
      </c>
      <c r="S2415">
        <v>0.89068599999999998</v>
      </c>
      <c r="T2415">
        <v>-0.1369764</v>
      </c>
      <c r="U2415">
        <v>-2.8721920000000001</v>
      </c>
      <c r="V2415">
        <v>-0.24313470000000001</v>
      </c>
      <c r="W2415">
        <v>4.3583719999999999E-2</v>
      </c>
      <c r="X2415">
        <v>0.96901289999999995</v>
      </c>
      <c r="Y2415">
        <v>-0.26519480000000001</v>
      </c>
      <c r="Z2415">
        <v>4.5676700000000001E-2</v>
      </c>
      <c r="AA2415">
        <v>0.96311239999999998</v>
      </c>
      <c r="AB2415">
        <v>13</v>
      </c>
      <c r="AC2415">
        <v>7.2156999999999698</v>
      </c>
      <c r="AD2415">
        <v>-1.110618377874</v>
      </c>
      <c r="AE2415">
        <v>-23.162099999999999</v>
      </c>
      <c r="AF2415">
        <v>-6.4579504660587803</v>
      </c>
      <c r="AG2415">
        <v>-1.110618377874</v>
      </c>
      <c r="AH2415">
        <v>23.332056617200902</v>
      </c>
      <c r="AI2415">
        <v>92.626642362807402</v>
      </c>
      <c r="AJ2415">
        <v>105.471260899897</v>
      </c>
      <c r="AK2415">
        <v>24.234757341298199</v>
      </c>
      <c r="AL2415">
        <v>87.502045563997697</v>
      </c>
      <c r="AM2415">
        <v>104.085286925768</v>
      </c>
      <c r="AN2415">
        <v>1.00000001167976</v>
      </c>
    </row>
    <row r="2416" spans="1:40" x14ac:dyDescent="0.25">
      <c r="A2416" t="str">
        <f>"20190312151315796"</f>
        <v>20190312151315796</v>
      </c>
      <c r="B2416" t="str">
        <f>"1552374795792232"</f>
        <v>1552374795792232</v>
      </c>
      <c r="C2416" t="s">
        <v>40</v>
      </c>
      <c r="D2416">
        <v>4.4586959999999998</v>
      </c>
      <c r="E2416">
        <v>0.49189349999999998</v>
      </c>
      <c r="F2416" t="s">
        <v>53</v>
      </c>
      <c r="G2416">
        <v>-488.95260000000002</v>
      </c>
      <c r="H2416" s="1">
        <v>4.3514530000000004E-6</v>
      </c>
      <c r="I2416">
        <v>222.97139999999999</v>
      </c>
      <c r="J2416">
        <v>-496.40190000000001</v>
      </c>
      <c r="K2416">
        <v>1.110625</v>
      </c>
      <c r="L2416">
        <v>246.69120000000001</v>
      </c>
      <c r="M2416">
        <v>3.40974E-2</v>
      </c>
      <c r="N2416">
        <v>0</v>
      </c>
      <c r="O2416">
        <v>-0.99936939999999996</v>
      </c>
      <c r="P2416">
        <v>0.276516599999999</v>
      </c>
      <c r="Q2416">
        <v>3.5344210000000001E-2</v>
      </c>
      <c r="R2416">
        <v>-0.96035919999999997</v>
      </c>
      <c r="S2416">
        <v>0.89691160000000003</v>
      </c>
      <c r="T2416">
        <v>-0.13359279999999901</v>
      </c>
      <c r="U2416">
        <v>-2.8704679999999998</v>
      </c>
      <c r="V2416">
        <v>-0.24366959999999999</v>
      </c>
      <c r="W2416">
        <v>4.462936E-2</v>
      </c>
      <c r="X2416">
        <v>0.96883090000000005</v>
      </c>
      <c r="Y2416">
        <v>-0.2652253</v>
      </c>
      <c r="Z2416">
        <v>4.4557300000000001E-2</v>
      </c>
      <c r="AA2416">
        <v>0.96315629999999997</v>
      </c>
      <c r="AB2416">
        <v>13</v>
      </c>
      <c r="AC2416">
        <v>7.4492999999999903</v>
      </c>
      <c r="AD2416">
        <v>-1.110620648547</v>
      </c>
      <c r="AE2416">
        <v>-23.719799999999999</v>
      </c>
      <c r="AF2416">
        <v>-6.6229284604096197</v>
      </c>
      <c r="AG2416">
        <v>-1.110620648547</v>
      </c>
      <c r="AH2416">
        <v>23.912302469935899</v>
      </c>
      <c r="AI2416">
        <v>92.562876220085101</v>
      </c>
      <c r="AJ2416">
        <v>105.480997271064</v>
      </c>
      <c r="AK2416">
        <v>24.837368399860399</v>
      </c>
      <c r="AL2416">
        <v>87.442076370363495</v>
      </c>
      <c r="AM2416">
        <v>104.117582967498</v>
      </c>
      <c r="AN2416">
        <v>0.99999998326648898</v>
      </c>
    </row>
    <row r="2417" spans="1:40" x14ac:dyDescent="0.25">
      <c r="A2417" t="str">
        <f>"20190312151315817"</f>
        <v>20190312151315817</v>
      </c>
      <c r="B2417" t="str">
        <f>"1552374795812729"</f>
        <v>1552374795812729</v>
      </c>
      <c r="C2417" t="s">
        <v>40</v>
      </c>
      <c r="D2417">
        <v>4.4616509999999998</v>
      </c>
      <c r="E2417">
        <v>0.49258669999999999</v>
      </c>
      <c r="F2417" t="s">
        <v>42</v>
      </c>
      <c r="G2417">
        <v>-491.69110000000001</v>
      </c>
      <c r="H2417" s="1">
        <v>-1.3803120000000001E-6</v>
      </c>
      <c r="I2417">
        <v>231.7578</v>
      </c>
      <c r="J2417">
        <v>-496.39550000000003</v>
      </c>
      <c r="K2417">
        <v>1.1106210000000001</v>
      </c>
      <c r="L2417">
        <v>246.56739999999999</v>
      </c>
      <c r="M2417">
        <v>3.5895490000000002E-2</v>
      </c>
      <c r="N2417">
        <v>0</v>
      </c>
      <c r="O2417">
        <v>-0.99930580000000002</v>
      </c>
      <c r="P2417">
        <v>0.27925440000000001</v>
      </c>
      <c r="Q2417">
        <v>3.6056339999999999E-2</v>
      </c>
      <c r="R2417">
        <v>-0.95954019999999995</v>
      </c>
      <c r="S2417">
        <v>0.90563959999999999</v>
      </c>
      <c r="T2417">
        <v>-0.21351580000000001</v>
      </c>
      <c r="U2417">
        <v>-2.8709259999999999</v>
      </c>
      <c r="V2417">
        <v>-0.24469060000000001</v>
      </c>
      <c r="W2417">
        <v>4.5407240000000001E-2</v>
      </c>
      <c r="X2417">
        <v>0.96853739999999999</v>
      </c>
      <c r="Y2417">
        <v>-0.26565139999999998</v>
      </c>
      <c r="Z2417">
        <v>7.1047219999999994E-2</v>
      </c>
      <c r="AA2417">
        <v>0.96144770000000002</v>
      </c>
      <c r="AB2417">
        <v>13</v>
      </c>
      <c r="AC2417">
        <v>4.7044000000000201</v>
      </c>
      <c r="AD2417">
        <v>-1.1106223803119999</v>
      </c>
      <c r="AE2417">
        <v>-14.8095999999999</v>
      </c>
      <c r="AF2417">
        <v>-4.1485506907886904</v>
      </c>
      <c r="AG2417">
        <v>-1.1106223803119999</v>
      </c>
      <c r="AH2417">
        <v>14.8928496406874</v>
      </c>
      <c r="AI2417">
        <v>94.109016600189705</v>
      </c>
      <c r="AJ2417">
        <v>105.56570479578301</v>
      </c>
      <c r="AK2417">
        <v>15.4997072658104</v>
      </c>
      <c r="AL2417">
        <v>87.397461942351498</v>
      </c>
      <c r="AM2417">
        <v>104.178479659085</v>
      </c>
      <c r="AN2417">
        <v>1.0000000011857599</v>
      </c>
    </row>
    <row r="2418" spans="1:40" x14ac:dyDescent="0.25">
      <c r="A2418" t="str">
        <f>"20190312151315839"</f>
        <v>20190312151315839</v>
      </c>
      <c r="B2418" t="str">
        <f>"1552374795832248"</f>
        <v>1552374795832248</v>
      </c>
      <c r="C2418" t="s">
        <v>40</v>
      </c>
      <c r="D2418">
        <v>4.418526</v>
      </c>
      <c r="E2418">
        <v>0.49276389999999998</v>
      </c>
      <c r="F2418" t="s">
        <v>42</v>
      </c>
      <c r="G2418">
        <v>-491.48200000000003</v>
      </c>
      <c r="H2418" s="1">
        <v>-1.0134239999999999E-6</v>
      </c>
      <c r="I2418">
        <v>231.03219999999999</v>
      </c>
      <c r="J2418">
        <v>-496.38900000000001</v>
      </c>
      <c r="K2418">
        <v>1.110614</v>
      </c>
      <c r="L2418">
        <v>246.4444</v>
      </c>
      <c r="M2418">
        <v>3.7642589999999997E-2</v>
      </c>
      <c r="N2418">
        <v>0</v>
      </c>
      <c r="O2418">
        <v>-0.99924060000000003</v>
      </c>
      <c r="P2418">
        <v>0.28219440000000001</v>
      </c>
      <c r="Q2418">
        <v>3.6864840000000003E-2</v>
      </c>
      <c r="R2418">
        <v>-0.95864870000000002</v>
      </c>
      <c r="S2418">
        <v>0.90774540000000004</v>
      </c>
      <c r="T2418">
        <v>-0.20518239999999999</v>
      </c>
      <c r="U2418">
        <v>-2.8700559999999999</v>
      </c>
      <c r="V2418">
        <v>-0.24596680000000001</v>
      </c>
      <c r="W2418">
        <v>4.627846E-2</v>
      </c>
      <c r="X2418">
        <v>0.96817279999999994</v>
      </c>
      <c r="Y2418">
        <v>-0.26474880000000001</v>
      </c>
      <c r="Z2418">
        <v>6.8302280000000007E-2</v>
      </c>
      <c r="AA2418">
        <v>0.96189550000000001</v>
      </c>
      <c r="AB2418">
        <v>13</v>
      </c>
      <c r="AC2418">
        <v>4.9070000000000302</v>
      </c>
      <c r="AD2418">
        <v>-1.110615013424</v>
      </c>
      <c r="AE2418">
        <v>-15.4122</v>
      </c>
      <c r="AF2418">
        <v>-4.3030492865263898</v>
      </c>
      <c r="AG2418">
        <v>-1.110615013424</v>
      </c>
      <c r="AH2418">
        <v>15.5128569559424</v>
      </c>
      <c r="AI2418">
        <v>93.946484967167095</v>
      </c>
      <c r="AJ2418">
        <v>105.50326946347199</v>
      </c>
      <c r="AK2418">
        <v>16.136865550838799</v>
      </c>
      <c r="AL2418">
        <v>87.347492084997498</v>
      </c>
      <c r="AM2418">
        <v>104.254571508194</v>
      </c>
      <c r="AN2418">
        <v>0.99999996661102497</v>
      </c>
    </row>
    <row r="2419" spans="1:40" x14ac:dyDescent="0.25">
      <c r="A2419" t="str">
        <f>"20190312151315861"</f>
        <v>20190312151315861</v>
      </c>
      <c r="B2419" t="str">
        <f>"1552374795852743"</f>
        <v>1552374795852743</v>
      </c>
      <c r="C2419" t="s">
        <v>40</v>
      </c>
      <c r="D2419">
        <v>4.4791819999999998</v>
      </c>
      <c r="E2419">
        <v>0.49286970000000002</v>
      </c>
      <c r="F2419" t="s">
        <v>42</v>
      </c>
      <c r="G2419">
        <v>-491.27159999999998</v>
      </c>
      <c r="H2419" s="1">
        <v>-6.8953190000000002E-7</v>
      </c>
      <c r="I2419">
        <v>230.40770000000001</v>
      </c>
      <c r="J2419">
        <v>-496.38240000000002</v>
      </c>
      <c r="K2419">
        <v>1.1106009999999999</v>
      </c>
      <c r="L2419">
        <v>246.32259999999999</v>
      </c>
      <c r="M2419">
        <v>3.9328210000000002E-2</v>
      </c>
      <c r="N2419">
        <v>0</v>
      </c>
      <c r="O2419">
        <v>-0.99917529999999999</v>
      </c>
      <c r="P2419">
        <v>0.28592210000000001</v>
      </c>
      <c r="Q2419">
        <v>3.6995159999999999E-2</v>
      </c>
      <c r="R2419">
        <v>-0.95753849999999996</v>
      </c>
      <c r="S2419">
        <v>0.91506960000000004</v>
      </c>
      <c r="T2419">
        <v>-0.19859669999999999</v>
      </c>
      <c r="U2419">
        <v>-2.8676300000000001</v>
      </c>
      <c r="V2419">
        <v>-0.2480996</v>
      </c>
      <c r="W2419">
        <v>4.6467090000000003E-2</v>
      </c>
      <c r="X2419">
        <v>0.96761940000000002</v>
      </c>
      <c r="Y2419">
        <v>-0.26563199999999998</v>
      </c>
      <c r="Z2419">
        <v>6.6133600000000001E-2</v>
      </c>
      <c r="AA2419">
        <v>0.96180350000000003</v>
      </c>
      <c r="AB2419">
        <v>13</v>
      </c>
      <c r="AC2419">
        <v>5.1108000000000402</v>
      </c>
      <c r="AD2419">
        <v>-1.11060168953189</v>
      </c>
      <c r="AE2419">
        <v>-15.9148999999999</v>
      </c>
      <c r="AF2419">
        <v>-4.4612150269568902</v>
      </c>
      <c r="AG2419">
        <v>-1.11060168953189</v>
      </c>
      <c r="AH2419">
        <v>16.032817792701</v>
      </c>
      <c r="AI2419">
        <v>93.817982261058404</v>
      </c>
      <c r="AJ2419">
        <v>105.549503021661</v>
      </c>
      <c r="AK2419">
        <v>16.678942472575699</v>
      </c>
      <c r="AL2419">
        <v>87.336672705023304</v>
      </c>
      <c r="AM2419">
        <v>104.380953527237</v>
      </c>
      <c r="AN2419">
        <v>0.99999995261479202</v>
      </c>
    </row>
    <row r="2420" spans="1:40" x14ac:dyDescent="0.25">
      <c r="A2420" t="str">
        <f>"20190312151315882"</f>
        <v>20190312151315882</v>
      </c>
      <c r="B2420" t="str">
        <f>"1552374795872264"</f>
        <v>1552374795872264</v>
      </c>
      <c r="C2420" t="s">
        <v>40</v>
      </c>
      <c r="D2420">
        <v>4.4435900000000004</v>
      </c>
      <c r="E2420">
        <v>0.49308610000000003</v>
      </c>
      <c r="F2420" t="s">
        <v>42</v>
      </c>
      <c r="G2420">
        <v>-491.14870000000002</v>
      </c>
      <c r="H2420" s="1">
        <v>-5.3261140000000005E-7</v>
      </c>
      <c r="I2420">
        <v>230.1182</v>
      </c>
      <c r="J2420">
        <v>-496.37560000000002</v>
      </c>
      <c r="K2420">
        <v>1.1105879999999999</v>
      </c>
      <c r="L2420">
        <v>246.2004</v>
      </c>
      <c r="M2420">
        <v>4.097336E-2</v>
      </c>
      <c r="N2420">
        <v>0</v>
      </c>
      <c r="O2420">
        <v>-0.99910849999999995</v>
      </c>
      <c r="P2420">
        <v>0.28891709999999998</v>
      </c>
      <c r="Q2420">
        <v>3.6142960000000002E-2</v>
      </c>
      <c r="R2420">
        <v>-0.95667179999999996</v>
      </c>
      <c r="S2420">
        <v>0.92514039999999997</v>
      </c>
      <c r="T2420">
        <v>-0.19631599999999999</v>
      </c>
      <c r="U2420">
        <v>-2.8643800000000001</v>
      </c>
      <c r="V2420">
        <v>-0.24953049999999999</v>
      </c>
      <c r="W2420">
        <v>4.5674949999999999E-2</v>
      </c>
      <c r="X2420">
        <v>0.96728910000000001</v>
      </c>
      <c r="Y2420">
        <v>-0.26744079999999998</v>
      </c>
      <c r="Z2420">
        <v>6.5390439999999994E-2</v>
      </c>
      <c r="AA2420">
        <v>0.96135289999999995</v>
      </c>
      <c r="AB2420">
        <v>13</v>
      </c>
      <c r="AC2420">
        <v>5.2268999999999997</v>
      </c>
      <c r="AD2420">
        <v>-1.11058853261139</v>
      </c>
      <c r="AE2420">
        <v>-16.0822</v>
      </c>
      <c r="AF2420">
        <v>-4.5439352340036203</v>
      </c>
      <c r="AG2420">
        <v>-1.11058853261139</v>
      </c>
      <c r="AH2420">
        <v>16.212937671691598</v>
      </c>
      <c r="AI2420">
        <v>93.773684052736698</v>
      </c>
      <c r="AJ2420">
        <v>105.656378302335</v>
      </c>
      <c r="AK2420">
        <v>16.874243753298799</v>
      </c>
      <c r="AL2420">
        <v>87.3821071907511</v>
      </c>
      <c r="AM2420">
        <v>104.465157362855</v>
      </c>
      <c r="AN2420">
        <v>0.99999993723327896</v>
      </c>
    </row>
    <row r="2421" spans="1:40" x14ac:dyDescent="0.25">
      <c r="A2421" t="str">
        <f>"20190312151315904"</f>
        <v>20190312151315904</v>
      </c>
      <c r="B2421" t="str">
        <f>"1552374795892760"</f>
        <v>1552374795892760</v>
      </c>
      <c r="C2421" t="s">
        <v>40</v>
      </c>
      <c r="D2421">
        <v>4.4667070000000004</v>
      </c>
      <c r="E2421">
        <v>0.4931952</v>
      </c>
      <c r="F2421" t="s">
        <v>53</v>
      </c>
      <c r="G2421">
        <v>-490.8811</v>
      </c>
      <c r="H2421" s="1">
        <v>6.3263419999999998E-6</v>
      </c>
      <c r="I2421">
        <v>229.34119999999999</v>
      </c>
      <c r="J2421">
        <v>-496.36860000000001</v>
      </c>
      <c r="K2421">
        <v>1.1105659999999999</v>
      </c>
      <c r="L2421">
        <v>246.0778</v>
      </c>
      <c r="M2421">
        <v>4.2576570000000001E-2</v>
      </c>
      <c r="N2421">
        <v>0</v>
      </c>
      <c r="O2421">
        <v>-0.99904099999999996</v>
      </c>
      <c r="P2421">
        <v>0.29153050000000003</v>
      </c>
      <c r="Q2421">
        <v>3.5820440000000002E-2</v>
      </c>
      <c r="R2421">
        <v>-0.95589069999999998</v>
      </c>
      <c r="S2421">
        <v>0.93252559999999995</v>
      </c>
      <c r="T2421">
        <v>-0.18848909999999999</v>
      </c>
      <c r="U2421">
        <v>-2.8613590000000002</v>
      </c>
      <c r="V2421">
        <v>-0.25061870000000003</v>
      </c>
      <c r="W2421">
        <v>4.5410100000000002E-2</v>
      </c>
      <c r="X2421">
        <v>0.96702030000000005</v>
      </c>
      <c r="Y2421">
        <v>-0.26848749999999999</v>
      </c>
      <c r="Z2421">
        <v>6.2817059999999994E-2</v>
      </c>
      <c r="AA2421">
        <v>0.9612328</v>
      </c>
      <c r="AB2421">
        <v>13</v>
      </c>
      <c r="AC2421">
        <v>5.4875000000000096</v>
      </c>
      <c r="AD2421">
        <v>-1.1105596736579999</v>
      </c>
      <c r="AE2421">
        <v>-16.736599999999999</v>
      </c>
      <c r="AF2421">
        <v>-4.7510110408269401</v>
      </c>
      <c r="AG2421">
        <v>-1.1105596736579999</v>
      </c>
      <c r="AH2421">
        <v>16.887932870677599</v>
      </c>
      <c r="AI2421">
        <v>93.622172983490401</v>
      </c>
      <c r="AJ2421">
        <v>105.712661832842</v>
      </c>
      <c r="AK2421">
        <v>17.578615569587001</v>
      </c>
      <c r="AL2421">
        <v>87.397297996048295</v>
      </c>
      <c r="AM2421">
        <v>104.529443528721</v>
      </c>
      <c r="AN2421">
        <v>1.0000000352918901</v>
      </c>
    </row>
    <row r="2422" spans="1:40" x14ac:dyDescent="0.25">
      <c r="A2422" t="str">
        <f>"20190312151315926"</f>
        <v>20190312151315926</v>
      </c>
      <c r="B2422" t="str">
        <f>"1552374795922040"</f>
        <v>1552374795922040</v>
      </c>
      <c r="C2422" t="s">
        <v>40</v>
      </c>
      <c r="D2422">
        <v>4.4107810000000001</v>
      </c>
      <c r="E2422">
        <v>0.49356929999999999</v>
      </c>
      <c r="F2422" t="s">
        <v>53</v>
      </c>
      <c r="G2422">
        <v>-490.69869999999997</v>
      </c>
      <c r="H2422" s="1">
        <v>6.22243299999999E-6</v>
      </c>
      <c r="I2422">
        <v>228.8218</v>
      </c>
      <c r="J2422">
        <v>-496.36130000000003</v>
      </c>
      <c r="K2422">
        <v>1.1105400000000001</v>
      </c>
      <c r="L2422">
        <v>245.95070000000001</v>
      </c>
      <c r="M2422">
        <v>4.418395E-2</v>
      </c>
      <c r="N2422">
        <v>0</v>
      </c>
      <c r="O2422">
        <v>-0.99897080000000005</v>
      </c>
      <c r="P2422">
        <v>0.29364410000000002</v>
      </c>
      <c r="Q2422">
        <v>3.5074359999999999E-2</v>
      </c>
      <c r="R2422">
        <v>-0.95527139999999999</v>
      </c>
      <c r="S2422">
        <v>0.93936160000000002</v>
      </c>
      <c r="T2422">
        <v>-0.1839925</v>
      </c>
      <c r="U2422">
        <v>-2.8588870000000002</v>
      </c>
      <c r="V2422">
        <v>-0.25119730000000001</v>
      </c>
      <c r="W2422">
        <v>4.4720339999999997E-2</v>
      </c>
      <c r="X2422">
        <v>0.96690229999999999</v>
      </c>
      <c r="Y2422">
        <v>-0.269287099999999</v>
      </c>
      <c r="Z2422">
        <v>6.1338980000000001E-2</v>
      </c>
      <c r="AA2422">
        <v>0.96110459999999998</v>
      </c>
      <c r="AB2422">
        <v>13</v>
      </c>
      <c r="AC2422">
        <v>5.66260000000005</v>
      </c>
      <c r="AD2422">
        <v>-1.1105337775669999</v>
      </c>
      <c r="AE2422">
        <v>-17.128900000000002</v>
      </c>
      <c r="AF2422">
        <v>-4.8817088379903204</v>
      </c>
      <c r="AG2422">
        <v>-1.1105337775669999</v>
      </c>
      <c r="AH2422">
        <v>17.296836463721899</v>
      </c>
      <c r="AI2422">
        <v>93.535847383550902</v>
      </c>
      <c r="AJ2422">
        <v>105.76072802211</v>
      </c>
      <c r="AK2422">
        <v>18.006801995434099</v>
      </c>
      <c r="AL2422">
        <v>87.436858497667103</v>
      </c>
      <c r="AM2422">
        <v>104.563264644415</v>
      </c>
      <c r="AN2422">
        <v>1.0000000250411401</v>
      </c>
    </row>
    <row r="2423" spans="1:40" x14ac:dyDescent="0.25">
      <c r="A2423" t="str">
        <f>"20190312151315949"</f>
        <v>20190312151315949</v>
      </c>
      <c r="B2423" t="str">
        <f>"1552374795942536"</f>
        <v>1552374795942536</v>
      </c>
      <c r="C2423" t="s">
        <v>40</v>
      </c>
      <c r="D2423">
        <v>4.3864229999999997</v>
      </c>
      <c r="E2423">
        <v>0.49405209999999999</v>
      </c>
      <c r="F2423" t="s">
        <v>53</v>
      </c>
      <c r="G2423">
        <v>-490.63909999999998</v>
      </c>
      <c r="H2423" s="1">
        <v>6.1665639999999901E-6</v>
      </c>
      <c r="I2423">
        <v>228.59880000000001</v>
      </c>
      <c r="J2423">
        <v>-496.35379999999998</v>
      </c>
      <c r="K2423">
        <v>1.110511</v>
      </c>
      <c r="L2423">
        <v>245.8235</v>
      </c>
      <c r="M2423">
        <v>4.5737260000000002E-2</v>
      </c>
      <c r="N2423">
        <v>0</v>
      </c>
      <c r="O2423">
        <v>-0.99890069999999997</v>
      </c>
      <c r="P2423">
        <v>0.2952979</v>
      </c>
      <c r="Q2423">
        <v>3.4744169999999998E-2</v>
      </c>
      <c r="R2423">
        <v>-0.95477350000000005</v>
      </c>
      <c r="S2423">
        <v>0.94232179999999999</v>
      </c>
      <c r="T2423">
        <v>-0.18288209999999999</v>
      </c>
      <c r="U2423">
        <v>-2.8574980000000001</v>
      </c>
      <c r="V2423">
        <v>-0.25136459999999999</v>
      </c>
      <c r="W2423">
        <v>4.4441670000000003E-2</v>
      </c>
      <c r="X2423">
        <v>0.9668717</v>
      </c>
      <c r="Y2423">
        <v>-0.2688334</v>
      </c>
      <c r="Z2423">
        <v>6.098613E-2</v>
      </c>
      <c r="AA2423">
        <v>0.96125400000000005</v>
      </c>
      <c r="AB2423">
        <v>13</v>
      </c>
      <c r="AC2423">
        <v>5.7146999999999899</v>
      </c>
      <c r="AD2423">
        <v>-1.1105048334359999</v>
      </c>
      <c r="AE2423">
        <v>-17.224699999999899</v>
      </c>
      <c r="AF2423">
        <v>-4.9025097108379097</v>
      </c>
      <c r="AG2423">
        <v>-1.1105048334359999</v>
      </c>
      <c r="AH2423">
        <v>17.4028970874073</v>
      </c>
      <c r="AI2423">
        <v>93.514741779435695</v>
      </c>
      <c r="AJ2423">
        <v>105.732874656405</v>
      </c>
      <c r="AK2423">
        <v>18.1143216678085</v>
      </c>
      <c r="AL2423">
        <v>87.452841076792097</v>
      </c>
      <c r="AM2423">
        <v>104.572992713099</v>
      </c>
      <c r="AN2423">
        <v>1.0000000542132099</v>
      </c>
    </row>
    <row r="2424" spans="1:40" x14ac:dyDescent="0.25">
      <c r="A2424" t="str">
        <f>"20190312151315971"</f>
        <v>20190312151315971</v>
      </c>
      <c r="B2424" t="str">
        <f>"1552374795962056"</f>
        <v>1552374795962056</v>
      </c>
      <c r="C2424" t="s">
        <v>40</v>
      </c>
      <c r="D2424">
        <v>4.4229129999999897</v>
      </c>
      <c r="E2424">
        <v>0.4944094</v>
      </c>
      <c r="F2424" t="s">
        <v>53</v>
      </c>
      <c r="G2424">
        <v>-490.70960000000002</v>
      </c>
      <c r="H2424" s="1">
        <v>6.1914639999999998E-6</v>
      </c>
      <c r="I2424">
        <v>228.7296</v>
      </c>
      <c r="J2424">
        <v>-496.346</v>
      </c>
      <c r="K2424">
        <v>1.1104989999999999</v>
      </c>
      <c r="L2424">
        <v>245.69399999999999</v>
      </c>
      <c r="M2424">
        <v>4.7271870000000001E-2</v>
      </c>
      <c r="N2424">
        <v>0</v>
      </c>
      <c r="O2424">
        <v>-0.99882859999999996</v>
      </c>
      <c r="P2424">
        <v>0.297276599999999</v>
      </c>
      <c r="Q2424">
        <v>3.5128310000000003E-2</v>
      </c>
      <c r="R2424">
        <v>-0.95414509999999997</v>
      </c>
      <c r="S2424">
        <v>0.9433899</v>
      </c>
      <c r="T2424">
        <v>-0.18561140000000001</v>
      </c>
      <c r="U2424">
        <v>-2.8570859999999998</v>
      </c>
      <c r="V2424">
        <v>-0.25188300000000002</v>
      </c>
      <c r="W2424">
        <v>4.4868970000000001E-2</v>
      </c>
      <c r="X2424">
        <v>0.96671700000000005</v>
      </c>
      <c r="Y2424">
        <v>-0.26770129999999998</v>
      </c>
      <c r="Z2424">
        <v>6.1900839999999999E-2</v>
      </c>
      <c r="AA2424">
        <v>0.96151149999999996</v>
      </c>
      <c r="AB2424">
        <v>13</v>
      </c>
      <c r="AC2424">
        <v>5.6363999999999796</v>
      </c>
      <c r="AD2424">
        <v>-1.110492808536</v>
      </c>
      <c r="AE2424">
        <v>-16.964400000000001</v>
      </c>
      <c r="AF2424">
        <v>-4.80955616455552</v>
      </c>
      <c r="AG2424">
        <v>-1.110492808536</v>
      </c>
      <c r="AH2424">
        <v>17.145724160699</v>
      </c>
      <c r="AI2424">
        <v>93.568395399091898</v>
      </c>
      <c r="AJ2424">
        <v>105.669367480806</v>
      </c>
      <c r="AK2424">
        <v>17.8421097903976</v>
      </c>
      <c r="AL2424">
        <v>87.428334041380594</v>
      </c>
      <c r="AM2424">
        <v>104.604000707455</v>
      </c>
      <c r="AN2424">
        <v>1.00000001412343</v>
      </c>
    </row>
    <row r="2425" spans="1:40" x14ac:dyDescent="0.25">
      <c r="A2425" t="str">
        <f>"20190312151315996"</f>
        <v>20190312151315996</v>
      </c>
      <c r="B2425" t="str">
        <f>"1552374795992313"</f>
        <v>1552374795992313</v>
      </c>
      <c r="C2425" t="s">
        <v>40</v>
      </c>
      <c r="D2425">
        <v>4.4413580000000001</v>
      </c>
      <c r="E2425">
        <v>0.49511149999999998</v>
      </c>
      <c r="F2425" t="s">
        <v>53</v>
      </c>
      <c r="G2425">
        <v>-490.63229999999999</v>
      </c>
      <c r="H2425" s="1">
        <v>6.1228729999999997E-6</v>
      </c>
      <c r="I2425">
        <v>228.4529</v>
      </c>
      <c r="J2425">
        <v>-496.33760000000001</v>
      </c>
      <c r="K2425">
        <v>1.110487</v>
      </c>
      <c r="L2425">
        <v>245.5549</v>
      </c>
      <c r="M2425">
        <v>4.8869570000000001E-2</v>
      </c>
      <c r="N2425">
        <v>0</v>
      </c>
      <c r="O2425">
        <v>-0.99875139999999996</v>
      </c>
      <c r="P2425">
        <v>0.29886829999999998</v>
      </c>
      <c r="Q2425">
        <v>3.4972540000000003E-2</v>
      </c>
      <c r="R2425">
        <v>-0.9536538</v>
      </c>
      <c r="S2425">
        <v>0.94650270000000003</v>
      </c>
      <c r="T2425">
        <v>-0.1839576</v>
      </c>
      <c r="U2425">
        <v>-2.8560639999999999</v>
      </c>
      <c r="V2425">
        <v>-0.25194840000000002</v>
      </c>
      <c r="W2425">
        <v>4.4752739999999999E-2</v>
      </c>
      <c r="X2425">
        <v>0.96670529999999999</v>
      </c>
      <c r="Y2425">
        <v>-0.26721780000000001</v>
      </c>
      <c r="Z2425">
        <v>6.1359080000000003E-2</v>
      </c>
      <c r="AA2425">
        <v>0.96168069999999894</v>
      </c>
      <c r="AB2425">
        <v>13</v>
      </c>
      <c r="AC2425">
        <v>5.7053000000000198</v>
      </c>
      <c r="AD2425">
        <v>-1.1104808771270001</v>
      </c>
      <c r="AE2425">
        <v>-17.102</v>
      </c>
      <c r="AF2425">
        <v>-4.8442907605191596</v>
      </c>
      <c r="AG2425">
        <v>-1.1104808771270001</v>
      </c>
      <c r="AH2425">
        <v>17.294777503689801</v>
      </c>
      <c r="AI2425">
        <v>93.538057312701696</v>
      </c>
      <c r="AJ2425">
        <v>105.647631795579</v>
      </c>
      <c r="AK2425">
        <v>17.994711713529899</v>
      </c>
      <c r="AL2425">
        <v>87.435000114090897</v>
      </c>
      <c r="AM2425">
        <v>104.607799616017</v>
      </c>
      <c r="AN2425">
        <v>0.99999997052407796</v>
      </c>
    </row>
    <row r="2426" spans="1:40" x14ac:dyDescent="0.25">
      <c r="A2426" t="str">
        <f>"20190312151316039"</f>
        <v>20190312151316039</v>
      </c>
      <c r="B2426" t="str">
        <f>"1552374796032328"</f>
        <v>1552374796032328</v>
      </c>
      <c r="C2426" t="s">
        <v>40</v>
      </c>
      <c r="D2426">
        <v>4.4041050000000004</v>
      </c>
      <c r="E2426">
        <v>0.49605539999999998</v>
      </c>
      <c r="F2426" t="s">
        <v>53</v>
      </c>
      <c r="G2426">
        <v>-490.565</v>
      </c>
      <c r="H2426" s="1">
        <v>6.037998E-6</v>
      </c>
      <c r="I2426">
        <v>228.13079999999999</v>
      </c>
      <c r="J2426">
        <v>-496.32240000000002</v>
      </c>
      <c r="K2426">
        <v>1.110474</v>
      </c>
      <c r="L2426">
        <v>245.3124</v>
      </c>
      <c r="M2426">
        <v>5.1511899999999999E-2</v>
      </c>
      <c r="N2426">
        <v>0</v>
      </c>
      <c r="O2426">
        <v>-0.99861809999999995</v>
      </c>
      <c r="P2426">
        <v>0.30126150000000002</v>
      </c>
      <c r="Q2426">
        <v>3.4737129999999998E-2</v>
      </c>
      <c r="R2426">
        <v>-0.95290859999999999</v>
      </c>
      <c r="S2426">
        <v>0.94616699999999998</v>
      </c>
      <c r="T2426">
        <v>-0.1820174</v>
      </c>
      <c r="U2426">
        <v>-2.855972</v>
      </c>
      <c r="V2426">
        <v>-0.25181439999999999</v>
      </c>
      <c r="W2426">
        <v>4.4577430000000001E-2</v>
      </c>
      <c r="X2426">
        <v>0.96674839999999995</v>
      </c>
      <c r="Y2426">
        <v>-0.26458710000000002</v>
      </c>
      <c r="Z2426">
        <v>6.0727580000000003E-2</v>
      </c>
      <c r="AA2426">
        <v>0.96244779999999996</v>
      </c>
      <c r="AB2426">
        <v>13</v>
      </c>
      <c r="AC2426">
        <v>5.7574000000000103</v>
      </c>
      <c r="AD2426">
        <v>-1.1104679620019999</v>
      </c>
      <c r="AE2426">
        <v>-17.1816</v>
      </c>
      <c r="AF2426">
        <v>-4.8464498260080804</v>
      </c>
      <c r="AG2426">
        <v>-1.1104679620019999</v>
      </c>
      <c r="AH2426">
        <v>17.390069095706899</v>
      </c>
      <c r="AI2426">
        <v>93.519961447180904</v>
      </c>
      <c r="AJ2426">
        <v>105.572657105375</v>
      </c>
      <c r="AK2426">
        <v>18.086893546546499</v>
      </c>
      <c r="AL2426">
        <v>87.445054885476594</v>
      </c>
      <c r="AM2426">
        <v>104.599739352729</v>
      </c>
      <c r="AN2426">
        <v>1.0000000541076599</v>
      </c>
    </row>
    <row r="2427" spans="1:40" x14ac:dyDescent="0.25">
      <c r="A2427" t="str">
        <f>"20190312151316060"</f>
        <v>20190312151316060</v>
      </c>
      <c r="B2427" t="str">
        <f>"1552374796052826"</f>
        <v>1552374796052826</v>
      </c>
      <c r="C2427" t="s">
        <v>40</v>
      </c>
      <c r="D2427">
        <v>4.2993129999999997</v>
      </c>
      <c r="E2427">
        <v>0.49526779999999998</v>
      </c>
      <c r="F2427" t="s">
        <v>53</v>
      </c>
      <c r="G2427">
        <v>-490.22070000000002</v>
      </c>
      <c r="H2427" s="1">
        <v>5.7289189999999998E-6</v>
      </c>
      <c r="I2427">
        <v>226.88659999999999</v>
      </c>
      <c r="J2427">
        <v>-496.3143</v>
      </c>
      <c r="K2427">
        <v>1.1104639999999999</v>
      </c>
      <c r="L2427">
        <v>245.1859</v>
      </c>
      <c r="M2427">
        <v>5.2820159999999998E-2</v>
      </c>
      <c r="N2427">
        <v>0</v>
      </c>
      <c r="O2427">
        <v>-0.99854940000000003</v>
      </c>
      <c r="P2427">
        <v>0.302763</v>
      </c>
      <c r="Q2427">
        <v>3.5061019999999998E-2</v>
      </c>
      <c r="R2427">
        <v>-0.95242090000000001</v>
      </c>
      <c r="S2427">
        <v>0.94561770000000001</v>
      </c>
      <c r="T2427">
        <v>-0.1720978</v>
      </c>
      <c r="U2427">
        <v>-2.8555760000000001</v>
      </c>
      <c r="V2427">
        <v>-0.25207079999999998</v>
      </c>
      <c r="W2427">
        <v>4.4928990000000002E-2</v>
      </c>
      <c r="X2427">
        <v>0.9666652</v>
      </c>
      <c r="Y2427">
        <v>-0.26325759999999998</v>
      </c>
      <c r="Z2427">
        <v>5.7443599999999997E-2</v>
      </c>
      <c r="AA2427">
        <v>0.96301380000000003</v>
      </c>
      <c r="AB2427">
        <v>13</v>
      </c>
      <c r="AC2427">
        <v>6.0935999999999799</v>
      </c>
      <c r="AD2427">
        <v>-1.11045827108099</v>
      </c>
      <c r="AE2427">
        <v>-18.299299999999999</v>
      </c>
      <c r="AF2427">
        <v>-5.1015569861153098</v>
      </c>
      <c r="AG2427">
        <v>-1.11045827108099</v>
      </c>
      <c r="AH2427">
        <v>18.534196273427</v>
      </c>
      <c r="AI2427">
        <v>93.306057650755093</v>
      </c>
      <c r="AJ2427">
        <v>105.38962318136301</v>
      </c>
      <c r="AK2427">
        <v>19.2555299266551</v>
      </c>
      <c r="AL2427">
        <v>87.424891526482995</v>
      </c>
      <c r="AM2427">
        <v>104.615172816281</v>
      </c>
      <c r="AN2427">
        <v>0.999999955623049</v>
      </c>
    </row>
    <row r="2428" spans="1:40" x14ac:dyDescent="0.25">
      <c r="A2428" t="str">
        <f>"20190312151316083"</f>
        <v>20190312151316083</v>
      </c>
      <c r="B2428" t="str">
        <f>"1552374796072347"</f>
        <v>1552374796072347</v>
      </c>
      <c r="C2428" t="s">
        <v>40</v>
      </c>
      <c r="D2428">
        <v>4.3862579999999998</v>
      </c>
      <c r="E2428">
        <v>0.49302980000000002</v>
      </c>
      <c r="F2428" t="s">
        <v>53</v>
      </c>
      <c r="G2428">
        <v>-490.25130000000001</v>
      </c>
      <c r="H2428" s="1">
        <v>5.7882839999999997E-6</v>
      </c>
      <c r="I2428">
        <v>227.1002</v>
      </c>
      <c r="J2428">
        <v>-496.30579999999998</v>
      </c>
      <c r="K2428">
        <v>1.110444</v>
      </c>
      <c r="L2428">
        <v>245.05600000000001</v>
      </c>
      <c r="M2428">
        <v>5.4116230000000001E-2</v>
      </c>
      <c r="N2428">
        <v>0</v>
      </c>
      <c r="O2428">
        <v>-0.99848029999999999</v>
      </c>
      <c r="P2428">
        <v>0.30375459999999999</v>
      </c>
      <c r="Q2428">
        <v>3.536802E-2</v>
      </c>
      <c r="R2428">
        <v>-0.95209410000000005</v>
      </c>
      <c r="S2428">
        <v>0.95620729999999998</v>
      </c>
      <c r="T2428">
        <v>-0.17513299999999901</v>
      </c>
      <c r="U2428">
        <v>-2.852341</v>
      </c>
      <c r="V2428">
        <v>-0.25182130000000003</v>
      </c>
      <c r="W2428">
        <v>4.5264810000000003E-2</v>
      </c>
      <c r="X2428">
        <v>0.96671459999999998</v>
      </c>
      <c r="Y2428">
        <v>-0.26552979999999998</v>
      </c>
      <c r="Z2428">
        <v>5.8457780000000001E-2</v>
      </c>
      <c r="AA2428">
        <v>0.96232879999999998</v>
      </c>
      <c r="AB2428">
        <v>13</v>
      </c>
      <c r="AC2428">
        <v>6.05449999999996</v>
      </c>
      <c r="AD2428">
        <v>-1.1104382117160001</v>
      </c>
      <c r="AE2428">
        <v>-17.955799999999901</v>
      </c>
      <c r="AF2428">
        <v>-5.0565095610703104</v>
      </c>
      <c r="AG2428">
        <v>-1.1104382117160001</v>
      </c>
      <c r="AH2428">
        <v>18.1946677479987</v>
      </c>
      <c r="AI2428">
        <v>93.365254331055596</v>
      </c>
      <c r="AJ2428">
        <v>105.531229936952</v>
      </c>
      <c r="AK2428">
        <v>18.916852180616502</v>
      </c>
      <c r="AL2428">
        <v>87.405630961038696</v>
      </c>
      <c r="AM2428">
        <v>104.60061096989401</v>
      </c>
      <c r="AN2428">
        <v>0.99999999400559303</v>
      </c>
    </row>
    <row r="2429" spans="1:40" x14ac:dyDescent="0.25">
      <c r="A2429" t="str">
        <f>"20190312151316104"</f>
        <v>20190312151316104</v>
      </c>
      <c r="B2429" t="str">
        <f>"1552374796092842"</f>
        <v>1552374796092842</v>
      </c>
      <c r="C2429" t="s">
        <v>40</v>
      </c>
      <c r="D2429">
        <v>4.3933920000000004</v>
      </c>
      <c r="E2429">
        <v>0.4908478</v>
      </c>
      <c r="F2429" t="s">
        <v>53</v>
      </c>
      <c r="G2429">
        <v>-490.2396</v>
      </c>
      <c r="H2429" s="1">
        <v>5.8767470000000002E-6</v>
      </c>
      <c r="I2429">
        <v>227.37729999999999</v>
      </c>
      <c r="J2429">
        <v>-496.29770000000002</v>
      </c>
      <c r="K2429">
        <v>1.1104350000000001</v>
      </c>
      <c r="L2429">
        <v>244.9323</v>
      </c>
      <c r="M2429">
        <v>5.5301959999999997E-2</v>
      </c>
      <c r="N2429">
        <v>0</v>
      </c>
      <c r="O2429">
        <v>-0.99841500000000005</v>
      </c>
      <c r="P2429">
        <v>0.30512979999999901</v>
      </c>
      <c r="Q2429">
        <v>3.5312320000000001E-2</v>
      </c>
      <c r="R2429">
        <v>-0.95165619999999995</v>
      </c>
      <c r="S2429">
        <v>0.97659300000000004</v>
      </c>
      <c r="T2429">
        <v>-0.17876710000000001</v>
      </c>
      <c r="U2429">
        <v>-2.8460540000000001</v>
      </c>
      <c r="V2429">
        <v>-0.2520674</v>
      </c>
      <c r="W2429">
        <v>4.5234330000000003E-2</v>
      </c>
      <c r="X2429">
        <v>0.96665190000000001</v>
      </c>
      <c r="Y2429">
        <v>-0.27117799999999997</v>
      </c>
      <c r="Z2429">
        <v>5.9670330000000001E-2</v>
      </c>
      <c r="AA2429">
        <v>0.96067789999999997</v>
      </c>
      <c r="AB2429">
        <v>13</v>
      </c>
      <c r="AC2429">
        <v>6.05810000000002</v>
      </c>
      <c r="AD2429">
        <v>-1.1104291232529999</v>
      </c>
      <c r="AE2429">
        <v>-17.555</v>
      </c>
      <c r="AF2429">
        <v>-5.0598585837443899</v>
      </c>
      <c r="AG2429">
        <v>-1.1104291232529999</v>
      </c>
      <c r="AH2429">
        <v>17.799536200998102</v>
      </c>
      <c r="AI2429">
        <v>93.434075580419503</v>
      </c>
      <c r="AJ2429">
        <v>105.868814288027</v>
      </c>
      <c r="AK2429">
        <v>18.538034164816501</v>
      </c>
      <c r="AL2429">
        <v>87.407379161427599</v>
      </c>
      <c r="AM2429">
        <v>104.615176598612</v>
      </c>
      <c r="AN2429">
        <v>1.0000000072634501</v>
      </c>
    </row>
    <row r="2430" spans="1:40" x14ac:dyDescent="0.25">
      <c r="A2430" t="str">
        <f>"20190312151316127"</f>
        <v>20190312151316127</v>
      </c>
      <c r="B2430" t="str">
        <f>"1552374796122120"</f>
        <v>1552374796122120</v>
      </c>
      <c r="C2430" t="s">
        <v>40</v>
      </c>
      <c r="D2430">
        <v>4.3700539999999997</v>
      </c>
      <c r="E2430">
        <v>0.48805189999999998</v>
      </c>
      <c r="F2430" t="s">
        <v>53</v>
      </c>
      <c r="G2430">
        <v>-490.34370000000001</v>
      </c>
      <c r="H2430" s="1">
        <v>6.0432939999999996E-6</v>
      </c>
      <c r="I2430">
        <v>227.98949999999999</v>
      </c>
      <c r="J2430">
        <v>-496.28890000000001</v>
      </c>
      <c r="K2430">
        <v>1.1104179999999999</v>
      </c>
      <c r="L2430">
        <v>244.79910000000001</v>
      </c>
      <c r="M2430">
        <v>5.6522599999999999E-2</v>
      </c>
      <c r="N2430">
        <v>0</v>
      </c>
      <c r="O2430">
        <v>-0.99834659999999997</v>
      </c>
      <c r="P2430">
        <v>0.30596499999999999</v>
      </c>
      <c r="Q2430">
        <v>3.5857809999999997E-2</v>
      </c>
      <c r="R2430">
        <v>-0.95136770000000004</v>
      </c>
      <c r="S2430">
        <v>0.99780270000000004</v>
      </c>
      <c r="T2430">
        <v>-0.18609059999999999</v>
      </c>
      <c r="U2430">
        <v>-2.8393549999999999</v>
      </c>
      <c r="V2430">
        <v>-0.2517335</v>
      </c>
      <c r="W2430">
        <v>4.5806890000000003E-2</v>
      </c>
      <c r="X2430">
        <v>0.96671189999999996</v>
      </c>
      <c r="Y2430">
        <v>-0.27704479999999998</v>
      </c>
      <c r="Z2430">
        <v>6.2109869999999998E-2</v>
      </c>
      <c r="AA2430">
        <v>0.95884749999999996</v>
      </c>
      <c r="AB2430">
        <v>13</v>
      </c>
      <c r="AC2430">
        <v>5.9451999999999998</v>
      </c>
      <c r="AD2430">
        <v>-1.110411956706</v>
      </c>
      <c r="AE2430">
        <v>-16.8096</v>
      </c>
      <c r="AF2430">
        <v>-4.9662585169990603</v>
      </c>
      <c r="AG2430">
        <v>-1.110411956706</v>
      </c>
      <c r="AH2430">
        <v>17.052641294530002</v>
      </c>
      <c r="AI2430">
        <v>93.577439338573498</v>
      </c>
      <c r="AJ2430">
        <v>106.237199456277</v>
      </c>
      <c r="AK2430">
        <v>17.795766729511001</v>
      </c>
      <c r="AL2430">
        <v>87.374539729267298</v>
      </c>
      <c r="AM2430">
        <v>104.595776777032</v>
      </c>
      <c r="AN2430">
        <v>0.99999996189766505</v>
      </c>
    </row>
    <row r="2431" spans="1:40" x14ac:dyDescent="0.25">
      <c r="A2431" t="str">
        <f>"20190312151316149"</f>
        <v>20190312151316149</v>
      </c>
      <c r="B2431" t="str">
        <f>"1552374796142616"</f>
        <v>1552374796142616</v>
      </c>
      <c r="C2431" t="s">
        <v>40</v>
      </c>
      <c r="D2431">
        <v>4.3518249999999998</v>
      </c>
      <c r="E2431">
        <v>0.48644159999999997</v>
      </c>
      <c r="F2431" t="s">
        <v>53</v>
      </c>
      <c r="G2431">
        <v>-490.4504</v>
      </c>
      <c r="H2431" s="1">
        <v>6.2141070000000003E-6</v>
      </c>
      <c r="I2431">
        <v>228.6172</v>
      </c>
      <c r="J2431">
        <v>-496.28059999999999</v>
      </c>
      <c r="K2431">
        <v>1.110406</v>
      </c>
      <c r="L2431">
        <v>244.67580000000001</v>
      </c>
      <c r="M2431">
        <v>5.7606589999999999E-2</v>
      </c>
      <c r="N2431">
        <v>0</v>
      </c>
      <c r="O2431">
        <v>-0.99828430000000001</v>
      </c>
      <c r="P2431">
        <v>0.30712869999999998</v>
      </c>
      <c r="Q2431">
        <v>3.5978589999999998E-2</v>
      </c>
      <c r="R2431">
        <v>-0.95098780000000005</v>
      </c>
      <c r="S2431">
        <v>1.02182</v>
      </c>
      <c r="T2431">
        <v>-0.19433890000000001</v>
      </c>
      <c r="U2431">
        <v>-2.8320620000000001</v>
      </c>
      <c r="V2431">
        <v>-0.25186510000000001</v>
      </c>
      <c r="W2431">
        <v>4.5947410000000001E-2</v>
      </c>
      <c r="X2431">
        <v>0.96667099999999995</v>
      </c>
      <c r="Y2431">
        <v>-0.28392200000000001</v>
      </c>
      <c r="Z2431">
        <v>6.4845749999999994E-2</v>
      </c>
      <c r="AA2431">
        <v>0.95665219999999995</v>
      </c>
      <c r="AB2431">
        <v>13</v>
      </c>
      <c r="AC2431">
        <v>5.8301999999999898</v>
      </c>
      <c r="AD2431">
        <v>-1.1103997858929999</v>
      </c>
      <c r="AE2431">
        <v>-16.058599999999998</v>
      </c>
      <c r="AF2431">
        <v>-4.8747917583260696</v>
      </c>
      <c r="AG2431">
        <v>-1.1103997858929999</v>
      </c>
      <c r="AH2431">
        <v>16.2989519433198</v>
      </c>
      <c r="AI2431">
        <v>93.734414902301907</v>
      </c>
      <c r="AJ2431">
        <v>106.65119883215201</v>
      </c>
      <c r="AK2431">
        <v>17.048531221844399</v>
      </c>
      <c r="AL2431">
        <v>87.366480160489601</v>
      </c>
      <c r="AM2431">
        <v>104.60367243521701</v>
      </c>
      <c r="AN2431">
        <v>1.0000000076623501</v>
      </c>
    </row>
    <row r="2432" spans="1:40" x14ac:dyDescent="0.25">
      <c r="A2432" t="str">
        <f>"20190312151316171"</f>
        <v>20190312151316171</v>
      </c>
      <c r="B2432" t="str">
        <f>"1552374796162136"</f>
        <v>1552374796162136</v>
      </c>
      <c r="C2432" t="s">
        <v>40</v>
      </c>
      <c r="D2432">
        <v>4.360366</v>
      </c>
      <c r="E2432">
        <v>0.48499059999999999</v>
      </c>
      <c r="F2432" t="s">
        <v>53</v>
      </c>
      <c r="G2432">
        <v>-490.49119999999999</v>
      </c>
      <c r="H2432" s="1">
        <v>6.2971849999999901E-6</v>
      </c>
      <c r="I2432">
        <v>228.91460000000001</v>
      </c>
      <c r="J2432">
        <v>-496.27159999999998</v>
      </c>
      <c r="K2432">
        <v>1.1104000000000001</v>
      </c>
      <c r="L2432">
        <v>244.54230000000001</v>
      </c>
      <c r="M2432">
        <v>5.874277E-2</v>
      </c>
      <c r="N2432">
        <v>0</v>
      </c>
      <c r="O2432">
        <v>-0.99821800000000005</v>
      </c>
      <c r="P2432">
        <v>0.3082569</v>
      </c>
      <c r="Q2432">
        <v>3.5791080000000003E-2</v>
      </c>
      <c r="R2432">
        <v>-0.95062999999999998</v>
      </c>
      <c r="S2432">
        <v>1.0383610000000001</v>
      </c>
      <c r="T2432">
        <v>-0.19915659999999999</v>
      </c>
      <c r="U2432">
        <v>-2.8268589999999998</v>
      </c>
      <c r="V2432">
        <v>-0.25191039999999998</v>
      </c>
      <c r="W2432">
        <v>4.5774969999999998E-2</v>
      </c>
      <c r="X2432">
        <v>0.96666739999999995</v>
      </c>
      <c r="Y2432">
        <v>-0.28829519999999997</v>
      </c>
      <c r="Z2432">
        <v>6.6445100000000007E-2</v>
      </c>
      <c r="AA2432">
        <v>0.95523349999999996</v>
      </c>
      <c r="AB2432">
        <v>13</v>
      </c>
      <c r="AC2432">
        <v>5.7803999999999798</v>
      </c>
      <c r="AD2432">
        <v>-1.1103937028149999</v>
      </c>
      <c r="AE2432">
        <v>-15.627700000000001</v>
      </c>
      <c r="AF2432">
        <v>-4.8308983619694201</v>
      </c>
      <c r="AG2432">
        <v>-1.1103937028149999</v>
      </c>
      <c r="AH2432">
        <v>15.8698088861748</v>
      </c>
      <c r="AI2432">
        <v>93.829456950583193</v>
      </c>
      <c r="AJ2432">
        <v>106.93067365829801</v>
      </c>
      <c r="AK2432">
        <v>16.625925154488101</v>
      </c>
      <c r="AL2432">
        <v>87.376370709492704</v>
      </c>
      <c r="AM2432">
        <v>104.606238777135</v>
      </c>
      <c r="AN2432">
        <v>1.0000000298647</v>
      </c>
    </row>
    <row r="2433" spans="1:40" x14ac:dyDescent="0.25">
      <c r="A2433" t="str">
        <f>"20190312151316197"</f>
        <v>20190312151316197</v>
      </c>
      <c r="B2433" t="str">
        <f>"1552374796192392"</f>
        <v>1552374796192392</v>
      </c>
      <c r="C2433" t="s">
        <v>40</v>
      </c>
      <c r="D2433">
        <v>4.3056839999999896</v>
      </c>
      <c r="E2433">
        <v>0.4836937</v>
      </c>
      <c r="F2433" t="s">
        <v>53</v>
      </c>
      <c r="G2433">
        <v>-490.55259999999998</v>
      </c>
      <c r="H2433" s="1">
        <v>6.3751880000000001E-6</v>
      </c>
      <c r="I2433">
        <v>229.21029999999999</v>
      </c>
      <c r="J2433">
        <v>-496.262</v>
      </c>
      <c r="K2433">
        <v>1.1103989999999999</v>
      </c>
      <c r="L2433">
        <v>244.40199999999999</v>
      </c>
      <c r="M2433">
        <v>5.9903779999999997E-2</v>
      </c>
      <c r="N2433">
        <v>0</v>
      </c>
      <c r="O2433">
        <v>-0.9981487</v>
      </c>
      <c r="P2433">
        <v>0.30917430000000001</v>
      </c>
      <c r="Q2433">
        <v>3.5980089999999999E-2</v>
      </c>
      <c r="R2433">
        <v>-0.95032419999999995</v>
      </c>
      <c r="S2433">
        <v>1.0527040000000001</v>
      </c>
      <c r="T2433">
        <v>-0.2043915</v>
      </c>
      <c r="U2433">
        <v>-2.822174</v>
      </c>
      <c r="V2433">
        <v>-0.25171959999999999</v>
      </c>
      <c r="W2433">
        <v>4.5974090000000002E-2</v>
      </c>
      <c r="X2433">
        <v>0.9667076</v>
      </c>
      <c r="Y2433">
        <v>-0.29192069999999998</v>
      </c>
      <c r="Z2433">
        <v>6.8185339999999997E-2</v>
      </c>
      <c r="AA2433">
        <v>0.95400890000000005</v>
      </c>
      <c r="AB2433">
        <v>13</v>
      </c>
      <c r="AC2433">
        <v>5.7093999999999596</v>
      </c>
      <c r="AD2433">
        <v>-1.110392624812</v>
      </c>
      <c r="AE2433">
        <v>-15.191700000000001</v>
      </c>
      <c r="AF2433">
        <v>-4.7667407194271503</v>
      </c>
      <c r="AG2433">
        <v>-1.110392624812</v>
      </c>
      <c r="AH2433">
        <v>15.434197248653099</v>
      </c>
      <c r="AI2433">
        <v>93.932324408021401</v>
      </c>
      <c r="AJ2433">
        <v>107.162926872906</v>
      </c>
      <c r="AK2433">
        <v>16.191640855015599</v>
      </c>
      <c r="AL2433">
        <v>87.3649498162399</v>
      </c>
      <c r="AM2433">
        <v>104.595067402821</v>
      </c>
      <c r="AN2433">
        <v>0.99999997893662296</v>
      </c>
    </row>
    <row r="2434" spans="1:40" x14ac:dyDescent="0.25">
      <c r="A2434" t="str">
        <f>"20190312151316218"</f>
        <v>20190312151316218</v>
      </c>
      <c r="B2434" t="str">
        <f>"1552374796212888"</f>
        <v>1552374796212888</v>
      </c>
      <c r="C2434" t="s">
        <v>40</v>
      </c>
      <c r="D2434">
        <v>4.3259840000000001</v>
      </c>
      <c r="E2434">
        <v>0.48251850000000002</v>
      </c>
      <c r="F2434" t="s">
        <v>53</v>
      </c>
      <c r="G2434">
        <v>-490.58519999999999</v>
      </c>
      <c r="H2434" s="1">
        <v>6.414818E-6</v>
      </c>
      <c r="I2434">
        <v>229.3853</v>
      </c>
      <c r="J2434">
        <v>-496.25310000000002</v>
      </c>
      <c r="K2434">
        <v>1.110403</v>
      </c>
      <c r="L2434">
        <v>244.2732</v>
      </c>
      <c r="M2434">
        <v>6.0947019999999998E-2</v>
      </c>
      <c r="N2434">
        <v>0</v>
      </c>
      <c r="O2434">
        <v>-0.99808580000000002</v>
      </c>
      <c r="P2434">
        <v>0.30947570000000002</v>
      </c>
      <c r="Q2434">
        <v>3.5887830000000003E-2</v>
      </c>
      <c r="R2434">
        <v>-0.95023020000000002</v>
      </c>
      <c r="S2434">
        <v>1.0653379999999999</v>
      </c>
      <c r="T2434">
        <v>-0.20838370000000001</v>
      </c>
      <c r="U2434">
        <v>-2.81813</v>
      </c>
      <c r="V2434">
        <v>-0.25101570000000001</v>
      </c>
      <c r="W2434">
        <v>4.5888819999999997E-2</v>
      </c>
      <c r="X2434">
        <v>0.9668947</v>
      </c>
      <c r="Y2434">
        <v>-0.2950834</v>
      </c>
      <c r="Z2434">
        <v>6.9509379999999996E-2</v>
      </c>
      <c r="AA2434">
        <v>0.9529398</v>
      </c>
      <c r="AB2434">
        <v>13</v>
      </c>
      <c r="AC2434">
        <v>5.6679000000000297</v>
      </c>
      <c r="AD2434">
        <v>-1.1103965851819999</v>
      </c>
      <c r="AE2434">
        <v>-14.8879</v>
      </c>
      <c r="AF2434">
        <v>-4.7269727846537002</v>
      </c>
      <c r="AG2434">
        <v>-1.1103965851819999</v>
      </c>
      <c r="AH2434">
        <v>15.132160446863301</v>
      </c>
      <c r="AI2434">
        <v>94.006571234814302</v>
      </c>
      <c r="AJ2434">
        <v>107.347720970266</v>
      </c>
      <c r="AK2434">
        <v>15.8921216982773</v>
      </c>
      <c r="AL2434">
        <v>87.369840679312503</v>
      </c>
      <c r="AM2434">
        <v>104.55329302301701</v>
      </c>
      <c r="AN2434">
        <v>1.00000001316778</v>
      </c>
    </row>
    <row r="2435" spans="1:40" x14ac:dyDescent="0.25">
      <c r="A2435" t="str">
        <f>"20190312151316262"</f>
        <v>20190312151316262</v>
      </c>
      <c r="B2435" t="str">
        <f>"1552374796252904"</f>
        <v>1552374796252904</v>
      </c>
      <c r="C2435" t="s">
        <v>40</v>
      </c>
      <c r="D2435">
        <v>4.3666140000000002</v>
      </c>
      <c r="E2435">
        <v>0.48044429999999999</v>
      </c>
      <c r="F2435" t="s">
        <v>42</v>
      </c>
      <c r="G2435">
        <v>-490.65879999999999</v>
      </c>
      <c r="H2435" s="1">
        <v>-1.9134250000000001E-7</v>
      </c>
      <c r="I2435">
        <v>229.62649999999999</v>
      </c>
      <c r="J2435">
        <v>-496.23500000000001</v>
      </c>
      <c r="K2435">
        <v>1.1104210000000001</v>
      </c>
      <c r="L2435">
        <v>244.01929999999999</v>
      </c>
      <c r="M2435">
        <v>6.2971639999999995E-2</v>
      </c>
      <c r="N2435">
        <v>0</v>
      </c>
      <c r="O2435">
        <v>-0.99795970000000001</v>
      </c>
      <c r="P2435">
        <v>0.31067159999999999</v>
      </c>
      <c r="Q2435">
        <v>3.6128359999999998E-2</v>
      </c>
      <c r="R2435">
        <v>-0.94983059999999997</v>
      </c>
      <c r="S2435">
        <v>1.0751949999999999</v>
      </c>
      <c r="T2435">
        <v>-0.2134151</v>
      </c>
      <c r="U2435">
        <v>-2.8150330000000001</v>
      </c>
      <c r="V2435">
        <v>-0.25027369999999999</v>
      </c>
      <c r="W2435">
        <v>4.6132699999999999E-2</v>
      </c>
      <c r="X2435">
        <v>0.96707540000000003</v>
      </c>
      <c r="Y2435">
        <v>-0.2963655</v>
      </c>
      <c r="Z2435">
        <v>7.1181040000000001E-2</v>
      </c>
      <c r="AA2435">
        <v>0.9524184</v>
      </c>
      <c r="AB2435">
        <v>13</v>
      </c>
      <c r="AC2435">
        <v>5.5762000000000196</v>
      </c>
      <c r="AD2435">
        <v>-1.1104211913424999</v>
      </c>
      <c r="AE2435">
        <v>-14.3927999999999</v>
      </c>
      <c r="AF2435">
        <v>-4.6347562734729904</v>
      </c>
      <c r="AG2435">
        <v>-1.1104211913424999</v>
      </c>
      <c r="AH2435">
        <v>14.6396268879635</v>
      </c>
      <c r="AI2435">
        <v>94.136028422117107</v>
      </c>
      <c r="AJ2435">
        <v>107.567254962494</v>
      </c>
      <c r="AK2435">
        <v>15.3958655604504</v>
      </c>
      <c r="AL2435">
        <v>87.355852509536604</v>
      </c>
      <c r="AM2435">
        <v>104.509495399109</v>
      </c>
      <c r="AN2435">
        <v>0.99999999010306995</v>
      </c>
    </row>
    <row r="2436" spans="1:40" x14ac:dyDescent="0.25">
      <c r="A2436" t="str">
        <f>"20190312151316284"</f>
        <v>20190312151316284</v>
      </c>
      <c r="B2436" t="str">
        <f>"1552374796282184"</f>
        <v>1552374796282184</v>
      </c>
      <c r="C2436" t="s">
        <v>40</v>
      </c>
      <c r="D2436">
        <v>4.36747</v>
      </c>
      <c r="E2436">
        <v>0.47912860000000002</v>
      </c>
      <c r="F2436" t="s">
        <v>42</v>
      </c>
      <c r="G2436">
        <v>-490.69290000000001</v>
      </c>
      <c r="H2436" s="1">
        <v>-2.750245E-7</v>
      </c>
      <c r="I2436">
        <v>229.8004</v>
      </c>
      <c r="J2436">
        <v>-496.22550000000001</v>
      </c>
      <c r="K2436">
        <v>1.110441</v>
      </c>
      <c r="L2436">
        <v>243.88839999999999</v>
      </c>
      <c r="M2436">
        <v>6.4015269999999999E-2</v>
      </c>
      <c r="N2436">
        <v>0</v>
      </c>
      <c r="O2436">
        <v>-0.99789360000000005</v>
      </c>
      <c r="P2436">
        <v>0.31122159999999999</v>
      </c>
      <c r="Q2436">
        <v>3.6433649999999998E-2</v>
      </c>
      <c r="R2436">
        <v>-0.94963880000000001</v>
      </c>
      <c r="S2436">
        <v>1.094757</v>
      </c>
      <c r="T2436">
        <v>-0.21934709999999999</v>
      </c>
      <c r="U2436">
        <v>-2.808716</v>
      </c>
      <c r="V2436">
        <v>-0.24982470000000001</v>
      </c>
      <c r="W2436">
        <v>4.6436119999999997E-2</v>
      </c>
      <c r="X2436">
        <v>0.96717699999999995</v>
      </c>
      <c r="Y2436">
        <v>-0.30179660000000003</v>
      </c>
      <c r="Z2436">
        <v>7.3141869999999998E-2</v>
      </c>
      <c r="AA2436">
        <v>0.95056249999999998</v>
      </c>
      <c r="AB2436">
        <v>13</v>
      </c>
      <c r="AC2436">
        <v>5.5326000000000004</v>
      </c>
      <c r="AD2436">
        <v>-1.1104412750245001</v>
      </c>
      <c r="AE2436">
        <v>-14.0879999999999</v>
      </c>
      <c r="AF2436">
        <v>-4.5946224807601199</v>
      </c>
      <c r="AG2436">
        <v>-1.1104412750245001</v>
      </c>
      <c r="AH2436">
        <v>14.3361243495998</v>
      </c>
      <c r="AI2436">
        <v>94.218605687099497</v>
      </c>
      <c r="AJ2436">
        <v>107.7702727833</v>
      </c>
      <c r="AK2436">
        <v>15.0953004916488</v>
      </c>
      <c r="AL2436">
        <v>87.338449256787101</v>
      </c>
      <c r="AM2436">
        <v>104.48310315995499</v>
      </c>
      <c r="AN2436">
        <v>1.0000000216498699</v>
      </c>
    </row>
    <row r="2437" spans="1:40" x14ac:dyDescent="0.25">
      <c r="A2437" t="str">
        <f>"20190312151316306"</f>
        <v>20190312151316306</v>
      </c>
      <c r="B2437" t="str">
        <f>"1552374796302680"</f>
        <v>1552374796302680</v>
      </c>
      <c r="C2437" t="s">
        <v>40</v>
      </c>
      <c r="D2437">
        <v>4.3730539999999998</v>
      </c>
      <c r="E2437">
        <v>0.4783135</v>
      </c>
      <c r="F2437" t="s">
        <v>42</v>
      </c>
      <c r="G2437">
        <v>-490.7364</v>
      </c>
      <c r="H2437" s="1">
        <v>-3.640572E-7</v>
      </c>
      <c r="I2437">
        <v>229.98099999999999</v>
      </c>
      <c r="J2437">
        <v>-496.21640000000002</v>
      </c>
      <c r="K2437">
        <v>1.110457</v>
      </c>
      <c r="L2437">
        <v>243.76339999999999</v>
      </c>
      <c r="M2437">
        <v>6.5018329999999999E-2</v>
      </c>
      <c r="N2437">
        <v>0</v>
      </c>
      <c r="O2437">
        <v>-0.99782870000000001</v>
      </c>
      <c r="P2437">
        <v>0.31202410000000003</v>
      </c>
      <c r="Q2437">
        <v>3.6373919999999997E-2</v>
      </c>
      <c r="R2437">
        <v>-0.94937839999999996</v>
      </c>
      <c r="S2437">
        <v>1.107056</v>
      </c>
      <c r="T2437">
        <v>-0.22395680000000001</v>
      </c>
      <c r="U2437">
        <v>-2.8048860000000002</v>
      </c>
      <c r="V2437">
        <v>-0.2496709</v>
      </c>
      <c r="W2437">
        <v>4.6378009999999997E-2</v>
      </c>
      <c r="X2437">
        <v>0.96721950000000001</v>
      </c>
      <c r="Y2437">
        <v>-0.30484640000000002</v>
      </c>
      <c r="Z2437">
        <v>7.4662530000000005E-2</v>
      </c>
      <c r="AA2437">
        <v>0.9494705</v>
      </c>
      <c r="AB2437">
        <v>13</v>
      </c>
      <c r="AC2437">
        <v>5.4800000000000102</v>
      </c>
      <c r="AD2437">
        <v>-1.1104573640572</v>
      </c>
      <c r="AE2437">
        <v>-13.7823999999999</v>
      </c>
      <c r="AF2437">
        <v>-4.54675862604347</v>
      </c>
      <c r="AG2437">
        <v>-1.1104573640572</v>
      </c>
      <c r="AH2437">
        <v>14.030904719768399</v>
      </c>
      <c r="AI2437">
        <v>94.305633599717694</v>
      </c>
      <c r="AJ2437">
        <v>107.955079319181</v>
      </c>
      <c r="AK2437">
        <v>14.790957265035599</v>
      </c>
      <c r="AL2437">
        <v>87.3417823001285</v>
      </c>
      <c r="AM2437">
        <v>104.473952260346</v>
      </c>
      <c r="AN2437">
        <v>1.00000001964931</v>
      </c>
    </row>
    <row r="2438" spans="1:40" x14ac:dyDescent="0.25">
      <c r="A2438" t="str">
        <f>"20190312151316329"</f>
        <v>20190312151316329</v>
      </c>
      <c r="B2438" t="str">
        <f>"1552374796322200"</f>
        <v>1552374796322200</v>
      </c>
      <c r="C2438" t="s">
        <v>40</v>
      </c>
      <c r="D2438">
        <v>4.4436999999999998</v>
      </c>
      <c r="E2438">
        <v>0.47754010000000002</v>
      </c>
      <c r="F2438" t="s">
        <v>42</v>
      </c>
      <c r="G2438">
        <v>-490.73899999999998</v>
      </c>
      <c r="H2438" s="1">
        <v>-3.7379099999999999E-7</v>
      </c>
      <c r="I2438">
        <v>230.00210000000001</v>
      </c>
      <c r="J2438">
        <v>-496.20659999999998</v>
      </c>
      <c r="K2438">
        <v>1.110473</v>
      </c>
      <c r="L2438">
        <v>243.6326</v>
      </c>
      <c r="M2438">
        <v>6.6077659999999996E-2</v>
      </c>
      <c r="N2438">
        <v>0</v>
      </c>
      <c r="O2438">
        <v>-0.9977589</v>
      </c>
      <c r="P2438">
        <v>0.31315939999999998</v>
      </c>
      <c r="Q2438">
        <v>3.6062080000000003E-2</v>
      </c>
      <c r="R2438">
        <v>-0.94901619999999998</v>
      </c>
      <c r="S2438">
        <v>1.1152949999999999</v>
      </c>
      <c r="T2438">
        <v>-0.22610859999999999</v>
      </c>
      <c r="U2438">
        <v>-2.8020480000000001</v>
      </c>
      <c r="V2438">
        <v>-0.24980079999999999</v>
      </c>
      <c r="W2438">
        <v>4.6070779999999999E-2</v>
      </c>
      <c r="X2438">
        <v>0.96720059999999997</v>
      </c>
      <c r="Y2438">
        <v>-0.3065563</v>
      </c>
      <c r="Z2438">
        <v>7.5377769999999997E-2</v>
      </c>
      <c r="AA2438">
        <v>0.94886329999999997</v>
      </c>
      <c r="AB2438">
        <v>13</v>
      </c>
      <c r="AC2438">
        <v>5.4675999999999396</v>
      </c>
      <c r="AD2438">
        <v>-1.110473373791</v>
      </c>
      <c r="AE2438">
        <v>-13.6304999999999</v>
      </c>
      <c r="AF2438">
        <v>-4.5290334989118701</v>
      </c>
      <c r="AG2438">
        <v>-1.110473373791</v>
      </c>
      <c r="AH2438">
        <v>13.8826411169783</v>
      </c>
      <c r="AI2438">
        <v>94.348720588706897</v>
      </c>
      <c r="AJ2438">
        <v>108.06825079499301</v>
      </c>
      <c r="AK2438">
        <v>14.644897402542</v>
      </c>
      <c r="AL2438">
        <v>87.359404009865898</v>
      </c>
      <c r="AM2438">
        <v>104.48143736574001</v>
      </c>
      <c r="AN2438">
        <v>0.99999997854540301</v>
      </c>
    </row>
    <row r="2439" spans="1:40" x14ac:dyDescent="0.25">
      <c r="A2439" t="str">
        <f>"20190312151316350"</f>
        <v>20190312151316350</v>
      </c>
      <c r="B2439" t="str">
        <f>"1552374796342696"</f>
        <v>1552374796342696</v>
      </c>
      <c r="C2439" t="s">
        <v>40</v>
      </c>
      <c r="D2439">
        <v>4.4292930000000004</v>
      </c>
      <c r="E2439">
        <v>0.47681560000000001</v>
      </c>
      <c r="F2439" t="s">
        <v>42</v>
      </c>
      <c r="G2439">
        <v>-490.78039999999999</v>
      </c>
      <c r="H2439" s="1">
        <v>-4.3559409999999999E-7</v>
      </c>
      <c r="I2439">
        <v>230.12049999999999</v>
      </c>
      <c r="J2439">
        <v>-496.19670000000002</v>
      </c>
      <c r="K2439">
        <v>1.1104849999999999</v>
      </c>
      <c r="L2439">
        <v>243.50229999999999</v>
      </c>
      <c r="M2439">
        <v>6.7141670000000001E-2</v>
      </c>
      <c r="N2439">
        <v>0</v>
      </c>
      <c r="O2439">
        <v>-0.99768749999999995</v>
      </c>
      <c r="P2439">
        <v>0.31475629999999999</v>
      </c>
      <c r="Q2439">
        <v>3.5674119999999997E-2</v>
      </c>
      <c r="R2439">
        <v>-0.94850210000000001</v>
      </c>
      <c r="S2439">
        <v>1.124023</v>
      </c>
      <c r="T2439">
        <v>-0.2300314</v>
      </c>
      <c r="U2439">
        <v>-2.7989959999999998</v>
      </c>
      <c r="V2439">
        <v>-0.2503978</v>
      </c>
      <c r="W2439">
        <v>4.5689239999999999E-2</v>
      </c>
      <c r="X2439">
        <v>0.96706429999999999</v>
      </c>
      <c r="Y2439">
        <v>-0.30841000000000002</v>
      </c>
      <c r="Z2439">
        <v>7.6680239999999997E-2</v>
      </c>
      <c r="AA2439">
        <v>0.9481579</v>
      </c>
      <c r="AB2439">
        <v>13</v>
      </c>
      <c r="AC2439">
        <v>5.4163000000000299</v>
      </c>
      <c r="AD2439">
        <v>-1.1104854355940901</v>
      </c>
      <c r="AE2439">
        <v>-13.381799999999901</v>
      </c>
      <c r="AF2439">
        <v>-4.4790469266951503</v>
      </c>
      <c r="AG2439">
        <v>-1.1104854355940901</v>
      </c>
      <c r="AH2439">
        <v>13.6346022625637</v>
      </c>
      <c r="AI2439">
        <v>94.424610765683298</v>
      </c>
      <c r="AJ2439">
        <v>108.185655593371</v>
      </c>
      <c r="AK2439">
        <v>14.3943536892947</v>
      </c>
      <c r="AL2439">
        <v>87.381287644873296</v>
      </c>
      <c r="AM2439">
        <v>104.516545729428</v>
      </c>
      <c r="AN2439">
        <v>0.99999996261555302</v>
      </c>
    </row>
    <row r="2440" spans="1:40" x14ac:dyDescent="0.25">
      <c r="A2440" t="str">
        <f>"20190312151316373"</f>
        <v>20190312151316373</v>
      </c>
      <c r="B2440" t="str">
        <f>"1552374796362216"</f>
        <v>1552374796362216</v>
      </c>
      <c r="C2440" t="s">
        <v>40</v>
      </c>
      <c r="D2440">
        <v>4.4038449999999996</v>
      </c>
      <c r="E2440">
        <v>0.47613499999999997</v>
      </c>
      <c r="F2440" t="s">
        <v>42</v>
      </c>
      <c r="G2440">
        <v>-490.8304</v>
      </c>
      <c r="H2440" s="1">
        <v>-5.1765259999999898E-7</v>
      </c>
      <c r="I2440">
        <v>230.2807</v>
      </c>
      <c r="J2440">
        <v>-496.18619999999999</v>
      </c>
      <c r="K2440">
        <v>1.110498</v>
      </c>
      <c r="L2440">
        <v>243.36619999999999</v>
      </c>
      <c r="M2440">
        <v>6.826459E-2</v>
      </c>
      <c r="N2440">
        <v>0</v>
      </c>
      <c r="O2440">
        <v>-0.99761089999999997</v>
      </c>
      <c r="P2440">
        <v>0.31631910000000002</v>
      </c>
      <c r="Q2440">
        <v>3.5799350000000001E-2</v>
      </c>
      <c r="R2440">
        <v>-0.94797710000000002</v>
      </c>
      <c r="S2440">
        <v>1.1344909999999999</v>
      </c>
      <c r="T2440">
        <v>-0.23477229999999999</v>
      </c>
      <c r="U2440">
        <v>-2.795242</v>
      </c>
      <c r="V2440">
        <v>-0.25090489999999999</v>
      </c>
      <c r="W2440">
        <v>4.5823089999999997E-2</v>
      </c>
      <c r="X2440">
        <v>0.96692659999999997</v>
      </c>
      <c r="Y2440">
        <v>-0.3107856</v>
      </c>
      <c r="Z2440">
        <v>7.8254699999999996E-2</v>
      </c>
      <c r="AA2440">
        <v>0.94725309999999996</v>
      </c>
      <c r="AB2440">
        <v>13</v>
      </c>
      <c r="AC2440">
        <v>5.3557999999999799</v>
      </c>
      <c r="AD2440">
        <v>-1.1104985176526001</v>
      </c>
      <c r="AE2440">
        <v>-13.0854999999999</v>
      </c>
      <c r="AF2440">
        <v>-4.4226962391607296</v>
      </c>
      <c r="AG2440">
        <v>-1.1104985176526001</v>
      </c>
      <c r="AH2440">
        <v>13.3383238595741</v>
      </c>
      <c r="AI2440">
        <v>94.518426227806998</v>
      </c>
      <c r="AJ2440">
        <v>108.344391103264</v>
      </c>
      <c r="AK2440">
        <v>14.0962524227001</v>
      </c>
      <c r="AL2440">
        <v>87.373610759584693</v>
      </c>
      <c r="AM2440">
        <v>104.546682124266</v>
      </c>
      <c r="AN2440">
        <v>1.00000003710435</v>
      </c>
    </row>
    <row r="2441" spans="1:40" x14ac:dyDescent="0.25">
      <c r="A2441" t="str">
        <f>"20190312151316395"</f>
        <v>20190312151316395</v>
      </c>
      <c r="B2441" t="str">
        <f>"1552374796392878"</f>
        <v>1552374796392878</v>
      </c>
      <c r="C2441" t="s">
        <v>40</v>
      </c>
      <c r="D2441">
        <v>4.3967210000000003</v>
      </c>
      <c r="E2441">
        <v>0.47521039999999998</v>
      </c>
      <c r="F2441" t="s">
        <v>42</v>
      </c>
      <c r="G2441">
        <v>-490.82330000000002</v>
      </c>
      <c r="H2441" s="1">
        <v>-5.1745039999999999E-7</v>
      </c>
      <c r="I2441">
        <v>230.28469999999999</v>
      </c>
      <c r="J2441">
        <v>-496.17630000000003</v>
      </c>
      <c r="K2441">
        <v>1.1105149999999999</v>
      </c>
      <c r="L2441">
        <v>243.2396</v>
      </c>
      <c r="M2441">
        <v>6.9320489999999998E-2</v>
      </c>
      <c r="N2441">
        <v>0</v>
      </c>
      <c r="O2441">
        <v>-0.99753800000000004</v>
      </c>
      <c r="P2441">
        <v>0.31781039999999999</v>
      </c>
      <c r="Q2441">
        <v>3.5927870000000001E-2</v>
      </c>
      <c r="R2441">
        <v>-0.94747340000000002</v>
      </c>
      <c r="S2441">
        <v>1.144501</v>
      </c>
      <c r="T2441">
        <v>-0.23699020000000001</v>
      </c>
      <c r="U2441">
        <v>-2.7917179999999999</v>
      </c>
      <c r="V2441">
        <v>-0.25140489999999999</v>
      </c>
      <c r="W2441">
        <v>4.5962169999999997E-2</v>
      </c>
      <c r="X2441">
        <v>0.96679009999999999</v>
      </c>
      <c r="Y2441">
        <v>-0.31308509999999901</v>
      </c>
      <c r="Z2441">
        <v>7.8990309999999994E-2</v>
      </c>
      <c r="AA2441">
        <v>0.94643449999999996</v>
      </c>
      <c r="AB2441">
        <v>13</v>
      </c>
      <c r="AC2441">
        <v>5.3529999999999998</v>
      </c>
      <c r="AD2441">
        <v>-1.11051551745039</v>
      </c>
      <c r="AE2441">
        <v>-12.9549</v>
      </c>
      <c r="AF2441">
        <v>-4.4143242202835902</v>
      </c>
      <c r="AG2441">
        <v>-1.11051551745039</v>
      </c>
      <c r="AH2441">
        <v>13.2119008494426</v>
      </c>
      <c r="AI2441">
        <v>94.558095662147693</v>
      </c>
      <c r="AJ2441">
        <v>108.47536385761801</v>
      </c>
      <c r="AK2441">
        <v>13.97404118685</v>
      </c>
      <c r="AL2441">
        <v>87.365633615917005</v>
      </c>
      <c r="AM2441">
        <v>104.57640743170001</v>
      </c>
      <c r="AN2441">
        <v>1.0000000211365601</v>
      </c>
    </row>
    <row r="2442" spans="1:40" x14ac:dyDescent="0.25">
      <c r="A2442" t="str">
        <f>"20190312151316421"</f>
        <v>20190312151316421</v>
      </c>
      <c r="B2442" t="str">
        <f>"1552374796412397"</f>
        <v>1552374796412397</v>
      </c>
      <c r="C2442" t="s">
        <v>40</v>
      </c>
      <c r="D2442">
        <v>4.3634209999999998</v>
      </c>
      <c r="E2442">
        <v>0.47463739999999999</v>
      </c>
      <c r="F2442" t="s">
        <v>42</v>
      </c>
      <c r="G2442">
        <v>-490.80169999999998</v>
      </c>
      <c r="H2442" s="1">
        <v>-5.095325E-7</v>
      </c>
      <c r="I2442">
        <v>230.27959999999999</v>
      </c>
      <c r="J2442">
        <v>-496.16449999999998</v>
      </c>
      <c r="K2442">
        <v>1.110541</v>
      </c>
      <c r="L2442">
        <v>243.09119999999999</v>
      </c>
      <c r="M2442">
        <v>7.0574929999999994E-2</v>
      </c>
      <c r="N2442">
        <v>0</v>
      </c>
      <c r="O2442">
        <v>-0.9974499</v>
      </c>
      <c r="P2442">
        <v>0.31951000000000002</v>
      </c>
      <c r="Q2442">
        <v>3.6475170000000001E-2</v>
      </c>
      <c r="R2442">
        <v>-0.94688110000000003</v>
      </c>
      <c r="S2442">
        <v>1.1560360000000001</v>
      </c>
      <c r="T2442">
        <v>-0.23886389999999999</v>
      </c>
      <c r="U2442">
        <v>-2.787598</v>
      </c>
      <c r="V2442">
        <v>-0.25192750000000003</v>
      </c>
      <c r="W2442">
        <v>4.6526150000000002E-2</v>
      </c>
      <c r="X2442">
        <v>0.96662709999999996</v>
      </c>
      <c r="Y2442">
        <v>-0.31570870000000001</v>
      </c>
      <c r="Z2442">
        <v>7.9612479999999999E-2</v>
      </c>
      <c r="AA2442">
        <v>0.94551039999999997</v>
      </c>
      <c r="AB2442">
        <v>13</v>
      </c>
      <c r="AC2442">
        <v>5.3627999999999902</v>
      </c>
      <c r="AD2442">
        <v>-1.1105415095325</v>
      </c>
      <c r="AE2442">
        <v>-12.8116</v>
      </c>
      <c r="AF2442">
        <v>-4.4169572246241797</v>
      </c>
      <c r="AG2442">
        <v>-1.1105415095325</v>
      </c>
      <c r="AH2442">
        <v>13.0745576604197</v>
      </c>
      <c r="AI2442">
        <v>94.600743811956207</v>
      </c>
      <c r="AJ2442">
        <v>108.66643021602999</v>
      </c>
      <c r="AK2442">
        <v>13.8451028015032</v>
      </c>
      <c r="AL2442">
        <v>87.333285409984498</v>
      </c>
      <c r="AM2442">
        <v>104.60777080634401</v>
      </c>
      <c r="AN2442">
        <v>1.0000000491722401</v>
      </c>
    </row>
    <row r="2443" spans="1:40" x14ac:dyDescent="0.25">
      <c r="A2443" t="str">
        <f>"20190312151316442"</f>
        <v>20190312151316442</v>
      </c>
      <c r="B2443" t="str">
        <f>"1552374796432893"</f>
        <v>1552374796432893</v>
      </c>
      <c r="C2443" t="s">
        <v>40</v>
      </c>
      <c r="D2443">
        <v>4.4771789999999996</v>
      </c>
      <c r="E2443">
        <v>0.47406939999999997</v>
      </c>
      <c r="F2443" t="s">
        <v>42</v>
      </c>
      <c r="G2443">
        <v>-490.74639999999999</v>
      </c>
      <c r="H2443" s="1">
        <v>-4.4051890000000001E-7</v>
      </c>
      <c r="I2443">
        <v>230.15299999999999</v>
      </c>
      <c r="J2443">
        <v>-496.15429999999998</v>
      </c>
      <c r="K2443">
        <v>1.1105590000000001</v>
      </c>
      <c r="L2443">
        <v>242.96510000000001</v>
      </c>
      <c r="M2443">
        <v>7.1656730000000002E-2</v>
      </c>
      <c r="N2443">
        <v>0</v>
      </c>
      <c r="O2443">
        <v>-0.99737240000000005</v>
      </c>
      <c r="P2443">
        <v>0.32133070000000002</v>
      </c>
      <c r="Q2443">
        <v>3.7244199999999998E-2</v>
      </c>
      <c r="R2443">
        <v>-0.94623480000000004</v>
      </c>
      <c r="S2443">
        <v>1.165894</v>
      </c>
      <c r="T2443">
        <v>-0.23897160000000001</v>
      </c>
      <c r="U2443">
        <v>-2.784103</v>
      </c>
      <c r="V2443">
        <v>-0.25274269999999999</v>
      </c>
      <c r="W2443">
        <v>4.7307780000000001E-2</v>
      </c>
      <c r="X2443">
        <v>0.96637629999999997</v>
      </c>
      <c r="Y2443">
        <v>-0.3179497</v>
      </c>
      <c r="Z2443">
        <v>7.964794E-2</v>
      </c>
      <c r="AA2443">
        <v>0.94475620000000005</v>
      </c>
      <c r="AB2443">
        <v>13</v>
      </c>
      <c r="AC2443">
        <v>5.4078999999999802</v>
      </c>
      <c r="AD2443">
        <v>-1.1105594405188901</v>
      </c>
      <c r="AE2443">
        <v>-12.812099999999999</v>
      </c>
      <c r="AF2443">
        <v>-4.4475081169458397</v>
      </c>
      <c r="AG2443">
        <v>-1.1105594405188901</v>
      </c>
      <c r="AH2443">
        <v>13.0832592653039</v>
      </c>
      <c r="AI2443">
        <v>94.594834958634706</v>
      </c>
      <c r="AJ2443">
        <v>108.774892610244</v>
      </c>
      <c r="AK2443">
        <v>13.8630928628638</v>
      </c>
      <c r="AL2443">
        <v>87.288451876614005</v>
      </c>
      <c r="AM2443">
        <v>104.656647300321</v>
      </c>
      <c r="AN2443">
        <v>1.0000000258267501</v>
      </c>
    </row>
    <row r="2444" spans="1:40" x14ac:dyDescent="0.25">
      <c r="A2444" t="str">
        <f>"20190312151316463"</f>
        <v>20190312151316463</v>
      </c>
      <c r="B2444" t="str">
        <f>"1552374796452416"</f>
        <v>1552374796452416</v>
      </c>
      <c r="C2444" t="s">
        <v>40</v>
      </c>
      <c r="D2444">
        <v>4.407235</v>
      </c>
      <c r="E2444">
        <v>0.47355740000000002</v>
      </c>
      <c r="F2444" t="s">
        <v>42</v>
      </c>
      <c r="G2444">
        <v>-490.68950000000001</v>
      </c>
      <c r="H2444" s="1">
        <v>-3.7727349999999998E-7</v>
      </c>
      <c r="I2444">
        <v>230.04089999999999</v>
      </c>
      <c r="J2444">
        <v>-496.14409999999998</v>
      </c>
      <c r="K2444">
        <v>1.1105780000000001</v>
      </c>
      <c r="L2444">
        <v>242.8409</v>
      </c>
      <c r="M2444">
        <v>7.2738059999999993E-2</v>
      </c>
      <c r="N2444">
        <v>0</v>
      </c>
      <c r="O2444">
        <v>-0.99729389999999996</v>
      </c>
      <c r="P2444">
        <v>0.32269910000000002</v>
      </c>
      <c r="Q2444">
        <v>3.7524759999999997E-2</v>
      </c>
      <c r="R2444">
        <v>-0.94575759999999998</v>
      </c>
      <c r="S2444">
        <v>1.175751</v>
      </c>
      <c r="T2444">
        <v>-0.2389348</v>
      </c>
      <c r="U2444">
        <v>-2.780624</v>
      </c>
      <c r="V2444">
        <v>-0.25309530000000002</v>
      </c>
      <c r="W2444">
        <v>4.7600219999999999E-2</v>
      </c>
      <c r="X2444">
        <v>0.96626959999999995</v>
      </c>
      <c r="Y2444">
        <v>-0.32018760000000002</v>
      </c>
      <c r="Z2444">
        <v>7.9634350000000007E-2</v>
      </c>
      <c r="AA2444">
        <v>0.94400119999999998</v>
      </c>
      <c r="AB2444">
        <v>13</v>
      </c>
      <c r="AC2444">
        <v>5.4545999999999699</v>
      </c>
      <c r="AD2444">
        <v>-1.1105783772735001</v>
      </c>
      <c r="AE2444">
        <v>-12.8</v>
      </c>
      <c r="AF2444">
        <v>-4.4805038614165698</v>
      </c>
      <c r="AG2444">
        <v>-1.1105783772735001</v>
      </c>
      <c r="AH2444">
        <v>13.079539470245001</v>
      </c>
      <c r="AI2444">
        <v>94.592551531369907</v>
      </c>
      <c r="AJ2444">
        <v>108.909317919982</v>
      </c>
      <c r="AK2444">
        <v>13.8702073502141</v>
      </c>
      <c r="AL2444">
        <v>87.271677265069798</v>
      </c>
      <c r="AM2444">
        <v>104.677763193353</v>
      </c>
      <c r="AN2444">
        <v>0.99999997585514799</v>
      </c>
    </row>
    <row r="2445" spans="1:40" x14ac:dyDescent="0.25">
      <c r="A2445" t="str">
        <f>"20190312151316484"</f>
        <v>20190312151316484</v>
      </c>
      <c r="B2445" t="str">
        <f>"1552374796482669"</f>
        <v>1552374796482669</v>
      </c>
      <c r="C2445" t="s">
        <v>40</v>
      </c>
      <c r="D2445">
        <v>4.4141199999999996</v>
      </c>
      <c r="E2445">
        <v>0.47286319999999998</v>
      </c>
      <c r="F2445" t="s">
        <v>42</v>
      </c>
      <c r="G2445">
        <v>-490.65379999999999</v>
      </c>
      <c r="H2445" s="1">
        <v>-3.3522930000000002E-7</v>
      </c>
      <c r="I2445">
        <v>229.965</v>
      </c>
      <c r="J2445">
        <v>-496.13339999999999</v>
      </c>
      <c r="K2445">
        <v>1.1106020000000001</v>
      </c>
      <c r="L2445">
        <v>242.7122</v>
      </c>
      <c r="M2445">
        <v>7.3872800000000002E-2</v>
      </c>
      <c r="N2445">
        <v>0</v>
      </c>
      <c r="O2445">
        <v>-0.99721040000000005</v>
      </c>
      <c r="P2445">
        <v>0.32391239999999999</v>
      </c>
      <c r="Q2445">
        <v>3.825775E-2</v>
      </c>
      <c r="R2445">
        <v>-0.94531370000000003</v>
      </c>
      <c r="S2445">
        <v>1.184296</v>
      </c>
      <c r="T2445">
        <v>-0.23956160000000001</v>
      </c>
      <c r="U2445">
        <v>-2.7774350000000001</v>
      </c>
      <c r="V2445">
        <v>-0.25324020000000003</v>
      </c>
      <c r="W2445">
        <v>4.8347040000000001E-2</v>
      </c>
      <c r="X2445">
        <v>0.96619460000000001</v>
      </c>
      <c r="Y2445">
        <v>-0.32195190000000001</v>
      </c>
      <c r="Z2445">
        <v>7.9845150000000004E-2</v>
      </c>
      <c r="AA2445">
        <v>0.94338319999999998</v>
      </c>
      <c r="AB2445">
        <v>13</v>
      </c>
      <c r="AC2445">
        <v>5.4795999999999996</v>
      </c>
      <c r="AD2445">
        <v>-1.1106023352293</v>
      </c>
      <c r="AE2445">
        <v>-12.7471999999999</v>
      </c>
      <c r="AF2445">
        <v>-4.4941077895014097</v>
      </c>
      <c r="AG2445">
        <v>-1.1106023352293</v>
      </c>
      <c r="AH2445">
        <v>13.033677558336599</v>
      </c>
      <c r="AI2445">
        <v>94.605569621427705</v>
      </c>
      <c r="AJ2445">
        <v>109.024569678014</v>
      </c>
      <c r="AK2445">
        <v>13.8313843510099</v>
      </c>
      <c r="AL2445">
        <v>87.228838427068197</v>
      </c>
      <c r="AM2445">
        <v>104.686893929078</v>
      </c>
      <c r="AN2445">
        <v>1.00000002012098</v>
      </c>
    </row>
    <row r="2446" spans="1:40" x14ac:dyDescent="0.25">
      <c r="A2446" t="str">
        <f>"20190312151316508"</f>
        <v>20190312151316508</v>
      </c>
      <c r="B2446" t="str">
        <f>"1552374796502190"</f>
        <v>1552374796502190</v>
      </c>
      <c r="C2446" t="s">
        <v>40</v>
      </c>
      <c r="D2446">
        <v>4.4236719999999998</v>
      </c>
      <c r="E2446">
        <v>0.47237509999999999</v>
      </c>
      <c r="F2446" t="s">
        <v>42</v>
      </c>
      <c r="G2446">
        <v>-490.6028</v>
      </c>
      <c r="H2446" s="1">
        <v>-2.7521290000000003E-7</v>
      </c>
      <c r="I2446">
        <v>229.85669999999999</v>
      </c>
      <c r="J2446">
        <v>-496.12200000000001</v>
      </c>
      <c r="K2446">
        <v>1.110614</v>
      </c>
      <c r="L2446">
        <v>242.578</v>
      </c>
      <c r="M2446">
        <v>7.5076770000000001E-2</v>
      </c>
      <c r="N2446">
        <v>0</v>
      </c>
      <c r="O2446">
        <v>-0.99712000000000001</v>
      </c>
      <c r="P2446">
        <v>0.32505089999999998</v>
      </c>
      <c r="Q2446">
        <v>3.8397489999999999E-2</v>
      </c>
      <c r="R2446">
        <v>-0.94491700000000001</v>
      </c>
      <c r="S2446">
        <v>1.1935420000000001</v>
      </c>
      <c r="T2446">
        <v>-0.23967669999999999</v>
      </c>
      <c r="U2446">
        <v>-2.7743229999999999</v>
      </c>
      <c r="V2446">
        <v>-0.25323950000000001</v>
      </c>
      <c r="W2446">
        <v>4.8506599999999997E-2</v>
      </c>
      <c r="X2446">
        <v>0.96618680000000001</v>
      </c>
      <c r="Y2446">
        <v>-0.32384590000000002</v>
      </c>
      <c r="Z2446">
        <v>7.9877619999999996E-2</v>
      </c>
      <c r="AA2446">
        <v>0.94273189999999996</v>
      </c>
      <c r="AB2446">
        <v>13</v>
      </c>
      <c r="AC2446">
        <v>5.5191999999999499</v>
      </c>
      <c r="AD2446">
        <v>-1.11061427521289</v>
      </c>
      <c r="AE2446">
        <v>-12.721299999999999</v>
      </c>
      <c r="AF2446">
        <v>-4.5195021995505202</v>
      </c>
      <c r="AG2446">
        <v>-1.11061427521289</v>
      </c>
      <c r="AH2446">
        <v>13.0162878287867</v>
      </c>
      <c r="AI2446">
        <v>94.608324752964293</v>
      </c>
      <c r="AJ2446">
        <v>109.147971742804</v>
      </c>
      <c r="AK2446">
        <v>13.8232815583663</v>
      </c>
      <c r="AL2446">
        <v>87.219685611289194</v>
      </c>
      <c r="AM2446">
        <v>104.686968527647</v>
      </c>
      <c r="AN2446">
        <v>1.00000003354902</v>
      </c>
    </row>
    <row r="2447" spans="1:40" x14ac:dyDescent="0.25">
      <c r="A2447" t="str">
        <f>"20190312151316529"</f>
        <v>20190312151316529</v>
      </c>
      <c r="B2447" t="str">
        <f>"1552374796522685"</f>
        <v>1552374796522685</v>
      </c>
      <c r="C2447" t="s">
        <v>40</v>
      </c>
      <c r="D2447">
        <v>4.4638109999999998</v>
      </c>
      <c r="E2447">
        <v>0.47192299999999998</v>
      </c>
      <c r="F2447" t="s">
        <v>42</v>
      </c>
      <c r="G2447">
        <v>-490.58350000000002</v>
      </c>
      <c r="H2447" s="1">
        <v>-2.4229160000000001E-7</v>
      </c>
      <c r="I2447">
        <v>229.792</v>
      </c>
      <c r="J2447">
        <v>-496.11090000000002</v>
      </c>
      <c r="K2447">
        <v>1.110622</v>
      </c>
      <c r="L2447">
        <v>242.44820000000001</v>
      </c>
      <c r="M2447">
        <v>7.6255429999999999E-2</v>
      </c>
      <c r="N2447">
        <v>0</v>
      </c>
      <c r="O2447">
        <v>-0.99703039999999998</v>
      </c>
      <c r="P2447">
        <v>0.32657439999999999</v>
      </c>
      <c r="Q2447">
        <v>3.7740360000000001E-2</v>
      </c>
      <c r="R2447">
        <v>-0.94441799999999998</v>
      </c>
      <c r="S2447">
        <v>1.200623</v>
      </c>
      <c r="T2447">
        <v>-0.24075479999999999</v>
      </c>
      <c r="U2447">
        <v>-2.7716980000000002</v>
      </c>
      <c r="V2447">
        <v>-0.2536542</v>
      </c>
      <c r="W2447">
        <v>4.7870290000000003E-2</v>
      </c>
      <c r="X2447">
        <v>0.96610969999999996</v>
      </c>
      <c r="Y2447">
        <v>-0.32506990000000002</v>
      </c>
      <c r="Z2447">
        <v>8.0236790000000002E-2</v>
      </c>
      <c r="AA2447">
        <v>0.94228000000000001</v>
      </c>
      <c r="AB2447">
        <v>13</v>
      </c>
      <c r="AC2447">
        <v>5.5274000000000001</v>
      </c>
      <c r="AD2447">
        <v>-1.1106222422915999</v>
      </c>
      <c r="AE2447">
        <v>-12.6562</v>
      </c>
      <c r="AF2447">
        <v>-4.5169328880248303</v>
      </c>
      <c r="AG2447">
        <v>-1.1106222422915999</v>
      </c>
      <c r="AH2447">
        <v>12.9570687055405</v>
      </c>
      <c r="AI2447">
        <v>94.627342452019803</v>
      </c>
      <c r="AJ2447">
        <v>109.218944136864</v>
      </c>
      <c r="AK2447">
        <v>13.7666914660019</v>
      </c>
      <c r="AL2447">
        <v>87.256185758974596</v>
      </c>
      <c r="AM2447">
        <v>104.711100393462</v>
      </c>
      <c r="AN2447">
        <v>0.99999998513820598</v>
      </c>
    </row>
    <row r="2448" spans="1:40" x14ac:dyDescent="0.25">
      <c r="A2448" t="str">
        <f>"20190312151316552"</f>
        <v>20190312151316552</v>
      </c>
      <c r="B2448" t="str">
        <f>"1552374796542208"</f>
        <v>1552374796542208</v>
      </c>
      <c r="C2448" t="s">
        <v>40</v>
      </c>
      <c r="D2448">
        <v>4.4167529999999999</v>
      </c>
      <c r="E2448">
        <v>0.471557</v>
      </c>
      <c r="F2448" t="s">
        <v>42</v>
      </c>
      <c r="G2448">
        <v>-490.62209999999999</v>
      </c>
      <c r="H2448" s="1">
        <v>-2.873695E-7</v>
      </c>
      <c r="I2448">
        <v>229.87309999999999</v>
      </c>
      <c r="J2448">
        <v>-496.09899999999999</v>
      </c>
      <c r="K2448">
        <v>1.1106290000000001</v>
      </c>
      <c r="L2448">
        <v>242.31229999999999</v>
      </c>
      <c r="M2448">
        <v>7.7499269999999995E-2</v>
      </c>
      <c r="N2448">
        <v>0</v>
      </c>
      <c r="O2448">
        <v>-0.99693419999999999</v>
      </c>
      <c r="P2448">
        <v>0.32819120000000002</v>
      </c>
      <c r="Q2448">
        <v>3.6688859999999997E-2</v>
      </c>
      <c r="R2448">
        <v>-0.94389880000000004</v>
      </c>
      <c r="S2448">
        <v>1.2083740000000001</v>
      </c>
      <c r="T2448">
        <v>-0.2445078</v>
      </c>
      <c r="U2448">
        <v>-2.7684479999999998</v>
      </c>
      <c r="V2448">
        <v>-0.25409959999999998</v>
      </c>
      <c r="W2448">
        <v>4.6840989999999999E-2</v>
      </c>
      <c r="X2448">
        <v>0.96604310000000004</v>
      </c>
      <c r="Y2448">
        <v>-0.32647140000000002</v>
      </c>
      <c r="Z2448">
        <v>8.1490439999999997E-2</v>
      </c>
      <c r="AA2448">
        <v>0.94168770000000002</v>
      </c>
      <c r="AB2448">
        <v>13</v>
      </c>
      <c r="AC2448">
        <v>5.4768999999999997</v>
      </c>
      <c r="AD2448">
        <v>-1.1106292873695001</v>
      </c>
      <c r="AE2448">
        <v>-12.4392</v>
      </c>
      <c r="AF2448">
        <v>-4.4665166941754801</v>
      </c>
      <c r="AG2448">
        <v>-1.1106292873695001</v>
      </c>
      <c r="AH2448">
        <v>12.7411873524907</v>
      </c>
      <c r="AI2448">
        <v>94.702582572231506</v>
      </c>
      <c r="AJ2448">
        <v>109.31848937505301</v>
      </c>
      <c r="AK2448">
        <v>13.5469968607282</v>
      </c>
      <c r="AL2448">
        <v>87.315226527629804</v>
      </c>
      <c r="AM2448">
        <v>104.736780585491</v>
      </c>
      <c r="AN2448">
        <v>0.99999997806097396</v>
      </c>
    </row>
    <row r="2449" spans="1:40" x14ac:dyDescent="0.25">
      <c r="A2449" t="str">
        <f>"20190312151316574"</f>
        <v>20190312151316574</v>
      </c>
      <c r="B2449" t="str">
        <f>"1552374796562705"</f>
        <v>1552374796562705</v>
      </c>
      <c r="C2449" t="s">
        <v>40</v>
      </c>
      <c r="D2449">
        <v>4.448118</v>
      </c>
      <c r="E2449">
        <v>0.47118399999999999</v>
      </c>
      <c r="F2449" t="s">
        <v>42</v>
      </c>
      <c r="G2449">
        <v>-490.66759999999999</v>
      </c>
      <c r="H2449" s="1">
        <v>-3.3566910000000001E-7</v>
      </c>
      <c r="I2449">
        <v>229.95750000000001</v>
      </c>
      <c r="J2449">
        <v>-496.08760000000001</v>
      </c>
      <c r="K2449">
        <v>1.1106279999999999</v>
      </c>
      <c r="L2449">
        <v>242.18469999999999</v>
      </c>
      <c r="M2449">
        <v>7.8674380000000002E-2</v>
      </c>
      <c r="N2449">
        <v>0</v>
      </c>
      <c r="O2449">
        <v>-0.99684189999999995</v>
      </c>
      <c r="P2449">
        <v>0.32971349999999999</v>
      </c>
      <c r="Q2449">
        <v>3.6247649999999999E-2</v>
      </c>
      <c r="R2449">
        <v>-0.94338520000000003</v>
      </c>
      <c r="S2449">
        <v>1.215668</v>
      </c>
      <c r="T2449">
        <v>-0.2485849</v>
      </c>
      <c r="U2449">
        <v>-2.7653050000000001</v>
      </c>
      <c r="V2449">
        <v>-0.25451780000000002</v>
      </c>
      <c r="W2449">
        <v>4.6420879999999998E-2</v>
      </c>
      <c r="X2449">
        <v>0.96595330000000001</v>
      </c>
      <c r="Y2449">
        <v>-0.32778829999999998</v>
      </c>
      <c r="Z2449">
        <v>8.2852319999999993E-2</v>
      </c>
      <c r="AA2449">
        <v>0.94111120000000004</v>
      </c>
      <c r="AB2449">
        <v>13</v>
      </c>
      <c r="AC2449">
        <v>5.4200000000000097</v>
      </c>
      <c r="AD2449">
        <v>-1.1106283356691</v>
      </c>
      <c r="AE2449">
        <v>-12.2271999999999</v>
      </c>
      <c r="AF2449">
        <v>-4.4107596261434496</v>
      </c>
      <c r="AG2449">
        <v>-1.1106283356691</v>
      </c>
      <c r="AH2449">
        <v>12.5293381040286</v>
      </c>
      <c r="AI2449">
        <v>94.779527252622998</v>
      </c>
      <c r="AJ2449">
        <v>109.393828705377</v>
      </c>
      <c r="AK2449">
        <v>13.329388924653401</v>
      </c>
      <c r="AL2449">
        <v>87.339323311342895</v>
      </c>
      <c r="AM2449">
        <v>104.76128871341901</v>
      </c>
      <c r="AN2449">
        <v>0.99999999319885202</v>
      </c>
    </row>
    <row r="2450" spans="1:40" x14ac:dyDescent="0.25">
      <c r="A2450" t="str">
        <f>"20190312151316595"</f>
        <v>20190312151316595</v>
      </c>
      <c r="B2450" t="str">
        <f>"1552374796592957"</f>
        <v>1552374796592957</v>
      </c>
      <c r="C2450" t="s">
        <v>40</v>
      </c>
      <c r="D2450">
        <v>4.4566600000000003</v>
      </c>
      <c r="E2450">
        <v>0.47069420000000001</v>
      </c>
      <c r="F2450" t="s">
        <v>42</v>
      </c>
      <c r="G2450">
        <v>-490.69260000000003</v>
      </c>
      <c r="H2450" s="1">
        <v>-3.60125E-7</v>
      </c>
      <c r="I2450">
        <v>229.999</v>
      </c>
      <c r="J2450">
        <v>-496.07600000000002</v>
      </c>
      <c r="K2450">
        <v>1.110625</v>
      </c>
      <c r="L2450">
        <v>242.05449999999999</v>
      </c>
      <c r="M2450">
        <v>7.9875130000000003E-2</v>
      </c>
      <c r="N2450">
        <v>0</v>
      </c>
      <c r="O2450">
        <v>-0.99674589999999996</v>
      </c>
      <c r="P2450">
        <v>0.33162920000000001</v>
      </c>
      <c r="Q2450">
        <v>3.5577490000000003E-2</v>
      </c>
      <c r="R2450">
        <v>-0.94273890000000005</v>
      </c>
      <c r="S2450">
        <v>1.222961</v>
      </c>
      <c r="T2450">
        <v>-0.25175999999999998</v>
      </c>
      <c r="U2450">
        <v>-2.762283</v>
      </c>
      <c r="V2450">
        <v>-0.25531389999999998</v>
      </c>
      <c r="W2450">
        <v>4.577022E-2</v>
      </c>
      <c r="X2450">
        <v>0.96577420000000003</v>
      </c>
      <c r="Y2450">
        <v>-0.32907350000000002</v>
      </c>
      <c r="Z2450">
        <v>8.3912039999999993E-2</v>
      </c>
      <c r="AA2450">
        <v>0.94056859999999998</v>
      </c>
      <c r="AB2450">
        <v>13</v>
      </c>
      <c r="AC2450">
        <v>5.3833999999999298</v>
      </c>
      <c r="AD2450">
        <v>-1.110625360125</v>
      </c>
      <c r="AE2450">
        <v>-12.055499999999901</v>
      </c>
      <c r="AF2450">
        <v>-4.3722672394434703</v>
      </c>
      <c r="AG2450">
        <v>-1.110625360125</v>
      </c>
      <c r="AH2450">
        <v>12.3595435928915</v>
      </c>
      <c r="AI2450">
        <v>94.842259979347702</v>
      </c>
      <c r="AJ2450">
        <v>109.481557479511</v>
      </c>
      <c r="AK2450">
        <v>13.157071381133701</v>
      </c>
      <c r="AL2450">
        <v>87.3766429481459</v>
      </c>
      <c r="AM2450">
        <v>104.808060076743</v>
      </c>
      <c r="AN2450">
        <v>0.99999995297884803</v>
      </c>
    </row>
    <row r="2451" spans="1:40" x14ac:dyDescent="0.25">
      <c r="A2451" t="str">
        <f>"20190312151316621"</f>
        <v>20190312151316621</v>
      </c>
      <c r="B2451" t="str">
        <f>"1552374796612477"</f>
        <v>1552374796612477</v>
      </c>
      <c r="C2451" t="s">
        <v>40</v>
      </c>
      <c r="D2451">
        <v>4.4511799999999999</v>
      </c>
      <c r="E2451">
        <v>0.47033459999999999</v>
      </c>
      <c r="F2451" t="s">
        <v>42</v>
      </c>
      <c r="G2451">
        <v>-490.7439</v>
      </c>
      <c r="H2451" s="1">
        <v>-4.2441259999999998E-7</v>
      </c>
      <c r="I2451">
        <v>230.11709999999999</v>
      </c>
      <c r="J2451">
        <v>-496.0625</v>
      </c>
      <c r="K2451">
        <v>1.1106259999999999</v>
      </c>
      <c r="L2451">
        <v>241.90690000000001</v>
      </c>
      <c r="M2451">
        <v>8.1236710000000004E-2</v>
      </c>
      <c r="N2451">
        <v>0</v>
      </c>
      <c r="O2451">
        <v>-0.99663559999999995</v>
      </c>
      <c r="P2451">
        <v>0.3336692</v>
      </c>
      <c r="Q2451">
        <v>3.5496460000000001E-2</v>
      </c>
      <c r="R2451">
        <v>-0.94202149999999996</v>
      </c>
      <c r="S2451">
        <v>1.2321169999999999</v>
      </c>
      <c r="T2451">
        <v>-0.25663910000000001</v>
      </c>
      <c r="U2451">
        <v>-2.7584689999999998</v>
      </c>
      <c r="V2451">
        <v>-0.2560846</v>
      </c>
      <c r="W2451">
        <v>4.5710199999999999E-2</v>
      </c>
      <c r="X2451">
        <v>0.96557300000000001</v>
      </c>
      <c r="Y2451">
        <v>-0.33081450000000001</v>
      </c>
      <c r="Z2451">
        <v>8.5537050000000003E-2</v>
      </c>
      <c r="AA2451">
        <v>0.93981119999999996</v>
      </c>
      <c r="AB2451">
        <v>13</v>
      </c>
      <c r="AC2451">
        <v>5.3186</v>
      </c>
      <c r="AD2451">
        <v>-1.1106264244126001</v>
      </c>
      <c r="AE2451">
        <v>-11.7898</v>
      </c>
      <c r="AF2451">
        <v>-4.3114077683529004</v>
      </c>
      <c r="AG2451">
        <v>-1.1106264244126001</v>
      </c>
      <c r="AH2451">
        <v>12.0937459295526</v>
      </c>
      <c r="AI2451">
        <v>94.943909115767994</v>
      </c>
      <c r="AJ2451">
        <v>109.62109784020601</v>
      </c>
      <c r="AK2451">
        <v>12.887219196094501</v>
      </c>
      <c r="AL2451">
        <v>87.380085518885295</v>
      </c>
      <c r="AM2451">
        <v>104.85374542112299</v>
      </c>
      <c r="AN2451">
        <v>0.99999998153509895</v>
      </c>
    </row>
    <row r="2452" spans="1:40" x14ac:dyDescent="0.25">
      <c r="A2452" t="str">
        <f>"20190312151316643"</f>
        <v>20190312151316643</v>
      </c>
      <c r="B2452" t="str">
        <f>"1552374796632973"</f>
        <v>1552374796632973</v>
      </c>
      <c r="C2452" t="s">
        <v>40</v>
      </c>
      <c r="D2452">
        <v>4.4644490000000001</v>
      </c>
      <c r="E2452">
        <v>0.47001280000000001</v>
      </c>
      <c r="F2452" t="s">
        <v>42</v>
      </c>
      <c r="G2452">
        <v>-490.74169999999998</v>
      </c>
      <c r="H2452" s="1">
        <v>-4.1202509999999998E-7</v>
      </c>
      <c r="I2452">
        <v>230.08949999999999</v>
      </c>
      <c r="J2452">
        <v>-496.05</v>
      </c>
      <c r="K2452">
        <v>1.1106180000000001</v>
      </c>
      <c r="L2452">
        <v>241.7723</v>
      </c>
      <c r="M2452">
        <v>8.2474909999999999E-2</v>
      </c>
      <c r="N2452">
        <v>0</v>
      </c>
      <c r="O2452">
        <v>-0.99653389999999997</v>
      </c>
      <c r="P2452">
        <v>0.33567069999999999</v>
      </c>
      <c r="Q2452">
        <v>3.6023390000000002E-2</v>
      </c>
      <c r="R2452">
        <v>-0.94129059999999998</v>
      </c>
      <c r="S2452">
        <v>1.240448</v>
      </c>
      <c r="T2452">
        <v>-0.25892280000000001</v>
      </c>
      <c r="U2452">
        <v>-2.75502</v>
      </c>
      <c r="V2452">
        <v>-0.25693899999999997</v>
      </c>
      <c r="W2452">
        <v>4.625369E-2</v>
      </c>
      <c r="X2452">
        <v>0.96532010000000001</v>
      </c>
      <c r="Y2452">
        <v>-0.33241880000000001</v>
      </c>
      <c r="Z2452">
        <v>8.6300859999999993E-2</v>
      </c>
      <c r="AA2452">
        <v>0.93917510000000004</v>
      </c>
      <c r="AB2452">
        <v>13</v>
      </c>
      <c r="AC2452">
        <v>5.3083000000000302</v>
      </c>
      <c r="AD2452">
        <v>-1.1106184120250999</v>
      </c>
      <c r="AE2452">
        <v>-11.6828</v>
      </c>
      <c r="AF2452">
        <v>-4.2944497510333601</v>
      </c>
      <c r="AG2452">
        <v>-1.1106184120250999</v>
      </c>
      <c r="AH2452">
        <v>11.990999301407699</v>
      </c>
      <c r="AI2452">
        <v>94.983445228269403</v>
      </c>
      <c r="AJ2452">
        <v>109.704448680414</v>
      </c>
      <c r="AK2452">
        <v>12.785141225956</v>
      </c>
      <c r="AL2452">
        <v>87.348912843858798</v>
      </c>
      <c r="AM2452">
        <v>104.904832332501</v>
      </c>
      <c r="AN2452">
        <v>0.999999974511812</v>
      </c>
    </row>
    <row r="2453" spans="1:40" x14ac:dyDescent="0.25">
      <c r="A2453" t="str">
        <f>"20190312151316665"</f>
        <v>20190312151316665</v>
      </c>
      <c r="B2453" t="str">
        <f>"1552374796652493"</f>
        <v>1552374796652493</v>
      </c>
      <c r="C2453" t="s">
        <v>40</v>
      </c>
      <c r="D2453">
        <v>4.493817</v>
      </c>
      <c r="E2453">
        <v>0.46972190000000003</v>
      </c>
      <c r="F2453" t="s">
        <v>42</v>
      </c>
      <c r="G2453">
        <v>-490.68869999999998</v>
      </c>
      <c r="H2453" s="1">
        <v>-3.4116459999999998E-7</v>
      </c>
      <c r="I2453">
        <v>229.9572</v>
      </c>
      <c r="J2453">
        <v>-496.03829999999999</v>
      </c>
      <c r="K2453">
        <v>1.110616</v>
      </c>
      <c r="L2453">
        <v>241.64789999999999</v>
      </c>
      <c r="M2453">
        <v>8.3615640000000005E-2</v>
      </c>
      <c r="N2453">
        <v>0</v>
      </c>
      <c r="O2453">
        <v>-0.99643879999999996</v>
      </c>
      <c r="P2453">
        <v>0.33780729999999998</v>
      </c>
      <c r="Q2453">
        <v>3.6154909999999998E-2</v>
      </c>
      <c r="R2453">
        <v>-0.9405211</v>
      </c>
      <c r="S2453">
        <v>1.2486569999999999</v>
      </c>
      <c r="T2453">
        <v>-0.25866339999999999</v>
      </c>
      <c r="U2453">
        <v>-2.7517399999999999</v>
      </c>
      <c r="V2453">
        <v>-0.25802659999999999</v>
      </c>
      <c r="W2453">
        <v>4.6397069999999999E-2</v>
      </c>
      <c r="X2453">
        <v>0.96502310000000002</v>
      </c>
      <c r="Y2453">
        <v>-0.33408739999999998</v>
      </c>
      <c r="Z2453">
        <v>8.6219030000000002E-2</v>
      </c>
      <c r="AA2453">
        <v>0.93859040000000005</v>
      </c>
      <c r="AB2453">
        <v>13</v>
      </c>
      <c r="AC2453">
        <v>5.3495999999999997</v>
      </c>
      <c r="AD2453">
        <v>-1.1106163411646</v>
      </c>
      <c r="AE2453">
        <v>-11.6906999999999</v>
      </c>
      <c r="AF2453">
        <v>-4.3210354189225297</v>
      </c>
      <c r="AG2453">
        <v>-1.1106163411646</v>
      </c>
      <c r="AH2453">
        <v>12.0074869982981</v>
      </c>
      <c r="AI2453">
        <v>94.9739161309206</v>
      </c>
      <c r="AJ2453">
        <v>109.791864272271</v>
      </c>
      <c r="AK2453">
        <v>12.809549553483199</v>
      </c>
      <c r="AL2453">
        <v>87.340689010721505</v>
      </c>
      <c r="AM2453">
        <v>104.969497228935</v>
      </c>
      <c r="AN2453">
        <v>0.99999999897287695</v>
      </c>
    </row>
    <row r="2454" spans="1:40" x14ac:dyDescent="0.25">
      <c r="A2454" t="str">
        <f>"20190312151316686"</f>
        <v>20190312151316686</v>
      </c>
      <c r="B2454" t="str">
        <f>"1552374796682749"</f>
        <v>1552374796682749</v>
      </c>
      <c r="C2454" t="s">
        <v>40</v>
      </c>
      <c r="D2454">
        <v>4.5101699999999996</v>
      </c>
      <c r="E2454">
        <v>0.46932040000000003</v>
      </c>
      <c r="F2454" t="s">
        <v>42</v>
      </c>
      <c r="G2454">
        <v>-490.67500000000001</v>
      </c>
      <c r="H2454" s="1">
        <v>-3.2411849999999998E-7</v>
      </c>
      <c r="I2454">
        <v>229.92599999999999</v>
      </c>
      <c r="J2454">
        <v>-496.0258</v>
      </c>
      <c r="K2454">
        <v>1.1106240000000001</v>
      </c>
      <c r="L2454">
        <v>241.51689999999999</v>
      </c>
      <c r="M2454">
        <v>8.4812040000000005E-2</v>
      </c>
      <c r="N2454">
        <v>0</v>
      </c>
      <c r="O2454">
        <v>-0.99633740000000004</v>
      </c>
      <c r="P2454">
        <v>0.33984520000000001</v>
      </c>
      <c r="Q2454">
        <v>3.6527650000000002E-2</v>
      </c>
      <c r="R2454">
        <v>-0.93977219999999995</v>
      </c>
      <c r="S2454">
        <v>1.257385</v>
      </c>
      <c r="T2454">
        <v>-0.26037559999999998</v>
      </c>
      <c r="U2454">
        <v>-2.7481230000000001</v>
      </c>
      <c r="V2454">
        <v>-0.25896059999999999</v>
      </c>
      <c r="W2454">
        <v>4.6779550000000003E-2</v>
      </c>
      <c r="X2454">
        <v>0.96475440000000001</v>
      </c>
      <c r="Y2454">
        <v>-0.33586759999999999</v>
      </c>
      <c r="Z2454">
        <v>8.679241E-2</v>
      </c>
      <c r="AA2454">
        <v>0.93790189999999996</v>
      </c>
      <c r="AB2454">
        <v>13</v>
      </c>
      <c r="AC2454">
        <v>5.3507999999999898</v>
      </c>
      <c r="AD2454">
        <v>-1.1106243241185001</v>
      </c>
      <c r="AE2454">
        <v>-11.5909</v>
      </c>
      <c r="AF2454">
        <v>-4.3157493686285502</v>
      </c>
      <c r="AG2454">
        <v>-1.1106243241185001</v>
      </c>
      <c r="AH2454">
        <v>11.9128117749346</v>
      </c>
      <c r="AI2454">
        <v>95.009432674609798</v>
      </c>
      <c r="AJ2454">
        <v>109.914336423808</v>
      </c>
      <c r="AK2454">
        <v>12.7190511983859</v>
      </c>
      <c r="AL2454">
        <v>87.318750663462396</v>
      </c>
      <c r="AM2454">
        <v>105.025233125472</v>
      </c>
      <c r="AN2454">
        <v>0.99999998548496105</v>
      </c>
    </row>
    <row r="2455" spans="1:40" x14ac:dyDescent="0.25">
      <c r="A2455" t="str">
        <f>"20190312151316710"</f>
        <v>20190312151316710</v>
      </c>
      <c r="B2455" t="str">
        <f>"1552374796702269"</f>
        <v>1552374796702269</v>
      </c>
      <c r="C2455" t="s">
        <v>40</v>
      </c>
      <c r="D2455">
        <v>4.7984869999999997</v>
      </c>
      <c r="E2455">
        <v>0.46956750000000003</v>
      </c>
      <c r="F2455" t="s">
        <v>42</v>
      </c>
      <c r="G2455">
        <v>-490.64800000000002</v>
      </c>
      <c r="H2455" s="1">
        <v>-2.9090269999999999E-7</v>
      </c>
      <c r="I2455">
        <v>229.86529999999999</v>
      </c>
      <c r="J2455">
        <v>-496.01249999999999</v>
      </c>
      <c r="K2455">
        <v>1.1106229999999999</v>
      </c>
      <c r="L2455">
        <v>241.3785</v>
      </c>
      <c r="M2455">
        <v>8.6071770000000006E-2</v>
      </c>
      <c r="N2455">
        <v>0</v>
      </c>
      <c r="O2455">
        <v>-0.99622949999999999</v>
      </c>
      <c r="P2455">
        <v>0.34196029999999999</v>
      </c>
      <c r="Q2455">
        <v>3.6512879999999998E-2</v>
      </c>
      <c r="R2455">
        <v>-0.93900539999999999</v>
      </c>
      <c r="S2455">
        <v>1.2666630000000001</v>
      </c>
      <c r="T2455">
        <v>-0.26158989999999999</v>
      </c>
      <c r="U2455">
        <v>-2.744354</v>
      </c>
      <c r="V2455">
        <v>-0.25991320000000001</v>
      </c>
      <c r="W2455">
        <v>4.6773349999999998E-2</v>
      </c>
      <c r="X2455">
        <v>0.96449850000000004</v>
      </c>
      <c r="Y2455">
        <v>-0.33776620000000002</v>
      </c>
      <c r="Z2455">
        <v>8.7198609999999996E-2</v>
      </c>
      <c r="AA2455">
        <v>0.93718219999999997</v>
      </c>
      <c r="AB2455">
        <v>13</v>
      </c>
      <c r="AC2455">
        <v>5.3644999999999596</v>
      </c>
      <c r="AD2455">
        <v>-1.1106232909026901</v>
      </c>
      <c r="AE2455">
        <v>-11.513199999999999</v>
      </c>
      <c r="AF2455">
        <v>-4.32053618520181</v>
      </c>
      <c r="AG2455">
        <v>-1.1106232909026901</v>
      </c>
      <c r="AH2455">
        <v>11.841690758714201</v>
      </c>
      <c r="AI2455">
        <v>95.035208129136194</v>
      </c>
      <c r="AJ2455">
        <v>110.044904776956</v>
      </c>
      <c r="AK2455">
        <v>12.6540964532025</v>
      </c>
      <c r="AL2455">
        <v>87.319106291047802</v>
      </c>
      <c r="AM2455">
        <v>105.081810062448</v>
      </c>
      <c r="AN2455">
        <v>0.99999998715335603</v>
      </c>
    </row>
    <row r="2456" spans="1:40" x14ac:dyDescent="0.25">
      <c r="A2456" t="str">
        <f>"20190312151316731"</f>
        <v>20190312151316731</v>
      </c>
      <c r="B2456" t="str">
        <f>"1552374796722765"</f>
        <v>1552374796722765</v>
      </c>
      <c r="C2456" t="s">
        <v>40</v>
      </c>
      <c r="D2456">
        <v>4.4858200000000004</v>
      </c>
      <c r="E2456">
        <v>0.47003499999999998</v>
      </c>
      <c r="F2456" t="s">
        <v>42</v>
      </c>
      <c r="G2456">
        <v>-490.62389999999999</v>
      </c>
      <c r="H2456" s="1">
        <v>-2.3434949999999999E-7</v>
      </c>
      <c r="I2456">
        <v>229.7484</v>
      </c>
      <c r="J2456">
        <v>-496.00020000000001</v>
      </c>
      <c r="K2456">
        <v>1.1106259999999999</v>
      </c>
      <c r="L2456">
        <v>241.2518</v>
      </c>
      <c r="M2456">
        <v>8.7222190000000005E-2</v>
      </c>
      <c r="N2456">
        <v>0</v>
      </c>
      <c r="O2456">
        <v>-0.99612900000000004</v>
      </c>
      <c r="P2456">
        <v>0.34379150000000003</v>
      </c>
      <c r="Q2456">
        <v>3.6303639999999998E-2</v>
      </c>
      <c r="R2456">
        <v>-0.93834399999999996</v>
      </c>
      <c r="S2456">
        <v>1.2706299999999999</v>
      </c>
      <c r="T2456">
        <v>-0.26188489999999998</v>
      </c>
      <c r="U2456">
        <v>-2.7423709999999999</v>
      </c>
      <c r="V2456">
        <v>-0.260681</v>
      </c>
      <c r="W2456">
        <v>4.6569970000000002E-2</v>
      </c>
      <c r="X2456">
        <v>0.96430110000000002</v>
      </c>
      <c r="Y2456">
        <v>-0.33805049999999998</v>
      </c>
      <c r="Z2456">
        <v>8.7310020000000002E-2</v>
      </c>
      <c r="AA2456">
        <v>0.93706929999999999</v>
      </c>
      <c r="AB2456">
        <v>13</v>
      </c>
      <c r="AC2456">
        <v>5.3763000000000103</v>
      </c>
      <c r="AD2456">
        <v>-1.1106262343494999</v>
      </c>
      <c r="AE2456">
        <v>-11.503399999999999</v>
      </c>
      <c r="AF2456">
        <v>-4.3193516044376299</v>
      </c>
      <c r="AG2456">
        <v>-1.1106262343494999</v>
      </c>
      <c r="AH2456">
        <v>11.837949891819701</v>
      </c>
      <c r="AI2456">
        <v>95.036779807929307</v>
      </c>
      <c r="AJ2456">
        <v>110.04567492541101</v>
      </c>
      <c r="AK2456">
        <v>12.6501915620444</v>
      </c>
      <c r="AL2456">
        <v>87.330771796287493</v>
      </c>
      <c r="AM2456">
        <v>105.127278706084</v>
      </c>
      <c r="AN2456">
        <v>0.99999997866400503</v>
      </c>
    </row>
    <row r="2457" spans="1:40" x14ac:dyDescent="0.25">
      <c r="A2457" t="str">
        <f>"20190312151316753"</f>
        <v>20190312151316753</v>
      </c>
      <c r="B2457" t="str">
        <f>"1552374796742289"</f>
        <v>1552374796742289</v>
      </c>
      <c r="C2457" t="s">
        <v>40</v>
      </c>
      <c r="D2457">
        <v>4.4738550000000004</v>
      </c>
      <c r="E2457">
        <v>0.47036919999999999</v>
      </c>
      <c r="F2457" t="s">
        <v>42</v>
      </c>
      <c r="G2457">
        <v>-490.66849999999999</v>
      </c>
      <c r="H2457" s="1">
        <v>-2.5022560000000001E-7</v>
      </c>
      <c r="I2457">
        <v>229.7578</v>
      </c>
      <c r="J2457">
        <v>-495.98700000000002</v>
      </c>
      <c r="K2457">
        <v>1.1106210000000001</v>
      </c>
      <c r="L2457">
        <v>241.1174</v>
      </c>
      <c r="M2457">
        <v>8.844204E-2</v>
      </c>
      <c r="N2457">
        <v>0</v>
      </c>
      <c r="O2457">
        <v>-0.9960213</v>
      </c>
      <c r="P2457">
        <v>0.34602129999999998</v>
      </c>
      <c r="Q2457">
        <v>3.600225E-2</v>
      </c>
      <c r="R2457">
        <v>-0.93753569999999997</v>
      </c>
      <c r="S2457">
        <v>1.2716670000000001</v>
      </c>
      <c r="T2457">
        <v>-0.2648914</v>
      </c>
      <c r="U2457">
        <v>-2.7413940000000001</v>
      </c>
      <c r="V2457">
        <v>-0.2617912</v>
      </c>
      <c r="W2457">
        <v>4.6272269999999997E-2</v>
      </c>
      <c r="X2457">
        <v>0.96401460000000005</v>
      </c>
      <c r="Y2457">
        <v>-0.33728010000000003</v>
      </c>
      <c r="Z2457">
        <v>8.8323830000000006E-2</v>
      </c>
      <c r="AA2457">
        <v>0.93725190000000003</v>
      </c>
      <c r="AB2457">
        <v>13</v>
      </c>
      <c r="AC2457">
        <v>5.31849999999997</v>
      </c>
      <c r="AD2457">
        <v>-1.1106212502256001</v>
      </c>
      <c r="AE2457">
        <v>-11.3596</v>
      </c>
      <c r="AF2457">
        <v>-4.2595340308174698</v>
      </c>
      <c r="AG2457">
        <v>-1.1106212502256001</v>
      </c>
      <c r="AH2457">
        <v>11.693805072752999</v>
      </c>
      <c r="AI2457">
        <v>95.099526304844204</v>
      </c>
      <c r="AJ2457">
        <v>110.014436518251</v>
      </c>
      <c r="AK2457">
        <v>12.4948864260821</v>
      </c>
      <c r="AL2457">
        <v>87.347847087960503</v>
      </c>
      <c r="AM2457">
        <v>105.193038550564</v>
      </c>
      <c r="AN2457">
        <v>0.99999995219077498</v>
      </c>
    </row>
    <row r="2458" spans="1:40" x14ac:dyDescent="0.25">
      <c r="A2458" t="str">
        <f>"20190312151316790"</f>
        <v>20190312151316790</v>
      </c>
      <c r="B2458" t="str">
        <f>"1552374796782301"</f>
        <v>1552374796782301</v>
      </c>
      <c r="C2458" t="s">
        <v>40</v>
      </c>
      <c r="D2458">
        <v>4.4280309999999998</v>
      </c>
      <c r="E2458">
        <v>0.47111819999999999</v>
      </c>
      <c r="F2458" t="s">
        <v>42</v>
      </c>
      <c r="G2458">
        <v>-490.7045</v>
      </c>
      <c r="H2458" s="1">
        <v>-2.6713370000000001E-7</v>
      </c>
      <c r="I2458">
        <v>229.7748</v>
      </c>
      <c r="J2458">
        <v>-495.96559999999999</v>
      </c>
      <c r="K2458">
        <v>1.110611</v>
      </c>
      <c r="L2458">
        <v>240.904</v>
      </c>
      <c r="M2458">
        <v>9.0383950000000005E-2</v>
      </c>
      <c r="N2458">
        <v>0</v>
      </c>
      <c r="O2458">
        <v>-0.99584720000000004</v>
      </c>
      <c r="P2458">
        <v>0.34974529999999998</v>
      </c>
      <c r="Q2458">
        <v>3.4562490000000001E-2</v>
      </c>
      <c r="R2458">
        <v>-0.93620769999999998</v>
      </c>
      <c r="S2458">
        <v>1.275757</v>
      </c>
      <c r="T2458">
        <v>-0.26822210000000002</v>
      </c>
      <c r="U2458">
        <v>-2.7393040000000002</v>
      </c>
      <c r="V2458">
        <v>-0.26373819999999998</v>
      </c>
      <c r="W2458">
        <v>4.4835609999999998E-2</v>
      </c>
      <c r="X2458">
        <v>0.96355179999999996</v>
      </c>
      <c r="Y2458">
        <v>-0.33682699999999999</v>
      </c>
      <c r="Z2458">
        <v>8.9443519999999999E-2</v>
      </c>
      <c r="AA2458">
        <v>0.93730860000000005</v>
      </c>
      <c r="AB2458">
        <v>13</v>
      </c>
      <c r="AC2458">
        <v>5.2610999999999901</v>
      </c>
      <c r="AD2458">
        <v>-1.1106112671337001</v>
      </c>
      <c r="AE2458">
        <v>-11.129200000000001</v>
      </c>
      <c r="AF2458">
        <v>-4.1994212446442001</v>
      </c>
      <c r="AG2458">
        <v>-1.1106112671337001</v>
      </c>
      <c r="AH2458">
        <v>11.465862730947</v>
      </c>
      <c r="AI2458">
        <v>95.196978284782404</v>
      </c>
      <c r="AJ2458">
        <v>110.11547258318799</v>
      </c>
      <c r="AK2458">
        <v>12.261101269526</v>
      </c>
      <c r="AL2458">
        <v>87.430247499475996</v>
      </c>
      <c r="AM2458">
        <v>105.307759065992</v>
      </c>
      <c r="AN2458">
        <v>1.0000000706732699</v>
      </c>
    </row>
    <row r="2459" spans="1:40" x14ac:dyDescent="0.25">
      <c r="A2459" t="str">
        <f>"20190312151316811"</f>
        <v>20190312151316811</v>
      </c>
      <c r="B2459" t="str">
        <f>"1552374796802797"</f>
        <v>1552374796802797</v>
      </c>
      <c r="C2459" t="s">
        <v>40</v>
      </c>
      <c r="D2459">
        <v>4.5428889999999997</v>
      </c>
      <c r="E2459">
        <v>0.47143770000000002</v>
      </c>
      <c r="F2459" t="s">
        <v>42</v>
      </c>
      <c r="G2459">
        <v>-490.8313</v>
      </c>
      <c r="H2459" s="1">
        <v>-3.6814730000000002E-7</v>
      </c>
      <c r="I2459">
        <v>229.93170000000001</v>
      </c>
      <c r="J2459">
        <v>-495.95240000000001</v>
      </c>
      <c r="K2459">
        <v>1.110614</v>
      </c>
      <c r="L2459">
        <v>240.77440000000001</v>
      </c>
      <c r="M2459">
        <v>9.1574439999999993E-2</v>
      </c>
      <c r="N2459">
        <v>0</v>
      </c>
      <c r="O2459">
        <v>-0.99573809999999996</v>
      </c>
      <c r="P2459">
        <v>0.35192370000000001</v>
      </c>
      <c r="Q2459">
        <v>3.3682070000000001E-2</v>
      </c>
      <c r="R2459">
        <v>-0.93542250000000005</v>
      </c>
      <c r="S2459">
        <v>1.2804260000000001</v>
      </c>
      <c r="T2459">
        <v>-0.27696880000000001</v>
      </c>
      <c r="U2459">
        <v>-2.7363279999999999</v>
      </c>
      <c r="V2459">
        <v>-0.2648258</v>
      </c>
      <c r="W2459">
        <v>4.3954340000000001E-2</v>
      </c>
      <c r="X2459">
        <v>0.96329399999999998</v>
      </c>
      <c r="Y2459">
        <v>-0.33729179999999997</v>
      </c>
      <c r="Z2459">
        <v>9.2369670000000001E-2</v>
      </c>
      <c r="AA2459">
        <v>0.93685759999999996</v>
      </c>
      <c r="AB2459">
        <v>13</v>
      </c>
      <c r="AC2459">
        <v>5.12110000000001</v>
      </c>
      <c r="AD2459">
        <v>-1.1106143681473</v>
      </c>
      <c r="AE2459">
        <v>-10.842700000000001</v>
      </c>
      <c r="AF2459">
        <v>-4.0716782548708199</v>
      </c>
      <c r="AG2459">
        <v>-1.1106143681473</v>
      </c>
      <c r="AH2459">
        <v>11.1703043739408</v>
      </c>
      <c r="AI2459">
        <v>95.336702460384501</v>
      </c>
      <c r="AJ2459">
        <v>110.02726134370999</v>
      </c>
      <c r="AK2459">
        <v>11.941010338007599</v>
      </c>
      <c r="AL2459">
        <v>87.480790227080007</v>
      </c>
      <c r="AM2459">
        <v>105.37182461649201</v>
      </c>
      <c r="AN2459">
        <v>1.00000000939323</v>
      </c>
    </row>
    <row r="2460" spans="1:40" x14ac:dyDescent="0.25">
      <c r="A2460" t="str">
        <f>"20190312151316854"</f>
        <v>20190312151316854</v>
      </c>
      <c r="B2460" t="str">
        <f>"1552374796842813"</f>
        <v>1552374796842813</v>
      </c>
      <c r="C2460" t="s">
        <v>40</v>
      </c>
      <c r="D2460">
        <v>4.7166769999999998</v>
      </c>
      <c r="E2460">
        <v>0.47211999999999998</v>
      </c>
      <c r="F2460" t="s">
        <v>42</v>
      </c>
      <c r="G2460">
        <v>-490.86450000000002</v>
      </c>
      <c r="H2460" s="1">
        <v>-3.8366409999999903E-7</v>
      </c>
      <c r="I2460">
        <v>229.94720000000001</v>
      </c>
      <c r="J2460">
        <v>-495.92540000000002</v>
      </c>
      <c r="K2460">
        <v>1.1106510000000001</v>
      </c>
      <c r="L2460">
        <v>240.5137</v>
      </c>
      <c r="M2460">
        <v>9.4024300000000005E-2</v>
      </c>
      <c r="N2460">
        <v>0</v>
      </c>
      <c r="O2460">
        <v>-0.99550970000000005</v>
      </c>
      <c r="P2460">
        <v>0.35552539999999999</v>
      </c>
      <c r="Q2460">
        <v>3.3113759999999999E-2</v>
      </c>
      <c r="R2460">
        <v>-0.93408020000000003</v>
      </c>
      <c r="S2460">
        <v>1.284729</v>
      </c>
      <c r="T2460">
        <v>-0.2804372</v>
      </c>
      <c r="U2460">
        <v>-2.7339169999999999</v>
      </c>
      <c r="V2460">
        <v>-0.26616800000000002</v>
      </c>
      <c r="W2460">
        <v>4.3380299999999997E-2</v>
      </c>
      <c r="X2460">
        <v>0.96295010000000003</v>
      </c>
      <c r="Y2460">
        <v>-0.33645589999999997</v>
      </c>
      <c r="Z2460">
        <v>9.3542070000000005E-2</v>
      </c>
      <c r="AA2460">
        <v>0.93704180000000004</v>
      </c>
      <c r="AB2460">
        <v>14</v>
      </c>
      <c r="AC2460">
        <v>5.0609000000000002</v>
      </c>
      <c r="AD2460">
        <v>-1.1106513836641001</v>
      </c>
      <c r="AE2460">
        <v>-10.5664999999999</v>
      </c>
      <c r="AF2460">
        <v>-4.00888309722757</v>
      </c>
      <c r="AG2460">
        <v>-1.1106513836641001</v>
      </c>
      <c r="AH2460">
        <v>10.8976262021732</v>
      </c>
      <c r="AI2460">
        <v>95.463725461577894</v>
      </c>
      <c r="AJ2460">
        <v>110.19693139826499</v>
      </c>
      <c r="AK2460">
        <v>11.664602308932899</v>
      </c>
      <c r="AL2460">
        <v>87.513711862278399</v>
      </c>
      <c r="AM2460">
        <v>105.45127388684</v>
      </c>
      <c r="AN2460">
        <v>1.00000007487104</v>
      </c>
    </row>
    <row r="2461" spans="1:40" x14ac:dyDescent="0.25">
      <c r="A2461" t="str">
        <f>"20190312151316876"</f>
        <v>20190312151316876</v>
      </c>
      <c r="B2461" t="str">
        <f>"1552374796873069"</f>
        <v>1552374796873069</v>
      </c>
      <c r="C2461" t="s">
        <v>40</v>
      </c>
      <c r="D2461">
        <v>4.5416999999999996</v>
      </c>
      <c r="E2461">
        <v>0.4725821</v>
      </c>
      <c r="F2461" t="s">
        <v>42</v>
      </c>
      <c r="G2461">
        <v>-490.88010000000003</v>
      </c>
      <c r="H2461" s="1">
        <v>-3.3846830000000001E-7</v>
      </c>
      <c r="I2461">
        <v>229.8322</v>
      </c>
      <c r="J2461">
        <v>-495.91109999999998</v>
      </c>
      <c r="K2461">
        <v>1.1106910000000001</v>
      </c>
      <c r="L2461">
        <v>240.37860000000001</v>
      </c>
      <c r="M2461">
        <v>9.5349020000000007E-2</v>
      </c>
      <c r="N2461">
        <v>0</v>
      </c>
      <c r="O2461">
        <v>-0.99538329999999997</v>
      </c>
      <c r="P2461">
        <v>0.35735420000000001</v>
      </c>
      <c r="Q2461">
        <v>3.3854339999999997E-2</v>
      </c>
      <c r="R2461">
        <v>-0.9333555</v>
      </c>
      <c r="S2461">
        <v>1.2898860000000001</v>
      </c>
      <c r="T2461">
        <v>-0.28395239999999999</v>
      </c>
      <c r="U2461">
        <v>-2.7308500000000002</v>
      </c>
      <c r="V2461">
        <v>-0.26677869999999998</v>
      </c>
      <c r="W2461">
        <v>4.4115830000000002E-2</v>
      </c>
      <c r="X2461">
        <v>0.96274760000000004</v>
      </c>
      <c r="Y2461">
        <v>-0.33700819999999998</v>
      </c>
      <c r="Z2461">
        <v>9.4734910000000006E-2</v>
      </c>
      <c r="AA2461">
        <v>0.93672339999999998</v>
      </c>
      <c r="AB2461">
        <v>14</v>
      </c>
      <c r="AC2461">
        <v>5.0309999999999402</v>
      </c>
      <c r="AD2461">
        <v>-1.1106913384682999</v>
      </c>
      <c r="AE2461">
        <v>-10.5464</v>
      </c>
      <c r="AF2461">
        <v>-3.9665872698738101</v>
      </c>
      <c r="AG2461">
        <v>-1.1106913384682999</v>
      </c>
      <c r="AH2461">
        <v>10.8797733781928</v>
      </c>
      <c r="AI2461">
        <v>95.478603599864002</v>
      </c>
      <c r="AJ2461">
        <v>110.031027675419</v>
      </c>
      <c r="AK2461">
        <v>11.633439671039101</v>
      </c>
      <c r="AL2461">
        <v>87.471528552500502</v>
      </c>
      <c r="AM2461">
        <v>105.488126746826</v>
      </c>
      <c r="AN2461">
        <v>1.0000000112680101</v>
      </c>
    </row>
    <row r="2462" spans="1:40" x14ac:dyDescent="0.25">
      <c r="A2462" t="str">
        <f>"20190312151316898"</f>
        <v>20190312151316898</v>
      </c>
      <c r="B2462" t="str">
        <f>"1552374796892178"</f>
        <v>1552374796892178</v>
      </c>
      <c r="C2462" t="s">
        <v>40</v>
      </c>
      <c r="D2462">
        <v>4.6032609999999998</v>
      </c>
      <c r="E2462">
        <v>0.47288550000000001</v>
      </c>
      <c r="F2462" t="s">
        <v>53</v>
      </c>
      <c r="G2462">
        <v>-490.80239999999998</v>
      </c>
      <c r="H2462" s="1">
        <v>6.4005279999999999E-6</v>
      </c>
      <c r="I2462">
        <v>229.58199999999999</v>
      </c>
      <c r="J2462">
        <v>-495.8972</v>
      </c>
      <c r="K2462">
        <v>1.1107320000000001</v>
      </c>
      <c r="L2462">
        <v>240.2499</v>
      </c>
      <c r="M2462">
        <v>9.6664280000000005E-2</v>
      </c>
      <c r="N2462">
        <v>0</v>
      </c>
      <c r="O2462">
        <v>-0.99525620000000004</v>
      </c>
      <c r="P2462">
        <v>0.35888900000000001</v>
      </c>
      <c r="Q2462">
        <v>3.4430250000000003E-2</v>
      </c>
      <c r="R2462">
        <v>-0.93274520000000005</v>
      </c>
      <c r="S2462">
        <v>1.291687</v>
      </c>
      <c r="T2462">
        <v>-0.28082590000000002</v>
      </c>
      <c r="U2462">
        <v>-2.7298279999999999</v>
      </c>
      <c r="V2462">
        <v>-0.26709699999999997</v>
      </c>
      <c r="W2462">
        <v>4.468366E-2</v>
      </c>
      <c r="X2462">
        <v>0.96263310000000002</v>
      </c>
      <c r="Y2462">
        <v>-0.33644659999999998</v>
      </c>
      <c r="Z2462">
        <v>9.3712180000000006E-2</v>
      </c>
      <c r="AA2462">
        <v>0.93702819999999998</v>
      </c>
      <c r="AB2462">
        <v>14</v>
      </c>
      <c r="AC2462">
        <v>5.0948000000000198</v>
      </c>
      <c r="AD2462">
        <v>-1.110725599472</v>
      </c>
      <c r="AE2462">
        <v>-10.667899999999999</v>
      </c>
      <c r="AF2462">
        <v>-4.0043237305915698</v>
      </c>
      <c r="AG2462">
        <v>-1.110725599472</v>
      </c>
      <c r="AH2462">
        <v>11.0132346222439</v>
      </c>
      <c r="AI2462">
        <v>95.414490666631195</v>
      </c>
      <c r="AJ2462">
        <v>109.98086024841599</v>
      </c>
      <c r="AK2462">
        <v>11.7711365951335</v>
      </c>
      <c r="AL2462">
        <v>87.4389620457506</v>
      </c>
      <c r="AM2462">
        <v>105.50747291865299</v>
      </c>
      <c r="AN2462">
        <v>0.99999996104780198</v>
      </c>
    </row>
    <row r="2463" spans="1:40" x14ac:dyDescent="0.25">
      <c r="A2463" t="str">
        <f>"20190312151316920"</f>
        <v>20190312151316920</v>
      </c>
      <c r="B2463" t="str">
        <f>"1552374796912674"</f>
        <v>1552374796912674</v>
      </c>
      <c r="C2463" t="s">
        <v>40</v>
      </c>
      <c r="D2463">
        <v>4.492299</v>
      </c>
      <c r="E2463">
        <v>0.47316530000000001</v>
      </c>
      <c r="F2463" t="s">
        <v>53</v>
      </c>
      <c r="G2463">
        <v>-490.7373</v>
      </c>
      <c r="H2463" s="1">
        <v>6.3712530000000001E-6</v>
      </c>
      <c r="I2463">
        <v>229.37119999999999</v>
      </c>
      <c r="J2463">
        <v>-495.88260000000002</v>
      </c>
      <c r="K2463">
        <v>1.1107849999999999</v>
      </c>
      <c r="L2463">
        <v>240.11699999999999</v>
      </c>
      <c r="M2463">
        <v>9.8101759999999996E-2</v>
      </c>
      <c r="N2463">
        <v>0</v>
      </c>
      <c r="O2463">
        <v>-0.99511530000000004</v>
      </c>
      <c r="P2463">
        <v>0.36039090000000001</v>
      </c>
      <c r="Q2463">
        <v>3.4222570000000001E-2</v>
      </c>
      <c r="R2463">
        <v>-0.93217349999999999</v>
      </c>
      <c r="S2463">
        <v>1.2942499999999999</v>
      </c>
      <c r="T2463">
        <v>-0.2785974</v>
      </c>
      <c r="U2463">
        <v>-2.7286380000000001</v>
      </c>
      <c r="V2463">
        <v>-0.26726159999999999</v>
      </c>
      <c r="W2463">
        <v>4.4458810000000001E-2</v>
      </c>
      <c r="X2463">
        <v>0.96259779999999995</v>
      </c>
      <c r="Y2463">
        <v>-0.33599329999999999</v>
      </c>
      <c r="Z2463">
        <v>9.2981919999999996E-2</v>
      </c>
      <c r="AA2463">
        <v>0.93726350000000003</v>
      </c>
      <c r="AB2463">
        <v>14</v>
      </c>
      <c r="AC2463">
        <v>5.1453000000000104</v>
      </c>
      <c r="AD2463">
        <v>-1.1107786287469901</v>
      </c>
      <c r="AE2463">
        <v>-10.745799999999999</v>
      </c>
      <c r="AF2463">
        <v>-4.0311920426944301</v>
      </c>
      <c r="AG2463">
        <v>-1.1107786287469901</v>
      </c>
      <c r="AH2463">
        <v>11.1022505555758</v>
      </c>
      <c r="AI2463">
        <v>95.372436834766404</v>
      </c>
      <c r="AJ2463">
        <v>109.95579934327</v>
      </c>
      <c r="AK2463">
        <v>11.8635705352962</v>
      </c>
      <c r="AL2463">
        <v>87.451857755655197</v>
      </c>
      <c r="AM2463">
        <v>105.51711076329801</v>
      </c>
      <c r="AN2463">
        <v>0.99999993659300601</v>
      </c>
    </row>
    <row r="2464" spans="1:40" x14ac:dyDescent="0.25">
      <c r="A2464" t="str">
        <f>"20190312151316943"</f>
        <v>20190312151316943</v>
      </c>
      <c r="B2464" t="str">
        <f>"1552374796932197"</f>
        <v>1552374796932197</v>
      </c>
      <c r="C2464" t="s">
        <v>40</v>
      </c>
      <c r="D2464">
        <v>4.5519410000000002</v>
      </c>
      <c r="E2464">
        <v>0.47343869999999999</v>
      </c>
      <c r="F2464" t="s">
        <v>53</v>
      </c>
      <c r="G2464">
        <v>-490.71690000000001</v>
      </c>
      <c r="H2464" s="1">
        <v>6.3494170000000004E-6</v>
      </c>
      <c r="I2464">
        <v>229.24799999999999</v>
      </c>
      <c r="J2464">
        <v>-495.86709999999999</v>
      </c>
      <c r="K2464">
        <v>1.1108559999999901</v>
      </c>
      <c r="L2464">
        <v>239.97790000000001</v>
      </c>
      <c r="M2464">
        <v>9.971323E-2</v>
      </c>
      <c r="N2464">
        <v>0</v>
      </c>
      <c r="O2464">
        <v>-0.99495520000000004</v>
      </c>
      <c r="P2464">
        <v>0.36135050000000002</v>
      </c>
      <c r="Q2464">
        <v>3.4135890000000002E-2</v>
      </c>
      <c r="R2464">
        <v>-0.93180529999999995</v>
      </c>
      <c r="S2464">
        <v>1.2962340000000001</v>
      </c>
      <c r="T2464">
        <v>-0.27872909999999901</v>
      </c>
      <c r="U2464">
        <v>-2.7273710000000002</v>
      </c>
      <c r="V2464">
        <v>-0.26670070000000001</v>
      </c>
      <c r="W2464">
        <v>4.4347829999999998E-2</v>
      </c>
      <c r="X2464">
        <v>0.96275849999999996</v>
      </c>
      <c r="Y2464">
        <v>-0.33519120000000002</v>
      </c>
      <c r="Z2464">
        <v>9.3041460000000006E-2</v>
      </c>
      <c r="AA2464">
        <v>0.93754479999999996</v>
      </c>
      <c r="AB2464">
        <v>14</v>
      </c>
      <c r="AC2464">
        <v>5.1501999999999803</v>
      </c>
      <c r="AD2464">
        <v>-1.1108496505829999</v>
      </c>
      <c r="AE2464">
        <v>-10.729900000000001</v>
      </c>
      <c r="AF2464">
        <v>-4.0195364845152204</v>
      </c>
      <c r="AG2464">
        <v>-1.1108496505829999</v>
      </c>
      <c r="AH2464">
        <v>11.093355875452</v>
      </c>
      <c r="AI2464">
        <v>95.378362629405203</v>
      </c>
      <c r="AJ2464">
        <v>109.917340304524</v>
      </c>
      <c r="AK2464">
        <v>11.851295502010499</v>
      </c>
      <c r="AL2464">
        <v>87.458222782528907</v>
      </c>
      <c r="AM2464">
        <v>105.483648788827</v>
      </c>
      <c r="AN2464">
        <v>0.99999996136422298</v>
      </c>
    </row>
    <row r="2465" spans="1:40" x14ac:dyDescent="0.25">
      <c r="A2465" t="str">
        <f>"20190312151316965"</f>
        <v>20190312151316965</v>
      </c>
      <c r="B2465" t="str">
        <f>"1552374796962450"</f>
        <v>1552374796962450</v>
      </c>
      <c r="C2465" t="s">
        <v>40</v>
      </c>
      <c r="D2465">
        <v>4.4466419999999998</v>
      </c>
      <c r="E2465">
        <v>0.4738446</v>
      </c>
      <c r="F2465" t="s">
        <v>53</v>
      </c>
      <c r="G2465">
        <v>-490.71539999999999</v>
      </c>
      <c r="H2465" s="1">
        <v>6.3201769999999996E-6</v>
      </c>
      <c r="I2465">
        <v>229.14930000000001</v>
      </c>
      <c r="J2465">
        <v>-495.85199999999998</v>
      </c>
      <c r="K2465">
        <v>1.1109260000000001</v>
      </c>
      <c r="L2465">
        <v>239.8468</v>
      </c>
      <c r="M2465">
        <v>0.1013471</v>
      </c>
      <c r="N2465">
        <v>0</v>
      </c>
      <c r="O2465">
        <v>-0.99478999999999995</v>
      </c>
      <c r="P2465">
        <v>0.36296909999999999</v>
      </c>
      <c r="Q2465">
        <v>3.4281550000000001E-2</v>
      </c>
      <c r="R2465">
        <v>-0.93117090000000002</v>
      </c>
      <c r="S2465">
        <v>1.2972410000000001</v>
      </c>
      <c r="T2465">
        <v>-0.27972509999999901</v>
      </c>
      <c r="U2465">
        <v>-2.7267610000000002</v>
      </c>
      <c r="V2465">
        <v>-0.2668008</v>
      </c>
      <c r="W2465">
        <v>4.4462149999999999E-2</v>
      </c>
      <c r="X2465">
        <v>0.96272550000000001</v>
      </c>
      <c r="Y2465">
        <v>-0.33399459999999997</v>
      </c>
      <c r="Z2465">
        <v>9.3379569999999995E-2</v>
      </c>
      <c r="AA2465">
        <v>0.9379381</v>
      </c>
      <c r="AB2465">
        <v>14</v>
      </c>
      <c r="AC2465">
        <v>5.1365999999999801</v>
      </c>
      <c r="AD2465">
        <v>-1.1109196798229899</v>
      </c>
      <c r="AE2465">
        <v>-10.6974999999999</v>
      </c>
      <c r="AF2465">
        <v>-3.9909462861138301</v>
      </c>
      <c r="AG2465">
        <v>-1.1109196798229899</v>
      </c>
      <c r="AH2465">
        <v>11.0660427044635</v>
      </c>
      <c r="AI2465">
        <v>95.394792928611594</v>
      </c>
      <c r="AJ2465">
        <v>109.831738075373</v>
      </c>
      <c r="AK2465">
        <v>11.8160524681754</v>
      </c>
      <c r="AL2465">
        <v>87.451666280972404</v>
      </c>
      <c r="AM2465">
        <v>105.48968667809</v>
      </c>
      <c r="AN2465">
        <v>0.99999996900675503</v>
      </c>
    </row>
    <row r="2466" spans="1:40" x14ac:dyDescent="0.25">
      <c r="A2466" t="str">
        <f>"20190312151316991"</f>
        <v>20190312151316991</v>
      </c>
      <c r="B2466" t="str">
        <f>"1552374796982946"</f>
        <v>1552374796982946</v>
      </c>
      <c r="C2466" t="s">
        <v>40</v>
      </c>
      <c r="D2466">
        <v>4.4455419999999997</v>
      </c>
      <c r="E2466">
        <v>0.47411910000000002</v>
      </c>
      <c r="F2466" t="s">
        <v>53</v>
      </c>
      <c r="G2466">
        <v>-490.71809999999999</v>
      </c>
      <c r="H2466" s="1">
        <v>6.2966400000000002E-6</v>
      </c>
      <c r="I2466">
        <v>229.0753</v>
      </c>
      <c r="J2466">
        <v>-495.83440000000002</v>
      </c>
      <c r="K2466">
        <v>1.1110089999999999</v>
      </c>
      <c r="L2466">
        <v>239.69730000000001</v>
      </c>
      <c r="M2466">
        <v>0.1033686</v>
      </c>
      <c r="N2466">
        <v>0</v>
      </c>
      <c r="O2466">
        <v>-0.99458159999999896</v>
      </c>
      <c r="P2466">
        <v>0.36503849999999999</v>
      </c>
      <c r="Q2466">
        <v>3.4517579999999999E-2</v>
      </c>
      <c r="R2466">
        <v>-0.93035239999999997</v>
      </c>
      <c r="S2466">
        <v>1.2991029999999999</v>
      </c>
      <c r="T2466">
        <v>-0.28111269999999999</v>
      </c>
      <c r="U2466">
        <v>-2.7256770000000001</v>
      </c>
      <c r="V2466">
        <v>-0.26699489999999998</v>
      </c>
      <c r="W2466">
        <v>4.4661270000000003E-2</v>
      </c>
      <c r="X2466">
        <v>0.96266249999999998</v>
      </c>
      <c r="Y2466">
        <v>-0.33272760000000001</v>
      </c>
      <c r="Z2466">
        <v>9.3850829999999996E-2</v>
      </c>
      <c r="AA2466">
        <v>0.93834130000000004</v>
      </c>
      <c r="AB2466">
        <v>14</v>
      </c>
      <c r="AC2466">
        <v>5.1163000000000203</v>
      </c>
      <c r="AD2466">
        <v>-1.1110027033599901</v>
      </c>
      <c r="AE2466">
        <v>-10.622</v>
      </c>
      <c r="AF2466">
        <v>-3.9557146807567301</v>
      </c>
      <c r="AG2466">
        <v>-1.1110027033599901</v>
      </c>
      <c r="AH2466">
        <v>10.9963436584246</v>
      </c>
      <c r="AI2466">
        <v>95.430766616526796</v>
      </c>
      <c r="AJ2466">
        <v>109.785180078102</v>
      </c>
      <c r="AK2466">
        <v>11.738891749079301</v>
      </c>
      <c r="AL2466">
        <v>87.440246273092399</v>
      </c>
      <c r="AM2466">
        <v>105.501379527938</v>
      </c>
      <c r="AN2466">
        <v>0.999999997285136</v>
      </c>
    </row>
    <row r="2467" spans="1:40" x14ac:dyDescent="0.25">
      <c r="A2467" t="str">
        <f>"20190312151317011"</f>
        <v>20190312151317011</v>
      </c>
      <c r="B2467" t="str">
        <f>"1552374797002466"</f>
        <v>1552374797002466</v>
      </c>
      <c r="C2467" t="s">
        <v>40</v>
      </c>
      <c r="D2467">
        <v>4.5445080000000004</v>
      </c>
      <c r="E2467">
        <v>0.4744099</v>
      </c>
      <c r="F2467" t="s">
        <v>53</v>
      </c>
      <c r="G2467">
        <v>-490.70299999999997</v>
      </c>
      <c r="H2467" s="1">
        <v>6.2665099999999999E-6</v>
      </c>
      <c r="I2467">
        <v>228.96719999999999</v>
      </c>
      <c r="J2467">
        <v>-495.81959999999998</v>
      </c>
      <c r="K2467">
        <v>1.1110690000000001</v>
      </c>
      <c r="L2467">
        <v>239.57579999999999</v>
      </c>
      <c r="M2467">
        <v>0.1051164</v>
      </c>
      <c r="N2467">
        <v>0</v>
      </c>
      <c r="O2467">
        <v>-0.99439820000000001</v>
      </c>
      <c r="P2467">
        <v>0.36719410000000002</v>
      </c>
      <c r="Q2467">
        <v>3.4440400000000003E-2</v>
      </c>
      <c r="R2467">
        <v>-0.92950679999999997</v>
      </c>
      <c r="S2467">
        <v>1.302643</v>
      </c>
      <c r="T2467">
        <v>-0.28203790000000001</v>
      </c>
      <c r="U2467">
        <v>-2.723938</v>
      </c>
      <c r="V2467">
        <v>-0.26754050000000001</v>
      </c>
      <c r="W2467">
        <v>4.4555520000000001E-2</v>
      </c>
      <c r="X2467">
        <v>0.96251589999999998</v>
      </c>
      <c r="Y2467">
        <v>-0.33228400000000002</v>
      </c>
      <c r="Z2467">
        <v>9.4167020000000004E-2</v>
      </c>
      <c r="AA2467">
        <v>0.93846680000000005</v>
      </c>
      <c r="AB2467">
        <v>14</v>
      </c>
      <c r="AC2467">
        <v>5.1165999999999396</v>
      </c>
      <c r="AD2467">
        <v>-1.1110627334899901</v>
      </c>
      <c r="AE2467">
        <v>-10.6085999999999</v>
      </c>
      <c r="AF2467">
        <v>-3.9380003561169801</v>
      </c>
      <c r="AG2467">
        <v>-1.1110627334899901</v>
      </c>
      <c r="AH2467">
        <v>10.989894944040399</v>
      </c>
      <c r="AI2467">
        <v>95.436633070941298</v>
      </c>
      <c r="AJ2467">
        <v>109.714085069348</v>
      </c>
      <c r="AK2467">
        <v>11.726896353408</v>
      </c>
      <c r="AL2467">
        <v>87.446311309475803</v>
      </c>
      <c r="AM2467">
        <v>105.53378002987399</v>
      </c>
      <c r="AN2467">
        <v>0.99999998562776504</v>
      </c>
    </row>
    <row r="2468" spans="1:40" x14ac:dyDescent="0.25">
      <c r="A2468" t="str">
        <f>"20190312151317034"</f>
        <v>20190312151317034</v>
      </c>
      <c r="B2468" t="str">
        <f>"1552374797022962"</f>
        <v>1552374797022962</v>
      </c>
      <c r="C2468" t="s">
        <v>40</v>
      </c>
      <c r="D2468">
        <v>4.5510890000000002</v>
      </c>
      <c r="E2468">
        <v>0.47465859999999899</v>
      </c>
      <c r="F2468" t="s">
        <v>53</v>
      </c>
      <c r="G2468">
        <v>-490.68639999999999</v>
      </c>
      <c r="H2468" s="1">
        <v>6.2442789999999997E-6</v>
      </c>
      <c r="I2468">
        <v>228.8835</v>
      </c>
      <c r="J2468">
        <v>-495.8023</v>
      </c>
      <c r="K2468">
        <v>1.111124</v>
      </c>
      <c r="L2468">
        <v>239.43549999999999</v>
      </c>
      <c r="M2468">
        <v>0.1072466</v>
      </c>
      <c r="N2468">
        <v>0</v>
      </c>
      <c r="O2468">
        <v>-0.99417049999999996</v>
      </c>
      <c r="P2468">
        <v>0.36997580000000002</v>
      </c>
      <c r="Q2468">
        <v>3.3851689999999997E-2</v>
      </c>
      <c r="R2468">
        <v>-0.92842449999999999</v>
      </c>
      <c r="S2468">
        <v>1.306702</v>
      </c>
      <c r="T2468">
        <v>-0.28282980000000002</v>
      </c>
      <c r="U2468">
        <v>-2.7218019999999998</v>
      </c>
      <c r="V2468">
        <v>-0.26836330000000003</v>
      </c>
      <c r="W2468">
        <v>4.3941960000000002E-2</v>
      </c>
      <c r="X2468">
        <v>0.96231500000000003</v>
      </c>
      <c r="Y2468">
        <v>-0.33167770000000002</v>
      </c>
      <c r="Z2468">
        <v>9.4444130000000001E-2</v>
      </c>
      <c r="AA2468">
        <v>0.93865339999999997</v>
      </c>
      <c r="AB2468">
        <v>14</v>
      </c>
      <c r="AC2468">
        <v>5.1159000000000097</v>
      </c>
      <c r="AD2468">
        <v>-1.1111177557209999</v>
      </c>
      <c r="AE2468">
        <v>-10.5519999999999</v>
      </c>
      <c r="AF2468">
        <v>-3.9194666644615799</v>
      </c>
      <c r="AG2468">
        <v>-1.1111177557209999</v>
      </c>
      <c r="AH2468">
        <v>10.9415999718876</v>
      </c>
      <c r="AI2468">
        <v>95.460947258867293</v>
      </c>
      <c r="AJ2468">
        <v>109.708385254929</v>
      </c>
      <c r="AK2468">
        <v>11.6754191164906</v>
      </c>
      <c r="AL2468">
        <v>87.481500105130706</v>
      </c>
      <c r="AM2468">
        <v>105.58233054255101</v>
      </c>
      <c r="AN2468">
        <v>0.99999995793026497</v>
      </c>
    </row>
    <row r="2469" spans="1:40" x14ac:dyDescent="0.25">
      <c r="A2469" t="str">
        <f>"20190312151317059"</f>
        <v>20190312151317059</v>
      </c>
      <c r="B2469" t="str">
        <f>"1552374797052242"</f>
        <v>1552374797052242</v>
      </c>
      <c r="C2469" t="s">
        <v>40</v>
      </c>
      <c r="D2469">
        <v>4.5015749999999999</v>
      </c>
      <c r="E2469">
        <v>0.47496830000000001</v>
      </c>
      <c r="F2469" t="s">
        <v>53</v>
      </c>
      <c r="G2469">
        <v>-490.7047</v>
      </c>
      <c r="H2469" s="1">
        <v>6.2395589999999999E-6</v>
      </c>
      <c r="I2469">
        <v>228.88130000000001</v>
      </c>
      <c r="J2469">
        <v>-495.78339999999997</v>
      </c>
      <c r="K2469">
        <v>1.1111610000000001</v>
      </c>
      <c r="L2469">
        <v>239.28700000000001</v>
      </c>
      <c r="M2469">
        <v>0.1096162</v>
      </c>
      <c r="N2469">
        <v>0</v>
      </c>
      <c r="O2469">
        <v>-0.99391209999999997</v>
      </c>
      <c r="P2469">
        <v>0.37280249999999998</v>
      </c>
      <c r="Q2469">
        <v>3.335772E-2</v>
      </c>
      <c r="R2469">
        <v>-0.92731140000000001</v>
      </c>
      <c r="S2469">
        <v>1.3130189999999999</v>
      </c>
      <c r="T2469">
        <v>-0.28619489999999997</v>
      </c>
      <c r="U2469">
        <v>-2.7184599999999999</v>
      </c>
      <c r="V2469">
        <v>-0.26900249999999998</v>
      </c>
      <c r="W2469">
        <v>4.343176E-2</v>
      </c>
      <c r="X2469">
        <v>0.96215980000000001</v>
      </c>
      <c r="Y2469">
        <v>-0.3316035</v>
      </c>
      <c r="Z2469">
        <v>9.5580109999999996E-2</v>
      </c>
      <c r="AA2469">
        <v>0.93856459999999997</v>
      </c>
      <c r="AB2469">
        <v>14</v>
      </c>
      <c r="AC2469">
        <v>5.0786999999999596</v>
      </c>
      <c r="AD2469">
        <v>-1.1111547604409999</v>
      </c>
      <c r="AE2469">
        <v>-10.4056999999999</v>
      </c>
      <c r="AF2469">
        <v>-3.87173371989237</v>
      </c>
      <c r="AG2469">
        <v>-1.1111547604409999</v>
      </c>
      <c r="AH2469">
        <v>10.800269920219399</v>
      </c>
      <c r="AI2469">
        <v>95.531682909819594</v>
      </c>
      <c r="AJ2469">
        <v>109.721990270541</v>
      </c>
      <c r="AK2469">
        <v>11.526960451437199</v>
      </c>
      <c r="AL2469">
        <v>87.510760632450101</v>
      </c>
      <c r="AM2469">
        <v>105.620032177152</v>
      </c>
      <c r="AN2469">
        <v>1.0000000717594899</v>
      </c>
    </row>
    <row r="2470" spans="1:40" x14ac:dyDescent="0.25">
      <c r="A2470" t="str">
        <f>"20190312151317079"</f>
        <v>20190312151317079</v>
      </c>
      <c r="B2470" t="str">
        <f>"1552374797072738"</f>
        <v>1552374797072738</v>
      </c>
      <c r="C2470" t="s">
        <v>40</v>
      </c>
      <c r="D2470">
        <v>4.5046269999999904</v>
      </c>
      <c r="E2470">
        <v>0.47516710000000001</v>
      </c>
      <c r="F2470" t="s">
        <v>53</v>
      </c>
      <c r="G2470">
        <v>-490.6936</v>
      </c>
      <c r="H2470" s="1">
        <v>6.2196450000000003E-6</v>
      </c>
      <c r="I2470">
        <v>228.8091</v>
      </c>
      <c r="J2470">
        <v>-495.767</v>
      </c>
      <c r="K2470">
        <v>1.111186</v>
      </c>
      <c r="L2470">
        <v>239.16050000000001</v>
      </c>
      <c r="M2470">
        <v>0.1117263</v>
      </c>
      <c r="N2470">
        <v>0</v>
      </c>
      <c r="O2470">
        <v>-0.99367680000000003</v>
      </c>
      <c r="P2470">
        <v>0.375778</v>
      </c>
      <c r="Q2470">
        <v>3.3464769999999998E-2</v>
      </c>
      <c r="R2470">
        <v>-0.92610550000000003</v>
      </c>
      <c r="S2470">
        <v>1.319</v>
      </c>
      <c r="T2470">
        <v>-0.28794969999999998</v>
      </c>
      <c r="U2470">
        <v>-2.715271</v>
      </c>
      <c r="V2470">
        <v>-0.27005230000000002</v>
      </c>
      <c r="W2470">
        <v>4.3525599999999998E-2</v>
      </c>
      <c r="X2470">
        <v>0.96186139999999998</v>
      </c>
      <c r="Y2470">
        <v>-0.33168219999999998</v>
      </c>
      <c r="Z2470">
        <v>9.618177E-2</v>
      </c>
      <c r="AA2470">
        <v>0.93847539999999996</v>
      </c>
      <c r="AB2470">
        <v>14</v>
      </c>
      <c r="AC2470">
        <v>5.0733999999999897</v>
      </c>
      <c r="AD2470">
        <v>-1.1111797803550001</v>
      </c>
      <c r="AE2470">
        <v>-10.3514</v>
      </c>
      <c r="AF2470">
        <v>-3.8492719607661501</v>
      </c>
      <c r="AG2470">
        <v>-1.1111797803550001</v>
      </c>
      <c r="AH2470">
        <v>10.753535635420199</v>
      </c>
      <c r="AI2470">
        <v>95.556628037020104</v>
      </c>
      <c r="AJ2470">
        <v>109.69503525590299</v>
      </c>
      <c r="AK2470">
        <v>11.475632609771999</v>
      </c>
      <c r="AL2470">
        <v>87.505378822666003</v>
      </c>
      <c r="AM2470">
        <v>105.682622710787</v>
      </c>
      <c r="AN2470">
        <v>1.0000000377003</v>
      </c>
    </row>
    <row r="2471" spans="1:40" x14ac:dyDescent="0.25">
      <c r="A2471" t="str">
        <f>"20190312151317103"</f>
        <v>20190312151317103</v>
      </c>
      <c r="B2471" t="str">
        <f>"1552374797092285"</f>
        <v>1552374797092285</v>
      </c>
      <c r="C2471" t="s">
        <v>40</v>
      </c>
      <c r="D2471">
        <v>4.5114130000000001</v>
      </c>
      <c r="E2471">
        <v>0.47537180000000001</v>
      </c>
      <c r="F2471" t="s">
        <v>53</v>
      </c>
      <c r="G2471">
        <v>-490.63929999999999</v>
      </c>
      <c r="H2471" s="1">
        <v>6.1912549999999997E-6</v>
      </c>
      <c r="I2471">
        <v>228.67859999999999</v>
      </c>
      <c r="J2471">
        <v>-495.74880000000002</v>
      </c>
      <c r="K2471">
        <v>1.1112089999999999</v>
      </c>
      <c r="L2471">
        <v>239.0239</v>
      </c>
      <c r="M2471">
        <v>0.1140938</v>
      </c>
      <c r="N2471">
        <v>0</v>
      </c>
      <c r="O2471">
        <v>-0.9934077</v>
      </c>
      <c r="P2471">
        <v>0.37868659999999998</v>
      </c>
      <c r="Q2471">
        <v>3.3470239999999998E-2</v>
      </c>
      <c r="R2471">
        <v>-0.92491979999999996</v>
      </c>
      <c r="S2471">
        <v>1.3264469999999999</v>
      </c>
      <c r="T2471">
        <v>-0.28744330000000001</v>
      </c>
      <c r="U2471">
        <v>-2.711487</v>
      </c>
      <c r="V2471">
        <v>-0.27078659999999999</v>
      </c>
      <c r="W2471">
        <v>4.3518920000000003E-2</v>
      </c>
      <c r="X2471">
        <v>0.96165520000000004</v>
      </c>
      <c r="Y2471">
        <v>-0.33203840000000001</v>
      </c>
      <c r="Z2471">
        <v>9.603362E-2</v>
      </c>
      <c r="AA2471">
        <v>0.93836459999999999</v>
      </c>
      <c r="AB2471">
        <v>14</v>
      </c>
      <c r="AC2471">
        <v>5.1095000000000201</v>
      </c>
      <c r="AD2471">
        <v>-1.1112028087450001</v>
      </c>
      <c r="AE2471">
        <v>-10.3453</v>
      </c>
      <c r="AF2471">
        <v>-3.8599231753541998</v>
      </c>
      <c r="AG2471">
        <v>-1.1112028087450001</v>
      </c>
      <c r="AH2471">
        <v>10.760929734745201</v>
      </c>
      <c r="AI2471">
        <v>95.551644857441602</v>
      </c>
      <c r="AJ2471">
        <v>109.7328049178</v>
      </c>
      <c r="AK2471">
        <v>11.486138922976799</v>
      </c>
      <c r="AL2471">
        <v>87.505761830892894</v>
      </c>
      <c r="AM2471">
        <v>105.726363782836</v>
      </c>
      <c r="AN2471">
        <v>1.0000000014122801</v>
      </c>
    </row>
    <row r="2472" spans="1:40" x14ac:dyDescent="0.25">
      <c r="A2472" t="str">
        <f>"20190312151317123"</f>
        <v>20190312151317123</v>
      </c>
      <c r="B2472" t="str">
        <f>"1552374797112781"</f>
        <v>1552374797112781</v>
      </c>
      <c r="C2472" t="s">
        <v>40</v>
      </c>
      <c r="D2472">
        <v>4.7616100000000001</v>
      </c>
      <c r="E2472">
        <v>0.47559770000000001</v>
      </c>
      <c r="F2472" t="s">
        <v>53</v>
      </c>
      <c r="G2472">
        <v>-490.59649999999999</v>
      </c>
      <c r="H2472" s="1">
        <v>6.163495E-6</v>
      </c>
      <c r="I2472">
        <v>228.55840000000001</v>
      </c>
      <c r="J2472">
        <v>-495.73180000000002</v>
      </c>
      <c r="K2472">
        <v>1.1112340000000001</v>
      </c>
      <c r="L2472">
        <v>238.89840000000001</v>
      </c>
      <c r="M2472">
        <v>0.1163428</v>
      </c>
      <c r="N2472">
        <v>0</v>
      </c>
      <c r="O2472">
        <v>-0.9931468</v>
      </c>
      <c r="P2472">
        <v>0.38087130000000002</v>
      </c>
      <c r="Q2472">
        <v>3.3259839999999999E-2</v>
      </c>
      <c r="R2472">
        <v>-0.92402989999999996</v>
      </c>
      <c r="S2472">
        <v>1.333221</v>
      </c>
      <c r="T2472">
        <v>-0.28753709999999999</v>
      </c>
      <c r="U2472">
        <v>-2.7080690000000001</v>
      </c>
      <c r="V2472">
        <v>-0.27088269999999998</v>
      </c>
      <c r="W2472">
        <v>4.3299310000000001E-2</v>
      </c>
      <c r="X2472">
        <v>0.96163799999999999</v>
      </c>
      <c r="Y2472">
        <v>-0.33226080000000002</v>
      </c>
      <c r="Z2472">
        <v>9.6080589999999994E-2</v>
      </c>
      <c r="AA2472">
        <v>0.93828100000000003</v>
      </c>
      <c r="AB2472">
        <v>14</v>
      </c>
      <c r="AC2472">
        <v>5.1353000000000204</v>
      </c>
      <c r="AD2472">
        <v>-1.1112278365049999</v>
      </c>
      <c r="AE2472">
        <v>-10.34</v>
      </c>
      <c r="AF2472">
        <v>-3.8615880234357598</v>
      </c>
      <c r="AG2472">
        <v>-1.1112278365049999</v>
      </c>
      <c r="AH2472">
        <v>10.767510866032</v>
      </c>
      <c r="AI2472">
        <v>95.548510267950505</v>
      </c>
      <c r="AJ2472">
        <v>109.729524495905</v>
      </c>
      <c r="AK2472">
        <v>11.4928664665297</v>
      </c>
      <c r="AL2472">
        <v>87.518356314265702</v>
      </c>
      <c r="AM2472">
        <v>105.731936133376</v>
      </c>
      <c r="AN2472">
        <v>0.99999995522488105</v>
      </c>
    </row>
    <row r="2473" spans="1:40" x14ac:dyDescent="0.25">
      <c r="A2473" t="str">
        <f>"20190312151317145"</f>
        <v>20190312151317145</v>
      </c>
      <c r="B2473" t="str">
        <f>"1552374797143036"</f>
        <v>1552374797143036</v>
      </c>
      <c r="C2473" t="s">
        <v>40</v>
      </c>
      <c r="D2473">
        <v>4.5230560000000004</v>
      </c>
      <c r="E2473">
        <v>0.47592970000000001</v>
      </c>
      <c r="F2473" t="s">
        <v>53</v>
      </c>
      <c r="G2473">
        <v>-490.58580000000001</v>
      </c>
      <c r="H2473" s="1">
        <v>6.14592599999999E-6</v>
      </c>
      <c r="I2473">
        <v>228.494</v>
      </c>
      <c r="J2473">
        <v>-495.71350000000001</v>
      </c>
      <c r="K2473">
        <v>1.111267</v>
      </c>
      <c r="L2473">
        <v>238.76660000000001</v>
      </c>
      <c r="M2473">
        <v>0.1187732</v>
      </c>
      <c r="N2473">
        <v>0</v>
      </c>
      <c r="O2473">
        <v>-0.99285880000000004</v>
      </c>
      <c r="P2473">
        <v>0.38269170000000002</v>
      </c>
      <c r="Q2473">
        <v>3.3536879999999998E-2</v>
      </c>
      <c r="R2473">
        <v>-0.92326759999999997</v>
      </c>
      <c r="S2473">
        <v>1.3381350000000001</v>
      </c>
      <c r="T2473">
        <v>-0.28895510000000002</v>
      </c>
      <c r="U2473">
        <v>-2.7054749999999999</v>
      </c>
      <c r="V2473">
        <v>-0.27042929999999998</v>
      </c>
      <c r="W2473">
        <v>4.3567519999999998E-2</v>
      </c>
      <c r="X2473">
        <v>0.96175350000000004</v>
      </c>
      <c r="Y2473">
        <v>-0.3316595</v>
      </c>
      <c r="Z2473">
        <v>9.6563709999999997E-2</v>
      </c>
      <c r="AA2473">
        <v>0.9384441</v>
      </c>
      <c r="AB2473">
        <v>14</v>
      </c>
      <c r="AC2473">
        <v>5.1276999999999999</v>
      </c>
      <c r="AD2473">
        <v>-1.1112608540739899</v>
      </c>
      <c r="AE2473">
        <v>-10.272599999999899</v>
      </c>
      <c r="AF2473">
        <v>-3.83528379573203</v>
      </c>
      <c r="AG2473">
        <v>-1.1112608540739899</v>
      </c>
      <c r="AH2473">
        <v>10.7086270106954</v>
      </c>
      <c r="AI2473">
        <v>95.579845621111502</v>
      </c>
      <c r="AJ2473">
        <v>109.70493302742901</v>
      </c>
      <c r="AK2473">
        <v>11.428866738824</v>
      </c>
      <c r="AL2473">
        <v>87.5029745213034</v>
      </c>
      <c r="AM2473">
        <v>105.70511157399299</v>
      </c>
      <c r="AN2473">
        <v>0.999999964929844</v>
      </c>
    </row>
    <row r="2474" spans="1:40" x14ac:dyDescent="0.25">
      <c r="A2474" t="str">
        <f>"20190312151317167"</f>
        <v>20190312151317167</v>
      </c>
      <c r="B2474" t="str">
        <f>"1552374797162557"</f>
        <v>1552374797162557</v>
      </c>
      <c r="C2474" t="s">
        <v>40</v>
      </c>
      <c r="D2474">
        <v>4.5897889999999997</v>
      </c>
      <c r="E2474">
        <v>0.47613349999999999</v>
      </c>
      <c r="F2474" t="s">
        <v>53</v>
      </c>
      <c r="G2474">
        <v>-490.55500000000001</v>
      </c>
      <c r="H2474" s="1">
        <v>6.1132280000000001E-6</v>
      </c>
      <c r="I2474">
        <v>228.3665</v>
      </c>
      <c r="J2474">
        <v>-495.69459999999998</v>
      </c>
      <c r="K2474">
        <v>1.1113040000000001</v>
      </c>
      <c r="L2474">
        <v>238.63399999999999</v>
      </c>
      <c r="M2474">
        <v>0.1212917</v>
      </c>
      <c r="N2474">
        <v>0</v>
      </c>
      <c r="O2474">
        <v>-0.99255420000000005</v>
      </c>
      <c r="P2474">
        <v>0.38455329999999999</v>
      </c>
      <c r="Q2474">
        <v>3.4162129999999999E-2</v>
      </c>
      <c r="R2474">
        <v>-0.92247049999999997</v>
      </c>
      <c r="S2474">
        <v>1.341156</v>
      </c>
      <c r="T2474">
        <v>-0.28891800000000001</v>
      </c>
      <c r="U2474">
        <v>-2.7039339999999998</v>
      </c>
      <c r="V2474">
        <v>-0.26993669999999997</v>
      </c>
      <c r="W2474">
        <v>4.4182039999999999E-2</v>
      </c>
      <c r="X2474">
        <v>0.96186389999999999</v>
      </c>
      <c r="Y2474">
        <v>-0.3303218</v>
      </c>
      <c r="Z2474">
        <v>9.6556429999999999E-2</v>
      </c>
      <c r="AA2474">
        <v>0.93891659999999999</v>
      </c>
      <c r="AB2474">
        <v>14</v>
      </c>
      <c r="AC2474">
        <v>5.1395999999999704</v>
      </c>
      <c r="AD2474">
        <v>-1.111297886772</v>
      </c>
      <c r="AE2474">
        <v>-10.2675</v>
      </c>
      <c r="AF2474">
        <v>-3.8204212801198398</v>
      </c>
      <c r="AG2474">
        <v>-1.111297886772</v>
      </c>
      <c r="AH2474">
        <v>10.7147439214123</v>
      </c>
      <c r="AI2474">
        <v>95.579660551007294</v>
      </c>
      <c r="AJ2474">
        <v>109.624069132451</v>
      </c>
      <c r="AK2474">
        <v>11.429625499209401</v>
      </c>
      <c r="AL2474">
        <v>87.467731314563693</v>
      </c>
      <c r="AM2474">
        <v>105.67620089291999</v>
      </c>
      <c r="AN2474">
        <v>1.0000000183943301</v>
      </c>
    </row>
    <row r="2475" spans="1:40" x14ac:dyDescent="0.25">
      <c r="A2475" t="str">
        <f>"20190312151317189"</f>
        <v>20190312151317189</v>
      </c>
      <c r="B2475" t="str">
        <f>"1552374797183052"</f>
        <v>1552374797183052</v>
      </c>
      <c r="C2475" t="s">
        <v>40</v>
      </c>
      <c r="D2475">
        <v>4.5306660000000001</v>
      </c>
      <c r="E2475">
        <v>0.476323</v>
      </c>
      <c r="F2475" t="s">
        <v>53</v>
      </c>
      <c r="G2475">
        <v>-490.4984</v>
      </c>
      <c r="H2475" s="1">
        <v>6.0745629999999999E-6</v>
      </c>
      <c r="I2475">
        <v>228.2011</v>
      </c>
      <c r="J2475">
        <v>-495.67520000000002</v>
      </c>
      <c r="K2475">
        <v>1.1113309999999901</v>
      </c>
      <c r="L2475">
        <v>238.5009</v>
      </c>
      <c r="M2475">
        <v>0.1238943</v>
      </c>
      <c r="N2475">
        <v>0</v>
      </c>
      <c r="O2475">
        <v>-0.99223260000000002</v>
      </c>
      <c r="P2475">
        <v>0.3866906</v>
      </c>
      <c r="Q2475">
        <v>3.4187629999999997E-2</v>
      </c>
      <c r="R2475">
        <v>-0.9215757</v>
      </c>
      <c r="S2475">
        <v>1.3456729999999999</v>
      </c>
      <c r="T2475">
        <v>-0.28779339999999998</v>
      </c>
      <c r="U2475">
        <v>-2.701813</v>
      </c>
      <c r="V2475">
        <v>-0.26964709999999997</v>
      </c>
      <c r="W2475">
        <v>4.419729E-2</v>
      </c>
      <c r="X2475">
        <v>0.96194440000000003</v>
      </c>
      <c r="Y2475">
        <v>-0.32941559999999998</v>
      </c>
      <c r="Z2475">
        <v>9.6186279999999999E-2</v>
      </c>
      <c r="AA2475">
        <v>0.93927289999999997</v>
      </c>
      <c r="AB2475">
        <v>14</v>
      </c>
      <c r="AC2475">
        <v>5.1768000000000098</v>
      </c>
      <c r="AD2475">
        <v>-1.1113249254369999</v>
      </c>
      <c r="AE2475">
        <v>-10.299799999999999</v>
      </c>
      <c r="AF2475">
        <v>-3.8251922942024899</v>
      </c>
      <c r="AG2475">
        <v>-1.1113249254369999</v>
      </c>
      <c r="AH2475">
        <v>10.761829300670399</v>
      </c>
      <c r="AI2475">
        <v>95.557483880815198</v>
      </c>
      <c r="AJ2475">
        <v>109.567284175352</v>
      </c>
      <c r="AK2475">
        <v>11.4753696704852</v>
      </c>
      <c r="AL2475">
        <v>87.466856637334104</v>
      </c>
      <c r="AM2475">
        <v>105.658962127603</v>
      </c>
      <c r="AN2475">
        <v>0.99999999383655702</v>
      </c>
    </row>
    <row r="2476" spans="1:40" x14ac:dyDescent="0.25">
      <c r="A2476" t="str">
        <f>"20190312151317213"</f>
        <v>20190312151317213</v>
      </c>
      <c r="B2476" t="str">
        <f>"1552374797203077"</f>
        <v>1552374797203077</v>
      </c>
      <c r="C2476" t="s">
        <v>40</v>
      </c>
      <c r="D2476">
        <v>4.6213280000000001</v>
      </c>
      <c r="E2476">
        <v>0.47652440000000001</v>
      </c>
      <c r="F2476" t="s">
        <v>53</v>
      </c>
      <c r="G2476">
        <v>-490.47750000000002</v>
      </c>
      <c r="H2476" s="1">
        <v>6.0521629999999999E-6</v>
      </c>
      <c r="I2476">
        <v>228.1139</v>
      </c>
      <c r="J2476">
        <v>-495.65370000000001</v>
      </c>
      <c r="K2476">
        <v>1.111359</v>
      </c>
      <c r="L2476">
        <v>238.3571</v>
      </c>
      <c r="M2476">
        <v>0.12677239999999901</v>
      </c>
      <c r="N2476">
        <v>0</v>
      </c>
      <c r="O2476">
        <v>-0.99186920000000001</v>
      </c>
      <c r="P2476">
        <v>0.38891959999999998</v>
      </c>
      <c r="Q2476">
        <v>3.4363829999999998E-2</v>
      </c>
      <c r="R2476">
        <v>-0.92063110000000004</v>
      </c>
      <c r="S2476">
        <v>1.350708</v>
      </c>
      <c r="T2476">
        <v>-0.28879629999999901</v>
      </c>
      <c r="U2476">
        <v>-2.6992340000000001</v>
      </c>
      <c r="V2476">
        <v>-0.26918779999999998</v>
      </c>
      <c r="W2476">
        <v>4.4368789999999998E-2</v>
      </c>
      <c r="X2476">
        <v>0.96206519999999995</v>
      </c>
      <c r="Y2476">
        <v>-0.32842359999999998</v>
      </c>
      <c r="Z2476">
        <v>9.6525910000000006E-2</v>
      </c>
      <c r="AA2476">
        <v>0.93958540000000002</v>
      </c>
      <c r="AB2476">
        <v>14</v>
      </c>
      <c r="AC2476">
        <v>5.1761999999999899</v>
      </c>
      <c r="AD2476">
        <v>-1.1113529478369999</v>
      </c>
      <c r="AE2476">
        <v>-10.2432</v>
      </c>
      <c r="AF2476">
        <v>-3.80016241014477</v>
      </c>
      <c r="AG2476">
        <v>-1.1113529478369999</v>
      </c>
      <c r="AH2476">
        <v>10.716298943285199</v>
      </c>
      <c r="AI2476">
        <v>95.582530691770998</v>
      </c>
      <c r="AJ2476">
        <v>109.52527969446</v>
      </c>
      <c r="AK2476">
        <v>11.424333799395001</v>
      </c>
      <c r="AL2476">
        <v>87.457020918280094</v>
      </c>
      <c r="AM2476">
        <v>105.63172792296101</v>
      </c>
      <c r="AN2476">
        <v>1.00000005512297</v>
      </c>
    </row>
    <row r="2477" spans="1:40" x14ac:dyDescent="0.25">
      <c r="A2477" t="str">
        <f>"20190312151317237"</f>
        <v>20190312151317237</v>
      </c>
      <c r="B2477" t="str">
        <f>"1552374797232357"</f>
        <v>1552374797232357</v>
      </c>
      <c r="C2477" t="s">
        <v>40</v>
      </c>
      <c r="D2477">
        <v>4.6066000000000003</v>
      </c>
      <c r="E2477">
        <v>0.47691549999999999</v>
      </c>
      <c r="F2477" t="s">
        <v>53</v>
      </c>
      <c r="G2477">
        <v>-490.45089999999999</v>
      </c>
      <c r="H2477" s="1">
        <v>6.025832E-6</v>
      </c>
      <c r="I2477">
        <v>228.00980000000001</v>
      </c>
      <c r="J2477">
        <v>-495.63220000000001</v>
      </c>
      <c r="K2477">
        <v>1.1113759999999999</v>
      </c>
      <c r="L2477">
        <v>238.2158</v>
      </c>
      <c r="M2477">
        <v>0.12966720000000001</v>
      </c>
      <c r="N2477">
        <v>0</v>
      </c>
      <c r="O2477">
        <v>-0.99149469999999995</v>
      </c>
      <c r="P2477">
        <v>0.39064890000000002</v>
      </c>
      <c r="Q2477">
        <v>3.4116309999999997E-2</v>
      </c>
      <c r="R2477">
        <v>-0.91990769999999999</v>
      </c>
      <c r="S2477">
        <v>1.3559270000000001</v>
      </c>
      <c r="T2477">
        <v>-0.2896339</v>
      </c>
      <c r="U2477">
        <v>-2.6966399999999999</v>
      </c>
      <c r="V2477">
        <v>-0.26818629999999999</v>
      </c>
      <c r="W2477">
        <v>4.4123450000000002E-2</v>
      </c>
      <c r="X2477">
        <v>0.96235610000000005</v>
      </c>
      <c r="Y2477">
        <v>-0.32746960000000003</v>
      </c>
      <c r="Z2477">
        <v>9.6807489999999996E-2</v>
      </c>
      <c r="AA2477">
        <v>0.93988930000000004</v>
      </c>
      <c r="AB2477">
        <v>14</v>
      </c>
      <c r="AC2477">
        <v>5.1813000000000198</v>
      </c>
      <c r="AD2477">
        <v>-1.1113699741680001</v>
      </c>
      <c r="AE2477">
        <v>-10.2059999999999</v>
      </c>
      <c r="AF2477">
        <v>-3.7784625619185701</v>
      </c>
      <c r="AG2477">
        <v>-1.1113699741680001</v>
      </c>
      <c r="AH2477">
        <v>10.690918603599499</v>
      </c>
      <c r="AI2477">
        <v>95.597863098681202</v>
      </c>
      <c r="AJ2477">
        <v>109.46479895009099</v>
      </c>
      <c r="AK2477">
        <v>11.393316599660199</v>
      </c>
      <c r="AL2477">
        <v>87.471091547061704</v>
      </c>
      <c r="AM2477">
        <v>105.571919222696</v>
      </c>
      <c r="AN2477">
        <v>1.0000000167773999</v>
      </c>
    </row>
    <row r="2478" spans="1:40" x14ac:dyDescent="0.25">
      <c r="A2478" t="str">
        <f>"20190312151317269"</f>
        <v>20190312151317269</v>
      </c>
      <c r="B2478" t="str">
        <f>"1552374797262613"</f>
        <v>1552374797262613</v>
      </c>
      <c r="C2478" t="s">
        <v>40</v>
      </c>
      <c r="D2478">
        <v>4.6638279999999996</v>
      </c>
      <c r="E2478">
        <v>0.47723549999999998</v>
      </c>
      <c r="F2478" t="s">
        <v>53</v>
      </c>
      <c r="G2478">
        <v>-490.459</v>
      </c>
      <c r="H2478" s="1">
        <v>6.0067229999999899E-6</v>
      </c>
      <c r="I2478">
        <v>227.95400000000001</v>
      </c>
      <c r="J2478">
        <v>-495.60210000000001</v>
      </c>
      <c r="K2478">
        <v>1.1113839999999999</v>
      </c>
      <c r="L2478">
        <v>238.02359999999999</v>
      </c>
      <c r="M2478">
        <v>0.13371759999999999</v>
      </c>
      <c r="N2478">
        <v>0</v>
      </c>
      <c r="O2478">
        <v>-0.99095639999999996</v>
      </c>
      <c r="P2478">
        <v>0.3940727</v>
      </c>
      <c r="Q2478">
        <v>3.3255769999999997E-2</v>
      </c>
      <c r="R2478">
        <v>-0.91847769999999995</v>
      </c>
      <c r="S2478">
        <v>1.358643</v>
      </c>
      <c r="T2478">
        <v>-0.29188330000000001</v>
      </c>
      <c r="U2478">
        <v>-2.6950989999999999</v>
      </c>
      <c r="V2478">
        <v>-0.26783449999999998</v>
      </c>
      <c r="W2478">
        <v>4.3250249999999997E-2</v>
      </c>
      <c r="X2478">
        <v>0.96249370000000001</v>
      </c>
      <c r="Y2478">
        <v>-0.3245478</v>
      </c>
      <c r="Z2478">
        <v>9.7551289999999999E-2</v>
      </c>
      <c r="AA2478">
        <v>0.94082540000000003</v>
      </c>
      <c r="AB2478">
        <v>14</v>
      </c>
      <c r="AC2478">
        <v>5.1430999999999996</v>
      </c>
      <c r="AD2478">
        <v>-1.1113779932769901</v>
      </c>
      <c r="AE2478">
        <v>-10.0695999999999</v>
      </c>
      <c r="AF2478">
        <v>-3.7144536790448401</v>
      </c>
      <c r="AG2478">
        <v>-1.1113779932769901</v>
      </c>
      <c r="AH2478">
        <v>10.564855754396101</v>
      </c>
      <c r="AI2478">
        <v>95.667517275079405</v>
      </c>
      <c r="AJ2478">
        <v>109.370952179589</v>
      </c>
      <c r="AK2478">
        <v>11.2538217636901</v>
      </c>
      <c r="AL2478">
        <v>87.521170024434497</v>
      </c>
      <c r="AM2478">
        <v>105.55036584932201</v>
      </c>
      <c r="AN2478">
        <v>1.0000000130275</v>
      </c>
    </row>
    <row r="2479" spans="1:40" x14ac:dyDescent="0.25">
      <c r="A2479" t="str">
        <f>"20190312151317289"</f>
        <v>20190312151317289</v>
      </c>
      <c r="B2479" t="str">
        <f>"1552374797283109"</f>
        <v>1552374797283109</v>
      </c>
      <c r="C2479" t="s">
        <v>40</v>
      </c>
      <c r="D2479">
        <v>4.7641169999999997</v>
      </c>
      <c r="E2479">
        <v>0.47740270000000001</v>
      </c>
      <c r="F2479" t="s">
        <v>53</v>
      </c>
      <c r="G2479">
        <v>-490.48259999999999</v>
      </c>
      <c r="H2479" s="1">
        <v>5.996266E-6</v>
      </c>
      <c r="I2479">
        <v>227.93709999999999</v>
      </c>
      <c r="J2479">
        <v>-495.58139999999997</v>
      </c>
      <c r="K2479">
        <v>1.1113879999999901</v>
      </c>
      <c r="L2479">
        <v>237.89449999999999</v>
      </c>
      <c r="M2479">
        <v>0.136520899999999</v>
      </c>
      <c r="N2479">
        <v>0</v>
      </c>
      <c r="O2479">
        <v>-0.99057439999999997</v>
      </c>
      <c r="P2479">
        <v>0.39649810000000002</v>
      </c>
      <c r="Q2479">
        <v>3.1831599999999897E-2</v>
      </c>
      <c r="R2479">
        <v>-0.91748390000000002</v>
      </c>
      <c r="S2479">
        <v>1.3658140000000001</v>
      </c>
      <c r="T2479">
        <v>-0.29650130000000002</v>
      </c>
      <c r="U2479">
        <v>-2.6909480000000001</v>
      </c>
      <c r="V2479">
        <v>-0.26764490000000002</v>
      </c>
      <c r="W2479">
        <v>4.180101E-2</v>
      </c>
      <c r="X2479">
        <v>0.96261050000000004</v>
      </c>
      <c r="Y2479">
        <v>-0.32438270000000002</v>
      </c>
      <c r="Z2479">
        <v>9.9102960000000004E-2</v>
      </c>
      <c r="AA2479">
        <v>0.94072020000000001</v>
      </c>
      <c r="AB2479">
        <v>14</v>
      </c>
      <c r="AC2479">
        <v>5.0987999999999802</v>
      </c>
      <c r="AD2479">
        <v>-1.1113820037340001</v>
      </c>
      <c r="AE2479">
        <v>-9.9573999999999998</v>
      </c>
      <c r="AF2479">
        <v>-3.6554984676036502</v>
      </c>
      <c r="AG2479">
        <v>-1.1113820037340001</v>
      </c>
      <c r="AH2479">
        <v>10.4570867896366</v>
      </c>
      <c r="AI2479">
        <v>95.729138268379501</v>
      </c>
      <c r="AJ2479">
        <v>109.26816625515001</v>
      </c>
      <c r="AK2479">
        <v>11.133216207856</v>
      </c>
      <c r="AL2479">
        <v>87.604280628540394</v>
      </c>
      <c r="AM2479">
        <v>105.538095427071</v>
      </c>
      <c r="AN2479">
        <v>1.00000004582163</v>
      </c>
    </row>
    <row r="2480" spans="1:40" x14ac:dyDescent="0.25">
      <c r="A2480" t="str">
        <f>"20190312151317311"</f>
        <v>20190312151317311</v>
      </c>
      <c r="B2480" t="str">
        <f>"1552374797302629"</f>
        <v>1552374797302629</v>
      </c>
      <c r="C2480" t="s">
        <v>40</v>
      </c>
      <c r="D2480">
        <v>4.6295159999999997</v>
      </c>
      <c r="E2480">
        <v>0.47766229999999998</v>
      </c>
      <c r="F2480" t="s">
        <v>53</v>
      </c>
      <c r="G2480">
        <v>-490.54379999999998</v>
      </c>
      <c r="H2480" s="1">
        <v>6.0097420000000001E-6</v>
      </c>
      <c r="I2480">
        <v>228.02440000000001</v>
      </c>
      <c r="J2480">
        <v>-495.55990000000003</v>
      </c>
      <c r="K2480">
        <v>1.111408</v>
      </c>
      <c r="L2480">
        <v>237.7637</v>
      </c>
      <c r="M2480">
        <v>0.1394147</v>
      </c>
      <c r="N2480">
        <v>0</v>
      </c>
      <c r="O2480">
        <v>-0.99017140000000003</v>
      </c>
      <c r="P2480">
        <v>0.39917859999999999</v>
      </c>
      <c r="Q2480">
        <v>3.0848489999999999E-2</v>
      </c>
      <c r="R2480">
        <v>-0.91635440000000001</v>
      </c>
      <c r="S2480">
        <v>1.3716740000000001</v>
      </c>
      <c r="T2480">
        <v>-0.30261779999999999</v>
      </c>
      <c r="U2480">
        <v>-2.6875309999999999</v>
      </c>
      <c r="V2480">
        <v>-0.26764100000000002</v>
      </c>
      <c r="W2480">
        <v>4.0785269999999998E-2</v>
      </c>
      <c r="X2480">
        <v>0.96265509999999999</v>
      </c>
      <c r="Y2480">
        <v>-0.32363799999999998</v>
      </c>
      <c r="Z2480">
        <v>0.1011431</v>
      </c>
      <c r="AA2480">
        <v>0.94075949999999997</v>
      </c>
      <c r="AB2480">
        <v>14</v>
      </c>
      <c r="AC2480">
        <v>5.0161000000000504</v>
      </c>
      <c r="AD2480">
        <v>-1.1114019902579999</v>
      </c>
      <c r="AE2480">
        <v>-9.7392999999999805</v>
      </c>
      <c r="AF2480">
        <v>-3.5724529901331699</v>
      </c>
      <c r="AG2480">
        <v>-1.1114019902579999</v>
      </c>
      <c r="AH2480">
        <v>10.238163744822399</v>
      </c>
      <c r="AI2480">
        <v>95.852059336637296</v>
      </c>
      <c r="AJ2480">
        <v>109.23566399815201</v>
      </c>
      <c r="AK2480">
        <v>10.900350068527899</v>
      </c>
      <c r="AL2480">
        <v>87.662527798997004</v>
      </c>
      <c r="AM2480">
        <v>105.537194854988</v>
      </c>
      <c r="AN2480">
        <v>0.99999999234299097</v>
      </c>
    </row>
    <row r="2481" spans="1:40" x14ac:dyDescent="0.25">
      <c r="A2481" t="str">
        <f>"20190312151317335"</f>
        <v>20190312151317335</v>
      </c>
      <c r="B2481" t="str">
        <f>"1552374797332885"</f>
        <v>1552374797332885</v>
      </c>
      <c r="C2481" t="s">
        <v>40</v>
      </c>
      <c r="D2481">
        <v>4.6260339999999998</v>
      </c>
      <c r="E2481">
        <v>0.477935</v>
      </c>
      <c r="F2481" t="s">
        <v>53</v>
      </c>
      <c r="G2481">
        <v>-490.56920000000002</v>
      </c>
      <c r="H2481" s="1">
        <v>6.0090310000000002E-6</v>
      </c>
      <c r="I2481">
        <v>228.0402</v>
      </c>
      <c r="J2481">
        <v>-495.53590000000003</v>
      </c>
      <c r="K2481">
        <v>1.1114299999999999</v>
      </c>
      <c r="L2481">
        <v>237.62119999999999</v>
      </c>
      <c r="M2481">
        <v>0.1426296</v>
      </c>
      <c r="N2481">
        <v>0</v>
      </c>
      <c r="O2481">
        <v>-0.98971370000000003</v>
      </c>
      <c r="P2481">
        <v>0.40238770000000001</v>
      </c>
      <c r="Q2481">
        <v>2.9855920000000001E-2</v>
      </c>
      <c r="R2481">
        <v>-0.91498270000000004</v>
      </c>
      <c r="S2481">
        <v>1.3776250000000001</v>
      </c>
      <c r="T2481">
        <v>-0.30678830000000001</v>
      </c>
      <c r="U2481">
        <v>-2.6840359999999999</v>
      </c>
      <c r="V2481">
        <v>-0.2678835</v>
      </c>
      <c r="W2481">
        <v>3.9752799999999998E-2</v>
      </c>
      <c r="X2481">
        <v>0.96263089999999996</v>
      </c>
      <c r="Y2481">
        <v>-0.32264989999999999</v>
      </c>
      <c r="Z2481">
        <v>0.102537</v>
      </c>
      <c r="AA2481">
        <v>0.94094800000000001</v>
      </c>
      <c r="AB2481">
        <v>14</v>
      </c>
      <c r="AC2481">
        <v>4.9667000000000003</v>
      </c>
      <c r="AD2481">
        <v>-1.111423990969</v>
      </c>
      <c r="AE2481">
        <v>-9.58099999999998</v>
      </c>
      <c r="AF2481">
        <v>-3.5120459155183901</v>
      </c>
      <c r="AG2481">
        <v>-1.111423990969</v>
      </c>
      <c r="AH2481">
        <v>10.0845145353824</v>
      </c>
      <c r="AI2481">
        <v>95.941941215895099</v>
      </c>
      <c r="AJ2481">
        <v>109.201248520551</v>
      </c>
      <c r="AK2481">
        <v>10.736254617637901</v>
      </c>
      <c r="AL2481">
        <v>87.721732134012001</v>
      </c>
      <c r="AM2481">
        <v>105.550963633338</v>
      </c>
      <c r="AN2481">
        <v>1.0000000521574399</v>
      </c>
    </row>
    <row r="2482" spans="1:40" x14ac:dyDescent="0.25">
      <c r="A2482" t="str">
        <f>"20190312151317358"</f>
        <v>20190312151317358</v>
      </c>
      <c r="B2482" t="str">
        <f>"1552374797352405"</f>
        <v>1552374797352405</v>
      </c>
      <c r="C2482" t="s">
        <v>40</v>
      </c>
      <c r="D2482">
        <v>4.5389710000000001</v>
      </c>
      <c r="E2482">
        <v>0.47810649999999899</v>
      </c>
      <c r="F2482" t="s">
        <v>53</v>
      </c>
      <c r="G2482">
        <v>-490.59890000000001</v>
      </c>
      <c r="H2482" s="1">
        <v>6.0109119999999998E-6</v>
      </c>
      <c r="I2482">
        <v>228.0676</v>
      </c>
      <c r="J2482">
        <v>-495.51260000000002</v>
      </c>
      <c r="K2482">
        <v>1.111448</v>
      </c>
      <c r="L2482">
        <v>237.4854</v>
      </c>
      <c r="M2482">
        <v>0.14576459999999999</v>
      </c>
      <c r="N2482">
        <v>0</v>
      </c>
      <c r="O2482">
        <v>-0.98925719999999995</v>
      </c>
      <c r="P2482">
        <v>0.40564149999999999</v>
      </c>
      <c r="Q2482">
        <v>2.9051270000000001E-2</v>
      </c>
      <c r="R2482">
        <v>-0.91357109999999997</v>
      </c>
      <c r="S2482">
        <v>1.3848879999999999</v>
      </c>
      <c r="T2482">
        <v>-0.31176419999999999</v>
      </c>
      <c r="U2482">
        <v>-2.6798860000000002</v>
      </c>
      <c r="V2482">
        <v>-0.26825599999999999</v>
      </c>
      <c r="W2482">
        <v>3.8904689999999999E-2</v>
      </c>
      <c r="X2482">
        <v>0.96256180000000002</v>
      </c>
      <c r="Y2482">
        <v>-0.32218020000000003</v>
      </c>
      <c r="Z2482">
        <v>0.1041986</v>
      </c>
      <c r="AA2482">
        <v>0.94092640000000005</v>
      </c>
      <c r="AB2482">
        <v>14</v>
      </c>
      <c r="AC2482">
        <v>4.9137000000000004</v>
      </c>
      <c r="AD2482">
        <v>-1.1114419890880001</v>
      </c>
      <c r="AE2482">
        <v>-9.4177999999999997</v>
      </c>
      <c r="AF2482">
        <v>-3.4505706372490801</v>
      </c>
      <c r="AG2482">
        <v>-1.1114419890880001</v>
      </c>
      <c r="AH2482">
        <v>9.9248348236539208</v>
      </c>
      <c r="AI2482">
        <v>96.038036362807105</v>
      </c>
      <c r="AJ2482">
        <v>109.17104677846</v>
      </c>
      <c r="AK2482">
        <v>10.5661765693446</v>
      </c>
      <c r="AL2482">
        <v>87.770362848456401</v>
      </c>
      <c r="AM2482">
        <v>105.572602815268</v>
      </c>
      <c r="AN2482">
        <v>1.0000000376296101</v>
      </c>
    </row>
    <row r="2483" spans="1:40" x14ac:dyDescent="0.25">
      <c r="A2483" t="str">
        <f>"20190312151317379"</f>
        <v>20190312151317379</v>
      </c>
      <c r="B2483" t="str">
        <f>"1552374797372900"</f>
        <v>1552374797372900</v>
      </c>
      <c r="C2483" t="s">
        <v>40</v>
      </c>
      <c r="D2483">
        <v>4.689756</v>
      </c>
      <c r="E2483">
        <v>0.47815220000000003</v>
      </c>
      <c r="F2483" t="s">
        <v>53</v>
      </c>
      <c r="G2483">
        <v>-490.59699999999998</v>
      </c>
      <c r="H2483" s="1">
        <v>6.0051079999999997E-6</v>
      </c>
      <c r="I2483">
        <v>228.04750000000001</v>
      </c>
      <c r="J2483">
        <v>-495.4898</v>
      </c>
      <c r="K2483">
        <v>1.111472</v>
      </c>
      <c r="L2483">
        <v>237.35579999999999</v>
      </c>
      <c r="M2483">
        <v>0.1488246</v>
      </c>
      <c r="N2483">
        <v>0</v>
      </c>
      <c r="O2483">
        <v>-0.98880159999999995</v>
      </c>
      <c r="P2483">
        <v>0.40874369999999999</v>
      </c>
      <c r="Q2483">
        <v>2.8213149999999999E-2</v>
      </c>
      <c r="R2483">
        <v>-0.91221300000000005</v>
      </c>
      <c r="S2483">
        <v>1.3933409999999999</v>
      </c>
      <c r="T2483">
        <v>-0.3150463</v>
      </c>
      <c r="U2483">
        <v>-2.6752319999999998</v>
      </c>
      <c r="V2483">
        <v>-0.26854549999999999</v>
      </c>
      <c r="W2483">
        <v>3.8022239999999999E-2</v>
      </c>
      <c r="X2483">
        <v>0.96251629999999999</v>
      </c>
      <c r="Y2483">
        <v>-0.32220870000000001</v>
      </c>
      <c r="Z2483">
        <v>0.10529819999999999</v>
      </c>
      <c r="AA2483">
        <v>0.94079420000000002</v>
      </c>
      <c r="AB2483">
        <v>14</v>
      </c>
      <c r="AC2483">
        <v>4.8928000000000198</v>
      </c>
      <c r="AD2483">
        <v>-1.111465994892</v>
      </c>
      <c r="AE2483">
        <v>-9.3082999999999707</v>
      </c>
      <c r="AF2483">
        <v>-3.4147690642014301</v>
      </c>
      <c r="AG2483">
        <v>-1.111465994892</v>
      </c>
      <c r="AH2483">
        <v>9.8231040294500005</v>
      </c>
      <c r="AI2483">
        <v>96.100312359707402</v>
      </c>
      <c r="AJ2483">
        <v>109.168794594505</v>
      </c>
      <c r="AK2483">
        <v>10.4589376703862</v>
      </c>
      <c r="AL2483">
        <v>87.820960873468593</v>
      </c>
      <c r="AM2483">
        <v>105.589292978228</v>
      </c>
      <c r="AN2483">
        <v>1.00000000203527</v>
      </c>
    </row>
    <row r="2484" spans="1:40" x14ac:dyDescent="0.25">
      <c r="A2484" t="str">
        <f>"20190312151317402"</f>
        <v>20190312151317402</v>
      </c>
      <c r="B2484" t="str">
        <f>"1552374797392421"</f>
        <v>1552374797392421</v>
      </c>
      <c r="C2484" t="s">
        <v>40</v>
      </c>
      <c r="D2484">
        <v>4.3848089999999997</v>
      </c>
      <c r="E2484">
        <v>0.47812789999999999</v>
      </c>
      <c r="F2484" t="s">
        <v>53</v>
      </c>
      <c r="G2484">
        <v>-490.58150000000001</v>
      </c>
      <c r="H2484" s="1">
        <v>5.9957900000000004E-6</v>
      </c>
      <c r="I2484">
        <v>228.00630000000001</v>
      </c>
      <c r="J2484">
        <v>-495.46530000000001</v>
      </c>
      <c r="K2484">
        <v>1.1115029999999999</v>
      </c>
      <c r="L2484">
        <v>237.2193</v>
      </c>
      <c r="M2484">
        <v>0.15211920000000001</v>
      </c>
      <c r="N2484">
        <v>0</v>
      </c>
      <c r="O2484">
        <v>-0.98830059999999997</v>
      </c>
      <c r="P2484">
        <v>0.41188819999999998</v>
      </c>
      <c r="Q2484">
        <v>2.8182039999999998E-2</v>
      </c>
      <c r="R2484">
        <v>-0.91079889999999997</v>
      </c>
      <c r="S2484">
        <v>1.4019170000000001</v>
      </c>
      <c r="T2484">
        <v>-0.31745790000000002</v>
      </c>
      <c r="U2484">
        <v>-2.6703950000000001</v>
      </c>
      <c r="V2484">
        <v>-0.26866060000000003</v>
      </c>
      <c r="W2484">
        <v>3.7943619999999997E-2</v>
      </c>
      <c r="X2484">
        <v>0.96248730000000005</v>
      </c>
      <c r="Y2484">
        <v>-0.32208510000000001</v>
      </c>
      <c r="Z2484">
        <v>0.1061106</v>
      </c>
      <c r="AA2484">
        <v>0.94074530000000001</v>
      </c>
      <c r="AB2484">
        <v>14</v>
      </c>
      <c r="AC2484">
        <v>4.8837999999999999</v>
      </c>
      <c r="AD2484">
        <v>-1.1114970042100001</v>
      </c>
      <c r="AE2484">
        <v>-9.2129999999999903</v>
      </c>
      <c r="AF2484">
        <v>-3.3869137698609899</v>
      </c>
      <c r="AG2484">
        <v>-1.1114970042100001</v>
      </c>
      <c r="AH2484">
        <v>9.7380859475471997</v>
      </c>
      <c r="AI2484">
        <v>96.153003999538697</v>
      </c>
      <c r="AJ2484">
        <v>109.177713902831</v>
      </c>
      <c r="AK2484">
        <v>10.3700013691734</v>
      </c>
      <c r="AL2484">
        <v>87.825468758505806</v>
      </c>
      <c r="AM2484">
        <v>105.596096551641</v>
      </c>
      <c r="AN2484">
        <v>1.00000001947617</v>
      </c>
    </row>
    <row r="2485" spans="1:40" x14ac:dyDescent="0.25">
      <c r="A2485" t="str">
        <f>"20190312151317425"</f>
        <v>20190312151317425</v>
      </c>
      <c r="B2485" t="str">
        <f>"1552374797422676"</f>
        <v>1552374797422676</v>
      </c>
      <c r="C2485" t="s">
        <v>40</v>
      </c>
      <c r="D2485">
        <v>4.2849849999999998</v>
      </c>
      <c r="E2485">
        <v>0.47807959999999999</v>
      </c>
      <c r="F2485" t="s">
        <v>53</v>
      </c>
      <c r="G2485">
        <v>-490.52120000000002</v>
      </c>
      <c r="H2485" s="1">
        <v>5.9706820000000002E-6</v>
      </c>
      <c r="I2485">
        <v>227.88210000000001</v>
      </c>
      <c r="J2485">
        <v>-495.43920000000003</v>
      </c>
      <c r="K2485">
        <v>1.1115379999999999</v>
      </c>
      <c r="L2485">
        <v>237.07679999999999</v>
      </c>
      <c r="M2485">
        <v>0.15564169999999999</v>
      </c>
      <c r="N2485">
        <v>0</v>
      </c>
      <c r="O2485">
        <v>-0.98775219999999997</v>
      </c>
      <c r="P2485">
        <v>0.41552260000000002</v>
      </c>
      <c r="Q2485">
        <v>2.906862E-2</v>
      </c>
      <c r="R2485">
        <v>-0.90911850000000005</v>
      </c>
      <c r="S2485">
        <v>1.411346</v>
      </c>
      <c r="T2485">
        <v>-0.31728600000000001</v>
      </c>
      <c r="U2485">
        <v>-2.665375</v>
      </c>
      <c r="V2485">
        <v>-0.2690844</v>
      </c>
      <c r="W2485">
        <v>3.8776039999999998E-2</v>
      </c>
      <c r="X2485">
        <v>0.96233570000000002</v>
      </c>
      <c r="Y2485">
        <v>-0.32204700000000003</v>
      </c>
      <c r="Z2485">
        <v>0.1060589</v>
      </c>
      <c r="AA2485">
        <v>0.94076420000000005</v>
      </c>
      <c r="AB2485">
        <v>14</v>
      </c>
      <c r="AC2485">
        <v>4.9180000000000001</v>
      </c>
      <c r="AD2485">
        <v>-1.111532029318</v>
      </c>
      <c r="AE2485">
        <v>-9.1946999999999797</v>
      </c>
      <c r="AF2485">
        <v>-3.3883916416527402</v>
      </c>
      <c r="AG2485">
        <v>-1.111532029318</v>
      </c>
      <c r="AH2485">
        <v>9.73747994203144</v>
      </c>
      <c r="AI2485">
        <v>96.153247792220199</v>
      </c>
      <c r="AJ2485">
        <v>109.186577251041</v>
      </c>
      <c r="AK2485">
        <v>10.369918851702099</v>
      </c>
      <c r="AL2485">
        <v>87.777739427326196</v>
      </c>
      <c r="AM2485">
        <v>105.621839102666</v>
      </c>
      <c r="AN2485">
        <v>0.99999999754796498</v>
      </c>
    </row>
    <row r="2486" spans="1:40" x14ac:dyDescent="0.25">
      <c r="A2486" t="str">
        <f>"20190312151317449"</f>
        <v>20190312151317449</v>
      </c>
      <c r="B2486" t="str">
        <f>"1552374797442197"</f>
        <v>1552374797442197</v>
      </c>
      <c r="C2486" t="s">
        <v>40</v>
      </c>
      <c r="D2486">
        <v>4.205355</v>
      </c>
      <c r="E2486">
        <v>0.47806389999999999</v>
      </c>
      <c r="F2486" t="s">
        <v>53</v>
      </c>
      <c r="G2486">
        <v>-490.39819999999997</v>
      </c>
      <c r="H2486" s="1">
        <v>5.9255609999999996E-6</v>
      </c>
      <c r="I2486">
        <v>227.64840000000001</v>
      </c>
      <c r="J2486">
        <v>-495.41340000000002</v>
      </c>
      <c r="K2486">
        <v>1.1115729999999999</v>
      </c>
      <c r="L2486">
        <v>236.93969999999999</v>
      </c>
      <c r="M2486">
        <v>0.15912209999999999</v>
      </c>
      <c r="N2486">
        <v>0</v>
      </c>
      <c r="O2486">
        <v>-0.98719809999999997</v>
      </c>
      <c r="P2486">
        <v>0.41877940000000002</v>
      </c>
      <c r="Q2486">
        <v>3.028372E-2</v>
      </c>
      <c r="R2486">
        <v>-0.90758340000000004</v>
      </c>
      <c r="S2486">
        <v>1.42218</v>
      </c>
      <c r="T2486">
        <v>-0.31358649999999999</v>
      </c>
      <c r="U2486">
        <v>-2.6599430000000002</v>
      </c>
      <c r="V2486">
        <v>-0.26915679999999997</v>
      </c>
      <c r="W2486">
        <v>3.9938139999999997E-2</v>
      </c>
      <c r="X2486">
        <v>0.96226789999999995</v>
      </c>
      <c r="Y2486">
        <v>-0.32255319999999998</v>
      </c>
      <c r="Z2486">
        <v>0.10483239999999901</v>
      </c>
      <c r="AA2486">
        <v>0.94072820000000001</v>
      </c>
      <c r="AB2486">
        <v>14</v>
      </c>
      <c r="AC2486">
        <v>5.0152000000000498</v>
      </c>
      <c r="AD2486">
        <v>-1.1115670744389901</v>
      </c>
      <c r="AE2486">
        <v>-9.2912999999999695</v>
      </c>
      <c r="AF2486">
        <v>-3.4346852882734602</v>
      </c>
      <c r="AG2486">
        <v>-1.1115670744389901</v>
      </c>
      <c r="AH2486">
        <v>9.8616806597801396</v>
      </c>
      <c r="AI2486">
        <v>96.075941768241407</v>
      </c>
      <c r="AJ2486">
        <v>109.20251167171899</v>
      </c>
      <c r="AK2486">
        <v>10.5016850945903</v>
      </c>
      <c r="AL2486">
        <v>87.711104317473101</v>
      </c>
      <c r="AM2486">
        <v>105.626884193864</v>
      </c>
      <c r="AN2486">
        <v>0.99999997469165403</v>
      </c>
    </row>
    <row r="2487" spans="1:40" x14ac:dyDescent="0.25">
      <c r="A2487" t="str">
        <f>"20190312151317472"</f>
        <v>20190312151317472</v>
      </c>
      <c r="B2487" t="str">
        <f>"1552374797462692"</f>
        <v>1552374797462692</v>
      </c>
      <c r="C2487" t="s">
        <v>40</v>
      </c>
      <c r="D2487">
        <v>4.1645159999999999</v>
      </c>
      <c r="E2487">
        <v>0.47803630000000003</v>
      </c>
      <c r="F2487" t="s">
        <v>53</v>
      </c>
      <c r="G2487">
        <v>-490.26220000000001</v>
      </c>
      <c r="H2487" s="1">
        <v>5.8748199999999998E-6</v>
      </c>
      <c r="I2487">
        <v>227.38730000000001</v>
      </c>
      <c r="J2487">
        <v>-495.38580000000002</v>
      </c>
      <c r="K2487">
        <v>1.111613</v>
      </c>
      <c r="L2487">
        <v>236.79660000000001</v>
      </c>
      <c r="M2487">
        <v>0.16283599999999901</v>
      </c>
      <c r="N2487">
        <v>0</v>
      </c>
      <c r="O2487">
        <v>-0.98659229999999998</v>
      </c>
      <c r="P2487">
        <v>0.42258649999999998</v>
      </c>
      <c r="Q2487">
        <v>3.0702360000000001E-2</v>
      </c>
      <c r="R2487">
        <v>-0.90580229999999995</v>
      </c>
      <c r="S2487">
        <v>1.4317930000000001</v>
      </c>
      <c r="T2487">
        <v>-0.30896630000000003</v>
      </c>
      <c r="U2487">
        <v>-2.6551360000000002</v>
      </c>
      <c r="V2487">
        <v>-0.26958339999999997</v>
      </c>
      <c r="W2487">
        <v>4.0299300000000003E-2</v>
      </c>
      <c r="X2487">
        <v>0.96213349999999997</v>
      </c>
      <c r="Y2487">
        <v>-0.3224207</v>
      </c>
      <c r="Z2487">
        <v>0.1032932</v>
      </c>
      <c r="AA2487">
        <v>0.94094390000000006</v>
      </c>
      <c r="AB2487">
        <v>14</v>
      </c>
      <c r="AC2487">
        <v>5.1235999999999997</v>
      </c>
      <c r="AD2487">
        <v>-1.1116071251799999</v>
      </c>
      <c r="AE2487">
        <v>-9.4093</v>
      </c>
      <c r="AF2487">
        <v>-3.48542256056029</v>
      </c>
      <c r="AG2487">
        <v>-1.1116071251799999</v>
      </c>
      <c r="AH2487">
        <v>10.0102963456232</v>
      </c>
      <c r="AI2487">
        <v>95.986799404118798</v>
      </c>
      <c r="AJ2487">
        <v>109.197287106969</v>
      </c>
      <c r="AK2487">
        <v>10.657855025923901</v>
      </c>
      <c r="AL2487">
        <v>87.690394891519404</v>
      </c>
      <c r="AM2487">
        <v>105.65251822637801</v>
      </c>
      <c r="AN2487">
        <v>1.0000000574791399</v>
      </c>
    </row>
    <row r="2488" spans="1:40" x14ac:dyDescent="0.25">
      <c r="A2488" t="str">
        <f>"20190312151317493"</f>
        <v>20190312151317493</v>
      </c>
      <c r="B2488" t="str">
        <f>"1552374797483189"</f>
        <v>1552374797483189</v>
      </c>
      <c r="C2488" t="s">
        <v>40</v>
      </c>
      <c r="D2488">
        <v>4.0712010000000003</v>
      </c>
      <c r="E2488">
        <v>0.4780085</v>
      </c>
      <c r="F2488" t="s">
        <v>53</v>
      </c>
      <c r="G2488">
        <v>-490.15480000000002</v>
      </c>
      <c r="H2488" s="1">
        <v>5.8389509999999996E-6</v>
      </c>
      <c r="I2488">
        <v>227.19470000000001</v>
      </c>
      <c r="J2488">
        <v>-495.35980000000001</v>
      </c>
      <c r="K2488">
        <v>1.1116379999999999</v>
      </c>
      <c r="L2488">
        <v>236.66460000000001</v>
      </c>
      <c r="M2488">
        <v>0.16632769999999999</v>
      </c>
      <c r="N2488">
        <v>0</v>
      </c>
      <c r="O2488">
        <v>-0.98600980000000005</v>
      </c>
      <c r="P2488">
        <v>0.42608940000000001</v>
      </c>
      <c r="Q2488">
        <v>3.0127370000000001E-2</v>
      </c>
      <c r="R2488">
        <v>-0.90417939999999997</v>
      </c>
      <c r="S2488">
        <v>1.443176</v>
      </c>
      <c r="T2488">
        <v>-0.3066798</v>
      </c>
      <c r="U2488">
        <v>-2.6490779999999998</v>
      </c>
      <c r="V2488">
        <v>-0.26989920000000001</v>
      </c>
      <c r="W2488">
        <v>3.9678949999999998E-2</v>
      </c>
      <c r="X2488">
        <v>0.9620706</v>
      </c>
      <c r="Y2488">
        <v>-0.323131</v>
      </c>
      <c r="Z2488">
        <v>0.1025397</v>
      </c>
      <c r="AA2488">
        <v>0.94078260000000002</v>
      </c>
      <c r="AB2488">
        <v>14</v>
      </c>
      <c r="AC2488">
        <v>5.2049999999999796</v>
      </c>
      <c r="AD2488">
        <v>-1.1116321610490001</v>
      </c>
      <c r="AE2488">
        <v>-9.4698999999999902</v>
      </c>
      <c r="AF2488">
        <v>-3.52003667185557</v>
      </c>
      <c r="AG2488">
        <v>-1.1116321610490001</v>
      </c>
      <c r="AH2488">
        <v>10.096910691048199</v>
      </c>
      <c r="AI2488">
        <v>95.935135699322203</v>
      </c>
      <c r="AJ2488">
        <v>109.219837993083</v>
      </c>
      <c r="AK2488">
        <v>10.7505343930285</v>
      </c>
      <c r="AL2488">
        <v>87.725966463642905</v>
      </c>
      <c r="AM2488">
        <v>105.67092807194</v>
      </c>
      <c r="AN2488">
        <v>0.999999918309047</v>
      </c>
    </row>
    <row r="2489" spans="1:40" x14ac:dyDescent="0.25">
      <c r="A2489" t="str">
        <f>"20190312151317514"</f>
        <v>20190312151317514</v>
      </c>
      <c r="B2489" t="str">
        <f>"1552374797502709"</f>
        <v>1552374797502709</v>
      </c>
      <c r="C2489" t="s">
        <v>40</v>
      </c>
      <c r="D2489">
        <v>4.0202470000000003</v>
      </c>
      <c r="E2489">
        <v>0.47799560000000002</v>
      </c>
      <c r="F2489" t="s">
        <v>53</v>
      </c>
      <c r="G2489">
        <v>-490.09690000000001</v>
      </c>
      <c r="H2489" s="1">
        <v>5.8211949999999999E-6</v>
      </c>
      <c r="I2489">
        <v>227.0959</v>
      </c>
      <c r="J2489">
        <v>-495.33530000000002</v>
      </c>
      <c r="K2489">
        <v>1.1116619999999999</v>
      </c>
      <c r="L2489">
        <v>236.54249999999999</v>
      </c>
      <c r="M2489">
        <v>0.16961189999999901</v>
      </c>
      <c r="N2489">
        <v>0</v>
      </c>
      <c r="O2489">
        <v>-0.98545050000000001</v>
      </c>
      <c r="P2489">
        <v>0.42926449999999999</v>
      </c>
      <c r="Q2489">
        <v>2.9198849999999998E-2</v>
      </c>
      <c r="R2489">
        <v>-0.90270689999999998</v>
      </c>
      <c r="S2489">
        <v>1.453735</v>
      </c>
      <c r="T2489">
        <v>-0.30705569999999999</v>
      </c>
      <c r="U2489">
        <v>-2.6430820000000002</v>
      </c>
      <c r="V2489">
        <v>-0.27006869999999999</v>
      </c>
      <c r="W2489">
        <v>3.8715060000000003E-2</v>
      </c>
      <c r="X2489">
        <v>0.96206239999999998</v>
      </c>
      <c r="Y2489">
        <v>-0.32375989999999999</v>
      </c>
      <c r="Z2489">
        <v>0.1026754</v>
      </c>
      <c r="AA2489">
        <v>0.94055160000000004</v>
      </c>
      <c r="AB2489">
        <v>14</v>
      </c>
      <c r="AC2489">
        <v>5.2384000000000102</v>
      </c>
      <c r="AD2489">
        <v>-1.1116561788049999</v>
      </c>
      <c r="AE2489">
        <v>-9.4465999999999894</v>
      </c>
      <c r="AF2489">
        <v>-3.52282893970458</v>
      </c>
      <c r="AG2489">
        <v>-1.1116561788049999</v>
      </c>
      <c r="AH2489">
        <v>10.091378579293499</v>
      </c>
      <c r="AI2489">
        <v>95.937635710923203</v>
      </c>
      <c r="AJ2489">
        <v>109.24373366707501</v>
      </c>
      <c r="AK2489">
        <v>10.746256316918901</v>
      </c>
      <c r="AL2489">
        <v>87.781235977211594</v>
      </c>
      <c r="AM2489">
        <v>105.680412730803</v>
      </c>
      <c r="AN2489">
        <v>1.00000001004212</v>
      </c>
    </row>
    <row r="2490" spans="1:40" x14ac:dyDescent="0.25">
      <c r="A2490" t="str">
        <f>"20190312151317536"</f>
        <v>20190312151317536</v>
      </c>
      <c r="B2490" t="str">
        <f>"1552374797532965"</f>
        <v>1552374797532965</v>
      </c>
      <c r="C2490" t="s">
        <v>40</v>
      </c>
      <c r="D2490">
        <v>3.9015209999999998</v>
      </c>
      <c r="E2490">
        <v>0.4779832</v>
      </c>
      <c r="F2490" t="s">
        <v>53</v>
      </c>
      <c r="G2490">
        <v>-490.06540000000001</v>
      </c>
      <c r="H2490" s="1">
        <v>5.8108299999999999E-6</v>
      </c>
      <c r="I2490">
        <v>227.03989999999999</v>
      </c>
      <c r="J2490">
        <v>-495.30759999999998</v>
      </c>
      <c r="K2490">
        <v>1.1116820000000001</v>
      </c>
      <c r="L2490">
        <v>236.40770000000001</v>
      </c>
      <c r="M2490">
        <v>0.17329990000000001</v>
      </c>
      <c r="N2490">
        <v>0</v>
      </c>
      <c r="O2490">
        <v>-0.98480880000000004</v>
      </c>
      <c r="P2490">
        <v>0.43294349999999998</v>
      </c>
      <c r="Q2490">
        <v>2.8859679999999999E-2</v>
      </c>
      <c r="R2490">
        <v>-0.90095899999999995</v>
      </c>
      <c r="S2490">
        <v>1.462799</v>
      </c>
      <c r="T2490">
        <v>-0.30857040000000002</v>
      </c>
      <c r="U2490">
        <v>-2.6377109999999999</v>
      </c>
      <c r="V2490">
        <v>-0.27039089999999999</v>
      </c>
      <c r="W2490">
        <v>3.8338150000000001E-2</v>
      </c>
      <c r="X2490">
        <v>0.96198700000000004</v>
      </c>
      <c r="Y2490">
        <v>-0.32347809999999999</v>
      </c>
      <c r="Z2490">
        <v>0.1031826</v>
      </c>
      <c r="AA2490">
        <v>0.94059309999999996</v>
      </c>
      <c r="AB2490">
        <v>14</v>
      </c>
      <c r="AC2490">
        <v>5.2421999999999596</v>
      </c>
      <c r="AD2490">
        <v>-1.11167618917</v>
      </c>
      <c r="AE2490">
        <v>-9.3678000000000097</v>
      </c>
      <c r="AF2490">
        <v>-3.5017820752448099</v>
      </c>
      <c r="AG2490">
        <v>-1.11167618917</v>
      </c>
      <c r="AH2490">
        <v>10.0270340057296</v>
      </c>
      <c r="AI2490">
        <v>95.975309529154003</v>
      </c>
      <c r="AJ2490">
        <v>109.250942426739</v>
      </c>
      <c r="AK2490">
        <v>10.6789378031774</v>
      </c>
      <c r="AL2490">
        <v>87.802847396903999</v>
      </c>
      <c r="AM2490">
        <v>105.69936793621601</v>
      </c>
      <c r="AN2490">
        <v>1.0000000203586099</v>
      </c>
    </row>
    <row r="2491" spans="1:40" x14ac:dyDescent="0.25">
      <c r="A2491" t="str">
        <f>"20190312151317559"</f>
        <v>20190312151317559</v>
      </c>
      <c r="B2491" t="str">
        <f>"1552374797552486"</f>
        <v>1552374797552486</v>
      </c>
      <c r="C2491" t="s">
        <v>40</v>
      </c>
      <c r="D2491">
        <v>3.9028969999999998</v>
      </c>
      <c r="E2491">
        <v>0.47796650000000002</v>
      </c>
      <c r="F2491" t="s">
        <v>53</v>
      </c>
      <c r="G2491">
        <v>-489.97919999999999</v>
      </c>
      <c r="H2491" s="1">
        <v>5.7840279999999999E-6</v>
      </c>
      <c r="I2491">
        <v>226.89160000000001</v>
      </c>
      <c r="J2491">
        <v>-495.27789999999999</v>
      </c>
      <c r="K2491">
        <v>1.1117109999999999</v>
      </c>
      <c r="L2491">
        <v>236.26609999999999</v>
      </c>
      <c r="M2491">
        <v>0.1772504</v>
      </c>
      <c r="N2491">
        <v>0</v>
      </c>
      <c r="O2491">
        <v>-0.98410569999999997</v>
      </c>
      <c r="P2491">
        <v>0.43672139999999998</v>
      </c>
      <c r="Q2491">
        <v>2.9087970000000001E-2</v>
      </c>
      <c r="R2491">
        <v>-0.8991266</v>
      </c>
      <c r="S2491">
        <v>1.473511</v>
      </c>
      <c r="T2491">
        <v>-0.30742069999999999</v>
      </c>
      <c r="U2491">
        <v>-2.631561</v>
      </c>
      <c r="V2491">
        <v>-0.27057340000000002</v>
      </c>
      <c r="W2491">
        <v>3.85297E-2</v>
      </c>
      <c r="X2491">
        <v>0.96192800000000001</v>
      </c>
      <c r="Y2491">
        <v>-0.32355410000000001</v>
      </c>
      <c r="Z2491">
        <v>0.1028039</v>
      </c>
      <c r="AA2491">
        <v>0.94060829999999995</v>
      </c>
      <c r="AB2491">
        <v>14</v>
      </c>
      <c r="AC2491">
        <v>5.2986999999999904</v>
      </c>
      <c r="AD2491">
        <v>-1.111705215972</v>
      </c>
      <c r="AE2491">
        <v>-9.3744999999999798</v>
      </c>
      <c r="AF2491">
        <v>-3.5155875594571602</v>
      </c>
      <c r="AG2491">
        <v>-1.111705215972</v>
      </c>
      <c r="AH2491">
        <v>10.058096322720001</v>
      </c>
      <c r="AI2491">
        <v>95.956601900887605</v>
      </c>
      <c r="AJ2491">
        <v>109.26595680994301</v>
      </c>
      <c r="AK2491">
        <v>10.712634877215899</v>
      </c>
      <c r="AL2491">
        <v>87.791864208256101</v>
      </c>
      <c r="AM2491">
        <v>105.71035721004201</v>
      </c>
      <c r="AN2491">
        <v>0.99999998987682504</v>
      </c>
    </row>
    <row r="2492" spans="1:40" x14ac:dyDescent="0.25">
      <c r="A2492" t="str">
        <f>"20190312151317580"</f>
        <v>20190312151317580</v>
      </c>
      <c r="B2492" t="str">
        <f>"1552374797572981"</f>
        <v>1552374797572981</v>
      </c>
      <c r="C2492" t="s">
        <v>40</v>
      </c>
      <c r="D2492">
        <v>3.8773689999999998</v>
      </c>
      <c r="E2492">
        <v>0.4779678</v>
      </c>
      <c r="F2492" t="s">
        <v>53</v>
      </c>
      <c r="G2492">
        <v>-489.87189999999998</v>
      </c>
      <c r="H2492" s="1">
        <v>5.7087750000000002E-6</v>
      </c>
      <c r="I2492">
        <v>226.7072</v>
      </c>
      <c r="J2492">
        <v>-495.24959999999999</v>
      </c>
      <c r="K2492">
        <v>1.1117459999999999</v>
      </c>
      <c r="L2492">
        <v>236.1345</v>
      </c>
      <c r="M2492">
        <v>0.1809933</v>
      </c>
      <c r="N2492">
        <v>0</v>
      </c>
      <c r="O2492">
        <v>-0.98342450000000003</v>
      </c>
      <c r="P2492">
        <v>0.4401156</v>
      </c>
      <c r="Q2492">
        <v>2.980855E-2</v>
      </c>
      <c r="R2492">
        <v>-0.89744669999999904</v>
      </c>
      <c r="S2492">
        <v>1.4847109999999999</v>
      </c>
      <c r="T2492">
        <v>-0.30531989999999998</v>
      </c>
      <c r="U2492">
        <v>-2.6252900000000001</v>
      </c>
      <c r="V2492">
        <v>-0.27055790000000002</v>
      </c>
      <c r="W2492">
        <v>3.921583E-2</v>
      </c>
      <c r="X2492">
        <v>0.9619046</v>
      </c>
      <c r="Y2492">
        <v>-0.32399529999999999</v>
      </c>
      <c r="Z2492">
        <v>0.1021064</v>
      </c>
      <c r="AA2492">
        <v>0.94053249999999999</v>
      </c>
      <c r="AB2492">
        <v>14</v>
      </c>
      <c r="AC2492">
        <v>5.3776999999999999</v>
      </c>
      <c r="AD2492">
        <v>-1.1117402912249901</v>
      </c>
      <c r="AE2492">
        <v>-9.4273000000000007</v>
      </c>
      <c r="AF2492">
        <v>-3.5452950827454601</v>
      </c>
      <c r="AG2492">
        <v>-1.1117402912249901</v>
      </c>
      <c r="AH2492">
        <v>10.138587713205</v>
      </c>
      <c r="AI2492">
        <v>95.909549199155705</v>
      </c>
      <c r="AJ2492">
        <v>109.273880680662</v>
      </c>
      <c r="AK2492">
        <v>10.7979648321905</v>
      </c>
      <c r="AL2492">
        <v>87.752522048545501</v>
      </c>
      <c r="AM2492">
        <v>105.709864956196</v>
      </c>
      <c r="AN2492">
        <v>0.99999995903807803</v>
      </c>
    </row>
    <row r="2493" spans="1:40" x14ac:dyDescent="0.25">
      <c r="A2493" t="str">
        <f>"20190312151317603"</f>
        <v>20190312151317603</v>
      </c>
      <c r="B2493" t="str">
        <f>"1552374797592501"</f>
        <v>1552374797592501</v>
      </c>
      <c r="C2493" t="s">
        <v>40</v>
      </c>
      <c r="D2493">
        <v>3.8479960000000002</v>
      </c>
      <c r="E2493">
        <v>0.47796040000000001</v>
      </c>
      <c r="F2493" t="s">
        <v>53</v>
      </c>
      <c r="G2493">
        <v>-489.74290000000002</v>
      </c>
      <c r="H2493" s="1">
        <v>5.6044920000000001E-6</v>
      </c>
      <c r="I2493">
        <v>226.4813</v>
      </c>
      <c r="J2493">
        <v>-495.21969999999999</v>
      </c>
      <c r="K2493">
        <v>1.1117900000000001</v>
      </c>
      <c r="L2493">
        <v>235.99789999999999</v>
      </c>
      <c r="M2493">
        <v>0.1849536</v>
      </c>
      <c r="N2493">
        <v>0</v>
      </c>
      <c r="O2493">
        <v>-0.98268750000000005</v>
      </c>
      <c r="P2493">
        <v>0.44394709999999898</v>
      </c>
      <c r="Q2493">
        <v>3.0235000000000001E-2</v>
      </c>
      <c r="R2493">
        <v>-0.89554299999999998</v>
      </c>
      <c r="S2493">
        <v>1.494537</v>
      </c>
      <c r="T2493">
        <v>-0.30173030000000001</v>
      </c>
      <c r="U2493">
        <v>-2.6199189999999999</v>
      </c>
      <c r="V2493">
        <v>-0.27080189999999998</v>
      </c>
      <c r="W2493">
        <v>3.9604149999999998E-2</v>
      </c>
      <c r="X2493">
        <v>0.96182009999999996</v>
      </c>
      <c r="Y2493">
        <v>-0.3237392</v>
      </c>
      <c r="Z2493">
        <v>0.10090159999999999</v>
      </c>
      <c r="AA2493">
        <v>0.94075070000000005</v>
      </c>
      <c r="AB2493">
        <v>14</v>
      </c>
      <c r="AC2493">
        <v>5.4767999999999599</v>
      </c>
      <c r="AD2493">
        <v>-1.111784395508</v>
      </c>
      <c r="AE2493">
        <v>-9.5165999999999809</v>
      </c>
      <c r="AF2493">
        <v>-3.58530742648915</v>
      </c>
      <c r="AG2493">
        <v>-1.111784395508</v>
      </c>
      <c r="AH2493">
        <v>10.2602125163171</v>
      </c>
      <c r="AI2493">
        <v>95.840657750436193</v>
      </c>
      <c r="AJ2493">
        <v>109.26135146469601</v>
      </c>
      <c r="AK2493">
        <v>10.925312570564</v>
      </c>
      <c r="AL2493">
        <v>87.730255816169304</v>
      </c>
      <c r="AM2493">
        <v>105.724645407585</v>
      </c>
      <c r="AN2493">
        <v>1.00000003125242</v>
      </c>
    </row>
    <row r="2494" spans="1:40" x14ac:dyDescent="0.25">
      <c r="A2494" t="str">
        <f>"20190312151317626"</f>
        <v>20190312151317626</v>
      </c>
      <c r="B2494" t="str">
        <f>"1552374797622757"</f>
        <v>1552374797622757</v>
      </c>
      <c r="C2494" t="s">
        <v>40</v>
      </c>
      <c r="D2494">
        <v>3.8306550000000001</v>
      </c>
      <c r="E2494">
        <v>0.4779504</v>
      </c>
      <c r="F2494" t="s">
        <v>53</v>
      </c>
      <c r="G2494">
        <v>-489.61860000000001</v>
      </c>
      <c r="H2494" s="1">
        <v>5.5085349999999998E-6</v>
      </c>
      <c r="I2494">
        <v>226.2783</v>
      </c>
      <c r="J2494">
        <v>-495.1891</v>
      </c>
      <c r="K2494">
        <v>1.111836</v>
      </c>
      <c r="L2494">
        <v>235.8613</v>
      </c>
      <c r="M2494">
        <v>0.1889941</v>
      </c>
      <c r="N2494">
        <v>0</v>
      </c>
      <c r="O2494">
        <v>-0.98191870000000003</v>
      </c>
      <c r="P2494">
        <v>0.447295</v>
      </c>
      <c r="Q2494">
        <v>3.0963330000000001E-2</v>
      </c>
      <c r="R2494">
        <v>-0.89385079999999995</v>
      </c>
      <c r="S2494">
        <v>1.5060420000000001</v>
      </c>
      <c r="T2494">
        <v>-0.29894009999999999</v>
      </c>
      <c r="U2494">
        <v>-2.6134339999999998</v>
      </c>
      <c r="V2494">
        <v>-0.27045629999999998</v>
      </c>
      <c r="W2494">
        <v>4.0296909999999998E-2</v>
      </c>
      <c r="X2494">
        <v>0.96188859999999998</v>
      </c>
      <c r="Y2494">
        <v>-0.32401619999999998</v>
      </c>
      <c r="Z2494">
        <v>9.9968020000000005E-2</v>
      </c>
      <c r="AA2494">
        <v>0.94075500000000001</v>
      </c>
      <c r="AB2494">
        <v>14</v>
      </c>
      <c r="AC2494">
        <v>5.5704999999999796</v>
      </c>
      <c r="AD2494">
        <v>-1.1118304914649999</v>
      </c>
      <c r="AE2494">
        <v>-9.5829999999999895</v>
      </c>
      <c r="AF2494">
        <v>-3.6224155491290002</v>
      </c>
      <c r="AG2494">
        <v>-1.1118304914649999</v>
      </c>
      <c r="AH2494">
        <v>10.3589067247323</v>
      </c>
      <c r="AI2494">
        <v>95.785175725684894</v>
      </c>
      <c r="AJ2494">
        <v>109.274267962374</v>
      </c>
      <c r="AK2494">
        <v>11.0301863077659</v>
      </c>
      <c r="AL2494">
        <v>87.6905319570985</v>
      </c>
      <c r="AM2494">
        <v>105.70450502391</v>
      </c>
      <c r="AN2494">
        <v>1.00000006498759</v>
      </c>
    </row>
    <row r="2495" spans="1:40" x14ac:dyDescent="0.25">
      <c r="A2495" t="str">
        <f>"20190312151317650"</f>
        <v>20190312151317650</v>
      </c>
      <c r="B2495" t="str">
        <f>"1552374797642277"</f>
        <v>1552374797642277</v>
      </c>
      <c r="C2495" t="s">
        <v>40</v>
      </c>
      <c r="D2495">
        <v>3.8317749999999999</v>
      </c>
      <c r="E2495">
        <v>0.47794300000000001</v>
      </c>
      <c r="F2495" t="s">
        <v>53</v>
      </c>
      <c r="G2495">
        <v>-489.47210000000001</v>
      </c>
      <c r="H2495" s="1">
        <v>5.3917660000000001E-6</v>
      </c>
      <c r="I2495">
        <v>226.02719999999999</v>
      </c>
      <c r="J2495">
        <v>-495.15589999999997</v>
      </c>
      <c r="K2495">
        <v>1.111885</v>
      </c>
      <c r="L2495">
        <v>235.7166</v>
      </c>
      <c r="M2495">
        <v>0.19337969999999999</v>
      </c>
      <c r="N2495">
        <v>0</v>
      </c>
      <c r="O2495">
        <v>-0.98106439999999995</v>
      </c>
      <c r="P2495">
        <v>0.45138010000000001</v>
      </c>
      <c r="Q2495">
        <v>3.0922140000000001E-2</v>
      </c>
      <c r="R2495">
        <v>-0.89179599999999903</v>
      </c>
      <c r="S2495">
        <v>1.516052</v>
      </c>
      <c r="T2495">
        <v>-0.2948384</v>
      </c>
      <c r="U2495">
        <v>-2.6078489999999999</v>
      </c>
      <c r="V2495">
        <v>-0.27056360000000002</v>
      </c>
      <c r="W2495">
        <v>4.0218299999999998E-2</v>
      </c>
      <c r="X2495">
        <v>0.96186170000000004</v>
      </c>
      <c r="Y2495">
        <v>-0.32343549999999999</v>
      </c>
      <c r="Z2495">
        <v>9.8585720000000002E-2</v>
      </c>
      <c r="AA2495">
        <v>0.94110059999999995</v>
      </c>
      <c r="AB2495">
        <v>14</v>
      </c>
      <c r="AC2495">
        <v>5.6837999999999598</v>
      </c>
      <c r="AD2495">
        <v>-1.1118796082339999</v>
      </c>
      <c r="AE2495">
        <v>-9.6893999999999991</v>
      </c>
      <c r="AF2495">
        <v>-3.6667342903837898</v>
      </c>
      <c r="AG2495">
        <v>-1.1118796082339999</v>
      </c>
      <c r="AH2495">
        <v>10.5027819267161</v>
      </c>
      <c r="AI2495">
        <v>95.707710381018899</v>
      </c>
      <c r="AJ2495">
        <v>109.245130950381</v>
      </c>
      <c r="AK2495">
        <v>11.179876780163401</v>
      </c>
      <c r="AL2495">
        <v>87.695039601409206</v>
      </c>
      <c r="AM2495">
        <v>105.710845676312</v>
      </c>
      <c r="AN2495">
        <v>1.00000005161336</v>
      </c>
    </row>
    <row r="2496" spans="1:40" x14ac:dyDescent="0.25">
      <c r="A2496" t="str">
        <f>"20190312151317672"</f>
        <v>20190312151317672</v>
      </c>
      <c r="B2496" t="str">
        <f>"1552374797662773"</f>
        <v>1552374797662773</v>
      </c>
      <c r="C2496" t="s">
        <v>40</v>
      </c>
      <c r="D2496">
        <v>3.7989060000000001</v>
      </c>
      <c r="E2496">
        <v>0.45198949999999999</v>
      </c>
      <c r="F2496" t="s">
        <v>53</v>
      </c>
      <c r="G2496">
        <v>-489.38290000000001</v>
      </c>
      <c r="H2496" s="1">
        <v>5.3248229999999998E-6</v>
      </c>
      <c r="I2496">
        <v>225.8877</v>
      </c>
      <c r="J2496">
        <v>-495.12400000000002</v>
      </c>
      <c r="K2496">
        <v>1.11192</v>
      </c>
      <c r="L2496">
        <v>235.58080000000001</v>
      </c>
      <c r="M2496">
        <v>0.1975615</v>
      </c>
      <c r="N2496">
        <v>0</v>
      </c>
      <c r="O2496">
        <v>-0.98023079999999996</v>
      </c>
      <c r="P2496">
        <v>0.45502110000000001</v>
      </c>
      <c r="Q2496">
        <v>3.0327929999999999E-2</v>
      </c>
      <c r="R2496">
        <v>-0.88996430000000004</v>
      </c>
      <c r="S2496">
        <v>1.527679</v>
      </c>
      <c r="T2496">
        <v>-0.29423379999999999</v>
      </c>
      <c r="U2496">
        <v>-2.6009829999999998</v>
      </c>
      <c r="V2496">
        <v>-0.27039010000000002</v>
      </c>
      <c r="W2496">
        <v>3.9597470000000003E-2</v>
      </c>
      <c r="X2496">
        <v>0.96193620000000002</v>
      </c>
      <c r="Y2496">
        <v>-0.32362590000000002</v>
      </c>
      <c r="Z2496">
        <v>9.8376500000000006E-2</v>
      </c>
      <c r="AA2496">
        <v>0.94105700000000003</v>
      </c>
      <c r="AB2496">
        <v>14</v>
      </c>
      <c r="AC2496">
        <v>5.7411000000000101</v>
      </c>
      <c r="AD2496">
        <v>-1.1119146751769999</v>
      </c>
      <c r="AE2496">
        <v>-9.69310000000001</v>
      </c>
      <c r="AF2496">
        <v>-3.6770173322458</v>
      </c>
      <c r="AG2496">
        <v>-1.1119146751769999</v>
      </c>
      <c r="AH2496">
        <v>10.5337040014278</v>
      </c>
      <c r="AI2496">
        <v>95.691329239767796</v>
      </c>
      <c r="AJ2496">
        <v>109.24264622566101</v>
      </c>
      <c r="AK2496">
        <v>11.2123026491531</v>
      </c>
      <c r="AL2496">
        <v>87.730638802671095</v>
      </c>
      <c r="AM2496">
        <v>105.70011197875</v>
      </c>
      <c r="AN2496">
        <v>1.0000000093394199</v>
      </c>
    </row>
    <row r="2497" spans="1:40" x14ac:dyDescent="0.25">
      <c r="A2497" t="str">
        <f>"20190312151317694"</f>
        <v>20190312151317694</v>
      </c>
      <c r="B2497" t="str">
        <f>"1552374797682293"</f>
        <v>1552374797682293</v>
      </c>
      <c r="C2497" t="s">
        <v>40</v>
      </c>
      <c r="D2497">
        <v>3.7906960000000001</v>
      </c>
      <c r="E2497">
        <v>0.44780579999999998</v>
      </c>
      <c r="F2497" t="s">
        <v>53</v>
      </c>
      <c r="G2497">
        <v>-486.95429999999999</v>
      </c>
      <c r="H2497" s="1">
        <v>4.13714E-6</v>
      </c>
      <c r="I2497">
        <v>223.7099</v>
      </c>
      <c r="J2497">
        <v>-495.09280000000001</v>
      </c>
      <c r="K2497">
        <v>1.1119490000000001</v>
      </c>
      <c r="L2497">
        <v>235.45099999999999</v>
      </c>
      <c r="M2497">
        <v>0.20163229999999999</v>
      </c>
      <c r="N2497">
        <v>0</v>
      </c>
      <c r="O2497">
        <v>-0.97940159999999998</v>
      </c>
      <c r="P2497">
        <v>0.45820240000000001</v>
      </c>
      <c r="Q2497">
        <v>2.9829459999999999E-2</v>
      </c>
      <c r="R2497">
        <v>-0.88834740000000001</v>
      </c>
      <c r="S2497">
        <v>1.720154</v>
      </c>
      <c r="T2497">
        <v>-0.23411680000000001</v>
      </c>
      <c r="U2497">
        <v>-2.499466</v>
      </c>
      <c r="V2497">
        <v>-0.26983220000000002</v>
      </c>
      <c r="W2497">
        <v>3.9080980000000001E-2</v>
      </c>
      <c r="X2497">
        <v>0.96211389999999997</v>
      </c>
      <c r="Y2497">
        <v>-0.387409</v>
      </c>
      <c r="Z2497">
        <v>7.8488420000000003E-2</v>
      </c>
      <c r="AA2497">
        <v>0.91856070000000001</v>
      </c>
      <c r="AB2497">
        <v>14</v>
      </c>
      <c r="AC2497">
        <v>8.1385000000000201</v>
      </c>
      <c r="AD2497">
        <v>-1.1119448628599999</v>
      </c>
      <c r="AE2497">
        <v>-11.7410999999999</v>
      </c>
      <c r="AF2497">
        <v>-5.5700576919337701</v>
      </c>
      <c r="AG2497">
        <v>-1.1119448628599999</v>
      </c>
      <c r="AH2497">
        <v>13.0618726657304</v>
      </c>
      <c r="AI2497">
        <v>94.477486636862594</v>
      </c>
      <c r="AJ2497">
        <v>113.09516351589799</v>
      </c>
      <c r="AK2497">
        <v>14.243401335540099</v>
      </c>
      <c r="AL2497">
        <v>87.760254287191998</v>
      </c>
      <c r="AM2497">
        <v>105.666558486611</v>
      </c>
      <c r="AN2497">
        <v>0.999999947863903</v>
      </c>
    </row>
    <row r="2498" spans="1:40" x14ac:dyDescent="0.25">
      <c r="A2498" t="str">
        <f>"20190312151317715"</f>
        <v>20190312151317715</v>
      </c>
      <c r="B2498" t="str">
        <f>"1552374797712550"</f>
        <v>1552374797712550</v>
      </c>
      <c r="C2498" t="s">
        <v>40</v>
      </c>
      <c r="D2498">
        <v>3.7262580000000001</v>
      </c>
      <c r="E2498">
        <v>0.44631090000000001</v>
      </c>
      <c r="F2498" t="s">
        <v>53</v>
      </c>
      <c r="G2498">
        <v>-487.78750000000002</v>
      </c>
      <c r="H2498" s="1">
        <v>4.7236820000000001E-6</v>
      </c>
      <c r="I2498">
        <v>225.1635</v>
      </c>
      <c r="J2498">
        <v>-495.06119999999999</v>
      </c>
      <c r="K2498">
        <v>1.111974</v>
      </c>
      <c r="L2498">
        <v>235.32210000000001</v>
      </c>
      <c r="M2498">
        <v>0.20574339999999999</v>
      </c>
      <c r="N2498">
        <v>0</v>
      </c>
      <c r="O2498">
        <v>-0.97854609999999997</v>
      </c>
      <c r="P2498">
        <v>0.46182689999999998</v>
      </c>
      <c r="Q2498">
        <v>3.0052450000000001E-2</v>
      </c>
      <c r="R2498">
        <v>-0.886461099999999</v>
      </c>
      <c r="S2498">
        <v>1.7598879999999999</v>
      </c>
      <c r="T2498">
        <v>-0.2678758</v>
      </c>
      <c r="U2498">
        <v>-2.4783330000000001</v>
      </c>
      <c r="V2498">
        <v>-0.26972679999999999</v>
      </c>
      <c r="W2498">
        <v>3.9285390000000003E-2</v>
      </c>
      <c r="X2498">
        <v>0.96213519999999997</v>
      </c>
      <c r="Y2498">
        <v>-0.39648149999999999</v>
      </c>
      <c r="Z2498">
        <v>8.9659559999999999E-2</v>
      </c>
      <c r="AA2498">
        <v>0.91365399999999997</v>
      </c>
      <c r="AB2498">
        <v>14</v>
      </c>
      <c r="AC2498">
        <v>7.2736999999999599</v>
      </c>
      <c r="AD2498">
        <v>-1.111969276318</v>
      </c>
      <c r="AE2498">
        <v>-10.1586</v>
      </c>
      <c r="AF2498">
        <v>-4.98836833628277</v>
      </c>
      <c r="AG2498">
        <v>-1.111969276318</v>
      </c>
      <c r="AH2498">
        <v>11.347958856564601</v>
      </c>
      <c r="AI2498">
        <v>95.125947641171905</v>
      </c>
      <c r="AJ2498">
        <v>113.729468190022</v>
      </c>
      <c r="AK2498">
        <v>12.445740819259701</v>
      </c>
      <c r="AL2498">
        <v>87.748533608205406</v>
      </c>
      <c r="AM2498">
        <v>105.660409560541</v>
      </c>
      <c r="AN2498">
        <v>1.0000000157923601</v>
      </c>
    </row>
    <row r="2499" spans="1:40" x14ac:dyDescent="0.25">
      <c r="A2499" t="str">
        <f>"20190312151317736"</f>
        <v>20190312151317736</v>
      </c>
      <c r="B2499" t="str">
        <f>"1552374797733045"</f>
        <v>1552374797733045</v>
      </c>
      <c r="C2499" t="s">
        <v>40</v>
      </c>
      <c r="D2499">
        <v>3.7572320000000001</v>
      </c>
      <c r="E2499">
        <v>0.44594539999999999</v>
      </c>
      <c r="F2499" t="s">
        <v>53</v>
      </c>
      <c r="G2499">
        <v>-488.10590000000002</v>
      </c>
      <c r="H2499" s="1">
        <v>4.9252680000000001E-6</v>
      </c>
      <c r="I2499">
        <v>225.69479999999999</v>
      </c>
      <c r="J2499">
        <v>-495.02780000000001</v>
      </c>
      <c r="K2499">
        <v>1.1120019999999999</v>
      </c>
      <c r="L2499">
        <v>235.1883</v>
      </c>
      <c r="M2499">
        <v>0.21008750000000001</v>
      </c>
      <c r="N2499">
        <v>0</v>
      </c>
      <c r="O2499">
        <v>-0.97762269999999896</v>
      </c>
      <c r="P2499">
        <v>0.46530569999999999</v>
      </c>
      <c r="Q2499">
        <v>2.9867459999999998E-2</v>
      </c>
      <c r="R2499">
        <v>-0.8846463</v>
      </c>
      <c r="S2499">
        <v>1.7814639999999999</v>
      </c>
      <c r="T2499">
        <v>-0.28480650000000002</v>
      </c>
      <c r="U2499">
        <v>-2.465805</v>
      </c>
      <c r="V2499">
        <v>-0.26923350000000001</v>
      </c>
      <c r="W2499">
        <v>3.9084319999999999E-2</v>
      </c>
      <c r="X2499">
        <v>0.96228150000000001</v>
      </c>
      <c r="Y2499">
        <v>-0.399561</v>
      </c>
      <c r="Z2499">
        <v>9.5239560000000001E-2</v>
      </c>
      <c r="AA2499">
        <v>0.91174580000000005</v>
      </c>
      <c r="AB2499">
        <v>14</v>
      </c>
      <c r="AC2499">
        <v>6.9218999999999902</v>
      </c>
      <c r="AD2499">
        <v>-1.1119970747319901</v>
      </c>
      <c r="AE2499">
        <v>-9.4935000000000098</v>
      </c>
      <c r="AF2499">
        <v>-4.7304456259010399</v>
      </c>
      <c r="AG2499">
        <v>-1.1119970747319901</v>
      </c>
      <c r="AH2499">
        <v>10.640577464443901</v>
      </c>
      <c r="AI2499">
        <v>95.454853517956394</v>
      </c>
      <c r="AJ2499">
        <v>113.968334494646</v>
      </c>
      <c r="AK2499">
        <v>11.6976725074115</v>
      </c>
      <c r="AL2499">
        <v>87.760062830224896</v>
      </c>
      <c r="AM2499">
        <v>105.63090951514801</v>
      </c>
      <c r="AN2499">
        <v>0.99999997341718005</v>
      </c>
    </row>
    <row r="2500" spans="1:40" x14ac:dyDescent="0.25">
      <c r="A2500" t="str">
        <f>"20190312151317759"</f>
        <v>20190312151317759</v>
      </c>
      <c r="B2500" t="str">
        <f>"1552374797752565"</f>
        <v>1552374797752565</v>
      </c>
      <c r="C2500" t="s">
        <v>40</v>
      </c>
      <c r="D2500">
        <v>3.7859600000000002</v>
      </c>
      <c r="E2500">
        <v>0.44613459999999999</v>
      </c>
      <c r="F2500" t="s">
        <v>53</v>
      </c>
      <c r="G2500">
        <v>-488.01769999999999</v>
      </c>
      <c r="H2500" s="1">
        <v>4.8680410000000003E-6</v>
      </c>
      <c r="I2500">
        <v>225.5856</v>
      </c>
      <c r="J2500">
        <v>-494.99290000000002</v>
      </c>
      <c r="K2500">
        <v>1.1120369999999999</v>
      </c>
      <c r="L2500">
        <v>235.05179999999999</v>
      </c>
      <c r="M2500">
        <v>0.21459810000000001</v>
      </c>
      <c r="N2500">
        <v>0</v>
      </c>
      <c r="O2500">
        <v>-0.97664249999999997</v>
      </c>
      <c r="P2500">
        <v>0.46891709999999898</v>
      </c>
      <c r="Q2500">
        <v>2.911559E-2</v>
      </c>
      <c r="R2500">
        <v>-0.88276219999999905</v>
      </c>
      <c r="S2500">
        <v>1.7938540000000001</v>
      </c>
      <c r="T2500">
        <v>-0.284555</v>
      </c>
      <c r="U2500">
        <v>-2.4572750000000001</v>
      </c>
      <c r="V2500">
        <v>-0.26871830000000002</v>
      </c>
      <c r="W2500">
        <v>3.831528E-2</v>
      </c>
      <c r="X2500">
        <v>0.96245650000000005</v>
      </c>
      <c r="Y2500">
        <v>-0.39984530000000001</v>
      </c>
      <c r="Z2500">
        <v>9.5144580000000006E-2</v>
      </c>
      <c r="AA2500">
        <v>0.91163110000000003</v>
      </c>
      <c r="AB2500">
        <v>14</v>
      </c>
      <c r="AC2500">
        <v>6.9752000000000196</v>
      </c>
      <c r="AD2500">
        <v>-1.1120321319589901</v>
      </c>
      <c r="AE2500">
        <v>-9.4661999999999793</v>
      </c>
      <c r="AF2500">
        <v>-4.7387449041473797</v>
      </c>
      <c r="AG2500">
        <v>-1.1120321319589901</v>
      </c>
      <c r="AH2500">
        <v>10.6473570785526</v>
      </c>
      <c r="AI2500">
        <v>95.450573191291298</v>
      </c>
      <c r="AJ2500">
        <v>113.99207791760401</v>
      </c>
      <c r="AK2500">
        <v>11.7071999849364</v>
      </c>
      <c r="AL2500">
        <v>87.804158779761906</v>
      </c>
      <c r="AM2500">
        <v>105.599757933433</v>
      </c>
      <c r="AN2500">
        <v>1.0000000499143</v>
      </c>
    </row>
    <row r="2501" spans="1:40" x14ac:dyDescent="0.25">
      <c r="A2501" t="str">
        <f>"20190312151317783"</f>
        <v>20190312151317783</v>
      </c>
      <c r="B2501" t="str">
        <f>"1552374797772085"</f>
        <v>1552374797772085</v>
      </c>
      <c r="C2501" t="s">
        <v>40</v>
      </c>
      <c r="D2501">
        <v>3.755954</v>
      </c>
      <c r="E2501">
        <v>0.44595859999999898</v>
      </c>
      <c r="F2501" t="s">
        <v>53</v>
      </c>
      <c r="G2501">
        <v>-488.12380000000002</v>
      </c>
      <c r="H2501" s="1">
        <v>4.9353080000000002E-6</v>
      </c>
      <c r="I2501">
        <v>225.71180000000001</v>
      </c>
      <c r="J2501">
        <v>-494.95519999999999</v>
      </c>
      <c r="K2501">
        <v>1.1120730000000001</v>
      </c>
      <c r="L2501">
        <v>234.90729999999999</v>
      </c>
      <c r="M2501">
        <v>0.21945419999999999</v>
      </c>
      <c r="N2501">
        <v>0</v>
      </c>
      <c r="O2501">
        <v>-0.9755627</v>
      </c>
      <c r="P2501">
        <v>0.47392469999999998</v>
      </c>
      <c r="Q2501">
        <v>2.8957299999999998E-2</v>
      </c>
      <c r="R2501">
        <v>-0.88008940000000002</v>
      </c>
      <c r="S2501">
        <v>1.802368</v>
      </c>
      <c r="T2501">
        <v>-0.29178199999999999</v>
      </c>
      <c r="U2501">
        <v>-2.4506679999999998</v>
      </c>
      <c r="V2501">
        <v>-0.26939990000000003</v>
      </c>
      <c r="W2501">
        <v>3.8128019999999999E-2</v>
      </c>
      <c r="X2501">
        <v>0.9622733</v>
      </c>
      <c r="Y2501">
        <v>-0.39837869999999997</v>
      </c>
      <c r="Z2501">
        <v>9.7526680000000004E-2</v>
      </c>
      <c r="AA2501">
        <v>0.91202139999999998</v>
      </c>
      <c r="AB2501">
        <v>14</v>
      </c>
      <c r="AC2501">
        <v>6.8313999999999702</v>
      </c>
      <c r="AD2501">
        <v>-1.11206806469199</v>
      </c>
      <c r="AE2501">
        <v>-9.1954999999999796</v>
      </c>
      <c r="AF2501">
        <v>-4.6033573628508204</v>
      </c>
      <c r="AG2501">
        <v>-1.11206806469199</v>
      </c>
      <c r="AH2501">
        <v>10.3728244401394</v>
      </c>
      <c r="AI2501">
        <v>95.596733701124904</v>
      </c>
      <c r="AJ2501">
        <v>113.931176927132</v>
      </c>
      <c r="AK2501">
        <v>11.4027663861264</v>
      </c>
      <c r="AL2501">
        <v>87.8148956753286</v>
      </c>
      <c r="AM2501">
        <v>105.640224302474</v>
      </c>
      <c r="AN2501">
        <v>0.99999997796100903</v>
      </c>
    </row>
    <row r="2502" spans="1:40" x14ac:dyDescent="0.25">
      <c r="A2502" t="str">
        <f>"20190312151317806"</f>
        <v>20190312151317806</v>
      </c>
      <c r="B2502" t="str">
        <f>"1552374797802341"</f>
        <v>1552374797802341</v>
      </c>
      <c r="C2502" t="s">
        <v>40</v>
      </c>
      <c r="D2502">
        <v>3.7441939999999998</v>
      </c>
      <c r="E2502">
        <v>0.44598729999999998</v>
      </c>
      <c r="F2502" t="s">
        <v>53</v>
      </c>
      <c r="G2502">
        <v>-488.09890000000001</v>
      </c>
      <c r="H2502" s="1">
        <v>4.9260519999999997E-6</v>
      </c>
      <c r="I2502">
        <v>225.70339999999999</v>
      </c>
      <c r="J2502">
        <v>-494.91840000000002</v>
      </c>
      <c r="K2502">
        <v>1.112106</v>
      </c>
      <c r="L2502">
        <v>234.7698</v>
      </c>
      <c r="M2502">
        <v>0.22415930000000001</v>
      </c>
      <c r="N2502">
        <v>0</v>
      </c>
      <c r="O2502">
        <v>-0.97449260000000004</v>
      </c>
      <c r="P2502">
        <v>0.4782749</v>
      </c>
      <c r="Q2502">
        <v>2.862367E-2</v>
      </c>
      <c r="R2502">
        <v>-0.87774379999999996</v>
      </c>
      <c r="S2502">
        <v>1.817474</v>
      </c>
      <c r="T2502">
        <v>-0.29478660000000001</v>
      </c>
      <c r="U2502">
        <v>-2.4397739999999999</v>
      </c>
      <c r="V2502">
        <v>-0.26951920000000001</v>
      </c>
      <c r="W2502">
        <v>3.7769219999999999E-2</v>
      </c>
      <c r="X2502">
        <v>0.9622541</v>
      </c>
      <c r="Y2502">
        <v>-0.39948040000000001</v>
      </c>
      <c r="Z2502">
        <v>9.8520200000000002E-2</v>
      </c>
      <c r="AA2502">
        <v>0.91143249999999998</v>
      </c>
      <c r="AB2502">
        <v>14</v>
      </c>
      <c r="AC2502">
        <v>6.8194999999999997</v>
      </c>
      <c r="AD2502">
        <v>-1.112101073948</v>
      </c>
      <c r="AE2502">
        <v>-9.0664000000000105</v>
      </c>
      <c r="AF2502">
        <v>-4.5695931371121299</v>
      </c>
      <c r="AG2502">
        <v>-1.112101073948</v>
      </c>
      <c r="AH2502">
        <v>10.2657523979601</v>
      </c>
      <c r="AI2502">
        <v>95.652105262034297</v>
      </c>
      <c r="AJ2502">
        <v>113.99527526532501</v>
      </c>
      <c r="AK2502">
        <v>11.291750197982701</v>
      </c>
      <c r="AL2502">
        <v>87.835468339472101</v>
      </c>
      <c r="AM2502">
        <v>105.647108087044</v>
      </c>
      <c r="AN2502">
        <v>1.0000000330574199</v>
      </c>
    </row>
    <row r="2503" spans="1:40" x14ac:dyDescent="0.25">
      <c r="A2503" t="str">
        <f>"20190312151317828"</f>
        <v>20190312151317828</v>
      </c>
      <c r="B2503" t="str">
        <f>"1552374797822838"</f>
        <v>1552374797822838</v>
      </c>
      <c r="C2503" t="s">
        <v>40</v>
      </c>
      <c r="D2503">
        <v>3.7465540000000002</v>
      </c>
      <c r="E2503">
        <v>0.44586959999999998</v>
      </c>
      <c r="F2503" t="s">
        <v>53</v>
      </c>
      <c r="G2503">
        <v>-488.15800000000002</v>
      </c>
      <c r="H2503" s="1">
        <v>4.9676370000000001E-6</v>
      </c>
      <c r="I2503">
        <v>225.7868</v>
      </c>
      <c r="J2503">
        <v>-494.88150000000002</v>
      </c>
      <c r="K2503">
        <v>1.1121460000000001</v>
      </c>
      <c r="L2503">
        <v>234.63460000000001</v>
      </c>
      <c r="M2503">
        <v>0.2288693</v>
      </c>
      <c r="N2503">
        <v>0</v>
      </c>
      <c r="O2503">
        <v>-0.97339679999999995</v>
      </c>
      <c r="P2503">
        <v>0.48284339999999998</v>
      </c>
      <c r="Q2503">
        <v>2.8169960000000001E-2</v>
      </c>
      <c r="R2503">
        <v>-0.87525330000000001</v>
      </c>
      <c r="S2503">
        <v>1.829407</v>
      </c>
      <c r="T2503">
        <v>-0.30094130000000002</v>
      </c>
      <c r="U2503">
        <v>-2.430847</v>
      </c>
      <c r="V2503">
        <v>-0.2698796</v>
      </c>
      <c r="W2503">
        <v>3.7290339999999998E-2</v>
      </c>
      <c r="X2503">
        <v>0.96217169999999996</v>
      </c>
      <c r="Y2503">
        <v>-0.39939190000000002</v>
      </c>
      <c r="Z2503">
        <v>0.10054680000000001</v>
      </c>
      <c r="AA2503">
        <v>0.91124989999999995</v>
      </c>
      <c r="AB2503">
        <v>14</v>
      </c>
      <c r="AC2503">
        <v>6.7234999999999996</v>
      </c>
      <c r="AD2503">
        <v>-1.1121410323630001</v>
      </c>
      <c r="AE2503">
        <v>-8.8477999999999994</v>
      </c>
      <c r="AF2503">
        <v>-4.4750870047517202</v>
      </c>
      <c r="AG2503">
        <v>-1.1121410323630001</v>
      </c>
      <c r="AH2503">
        <v>10.0511478303163</v>
      </c>
      <c r="AI2503">
        <v>95.771968034840199</v>
      </c>
      <c r="AJ2503">
        <v>114.000131638394</v>
      </c>
      <c r="AK2503">
        <v>11.0584281922358</v>
      </c>
      <c r="AL2503">
        <v>87.862925358996506</v>
      </c>
      <c r="AM2503">
        <v>105.668280324709</v>
      </c>
      <c r="AN2503">
        <v>0.999999974117182</v>
      </c>
    </row>
    <row r="2504" spans="1:40" x14ac:dyDescent="0.25">
      <c r="A2504" t="str">
        <f>"20190312151317852"</f>
        <v>20190312151317852</v>
      </c>
      <c r="B2504" t="str">
        <f>"1552374797842358"</f>
        <v>1552374797842358</v>
      </c>
      <c r="C2504" t="s">
        <v>40</v>
      </c>
      <c r="D2504">
        <v>3.7927119999999999</v>
      </c>
      <c r="E2504">
        <v>0.44584489999999999</v>
      </c>
      <c r="F2504" t="s">
        <v>53</v>
      </c>
      <c r="G2504">
        <v>-488.16890000000001</v>
      </c>
      <c r="H2504" s="1">
        <v>4.9809409999999997E-6</v>
      </c>
      <c r="I2504">
        <v>225.82040000000001</v>
      </c>
      <c r="J2504">
        <v>-494.84140000000002</v>
      </c>
      <c r="K2504">
        <v>1.112177</v>
      </c>
      <c r="L2504">
        <v>234.4913</v>
      </c>
      <c r="M2504">
        <v>0.23393710000000001</v>
      </c>
      <c r="N2504">
        <v>0</v>
      </c>
      <c r="O2504">
        <v>-0.97219129999999998</v>
      </c>
      <c r="P2504">
        <v>0.48781020000000003</v>
      </c>
      <c r="Q2504">
        <v>2.8342180000000002E-2</v>
      </c>
      <c r="R2504">
        <v>-0.87248950000000003</v>
      </c>
      <c r="S2504">
        <v>1.843353</v>
      </c>
      <c r="T2504">
        <v>-0.30540850000000003</v>
      </c>
      <c r="U2504">
        <v>-2.4205169999999998</v>
      </c>
      <c r="V2504">
        <v>-0.270341</v>
      </c>
      <c r="W2504">
        <v>3.7440439999999998E-2</v>
      </c>
      <c r="X2504">
        <v>0.96203640000000001</v>
      </c>
      <c r="Y2504">
        <v>-0.39972679999999999</v>
      </c>
      <c r="Z2504">
        <v>0.1020098</v>
      </c>
      <c r="AA2504">
        <v>0.91094039999999998</v>
      </c>
      <c r="AB2504">
        <v>14</v>
      </c>
      <c r="AC2504">
        <v>6.6725000000000101</v>
      </c>
      <c r="AD2504">
        <v>-1.1121720190590001</v>
      </c>
      <c r="AE2504">
        <v>-8.6708999999999801</v>
      </c>
      <c r="AF2504">
        <v>-4.4131621501704599</v>
      </c>
      <c r="AG2504">
        <v>-1.1121720190590001</v>
      </c>
      <c r="AH2504">
        <v>9.8891218796546898</v>
      </c>
      <c r="AI2504">
        <v>95.863808651871693</v>
      </c>
      <c r="AJ2504">
        <v>114.04950146752</v>
      </c>
      <c r="AK2504">
        <v>10.8861222808831</v>
      </c>
      <c r="AL2504">
        <v>87.854319391376194</v>
      </c>
      <c r="AM2504">
        <v>105.69584718583801</v>
      </c>
      <c r="AN2504">
        <v>1.0000000388766701</v>
      </c>
    </row>
    <row r="2505" spans="1:40" x14ac:dyDescent="0.25">
      <c r="A2505" t="str">
        <f>"20190312151317874"</f>
        <v>20190312151317874</v>
      </c>
      <c r="B2505" t="str">
        <f>"1552374797862853"</f>
        <v>1552374797862853</v>
      </c>
      <c r="C2505" t="s">
        <v>40</v>
      </c>
      <c r="D2505">
        <v>3.82294</v>
      </c>
      <c r="E2505">
        <v>0.44571519999999998</v>
      </c>
      <c r="F2505" t="s">
        <v>53</v>
      </c>
      <c r="G2505">
        <v>-488.13189999999997</v>
      </c>
      <c r="H2505" s="1">
        <v>4.9595779999999997E-6</v>
      </c>
      <c r="I2505">
        <v>225.78319999999999</v>
      </c>
      <c r="J2505">
        <v>-494.80250000000001</v>
      </c>
      <c r="K2505">
        <v>1.1122050000000001</v>
      </c>
      <c r="L2505">
        <v>234.35509999999999</v>
      </c>
      <c r="M2505">
        <v>0.2388227</v>
      </c>
      <c r="N2505">
        <v>0</v>
      </c>
      <c r="O2505">
        <v>-0.9710027</v>
      </c>
      <c r="P2505">
        <v>0.49254110000000001</v>
      </c>
      <c r="Q2505">
        <v>2.7957539999999999E-2</v>
      </c>
      <c r="R2505">
        <v>-0.8698401</v>
      </c>
      <c r="S2505">
        <v>1.8570249999999999</v>
      </c>
      <c r="T2505">
        <v>-0.30781950000000002</v>
      </c>
      <c r="U2505">
        <v>-2.4101720000000002</v>
      </c>
      <c r="V2505">
        <v>-0.270725299999999</v>
      </c>
      <c r="W2505">
        <v>3.7041119999999997E-2</v>
      </c>
      <c r="X2505">
        <v>0.96194369999999996</v>
      </c>
      <c r="Y2505">
        <v>-0.40020509999999998</v>
      </c>
      <c r="Z2505">
        <v>0.1027946</v>
      </c>
      <c r="AA2505">
        <v>0.91064210000000001</v>
      </c>
      <c r="AB2505">
        <v>14</v>
      </c>
      <c r="AC2505">
        <v>6.6706000000000296</v>
      </c>
      <c r="AD2505">
        <v>-1.1122000404219901</v>
      </c>
      <c r="AE2505">
        <v>-8.5718999999999994</v>
      </c>
      <c r="AF2505">
        <v>-4.3842961662280198</v>
      </c>
      <c r="AG2505">
        <v>-1.1122000404219901</v>
      </c>
      <c r="AH2505">
        <v>9.8141080417261009</v>
      </c>
      <c r="AI2505">
        <v>95.907434604827898</v>
      </c>
      <c r="AJ2505">
        <v>114.071941526472</v>
      </c>
      <c r="AK2505">
        <v>10.806283286023399</v>
      </c>
      <c r="AL2505">
        <v>87.8772144499939</v>
      </c>
      <c r="AM2505">
        <v>105.718497323934</v>
      </c>
      <c r="AN2505">
        <v>0.99999995730031599</v>
      </c>
    </row>
    <row r="2506" spans="1:40" x14ac:dyDescent="0.25">
      <c r="A2506" t="str">
        <f>"20190312151317916"</f>
        <v>20190312151317916</v>
      </c>
      <c r="B2506" t="str">
        <f>"1552374797912629"</f>
        <v>1552374797912629</v>
      </c>
      <c r="C2506" t="s">
        <v>40</v>
      </c>
      <c r="D2506">
        <v>3.8780049999999999</v>
      </c>
      <c r="E2506">
        <v>0.44571630000000001</v>
      </c>
      <c r="F2506" t="s">
        <v>53</v>
      </c>
      <c r="G2506">
        <v>-488.07619999999997</v>
      </c>
      <c r="H2506" s="1">
        <v>4.9275410000000003E-6</v>
      </c>
      <c r="I2506">
        <v>225.7276</v>
      </c>
      <c r="J2506">
        <v>-494.7285</v>
      </c>
      <c r="K2506">
        <v>1.1122379999999901</v>
      </c>
      <c r="L2506">
        <v>234.10329999999999</v>
      </c>
      <c r="M2506">
        <v>0.2480281</v>
      </c>
      <c r="N2506">
        <v>0</v>
      </c>
      <c r="O2506">
        <v>-0.9686922</v>
      </c>
      <c r="P2506">
        <v>0.50026289999999995</v>
      </c>
      <c r="Q2506">
        <v>2.64035E-2</v>
      </c>
      <c r="R2506">
        <v>-0.8654712</v>
      </c>
      <c r="S2506">
        <v>1.8707579999999999</v>
      </c>
      <c r="T2506">
        <v>-0.30933389999999999</v>
      </c>
      <c r="U2506">
        <v>-2.3995510000000002</v>
      </c>
      <c r="V2506">
        <v>-0.27013979999999999</v>
      </c>
      <c r="W2506">
        <v>3.5472400000000001E-2</v>
      </c>
      <c r="X2506">
        <v>0.96216740000000001</v>
      </c>
      <c r="Y2506">
        <v>-0.39668019999999998</v>
      </c>
      <c r="Z2506">
        <v>0.1032069</v>
      </c>
      <c r="AA2506">
        <v>0.91213659999999996</v>
      </c>
      <c r="AB2506">
        <v>14</v>
      </c>
      <c r="AC2506">
        <v>6.6523000000000199</v>
      </c>
      <c r="AD2506">
        <v>-1.1122330724589999</v>
      </c>
      <c r="AE2506">
        <v>-8.3756999999999895</v>
      </c>
      <c r="AF2506">
        <v>-4.3201648859842301</v>
      </c>
      <c r="AG2506">
        <v>-1.1122330724589999</v>
      </c>
      <c r="AH2506">
        <v>9.6595576731032899</v>
      </c>
      <c r="AI2506">
        <v>96.000316052865202</v>
      </c>
      <c r="AJ2506">
        <v>114.096223432977</v>
      </c>
      <c r="AK2506">
        <v>10.639922062194399</v>
      </c>
      <c r="AL2506">
        <v>87.967154626954894</v>
      </c>
      <c r="AM2506">
        <v>105.682710332049</v>
      </c>
      <c r="AN2506">
        <v>0.999999954164278</v>
      </c>
    </row>
    <row r="2507" spans="1:40" x14ac:dyDescent="0.25">
      <c r="A2507" t="str">
        <f>"20190312151317938"</f>
        <v>20190312151317938</v>
      </c>
      <c r="B2507" t="str">
        <f>"1552374797932149"</f>
        <v>1552374797932149</v>
      </c>
      <c r="C2507" t="s">
        <v>40</v>
      </c>
      <c r="D2507">
        <v>3.8903889999999999</v>
      </c>
      <c r="E2507">
        <v>0.44581700000000002</v>
      </c>
      <c r="F2507" t="s">
        <v>53</v>
      </c>
      <c r="G2507">
        <v>-488.06200000000001</v>
      </c>
      <c r="H2507" s="1">
        <v>4.9180939999999998E-6</v>
      </c>
      <c r="I2507">
        <v>225.70930000000001</v>
      </c>
      <c r="J2507">
        <v>-494.6859</v>
      </c>
      <c r="K2507">
        <v>1.1122639999999999</v>
      </c>
      <c r="L2507">
        <v>233.96279999999999</v>
      </c>
      <c r="M2507">
        <v>0.25325189999999997</v>
      </c>
      <c r="N2507">
        <v>0</v>
      </c>
      <c r="O2507">
        <v>-0.96733950000000002</v>
      </c>
      <c r="P2507">
        <v>0.50475219999999998</v>
      </c>
      <c r="Q2507">
        <v>2.6316909999999999E-2</v>
      </c>
      <c r="R2507">
        <v>-0.86286339999999995</v>
      </c>
      <c r="S2507">
        <v>1.892029</v>
      </c>
      <c r="T2507">
        <v>-0.31566929999999999</v>
      </c>
      <c r="U2507">
        <v>-2.382355</v>
      </c>
      <c r="V2507">
        <v>-0.26994659999999998</v>
      </c>
      <c r="W2507">
        <v>3.5377099999999898E-2</v>
      </c>
      <c r="X2507">
        <v>0.9622252</v>
      </c>
      <c r="Y2507">
        <v>-0.39978809999999998</v>
      </c>
      <c r="Z2507">
        <v>0.1053316</v>
      </c>
      <c r="AA2507">
        <v>0.91053539999999999</v>
      </c>
      <c r="AB2507">
        <v>14</v>
      </c>
      <c r="AC2507">
        <v>6.6239000000000399</v>
      </c>
      <c r="AD2507">
        <v>-1.1122590819060001</v>
      </c>
      <c r="AE2507">
        <v>-8.2534999999999705</v>
      </c>
      <c r="AF2507">
        <v>-4.2704283062888502</v>
      </c>
      <c r="AG2507">
        <v>-1.1122590819060001</v>
      </c>
      <c r="AH2507">
        <v>9.5564593565797296</v>
      </c>
      <c r="AI2507">
        <v>96.065561576951495</v>
      </c>
      <c r="AJ2507">
        <v>114.078101706689</v>
      </c>
      <c r="AK2507">
        <v>10.5261385901191</v>
      </c>
      <c r="AL2507">
        <v>87.972618479439106</v>
      </c>
      <c r="AM2507">
        <v>105.67115044915001</v>
      </c>
      <c r="AN2507">
        <v>1.0000000207855</v>
      </c>
    </row>
    <row r="2508" spans="1:40" x14ac:dyDescent="0.25">
      <c r="A2508" t="str">
        <f>"20190312151317961"</f>
        <v>20190312151317961</v>
      </c>
      <c r="B2508" t="str">
        <f>"1552374797952645"</f>
        <v>1552374797952645</v>
      </c>
      <c r="C2508" t="s">
        <v>40</v>
      </c>
      <c r="D2508">
        <v>3.9096060000000001</v>
      </c>
      <c r="E2508">
        <v>0.4458763</v>
      </c>
      <c r="F2508" t="s">
        <v>53</v>
      </c>
      <c r="G2508">
        <v>-488.00880000000001</v>
      </c>
      <c r="H2508" s="1">
        <v>4.8824050000000004E-6</v>
      </c>
      <c r="I2508">
        <v>225.63980000000001</v>
      </c>
      <c r="J2508">
        <v>-494.64550000000003</v>
      </c>
      <c r="K2508">
        <v>1.1122840000000001</v>
      </c>
      <c r="L2508">
        <v>233.83199999999999</v>
      </c>
      <c r="M2508">
        <v>0.25816450000000002</v>
      </c>
      <c r="N2508">
        <v>0</v>
      </c>
      <c r="O2508">
        <v>-0.96604000000000001</v>
      </c>
      <c r="P2508">
        <v>0.50915999999999995</v>
      </c>
      <c r="Q2508">
        <v>2.6411420000000001E-2</v>
      </c>
      <c r="R2508">
        <v>-0.86026709999999995</v>
      </c>
      <c r="S2508">
        <v>1.9036869999999999</v>
      </c>
      <c r="T2508">
        <v>-0.3171099</v>
      </c>
      <c r="U2508">
        <v>-2.3729100000000001</v>
      </c>
      <c r="V2508">
        <v>-0.26998250000000001</v>
      </c>
      <c r="W2508">
        <v>3.5461439999999997E-2</v>
      </c>
      <c r="X2508">
        <v>0.96221199999999996</v>
      </c>
      <c r="Y2508">
        <v>-0.39959450000000002</v>
      </c>
      <c r="Z2508">
        <v>0.1057809</v>
      </c>
      <c r="AA2508">
        <v>0.9105683</v>
      </c>
      <c r="AB2508">
        <v>14</v>
      </c>
      <c r="AC2508">
        <v>6.63670000000001</v>
      </c>
      <c r="AD2508">
        <v>-1.112279117595</v>
      </c>
      <c r="AE2508">
        <v>-8.1921999999999802</v>
      </c>
      <c r="AF2508">
        <v>-4.2493412576831702</v>
      </c>
      <c r="AG2508">
        <v>-1.112279117595</v>
      </c>
      <c r="AH2508">
        <v>9.5219431062159394</v>
      </c>
      <c r="AI2508">
        <v>96.088830745960706</v>
      </c>
      <c r="AJ2508">
        <v>114.049691592917</v>
      </c>
      <c r="AK2508">
        <v>10.486251307197399</v>
      </c>
      <c r="AL2508">
        <v>87.967783074171805</v>
      </c>
      <c r="AM2508">
        <v>105.673336572229</v>
      </c>
      <c r="AN2508">
        <v>0.99999999848856103</v>
      </c>
    </row>
    <row r="2509" spans="1:40" x14ac:dyDescent="0.25">
      <c r="A2509" t="str">
        <f>"20190312151317983"</f>
        <v>20190312151317983</v>
      </c>
      <c r="B2509" t="str">
        <f>"1552374797973141"</f>
        <v>1552374797973141</v>
      </c>
      <c r="C2509" t="s">
        <v>40</v>
      </c>
      <c r="D2509">
        <v>3.9133450000000001</v>
      </c>
      <c r="E2509">
        <v>0.44601990000000002</v>
      </c>
      <c r="F2509" t="s">
        <v>53</v>
      </c>
      <c r="G2509">
        <v>-487.95429999999999</v>
      </c>
      <c r="H2509" s="1">
        <v>4.851829E-6</v>
      </c>
      <c r="I2509">
        <v>225.57579999999999</v>
      </c>
      <c r="J2509">
        <v>-494.60149999999999</v>
      </c>
      <c r="K2509">
        <v>1.1123099999999999</v>
      </c>
      <c r="L2509">
        <v>233.6925</v>
      </c>
      <c r="M2509">
        <v>0.263459</v>
      </c>
      <c r="N2509">
        <v>0</v>
      </c>
      <c r="O2509">
        <v>-0.9646093</v>
      </c>
      <c r="P2509">
        <v>0.51436479999999996</v>
      </c>
      <c r="Q2509">
        <v>2.591535E-2</v>
      </c>
      <c r="R2509">
        <v>-0.85717989999999999</v>
      </c>
      <c r="S2509">
        <v>1.915405</v>
      </c>
      <c r="T2509">
        <v>-0.31839859999999998</v>
      </c>
      <c r="U2509">
        <v>-2.3634029999999999</v>
      </c>
      <c r="V2509">
        <v>-0.27053280000000002</v>
      </c>
      <c r="W2509">
        <v>3.4950120000000001E-2</v>
      </c>
      <c r="X2509">
        <v>0.96207609999999999</v>
      </c>
      <c r="Y2509">
        <v>-0.39906130000000001</v>
      </c>
      <c r="Z2509">
        <v>0.106166899999999</v>
      </c>
      <c r="AA2509">
        <v>0.91075720000000004</v>
      </c>
      <c r="AB2509">
        <v>14</v>
      </c>
      <c r="AC2509">
        <v>6.64719999999999</v>
      </c>
      <c r="AD2509">
        <v>-1.112305148171</v>
      </c>
      <c r="AE2509">
        <v>-8.1166999999999998</v>
      </c>
      <c r="AF2509">
        <v>-4.2262795256660004</v>
      </c>
      <c r="AG2509">
        <v>-1.112305148171</v>
      </c>
      <c r="AH2509">
        <v>9.4747721776980391</v>
      </c>
      <c r="AI2509">
        <v>96.119536773214307</v>
      </c>
      <c r="AJ2509">
        <v>114.039550360429</v>
      </c>
      <c r="AK2509">
        <v>10.4340773042465</v>
      </c>
      <c r="AL2509">
        <v>87.997097656979093</v>
      </c>
      <c r="AM2509">
        <v>105.70581747025599</v>
      </c>
      <c r="AN2509">
        <v>0.99999996447753103</v>
      </c>
    </row>
    <row r="2510" spans="1:40" x14ac:dyDescent="0.25">
      <c r="A2510" t="str">
        <f>"20190312151318006"</f>
        <v>20190312151318006</v>
      </c>
      <c r="B2510" t="str">
        <f>"1552374798002421"</f>
        <v>1552374798002421</v>
      </c>
      <c r="C2510" t="s">
        <v>40</v>
      </c>
      <c r="D2510">
        <v>4.0295050000000003</v>
      </c>
      <c r="E2510">
        <v>0.44620330000000002</v>
      </c>
      <c r="F2510" t="s">
        <v>53</v>
      </c>
      <c r="G2510">
        <v>-487.90129999999999</v>
      </c>
      <c r="H2510" s="1">
        <v>4.827893E-6</v>
      </c>
      <c r="I2510">
        <v>225.52070000000001</v>
      </c>
      <c r="J2510">
        <v>-494.55840000000001</v>
      </c>
      <c r="K2510">
        <v>1.1123320000000001</v>
      </c>
      <c r="L2510">
        <v>233.55840000000001</v>
      </c>
      <c r="M2510">
        <v>0.26859719999999998</v>
      </c>
      <c r="N2510">
        <v>0</v>
      </c>
      <c r="O2510">
        <v>-0.96319109999999997</v>
      </c>
      <c r="P2510">
        <v>0.51923560000000002</v>
      </c>
      <c r="Q2510">
        <v>2.5986749999999999E-2</v>
      </c>
      <c r="R2510">
        <v>-0.85423609999999905</v>
      </c>
      <c r="S2510">
        <v>1.9286190000000001</v>
      </c>
      <c r="T2510">
        <v>-0.3201715</v>
      </c>
      <c r="U2510">
        <v>-2.3522029999999998</v>
      </c>
      <c r="V2510">
        <v>-0.2708836</v>
      </c>
      <c r="W2510">
        <v>3.501493E-2</v>
      </c>
      <c r="X2510">
        <v>0.96197500000000002</v>
      </c>
      <c r="Y2510">
        <v>-0.39932400000000001</v>
      </c>
      <c r="Z2510">
        <v>0.10673249999999999</v>
      </c>
      <c r="AA2510">
        <v>0.91057589999999999</v>
      </c>
      <c r="AB2510">
        <v>14</v>
      </c>
      <c r="AC2510">
        <v>6.6571000000000096</v>
      </c>
      <c r="AD2510">
        <v>-1.1123271721069901</v>
      </c>
      <c r="AE2510">
        <v>-8.0376999999999992</v>
      </c>
      <c r="AF2510">
        <v>-4.2056346595883101</v>
      </c>
      <c r="AG2510">
        <v>-1.1123271721069901</v>
      </c>
      <c r="AH2510">
        <v>9.4234404150970192</v>
      </c>
      <c r="AI2510">
        <v>96.152194376566996</v>
      </c>
      <c r="AJ2510">
        <v>114.050969456351</v>
      </c>
      <c r="AK2510">
        <v>10.379107085131199</v>
      </c>
      <c r="AL2510">
        <v>87.993381984663699</v>
      </c>
      <c r="AM2510">
        <v>105.726747288819</v>
      </c>
      <c r="AN2510">
        <v>0.99999993534843001</v>
      </c>
    </row>
    <row r="2511" spans="1:40" x14ac:dyDescent="0.25">
      <c r="A2511" t="str">
        <f>"20190312151318026"</f>
        <v>20190312151318026</v>
      </c>
      <c r="B2511" t="str">
        <f>"1552374798022918"</f>
        <v>1552374798022918</v>
      </c>
      <c r="C2511" t="s">
        <v>40</v>
      </c>
      <c r="D2511">
        <v>3.9930289999999999</v>
      </c>
      <c r="E2511">
        <v>0.44623689999999999</v>
      </c>
      <c r="F2511" t="s">
        <v>53</v>
      </c>
      <c r="G2511">
        <v>-487.8569</v>
      </c>
      <c r="H2511" s="1">
        <v>4.8073109999999998E-6</v>
      </c>
      <c r="I2511">
        <v>225.47210000000001</v>
      </c>
      <c r="J2511">
        <v>-494.51620000000003</v>
      </c>
      <c r="K2511">
        <v>1.112352</v>
      </c>
      <c r="L2511">
        <v>233.4298</v>
      </c>
      <c r="M2511">
        <v>0.27357199999999998</v>
      </c>
      <c r="N2511">
        <v>0</v>
      </c>
      <c r="O2511">
        <v>-0.96178989999999998</v>
      </c>
      <c r="P2511">
        <v>0.52414439999999995</v>
      </c>
      <c r="Q2511">
        <v>2.5572259999999999E-2</v>
      </c>
      <c r="R2511">
        <v>-0.85124580000000005</v>
      </c>
      <c r="S2511">
        <v>1.940887</v>
      </c>
      <c r="T2511">
        <v>-0.32215319999999997</v>
      </c>
      <c r="U2511">
        <v>-2.3419650000000001</v>
      </c>
      <c r="V2511">
        <v>-0.2714452</v>
      </c>
      <c r="W2511">
        <v>3.460556E-2</v>
      </c>
      <c r="X2511">
        <v>0.96183160000000001</v>
      </c>
      <c r="Y2511">
        <v>-0.39932970000000001</v>
      </c>
      <c r="Z2511">
        <v>0.10735260000000001</v>
      </c>
      <c r="AA2511">
        <v>0.91050050000000005</v>
      </c>
      <c r="AB2511">
        <v>14</v>
      </c>
      <c r="AC2511">
        <v>6.6593000000000302</v>
      </c>
      <c r="AD2511">
        <v>-1.1123471926890001</v>
      </c>
      <c r="AE2511">
        <v>-7.9576999999999796</v>
      </c>
      <c r="AF2511">
        <v>-4.1800585960571599</v>
      </c>
      <c r="AG2511">
        <v>-1.1123471926890001</v>
      </c>
      <c r="AH2511">
        <v>9.3683379158481301</v>
      </c>
      <c r="AI2511">
        <v>96.188450844827301</v>
      </c>
      <c r="AJ2511">
        <v>114.045950325126</v>
      </c>
      <c r="AK2511">
        <v>10.318718982948999</v>
      </c>
      <c r="AL2511">
        <v>88.016851579337299</v>
      </c>
      <c r="AM2511">
        <v>105.75996695252999</v>
      </c>
      <c r="AN2511">
        <v>1.0000000340722499</v>
      </c>
    </row>
    <row r="2512" spans="1:40" x14ac:dyDescent="0.25">
      <c r="A2512" t="str">
        <f>"20190312151318053"</f>
        <v>20190312151318053</v>
      </c>
      <c r="B2512" t="str">
        <f>"1552374798042437"</f>
        <v>1552374798042437</v>
      </c>
      <c r="C2512" t="s">
        <v>40</v>
      </c>
      <c r="D2512">
        <v>4.0470629999999996</v>
      </c>
      <c r="E2512">
        <v>0.44638329999999998</v>
      </c>
      <c r="F2512" t="s">
        <v>53</v>
      </c>
      <c r="G2512">
        <v>-487.81360000000001</v>
      </c>
      <c r="H2512" s="1">
        <v>4.789926E-6</v>
      </c>
      <c r="I2512">
        <v>225.43700000000001</v>
      </c>
      <c r="J2512">
        <v>-494.4649</v>
      </c>
      <c r="K2512">
        <v>1.112368</v>
      </c>
      <c r="L2512">
        <v>233.27670000000001</v>
      </c>
      <c r="M2512">
        <v>0.279534</v>
      </c>
      <c r="N2512">
        <v>0</v>
      </c>
      <c r="O2512">
        <v>-0.96007359999999997</v>
      </c>
      <c r="P2512">
        <v>0.53044099999999905</v>
      </c>
      <c r="Q2512">
        <v>2.5395480000000002E-2</v>
      </c>
      <c r="R2512">
        <v>-0.84734189999999998</v>
      </c>
      <c r="S2512">
        <v>1.954437</v>
      </c>
      <c r="T2512">
        <v>-0.32435259999999999</v>
      </c>
      <c r="U2512">
        <v>-2.3306429999999998</v>
      </c>
      <c r="V2512">
        <v>-0.27260780000000001</v>
      </c>
      <c r="W2512">
        <v>3.4443540000000002E-2</v>
      </c>
      <c r="X2512">
        <v>0.96150849999999999</v>
      </c>
      <c r="Y2512">
        <v>-0.39888410000000002</v>
      </c>
      <c r="Z2512">
        <v>0.1080223</v>
      </c>
      <c r="AA2512">
        <v>0.9106166</v>
      </c>
      <c r="AB2512">
        <v>14</v>
      </c>
      <c r="AC2512">
        <v>6.6512999999999902</v>
      </c>
      <c r="AD2512">
        <v>-1.112363210074</v>
      </c>
      <c r="AE2512">
        <v>-7.8396999999999899</v>
      </c>
      <c r="AF2512">
        <v>-4.1459915614873299</v>
      </c>
      <c r="AG2512">
        <v>-1.112363210074</v>
      </c>
      <c r="AH2512">
        <v>9.2779051240359607</v>
      </c>
      <c r="AI2512">
        <v>96.246822078460895</v>
      </c>
      <c r="AJ2512">
        <v>114.078301645922</v>
      </c>
      <c r="AK2512">
        <v>10.2228235546576</v>
      </c>
      <c r="AL2512">
        <v>88.0261400774218</v>
      </c>
      <c r="AM2512">
        <v>105.829144086761</v>
      </c>
      <c r="AN2512">
        <v>0.99999998282041003</v>
      </c>
    </row>
    <row r="2513" spans="1:40" x14ac:dyDescent="0.25">
      <c r="A2513" t="str">
        <f>"20190312151318075"</f>
        <v>20190312151318075</v>
      </c>
      <c r="B2513" t="str">
        <f>"1552374798062933"</f>
        <v>1552374798062933</v>
      </c>
      <c r="C2513" t="s">
        <v>40</v>
      </c>
      <c r="D2513">
        <v>4.0496040000000004</v>
      </c>
      <c r="E2513">
        <v>0.44657599999999997</v>
      </c>
      <c r="F2513" t="s">
        <v>53</v>
      </c>
      <c r="G2513">
        <v>-487.7679</v>
      </c>
      <c r="H2513" s="1">
        <v>4.7725730000000002E-6</v>
      </c>
      <c r="I2513">
        <v>225.40430000000001</v>
      </c>
      <c r="J2513">
        <v>-494.4194</v>
      </c>
      <c r="K2513">
        <v>1.1123730000000001</v>
      </c>
      <c r="L2513">
        <v>233.1437</v>
      </c>
      <c r="M2513">
        <v>0.28474129999999997</v>
      </c>
      <c r="N2513">
        <v>0</v>
      </c>
      <c r="O2513">
        <v>-0.95854189999999995</v>
      </c>
      <c r="P2513">
        <v>0.53595300000000001</v>
      </c>
      <c r="Q2513">
        <v>2.4315199999999999E-2</v>
      </c>
      <c r="R2513">
        <v>-0.84389769999999897</v>
      </c>
      <c r="S2513">
        <v>1.9707030000000001</v>
      </c>
      <c r="T2513">
        <v>-0.32733259999999997</v>
      </c>
      <c r="U2513">
        <v>-2.316605</v>
      </c>
      <c r="V2513">
        <v>-0.27364179999999999</v>
      </c>
      <c r="W2513">
        <v>3.3377469999999999E-2</v>
      </c>
      <c r="X2513">
        <v>0.96125229999999995</v>
      </c>
      <c r="Y2513">
        <v>-0.40027309999999999</v>
      </c>
      <c r="Z2513">
        <v>0.10899010000000001</v>
      </c>
      <c r="AA2513">
        <v>0.90989149999999996</v>
      </c>
      <c r="AB2513">
        <v>14</v>
      </c>
      <c r="AC2513">
        <v>6.6514999999999898</v>
      </c>
      <c r="AD2513">
        <v>-1.1123682274269999</v>
      </c>
      <c r="AE2513">
        <v>-7.7393999999999803</v>
      </c>
      <c r="AF2513">
        <v>-4.1232733448916097</v>
      </c>
      <c r="AG2513">
        <v>-1.1123682274269999</v>
      </c>
      <c r="AH2513">
        <v>9.20369885399586</v>
      </c>
      <c r="AI2513">
        <v>96.294171882685504</v>
      </c>
      <c r="AJ2513">
        <v>114.13246388906499</v>
      </c>
      <c r="AK2513">
        <v>10.146271174432799</v>
      </c>
      <c r="AL2513">
        <v>88.087256455516794</v>
      </c>
      <c r="AM2513">
        <v>105.89017941696</v>
      </c>
      <c r="AN2513">
        <v>0.99999993723306302</v>
      </c>
    </row>
    <row r="2514" spans="1:40" x14ac:dyDescent="0.25">
      <c r="A2514" t="str">
        <f>"20190312151318097"</f>
        <v>20190312151318097</v>
      </c>
      <c r="B2514" t="str">
        <f>"1552374798092214"</f>
        <v>1552374798092214</v>
      </c>
      <c r="C2514" t="s">
        <v>40</v>
      </c>
      <c r="D2514">
        <v>4.0722310000000004</v>
      </c>
      <c r="E2514">
        <v>0.44694200000000001</v>
      </c>
      <c r="F2514" t="s">
        <v>53</v>
      </c>
      <c r="G2514">
        <v>-487.77030000000002</v>
      </c>
      <c r="H2514" s="1">
        <v>4.7769500000000001E-6</v>
      </c>
      <c r="I2514">
        <v>225.42169999999999</v>
      </c>
      <c r="J2514">
        <v>-494.3723</v>
      </c>
      <c r="K2514">
        <v>1.1123749999999999</v>
      </c>
      <c r="L2514">
        <v>233.00810000000001</v>
      </c>
      <c r="M2514">
        <v>0.29007749999999999</v>
      </c>
      <c r="N2514">
        <v>0</v>
      </c>
      <c r="O2514">
        <v>-0.95694009999999996</v>
      </c>
      <c r="P2514">
        <v>0.54119099999999998</v>
      </c>
      <c r="Q2514">
        <v>2.4058139999999999E-2</v>
      </c>
      <c r="R2514">
        <v>-0.84055539999999995</v>
      </c>
      <c r="S2514">
        <v>1.984192</v>
      </c>
      <c r="T2514">
        <v>-0.33194580000000001</v>
      </c>
      <c r="U2514">
        <v>-2.3043520000000002</v>
      </c>
      <c r="V2514">
        <v>-0.27426139999999999</v>
      </c>
      <c r="W2514">
        <v>3.3139189999999999E-2</v>
      </c>
      <c r="X2514">
        <v>0.96108400000000005</v>
      </c>
      <c r="Y2514">
        <v>-0.40051130000000001</v>
      </c>
      <c r="Z2514">
        <v>0.11048189999999999</v>
      </c>
      <c r="AA2514">
        <v>0.90960680000000005</v>
      </c>
      <c r="AB2514">
        <v>14</v>
      </c>
      <c r="AC2514">
        <v>6.6019999999999701</v>
      </c>
      <c r="AD2514">
        <v>-1.1123702230500001</v>
      </c>
      <c r="AE2514">
        <v>-7.5864000000000198</v>
      </c>
      <c r="AF2514">
        <v>-4.0675596358194603</v>
      </c>
      <c r="AG2514">
        <v>-1.1123702230500001</v>
      </c>
      <c r="AH2514">
        <v>9.0644788914354901</v>
      </c>
      <c r="AI2514">
        <v>96.388323584209004</v>
      </c>
      <c r="AJ2514">
        <v>114.16749936314299</v>
      </c>
      <c r="AK2514">
        <v>9.9973589751171605</v>
      </c>
      <c r="AL2514">
        <v>88.100916548534201</v>
      </c>
      <c r="AM2514">
        <v>105.926983731189</v>
      </c>
      <c r="AN2514">
        <v>0.99999998824990799</v>
      </c>
    </row>
    <row r="2515" spans="1:40" x14ac:dyDescent="0.25">
      <c r="A2515" t="str">
        <f>"20190312151318116"</f>
        <v>20190312151318116</v>
      </c>
      <c r="B2515" t="str">
        <f>"1552374798112710"</f>
        <v>1552374798112710</v>
      </c>
      <c r="C2515" t="s">
        <v>40</v>
      </c>
      <c r="D2515">
        <v>4.2363580000000001</v>
      </c>
      <c r="E2515">
        <v>0.44729950000000002</v>
      </c>
      <c r="F2515" t="s">
        <v>53</v>
      </c>
      <c r="G2515">
        <v>-487.75810000000001</v>
      </c>
      <c r="H2515" s="1">
        <v>4.7714279999999997E-6</v>
      </c>
      <c r="I2515">
        <v>225.40889999999999</v>
      </c>
      <c r="J2515">
        <v>-494.33080000000001</v>
      </c>
      <c r="K2515">
        <v>1.1123769999999999</v>
      </c>
      <c r="L2515">
        <v>232.89099999999999</v>
      </c>
      <c r="M2515">
        <v>0.29469509999999899</v>
      </c>
      <c r="N2515">
        <v>0</v>
      </c>
      <c r="O2515">
        <v>-0.95552800000000004</v>
      </c>
      <c r="P2515">
        <v>0.54583359999999903</v>
      </c>
      <c r="Q2515">
        <v>2.379038E-2</v>
      </c>
      <c r="R2515">
        <v>-0.83755590000000002</v>
      </c>
      <c r="S2515">
        <v>1.996124</v>
      </c>
      <c r="T2515">
        <v>-0.3357115</v>
      </c>
      <c r="U2515">
        <v>-2.2934109999999999</v>
      </c>
      <c r="V2515">
        <v>-0.27493410000000001</v>
      </c>
      <c r="W2515">
        <v>3.2885640000000001E-2</v>
      </c>
      <c r="X2515">
        <v>0.96090050000000005</v>
      </c>
      <c r="Y2515">
        <v>-0.40083980000000002</v>
      </c>
      <c r="Z2515">
        <v>0.11169659999999999</v>
      </c>
      <c r="AA2515">
        <v>0.9093137</v>
      </c>
      <c r="AB2515">
        <v>14</v>
      </c>
      <c r="AC2515">
        <v>6.5726999999999904</v>
      </c>
      <c r="AD2515">
        <v>-1.1123722285719999</v>
      </c>
      <c r="AE2515">
        <v>-7.4821</v>
      </c>
      <c r="AF2515">
        <v>-4.0254864010364404</v>
      </c>
      <c r="AG2515">
        <v>-1.1123722285719999</v>
      </c>
      <c r="AH2515">
        <v>8.9748801594510503</v>
      </c>
      <c r="AI2515">
        <v>96.452073467951394</v>
      </c>
      <c r="AJ2515">
        <v>114.157577182319</v>
      </c>
      <c r="AK2515">
        <v>9.8990093755049902</v>
      </c>
      <c r="AL2515">
        <v>88.115451834175801</v>
      </c>
      <c r="AM2515">
        <v>105.966953755058</v>
      </c>
      <c r="AN2515">
        <v>0.99999999778063398</v>
      </c>
    </row>
    <row r="2516" spans="1:40" x14ac:dyDescent="0.25">
      <c r="A2516" t="str">
        <f>"20190312151318141"</f>
        <v>20190312151318141</v>
      </c>
      <c r="B2516" t="str">
        <f>"1552374798132230"</f>
        <v>1552374798132230</v>
      </c>
      <c r="C2516" t="s">
        <v>40</v>
      </c>
      <c r="D2516">
        <v>4.1203880000000002</v>
      </c>
      <c r="E2516">
        <v>0.44760810000000001</v>
      </c>
      <c r="F2516" t="s">
        <v>53</v>
      </c>
      <c r="G2516">
        <v>-487.70350000000002</v>
      </c>
      <c r="H2516" s="1">
        <v>4.7456970000000003E-6</v>
      </c>
      <c r="I2516">
        <v>225.34739999999999</v>
      </c>
      <c r="J2516">
        <v>-494.27940000000001</v>
      </c>
      <c r="K2516">
        <v>1.1123719999999999</v>
      </c>
      <c r="L2516">
        <v>232.74809999999999</v>
      </c>
      <c r="M2516">
        <v>0.30034129999999998</v>
      </c>
      <c r="N2516">
        <v>0</v>
      </c>
      <c r="O2516">
        <v>-0.95376799999999995</v>
      </c>
      <c r="P2516">
        <v>0.55111499999999902</v>
      </c>
      <c r="Q2516">
        <v>2.3378929999999999E-2</v>
      </c>
      <c r="R2516">
        <v>-0.83410209999999996</v>
      </c>
      <c r="S2516">
        <v>2.0064090000000001</v>
      </c>
      <c r="T2516">
        <v>-0.33676739999999999</v>
      </c>
      <c r="U2516">
        <v>-2.2838129999999999</v>
      </c>
      <c r="V2516">
        <v>-0.27531699999999998</v>
      </c>
      <c r="W2516">
        <v>3.2495320000000001E-2</v>
      </c>
      <c r="X2516">
        <v>0.9608042</v>
      </c>
      <c r="Y2516">
        <v>-0.3996094</v>
      </c>
      <c r="Z2516">
        <v>0.1119753</v>
      </c>
      <c r="AA2516">
        <v>0.90982079999999999</v>
      </c>
      <c r="AB2516">
        <v>14</v>
      </c>
      <c r="AC2516">
        <v>6.5758999999999901</v>
      </c>
      <c r="AD2516">
        <v>-1.1123672543030001</v>
      </c>
      <c r="AE2516">
        <v>-7.4006999999999996</v>
      </c>
      <c r="AF2516">
        <v>-3.99890940485081</v>
      </c>
      <c r="AG2516">
        <v>-1.1123672543030001</v>
      </c>
      <c r="AH2516">
        <v>8.9214858404691508</v>
      </c>
      <c r="AI2516">
        <v>96.491038998272003</v>
      </c>
      <c r="AJ2516">
        <v>114.14352399982999</v>
      </c>
      <c r="AK2516">
        <v>9.8397940495897203</v>
      </c>
      <c r="AL2516">
        <v>88.137827586128196</v>
      </c>
      <c r="AM2516">
        <v>105.989575670009</v>
      </c>
      <c r="AN2516">
        <v>1.0000000535242699</v>
      </c>
    </row>
    <row r="2517" spans="1:40" x14ac:dyDescent="0.25">
      <c r="A2517" t="str">
        <f>"20190312151318162"</f>
        <v>20190312151318162</v>
      </c>
      <c r="B2517" t="str">
        <f>"1552374798152725"</f>
        <v>1552374798152725</v>
      </c>
      <c r="C2517" t="s">
        <v>40</v>
      </c>
      <c r="D2517">
        <v>4.1360359999999998</v>
      </c>
      <c r="E2517">
        <v>0.44793149999999998</v>
      </c>
      <c r="F2517" t="s">
        <v>53</v>
      </c>
      <c r="G2517">
        <v>-487.62</v>
      </c>
      <c r="H2517" s="1">
        <v>4.7057160000000001E-6</v>
      </c>
      <c r="I2517">
        <v>225.25020000000001</v>
      </c>
      <c r="J2517">
        <v>-494.23070000000001</v>
      </c>
      <c r="K2517">
        <v>1.112368</v>
      </c>
      <c r="L2517">
        <v>232.6148</v>
      </c>
      <c r="M2517">
        <v>0.30560850000000001</v>
      </c>
      <c r="N2517">
        <v>0</v>
      </c>
      <c r="O2517">
        <v>-0.95209319999999997</v>
      </c>
      <c r="P2517">
        <v>0.555786</v>
      </c>
      <c r="Q2517">
        <v>2.3138809999999999E-2</v>
      </c>
      <c r="R2517">
        <v>-0.83100370000000001</v>
      </c>
      <c r="S2517">
        <v>2.018402</v>
      </c>
      <c r="T2517">
        <v>-0.33714749999999999</v>
      </c>
      <c r="U2517">
        <v>-2.2725219999999999</v>
      </c>
      <c r="V2517">
        <v>-0.275393099999999</v>
      </c>
      <c r="W2517">
        <v>3.2276569999999997E-2</v>
      </c>
      <c r="X2517">
        <v>0.96078969999999997</v>
      </c>
      <c r="Y2517">
        <v>-0.3994685</v>
      </c>
      <c r="Z2517">
        <v>0.1120546</v>
      </c>
      <c r="AA2517">
        <v>0.90987289999999998</v>
      </c>
      <c r="AB2517">
        <v>14</v>
      </c>
      <c r="AC2517">
        <v>6.6106999999999996</v>
      </c>
      <c r="AD2517">
        <v>-1.112363294284</v>
      </c>
      <c r="AE2517">
        <v>-7.3645999999999896</v>
      </c>
      <c r="AF2517">
        <v>-3.9931159773013301</v>
      </c>
      <c r="AG2517">
        <v>-1.112363294284</v>
      </c>
      <c r="AH2517">
        <v>8.9199287242657999</v>
      </c>
      <c r="AI2517">
        <v>96.493511484005495</v>
      </c>
      <c r="AJ2517">
        <v>114.11626393391801</v>
      </c>
      <c r="AK2517">
        <v>9.8360284542406493</v>
      </c>
      <c r="AL2517">
        <v>88.150367501555195</v>
      </c>
      <c r="AM2517">
        <v>105.993998345815</v>
      </c>
      <c r="AN2517">
        <v>0.99999999206233203</v>
      </c>
    </row>
    <row r="2518" spans="1:40" x14ac:dyDescent="0.25">
      <c r="A2518" t="str">
        <f>"20190312151318184"</f>
        <v>20190312151318184</v>
      </c>
      <c r="B2518" t="str">
        <f>"1552374798172249"</f>
        <v>1552374798172249</v>
      </c>
      <c r="C2518" t="s">
        <v>40</v>
      </c>
      <c r="D2518">
        <v>4.1538519999999997</v>
      </c>
      <c r="E2518">
        <v>0.4482584</v>
      </c>
      <c r="F2518" t="s">
        <v>53</v>
      </c>
      <c r="G2518">
        <v>-487.55739999999997</v>
      </c>
      <c r="H2518" s="1">
        <v>4.6746600000000001E-6</v>
      </c>
      <c r="I2518">
        <v>225.17259999999999</v>
      </c>
      <c r="J2518">
        <v>-494.1814</v>
      </c>
      <c r="K2518">
        <v>1.1123529999999999</v>
      </c>
      <c r="L2518">
        <v>232.48249999999999</v>
      </c>
      <c r="M2518">
        <v>0.3108341</v>
      </c>
      <c r="N2518">
        <v>0</v>
      </c>
      <c r="O2518">
        <v>-0.95039989999999996</v>
      </c>
      <c r="P2518">
        <v>0.56021730000000003</v>
      </c>
      <c r="Q2518">
        <v>2.3033410000000001E-2</v>
      </c>
      <c r="R2518">
        <v>-0.82802580000000003</v>
      </c>
      <c r="S2518">
        <v>2.0288390000000001</v>
      </c>
      <c r="T2518">
        <v>-0.33818510000000002</v>
      </c>
      <c r="U2518">
        <v>-2.2626040000000001</v>
      </c>
      <c r="V2518">
        <v>-0.27524539999999997</v>
      </c>
      <c r="W2518">
        <v>3.2185070000000003E-2</v>
      </c>
      <c r="X2518">
        <v>0.96083510000000005</v>
      </c>
      <c r="Y2518">
        <v>-0.3987231</v>
      </c>
      <c r="Z2518">
        <v>0.11233219999999999</v>
      </c>
      <c r="AA2518">
        <v>0.91016560000000002</v>
      </c>
      <c r="AB2518">
        <v>15</v>
      </c>
      <c r="AC2518">
        <v>6.6240000000000201</v>
      </c>
      <c r="AD2518">
        <v>-1.1123483253399999</v>
      </c>
      <c r="AE2518">
        <v>-7.3098999999999901</v>
      </c>
      <c r="AF2518">
        <v>-3.9730118750635199</v>
      </c>
      <c r="AG2518">
        <v>-1.1123483253399999</v>
      </c>
      <c r="AH2518">
        <v>8.8937597688245802</v>
      </c>
      <c r="AI2518">
        <v>96.514637158606504</v>
      </c>
      <c r="AJ2518">
        <v>114.071225178673</v>
      </c>
      <c r="AK2518">
        <v>9.8041371360178893</v>
      </c>
      <c r="AL2518">
        <v>88.155612803720402</v>
      </c>
      <c r="AM2518">
        <v>105.98514201907901</v>
      </c>
      <c r="AN2518">
        <v>0.99999999917203697</v>
      </c>
    </row>
    <row r="2519" spans="1:40" x14ac:dyDescent="0.25">
      <c r="A2519" t="str">
        <f>"20190312151318207"</f>
        <v>20190312151318207</v>
      </c>
      <c r="B2519" t="str">
        <f>"1552374798202502"</f>
        <v>1552374798202502</v>
      </c>
      <c r="C2519" t="s">
        <v>40</v>
      </c>
      <c r="D2519">
        <v>4.1239710000000001</v>
      </c>
      <c r="E2519">
        <v>0.46281660000000002</v>
      </c>
      <c r="F2519" t="s">
        <v>53</v>
      </c>
      <c r="G2519">
        <v>-487.51889999999997</v>
      </c>
      <c r="H2519" s="1">
        <v>4.6539929999999998E-6</v>
      </c>
      <c r="I2519">
        <v>225.11770000000001</v>
      </c>
      <c r="J2519">
        <v>-494.13010000000003</v>
      </c>
      <c r="K2519">
        <v>1.112349</v>
      </c>
      <c r="L2519">
        <v>232.34710000000001</v>
      </c>
      <c r="M2519">
        <v>0.31618400000000002</v>
      </c>
      <c r="N2519">
        <v>0</v>
      </c>
      <c r="O2519">
        <v>-0.94863379999999997</v>
      </c>
      <c r="P2519">
        <v>0.5647721</v>
      </c>
      <c r="Q2519">
        <v>2.3161439999999998E-2</v>
      </c>
      <c r="R2519">
        <v>-0.8249225</v>
      </c>
      <c r="S2519">
        <v>2.0384829999999998</v>
      </c>
      <c r="T2519">
        <v>-0.34033760000000002</v>
      </c>
      <c r="U2519">
        <v>-2.2533569999999998</v>
      </c>
      <c r="V2519">
        <v>-0.2751284</v>
      </c>
      <c r="W2519">
        <v>3.2311840000000001E-2</v>
      </c>
      <c r="X2519">
        <v>0.96086439999999995</v>
      </c>
      <c r="Y2519">
        <v>-0.39751009999999998</v>
      </c>
      <c r="Z2519">
        <v>0.112959</v>
      </c>
      <c r="AA2519">
        <v>0.9106185</v>
      </c>
      <c r="AB2519">
        <v>15</v>
      </c>
      <c r="AC2519">
        <v>6.6112000000000499</v>
      </c>
      <c r="AD2519">
        <v>-1.1123443460069999</v>
      </c>
      <c r="AE2519">
        <v>-7.2293999999999903</v>
      </c>
      <c r="AF2519">
        <v>-3.93529420184649</v>
      </c>
      <c r="AG2519">
        <v>-1.1123443460069999</v>
      </c>
      <c r="AH2519">
        <v>8.8350481318179401</v>
      </c>
      <c r="AI2519">
        <v>96.560675774295703</v>
      </c>
      <c r="AJ2519">
        <v>114.009077449674</v>
      </c>
      <c r="AK2519">
        <v>9.7356009516988795</v>
      </c>
      <c r="AL2519">
        <v>88.148345719776898</v>
      </c>
      <c r="AM2519">
        <v>105.978231700004</v>
      </c>
      <c r="AN2519">
        <v>1.0000000433390499</v>
      </c>
    </row>
    <row r="2520" spans="1:40" x14ac:dyDescent="0.25">
      <c r="A2520" t="str">
        <f>"20190312151318229"</f>
        <v>20190312151318229</v>
      </c>
      <c r="B2520" t="str">
        <f>"1552374798222997"</f>
        <v>1552374798222997</v>
      </c>
      <c r="C2520" t="s">
        <v>40</v>
      </c>
      <c r="D2520">
        <v>4.1348399999999996</v>
      </c>
      <c r="E2520">
        <v>0.46438689999999999</v>
      </c>
      <c r="F2520" t="s">
        <v>53</v>
      </c>
      <c r="G2520">
        <v>-487.34809999999999</v>
      </c>
      <c r="H2520" s="1">
        <v>4.4194819999999997E-6</v>
      </c>
      <c r="I2520">
        <v>224.33940000000001</v>
      </c>
      <c r="J2520">
        <v>-494.0779</v>
      </c>
      <c r="K2520">
        <v>1.112341</v>
      </c>
      <c r="L2520">
        <v>232.21190000000001</v>
      </c>
      <c r="M2520">
        <v>0.32151980000000002</v>
      </c>
      <c r="N2520">
        <v>0</v>
      </c>
      <c r="O2520">
        <v>-0.94683850000000003</v>
      </c>
      <c r="P2520">
        <v>0.56920369999999998</v>
      </c>
      <c r="Q2520">
        <v>2.296701E-2</v>
      </c>
      <c r="R2520">
        <v>-0.82187579999999905</v>
      </c>
      <c r="S2520">
        <v>1.954407</v>
      </c>
      <c r="T2520">
        <v>-0.32055209999999901</v>
      </c>
      <c r="U2520">
        <v>-2.3076319999999999</v>
      </c>
      <c r="V2520">
        <v>-0.2748874</v>
      </c>
      <c r="W2520">
        <v>3.2108339999999999E-2</v>
      </c>
      <c r="X2520">
        <v>0.96094009999999996</v>
      </c>
      <c r="Y2520">
        <v>-0.3628035</v>
      </c>
      <c r="Z2520">
        <v>0.1062309</v>
      </c>
      <c r="AA2520">
        <v>0.92579080000000002</v>
      </c>
      <c r="AB2520">
        <v>15</v>
      </c>
      <c r="AC2520">
        <v>6.7298000000000098</v>
      </c>
      <c r="AD2520">
        <v>-1.1123365805179899</v>
      </c>
      <c r="AE2520">
        <v>-7.8724999999999996</v>
      </c>
      <c r="AF2520">
        <v>-3.7973022217482502</v>
      </c>
      <c r="AG2520">
        <v>-1.1123365805179899</v>
      </c>
      <c r="AH2520">
        <v>9.5086561236381701</v>
      </c>
      <c r="AI2520">
        <v>96.200229765630496</v>
      </c>
      <c r="AJ2520">
        <v>111.769402907631</v>
      </c>
      <c r="AK2520">
        <v>10.2990940431309</v>
      </c>
      <c r="AL2520">
        <v>88.160011295384805</v>
      </c>
      <c r="AM2520">
        <v>105.963755481476</v>
      </c>
      <c r="AN2520">
        <v>0.99999995198216096</v>
      </c>
    </row>
    <row r="2521" spans="1:40" x14ac:dyDescent="0.25">
      <c r="A2521" t="str">
        <f>"20190312151318254"</f>
        <v>20190312151318254</v>
      </c>
      <c r="B2521" t="str">
        <f>"1552374798242518"</f>
        <v>1552374798242518</v>
      </c>
      <c r="C2521" t="s">
        <v>40</v>
      </c>
      <c r="D2521">
        <v>4.1549930000000002</v>
      </c>
      <c r="E2521">
        <v>0.4655453</v>
      </c>
      <c r="F2521" t="s">
        <v>53</v>
      </c>
      <c r="G2521">
        <v>-486.7543</v>
      </c>
      <c r="H2521" s="1">
        <v>4.0540249999999997E-6</v>
      </c>
      <c r="I2521">
        <v>223.5847</v>
      </c>
      <c r="J2521">
        <v>-494.02170000000001</v>
      </c>
      <c r="K2521">
        <v>1.112325</v>
      </c>
      <c r="L2521">
        <v>232.0684</v>
      </c>
      <c r="M2521">
        <v>0.32717780000000002</v>
      </c>
      <c r="N2521">
        <v>0</v>
      </c>
      <c r="O2521">
        <v>-0.94489849999999997</v>
      </c>
      <c r="P2521">
        <v>0.57406480000000004</v>
      </c>
      <c r="Q2521">
        <v>2.2913240000000001E-2</v>
      </c>
      <c r="R2521">
        <v>-0.81848940000000003</v>
      </c>
      <c r="S2521">
        <v>1.955811</v>
      </c>
      <c r="T2521">
        <v>-0.29705419999999999</v>
      </c>
      <c r="U2521">
        <v>-2.303925</v>
      </c>
      <c r="V2521">
        <v>-0.27483350000000001</v>
      </c>
      <c r="W2521">
        <v>3.2039230000000002E-2</v>
      </c>
      <c r="X2521">
        <v>0.96095790000000003</v>
      </c>
      <c r="Y2521">
        <v>-0.35882950000000002</v>
      </c>
      <c r="Z2521">
        <v>9.8420590000000002E-2</v>
      </c>
      <c r="AA2521">
        <v>0.92819980000000002</v>
      </c>
      <c r="AB2521">
        <v>15</v>
      </c>
      <c r="AC2521">
        <v>7.2674000000000003</v>
      </c>
      <c r="AD2521">
        <v>-1.1123209459749901</v>
      </c>
      <c r="AE2521">
        <v>-8.48369999999999</v>
      </c>
      <c r="AF2521">
        <v>-4.0513570219404604</v>
      </c>
      <c r="AG2521">
        <v>-1.1123209459749901</v>
      </c>
      <c r="AH2521">
        <v>10.292549738074699</v>
      </c>
      <c r="AI2521">
        <v>95.742395223509504</v>
      </c>
      <c r="AJ2521">
        <v>111.485608413101</v>
      </c>
      <c r="AK2521">
        <v>11.1169839307621</v>
      </c>
      <c r="AL2521">
        <v>88.163973179820402</v>
      </c>
      <c r="AM2521">
        <v>105.96050417260901</v>
      </c>
      <c r="AN2521">
        <v>1.00000002527682</v>
      </c>
    </row>
    <row r="2522" spans="1:40" x14ac:dyDescent="0.25">
      <c r="A2522" t="str">
        <f>"20190312151318275"</f>
        <v>20190312151318275</v>
      </c>
      <c r="B2522" t="str">
        <f>"1552374798272774"</f>
        <v>1552374798272774</v>
      </c>
      <c r="C2522" t="s">
        <v>40</v>
      </c>
      <c r="D2522">
        <v>4.1187940000000003</v>
      </c>
      <c r="E2522">
        <v>0.4665301</v>
      </c>
      <c r="F2522" t="s">
        <v>53</v>
      </c>
      <c r="G2522">
        <v>-486.3614</v>
      </c>
      <c r="H2522" s="1">
        <v>3.8143449999999998E-6</v>
      </c>
      <c r="I2522">
        <v>223.09219999999999</v>
      </c>
      <c r="J2522">
        <v>-493.96949999999998</v>
      </c>
      <c r="K2522">
        <v>1.1123209999999999</v>
      </c>
      <c r="L2522">
        <v>231.9374</v>
      </c>
      <c r="M2522">
        <v>0.33234259999999999</v>
      </c>
      <c r="N2522">
        <v>0</v>
      </c>
      <c r="O2522">
        <v>-0.94309449999999995</v>
      </c>
      <c r="P2522">
        <v>0.57857510000000001</v>
      </c>
      <c r="Q2522">
        <v>2.2611579999999999E-2</v>
      </c>
      <c r="R2522">
        <v>-0.81531609999999999</v>
      </c>
      <c r="S2522">
        <v>1.9609989999999999</v>
      </c>
      <c r="T2522">
        <v>-0.28474890000000003</v>
      </c>
      <c r="U2522">
        <v>-2.2978670000000001</v>
      </c>
      <c r="V2522">
        <v>-0.2748775</v>
      </c>
      <c r="W2522">
        <v>3.1718000000000003E-2</v>
      </c>
      <c r="X2522">
        <v>0.96095589999999997</v>
      </c>
      <c r="Y2522">
        <v>-0.35641250000000002</v>
      </c>
      <c r="Z2522">
        <v>9.4295299999999999E-2</v>
      </c>
      <c r="AA2522">
        <v>0.9295582</v>
      </c>
      <c r="AB2522">
        <v>15</v>
      </c>
      <c r="AC2522">
        <v>7.6080999999999701</v>
      </c>
      <c r="AD2522">
        <v>-1.11231718565499</v>
      </c>
      <c r="AE2522">
        <v>-8.8452000000000002</v>
      </c>
      <c r="AF2522">
        <v>-4.1976234309991698</v>
      </c>
      <c r="AG2522">
        <v>-1.11231718565499</v>
      </c>
      <c r="AH2522">
        <v>10.7730933467739</v>
      </c>
      <c r="AI2522">
        <v>95.495209260192297</v>
      </c>
      <c r="AJ2522">
        <v>111.287856539326</v>
      </c>
      <c r="AK2522">
        <v>11.6153705170468</v>
      </c>
      <c r="AL2522">
        <v>88.182387537086797</v>
      </c>
      <c r="AM2522">
        <v>105.962960751412</v>
      </c>
      <c r="AN2522">
        <v>0.99999995663752905</v>
      </c>
    </row>
    <row r="2523" spans="1:40" x14ac:dyDescent="0.25">
      <c r="A2523" t="str">
        <f>"20190312151318318"</f>
        <v>20190312151318318</v>
      </c>
      <c r="B2523" t="str">
        <f>"1552374798312790"</f>
        <v>1552374798312790</v>
      </c>
      <c r="C2523" t="s">
        <v>40</v>
      </c>
      <c r="D2523">
        <v>4.175122</v>
      </c>
      <c r="E2523">
        <v>0.470416</v>
      </c>
      <c r="F2523" t="s">
        <v>53</v>
      </c>
      <c r="G2523">
        <v>-486.09230000000002</v>
      </c>
      <c r="H2523" s="1">
        <v>3.6523379999999999E-6</v>
      </c>
      <c r="I2523">
        <v>222.7619</v>
      </c>
      <c r="J2523">
        <v>-493.8655</v>
      </c>
      <c r="K2523">
        <v>1.1123179999999999</v>
      </c>
      <c r="L2523">
        <v>231.68219999999999</v>
      </c>
      <c r="M2523">
        <v>0.34239969999999997</v>
      </c>
      <c r="N2523">
        <v>0</v>
      </c>
      <c r="O2523">
        <v>-0.93949070000000001</v>
      </c>
      <c r="P2523">
        <v>0.58654589999999995</v>
      </c>
      <c r="Q2523">
        <v>2.2874309999999998E-2</v>
      </c>
      <c r="R2523">
        <v>-0.80959320000000001</v>
      </c>
      <c r="S2523">
        <v>1.9671019999999999</v>
      </c>
      <c r="T2523">
        <v>-0.27776650000000003</v>
      </c>
      <c r="U2523">
        <v>-2.29129</v>
      </c>
      <c r="V2523">
        <v>-0.27404210000000001</v>
      </c>
      <c r="W2523">
        <v>3.1930090000000001E-2</v>
      </c>
      <c r="X2523">
        <v>0.96118749999999997</v>
      </c>
      <c r="Y2523">
        <v>-0.34932550000000001</v>
      </c>
      <c r="Z2523">
        <v>9.174997E-2</v>
      </c>
      <c r="AA2523">
        <v>0.93249859999999896</v>
      </c>
      <c r="AB2523">
        <v>15</v>
      </c>
      <c r="AC2523">
        <v>7.7731999999999699</v>
      </c>
      <c r="AD2523">
        <v>-1.1123143476620001</v>
      </c>
      <c r="AE2523">
        <v>-8.9202999999999903</v>
      </c>
      <c r="AF2523">
        <v>-4.2115742254066602</v>
      </c>
      <c r="AG2523">
        <v>-1.1123143476620001</v>
      </c>
      <c r="AH2523">
        <v>10.9460023606681</v>
      </c>
      <c r="AI2523">
        <v>95.417752154629198</v>
      </c>
      <c r="AJ2523">
        <v>111.04468479651101</v>
      </c>
      <c r="AK2523">
        <v>11.780898452320001</v>
      </c>
      <c r="AL2523">
        <v>88.170229608073697</v>
      </c>
      <c r="AM2523">
        <v>105.913266819142</v>
      </c>
      <c r="AN2523">
        <v>1.0000000066880299</v>
      </c>
    </row>
    <row r="2524" spans="1:40" x14ac:dyDescent="0.25">
      <c r="A2524" t="str">
        <f>"20190312151318339"</f>
        <v>20190312151318339</v>
      </c>
      <c r="B2524" t="str">
        <f>"1552374798332310"</f>
        <v>1552374798332310</v>
      </c>
      <c r="C2524" t="s">
        <v>40</v>
      </c>
      <c r="D2524">
        <v>4.1232220000000002</v>
      </c>
      <c r="E2524">
        <v>0.47009410000000001</v>
      </c>
      <c r="F2524" t="s">
        <v>53</v>
      </c>
      <c r="G2524">
        <v>-483.46710000000002</v>
      </c>
      <c r="H2524" s="1">
        <v>2.3806640000000002E-6</v>
      </c>
      <c r="I2524">
        <v>219.54810000000001</v>
      </c>
      <c r="J2524">
        <v>-493.81240000000003</v>
      </c>
      <c r="K2524">
        <v>1.112312</v>
      </c>
      <c r="L2524">
        <v>231.5547</v>
      </c>
      <c r="M2524">
        <v>0.34742119999999999</v>
      </c>
      <c r="N2524">
        <v>0</v>
      </c>
      <c r="O2524">
        <v>-0.93764579999999997</v>
      </c>
      <c r="P2524">
        <v>0.58995500000000001</v>
      </c>
      <c r="Q2524">
        <v>2.242572E-2</v>
      </c>
      <c r="R2524">
        <v>-0.80712499999999998</v>
      </c>
      <c r="S2524">
        <v>1.9623109999999999</v>
      </c>
      <c r="T2524">
        <v>-0.20990919999999999</v>
      </c>
      <c r="U2524">
        <v>-2.2898710000000002</v>
      </c>
      <c r="V2524">
        <v>-0.27294649999999998</v>
      </c>
      <c r="W2524">
        <v>3.1455400000000001E-2</v>
      </c>
      <c r="X2524">
        <v>0.9615148</v>
      </c>
      <c r="Y2524">
        <v>-0.34470009999999901</v>
      </c>
      <c r="Z2524">
        <v>6.9418590000000002E-2</v>
      </c>
      <c r="AA2524">
        <v>0.93614260000000005</v>
      </c>
      <c r="AB2524">
        <v>15</v>
      </c>
      <c r="AC2524">
        <v>10.3453</v>
      </c>
      <c r="AD2524">
        <v>-1.112309619336</v>
      </c>
      <c r="AE2524">
        <v>-12.006599999999899</v>
      </c>
      <c r="AF2524">
        <v>-5.5021071043943799</v>
      </c>
      <c r="AG2524">
        <v>-1.112309619336</v>
      </c>
      <c r="AH2524">
        <v>14.7801958960008</v>
      </c>
      <c r="AI2524">
        <v>94.034298087902101</v>
      </c>
      <c r="AJ2524">
        <v>110.418392777763</v>
      </c>
      <c r="AK2524">
        <v>15.8102690047214</v>
      </c>
      <c r="AL2524">
        <v>88.197440949190906</v>
      </c>
      <c r="AM2524">
        <v>105.847725012127</v>
      </c>
      <c r="AN2524">
        <v>0.99999997233522397</v>
      </c>
    </row>
    <row r="2525" spans="1:40" x14ac:dyDescent="0.25">
      <c r="A2525" t="str">
        <f>"20190312151318362"</f>
        <v>20190312151318362</v>
      </c>
      <c r="B2525" t="str">
        <f>"1552374798352806"</f>
        <v>1552374798352806</v>
      </c>
      <c r="C2525" t="s">
        <v>40</v>
      </c>
      <c r="D2525">
        <v>4.1840970000000004</v>
      </c>
      <c r="E2525">
        <v>0.4704373</v>
      </c>
      <c r="F2525" t="s">
        <v>53</v>
      </c>
      <c r="G2525">
        <v>-482.99419999999998</v>
      </c>
      <c r="H2525" s="1">
        <v>2.2753410000000001E-6</v>
      </c>
      <c r="I2525">
        <v>219.05779999999999</v>
      </c>
      <c r="J2525">
        <v>-493.75319999999999</v>
      </c>
      <c r="K2525">
        <v>1.1123149999999999</v>
      </c>
      <c r="L2525">
        <v>231.41499999999999</v>
      </c>
      <c r="M2525">
        <v>0.35293219999999997</v>
      </c>
      <c r="N2525">
        <v>0</v>
      </c>
      <c r="O2525">
        <v>-0.93558589999999997</v>
      </c>
      <c r="P2525">
        <v>0.59380390000000005</v>
      </c>
      <c r="Q2525">
        <v>2.2111990000000002E-2</v>
      </c>
      <c r="R2525">
        <v>-0.80430639999999998</v>
      </c>
      <c r="S2525">
        <v>1.9736629999999999</v>
      </c>
      <c r="T2525">
        <v>-0.20292879999999999</v>
      </c>
      <c r="U2525">
        <v>-2.279922</v>
      </c>
      <c r="V2525">
        <v>-0.27187729999999999</v>
      </c>
      <c r="W2525">
        <v>3.111177E-2</v>
      </c>
      <c r="X2525">
        <v>0.96182889999999999</v>
      </c>
      <c r="Y2525">
        <v>-0.34397499999999998</v>
      </c>
      <c r="Z2525">
        <v>6.7040890000000006E-2</v>
      </c>
      <c r="AA2525">
        <v>0.93658240000000004</v>
      </c>
      <c r="AB2525">
        <v>15</v>
      </c>
      <c r="AC2525">
        <v>10.759</v>
      </c>
      <c r="AD2525">
        <v>-1.1123127246590001</v>
      </c>
      <c r="AE2525">
        <v>-12.357200000000001</v>
      </c>
      <c r="AF2525">
        <v>-5.67887885986047</v>
      </c>
      <c r="AG2525">
        <v>-1.1123127246590001</v>
      </c>
      <c r="AH2525">
        <v>15.288862949297201</v>
      </c>
      <c r="AI2525">
        <v>93.901553344184194</v>
      </c>
      <c r="AJ2525">
        <v>110.37695664683299</v>
      </c>
      <c r="AK2525">
        <v>16.3473617132796</v>
      </c>
      <c r="AL2525">
        <v>88.217139226071595</v>
      </c>
      <c r="AM2525">
        <v>105.78384735253501</v>
      </c>
      <c r="AN2525">
        <v>1.0000000206815101</v>
      </c>
    </row>
    <row r="2526" spans="1:40" x14ac:dyDescent="0.25">
      <c r="A2526" t="str">
        <f>"20190312151318386"</f>
        <v>20190312151318386</v>
      </c>
      <c r="B2526" t="str">
        <f>"1552374798382086"</f>
        <v>1552374798382086</v>
      </c>
      <c r="C2526" t="s">
        <v>40</v>
      </c>
      <c r="D2526">
        <v>4.1148809999999996</v>
      </c>
      <c r="E2526">
        <v>0.46788809999999897</v>
      </c>
      <c r="F2526" t="s">
        <v>53</v>
      </c>
      <c r="G2526">
        <v>-483.09800000000001</v>
      </c>
      <c r="H2526" s="1">
        <v>2.300037E-6</v>
      </c>
      <c r="I2526">
        <v>219.20150000000001</v>
      </c>
      <c r="J2526">
        <v>-493.69499999999999</v>
      </c>
      <c r="K2526">
        <v>1.112323</v>
      </c>
      <c r="L2526">
        <v>231.27959999999999</v>
      </c>
      <c r="M2526">
        <v>0.35827209999999998</v>
      </c>
      <c r="N2526">
        <v>0</v>
      </c>
      <c r="O2526">
        <v>-0.93355399999999999</v>
      </c>
      <c r="P2526">
        <v>0.59758250000000002</v>
      </c>
      <c r="Q2526">
        <v>2.1702389999999998E-2</v>
      </c>
      <c r="R2526">
        <v>-0.80151380000000005</v>
      </c>
      <c r="S2526">
        <v>1.982208</v>
      </c>
      <c r="T2526">
        <v>-0.206925</v>
      </c>
      <c r="U2526">
        <v>-2.2720950000000002</v>
      </c>
      <c r="V2526">
        <v>-0.27090249999999999</v>
      </c>
      <c r="W2526">
        <v>3.0677099999999902E-2</v>
      </c>
      <c r="X2526">
        <v>0.96211789999999997</v>
      </c>
      <c r="Y2526">
        <v>-0.34215000000000001</v>
      </c>
      <c r="Z2526">
        <v>6.8263950000000004E-2</v>
      </c>
      <c r="AA2526">
        <v>0.93716250000000001</v>
      </c>
      <c r="AB2526">
        <v>15</v>
      </c>
      <c r="AC2526">
        <v>10.5969999999999</v>
      </c>
      <c r="AD2526">
        <v>-1.112320699963</v>
      </c>
      <c r="AE2526">
        <v>-12.0780999999999</v>
      </c>
      <c r="AF2526">
        <v>-5.5394075554624198</v>
      </c>
      <c r="AG2526">
        <v>-1.112320699963</v>
      </c>
      <c r="AH2526">
        <v>15.001167712964399</v>
      </c>
      <c r="AI2526">
        <v>93.978975729171793</v>
      </c>
      <c r="AJ2526">
        <v>110.26742799683601</v>
      </c>
      <c r="AK2526">
        <v>16.029888526049302</v>
      </c>
      <c r="AL2526">
        <v>88.242055929850807</v>
      </c>
      <c r="AM2526">
        <v>105.725569848695</v>
      </c>
      <c r="AN2526">
        <v>1.00000005123553</v>
      </c>
    </row>
    <row r="2527" spans="1:40" x14ac:dyDescent="0.25">
      <c r="A2527" t="str">
        <f>"20190312151318409"</f>
        <v>20190312151318409</v>
      </c>
      <c r="B2527" t="str">
        <f>"1552374798402582"</f>
        <v>1552374798402582</v>
      </c>
      <c r="C2527" t="s">
        <v>40</v>
      </c>
      <c r="D2527">
        <v>3.892998</v>
      </c>
      <c r="E2527">
        <v>0.4197246</v>
      </c>
      <c r="F2527" t="s">
        <v>53</v>
      </c>
      <c r="G2527">
        <v>-483.9803</v>
      </c>
      <c r="H2527" s="1">
        <v>2.6489479999999998E-6</v>
      </c>
      <c r="I2527">
        <v>220.40450000000001</v>
      </c>
      <c r="J2527">
        <v>-493.6345</v>
      </c>
      <c r="K2527">
        <v>1.1123320000000001</v>
      </c>
      <c r="L2527">
        <v>231.1414</v>
      </c>
      <c r="M2527">
        <v>0.3637321</v>
      </c>
      <c r="N2527">
        <v>0</v>
      </c>
      <c r="O2527">
        <v>-0.93144099999999996</v>
      </c>
      <c r="P2527">
        <v>0.60181180000000001</v>
      </c>
      <c r="Q2527">
        <v>2.1070559999999999E-2</v>
      </c>
      <c r="R2527">
        <v>-0.79836019999999996</v>
      </c>
      <c r="S2527">
        <v>2.010284</v>
      </c>
      <c r="T2527">
        <v>-0.23017489999999999</v>
      </c>
      <c r="U2527">
        <v>-2.250397</v>
      </c>
      <c r="V2527">
        <v>-0.27034639999999999</v>
      </c>
      <c r="W2527">
        <v>3.0013169999999999E-2</v>
      </c>
      <c r="X2527">
        <v>0.96229520000000002</v>
      </c>
      <c r="Y2527">
        <v>-0.34726030000000002</v>
      </c>
      <c r="Z2527">
        <v>7.5829140000000003E-2</v>
      </c>
      <c r="AA2527">
        <v>0.93469789999999997</v>
      </c>
      <c r="AB2527">
        <v>15</v>
      </c>
      <c r="AC2527">
        <v>9.6541999999999994</v>
      </c>
      <c r="AD2527">
        <v>-1.11232935105199</v>
      </c>
      <c r="AE2527">
        <v>-10.736899999999901</v>
      </c>
      <c r="AF2527">
        <v>-5.0572463436125297</v>
      </c>
      <c r="AG2527">
        <v>-1.11232935105199</v>
      </c>
      <c r="AH2527">
        <v>13.4333972163209</v>
      </c>
      <c r="AI2527">
        <v>94.431203517405393</v>
      </c>
      <c r="AJ2527">
        <v>110.629758130402</v>
      </c>
      <c r="AK2527">
        <v>14.3968461107512</v>
      </c>
      <c r="AL2527">
        <v>88.280113769513704</v>
      </c>
      <c r="AM2527">
        <v>105.69213190362601</v>
      </c>
      <c r="AN2527">
        <v>1.0000000091547201</v>
      </c>
    </row>
    <row r="2528" spans="1:40" x14ac:dyDescent="0.25">
      <c r="A2528" t="str">
        <f>"20190312151318609"</f>
        <v>20190312151318609</v>
      </c>
      <c r="B2528" t="str">
        <f>"1552374798602699"</f>
        <v>1552374798602699</v>
      </c>
      <c r="C2528" t="s">
        <v>40</v>
      </c>
      <c r="D2528">
        <v>4.1277140000000001</v>
      </c>
      <c r="E2528">
        <v>0.3482131</v>
      </c>
      <c r="F2528" t="s">
        <v>53</v>
      </c>
      <c r="G2528">
        <v>-486.41199999999998</v>
      </c>
      <c r="H2528" s="1">
        <v>4.7246020000000001E-6</v>
      </c>
      <c r="I2528">
        <v>226.50200000000001</v>
      </c>
      <c r="J2528">
        <v>-493.07119999999998</v>
      </c>
      <c r="K2528">
        <v>1.1124700000000001</v>
      </c>
      <c r="L2528">
        <v>229.94900000000001</v>
      </c>
      <c r="M2528">
        <v>0.41149730000000001</v>
      </c>
      <c r="N2528">
        <v>0</v>
      </c>
      <c r="O2528">
        <v>-0.91135109999999997</v>
      </c>
      <c r="P2528">
        <v>0.63714959999999998</v>
      </c>
      <c r="Q2528">
        <v>2.490297E-2</v>
      </c>
      <c r="R2528">
        <v>-0.77033779999999996</v>
      </c>
      <c r="S2528">
        <v>2.88327</v>
      </c>
      <c r="T2528">
        <v>-0.47682479999999999</v>
      </c>
      <c r="U2528">
        <v>-1.5351410000000001</v>
      </c>
      <c r="V2528">
        <v>-0.26389190000000001</v>
      </c>
      <c r="W2528">
        <v>3.3430849999999998E-2</v>
      </c>
      <c r="X2528">
        <v>0.96397270000000002</v>
      </c>
      <c r="Y2528">
        <v>-0.60028110000000001</v>
      </c>
      <c r="Z2528">
        <v>0.15180199999999999</v>
      </c>
      <c r="AA2528">
        <v>0.78525080000000003</v>
      </c>
      <c r="AB2528">
        <v>15</v>
      </c>
      <c r="AC2528">
        <v>6.6591999999999896</v>
      </c>
      <c r="AD2528">
        <v>-1.112465275398</v>
      </c>
      <c r="AE2528">
        <v>-3.4470000000000001</v>
      </c>
      <c r="AF2528">
        <v>-4.5505323631048098</v>
      </c>
      <c r="AG2528">
        <v>-1.112465275398</v>
      </c>
      <c r="AH2528">
        <v>5.7553137287729097</v>
      </c>
      <c r="AI2528">
        <v>98.621790977559499</v>
      </c>
      <c r="AJ2528">
        <v>128.332232481294</v>
      </c>
      <c r="AK2528">
        <v>7.4208193545748404</v>
      </c>
      <c r="AL2528">
        <v>88.084196345290096</v>
      </c>
      <c r="AM2528">
        <v>105.309887524187</v>
      </c>
      <c r="AN2528">
        <v>0.99999996148130998</v>
      </c>
    </row>
    <row r="2529" spans="1:40" x14ac:dyDescent="0.25">
      <c r="A2529" t="str">
        <f>"20190312151318631"</f>
        <v>20190312151318631</v>
      </c>
      <c r="B2529" t="str">
        <f>"1552374798622218"</f>
        <v>1552374798622218</v>
      </c>
      <c r="C2529" t="s">
        <v>40</v>
      </c>
      <c r="D2529">
        <v>4.0846609999999997</v>
      </c>
      <c r="E2529">
        <v>0.3490473</v>
      </c>
      <c r="F2529" t="s">
        <v>53</v>
      </c>
      <c r="G2529">
        <v>-486.8347</v>
      </c>
      <c r="H2529" s="1">
        <v>4.8759710000000002E-6</v>
      </c>
      <c r="I2529">
        <v>226.62739999999999</v>
      </c>
      <c r="J2529">
        <v>-493.00189999999998</v>
      </c>
      <c r="K2529">
        <v>1.1124860000000001</v>
      </c>
      <c r="L2529">
        <v>229.81309999999999</v>
      </c>
      <c r="M2529">
        <v>0.41706709999999902</v>
      </c>
      <c r="N2529">
        <v>0</v>
      </c>
      <c r="O2529">
        <v>-0.90881619999999996</v>
      </c>
      <c r="P2529">
        <v>0.64233739999999995</v>
      </c>
      <c r="Q2529">
        <v>2.5335320000000001E-2</v>
      </c>
      <c r="R2529">
        <v>-0.76600330000000005</v>
      </c>
      <c r="S2529">
        <v>2.8763429999999999</v>
      </c>
      <c r="T2529">
        <v>-0.51308849999999995</v>
      </c>
      <c r="U2529">
        <v>-1.531952</v>
      </c>
      <c r="V2529">
        <v>-0.264513</v>
      </c>
      <c r="W2529">
        <v>3.378018E-2</v>
      </c>
      <c r="X2529">
        <v>0.96379029999999999</v>
      </c>
      <c r="Y2529">
        <v>-0.59360389999999996</v>
      </c>
      <c r="Z2529">
        <v>0.16310429999999901</v>
      </c>
      <c r="AA2529">
        <v>0.78805550000000002</v>
      </c>
      <c r="AB2529">
        <v>15</v>
      </c>
      <c r="AC2529">
        <v>6.1671999999999798</v>
      </c>
      <c r="AD2529">
        <v>-1.112481124029</v>
      </c>
      <c r="AE2529">
        <v>-3.18569999999999</v>
      </c>
      <c r="AF2529">
        <v>-4.1693395304329703</v>
      </c>
      <c r="AG2529">
        <v>-1.112481124029</v>
      </c>
      <c r="AH2529">
        <v>5.3307243641835402</v>
      </c>
      <c r="AI2529">
        <v>99.335029246441394</v>
      </c>
      <c r="AJ2529">
        <v>128.03016312043499</v>
      </c>
      <c r="AK2529">
        <v>6.8583984003739502</v>
      </c>
      <c r="AL2529">
        <v>88.064169943970299</v>
      </c>
      <c r="AM2529">
        <v>105.346991627454</v>
      </c>
      <c r="AN2529">
        <v>0.99999998505196097</v>
      </c>
    </row>
    <row r="2530" spans="1:40" x14ac:dyDescent="0.25">
      <c r="A2530" t="str">
        <f>"20190312151318656"</f>
        <v>20190312151318656</v>
      </c>
      <c r="B2530" t="str">
        <f>"1552374798652474"</f>
        <v>1552374798652474</v>
      </c>
      <c r="C2530" t="s">
        <v>40</v>
      </c>
      <c r="D2530">
        <v>4.373678</v>
      </c>
      <c r="E2530">
        <v>0.3505723</v>
      </c>
      <c r="F2530" t="s">
        <v>53</v>
      </c>
      <c r="G2530">
        <v>-486.60849999999999</v>
      </c>
      <c r="H2530" s="1">
        <v>4.7601859999999998E-6</v>
      </c>
      <c r="I2530">
        <v>226.44800000000001</v>
      </c>
      <c r="J2530">
        <v>-492.92989999999998</v>
      </c>
      <c r="K2530">
        <v>1.1125069999999999</v>
      </c>
      <c r="L2530">
        <v>229.67400000000001</v>
      </c>
      <c r="M2530">
        <v>0.42278579999999999</v>
      </c>
      <c r="N2530">
        <v>0</v>
      </c>
      <c r="O2530">
        <v>-0.90617080000000005</v>
      </c>
      <c r="P2530">
        <v>0.64796399999999998</v>
      </c>
      <c r="Q2530">
        <v>2.5676629999999999E-2</v>
      </c>
      <c r="R2530">
        <v>-0.76123839999999998</v>
      </c>
      <c r="S2530">
        <v>2.8815309999999998</v>
      </c>
      <c r="T2530">
        <v>-0.50140150000000006</v>
      </c>
      <c r="U2530">
        <v>-1.5166470000000001</v>
      </c>
      <c r="V2530">
        <v>-0.265549599999999</v>
      </c>
      <c r="W2530">
        <v>3.4035129999999997E-2</v>
      </c>
      <c r="X2530">
        <v>0.96349629999999997</v>
      </c>
      <c r="Y2530">
        <v>-0.59298399999999996</v>
      </c>
      <c r="Z2530">
        <v>0.159444899999999</v>
      </c>
      <c r="AA2530">
        <v>0.78927019999999903</v>
      </c>
      <c r="AB2530">
        <v>15</v>
      </c>
      <c r="AC2530">
        <v>6.3213999999999801</v>
      </c>
      <c r="AD2530">
        <v>-1.1125022398140001</v>
      </c>
      <c r="AE2530">
        <v>-3.22600000000002</v>
      </c>
      <c r="AF2530">
        <v>-4.2599158944837603</v>
      </c>
      <c r="AG2530">
        <v>-1.1125022398140001</v>
      </c>
      <c r="AH2530">
        <v>5.4619873910963896</v>
      </c>
      <c r="AI2530">
        <v>99.124296583749597</v>
      </c>
      <c r="AJ2530">
        <v>127.951398472298</v>
      </c>
      <c r="AK2530">
        <v>7.0155435229326697</v>
      </c>
      <c r="AL2530">
        <v>88.049554107077896</v>
      </c>
      <c r="AM2530">
        <v>105.408760575871</v>
      </c>
      <c r="AN2530">
        <v>1.0000000501239801</v>
      </c>
    </row>
    <row r="2531" spans="1:40" x14ac:dyDescent="0.25">
      <c r="A2531" t="str">
        <f>"20190312151318678"</f>
        <v>20190312151318678</v>
      </c>
      <c r="B2531" t="str">
        <f>"1552374798672970"</f>
        <v>1552374798672970</v>
      </c>
      <c r="C2531" t="s">
        <v>40</v>
      </c>
      <c r="D2531">
        <v>4.095726</v>
      </c>
      <c r="E2531">
        <v>0.35184910000000003</v>
      </c>
      <c r="F2531" t="s">
        <v>41</v>
      </c>
      <c r="G2531">
        <v>-492.07740000000001</v>
      </c>
      <c r="H2531">
        <v>0.96716029999999997</v>
      </c>
      <c r="I2531">
        <v>229.2294</v>
      </c>
      <c r="J2531">
        <v>-492.85770000000002</v>
      </c>
      <c r="K2531">
        <v>1.1125210000000001</v>
      </c>
      <c r="L2531">
        <v>229.5367</v>
      </c>
      <c r="M2531">
        <v>0.42845549999999999</v>
      </c>
      <c r="N2531">
        <v>0</v>
      </c>
      <c r="O2531">
        <v>-0.90350450000000004</v>
      </c>
      <c r="P2531">
        <v>0.65386899999999903</v>
      </c>
      <c r="Q2531">
        <v>2.6567759999999999E-2</v>
      </c>
      <c r="R2531">
        <v>-0.75614130000000002</v>
      </c>
      <c r="S2531">
        <v>2.8834230000000001</v>
      </c>
      <c r="T2531">
        <v>-0.49140810000000001</v>
      </c>
      <c r="U2531">
        <v>-1.503098</v>
      </c>
      <c r="V2531">
        <v>-0.2670322</v>
      </c>
      <c r="W2531">
        <v>3.4839080000000001E-2</v>
      </c>
      <c r="X2531">
        <v>0.96305759999999996</v>
      </c>
      <c r="Y2531">
        <v>-0.59155360000000001</v>
      </c>
      <c r="Z2531">
        <v>0.15636369999999999</v>
      </c>
      <c r="AA2531">
        <v>0.7909581</v>
      </c>
      <c r="AB2531">
        <v>15</v>
      </c>
      <c r="AC2531">
        <v>0.78030000000001098</v>
      </c>
      <c r="AD2531">
        <v>-0.14536069999999901</v>
      </c>
      <c r="AE2531">
        <v>-0.30729999999999702</v>
      </c>
      <c r="AF2531">
        <v>-0.55664673919944896</v>
      </c>
      <c r="AG2531">
        <v>-0.14536069999999901</v>
      </c>
      <c r="AH2531">
        <v>0.59415253973188298</v>
      </c>
      <c r="AI2531">
        <v>100.122843596357</v>
      </c>
      <c r="AJ2531">
        <v>133.133328935576</v>
      </c>
      <c r="AK2531">
        <v>0.82704447633468703</v>
      </c>
      <c r="AL2531">
        <v>88.003463626808298</v>
      </c>
      <c r="AM2531">
        <v>105.49738634522799</v>
      </c>
      <c r="AN2531">
        <v>0.99999994912492096</v>
      </c>
    </row>
    <row r="2532" spans="1:40" x14ac:dyDescent="0.25">
      <c r="A2532" t="str">
        <f>"20190312151318701"</f>
        <v>20190312151318701</v>
      </c>
      <c r="B2532" t="str">
        <f>"1552374798692490"</f>
        <v>1552374798692490</v>
      </c>
      <c r="C2532" t="s">
        <v>40</v>
      </c>
      <c r="D2532">
        <v>4.1988409999999998</v>
      </c>
      <c r="E2532">
        <v>0.35318149999999998</v>
      </c>
      <c r="F2532" t="s">
        <v>41</v>
      </c>
      <c r="G2532">
        <v>-492.02420000000001</v>
      </c>
      <c r="H2532">
        <v>0.97488580000000002</v>
      </c>
      <c r="I2532">
        <v>229.10759999999999</v>
      </c>
      <c r="J2532">
        <v>-492.78699999999998</v>
      </c>
      <c r="K2532">
        <v>1.1125339999999999</v>
      </c>
      <c r="L2532">
        <v>229.4042</v>
      </c>
      <c r="M2532">
        <v>0.43394840000000001</v>
      </c>
      <c r="N2532">
        <v>0</v>
      </c>
      <c r="O2532">
        <v>-0.90087989999999996</v>
      </c>
      <c r="P2532">
        <v>0.6603658</v>
      </c>
      <c r="Q2532">
        <v>2.6729880000000001E-2</v>
      </c>
      <c r="R2532">
        <v>-0.75046859999999904</v>
      </c>
      <c r="S2532">
        <v>2.8879700000000001</v>
      </c>
      <c r="T2532">
        <v>-0.47694920000000002</v>
      </c>
      <c r="U2532">
        <v>-1.486969</v>
      </c>
      <c r="V2532">
        <v>-0.26947890000000002</v>
      </c>
      <c r="W2532">
        <v>3.4906270000000003E-2</v>
      </c>
      <c r="X2532">
        <v>0.96237340000000005</v>
      </c>
      <c r="Y2532">
        <v>-0.59133019999999903</v>
      </c>
      <c r="Z2532">
        <v>0.1518719</v>
      </c>
      <c r="AA2532">
        <v>0.79199969999999997</v>
      </c>
      <c r="AB2532">
        <v>15</v>
      </c>
      <c r="AC2532">
        <v>0.76279999999996995</v>
      </c>
      <c r="AD2532">
        <v>-0.137648199999999</v>
      </c>
      <c r="AE2532">
        <v>-0.29660000000001202</v>
      </c>
      <c r="AF2532">
        <v>-0.54314766345031995</v>
      </c>
      <c r="AG2532">
        <v>-0.137648199999999</v>
      </c>
      <c r="AH2532">
        <v>0.58179137943506498</v>
      </c>
      <c r="AI2532">
        <v>99.811794211619201</v>
      </c>
      <c r="AJ2532">
        <v>133.03255870868799</v>
      </c>
      <c r="AK2532">
        <v>0.80773610818121699</v>
      </c>
      <c r="AL2532">
        <v>87.999611568230904</v>
      </c>
      <c r="AM2532">
        <v>105.643038573288</v>
      </c>
      <c r="AN2532">
        <v>0.99999994312903895</v>
      </c>
    </row>
    <row r="2533" spans="1:40" x14ac:dyDescent="0.25">
      <c r="A2533" t="str">
        <f>"20190312151318744"</f>
        <v>20190312151318744</v>
      </c>
      <c r="B2533" t="str">
        <f>"1552374798732624"</f>
        <v>1552374798732624</v>
      </c>
      <c r="C2533" t="s">
        <v>40</v>
      </c>
      <c r="D2533">
        <v>4.0876440000000001</v>
      </c>
      <c r="E2533">
        <v>0.3545664</v>
      </c>
      <c r="F2533" t="s">
        <v>41</v>
      </c>
      <c r="G2533">
        <v>-491.96620000000001</v>
      </c>
      <c r="H2533">
        <v>0.97884020000000005</v>
      </c>
      <c r="I2533">
        <v>228.98759999999999</v>
      </c>
      <c r="J2533">
        <v>-492.64870000000002</v>
      </c>
      <c r="K2533">
        <v>1.112557</v>
      </c>
      <c r="L2533">
        <v>229.15090000000001</v>
      </c>
      <c r="M2533">
        <v>0.44449889999999997</v>
      </c>
      <c r="N2533">
        <v>0</v>
      </c>
      <c r="O2533">
        <v>-0.89572269999999898</v>
      </c>
      <c r="P2533">
        <v>0.67427179999999998</v>
      </c>
      <c r="Q2533">
        <v>2.7366410000000001E-2</v>
      </c>
      <c r="R2533">
        <v>-0.73797630000000003</v>
      </c>
      <c r="S2533">
        <v>2.8935849999999999</v>
      </c>
      <c r="T2533">
        <v>-0.47123530000000002</v>
      </c>
      <c r="U2533">
        <v>-1.468094</v>
      </c>
      <c r="V2533">
        <v>-0.27617079999999999</v>
      </c>
      <c r="W2533">
        <v>3.5328489999999997E-2</v>
      </c>
      <c r="X2533">
        <v>0.96045910000000001</v>
      </c>
      <c r="Y2533">
        <v>-0.5869143</v>
      </c>
      <c r="Z2533">
        <v>0.14981529999999901</v>
      </c>
      <c r="AA2533">
        <v>0.79566759999999903</v>
      </c>
      <c r="AB2533">
        <v>15</v>
      </c>
      <c r="AC2533">
        <v>0.68250000000000399</v>
      </c>
      <c r="AD2533">
        <v>-0.133716799999999</v>
      </c>
      <c r="AE2533">
        <v>-0.16330000000002001</v>
      </c>
      <c r="AF2533">
        <v>-0.51989562666799805</v>
      </c>
      <c r="AG2533">
        <v>-0.133716799999999</v>
      </c>
      <c r="AH2533">
        <v>0.433910885989094</v>
      </c>
      <c r="AI2533">
        <v>101.170029879422</v>
      </c>
      <c r="AJ2533">
        <v>140.15123514836901</v>
      </c>
      <c r="AK2533">
        <v>0.69025379550610999</v>
      </c>
      <c r="AL2533">
        <v>87.9754054241928</v>
      </c>
      <c r="AM2533">
        <v>106.042081652962</v>
      </c>
      <c r="AN2533">
        <v>1.00000004787556</v>
      </c>
    </row>
    <row r="2534" spans="1:40" x14ac:dyDescent="0.25">
      <c r="A2534" t="str">
        <f>"20190312151318765"</f>
        <v>20190312151318765</v>
      </c>
      <c r="B2534" t="str">
        <f>"1552374798762880"</f>
        <v>1552374798762880</v>
      </c>
      <c r="C2534" t="s">
        <v>40</v>
      </c>
      <c r="D2534">
        <v>4.1171660000000001</v>
      </c>
      <c r="E2534">
        <v>0.368228</v>
      </c>
      <c r="F2534" t="s">
        <v>41</v>
      </c>
      <c r="G2534">
        <v>-491.83769999999998</v>
      </c>
      <c r="H2534">
        <v>0.98240280000000002</v>
      </c>
      <c r="I2534">
        <v>228.75540000000001</v>
      </c>
      <c r="J2534">
        <v>-492.57729999999998</v>
      </c>
      <c r="K2534">
        <v>1.1125670000000001</v>
      </c>
      <c r="L2534">
        <v>229.02260000000001</v>
      </c>
      <c r="M2534">
        <v>0.44985890000000001</v>
      </c>
      <c r="N2534">
        <v>0</v>
      </c>
      <c r="O2534">
        <v>-0.8930437</v>
      </c>
      <c r="P2534">
        <v>0.68052889999999999</v>
      </c>
      <c r="Q2534">
        <v>2.8158619999999999E-2</v>
      </c>
      <c r="R2534">
        <v>-0.73218019999999995</v>
      </c>
      <c r="S2534">
        <v>2.913818</v>
      </c>
      <c r="T2534">
        <v>-0.46748469999999998</v>
      </c>
      <c r="U2534">
        <v>-1.4202729999999999</v>
      </c>
      <c r="V2534">
        <v>-0.27861010000000003</v>
      </c>
      <c r="W2534">
        <v>3.6013749999999997E-2</v>
      </c>
      <c r="X2534">
        <v>0.95972880000000005</v>
      </c>
      <c r="Y2534">
        <v>-0.5949025</v>
      </c>
      <c r="Z2534">
        <v>0.1490158</v>
      </c>
      <c r="AA2534">
        <v>0.78986420000000002</v>
      </c>
      <c r="AB2534">
        <v>15</v>
      </c>
      <c r="AC2534">
        <v>0.73959999999999504</v>
      </c>
      <c r="AD2534">
        <v>-0.13016420000000001</v>
      </c>
      <c r="AE2534">
        <v>-0.26720000000000199</v>
      </c>
      <c r="AF2534">
        <v>-0.52591117013953503</v>
      </c>
      <c r="AG2534">
        <v>-0.13016420000000001</v>
      </c>
      <c r="AH2534">
        <v>0.55612892708869999</v>
      </c>
      <c r="AI2534">
        <v>99.651206255681203</v>
      </c>
      <c r="AJ2534">
        <v>133.400336491758</v>
      </c>
      <c r="AK2534">
        <v>0.776404959659587</v>
      </c>
      <c r="AL2534">
        <v>87.936117763208898</v>
      </c>
      <c r="AM2534">
        <v>106.188058710386</v>
      </c>
      <c r="AN2534">
        <v>0.99999997378025596</v>
      </c>
    </row>
    <row r="2535" spans="1:40" x14ac:dyDescent="0.25">
      <c r="A2535" t="str">
        <f>"20190312151318790"</f>
        <v>20190312151318790</v>
      </c>
      <c r="B2535" t="str">
        <f>"1552374798782400"</f>
        <v>1552374798782400</v>
      </c>
      <c r="C2535" t="s">
        <v>40</v>
      </c>
      <c r="D2535">
        <v>4.2188530000000002</v>
      </c>
      <c r="E2535">
        <v>0.36857469999999998</v>
      </c>
      <c r="F2535" t="s">
        <v>41</v>
      </c>
      <c r="G2535">
        <v>-491.66989999999998</v>
      </c>
      <c r="H2535">
        <v>0.98908090000000004</v>
      </c>
      <c r="I2535">
        <v>228.55240000000001</v>
      </c>
      <c r="J2535">
        <v>-492.49619999999999</v>
      </c>
      <c r="K2535">
        <v>1.112573</v>
      </c>
      <c r="L2535">
        <v>228.8793</v>
      </c>
      <c r="M2535">
        <v>0.45585920000000002</v>
      </c>
      <c r="N2535">
        <v>0</v>
      </c>
      <c r="O2535">
        <v>-0.88999689999999998</v>
      </c>
      <c r="P2535">
        <v>0.68696619999999997</v>
      </c>
      <c r="Q2535">
        <v>2.8705069999999999E-2</v>
      </c>
      <c r="R2535">
        <v>-0.7261223</v>
      </c>
      <c r="S2535">
        <v>2.8410950000000001</v>
      </c>
      <c r="T2535">
        <v>-0.38645859999999999</v>
      </c>
      <c r="U2535">
        <v>-1.4715119999999999</v>
      </c>
      <c r="V2535">
        <v>-0.28063840000000001</v>
      </c>
      <c r="W2535">
        <v>3.6441670000000002E-2</v>
      </c>
      <c r="X2535">
        <v>0.95912149999999996</v>
      </c>
      <c r="Y2535">
        <v>-0.57324359999999996</v>
      </c>
      <c r="Z2535">
        <v>0.1241553</v>
      </c>
      <c r="AA2535">
        <v>0.80992430000000004</v>
      </c>
      <c r="AB2535">
        <v>15</v>
      </c>
      <c r="AC2535">
        <v>0.82630000000000303</v>
      </c>
      <c r="AD2535">
        <v>-0.12349209999999899</v>
      </c>
      <c r="AE2535">
        <v>-0.32689999999999397</v>
      </c>
      <c r="AF2535">
        <v>-0.57530191537103803</v>
      </c>
      <c r="AG2535">
        <v>-0.12349209999999899</v>
      </c>
      <c r="AH2535">
        <v>0.65499907142014102</v>
      </c>
      <c r="AI2535">
        <v>98.062620034290603</v>
      </c>
      <c r="AJ2535">
        <v>131.29363902559101</v>
      </c>
      <c r="AK2535">
        <v>0.88048076421534804</v>
      </c>
      <c r="AL2535">
        <v>87.911583658821897</v>
      </c>
      <c r="AM2535">
        <v>106.30944555852</v>
      </c>
      <c r="AN2535">
        <v>0.99999997931459905</v>
      </c>
    </row>
    <row r="2536" spans="1:40" x14ac:dyDescent="0.25">
      <c r="A2536" t="str">
        <f>"20190312151318811"</f>
        <v>20190312151318811</v>
      </c>
      <c r="B2536" t="str">
        <f>"1552374798802897"</f>
        <v>1552374798802897</v>
      </c>
      <c r="C2536" t="s">
        <v>40</v>
      </c>
      <c r="D2536">
        <v>4.1472989999999896</v>
      </c>
      <c r="E2536">
        <v>0.36746719999999999</v>
      </c>
      <c r="F2536" t="s">
        <v>41</v>
      </c>
      <c r="G2536">
        <v>-491.61059999999998</v>
      </c>
      <c r="H2536">
        <v>0.98299970000000003</v>
      </c>
      <c r="I2536">
        <v>228.43010000000001</v>
      </c>
      <c r="J2536">
        <v>-492.42079999999999</v>
      </c>
      <c r="K2536">
        <v>1.112581</v>
      </c>
      <c r="L2536">
        <v>228.7482</v>
      </c>
      <c r="M2536">
        <v>0.46135910000000002</v>
      </c>
      <c r="N2536">
        <v>0</v>
      </c>
      <c r="O2536">
        <v>-0.88715940000000004</v>
      </c>
      <c r="P2536">
        <v>0.69211969999999901</v>
      </c>
      <c r="Q2536">
        <v>2.918921E-2</v>
      </c>
      <c r="R2536">
        <v>-0.72119259999999996</v>
      </c>
      <c r="S2536">
        <v>2.8536679999999999</v>
      </c>
      <c r="T2536">
        <v>-0.41768179999999999</v>
      </c>
      <c r="U2536">
        <v>-1.4483029999999999</v>
      </c>
      <c r="V2536">
        <v>-0.28154580000000001</v>
      </c>
      <c r="W2536">
        <v>3.6823349999999998E-2</v>
      </c>
      <c r="X2536">
        <v>0.95884100000000005</v>
      </c>
      <c r="Y2536">
        <v>-0.57364029999999999</v>
      </c>
      <c r="Z2536">
        <v>0.1339138</v>
      </c>
      <c r="AA2536">
        <v>0.80808659999999999</v>
      </c>
      <c r="AB2536">
        <v>15</v>
      </c>
      <c r="AC2536">
        <v>0.81020000000000802</v>
      </c>
      <c r="AD2536">
        <v>-0.12958130000000001</v>
      </c>
      <c r="AE2536">
        <v>-0.31809999999998601</v>
      </c>
      <c r="AF2536">
        <v>-0.55964205186778804</v>
      </c>
      <c r="AG2536">
        <v>-0.12958130000000001</v>
      </c>
      <c r="AH2536">
        <v>0.64180538840305801</v>
      </c>
      <c r="AI2536">
        <v>98.652525386876306</v>
      </c>
      <c r="AJ2536">
        <v>131.08780711927599</v>
      </c>
      <c r="AK2536">
        <v>0.86133889736367897</v>
      </c>
      <c r="AL2536">
        <v>87.889700423994498</v>
      </c>
      <c r="AM2536">
        <v>106.363893814405</v>
      </c>
      <c r="AN2536">
        <v>1.00000002994193</v>
      </c>
    </row>
    <row r="2537" spans="1:40" x14ac:dyDescent="0.25">
      <c r="A2537" t="str">
        <f>"20190312151318835"</f>
        <v>20190312151318835</v>
      </c>
      <c r="B2537" t="str">
        <f>"1552374798832177"</f>
        <v>1552374798832177</v>
      </c>
      <c r="C2537" t="s">
        <v>40</v>
      </c>
      <c r="D2537">
        <v>4.1904979999999998</v>
      </c>
      <c r="E2537">
        <v>0.36769499999999999</v>
      </c>
      <c r="F2537" t="s">
        <v>41</v>
      </c>
      <c r="G2537">
        <v>-491.54349999999999</v>
      </c>
      <c r="H2537">
        <v>0.97418669999999996</v>
      </c>
      <c r="I2537">
        <v>228.3135</v>
      </c>
      <c r="J2537">
        <v>-492.34120000000001</v>
      </c>
      <c r="K2537">
        <v>1.1125849999999999</v>
      </c>
      <c r="L2537">
        <v>228.61170000000001</v>
      </c>
      <c r="M2537">
        <v>0.46708430000000001</v>
      </c>
      <c r="N2537">
        <v>0</v>
      </c>
      <c r="O2537">
        <v>-0.88415940000000004</v>
      </c>
      <c r="P2537">
        <v>0.697183</v>
      </c>
      <c r="Q2537">
        <v>2.860534E-2</v>
      </c>
      <c r="R2537">
        <v>-0.71632280000000004</v>
      </c>
      <c r="S2537">
        <v>2.8713989999999998</v>
      </c>
      <c r="T2537">
        <v>-0.45287939999999999</v>
      </c>
      <c r="U2537">
        <v>-1.422485</v>
      </c>
      <c r="V2537">
        <v>-0.28208870000000003</v>
      </c>
      <c r="W2537">
        <v>3.61386E-2</v>
      </c>
      <c r="X2537">
        <v>0.95870750000000005</v>
      </c>
      <c r="Y2537">
        <v>-0.57471130000000004</v>
      </c>
      <c r="Z2537">
        <v>0.1447309</v>
      </c>
      <c r="AA2537">
        <v>0.80545630000000001</v>
      </c>
      <c r="AB2537">
        <v>16</v>
      </c>
      <c r="AC2537">
        <v>0.79770000000001995</v>
      </c>
      <c r="AD2537">
        <v>-0.138398299999999</v>
      </c>
      <c r="AE2537">
        <v>-0.29820000000000801</v>
      </c>
      <c r="AF2537">
        <v>-0.55147156242371898</v>
      </c>
      <c r="AG2537">
        <v>-0.138398299999999</v>
      </c>
      <c r="AH2537">
        <v>0.61990752274995098</v>
      </c>
      <c r="AI2537">
        <v>99.470018704571203</v>
      </c>
      <c r="AJ2537">
        <v>131.65638598389799</v>
      </c>
      <c r="AK2537">
        <v>0.84116604209093504</v>
      </c>
      <c r="AL2537">
        <v>87.928959887056394</v>
      </c>
      <c r="AM2537">
        <v>106.39591556561101</v>
      </c>
      <c r="AN2537">
        <v>1.0000000518169401</v>
      </c>
    </row>
    <row r="2538" spans="1:40" x14ac:dyDescent="0.25">
      <c r="A2538" t="str">
        <f>"20190312151318862"</f>
        <v>20190312151318862</v>
      </c>
      <c r="B2538" t="str">
        <f>"1552374798852672"</f>
        <v>1552374798852672</v>
      </c>
      <c r="C2538" t="s">
        <v>40</v>
      </c>
      <c r="D2538">
        <v>4.2368730000000001</v>
      </c>
      <c r="E2538">
        <v>0.36832490000000001</v>
      </c>
      <c r="F2538" t="s">
        <v>53</v>
      </c>
      <c r="G2538">
        <v>-485.88810000000001</v>
      </c>
      <c r="H2538" s="1">
        <v>4.3699960000000004E-6</v>
      </c>
      <c r="I2538">
        <v>225.46870000000001</v>
      </c>
      <c r="J2538">
        <v>-492.24990000000003</v>
      </c>
      <c r="K2538">
        <v>1.1125940000000001</v>
      </c>
      <c r="L2538">
        <v>228.45740000000001</v>
      </c>
      <c r="M2538">
        <v>0.47355449999999999</v>
      </c>
      <c r="N2538">
        <v>0</v>
      </c>
      <c r="O2538">
        <v>-0.88071189999999999</v>
      </c>
      <c r="P2538">
        <v>0.70187749999999904</v>
      </c>
      <c r="Q2538">
        <v>2.8080810000000001E-2</v>
      </c>
      <c r="R2538">
        <v>-0.7117443</v>
      </c>
      <c r="S2538">
        <v>2.8814389999999999</v>
      </c>
      <c r="T2538">
        <v>-0.49678539999999999</v>
      </c>
      <c r="U2538">
        <v>-1.403397</v>
      </c>
      <c r="V2538">
        <v>-0.28135019999999999</v>
      </c>
      <c r="W2538">
        <v>3.5516249999999999E-2</v>
      </c>
      <c r="X2538">
        <v>0.95894769999999896</v>
      </c>
      <c r="Y2538">
        <v>-0.57213459999999905</v>
      </c>
      <c r="Z2538">
        <v>0.15815899999999999</v>
      </c>
      <c r="AA2538">
        <v>0.80476559999999997</v>
      </c>
      <c r="AB2538">
        <v>16</v>
      </c>
      <c r="AC2538">
        <v>6.3618000000000103</v>
      </c>
      <c r="AD2538">
        <v>-1.1125896300039999</v>
      </c>
      <c r="AE2538">
        <v>-2.9886999999999899</v>
      </c>
      <c r="AF2538">
        <v>-4.0854327237068198</v>
      </c>
      <c r="AG2538">
        <v>-1.1125896300039999</v>
      </c>
      <c r="AH2538">
        <v>5.5071213827834899</v>
      </c>
      <c r="AI2538">
        <v>99.216199969121803</v>
      </c>
      <c r="AJ2538">
        <v>126.569702282268</v>
      </c>
      <c r="AK2538">
        <v>6.9467260021853603</v>
      </c>
      <c r="AL2538">
        <v>87.964640747049302</v>
      </c>
      <c r="AM2538">
        <v>106.351410475929</v>
      </c>
      <c r="AN2538">
        <v>1.00000001519469</v>
      </c>
    </row>
    <row r="2539" spans="1:40" x14ac:dyDescent="0.25">
      <c r="A2539" t="str">
        <f>"20190312151318901"</f>
        <v>20190312151318901</v>
      </c>
      <c r="B2539" t="str">
        <f>"1552374798892688"</f>
        <v>1552374798892688</v>
      </c>
      <c r="C2539" t="s">
        <v>40</v>
      </c>
      <c r="D2539">
        <v>4.2087879999999904</v>
      </c>
      <c r="E2539">
        <v>0.36961050000000001</v>
      </c>
      <c r="F2539" t="s">
        <v>41</v>
      </c>
      <c r="G2539">
        <v>-491.42660000000001</v>
      </c>
      <c r="H2539">
        <v>0.9650493</v>
      </c>
      <c r="I2539">
        <v>228.0617</v>
      </c>
      <c r="J2539">
        <v>-492.10559999999998</v>
      </c>
      <c r="K2539">
        <v>1.1126049999999901</v>
      </c>
      <c r="L2539">
        <v>228.21860000000001</v>
      </c>
      <c r="M2539">
        <v>0.48356359999999898</v>
      </c>
      <c r="N2539">
        <v>0</v>
      </c>
      <c r="O2539">
        <v>-0.87525779999999997</v>
      </c>
      <c r="P2539">
        <v>0.70871149999999905</v>
      </c>
      <c r="Q2539">
        <v>2.82619E-2</v>
      </c>
      <c r="R2539">
        <v>-0.70493249999999996</v>
      </c>
      <c r="S2539">
        <v>2.8883670000000001</v>
      </c>
      <c r="T2539">
        <v>-0.517405</v>
      </c>
      <c r="U2539">
        <v>-1.3870089999999999</v>
      </c>
      <c r="V2539">
        <v>-0.27967619999999999</v>
      </c>
      <c r="W2539">
        <v>3.556057E-2</v>
      </c>
      <c r="X2539">
        <v>0.95943560000000006</v>
      </c>
      <c r="Y2539">
        <v>-0.56632729999999998</v>
      </c>
      <c r="Z2539">
        <v>0.163986299999999</v>
      </c>
      <c r="AA2539">
        <v>0.80770159999999902</v>
      </c>
      <c r="AB2539">
        <v>16</v>
      </c>
      <c r="AC2539">
        <v>0.67899999999997296</v>
      </c>
      <c r="AD2539">
        <v>-0.14755569999999901</v>
      </c>
      <c r="AE2539">
        <v>-0.15690000000000701</v>
      </c>
      <c r="AF2539">
        <v>-0.496206687428287</v>
      </c>
      <c r="AG2539">
        <v>-0.14755569999999901</v>
      </c>
      <c r="AH2539">
        <v>0.44570699277220499</v>
      </c>
      <c r="AI2539">
        <v>102.474415047817</v>
      </c>
      <c r="AJ2539">
        <v>138.06891371219101</v>
      </c>
      <c r="AK2539">
        <v>0.68311674306599002</v>
      </c>
      <c r="AL2539">
        <v>87.9620997636314</v>
      </c>
      <c r="AM2539">
        <v>106.25144345515</v>
      </c>
      <c r="AN2539">
        <v>1.0000000007662599</v>
      </c>
    </row>
    <row r="2540" spans="1:40" x14ac:dyDescent="0.25">
      <c r="A2540" t="str">
        <f>"20190312151318923"</f>
        <v>20190312151318923</v>
      </c>
      <c r="B2540" t="str">
        <f>"1552374798913185"</f>
        <v>1552374798913185</v>
      </c>
      <c r="C2540" t="s">
        <v>40</v>
      </c>
      <c r="D2540">
        <v>4.2807250000000003</v>
      </c>
      <c r="E2540">
        <v>0.3699712</v>
      </c>
      <c r="F2540" t="s">
        <v>53</v>
      </c>
      <c r="G2540">
        <v>-486.17630000000003</v>
      </c>
      <c r="H2540" s="1">
        <v>4.4234309999999997E-6</v>
      </c>
      <c r="I2540">
        <v>225.4213</v>
      </c>
      <c r="J2540">
        <v>-492.02589999999998</v>
      </c>
      <c r="K2540">
        <v>1.112611</v>
      </c>
      <c r="L2540">
        <v>228.08920000000001</v>
      </c>
      <c r="M2540">
        <v>0.48898200000000003</v>
      </c>
      <c r="N2540">
        <v>0</v>
      </c>
      <c r="O2540">
        <v>-0.87224290000000004</v>
      </c>
      <c r="P2540">
        <v>0.71250269999999905</v>
      </c>
      <c r="Q2540">
        <v>2.817451E-2</v>
      </c>
      <c r="R2540">
        <v>-0.7011039</v>
      </c>
      <c r="S2540">
        <v>2.8958740000000001</v>
      </c>
      <c r="T2540">
        <v>-0.54339479999999996</v>
      </c>
      <c r="U2540">
        <v>-1.3661799999999999</v>
      </c>
      <c r="V2540">
        <v>-0.27889899999999901</v>
      </c>
      <c r="W2540">
        <v>3.5400929999999997E-2</v>
      </c>
      <c r="X2540">
        <v>0.95966770000000001</v>
      </c>
      <c r="Y2540">
        <v>-0.56545199999999995</v>
      </c>
      <c r="Z2540">
        <v>0.17190620000000001</v>
      </c>
      <c r="AA2540">
        <v>0.80666740000000003</v>
      </c>
      <c r="AB2540">
        <v>16</v>
      </c>
      <c r="AC2540">
        <v>5.84959999999995</v>
      </c>
      <c r="AD2540">
        <v>-1.1126065765690001</v>
      </c>
      <c r="AE2540">
        <v>-2.6678999999999999</v>
      </c>
      <c r="AF2540">
        <v>-3.6874559359333601</v>
      </c>
      <c r="AG2540">
        <v>-1.1126065765690001</v>
      </c>
      <c r="AH2540">
        <v>5.03679733801156</v>
      </c>
      <c r="AI2540">
        <v>100.106036986508</v>
      </c>
      <c r="AJ2540">
        <v>126.20798113970601</v>
      </c>
      <c r="AK2540">
        <v>6.3407059621051003</v>
      </c>
      <c r="AL2540">
        <v>87.971252195138007</v>
      </c>
      <c r="AM2540">
        <v>106.204941741036</v>
      </c>
      <c r="AN2540">
        <v>0.99999998623457698</v>
      </c>
    </row>
    <row r="2541" spans="1:40" x14ac:dyDescent="0.25">
      <c r="A2541" t="str">
        <f>"20190312151318945"</f>
        <v>20190312151318945</v>
      </c>
      <c r="B2541" t="str">
        <f>"1552374798942464"</f>
        <v>1552374798942464</v>
      </c>
      <c r="C2541" t="s">
        <v>40</v>
      </c>
      <c r="D2541">
        <v>4.1108549999999999</v>
      </c>
      <c r="E2541">
        <v>0.37113750000000001</v>
      </c>
      <c r="F2541" t="s">
        <v>53</v>
      </c>
      <c r="G2541">
        <v>-486.18560000000002</v>
      </c>
      <c r="H2541" s="1">
        <v>4.4138790000000003E-6</v>
      </c>
      <c r="I2541">
        <v>225.36869999999999</v>
      </c>
      <c r="J2541">
        <v>-491.9461</v>
      </c>
      <c r="K2541">
        <v>1.112619</v>
      </c>
      <c r="L2541">
        <v>227.9616</v>
      </c>
      <c r="M2541">
        <v>0.4943285</v>
      </c>
      <c r="N2541">
        <v>0</v>
      </c>
      <c r="O2541">
        <v>-0.86922469999999996</v>
      </c>
      <c r="P2541">
        <v>0.71619449999999996</v>
      </c>
      <c r="Q2541">
        <v>2.8240870000000001E-2</v>
      </c>
      <c r="R2541">
        <v>-0.69732899999999998</v>
      </c>
      <c r="S2541">
        <v>2.902161</v>
      </c>
      <c r="T2541">
        <v>-0.55288230000000005</v>
      </c>
      <c r="U2541">
        <v>-1.3518829999999999</v>
      </c>
      <c r="V2541">
        <v>-0.27807609999999999</v>
      </c>
      <c r="W2541">
        <v>3.5398539999999999E-2</v>
      </c>
      <c r="X2541">
        <v>0.95990660000000005</v>
      </c>
      <c r="Y2541">
        <v>-0.56387619999999905</v>
      </c>
      <c r="Z2541">
        <v>0.17455100000000001</v>
      </c>
      <c r="AA2541">
        <v>0.80720230000000004</v>
      </c>
      <c r="AB2541">
        <v>16</v>
      </c>
      <c r="AC2541">
        <v>5.7604999999999702</v>
      </c>
      <c r="AD2541">
        <v>-1.1126145861209999</v>
      </c>
      <c r="AE2541">
        <v>-2.59290000000001</v>
      </c>
      <c r="AF2541">
        <v>-3.61349626032451</v>
      </c>
      <c r="AG2541">
        <v>-1.1126145861209999</v>
      </c>
      <c r="AH2541">
        <v>4.9481236322044797</v>
      </c>
      <c r="AI2541">
        <v>100.292150272374</v>
      </c>
      <c r="AJ2541">
        <v>126.13976141026799</v>
      </c>
      <c r="AK2541">
        <v>6.2272942696012796</v>
      </c>
      <c r="AL2541">
        <v>87.971389301426001</v>
      </c>
      <c r="AM2541">
        <v>106.155815533208</v>
      </c>
      <c r="AN2541">
        <v>1.00000002737445</v>
      </c>
    </row>
    <row r="2542" spans="1:40" x14ac:dyDescent="0.25">
      <c r="A2542" t="str">
        <f>"20190312151318967"</f>
        <v>20190312151318967</v>
      </c>
      <c r="B2542" t="str">
        <f>"1552374798962963"</f>
        <v>1552374798962963</v>
      </c>
      <c r="C2542" t="s">
        <v>40</v>
      </c>
      <c r="D2542">
        <v>4.1594309999999997</v>
      </c>
      <c r="E2542">
        <v>0.37191109999999999</v>
      </c>
      <c r="F2542" t="s">
        <v>53</v>
      </c>
      <c r="G2542">
        <v>-486.1318</v>
      </c>
      <c r="H2542" s="1">
        <v>4.3808249999999997E-6</v>
      </c>
      <c r="I2542">
        <v>225.2732</v>
      </c>
      <c r="J2542">
        <v>-491.86160000000001</v>
      </c>
      <c r="K2542">
        <v>1.112635</v>
      </c>
      <c r="L2542">
        <v>227.82820000000001</v>
      </c>
      <c r="M2542">
        <v>0.4999149</v>
      </c>
      <c r="N2542">
        <v>0</v>
      </c>
      <c r="O2542">
        <v>-0.86602469999999998</v>
      </c>
      <c r="P2542">
        <v>0.72026539999999994</v>
      </c>
      <c r="Q2542">
        <v>2.802325E-2</v>
      </c>
      <c r="R2542">
        <v>-0.69313259999999999</v>
      </c>
      <c r="S2542">
        <v>2.9035639999999998</v>
      </c>
      <c r="T2542">
        <v>-0.55561830000000001</v>
      </c>
      <c r="U2542">
        <v>-1.342514</v>
      </c>
      <c r="V2542">
        <v>-0.27751179999999998</v>
      </c>
      <c r="W2542">
        <v>3.511214E-2</v>
      </c>
      <c r="X2542">
        <v>0.96008039999999994</v>
      </c>
      <c r="Y2542">
        <v>-0.56076349999999997</v>
      </c>
      <c r="Z2542">
        <v>0.1751162</v>
      </c>
      <c r="AA2542">
        <v>0.80924569999999996</v>
      </c>
      <c r="AB2542">
        <v>16</v>
      </c>
      <c r="AC2542">
        <v>5.7298000000000098</v>
      </c>
      <c r="AD2542">
        <v>-1.1126306191749999</v>
      </c>
      <c r="AE2542">
        <v>-2.5550000000000002</v>
      </c>
      <c r="AF2542">
        <v>-3.57265411776324</v>
      </c>
      <c r="AG2542">
        <v>-1.1126306191749999</v>
      </c>
      <c r="AH2542">
        <v>4.9224973386357096</v>
      </c>
      <c r="AI2542">
        <v>100.3663935639</v>
      </c>
      <c r="AJ2542">
        <v>125.971424881346</v>
      </c>
      <c r="AK2542">
        <v>6.1832664821089596</v>
      </c>
      <c r="AL2542">
        <v>87.987809000919796</v>
      </c>
      <c r="AM2542">
        <v>106.121968670656</v>
      </c>
      <c r="AN2542">
        <v>1.00000001798938</v>
      </c>
    </row>
    <row r="2543" spans="1:40" x14ac:dyDescent="0.25">
      <c r="A2543" t="str">
        <f>"20190312151318992"</f>
        <v>20190312151318992</v>
      </c>
      <c r="B2543" t="str">
        <f>"1552374798982481"</f>
        <v>1552374798982481</v>
      </c>
      <c r="C2543" t="s">
        <v>40</v>
      </c>
      <c r="D2543">
        <v>4.2275499999999999</v>
      </c>
      <c r="E2543">
        <v>0.37219989999999997</v>
      </c>
      <c r="F2543" t="s">
        <v>53</v>
      </c>
      <c r="G2543">
        <v>-486.01690000000002</v>
      </c>
      <c r="H2543" s="1">
        <v>4.3289540000000004E-6</v>
      </c>
      <c r="I2543">
        <v>225.15389999999999</v>
      </c>
      <c r="J2543">
        <v>-491.76839999999999</v>
      </c>
      <c r="K2543">
        <v>1.1126480000000001</v>
      </c>
      <c r="L2543">
        <v>227.68350000000001</v>
      </c>
      <c r="M2543">
        <v>0.5059787</v>
      </c>
      <c r="N2543">
        <v>0</v>
      </c>
      <c r="O2543">
        <v>-0.86249669999999901</v>
      </c>
      <c r="P2543">
        <v>0.72497219999999996</v>
      </c>
      <c r="Q2543">
        <v>2.811715E-2</v>
      </c>
      <c r="R2543">
        <v>-0.6882045</v>
      </c>
      <c r="S2543">
        <v>2.9067690000000002</v>
      </c>
      <c r="T2543">
        <v>-0.553346</v>
      </c>
      <c r="U2543">
        <v>-1.330017</v>
      </c>
      <c r="V2543">
        <v>-0.27732299999999999</v>
      </c>
      <c r="W2543">
        <v>3.5131199999999897E-2</v>
      </c>
      <c r="X2543">
        <v>0.9601343</v>
      </c>
      <c r="Y2543">
        <v>-0.55836059999999998</v>
      </c>
      <c r="Z2543">
        <v>0.174125</v>
      </c>
      <c r="AA2543">
        <v>0.81111889999999998</v>
      </c>
      <c r="AB2543">
        <v>16</v>
      </c>
      <c r="AC2543">
        <v>5.7514999999999601</v>
      </c>
      <c r="AD2543">
        <v>-1.1126436710459999</v>
      </c>
      <c r="AE2543">
        <v>-2.5296000000000101</v>
      </c>
      <c r="AF2543">
        <v>-3.5689663774734601</v>
      </c>
      <c r="AG2543">
        <v>-1.1126436710459999</v>
      </c>
      <c r="AH2543">
        <v>4.9373000648587304</v>
      </c>
      <c r="AI2543">
        <v>100.350155660661</v>
      </c>
      <c r="AJ2543">
        <v>125.861582232839</v>
      </c>
      <c r="AK2543">
        <v>6.1929337855905402</v>
      </c>
      <c r="AL2543">
        <v>87.986716355418494</v>
      </c>
      <c r="AM2543">
        <v>106.110712147284</v>
      </c>
      <c r="AN2543">
        <v>1.0000000607894599</v>
      </c>
    </row>
    <row r="2544" spans="1:40" x14ac:dyDescent="0.25">
      <c r="A2544" t="str">
        <f>"20190312151319012"</f>
        <v>20190312151319012</v>
      </c>
      <c r="B2544" t="str">
        <f>"1552374799002976"</f>
        <v>1552374799002976</v>
      </c>
      <c r="C2544" t="s">
        <v>40</v>
      </c>
      <c r="D2544">
        <v>4.1139130000000002</v>
      </c>
      <c r="E2544">
        <v>0.37253399999999998</v>
      </c>
      <c r="F2544" t="s">
        <v>53</v>
      </c>
      <c r="G2544">
        <v>-485.9325</v>
      </c>
      <c r="H2544" s="1">
        <v>4.2887579999999996E-6</v>
      </c>
      <c r="I2544">
        <v>225.05670000000001</v>
      </c>
      <c r="J2544">
        <v>-491.68779999999998</v>
      </c>
      <c r="K2544">
        <v>1.1126579999999999</v>
      </c>
      <c r="L2544">
        <v>227.5599</v>
      </c>
      <c r="M2544">
        <v>0.51115749999999904</v>
      </c>
      <c r="N2544">
        <v>0</v>
      </c>
      <c r="O2544">
        <v>-0.85943819999999904</v>
      </c>
      <c r="P2544">
        <v>0.72913470000000002</v>
      </c>
      <c r="Q2544">
        <v>2.8090779999999999E-2</v>
      </c>
      <c r="R2544">
        <v>-0.6837936</v>
      </c>
      <c r="S2544">
        <v>2.9143979999999998</v>
      </c>
      <c r="T2544">
        <v>-0.55564399999999903</v>
      </c>
      <c r="U2544">
        <v>-1.3118129999999999</v>
      </c>
      <c r="V2544">
        <v>-0.27737469999999997</v>
      </c>
      <c r="W2544">
        <v>3.5040189999999999E-2</v>
      </c>
      <c r="X2544">
        <v>0.96012260000000005</v>
      </c>
      <c r="Y2544">
        <v>-0.55830939999999996</v>
      </c>
      <c r="Z2544">
        <v>0.17461670000000001</v>
      </c>
      <c r="AA2544">
        <v>0.8110484</v>
      </c>
      <c r="AB2544">
        <v>16</v>
      </c>
      <c r="AC2544">
        <v>5.7552999999999699</v>
      </c>
      <c r="AD2544">
        <v>-1.1126537112420001</v>
      </c>
      <c r="AE2544">
        <v>-2.5031999999999899</v>
      </c>
      <c r="AF2544">
        <v>-3.55521016458178</v>
      </c>
      <c r="AG2544">
        <v>-1.1126537112420001</v>
      </c>
      <c r="AH2544">
        <v>4.9382178512892203</v>
      </c>
      <c r="AI2544">
        <v>100.362401627822</v>
      </c>
      <c r="AJ2544">
        <v>125.75154369347101</v>
      </c>
      <c r="AK2544">
        <v>6.1857508147578804</v>
      </c>
      <c r="AL2544">
        <v>87.991933880283497</v>
      </c>
      <c r="AM2544">
        <v>106.113745890114</v>
      </c>
      <c r="AN2544">
        <v>0.999999973073042</v>
      </c>
    </row>
    <row r="2545" spans="1:40" x14ac:dyDescent="0.25">
      <c r="A2545" t="str">
        <f>"20190312151319036"</f>
        <v>20190312151319036</v>
      </c>
      <c r="B2545" t="str">
        <f>"1552374799032257"</f>
        <v>1552374799032257</v>
      </c>
      <c r="C2545" t="s">
        <v>40</v>
      </c>
      <c r="D2545">
        <v>4.1224639999999999</v>
      </c>
      <c r="E2545">
        <v>0.37306739999999999</v>
      </c>
      <c r="F2545" t="s">
        <v>53</v>
      </c>
      <c r="G2545">
        <v>-485.86200000000002</v>
      </c>
      <c r="H2545" s="1">
        <v>4.2550799999999996E-6</v>
      </c>
      <c r="I2545">
        <v>224.9751</v>
      </c>
      <c r="J2545">
        <v>-491.59890000000001</v>
      </c>
      <c r="K2545">
        <v>1.1126780000000001</v>
      </c>
      <c r="L2545">
        <v>227.4256</v>
      </c>
      <c r="M2545">
        <v>0.51679070000000005</v>
      </c>
      <c r="N2545">
        <v>0</v>
      </c>
      <c r="O2545">
        <v>-0.85606299999999902</v>
      </c>
      <c r="P2545">
        <v>0.73399459999999905</v>
      </c>
      <c r="Q2545">
        <v>2.7852399999999999E-2</v>
      </c>
      <c r="R2545">
        <v>-0.67858409999999902</v>
      </c>
      <c r="S2545">
        <v>2.9206850000000002</v>
      </c>
      <c r="T2545">
        <v>-0.55781150000000002</v>
      </c>
      <c r="U2545">
        <v>-1.295868</v>
      </c>
      <c r="V2545">
        <v>-0.2779142</v>
      </c>
      <c r="W2545">
        <v>3.4730900000000002E-2</v>
      </c>
      <c r="X2545">
        <v>0.95997790000000005</v>
      </c>
      <c r="Y2545">
        <v>-0.55715899999999996</v>
      </c>
      <c r="Z2545">
        <v>0.17498089999999999</v>
      </c>
      <c r="AA2545">
        <v>0.81176079999999995</v>
      </c>
      <c r="AB2545">
        <v>16</v>
      </c>
      <c r="AC2545">
        <v>5.7369000000000403</v>
      </c>
      <c r="AD2545">
        <v>-1.1126737449199999</v>
      </c>
      <c r="AE2545">
        <v>-2.4504999999999999</v>
      </c>
      <c r="AF2545">
        <v>-3.53252622438389</v>
      </c>
      <c r="AG2545">
        <v>-1.1126737449199999</v>
      </c>
      <c r="AH2545">
        <v>4.9066771060743601</v>
      </c>
      <c r="AI2545">
        <v>100.42771634796701</v>
      </c>
      <c r="AJ2545">
        <v>125.751723947569</v>
      </c>
      <c r="AK2545">
        <v>6.1475413469018996</v>
      </c>
      <c r="AL2545">
        <v>88.009665845185495</v>
      </c>
      <c r="AM2545">
        <v>106.14576290650599</v>
      </c>
      <c r="AN2545">
        <v>1.00000005323242</v>
      </c>
    </row>
    <row r="2546" spans="1:40" x14ac:dyDescent="0.25">
      <c r="A2546" t="str">
        <f>"20190312151319058"</f>
        <v>20190312151319058</v>
      </c>
      <c r="B2546" t="str">
        <f>"1552374799052752"</f>
        <v>1552374799052752</v>
      </c>
      <c r="C2546" t="s">
        <v>40</v>
      </c>
      <c r="D2546">
        <v>4.0806750000000003</v>
      </c>
      <c r="E2546">
        <v>0.37338130000000003</v>
      </c>
      <c r="F2546" t="s">
        <v>53</v>
      </c>
      <c r="G2546">
        <v>-485.77350000000001</v>
      </c>
      <c r="H2546" s="1">
        <v>4.214928E-6</v>
      </c>
      <c r="I2546">
        <v>224.88220000000001</v>
      </c>
      <c r="J2546">
        <v>-491.50990000000002</v>
      </c>
      <c r="K2546">
        <v>1.1127</v>
      </c>
      <c r="L2546">
        <v>227.2928</v>
      </c>
      <c r="M2546">
        <v>0.52236039999999995</v>
      </c>
      <c r="N2546">
        <v>0</v>
      </c>
      <c r="O2546">
        <v>-0.8526764</v>
      </c>
      <c r="P2546">
        <v>0.73859200000000003</v>
      </c>
      <c r="Q2546">
        <v>2.7872649999999999E-2</v>
      </c>
      <c r="R2546">
        <v>-0.67357650000000002</v>
      </c>
      <c r="S2546">
        <v>2.9270320000000001</v>
      </c>
      <c r="T2546">
        <v>-0.55906959999999895</v>
      </c>
      <c r="U2546">
        <v>-1.277908</v>
      </c>
      <c r="V2546">
        <v>-0.2781865</v>
      </c>
      <c r="W2546">
        <v>3.468897E-2</v>
      </c>
      <c r="X2546">
        <v>0.95990050000000005</v>
      </c>
      <c r="Y2546">
        <v>-0.55656499999999998</v>
      </c>
      <c r="Z2546">
        <v>0.17512629999999901</v>
      </c>
      <c r="AA2546">
        <v>0.81213669999999905</v>
      </c>
      <c r="AB2546">
        <v>16</v>
      </c>
      <c r="AC2546">
        <v>5.7363999999999997</v>
      </c>
      <c r="AD2546">
        <v>-1.1126957850720001</v>
      </c>
      <c r="AE2546">
        <v>-2.4105999999999801</v>
      </c>
      <c r="AF2546">
        <v>-3.5196890967417702</v>
      </c>
      <c r="AG2546">
        <v>-1.1126957850720001</v>
      </c>
      <c r="AH2546">
        <v>4.8955885396635397</v>
      </c>
      <c r="AI2546">
        <v>100.455823085193</v>
      </c>
      <c r="AJ2546">
        <v>125.714290599119</v>
      </c>
      <c r="AK2546">
        <v>6.1313204448572902</v>
      </c>
      <c r="AL2546">
        <v>88.012069622915902</v>
      </c>
      <c r="AM2546">
        <v>106.161992152926</v>
      </c>
      <c r="AN2546">
        <v>1.0000000116610801</v>
      </c>
    </row>
    <row r="2547" spans="1:40" x14ac:dyDescent="0.25">
      <c r="A2547" t="str">
        <f>"20190312151319083"</f>
        <v>20190312151319083</v>
      </c>
      <c r="B2547" t="str">
        <f>"1552374799073249"</f>
        <v>1552374799073249</v>
      </c>
      <c r="C2547" t="s">
        <v>40</v>
      </c>
      <c r="D2547">
        <v>4.0544269999999996</v>
      </c>
      <c r="E2547">
        <v>0.37380370000000002</v>
      </c>
      <c r="F2547" t="s">
        <v>53</v>
      </c>
      <c r="G2547">
        <v>-485.65649999999999</v>
      </c>
      <c r="H2547" s="1">
        <v>4.1663820000000004E-6</v>
      </c>
      <c r="I2547">
        <v>224.78</v>
      </c>
      <c r="J2547">
        <v>-491.4117</v>
      </c>
      <c r="K2547">
        <v>1.1127199999999999</v>
      </c>
      <c r="L2547">
        <v>227.14850000000001</v>
      </c>
      <c r="M2547">
        <v>0.52840869999999995</v>
      </c>
      <c r="N2547">
        <v>0</v>
      </c>
      <c r="O2547">
        <v>-0.84894199999999997</v>
      </c>
      <c r="P2547">
        <v>0.74365709999999996</v>
      </c>
      <c r="Q2547">
        <v>2.8725480000000001E-2</v>
      </c>
      <c r="R2547">
        <v>-0.66794399999999998</v>
      </c>
      <c r="S2547">
        <v>2.934113</v>
      </c>
      <c r="T2547">
        <v>-0.55776049999999999</v>
      </c>
      <c r="U2547">
        <v>-1.2595670000000001</v>
      </c>
      <c r="V2547">
        <v>-0.27863789999999999</v>
      </c>
      <c r="W2547">
        <v>3.547956E-2</v>
      </c>
      <c r="X2547">
        <v>0.95974060000000005</v>
      </c>
      <c r="Y2547">
        <v>-0.55580689999999999</v>
      </c>
      <c r="Z2547">
        <v>0.1744059</v>
      </c>
      <c r="AA2547">
        <v>0.81281080000000006</v>
      </c>
      <c r="AB2547">
        <v>16</v>
      </c>
      <c r="AC2547">
        <v>5.7552000000000003</v>
      </c>
      <c r="AD2547">
        <v>-1.1127158336180001</v>
      </c>
      <c r="AE2547">
        <v>-2.3685000000000098</v>
      </c>
      <c r="AF2547">
        <v>-3.5218613622899002</v>
      </c>
      <c r="AG2547">
        <v>-1.1127158336180001</v>
      </c>
      <c r="AH2547">
        <v>4.8955295886208798</v>
      </c>
      <c r="AI2547">
        <v>100.453937976284</v>
      </c>
      <c r="AJ2547">
        <v>125.73137423554</v>
      </c>
      <c r="AK2547">
        <v>6.1325242710190002</v>
      </c>
      <c r="AL2547">
        <v>87.966744120033596</v>
      </c>
      <c r="AM2547">
        <v>106.189400737692</v>
      </c>
      <c r="AN2547">
        <v>0.99999994889127997</v>
      </c>
    </row>
    <row r="2548" spans="1:40" x14ac:dyDescent="0.25">
      <c r="A2548" t="str">
        <f>"20190312151319114"</f>
        <v>20190312151319114</v>
      </c>
      <c r="B2548" t="str">
        <f>"1552374799102529"</f>
        <v>1552374799102529</v>
      </c>
      <c r="C2548" t="s">
        <v>40</v>
      </c>
      <c r="D2548">
        <v>4.0244900000000001</v>
      </c>
      <c r="E2548">
        <v>0.37437740000000003</v>
      </c>
      <c r="F2548" t="s">
        <v>53</v>
      </c>
      <c r="G2548">
        <v>-485.48259999999999</v>
      </c>
      <c r="H2548" s="1">
        <v>4.0987439999999998E-6</v>
      </c>
      <c r="I2548">
        <v>224.64840000000001</v>
      </c>
      <c r="J2548">
        <v>-491.28179999999998</v>
      </c>
      <c r="K2548">
        <v>1.1127469999999999</v>
      </c>
      <c r="L2548">
        <v>226.96100000000001</v>
      </c>
      <c r="M2548">
        <v>0.53627769999999997</v>
      </c>
      <c r="N2548">
        <v>0</v>
      </c>
      <c r="O2548">
        <v>-0.84399369999999996</v>
      </c>
      <c r="P2548">
        <v>0.75083669999999902</v>
      </c>
      <c r="Q2548">
        <v>2.9908629999999999E-2</v>
      </c>
      <c r="R2548">
        <v>-0.65981049999999997</v>
      </c>
      <c r="S2548">
        <v>2.9414370000000001</v>
      </c>
      <c r="T2548">
        <v>-0.55201899999999904</v>
      </c>
      <c r="U2548">
        <v>-1.2402949999999999</v>
      </c>
      <c r="V2548">
        <v>-0.28013379999999999</v>
      </c>
      <c r="W2548">
        <v>3.6583200000000003E-2</v>
      </c>
      <c r="X2548">
        <v>0.95926359999999999</v>
      </c>
      <c r="Y2548">
        <v>-0.55375790000000003</v>
      </c>
      <c r="Z2548">
        <v>0.17214299999999999</v>
      </c>
      <c r="AA2548">
        <v>0.81468949999999996</v>
      </c>
      <c r="AB2548">
        <v>16</v>
      </c>
      <c r="AC2548">
        <v>5.7991999999999804</v>
      </c>
      <c r="AD2548">
        <v>-1.1127429012559999</v>
      </c>
      <c r="AE2548">
        <v>-2.31259999999997</v>
      </c>
      <c r="AF2548">
        <v>-3.5419277936362601</v>
      </c>
      <c r="AG2548">
        <v>-1.1127429012559999</v>
      </c>
      <c r="AH2548">
        <v>4.9061577645412902</v>
      </c>
      <c r="AI2548">
        <v>100.41979264866799</v>
      </c>
      <c r="AJ2548">
        <v>125.826842223753</v>
      </c>
      <c r="AK2548">
        <v>6.1525468929702098</v>
      </c>
      <c r="AL2548">
        <v>87.903469146945199</v>
      </c>
      <c r="AM2548">
        <v>106.279391012098</v>
      </c>
      <c r="AN2548">
        <v>0.99999996535481905</v>
      </c>
    </row>
    <row r="2549" spans="1:40" x14ac:dyDescent="0.25">
      <c r="A2549" t="str">
        <f>"20190312151319135"</f>
        <v>20190312151319135</v>
      </c>
      <c r="B2549" t="str">
        <f>"1552374799132784"</f>
        <v>1552374799132784</v>
      </c>
      <c r="C2549" t="s">
        <v>40</v>
      </c>
      <c r="D2549">
        <v>4.2062780000000002</v>
      </c>
      <c r="E2549">
        <v>0.35111510000000001</v>
      </c>
      <c r="F2549" t="s">
        <v>53</v>
      </c>
      <c r="G2549">
        <v>-485.298</v>
      </c>
      <c r="H2549" s="1">
        <v>4.0154840000000003E-6</v>
      </c>
      <c r="I2549">
        <v>224.5026</v>
      </c>
      <c r="J2549">
        <v>-491.19349999999997</v>
      </c>
      <c r="K2549">
        <v>1.1127689999999999</v>
      </c>
      <c r="L2549">
        <v>226.8356</v>
      </c>
      <c r="M2549">
        <v>0.54154150000000001</v>
      </c>
      <c r="N2549">
        <v>0</v>
      </c>
      <c r="O2549">
        <v>-0.8406264</v>
      </c>
      <c r="P2549">
        <v>0.75519230000000004</v>
      </c>
      <c r="Q2549">
        <v>3.074913E-2</v>
      </c>
      <c r="R2549">
        <v>-0.65478210000000003</v>
      </c>
      <c r="S2549">
        <v>2.9517820000000001</v>
      </c>
      <c r="T2549">
        <v>-0.54891279999999998</v>
      </c>
      <c r="U2549">
        <v>-1.212723</v>
      </c>
      <c r="V2549">
        <v>-0.28052440000000001</v>
      </c>
      <c r="W2549">
        <v>3.7381820000000003E-2</v>
      </c>
      <c r="X2549">
        <v>0.95911869999999999</v>
      </c>
      <c r="Y2549">
        <v>-0.55627649999999995</v>
      </c>
      <c r="Z2549">
        <v>0.17111309999999999</v>
      </c>
      <c r="AA2549">
        <v>0.8131893</v>
      </c>
      <c r="AB2549">
        <v>16</v>
      </c>
      <c r="AC2549">
        <v>5.89549999999997</v>
      </c>
      <c r="AD2549">
        <v>-1.1127649845159999</v>
      </c>
      <c r="AE2549">
        <v>-2.33299999999999</v>
      </c>
      <c r="AF2549">
        <v>-3.58230137839612</v>
      </c>
      <c r="AG2549">
        <v>-1.1127649845159999</v>
      </c>
      <c r="AH2549">
        <v>5.00003318509832</v>
      </c>
      <c r="AI2549">
        <v>100.254566860286</v>
      </c>
      <c r="AJ2549">
        <v>125.61991383077</v>
      </c>
      <c r="AK2549">
        <v>6.2507168331726604</v>
      </c>
      <c r="AL2549">
        <v>87.857680360972395</v>
      </c>
      <c r="AM2549">
        <v>106.303217381628</v>
      </c>
      <c r="AN2549">
        <v>1.00000001007578</v>
      </c>
    </row>
    <row r="2550" spans="1:40" x14ac:dyDescent="0.25">
      <c r="A2550" t="str">
        <f>"20190312151319158"</f>
        <v>20190312151319158</v>
      </c>
      <c r="B2550" t="str">
        <f>"1552374799152304"</f>
        <v>1552374799152304</v>
      </c>
      <c r="C2550" t="s">
        <v>40</v>
      </c>
      <c r="D2550">
        <v>4.0021079999999998</v>
      </c>
      <c r="E2550">
        <v>0.34367609999999998</v>
      </c>
      <c r="F2550" t="s">
        <v>53</v>
      </c>
      <c r="G2550">
        <v>-487.06420000000003</v>
      </c>
      <c r="H2550" s="1">
        <v>4.6246800000000002E-6</v>
      </c>
      <c r="I2550">
        <v>225.44110000000001</v>
      </c>
      <c r="J2550">
        <v>-491.09620000000001</v>
      </c>
      <c r="K2550">
        <v>1.1127929999999999</v>
      </c>
      <c r="L2550">
        <v>226.6994</v>
      </c>
      <c r="M2550">
        <v>0.54726109999999994</v>
      </c>
      <c r="N2550">
        <v>0</v>
      </c>
      <c r="O2550">
        <v>-0.83691439999999995</v>
      </c>
      <c r="P2550">
        <v>0.7597931</v>
      </c>
      <c r="Q2550">
        <v>3.107391E-2</v>
      </c>
      <c r="R2550">
        <v>-0.64942239999999996</v>
      </c>
      <c r="S2550">
        <v>3.0990600000000001</v>
      </c>
      <c r="T2550">
        <v>-0.83514140000000003</v>
      </c>
      <c r="U2550">
        <v>-1.046616</v>
      </c>
      <c r="V2550">
        <v>-0.28076380000000001</v>
      </c>
      <c r="W2550">
        <v>3.7664870000000003E-2</v>
      </c>
      <c r="X2550">
        <v>0.95903749999999999</v>
      </c>
      <c r="Y2550">
        <v>-0.58272369999999996</v>
      </c>
      <c r="Z2550">
        <v>0.25304450000000001</v>
      </c>
      <c r="AA2550">
        <v>0.77227040000000002</v>
      </c>
      <c r="AB2550">
        <v>16</v>
      </c>
      <c r="AC2550">
        <v>4.0319999999999796</v>
      </c>
      <c r="AD2550">
        <v>-1.1127883753200001</v>
      </c>
      <c r="AE2550">
        <v>-1.25829999999999</v>
      </c>
      <c r="AF2550">
        <v>-2.51159716144103</v>
      </c>
      <c r="AG2550">
        <v>-1.1127883753200001</v>
      </c>
      <c r="AH2550">
        <v>3.04820030301024</v>
      </c>
      <c r="AI2550">
        <v>105.73488241526999</v>
      </c>
      <c r="AJ2550">
        <v>129.48718037664401</v>
      </c>
      <c r="AK2550">
        <v>4.1034063114536599</v>
      </c>
      <c r="AL2550">
        <v>87.841451210352105</v>
      </c>
      <c r="AM2550">
        <v>106.31769874592899</v>
      </c>
      <c r="AN2550">
        <v>0.99999994011440096</v>
      </c>
    </row>
    <row r="2551" spans="1:40" x14ac:dyDescent="0.25">
      <c r="A2551" t="str">
        <f>"20190312151319180"</f>
        <v>20190312151319180</v>
      </c>
      <c r="B2551" t="str">
        <f>"1552374799172801"</f>
        <v>1552374799172801</v>
      </c>
      <c r="C2551" t="s">
        <v>40</v>
      </c>
      <c r="D2551">
        <v>3.845666</v>
      </c>
      <c r="E2551">
        <v>0.34156940000000002</v>
      </c>
      <c r="F2551" t="s">
        <v>53</v>
      </c>
      <c r="G2551">
        <v>-486.61869999999999</v>
      </c>
      <c r="H2551" s="1">
        <v>4.4952169999999996E-6</v>
      </c>
      <c r="I2551">
        <v>225.30240000000001</v>
      </c>
      <c r="J2551">
        <v>-491.00209999999998</v>
      </c>
      <c r="K2551">
        <v>1.112816</v>
      </c>
      <c r="L2551">
        <v>226.5694</v>
      </c>
      <c r="M2551">
        <v>0.55271999999999999</v>
      </c>
      <c r="N2551">
        <v>0</v>
      </c>
      <c r="O2551">
        <v>-0.83331939999999904</v>
      </c>
      <c r="P2551">
        <v>0.76389110000000005</v>
      </c>
      <c r="Q2551">
        <v>3.1137809999999998E-2</v>
      </c>
      <c r="R2551">
        <v>-0.64459369999999905</v>
      </c>
      <c r="S2551">
        <v>3.142334</v>
      </c>
      <c r="T2551">
        <v>-0.78095389999999998</v>
      </c>
      <c r="U2551">
        <v>-0.98042300000000004</v>
      </c>
      <c r="V2551">
        <v>-0.28057320000000002</v>
      </c>
      <c r="W2551">
        <v>3.7692030000000001E-2</v>
      </c>
      <c r="X2551">
        <v>0.95909230000000001</v>
      </c>
      <c r="Y2551">
        <v>-0.59987309999999905</v>
      </c>
      <c r="Z2551">
        <v>0.23700280000000001</v>
      </c>
      <c r="AA2551">
        <v>0.76418710000000001</v>
      </c>
      <c r="AB2551">
        <v>16</v>
      </c>
      <c r="AC2551">
        <v>4.3833999999999902</v>
      </c>
      <c r="AD2551">
        <v>-1.1128115047830001</v>
      </c>
      <c r="AE2551">
        <v>-1.2669999999999899</v>
      </c>
      <c r="AF2551">
        <v>-2.7868315937629999</v>
      </c>
      <c r="AG2551">
        <v>-1.1128115047830001</v>
      </c>
      <c r="AH2551">
        <v>3.2834461952055598</v>
      </c>
      <c r="AI2551">
        <v>104.48789888767</v>
      </c>
      <c r="AJ2551">
        <v>130.322999282128</v>
      </c>
      <c r="AK2551">
        <v>4.4481230529272597</v>
      </c>
      <c r="AL2551">
        <v>87.839894134120797</v>
      </c>
      <c r="AM2551">
        <v>106.306327816411</v>
      </c>
      <c r="AN2551">
        <v>1.0000000248015199</v>
      </c>
    </row>
    <row r="2552" spans="1:40" x14ac:dyDescent="0.25">
      <c r="A2552" t="str">
        <f>"20190312151319202"</f>
        <v>20190312151319202</v>
      </c>
      <c r="B2552" t="str">
        <f>"1552374799192321"</f>
        <v>1552374799192321</v>
      </c>
      <c r="C2552" t="s">
        <v>40</v>
      </c>
      <c r="D2552">
        <v>4.0353529999999997</v>
      </c>
      <c r="E2552">
        <v>0.34041310000000002</v>
      </c>
      <c r="F2552" t="s">
        <v>53</v>
      </c>
      <c r="G2552">
        <v>-486.43560000000002</v>
      </c>
      <c r="H2552" s="1">
        <v>4.4320290000000003E-6</v>
      </c>
      <c r="I2552">
        <v>225.2002</v>
      </c>
      <c r="J2552">
        <v>-490.90989999999999</v>
      </c>
      <c r="K2552">
        <v>1.11283</v>
      </c>
      <c r="L2552">
        <v>226.44370000000001</v>
      </c>
      <c r="M2552">
        <v>0.55800240000000001</v>
      </c>
      <c r="N2552">
        <v>0</v>
      </c>
      <c r="O2552">
        <v>-0.82979179999999997</v>
      </c>
      <c r="P2552">
        <v>0.76770430000000001</v>
      </c>
      <c r="Q2552">
        <v>3.1519499999999999E-2</v>
      </c>
      <c r="R2552">
        <v>-0.64002930000000002</v>
      </c>
      <c r="S2552">
        <v>3.1593019999999998</v>
      </c>
      <c r="T2552">
        <v>-0.76989110000000005</v>
      </c>
      <c r="U2552">
        <v>-0.94731140000000003</v>
      </c>
      <c r="V2552">
        <v>-0.28018949999999998</v>
      </c>
      <c r="W2552">
        <v>3.8038910000000002E-2</v>
      </c>
      <c r="X2552">
        <v>0.95919069999999995</v>
      </c>
      <c r="Y2552">
        <v>-0.60432390000000002</v>
      </c>
      <c r="Z2552">
        <v>0.23335520000000001</v>
      </c>
      <c r="AA2552">
        <v>0.76179919999999901</v>
      </c>
      <c r="AB2552">
        <v>16</v>
      </c>
      <c r="AC2552">
        <v>4.4742999999999702</v>
      </c>
      <c r="AD2552">
        <v>-1.112825567971</v>
      </c>
      <c r="AE2552">
        <v>-1.24350000000001</v>
      </c>
      <c r="AF2552">
        <v>-2.85503379360516</v>
      </c>
      <c r="AG2552">
        <v>-1.112825567971</v>
      </c>
      <c r="AH2552">
        <v>3.3370306068808802</v>
      </c>
      <c r="AI2552">
        <v>104.219073460831</v>
      </c>
      <c r="AJ2552">
        <v>130.549011563036</v>
      </c>
      <c r="AK2552">
        <v>4.5304935689853103</v>
      </c>
      <c r="AL2552">
        <v>87.820004962654707</v>
      </c>
      <c r="AM2552">
        <v>106.28362836367199</v>
      </c>
      <c r="AN2552">
        <v>0.99999995677536302</v>
      </c>
    </row>
    <row r="2553" spans="1:40" x14ac:dyDescent="0.25">
      <c r="A2553" t="str">
        <f>"20190312151319225"</f>
        <v>20190312151319225</v>
      </c>
      <c r="B2553" t="str">
        <f>"1552374799222576"</f>
        <v>1552374799222576</v>
      </c>
      <c r="C2553" t="s">
        <v>40</v>
      </c>
      <c r="D2553">
        <v>4.0157800000000003</v>
      </c>
      <c r="E2553">
        <v>0.3392947</v>
      </c>
      <c r="F2553" t="s">
        <v>53</v>
      </c>
      <c r="G2553">
        <v>-486.34050000000002</v>
      </c>
      <c r="H2553" s="1">
        <v>4.3925650000000002E-6</v>
      </c>
      <c r="I2553">
        <v>225.11699999999999</v>
      </c>
      <c r="J2553">
        <v>-490.80790000000002</v>
      </c>
      <c r="K2553">
        <v>1.1128469999999999</v>
      </c>
      <c r="L2553">
        <v>226.30670000000001</v>
      </c>
      <c r="M2553">
        <v>0.56375769999999903</v>
      </c>
      <c r="N2553">
        <v>0</v>
      </c>
      <c r="O2553">
        <v>-0.82589279999999998</v>
      </c>
      <c r="P2553">
        <v>0.77142569999999999</v>
      </c>
      <c r="Q2553">
        <v>3.1664169999999998E-2</v>
      </c>
      <c r="R2553">
        <v>-0.63553169999999903</v>
      </c>
      <c r="S2553">
        <v>3.1717219999999999</v>
      </c>
      <c r="T2553">
        <v>-0.77244829999999998</v>
      </c>
      <c r="U2553">
        <v>-0.92091369999999895</v>
      </c>
      <c r="V2553">
        <v>-0.2791247</v>
      </c>
      <c r="W2553">
        <v>3.8155179999999997E-2</v>
      </c>
      <c r="X2553">
        <v>0.95949660000000003</v>
      </c>
      <c r="Y2553">
        <v>-0.6054659</v>
      </c>
      <c r="Z2553">
        <v>0.2334899</v>
      </c>
      <c r="AA2553">
        <v>0.76085049999999999</v>
      </c>
      <c r="AB2553">
        <v>17</v>
      </c>
      <c r="AC2553">
        <v>4.4673999999999898</v>
      </c>
      <c r="AD2553">
        <v>-1.112842607435</v>
      </c>
      <c r="AE2553">
        <v>-1.18969999999998</v>
      </c>
      <c r="AF2553">
        <v>-2.85365960221807</v>
      </c>
      <c r="AG2553">
        <v>-1.112842607435</v>
      </c>
      <c r="AH2553">
        <v>3.3094721939419101</v>
      </c>
      <c r="AI2553">
        <v>104.287323618947</v>
      </c>
      <c r="AJ2553">
        <v>130.77022238285099</v>
      </c>
      <c r="AK2553">
        <v>4.5093678045518599</v>
      </c>
      <c r="AL2553">
        <v>87.813338591556899</v>
      </c>
      <c r="AM2553">
        <v>106.22010650814801</v>
      </c>
      <c r="AN2553">
        <v>1.00000007066123</v>
      </c>
    </row>
    <row r="2554" spans="1:40" x14ac:dyDescent="0.25">
      <c r="A2554" t="str">
        <f>"20190312151319248"</f>
        <v>20190312151319248</v>
      </c>
      <c r="B2554" t="str">
        <f>"1552374799243073"</f>
        <v>1552374799243073</v>
      </c>
      <c r="C2554" t="s">
        <v>40</v>
      </c>
      <c r="D2554">
        <v>3.9291860000000001</v>
      </c>
      <c r="E2554">
        <v>0.33899089999999998</v>
      </c>
      <c r="F2554" t="s">
        <v>53</v>
      </c>
      <c r="G2554">
        <v>-486.26350000000002</v>
      </c>
      <c r="H2554" s="1">
        <v>4.3559820000000002E-6</v>
      </c>
      <c r="I2554">
        <v>225.02879999999999</v>
      </c>
      <c r="J2554">
        <v>-490.7056</v>
      </c>
      <c r="K2554">
        <v>1.112859</v>
      </c>
      <c r="L2554">
        <v>226.1712</v>
      </c>
      <c r="M2554">
        <v>0.56944379999999994</v>
      </c>
      <c r="N2554">
        <v>0</v>
      </c>
      <c r="O2554">
        <v>-0.82198269999999996</v>
      </c>
      <c r="P2554">
        <v>0.77546019999999904</v>
      </c>
      <c r="Q2554">
        <v>3.1550410000000001E-2</v>
      </c>
      <c r="R2554">
        <v>-0.63060780000000005</v>
      </c>
      <c r="S2554">
        <v>3.183319</v>
      </c>
      <c r="T2554">
        <v>-0.77953569999999905</v>
      </c>
      <c r="U2554">
        <v>-0.89517209999999903</v>
      </c>
      <c r="V2554">
        <v>-0.2786151</v>
      </c>
      <c r="W2554">
        <v>3.8013180000000001E-2</v>
      </c>
      <c r="X2554">
        <v>0.95965029999999996</v>
      </c>
      <c r="Y2554">
        <v>-0.60608329999999999</v>
      </c>
      <c r="Z2554">
        <v>0.23491020000000001</v>
      </c>
      <c r="AA2554">
        <v>0.75992119999999996</v>
      </c>
      <c r="AB2554">
        <v>17</v>
      </c>
      <c r="AC2554">
        <v>4.4420999999999804</v>
      </c>
      <c r="AD2554">
        <v>-1.112854644018</v>
      </c>
      <c r="AE2554">
        <v>-1.1424000000000001</v>
      </c>
      <c r="AF2554">
        <v>-2.8340750784764501</v>
      </c>
      <c r="AG2554">
        <v>-1.112854644018</v>
      </c>
      <c r="AH2554">
        <v>3.2758491790919599</v>
      </c>
      <c r="AI2554">
        <v>104.408395956123</v>
      </c>
      <c r="AJ2554">
        <v>130.86446264930601</v>
      </c>
      <c r="AK2554">
        <v>4.4723164974441598</v>
      </c>
      <c r="AL2554">
        <v>87.821480425084701</v>
      </c>
      <c r="AM2554">
        <v>106.189588860106</v>
      </c>
      <c r="AN2554">
        <v>1.0000000370458999</v>
      </c>
    </row>
    <row r="2555" spans="1:40" x14ac:dyDescent="0.25">
      <c r="A2555" t="str">
        <f>"20190312151319272"</f>
        <v>20190312151319272</v>
      </c>
      <c r="B2555" t="str">
        <f>"1552374799262592"</f>
        <v>1552374799262592</v>
      </c>
      <c r="C2555" t="s">
        <v>40</v>
      </c>
      <c r="D2555">
        <v>3.853275</v>
      </c>
      <c r="E2555">
        <v>0.3395455</v>
      </c>
      <c r="F2555" t="s">
        <v>53</v>
      </c>
      <c r="G2555">
        <v>-486.12119999999999</v>
      </c>
      <c r="H2555" s="1">
        <v>4.2995960000000002E-6</v>
      </c>
      <c r="I2555">
        <v>224.91640000000001</v>
      </c>
      <c r="J2555">
        <v>-490.60039999999998</v>
      </c>
      <c r="K2555">
        <v>1.1128610000000001</v>
      </c>
      <c r="L2555">
        <v>226.03389999999999</v>
      </c>
      <c r="M2555">
        <v>0.5751887</v>
      </c>
      <c r="N2555">
        <v>0</v>
      </c>
      <c r="O2555">
        <v>-0.81797319999999996</v>
      </c>
      <c r="P2555">
        <v>0.77909910000000004</v>
      </c>
      <c r="Q2555">
        <v>3.0797439999999999E-2</v>
      </c>
      <c r="R2555">
        <v>-0.62614429999999999</v>
      </c>
      <c r="S2555">
        <v>3.1901549999999999</v>
      </c>
      <c r="T2555">
        <v>-0.77441539999999998</v>
      </c>
      <c r="U2555">
        <v>-0.87315370000000003</v>
      </c>
      <c r="V2555">
        <v>-0.27742260000000002</v>
      </c>
      <c r="W2555">
        <v>3.7246500000000002E-2</v>
      </c>
      <c r="X2555">
        <v>0.96002569999999998</v>
      </c>
      <c r="Y2555">
        <v>-0.60638639999999999</v>
      </c>
      <c r="Z2555">
        <v>0.23295740000000001</v>
      </c>
      <c r="AA2555">
        <v>0.76028039999999997</v>
      </c>
      <c r="AB2555">
        <v>17</v>
      </c>
      <c r="AC2555">
        <v>4.4791999999999899</v>
      </c>
      <c r="AD2555">
        <v>-1.112856700404</v>
      </c>
      <c r="AE2555">
        <v>-1.11749999999997</v>
      </c>
      <c r="AF2555">
        <v>-2.85528793688486</v>
      </c>
      <c r="AG2555">
        <v>-1.112856700404</v>
      </c>
      <c r="AH2555">
        <v>3.29890551572338</v>
      </c>
      <c r="AI2555">
        <v>104.309264700974</v>
      </c>
      <c r="AJ2555">
        <v>130.87703435947401</v>
      </c>
      <c r="AK2555">
        <v>4.5026544215411901</v>
      </c>
      <c r="AL2555">
        <v>87.865438949239206</v>
      </c>
      <c r="AM2555">
        <v>106.11792635568401</v>
      </c>
      <c r="AN2555">
        <v>0.99999997270674901</v>
      </c>
    </row>
    <row r="2556" spans="1:40" x14ac:dyDescent="0.25">
      <c r="A2556" t="str">
        <f>"20190312151319314"</f>
        <v>20190312151319314</v>
      </c>
      <c r="B2556" t="str">
        <f>"1552374799302609"</f>
        <v>1552374799302609</v>
      </c>
      <c r="C2556" t="s">
        <v>40</v>
      </c>
      <c r="D2556">
        <v>3.960769</v>
      </c>
      <c r="E2556">
        <v>0.34037020000000001</v>
      </c>
      <c r="F2556" t="s">
        <v>53</v>
      </c>
      <c r="G2556">
        <v>-485.98250000000002</v>
      </c>
      <c r="H2556" s="1">
        <v>4.2417380000000002E-6</v>
      </c>
      <c r="I2556">
        <v>224.79390000000001</v>
      </c>
      <c r="J2556">
        <v>-490.40530000000001</v>
      </c>
      <c r="K2556">
        <v>1.1128610000000001</v>
      </c>
      <c r="L2556">
        <v>225.7843</v>
      </c>
      <c r="M2556">
        <v>0.58558999999999894</v>
      </c>
      <c r="N2556">
        <v>0</v>
      </c>
      <c r="O2556">
        <v>-0.81055959999999905</v>
      </c>
      <c r="P2556">
        <v>0.78611370000000003</v>
      </c>
      <c r="Q2556">
        <v>2.9944510000000001E-2</v>
      </c>
      <c r="R2556">
        <v>-0.61735649999999997</v>
      </c>
      <c r="S2556">
        <v>3.1920470000000001</v>
      </c>
      <c r="T2556">
        <v>-0.76924939999999997</v>
      </c>
      <c r="U2556">
        <v>-0.85719299999999998</v>
      </c>
      <c r="V2556">
        <v>-0.27595989999999998</v>
      </c>
      <c r="W2556">
        <v>3.6373049999999997E-2</v>
      </c>
      <c r="X2556">
        <v>0.96048069999999997</v>
      </c>
      <c r="Y2556">
        <v>-0.60065590000000002</v>
      </c>
      <c r="Z2556">
        <v>0.23021749999999999</v>
      </c>
      <c r="AA2556">
        <v>0.76564500000000002</v>
      </c>
      <c r="AB2556">
        <v>17</v>
      </c>
      <c r="AC2556">
        <v>4.4227999999999899</v>
      </c>
      <c r="AD2556">
        <v>-1.1128567582619999</v>
      </c>
      <c r="AE2556">
        <v>-0.99039999999999395</v>
      </c>
      <c r="AF2556">
        <v>-2.8342201213253899</v>
      </c>
      <c r="AG2556">
        <v>-1.1128567582619999</v>
      </c>
      <c r="AH2556">
        <v>3.1999375923935598</v>
      </c>
      <c r="AI2556">
        <v>104.59247844977</v>
      </c>
      <c r="AJ2556">
        <v>131.53166721527799</v>
      </c>
      <c r="AK2556">
        <v>4.4171092872769897</v>
      </c>
      <c r="AL2556">
        <v>87.915517988674296</v>
      </c>
      <c r="AM2556">
        <v>106.030118608362</v>
      </c>
      <c r="AN2556">
        <v>1.0000000201234001</v>
      </c>
    </row>
    <row r="2557" spans="1:40" x14ac:dyDescent="0.25">
      <c r="A2557" t="str">
        <f>"20190312151319337"</f>
        <v>20190312151319337</v>
      </c>
      <c r="B2557" t="str">
        <f>"1552374799332865"</f>
        <v>1552374799332865</v>
      </c>
      <c r="C2557" t="s">
        <v>40</v>
      </c>
      <c r="D2557">
        <v>3.8831030000000002</v>
      </c>
      <c r="E2557">
        <v>0.34073330000000002</v>
      </c>
      <c r="F2557" t="s">
        <v>53</v>
      </c>
      <c r="G2557">
        <v>-485.6071</v>
      </c>
      <c r="H2557" s="1">
        <v>4.0963659999999998E-6</v>
      </c>
      <c r="I2557">
        <v>224.54249999999999</v>
      </c>
      <c r="J2557">
        <v>-490.2996</v>
      </c>
      <c r="K2557">
        <v>1.112862</v>
      </c>
      <c r="L2557">
        <v>225.6515</v>
      </c>
      <c r="M2557">
        <v>0.59108479999999997</v>
      </c>
      <c r="N2557">
        <v>0</v>
      </c>
      <c r="O2557">
        <v>-0.80656159999999999</v>
      </c>
      <c r="P2557">
        <v>0.79032729999999995</v>
      </c>
      <c r="Q2557">
        <v>2.9342110000000001E-2</v>
      </c>
      <c r="R2557">
        <v>-0.61198219999999903</v>
      </c>
      <c r="S2557">
        <v>3.1950989999999999</v>
      </c>
      <c r="T2557">
        <v>-0.74103339999999995</v>
      </c>
      <c r="U2557">
        <v>-0.82685849999999905</v>
      </c>
      <c r="V2557">
        <v>-0.27599580000000001</v>
      </c>
      <c r="W2557">
        <v>3.5757850000000001E-2</v>
      </c>
      <c r="X2557">
        <v>0.9604935</v>
      </c>
      <c r="Y2557">
        <v>-0.60436800000000002</v>
      </c>
      <c r="Z2557">
        <v>0.22224920000000001</v>
      </c>
      <c r="AA2557">
        <v>0.76507819999999904</v>
      </c>
      <c r="AB2557">
        <v>17</v>
      </c>
      <c r="AC2557">
        <v>4.6924999999999901</v>
      </c>
      <c r="AD2557">
        <v>-1.1128579036340001</v>
      </c>
      <c r="AE2557">
        <v>-1.109</v>
      </c>
      <c r="AF2557">
        <v>-2.97113152514377</v>
      </c>
      <c r="AG2557">
        <v>-1.1128579036340001</v>
      </c>
      <c r="AH2557">
        <v>3.48276362910216</v>
      </c>
      <c r="AI2557">
        <v>103.663178166596</v>
      </c>
      <c r="AJ2557">
        <v>130.46736022254399</v>
      </c>
      <c r="AK2557">
        <v>4.7112331453219998</v>
      </c>
      <c r="AL2557">
        <v>87.950789328003594</v>
      </c>
      <c r="AM2557">
        <v>106.031894163313</v>
      </c>
      <c r="AN2557">
        <v>1.00000003449825</v>
      </c>
    </row>
    <row r="2558" spans="1:40" x14ac:dyDescent="0.25">
      <c r="A2558" t="str">
        <f>"20190312151319380"</f>
        <v>20190312151319380</v>
      </c>
      <c r="B2558" t="str">
        <f>"1552374799372881"</f>
        <v>1552374799372881</v>
      </c>
      <c r="C2558" t="s">
        <v>40</v>
      </c>
      <c r="D2558">
        <v>3.8912079999999998</v>
      </c>
      <c r="E2558">
        <v>0.34123930000000002</v>
      </c>
      <c r="F2558" t="s">
        <v>53</v>
      </c>
      <c r="G2558">
        <v>-485.46730000000002</v>
      </c>
      <c r="H2558" s="1">
        <v>4.0308319999999996E-6</v>
      </c>
      <c r="I2558">
        <v>224.43100000000001</v>
      </c>
      <c r="J2558">
        <v>-490.09300000000002</v>
      </c>
      <c r="K2558">
        <v>1.112852</v>
      </c>
      <c r="L2558">
        <v>225.39709999999999</v>
      </c>
      <c r="M2558">
        <v>0.60152320000000004</v>
      </c>
      <c r="N2558">
        <v>0</v>
      </c>
      <c r="O2558">
        <v>-0.79880709999999999</v>
      </c>
      <c r="P2558">
        <v>0.79716830000000005</v>
      </c>
      <c r="Q2558">
        <v>2.822125E-2</v>
      </c>
      <c r="R2558">
        <v>-0.60309760000000001</v>
      </c>
      <c r="S2558">
        <v>3.197784</v>
      </c>
      <c r="T2558">
        <v>-0.73643599999999998</v>
      </c>
      <c r="U2558">
        <v>-0.80769349999999995</v>
      </c>
      <c r="V2558">
        <v>-0.274279</v>
      </c>
      <c r="W2558">
        <v>3.4640839999999999E-2</v>
      </c>
      <c r="X2558">
        <v>0.96102609999999999</v>
      </c>
      <c r="Y2558">
        <v>-0.59916440000000004</v>
      </c>
      <c r="Z2558">
        <v>0.21966939999999999</v>
      </c>
      <c r="AA2558">
        <v>0.7699009</v>
      </c>
      <c r="AB2558">
        <v>17</v>
      </c>
      <c r="AC2558">
        <v>4.6256999999999904</v>
      </c>
      <c r="AD2558">
        <v>-1.112847969168</v>
      </c>
      <c r="AE2558">
        <v>-0.96610000000001095</v>
      </c>
      <c r="AF2558">
        <v>-2.9504031911801798</v>
      </c>
      <c r="AG2558">
        <v>-1.112847969168</v>
      </c>
      <c r="AH2558">
        <v>3.36756749155004</v>
      </c>
      <c r="AI2558">
        <v>103.95848254736499</v>
      </c>
      <c r="AJ2558">
        <v>131.22234566590799</v>
      </c>
      <c r="AK2558">
        <v>4.6134391079922299</v>
      </c>
      <c r="AL2558">
        <v>88.014829025616805</v>
      </c>
      <c r="AM2558">
        <v>105.92886489714201</v>
      </c>
      <c r="AN2558">
        <v>1.0000000612590501</v>
      </c>
    </row>
    <row r="2559" spans="1:40" x14ac:dyDescent="0.25">
      <c r="A2559" t="str">
        <f>"20190312151319403"</f>
        <v>20190312151319403</v>
      </c>
      <c r="B2559" t="str">
        <f>"1552374799392401"</f>
        <v>1552374799392401</v>
      </c>
      <c r="C2559" t="s">
        <v>40</v>
      </c>
      <c r="D2559">
        <v>3.9051480000000001</v>
      </c>
      <c r="E2559">
        <v>0.34146559999999998</v>
      </c>
      <c r="F2559" t="s">
        <v>53</v>
      </c>
      <c r="G2559">
        <v>-485.22640000000001</v>
      </c>
      <c r="H2559" s="1">
        <v>3.9124159999999996E-6</v>
      </c>
      <c r="I2559">
        <v>224.22120000000001</v>
      </c>
      <c r="J2559">
        <v>-489.98289999999997</v>
      </c>
      <c r="K2559">
        <v>1.112841</v>
      </c>
      <c r="L2559">
        <v>225.26400000000001</v>
      </c>
      <c r="M2559">
        <v>0.60691729999999999</v>
      </c>
      <c r="N2559">
        <v>0</v>
      </c>
      <c r="O2559">
        <v>-0.79471669999999905</v>
      </c>
      <c r="P2559">
        <v>0.80121709999999902</v>
      </c>
      <c r="Q2559">
        <v>2.8726089999999999E-2</v>
      </c>
      <c r="R2559">
        <v>-0.59768399999999999</v>
      </c>
      <c r="S2559">
        <v>3.2036129999999998</v>
      </c>
      <c r="T2559">
        <v>-0.73257830000000002</v>
      </c>
      <c r="U2559">
        <v>-0.77409359999999905</v>
      </c>
      <c r="V2559">
        <v>-0.27427099999999999</v>
      </c>
      <c r="W2559">
        <v>3.5144549999999997E-2</v>
      </c>
      <c r="X2559">
        <v>0.96101000000000003</v>
      </c>
      <c r="Y2559">
        <v>-0.60203649999999997</v>
      </c>
      <c r="Z2559">
        <v>0.21850820000000001</v>
      </c>
      <c r="AA2559">
        <v>0.76798849999999996</v>
      </c>
      <c r="AB2559">
        <v>17</v>
      </c>
      <c r="AC2559">
        <v>4.75649999999996</v>
      </c>
      <c r="AD2559">
        <v>-1.1128370875839999</v>
      </c>
      <c r="AE2559">
        <v>-1.04279999999999</v>
      </c>
      <c r="AF2559">
        <v>-2.9910804680941601</v>
      </c>
      <c r="AG2559">
        <v>-1.1128370875839999</v>
      </c>
      <c r="AH2559">
        <v>3.5312467824173499</v>
      </c>
      <c r="AI2559">
        <v>103.521157238368</v>
      </c>
      <c r="AJ2559">
        <v>130.26568046653</v>
      </c>
      <c r="AK2559">
        <v>4.7596924888536396</v>
      </c>
      <c r="AL2559">
        <v>87.985950802185002</v>
      </c>
      <c r="AM2559">
        <v>105.928677178641</v>
      </c>
      <c r="AN2559">
        <v>0.99999997046785005</v>
      </c>
    </row>
    <row r="2560" spans="1:40" x14ac:dyDescent="0.25">
      <c r="A2560" t="str">
        <f>"20190312151319426"</f>
        <v>20190312151319426</v>
      </c>
      <c r="B2560" t="str">
        <f>"1552374799422657"</f>
        <v>1552374799422657</v>
      </c>
      <c r="C2560" t="s">
        <v>40</v>
      </c>
      <c r="D2560">
        <v>3.9736069999999999</v>
      </c>
      <c r="E2560">
        <v>0.34210439999999998</v>
      </c>
      <c r="F2560" t="s">
        <v>53</v>
      </c>
      <c r="G2560">
        <v>-485.06760000000003</v>
      </c>
      <c r="H2560" s="1">
        <v>3.8419929999999998E-6</v>
      </c>
      <c r="I2560">
        <v>224.10749999999999</v>
      </c>
      <c r="J2560">
        <v>-489.87439999999998</v>
      </c>
      <c r="K2560">
        <v>1.112827</v>
      </c>
      <c r="L2560">
        <v>225.13460000000001</v>
      </c>
      <c r="M2560">
        <v>0.61211409999999999</v>
      </c>
      <c r="N2560">
        <v>0</v>
      </c>
      <c r="O2560">
        <v>-0.79072119999999901</v>
      </c>
      <c r="P2560">
        <v>0.80542829999999999</v>
      </c>
      <c r="Q2560">
        <v>2.9089299999999998E-2</v>
      </c>
      <c r="R2560">
        <v>-0.59197929999999999</v>
      </c>
      <c r="S2560">
        <v>3.2073670000000001</v>
      </c>
      <c r="T2560">
        <v>-0.72616369999999997</v>
      </c>
      <c r="U2560">
        <v>-0.75468440000000003</v>
      </c>
      <c r="V2560">
        <v>-0.274787</v>
      </c>
      <c r="W2560">
        <v>3.550528E-2</v>
      </c>
      <c r="X2560">
        <v>0.96084930000000002</v>
      </c>
      <c r="Y2560">
        <v>-0.602024</v>
      </c>
      <c r="Z2560">
        <v>0.21623780000000001</v>
      </c>
      <c r="AA2560">
        <v>0.76864049999999995</v>
      </c>
      <c r="AB2560">
        <v>17</v>
      </c>
      <c r="AC2560">
        <v>4.8067999999999502</v>
      </c>
      <c r="AD2560">
        <v>-1.112823158007</v>
      </c>
      <c r="AE2560">
        <v>-1.0271000000000099</v>
      </c>
      <c r="AF2560">
        <v>-3.0175858067052501</v>
      </c>
      <c r="AG2560">
        <v>-1.112823158007</v>
      </c>
      <c r="AH2560">
        <v>3.5715378009945802</v>
      </c>
      <c r="AI2560">
        <v>103.387546690037</v>
      </c>
      <c r="AJ2560">
        <v>130.19440631502201</v>
      </c>
      <c r="AK2560">
        <v>4.8062544403889902</v>
      </c>
      <c r="AL2560">
        <v>87.965269543246905</v>
      </c>
      <c r="AM2560">
        <v>105.959653066035</v>
      </c>
      <c r="AN2560">
        <v>0.99999994879368204</v>
      </c>
    </row>
    <row r="2561" spans="1:40" x14ac:dyDescent="0.25">
      <c r="A2561" t="str">
        <f>"20190312151319448"</f>
        <v>20190312151319448</v>
      </c>
      <c r="B2561" t="str">
        <f>"1552374799443153"</f>
        <v>1552374799443153</v>
      </c>
      <c r="C2561" t="s">
        <v>40</v>
      </c>
      <c r="D2561">
        <v>3.9695619999999998</v>
      </c>
      <c r="E2561">
        <v>0.34260449999999998</v>
      </c>
      <c r="F2561" t="s">
        <v>53</v>
      </c>
      <c r="G2561">
        <v>-484.9024</v>
      </c>
      <c r="H2561" s="1">
        <v>3.7699839999999999E-6</v>
      </c>
      <c r="I2561">
        <v>223.9933</v>
      </c>
      <c r="J2561">
        <v>-489.76260000000002</v>
      </c>
      <c r="K2561">
        <v>1.1127959999999999</v>
      </c>
      <c r="L2561">
        <v>225.00299999999999</v>
      </c>
      <c r="M2561">
        <v>0.61733499999999997</v>
      </c>
      <c r="N2561">
        <v>0</v>
      </c>
      <c r="O2561">
        <v>-0.78665169999999995</v>
      </c>
      <c r="P2561">
        <v>0.80939139999999998</v>
      </c>
      <c r="Q2561">
        <v>2.8827490000000001E-2</v>
      </c>
      <c r="R2561">
        <v>-0.58656169999999996</v>
      </c>
      <c r="S2561">
        <v>3.2092589999999999</v>
      </c>
      <c r="T2561">
        <v>-0.71828959999999997</v>
      </c>
      <c r="U2561">
        <v>-0.73667910000000003</v>
      </c>
      <c r="V2561">
        <v>-0.27487709999999999</v>
      </c>
      <c r="W2561">
        <v>3.5250820000000002E-2</v>
      </c>
      <c r="X2561">
        <v>0.96083300000000005</v>
      </c>
      <c r="Y2561">
        <v>-0.6016397</v>
      </c>
      <c r="Z2561">
        <v>0.21358759999999999</v>
      </c>
      <c r="AA2561">
        <v>0.76968179999999997</v>
      </c>
      <c r="AB2561">
        <v>17</v>
      </c>
      <c r="AC2561">
        <v>4.8602000000000096</v>
      </c>
      <c r="AD2561">
        <v>-1.11279223001599</v>
      </c>
      <c r="AE2561">
        <v>-1.0096999999999801</v>
      </c>
      <c r="AF2561">
        <v>-3.0469624745146802</v>
      </c>
      <c r="AG2561">
        <v>-1.11279223001599</v>
      </c>
      <c r="AH2561">
        <v>3.61322094151308</v>
      </c>
      <c r="AI2561">
        <v>103.248398693032</v>
      </c>
      <c r="AJ2561">
        <v>130.14031677038599</v>
      </c>
      <c r="AK2561">
        <v>4.8556824896685002</v>
      </c>
      <c r="AL2561">
        <v>87.979858359331004</v>
      </c>
      <c r="AM2561">
        <v>105.96487647333301</v>
      </c>
      <c r="AN2561">
        <v>1.0000000471520401</v>
      </c>
    </row>
    <row r="2562" spans="1:40" x14ac:dyDescent="0.25">
      <c r="A2562" t="str">
        <f>"20190312151319473"</f>
        <v>20190312151319473</v>
      </c>
      <c r="B2562" t="str">
        <f>"1552374799462672"</f>
        <v>1552374799462672</v>
      </c>
      <c r="C2562" t="s">
        <v>40</v>
      </c>
      <c r="D2562">
        <v>3.9726189999999999</v>
      </c>
      <c r="E2562">
        <v>0.34248889999999999</v>
      </c>
      <c r="F2562" t="s">
        <v>53</v>
      </c>
      <c r="G2562">
        <v>-484.7473</v>
      </c>
      <c r="H2562" s="1">
        <v>3.701139E-6</v>
      </c>
      <c r="I2562">
        <v>223.88210000000001</v>
      </c>
      <c r="J2562">
        <v>-489.6388</v>
      </c>
      <c r="K2562">
        <v>1.11277</v>
      </c>
      <c r="L2562">
        <v>224.85910000000001</v>
      </c>
      <c r="M2562">
        <v>0.62298100000000001</v>
      </c>
      <c r="N2562">
        <v>0</v>
      </c>
      <c r="O2562">
        <v>-0.78218799999999999</v>
      </c>
      <c r="P2562">
        <v>0.81386099999999995</v>
      </c>
      <c r="Q2562">
        <v>2.9570200000000001E-2</v>
      </c>
      <c r="R2562">
        <v>-0.58030689999999996</v>
      </c>
      <c r="S2562">
        <v>3.2116090000000002</v>
      </c>
      <c r="T2562">
        <v>-0.71258189999999999</v>
      </c>
      <c r="U2562">
        <v>-0.717804</v>
      </c>
      <c r="V2562">
        <v>-0.27534890000000001</v>
      </c>
      <c r="W2562">
        <v>3.5997540000000001E-2</v>
      </c>
      <c r="X2562">
        <v>0.96067020000000003</v>
      </c>
      <c r="Y2562">
        <v>-0.60088580000000003</v>
      </c>
      <c r="Z2562">
        <v>0.21145749999999999</v>
      </c>
      <c r="AA2562">
        <v>0.77085789999999998</v>
      </c>
      <c r="AB2562">
        <v>17</v>
      </c>
      <c r="AC2562">
        <v>4.8914999999999997</v>
      </c>
      <c r="AD2562">
        <v>-1.1127662988609901</v>
      </c>
      <c r="AE2562">
        <v>-0.97700000000000398</v>
      </c>
      <c r="AF2562">
        <v>-3.0650094121457698</v>
      </c>
      <c r="AG2562">
        <v>-1.1127662988609901</v>
      </c>
      <c r="AH2562">
        <v>3.6309561972979298</v>
      </c>
      <c r="AI2562">
        <v>103.1803186913</v>
      </c>
      <c r="AJ2562">
        <v>130.16881083688199</v>
      </c>
      <c r="AK2562">
        <v>4.8802022948971304</v>
      </c>
      <c r="AL2562">
        <v>87.937047259655699</v>
      </c>
      <c r="AM2562">
        <v>105.99345010467999</v>
      </c>
      <c r="AN2562">
        <v>1.00000003639265</v>
      </c>
    </row>
    <row r="2563" spans="1:40" x14ac:dyDescent="0.25">
      <c r="A2563" t="str">
        <f>"20190312151319516"</f>
        <v>20190312151319516</v>
      </c>
      <c r="B2563" t="str">
        <f>"1552374799512449"</f>
        <v>1552374799512449</v>
      </c>
      <c r="C2563" t="s">
        <v>40</v>
      </c>
      <c r="D2563">
        <v>4.1784829999999999</v>
      </c>
      <c r="E2563">
        <v>0.34339920000000002</v>
      </c>
      <c r="F2563" t="s">
        <v>53</v>
      </c>
      <c r="G2563">
        <v>-484.56130000000002</v>
      </c>
      <c r="H2563" s="1">
        <v>3.6239120000000001E-6</v>
      </c>
      <c r="I2563">
        <v>223.76589999999999</v>
      </c>
      <c r="J2563">
        <v>-489.42399999999998</v>
      </c>
      <c r="K2563">
        <v>1.1127339999999999</v>
      </c>
      <c r="L2563">
        <v>224.6139</v>
      </c>
      <c r="M2563">
        <v>0.63244519999999904</v>
      </c>
      <c r="N2563">
        <v>0</v>
      </c>
      <c r="O2563">
        <v>-0.77455600000000002</v>
      </c>
      <c r="P2563">
        <v>0.8205945</v>
      </c>
      <c r="Q2563">
        <v>2.9052250000000002E-2</v>
      </c>
      <c r="R2563">
        <v>-0.57077239999999996</v>
      </c>
      <c r="S2563">
        <v>3.2177730000000002</v>
      </c>
      <c r="T2563">
        <v>-0.70520000000000005</v>
      </c>
      <c r="U2563">
        <v>-0.69282529999999998</v>
      </c>
      <c r="V2563">
        <v>-0.27488380000000001</v>
      </c>
      <c r="W2563">
        <v>3.5498620000000002E-2</v>
      </c>
      <c r="X2563">
        <v>0.96082190000000001</v>
      </c>
      <c r="Y2563">
        <v>-0.59806719999999902</v>
      </c>
      <c r="Z2563">
        <v>0.2081084</v>
      </c>
      <c r="AA2563">
        <v>0.77395509999999901</v>
      </c>
      <c r="AB2563">
        <v>17</v>
      </c>
      <c r="AC2563">
        <v>4.86270000000001</v>
      </c>
      <c r="AD2563">
        <v>-1.1127303760879901</v>
      </c>
      <c r="AE2563">
        <v>-0.84800000000001297</v>
      </c>
      <c r="AF2563">
        <v>-3.0740280297863301</v>
      </c>
      <c r="AG2563">
        <v>-1.1127303760879901</v>
      </c>
      <c r="AH2563">
        <v>3.5518596939557998</v>
      </c>
      <c r="AI2563">
        <v>103.32676715995601</v>
      </c>
      <c r="AJ2563">
        <v>130.87520567177</v>
      </c>
      <c r="AK2563">
        <v>4.8273724222737098</v>
      </c>
      <c r="AL2563">
        <v>87.965651456751701</v>
      </c>
      <c r="AM2563">
        <v>105.965420817931</v>
      </c>
      <c r="AN2563">
        <v>0.999999989521977</v>
      </c>
    </row>
    <row r="2564" spans="1:40" x14ac:dyDescent="0.25">
      <c r="A2564" t="str">
        <f>"20190312151319538"</f>
        <v>20190312151319538</v>
      </c>
      <c r="B2564" t="str">
        <f>"1552374799532944"</f>
        <v>1552374799532944</v>
      </c>
      <c r="C2564" t="s">
        <v>40</v>
      </c>
      <c r="D2564">
        <v>4.134417</v>
      </c>
      <c r="E2564">
        <v>0.40915570000000001</v>
      </c>
      <c r="F2564" t="s">
        <v>53</v>
      </c>
      <c r="G2564">
        <v>-484.3467</v>
      </c>
      <c r="H2564" s="1">
        <v>3.5169140000000001E-6</v>
      </c>
      <c r="I2564">
        <v>223.57409999999999</v>
      </c>
      <c r="J2564">
        <v>-489.30579999999998</v>
      </c>
      <c r="K2564">
        <v>1.112716</v>
      </c>
      <c r="L2564">
        <v>224.4812</v>
      </c>
      <c r="M2564">
        <v>0.63748169999999904</v>
      </c>
      <c r="N2564">
        <v>0</v>
      </c>
      <c r="O2564">
        <v>-0.77041610000000005</v>
      </c>
      <c r="P2564">
        <v>0.82372959999999995</v>
      </c>
      <c r="Q2564">
        <v>2.8539599999999901E-2</v>
      </c>
      <c r="R2564">
        <v>-0.56626430000000005</v>
      </c>
      <c r="S2564">
        <v>3.2219540000000002</v>
      </c>
      <c r="T2564">
        <v>-0.70611109999999999</v>
      </c>
      <c r="U2564">
        <v>-0.65982059999999998</v>
      </c>
      <c r="V2564">
        <v>-0.27389609999999998</v>
      </c>
      <c r="W2564">
        <v>3.5002060000000002E-2</v>
      </c>
      <c r="X2564">
        <v>0.96112220000000004</v>
      </c>
      <c r="Y2564">
        <v>-0.60062869999999902</v>
      </c>
      <c r="Z2564">
        <v>0.20828630000000001</v>
      </c>
      <c r="AA2564">
        <v>0.77192090000000002</v>
      </c>
      <c r="AB2564">
        <v>17</v>
      </c>
      <c r="AC2564">
        <v>4.9590999999999701</v>
      </c>
      <c r="AD2564">
        <v>-1.112712483086</v>
      </c>
      <c r="AE2564">
        <v>-0.90710000000001401</v>
      </c>
      <c r="AF2564">
        <v>-3.0918149086381699</v>
      </c>
      <c r="AG2564">
        <v>-1.112712483086</v>
      </c>
      <c r="AH2564">
        <v>3.6810048504241299</v>
      </c>
      <c r="AI2564">
        <v>103.032632843333</v>
      </c>
      <c r="AJ2564">
        <v>130.028167848207</v>
      </c>
      <c r="AK2564">
        <v>4.9342927768970704</v>
      </c>
      <c r="AL2564">
        <v>87.994120064891703</v>
      </c>
      <c r="AM2564">
        <v>105.90624373216301</v>
      </c>
      <c r="AN2564">
        <v>1.0000000505661399</v>
      </c>
    </row>
    <row r="2565" spans="1:40" x14ac:dyDescent="0.25">
      <c r="A2565" t="str">
        <f>"20190312151319560"</f>
        <v>20190312151319560</v>
      </c>
      <c r="B2565" t="str">
        <f>"1552374799552465"</f>
        <v>1552374799552465</v>
      </c>
      <c r="C2565" t="s">
        <v>40</v>
      </c>
      <c r="D2565">
        <v>4.4394450000000001</v>
      </c>
      <c r="E2565">
        <v>0.41284359999999998</v>
      </c>
      <c r="F2565" t="s">
        <v>53</v>
      </c>
      <c r="G2565">
        <v>-484.18079999999998</v>
      </c>
      <c r="H2565" s="1">
        <v>3.176194E-6</v>
      </c>
      <c r="I2565">
        <v>222.59299999999999</v>
      </c>
      <c r="J2565">
        <v>-489.19220000000001</v>
      </c>
      <c r="K2565">
        <v>1.1127</v>
      </c>
      <c r="L2565">
        <v>224.3552</v>
      </c>
      <c r="M2565">
        <v>0.64220909999999998</v>
      </c>
      <c r="N2565">
        <v>0</v>
      </c>
      <c r="O2565">
        <v>-0.76647989999999999</v>
      </c>
      <c r="P2565">
        <v>0.82644680000000004</v>
      </c>
      <c r="Q2565">
        <v>2.813216E-2</v>
      </c>
      <c r="R2565">
        <v>-0.56231209999999998</v>
      </c>
      <c r="S2565">
        <v>2.923492</v>
      </c>
      <c r="T2565">
        <v>-0.6347353</v>
      </c>
      <c r="U2565">
        <v>-1.0771029999999999</v>
      </c>
      <c r="V2565">
        <v>-0.2725938</v>
      </c>
      <c r="W2565">
        <v>3.4614150000000003E-2</v>
      </c>
      <c r="X2565">
        <v>0.96150639999999998</v>
      </c>
      <c r="Y2565">
        <v>-0.47660659999999999</v>
      </c>
      <c r="Z2565">
        <v>0.18677759999999999</v>
      </c>
      <c r="AA2565">
        <v>0.85904619999999998</v>
      </c>
      <c r="AB2565">
        <v>18</v>
      </c>
      <c r="AC2565">
        <v>5.0114000000000303</v>
      </c>
      <c r="AD2565">
        <v>-1.112696823806</v>
      </c>
      <c r="AE2565">
        <v>-1.7622</v>
      </c>
      <c r="AF2565">
        <v>-2.5956582574717499</v>
      </c>
      <c r="AG2565">
        <v>-1.112696823806</v>
      </c>
      <c r="AH2565">
        <v>4.3771876610508098</v>
      </c>
      <c r="AI2565">
        <v>102.333642557647</v>
      </c>
      <c r="AJ2565">
        <v>120.667805030338</v>
      </c>
      <c r="AK2565">
        <v>5.2091561534805901</v>
      </c>
      <c r="AL2565">
        <v>88.016359121782301</v>
      </c>
      <c r="AM2565">
        <v>105.82840474046699</v>
      </c>
      <c r="AN2565">
        <v>1.00000003820981</v>
      </c>
    </row>
    <row r="2566" spans="1:40" x14ac:dyDescent="0.25">
      <c r="A2566" t="str">
        <f>"20190312151319582"</f>
        <v>20190312151319582</v>
      </c>
      <c r="B2566" t="str">
        <f>"1552374799572961"</f>
        <v>1552374799572961</v>
      </c>
      <c r="C2566" t="s">
        <v>40</v>
      </c>
      <c r="D2566">
        <v>4.1794979999999997</v>
      </c>
      <c r="E2566">
        <v>0.4142112</v>
      </c>
      <c r="F2566" t="s">
        <v>53</v>
      </c>
      <c r="G2566">
        <v>-483.78870000000001</v>
      </c>
      <c r="H2566" s="1">
        <v>3.0414619999999998E-6</v>
      </c>
      <c r="I2566">
        <v>222.33359999999999</v>
      </c>
      <c r="J2566">
        <v>-489.07369999999997</v>
      </c>
      <c r="K2566">
        <v>1.112687</v>
      </c>
      <c r="L2566">
        <v>224.2253</v>
      </c>
      <c r="M2566">
        <v>0.64702169999999903</v>
      </c>
      <c r="N2566">
        <v>0</v>
      </c>
      <c r="O2566">
        <v>-0.76242140000000003</v>
      </c>
      <c r="P2566">
        <v>0.829296699999999</v>
      </c>
      <c r="Q2566">
        <v>2.7711099999999999E-2</v>
      </c>
      <c r="R2566">
        <v>-0.55812099999999998</v>
      </c>
      <c r="S2566">
        <v>2.9096980000000001</v>
      </c>
      <c r="T2566">
        <v>-0.59916259999999999</v>
      </c>
      <c r="U2566">
        <v>-1.0885769999999999</v>
      </c>
      <c r="V2566">
        <v>-0.27141349999999997</v>
      </c>
      <c r="W2566">
        <v>3.4214330000000001E-2</v>
      </c>
      <c r="X2566">
        <v>0.96185449999999995</v>
      </c>
      <c r="Y2566">
        <v>-0.46904059999999997</v>
      </c>
      <c r="Z2566">
        <v>0.1759598</v>
      </c>
      <c r="AA2566">
        <v>0.86547039999999997</v>
      </c>
      <c r="AB2566">
        <v>18</v>
      </c>
      <c r="AC2566">
        <v>5.2849999999999602</v>
      </c>
      <c r="AD2566">
        <v>-1.112683958538</v>
      </c>
      <c r="AE2566">
        <v>-1.8917000000000099</v>
      </c>
      <c r="AF2566">
        <v>-2.6994673723335301</v>
      </c>
      <c r="AG2566">
        <v>-1.112683958538</v>
      </c>
      <c r="AH2566">
        <v>4.6781564900600499</v>
      </c>
      <c r="AI2566">
        <v>101.64060823638199</v>
      </c>
      <c r="AJ2566">
        <v>119.986517915184</v>
      </c>
      <c r="AK2566">
        <v>5.5145569025418597</v>
      </c>
      <c r="AL2566">
        <v>88.039280609935801</v>
      </c>
      <c r="AM2566">
        <v>105.757861351516</v>
      </c>
      <c r="AN2566">
        <v>0.99999999376492399</v>
      </c>
    </row>
    <row r="2567" spans="1:40" x14ac:dyDescent="0.25">
      <c r="A2567" t="str">
        <f>"20190312151319607"</f>
        <v>20190312151319607</v>
      </c>
      <c r="B2567" t="str">
        <f>"1552374799603218"</f>
        <v>1552374799603218</v>
      </c>
      <c r="C2567" t="s">
        <v>40</v>
      </c>
      <c r="D2567">
        <v>4.1797870000000001</v>
      </c>
      <c r="E2567">
        <v>0.41522690000000001</v>
      </c>
      <c r="F2567" t="s">
        <v>53</v>
      </c>
      <c r="G2567">
        <v>-483.49290000000002</v>
      </c>
      <c r="H2567" s="1">
        <v>2.9474470000000002E-6</v>
      </c>
      <c r="I2567">
        <v>222.14570000000001</v>
      </c>
      <c r="J2567">
        <v>-488.95010000000002</v>
      </c>
      <c r="K2567">
        <v>1.112665</v>
      </c>
      <c r="L2567">
        <v>224.09119999999999</v>
      </c>
      <c r="M2567">
        <v>0.65192469999999902</v>
      </c>
      <c r="N2567">
        <v>0</v>
      </c>
      <c r="O2567">
        <v>-0.75823339999999995</v>
      </c>
      <c r="P2567">
        <v>0.83209100000000003</v>
      </c>
      <c r="Q2567">
        <v>2.742487E-2</v>
      </c>
      <c r="R2567">
        <v>-0.55396080000000003</v>
      </c>
      <c r="S2567">
        <v>2.907715</v>
      </c>
      <c r="T2567">
        <v>-0.57972749999999995</v>
      </c>
      <c r="U2567">
        <v>-1.0835109999999999</v>
      </c>
      <c r="V2567">
        <v>-0.27003149999999998</v>
      </c>
      <c r="W2567">
        <v>3.3954119999999997E-2</v>
      </c>
      <c r="X2567">
        <v>0.96225260000000001</v>
      </c>
      <c r="Y2567">
        <v>-0.46571479999999998</v>
      </c>
      <c r="Z2567">
        <v>0.16979610000000001</v>
      </c>
      <c r="AA2567">
        <v>0.86849240000000005</v>
      </c>
      <c r="AB2567">
        <v>18</v>
      </c>
      <c r="AC2567">
        <v>5.4572000000000003</v>
      </c>
      <c r="AD2567">
        <v>-1.112662052553</v>
      </c>
      <c r="AE2567">
        <v>-1.94549999999998</v>
      </c>
      <c r="AF2567">
        <v>-2.7675457269996402</v>
      </c>
      <c r="AG2567">
        <v>-1.112662052553</v>
      </c>
      <c r="AH2567">
        <v>4.8539886081076196</v>
      </c>
      <c r="AI2567">
        <v>101.262159935521</v>
      </c>
      <c r="AJ2567">
        <v>119.69001960684</v>
      </c>
      <c r="AK2567">
        <v>5.69723894547736</v>
      </c>
      <c r="AL2567">
        <v>88.054198185206502</v>
      </c>
      <c r="AM2567">
        <v>105.67541244212801</v>
      </c>
      <c r="AN2567">
        <v>0.99999997973199195</v>
      </c>
    </row>
    <row r="2568" spans="1:40" x14ac:dyDescent="0.25">
      <c r="A2568" t="str">
        <f>"20190312151319650"</f>
        <v>20190312151319650</v>
      </c>
      <c r="B2568" t="str">
        <f>"1552374799643234"</f>
        <v>1552374799643234</v>
      </c>
      <c r="C2568" t="s">
        <v>40</v>
      </c>
      <c r="D2568">
        <v>4.2205079999999997</v>
      </c>
      <c r="E2568">
        <v>0.4161918</v>
      </c>
      <c r="F2568" t="s">
        <v>53</v>
      </c>
      <c r="G2568">
        <v>-483.39479999999998</v>
      </c>
      <c r="H2568" s="1">
        <v>2.9062790000000001E-6</v>
      </c>
      <c r="I2568">
        <v>222.03819999999999</v>
      </c>
      <c r="J2568">
        <v>-488.71480000000003</v>
      </c>
      <c r="K2568">
        <v>1.1126290000000001</v>
      </c>
      <c r="L2568">
        <v>223.84059999999999</v>
      </c>
      <c r="M2568">
        <v>0.66093369999999996</v>
      </c>
      <c r="N2568">
        <v>0</v>
      </c>
      <c r="O2568">
        <v>-0.75039369999999905</v>
      </c>
      <c r="P2568">
        <v>0.83708269999999996</v>
      </c>
      <c r="Q2568">
        <v>2.8666029999999999E-2</v>
      </c>
      <c r="R2568">
        <v>-0.54632530000000001</v>
      </c>
      <c r="S2568">
        <v>2.9088750000000001</v>
      </c>
      <c r="T2568">
        <v>-0.58261450000000004</v>
      </c>
      <c r="U2568">
        <v>-1.075027</v>
      </c>
      <c r="V2568">
        <v>-0.26731559999999999</v>
      </c>
      <c r="W2568">
        <v>3.5240809999999997E-2</v>
      </c>
      <c r="X2568">
        <v>0.96296440000000005</v>
      </c>
      <c r="Y2568">
        <v>-0.45753830000000001</v>
      </c>
      <c r="Z2568">
        <v>0.16909080000000001</v>
      </c>
      <c r="AA2568">
        <v>0.87296450000000003</v>
      </c>
      <c r="AB2568">
        <v>18</v>
      </c>
      <c r="AC2568">
        <v>5.32000000000005</v>
      </c>
      <c r="AD2568">
        <v>-1.112626093721</v>
      </c>
      <c r="AE2568">
        <v>-1.8024</v>
      </c>
      <c r="AF2568">
        <v>-2.6951856326047499</v>
      </c>
      <c r="AG2568">
        <v>-1.112626093721</v>
      </c>
      <c r="AH2568">
        <v>4.6850395503770397</v>
      </c>
      <c r="AI2568">
        <v>101.632003478931</v>
      </c>
      <c r="AJ2568">
        <v>119.910737192664</v>
      </c>
      <c r="AK2568">
        <v>5.5182930338307603</v>
      </c>
      <c r="AL2568">
        <v>87.980432131521994</v>
      </c>
      <c r="AM2568">
        <v>105.51447103391</v>
      </c>
      <c r="AN2568">
        <v>0.99999999018008801</v>
      </c>
    </row>
    <row r="2569" spans="1:40" x14ac:dyDescent="0.25">
      <c r="A2569" t="str">
        <f>"20190312151319673"</f>
        <v>20190312151319673</v>
      </c>
      <c r="B2569" t="str">
        <f>"1552374799662753"</f>
        <v>1552374799662753</v>
      </c>
      <c r="C2569" t="s">
        <v>40</v>
      </c>
      <c r="D2569">
        <v>4.1942599999999999</v>
      </c>
      <c r="E2569">
        <v>0.41665219999999997</v>
      </c>
      <c r="F2569" t="s">
        <v>53</v>
      </c>
      <c r="G2569">
        <v>-483.17509999999999</v>
      </c>
      <c r="H2569" s="1">
        <v>2.823071E-6</v>
      </c>
      <c r="I2569">
        <v>221.8381</v>
      </c>
      <c r="J2569">
        <v>-488.5881</v>
      </c>
      <c r="K2569">
        <v>1.1126290000000001</v>
      </c>
      <c r="L2569">
        <v>223.708</v>
      </c>
      <c r="M2569">
        <v>0.66564480000000004</v>
      </c>
      <c r="N2569">
        <v>0</v>
      </c>
      <c r="O2569">
        <v>-0.74621759999999904</v>
      </c>
      <c r="P2569">
        <v>0.84001539999999997</v>
      </c>
      <c r="Q2569">
        <v>2.9449309999999999E-2</v>
      </c>
      <c r="R2569">
        <v>-0.54176279999999999</v>
      </c>
      <c r="S2569">
        <v>2.915985</v>
      </c>
      <c r="T2569">
        <v>-0.58566759999999995</v>
      </c>
      <c r="U2569">
        <v>-1.0541229999999999</v>
      </c>
      <c r="V2569">
        <v>-0.2664763</v>
      </c>
      <c r="W2569">
        <v>3.6033280000000001E-2</v>
      </c>
      <c r="X2569">
        <v>0.96316769999999996</v>
      </c>
      <c r="Y2569">
        <v>-0.45805249999999997</v>
      </c>
      <c r="Z2569">
        <v>0.16946700000000001</v>
      </c>
      <c r="AA2569">
        <v>0.87262189999999995</v>
      </c>
      <c r="AB2569">
        <v>18</v>
      </c>
      <c r="AC2569">
        <v>5.41300000000001</v>
      </c>
      <c r="AD2569">
        <v>-1.112626176929</v>
      </c>
      <c r="AE2569">
        <v>-1.8698999999999999</v>
      </c>
      <c r="AF2569">
        <v>-2.6930434671780898</v>
      </c>
      <c r="AG2569">
        <v>-1.112626176929</v>
      </c>
      <c r="AH2569">
        <v>4.8168641763400402</v>
      </c>
      <c r="AI2569">
        <v>101.39886649642099</v>
      </c>
      <c r="AJ2569">
        <v>119.208963939198</v>
      </c>
      <c r="AK2569">
        <v>5.6296181592543402</v>
      </c>
      <c r="AL2569">
        <v>87.934998139189105</v>
      </c>
      <c r="AM2569">
        <v>105.46498705467801</v>
      </c>
      <c r="AN2569">
        <v>1.00000001702626</v>
      </c>
    </row>
    <row r="2570" spans="1:40" x14ac:dyDescent="0.25">
      <c r="A2570" t="str">
        <f>"20190312151319695"</f>
        <v>20190312151319695</v>
      </c>
      <c r="B2570" t="str">
        <f>"1552374799693009"</f>
        <v>1552374799693009</v>
      </c>
      <c r="C2570" t="s">
        <v>40</v>
      </c>
      <c r="D2570">
        <v>4.2665170000000003</v>
      </c>
      <c r="E2570">
        <v>0.41691139999999999</v>
      </c>
      <c r="F2570" t="s">
        <v>53</v>
      </c>
      <c r="G2570">
        <v>-483.03300000000002</v>
      </c>
      <c r="H2570" s="1">
        <v>2.7734009999999998E-6</v>
      </c>
      <c r="I2570">
        <v>221.72749999999999</v>
      </c>
      <c r="J2570">
        <v>-488.46609999999998</v>
      </c>
      <c r="K2570">
        <v>1.1126419999999999</v>
      </c>
      <c r="L2570">
        <v>223.58170000000001</v>
      </c>
      <c r="M2570">
        <v>0.67009909999999995</v>
      </c>
      <c r="N2570">
        <v>0</v>
      </c>
      <c r="O2570">
        <v>-0.74222030000000006</v>
      </c>
      <c r="P2570">
        <v>0.84259919999999999</v>
      </c>
      <c r="Q2570">
        <v>2.9809479999999999E-2</v>
      </c>
      <c r="R2570">
        <v>-0.53771599999999997</v>
      </c>
      <c r="S2570">
        <v>2.9203489999999999</v>
      </c>
      <c r="T2570">
        <v>-0.58490819999999999</v>
      </c>
      <c r="U2570">
        <v>-1.041153</v>
      </c>
      <c r="V2570">
        <v>-0.26533869999999998</v>
      </c>
      <c r="W2570">
        <v>3.6401639999999999E-2</v>
      </c>
      <c r="X2570">
        <v>0.96346779999999999</v>
      </c>
      <c r="Y2570">
        <v>-0.4567252</v>
      </c>
      <c r="Z2570">
        <v>0.16863300000000001</v>
      </c>
      <c r="AA2570">
        <v>0.87347870000000005</v>
      </c>
      <c r="AB2570">
        <v>18</v>
      </c>
      <c r="AC2570">
        <v>5.4330999999999596</v>
      </c>
      <c r="AD2570">
        <v>-1.1126392265989999</v>
      </c>
      <c r="AE2570">
        <v>-1.8542000000000201</v>
      </c>
      <c r="AF2570">
        <v>-2.6891517826488398</v>
      </c>
      <c r="AG2570">
        <v>-1.1126392265989999</v>
      </c>
      <c r="AH2570">
        <v>4.8354935176069898</v>
      </c>
      <c r="AI2570">
        <v>101.37015265084</v>
      </c>
      <c r="AJ2570">
        <v>119.07964704334501</v>
      </c>
      <c r="AK2570">
        <v>5.6437133978887903</v>
      </c>
      <c r="AL2570">
        <v>87.913878677540296</v>
      </c>
      <c r="AM2570">
        <v>105.39753768290301</v>
      </c>
      <c r="AN2570">
        <v>0.99999995337460801</v>
      </c>
    </row>
    <row r="2571" spans="1:40" x14ac:dyDescent="0.25">
      <c r="A2571" t="str">
        <f>"20190312151319719"</f>
        <v>20190312151319719</v>
      </c>
      <c r="B2571" t="str">
        <f>"1552374799712529"</f>
        <v>1552374799712529</v>
      </c>
      <c r="C2571" t="s">
        <v>40</v>
      </c>
      <c r="D2571">
        <v>4.2514909999999997</v>
      </c>
      <c r="E2571">
        <v>0.4171549</v>
      </c>
      <c r="F2571" t="s">
        <v>53</v>
      </c>
      <c r="G2571">
        <v>-482.88709999999998</v>
      </c>
      <c r="H2571" s="1">
        <v>2.7241019999999999E-6</v>
      </c>
      <c r="I2571">
        <v>221.6215</v>
      </c>
      <c r="J2571">
        <v>-488.33530000000002</v>
      </c>
      <c r="K2571">
        <v>1.1126750000000001</v>
      </c>
      <c r="L2571">
        <v>223.4479</v>
      </c>
      <c r="M2571">
        <v>0.67479239999999996</v>
      </c>
      <c r="N2571">
        <v>0</v>
      </c>
      <c r="O2571">
        <v>-0.7379559</v>
      </c>
      <c r="P2571">
        <v>0.84498269999999998</v>
      </c>
      <c r="Q2571">
        <v>3.028583E-2</v>
      </c>
      <c r="R2571">
        <v>-0.53393539999999995</v>
      </c>
      <c r="S2571">
        <v>2.9251399999999999</v>
      </c>
      <c r="T2571">
        <v>-0.58336909999999997</v>
      </c>
      <c r="U2571">
        <v>-1.0277559999999999</v>
      </c>
      <c r="V2571">
        <v>-0.26353660000000001</v>
      </c>
      <c r="W2571">
        <v>3.6893870000000002E-2</v>
      </c>
      <c r="X2571">
        <v>0.96394360000000001</v>
      </c>
      <c r="Y2571">
        <v>-0.45529049999999999</v>
      </c>
      <c r="Z2571">
        <v>0.16751669999999999</v>
      </c>
      <c r="AA2571">
        <v>0.87444200000000005</v>
      </c>
      <c r="AB2571">
        <v>18</v>
      </c>
      <c r="AC2571">
        <v>5.4482000000000399</v>
      </c>
      <c r="AD2571">
        <v>-1.1126722758980001</v>
      </c>
      <c r="AE2571">
        <v>-1.8264</v>
      </c>
      <c r="AF2571">
        <v>-2.68743112267946</v>
      </c>
      <c r="AG2571">
        <v>-1.1126722758980001</v>
      </c>
      <c r="AH2571">
        <v>4.84281598215627</v>
      </c>
      <c r="AI2571">
        <v>101.359352988539</v>
      </c>
      <c r="AJ2571">
        <v>119.02727393953801</v>
      </c>
      <c r="AK2571">
        <v>5.6491762470050801</v>
      </c>
      <c r="AL2571">
        <v>87.885657073908803</v>
      </c>
      <c r="AM2571">
        <v>105.290679929886</v>
      </c>
      <c r="AN2571">
        <v>0.99999998058204798</v>
      </c>
    </row>
    <row r="2572" spans="1:40" x14ac:dyDescent="0.25">
      <c r="A2572" t="str">
        <f>"20190312151319762"</f>
        <v>20190312151319762</v>
      </c>
      <c r="B2572" t="str">
        <f>"1552374799752545"</f>
        <v>1552374799752545</v>
      </c>
      <c r="C2572" t="s">
        <v>40</v>
      </c>
      <c r="D2572">
        <v>4.2587609999999998</v>
      </c>
      <c r="E2572">
        <v>0.41707820000000001</v>
      </c>
      <c r="F2572" t="s">
        <v>53</v>
      </c>
      <c r="G2572">
        <v>-482.76920000000001</v>
      </c>
      <c r="H2572" s="1">
        <v>2.6805969999999999E-6</v>
      </c>
      <c r="I2572">
        <v>221.51929999999999</v>
      </c>
      <c r="J2572">
        <v>-488.09390000000002</v>
      </c>
      <c r="K2572">
        <v>1.1127309999999999</v>
      </c>
      <c r="L2572">
        <v>223.20529999999999</v>
      </c>
      <c r="M2572">
        <v>0.68325880000000005</v>
      </c>
      <c r="N2572">
        <v>0</v>
      </c>
      <c r="O2572">
        <v>-0.73012330000000003</v>
      </c>
      <c r="P2572">
        <v>0.85002619999999895</v>
      </c>
      <c r="Q2572">
        <v>3.1403359999999998E-2</v>
      </c>
      <c r="R2572">
        <v>-0.52580360000000004</v>
      </c>
      <c r="S2572">
        <v>2.929932</v>
      </c>
      <c r="T2572">
        <v>-0.58569919999999998</v>
      </c>
      <c r="U2572">
        <v>-1.015198</v>
      </c>
      <c r="V2572">
        <v>-0.26164809999999999</v>
      </c>
      <c r="W2572">
        <v>3.8046539999999997E-2</v>
      </c>
      <c r="X2572">
        <v>0.96441319999999997</v>
      </c>
      <c r="Y2572">
        <v>-0.44891170000000002</v>
      </c>
      <c r="Z2572">
        <v>0.16659769999999999</v>
      </c>
      <c r="AA2572">
        <v>0.87790859999999904</v>
      </c>
      <c r="AB2572">
        <v>18</v>
      </c>
      <c r="AC2572">
        <v>5.3247</v>
      </c>
      <c r="AD2572">
        <v>-1.112728319403</v>
      </c>
      <c r="AE2572">
        <v>-1.6859999999999999</v>
      </c>
      <c r="AF2572">
        <v>-2.6313768558668298</v>
      </c>
      <c r="AG2572">
        <v>-1.112728319403</v>
      </c>
      <c r="AH2572">
        <v>4.68343385813714</v>
      </c>
      <c r="AI2572">
        <v>101.70239892519</v>
      </c>
      <c r="AJ2572">
        <v>119.32935759474201</v>
      </c>
      <c r="AK2572">
        <v>5.4860606243404098</v>
      </c>
      <c r="AL2572">
        <v>87.819567669182305</v>
      </c>
      <c r="AM2572">
        <v>105.179130800604</v>
      </c>
      <c r="AN2572">
        <v>1.0000000438868999</v>
      </c>
    </row>
    <row r="2573" spans="1:40" x14ac:dyDescent="0.25">
      <c r="A2573" t="str">
        <f>"20190312151319784"</f>
        <v>20190312151319784</v>
      </c>
      <c r="B2573" t="str">
        <f>"1552374799782801"</f>
        <v>1552374799782801</v>
      </c>
      <c r="C2573" t="s">
        <v>40</v>
      </c>
      <c r="D2573">
        <v>4.2303480000000002</v>
      </c>
      <c r="E2573">
        <v>0.41743530000000001</v>
      </c>
      <c r="F2573" t="s">
        <v>53</v>
      </c>
      <c r="G2573">
        <v>-482.51859999999999</v>
      </c>
      <c r="H2573" s="1">
        <v>2.5953739999999999E-6</v>
      </c>
      <c r="I2573">
        <v>221.3349</v>
      </c>
      <c r="J2573">
        <v>-487.96409999999997</v>
      </c>
      <c r="K2573">
        <v>1.1127549999999999</v>
      </c>
      <c r="L2573">
        <v>223.077</v>
      </c>
      <c r="M2573">
        <v>0.68772869999999997</v>
      </c>
      <c r="N2573">
        <v>0</v>
      </c>
      <c r="O2573">
        <v>-0.72591439999999996</v>
      </c>
      <c r="P2573">
        <v>0.85286640000000002</v>
      </c>
      <c r="Q2573">
        <v>3.1703309999999998E-2</v>
      </c>
      <c r="R2573">
        <v>-0.52116600000000002</v>
      </c>
      <c r="S2573">
        <v>2.9407040000000002</v>
      </c>
      <c r="T2573">
        <v>-0.58691110000000002</v>
      </c>
      <c r="U2573">
        <v>-0.98654169999999997</v>
      </c>
      <c r="V2573">
        <v>-0.26097569999999998</v>
      </c>
      <c r="W2573">
        <v>3.836912E-2</v>
      </c>
      <c r="X2573">
        <v>0.96458259999999996</v>
      </c>
      <c r="Y2573">
        <v>-0.45207330000000001</v>
      </c>
      <c r="Z2573">
        <v>0.1665517</v>
      </c>
      <c r="AA2573">
        <v>0.87629349999999995</v>
      </c>
      <c r="AB2573">
        <v>18</v>
      </c>
      <c r="AC2573">
        <v>5.4454999999999796</v>
      </c>
      <c r="AD2573">
        <v>-1.112752404626</v>
      </c>
      <c r="AE2573">
        <v>-1.74209999999999</v>
      </c>
      <c r="AF2573">
        <v>-2.6544330213439902</v>
      </c>
      <c r="AG2573">
        <v>-1.112752404626</v>
      </c>
      <c r="AH2573">
        <v>4.8269924807346198</v>
      </c>
      <c r="AI2573">
        <v>101.420006771421</v>
      </c>
      <c r="AJ2573">
        <v>118.80703130844699</v>
      </c>
      <c r="AK2573">
        <v>5.6199723298136401</v>
      </c>
      <c r="AL2573">
        <v>87.801071702650006</v>
      </c>
      <c r="AM2573">
        <v>105.13937856021001</v>
      </c>
      <c r="AN2573">
        <v>1.00000004879141</v>
      </c>
    </row>
    <row r="2574" spans="1:40" x14ac:dyDescent="0.25">
      <c r="A2574" t="str">
        <f>"20190312151319817"</f>
        <v>20190312151319817</v>
      </c>
      <c r="B2574" t="str">
        <f>"1552374799813057"</f>
        <v>1552374799813057</v>
      </c>
      <c r="C2574" t="s">
        <v>40</v>
      </c>
      <c r="D2574">
        <v>4.2842460000000004</v>
      </c>
      <c r="E2574">
        <v>0.41745860000000001</v>
      </c>
      <c r="F2574" t="s">
        <v>53</v>
      </c>
      <c r="G2574">
        <v>-482.4049</v>
      </c>
      <c r="H2574" s="1">
        <v>2.5544769999999999E-6</v>
      </c>
      <c r="I2574">
        <v>221.24119999999999</v>
      </c>
      <c r="J2574">
        <v>-487.77</v>
      </c>
      <c r="K2574">
        <v>1.1127849999999999</v>
      </c>
      <c r="L2574">
        <v>222.88829999999999</v>
      </c>
      <c r="M2574">
        <v>0.69431259999999995</v>
      </c>
      <c r="N2574">
        <v>0</v>
      </c>
      <c r="O2574">
        <v>-0.71961909999999996</v>
      </c>
      <c r="P2574">
        <v>0.85722520000000002</v>
      </c>
      <c r="Q2574">
        <v>3.2233589999999999E-2</v>
      </c>
      <c r="R2574">
        <v>-0.51393230000000001</v>
      </c>
      <c r="S2574">
        <v>2.94516</v>
      </c>
      <c r="T2574">
        <v>-0.58951140000000002</v>
      </c>
      <c r="U2574">
        <v>-0.97259519999999999</v>
      </c>
      <c r="V2574">
        <v>-0.26034170000000001</v>
      </c>
      <c r="W2574">
        <v>3.892756E-2</v>
      </c>
      <c r="X2574">
        <v>0.96473149999999996</v>
      </c>
      <c r="Y2574">
        <v>-0.44811109999999998</v>
      </c>
      <c r="Z2574">
        <v>0.16609979999999999</v>
      </c>
      <c r="AA2574">
        <v>0.87841179999999996</v>
      </c>
      <c r="AB2574">
        <v>18</v>
      </c>
      <c r="AC2574">
        <v>5.3650999999999804</v>
      </c>
      <c r="AD2574">
        <v>-1.112782445523</v>
      </c>
      <c r="AE2574">
        <v>-1.64709999999999</v>
      </c>
      <c r="AF2574">
        <v>-2.6145442304723998</v>
      </c>
      <c r="AG2574">
        <v>-1.112782445523</v>
      </c>
      <c r="AH2574">
        <v>4.7247830745630299</v>
      </c>
      <c r="AI2574">
        <v>101.644106348911</v>
      </c>
      <c r="AJ2574">
        <v>118.958742601533</v>
      </c>
      <c r="AK2574">
        <v>5.5134110499615403</v>
      </c>
      <c r="AL2574">
        <v>87.769051442086706</v>
      </c>
      <c r="AM2574">
        <v>105.102057369028</v>
      </c>
      <c r="AN2574">
        <v>1.0000000113893399</v>
      </c>
    </row>
    <row r="2575" spans="1:40" x14ac:dyDescent="0.25">
      <c r="A2575" t="str">
        <f>"20190312151319841"</f>
        <v>20190312151319841</v>
      </c>
      <c r="B2575" t="str">
        <f>"1552374799832576"</f>
        <v>1552374799832576</v>
      </c>
      <c r="C2575" t="s">
        <v>40</v>
      </c>
      <c r="D2575">
        <v>4.2916629999999998</v>
      </c>
      <c r="E2575">
        <v>0.41748420000000003</v>
      </c>
      <c r="F2575" t="s">
        <v>53</v>
      </c>
      <c r="G2575">
        <v>-482.2321</v>
      </c>
      <c r="H2575" s="1">
        <v>2.495636E-6</v>
      </c>
      <c r="I2575">
        <v>221.11369999999999</v>
      </c>
      <c r="J2575">
        <v>-487.63200000000001</v>
      </c>
      <c r="K2575">
        <v>1.1128180000000001</v>
      </c>
      <c r="L2575">
        <v>222.7561</v>
      </c>
      <c r="M2575">
        <v>0.69892860000000001</v>
      </c>
      <c r="N2575">
        <v>0</v>
      </c>
      <c r="O2575">
        <v>-0.71513609999999905</v>
      </c>
      <c r="P2575">
        <v>0.86033850000000001</v>
      </c>
      <c r="Q2575">
        <v>3.2346369999999999E-2</v>
      </c>
      <c r="R2575">
        <v>-0.50869569999999997</v>
      </c>
      <c r="S2575">
        <v>2.954437</v>
      </c>
      <c r="T2575">
        <v>-0.59366209999999997</v>
      </c>
      <c r="U2575">
        <v>-0.94673160000000001</v>
      </c>
      <c r="V2575">
        <v>-0.26001659999999999</v>
      </c>
      <c r="W2575">
        <v>3.9056680000000003E-2</v>
      </c>
      <c r="X2575">
        <v>0.9648139</v>
      </c>
      <c r="Y2575">
        <v>-0.44997169999999997</v>
      </c>
      <c r="Z2575">
        <v>0.166717899999999</v>
      </c>
      <c r="AA2575">
        <v>0.87734290000000004</v>
      </c>
      <c r="AB2575">
        <v>18</v>
      </c>
      <c r="AC2575">
        <v>5.3998999999999402</v>
      </c>
      <c r="AD2575">
        <v>-1.112815504364</v>
      </c>
      <c r="AE2575">
        <v>-1.6424000000000001</v>
      </c>
      <c r="AF2575">
        <v>-2.6123021269509601</v>
      </c>
      <c r="AG2575">
        <v>-1.112815504364</v>
      </c>
      <c r="AH2575">
        <v>4.7636999875803703</v>
      </c>
      <c r="AI2575">
        <v>101.57561739406</v>
      </c>
      <c r="AJ2575">
        <v>118.739337765811</v>
      </c>
      <c r="AK2575">
        <v>5.5457477693182797</v>
      </c>
      <c r="AL2575">
        <v>87.761647663620195</v>
      </c>
      <c r="AM2575">
        <v>105.08282909905201</v>
      </c>
      <c r="AN2575">
        <v>0.99999995908069494</v>
      </c>
    </row>
    <row r="2576" spans="1:40" x14ac:dyDescent="0.25">
      <c r="A2576" t="str">
        <f>"20190312151319862"</f>
        <v>20190312151319862</v>
      </c>
      <c r="B2576" t="str">
        <f>"1552374799853073"</f>
        <v>1552374799853073</v>
      </c>
      <c r="C2576" t="s">
        <v>40</v>
      </c>
      <c r="D2576">
        <v>4.3254549999999998</v>
      </c>
      <c r="E2576">
        <v>0.41739920000000003</v>
      </c>
      <c r="F2576" t="s">
        <v>53</v>
      </c>
      <c r="G2576">
        <v>-482.1044</v>
      </c>
      <c r="H2576" s="1">
        <v>2.4528099999999999E-6</v>
      </c>
      <c r="I2576">
        <v>221.02250000000001</v>
      </c>
      <c r="J2576">
        <v>-487.50510000000003</v>
      </c>
      <c r="K2576">
        <v>1.1128450000000001</v>
      </c>
      <c r="L2576">
        <v>222.636</v>
      </c>
      <c r="M2576">
        <v>0.7031229</v>
      </c>
      <c r="N2576">
        <v>0</v>
      </c>
      <c r="O2576">
        <v>-0.71101239999999999</v>
      </c>
      <c r="P2576">
        <v>0.86300309999999902</v>
      </c>
      <c r="Q2576">
        <v>3.245116E-2</v>
      </c>
      <c r="R2576">
        <v>-0.50415529999999997</v>
      </c>
      <c r="S2576">
        <v>2.9604490000000001</v>
      </c>
      <c r="T2576">
        <v>-0.59599179999999996</v>
      </c>
      <c r="U2576">
        <v>-0.92846680000000004</v>
      </c>
      <c r="V2576">
        <v>-0.25942539999999997</v>
      </c>
      <c r="W2576">
        <v>3.917723E-2</v>
      </c>
      <c r="X2576">
        <v>0.96496820000000005</v>
      </c>
      <c r="Y2576">
        <v>-0.45010889999999998</v>
      </c>
      <c r="Z2576">
        <v>0.16677420000000001</v>
      </c>
      <c r="AA2576">
        <v>0.87726190000000004</v>
      </c>
      <c r="AB2576">
        <v>18</v>
      </c>
      <c r="AC2576">
        <v>5.40070000000002</v>
      </c>
      <c r="AD2576">
        <v>-1.1128425471899901</v>
      </c>
      <c r="AE2576">
        <v>-1.61349999999998</v>
      </c>
      <c r="AF2576">
        <v>-2.6040775978539599</v>
      </c>
      <c r="AG2576">
        <v>-1.1128425471899901</v>
      </c>
      <c r="AH2576">
        <v>4.7592571235636401</v>
      </c>
      <c r="AI2576">
        <v>101.59218345533201</v>
      </c>
      <c r="AJ2576">
        <v>118.685737835301</v>
      </c>
      <c r="AK2576">
        <v>5.53806527937983</v>
      </c>
      <c r="AL2576">
        <v>87.754735481688002</v>
      </c>
      <c r="AM2576">
        <v>105.047795353667</v>
      </c>
      <c r="AN2576">
        <v>1.0000000102634301</v>
      </c>
    </row>
    <row r="2577" spans="1:40" x14ac:dyDescent="0.25">
      <c r="A2577" t="str">
        <f>"20190312151319886"</f>
        <v>20190312151319886</v>
      </c>
      <c r="B2577" t="str">
        <f>"1552374799882353"</f>
        <v>1552374799882353</v>
      </c>
      <c r="C2577" t="s">
        <v>40</v>
      </c>
      <c r="D2577">
        <v>4.2879440000000004</v>
      </c>
      <c r="E2577">
        <v>0.41769329999999999</v>
      </c>
      <c r="F2577" t="s">
        <v>53</v>
      </c>
      <c r="G2577">
        <v>-482.02699999999999</v>
      </c>
      <c r="H2577" s="1">
        <v>2.423441E-6</v>
      </c>
      <c r="I2577">
        <v>220.95169999999999</v>
      </c>
      <c r="J2577">
        <v>-487.3691</v>
      </c>
      <c r="K2577">
        <v>1.1128750000000001</v>
      </c>
      <c r="L2577">
        <v>222.50890000000001</v>
      </c>
      <c r="M2577">
        <v>0.70756799999999997</v>
      </c>
      <c r="N2577">
        <v>0</v>
      </c>
      <c r="O2577">
        <v>-0.70658880000000002</v>
      </c>
      <c r="P2577">
        <v>0.86558330000000006</v>
      </c>
      <c r="Q2577">
        <v>3.2673399999999998E-2</v>
      </c>
      <c r="R2577">
        <v>-0.49969829999999998</v>
      </c>
      <c r="S2577">
        <v>2.9661559999999998</v>
      </c>
      <c r="T2577">
        <v>-0.60255729999999996</v>
      </c>
      <c r="U2577">
        <v>-0.9120026</v>
      </c>
      <c r="V2577">
        <v>-0.25834800000000002</v>
      </c>
      <c r="W2577">
        <v>3.9419750000000003E-2</v>
      </c>
      <c r="X2577">
        <v>0.96524730000000003</v>
      </c>
      <c r="Y2577">
        <v>-0.44915880000000002</v>
      </c>
      <c r="Z2577">
        <v>0.16782710000000001</v>
      </c>
      <c r="AA2577">
        <v>0.87754799999999999</v>
      </c>
      <c r="AB2577">
        <v>18</v>
      </c>
      <c r="AC2577">
        <v>5.3421000000000101</v>
      </c>
      <c r="AD2577">
        <v>-1.112872576559</v>
      </c>
      <c r="AE2577">
        <v>-1.5572000000000199</v>
      </c>
      <c r="AF2577">
        <v>-2.5701464797654898</v>
      </c>
      <c r="AG2577">
        <v>-1.112872576559</v>
      </c>
      <c r="AH2577">
        <v>4.6926908410067298</v>
      </c>
      <c r="AI2577">
        <v>101.74983061297699</v>
      </c>
      <c r="AJ2577">
        <v>118.709142154175</v>
      </c>
      <c r="AK2577">
        <v>5.4649323535041603</v>
      </c>
      <c r="AL2577">
        <v>87.740829294116296</v>
      </c>
      <c r="AM2577">
        <v>104.983980304439</v>
      </c>
      <c r="AN2577">
        <v>0.99999997797567597</v>
      </c>
    </row>
    <row r="2578" spans="1:40" x14ac:dyDescent="0.25">
      <c r="A2578" t="str">
        <f>"20190312151319909"</f>
        <v>20190312151319909</v>
      </c>
      <c r="B2578" t="str">
        <f>"1552374799902849"</f>
        <v>1552374799902849</v>
      </c>
      <c r="C2578" t="s">
        <v>40</v>
      </c>
      <c r="D2578">
        <v>4.2737819999999997</v>
      </c>
      <c r="E2578">
        <v>0.41790870000000002</v>
      </c>
      <c r="F2578" t="s">
        <v>53</v>
      </c>
      <c r="G2578">
        <v>-481.91969999999998</v>
      </c>
      <c r="H2578" s="1">
        <v>2.3841499999999999E-6</v>
      </c>
      <c r="I2578">
        <v>220.86009999999999</v>
      </c>
      <c r="J2578">
        <v>-487.22899999999998</v>
      </c>
      <c r="K2578">
        <v>1.1128990000000001</v>
      </c>
      <c r="L2578">
        <v>222.37970000000001</v>
      </c>
      <c r="M2578">
        <v>0.71209669999999903</v>
      </c>
      <c r="N2578">
        <v>0</v>
      </c>
      <c r="O2578">
        <v>-0.70202390000000003</v>
      </c>
      <c r="P2578">
        <v>0.8681198</v>
      </c>
      <c r="Q2578">
        <v>3.2696589999999998E-2</v>
      </c>
      <c r="R2578">
        <v>-0.49527700000000002</v>
      </c>
      <c r="S2578">
        <v>2.9700319999999998</v>
      </c>
      <c r="T2578">
        <v>-0.60653330000000005</v>
      </c>
      <c r="U2578">
        <v>-0.89863590000000004</v>
      </c>
      <c r="V2578">
        <v>-0.2570654</v>
      </c>
      <c r="W2578">
        <v>3.9464060000000002E-2</v>
      </c>
      <c r="X2578">
        <v>0.96558790000000005</v>
      </c>
      <c r="Y2578">
        <v>-0.44723760000000001</v>
      </c>
      <c r="Z2578">
        <v>0.16809789999999999</v>
      </c>
      <c r="AA2578">
        <v>0.8784769</v>
      </c>
      <c r="AB2578">
        <v>18</v>
      </c>
      <c r="AC2578">
        <v>5.3093000000000599</v>
      </c>
      <c r="AD2578">
        <v>-1.11289661585</v>
      </c>
      <c r="AE2578">
        <v>-1.51960000000002</v>
      </c>
      <c r="AF2578">
        <v>-2.5420266631732402</v>
      </c>
      <c r="AG2578">
        <v>-1.11289661585</v>
      </c>
      <c r="AH2578">
        <v>4.6585396896914704</v>
      </c>
      <c r="AI2578">
        <v>101.843581975525</v>
      </c>
      <c r="AJ2578">
        <v>118.61998524492201</v>
      </c>
      <c r="AK2578">
        <v>5.4224008035449396</v>
      </c>
      <c r="AL2578">
        <v>87.738288618620601</v>
      </c>
      <c r="AM2578">
        <v>104.90788658326601</v>
      </c>
      <c r="AN2578">
        <v>1.00000001226762</v>
      </c>
    </row>
    <row r="2579" spans="1:40" x14ac:dyDescent="0.25">
      <c r="A2579" t="str">
        <f>"20190312151319952"</f>
        <v>20190312151319952</v>
      </c>
      <c r="B2579" t="str">
        <f>"1552374799942865"</f>
        <v>1552374799942865</v>
      </c>
      <c r="C2579" t="s">
        <v>40</v>
      </c>
      <c r="D2579">
        <v>4.3349260000000003</v>
      </c>
      <c r="E2579">
        <v>0.4181897</v>
      </c>
      <c r="F2579" t="s">
        <v>53</v>
      </c>
      <c r="G2579">
        <v>-481.80630000000002</v>
      </c>
      <c r="H2579" s="1">
        <v>2.3433780000000001E-6</v>
      </c>
      <c r="I2579">
        <v>220.76669999999999</v>
      </c>
      <c r="J2579">
        <v>-486.96980000000002</v>
      </c>
      <c r="K2579">
        <v>1.1129359999999999</v>
      </c>
      <c r="L2579">
        <v>222.1448</v>
      </c>
      <c r="M2579">
        <v>0.72033179999999997</v>
      </c>
      <c r="N2579">
        <v>0</v>
      </c>
      <c r="O2579">
        <v>-0.69357119999999906</v>
      </c>
      <c r="P2579">
        <v>0.87313459999999998</v>
      </c>
      <c r="Q2579">
        <v>3.2735590000000002E-2</v>
      </c>
      <c r="R2579">
        <v>-0.48637940000000002</v>
      </c>
      <c r="S2579">
        <v>2.97403</v>
      </c>
      <c r="T2579">
        <v>-0.61035629999999996</v>
      </c>
      <c r="U2579">
        <v>-0.88461299999999898</v>
      </c>
      <c r="V2579">
        <v>-0.25554090000000002</v>
      </c>
      <c r="W2579">
        <v>3.953458E-2</v>
      </c>
      <c r="X2579">
        <v>0.9659896</v>
      </c>
      <c r="Y2579">
        <v>-0.44085259999999998</v>
      </c>
      <c r="Z2579">
        <v>0.16736400000000001</v>
      </c>
      <c r="AA2579">
        <v>0.88183799999999901</v>
      </c>
      <c r="AB2579">
        <v>19</v>
      </c>
      <c r="AC2579">
        <v>5.1634999999999902</v>
      </c>
      <c r="AD2579">
        <v>-1.1129336566220001</v>
      </c>
      <c r="AE2579">
        <v>-1.3781000000000101</v>
      </c>
      <c r="AF2579">
        <v>-2.48107210608114</v>
      </c>
      <c r="AG2579">
        <v>-1.1129336566220001</v>
      </c>
      <c r="AH2579">
        <v>4.4810981859195902</v>
      </c>
      <c r="AI2579">
        <v>102.25871272505699</v>
      </c>
      <c r="AJ2579">
        <v>118.972203379414</v>
      </c>
      <c r="AK2579">
        <v>5.2416200808020896</v>
      </c>
      <c r="AL2579">
        <v>87.734244984298499</v>
      </c>
      <c r="AM2579">
        <v>104.817487356425</v>
      </c>
      <c r="AN2579">
        <v>1.0000000209483699</v>
      </c>
    </row>
    <row r="2580" spans="1:40" x14ac:dyDescent="0.25">
      <c r="A2580" t="str">
        <f>"20190312151319973"</f>
        <v>20190312151319973</v>
      </c>
      <c r="B2580" t="str">
        <f>"1552374799962385"</f>
        <v>1552374799962385</v>
      </c>
      <c r="C2580" t="s">
        <v>40</v>
      </c>
      <c r="D2580">
        <v>4.3627330000000004</v>
      </c>
      <c r="E2580">
        <v>0.4408012</v>
      </c>
      <c r="F2580" t="s">
        <v>53</v>
      </c>
      <c r="G2580">
        <v>-481.5754</v>
      </c>
      <c r="H2580" s="1">
        <v>2.263997E-6</v>
      </c>
      <c r="I2580">
        <v>220.59280000000001</v>
      </c>
      <c r="J2580">
        <v>-486.83580000000001</v>
      </c>
      <c r="K2580">
        <v>1.1129610000000001</v>
      </c>
      <c r="L2580">
        <v>222.0256</v>
      </c>
      <c r="M2580">
        <v>0.72451540000000003</v>
      </c>
      <c r="N2580">
        <v>0</v>
      </c>
      <c r="O2580">
        <v>-0.68919940000000002</v>
      </c>
      <c r="P2580">
        <v>0.8753436</v>
      </c>
      <c r="Q2580">
        <v>3.2629289999999998E-2</v>
      </c>
      <c r="R2580">
        <v>-0.48239969999999999</v>
      </c>
      <c r="S2580">
        <v>2.9811399999999999</v>
      </c>
      <c r="T2580">
        <v>-0.61505699999999996</v>
      </c>
      <c r="U2580">
        <v>-0.85769649999999997</v>
      </c>
      <c r="V2580">
        <v>-0.25409549999999997</v>
      </c>
      <c r="W2580">
        <v>3.9454540000000003E-2</v>
      </c>
      <c r="X2580">
        <v>0.96637399999999996</v>
      </c>
      <c r="Y2580">
        <v>-0.44310450000000001</v>
      </c>
      <c r="Z2580">
        <v>0.1681986</v>
      </c>
      <c r="AA2580">
        <v>0.88054959999999904</v>
      </c>
      <c r="AB2580">
        <v>19</v>
      </c>
      <c r="AC2580">
        <v>5.2603999999999997</v>
      </c>
      <c r="AD2580">
        <v>-1.112958736003</v>
      </c>
      <c r="AE2580">
        <v>-1.4327999999999801</v>
      </c>
      <c r="AF2580">
        <v>-2.48397328920385</v>
      </c>
      <c r="AG2580">
        <v>-1.112958736003</v>
      </c>
      <c r="AH2580">
        <v>4.6069428322195796</v>
      </c>
      <c r="AI2580">
        <v>102.004735300473</v>
      </c>
      <c r="AJ2580">
        <v>118.33267622119</v>
      </c>
      <c r="AK2580">
        <v>5.3509553080607004</v>
      </c>
      <c r="AL2580">
        <v>87.738834349345197</v>
      </c>
      <c r="AM2580">
        <v>104.731726652674</v>
      </c>
      <c r="AN2580">
        <v>0.99999994586142904</v>
      </c>
    </row>
    <row r="2581" spans="1:40" x14ac:dyDescent="0.25">
      <c r="A2581" t="str">
        <f>"20190312151319997"</f>
        <v>20190312151319997</v>
      </c>
      <c r="B2581" t="str">
        <f>"1552374799992641"</f>
        <v>1552374799992641</v>
      </c>
      <c r="C2581" t="s">
        <v>40</v>
      </c>
      <c r="D2581">
        <v>4.4288499999999997</v>
      </c>
      <c r="E2581">
        <v>0.44248599999999999</v>
      </c>
      <c r="F2581" t="s">
        <v>53</v>
      </c>
      <c r="G2581">
        <v>-477.97269999999997</v>
      </c>
      <c r="H2581" s="1">
        <v>2.6105759999999998E-6</v>
      </c>
      <c r="I2581">
        <v>218.91030000000001</v>
      </c>
      <c r="J2581">
        <v>-486.68599999999998</v>
      </c>
      <c r="K2581">
        <v>1.112981</v>
      </c>
      <c r="L2581">
        <v>221.89400000000001</v>
      </c>
      <c r="M2581">
        <v>0.72913050000000001</v>
      </c>
      <c r="N2581">
        <v>0</v>
      </c>
      <c r="O2581">
        <v>-0.68431450000000005</v>
      </c>
      <c r="P2581">
        <v>0.87805829999999996</v>
      </c>
      <c r="Q2581">
        <v>3.2299580000000001E-2</v>
      </c>
      <c r="R2581">
        <v>-0.47746260000000001</v>
      </c>
      <c r="S2581">
        <v>2.8823850000000002</v>
      </c>
      <c r="T2581">
        <v>-0.36194929999999997</v>
      </c>
      <c r="U2581">
        <v>-1.013123</v>
      </c>
      <c r="V2581">
        <v>-0.25305100000000003</v>
      </c>
      <c r="W2581">
        <v>3.915341E-2</v>
      </c>
      <c r="X2581">
        <v>0.96666030000000003</v>
      </c>
      <c r="Y2581">
        <v>-0.39740959999999997</v>
      </c>
      <c r="Z2581">
        <v>9.8535079999999997E-2</v>
      </c>
      <c r="AA2581">
        <v>0.91233569999999997</v>
      </c>
      <c r="AB2581">
        <v>19</v>
      </c>
      <c r="AC2581">
        <v>8.7133000000000003</v>
      </c>
      <c r="AD2581">
        <v>-1.112978389424</v>
      </c>
      <c r="AE2581">
        <v>-2.98369999999999</v>
      </c>
      <c r="AF2581">
        <v>-3.7327755927659001</v>
      </c>
      <c r="AG2581">
        <v>-1.112978389424</v>
      </c>
      <c r="AH2581">
        <v>8.27443279656028</v>
      </c>
      <c r="AI2581">
        <v>96.990108873505406</v>
      </c>
      <c r="AJ2581">
        <v>114.281165326994</v>
      </c>
      <c r="AK2581">
        <v>9.1454126547721195</v>
      </c>
      <c r="AL2581">
        <v>87.756101217633102</v>
      </c>
      <c r="AM2581">
        <v>104.669629499885</v>
      </c>
      <c r="AN2581">
        <v>0.99999996685585801</v>
      </c>
    </row>
    <row r="2582" spans="1:40" x14ac:dyDescent="0.25">
      <c r="A2582" t="str">
        <f>"20190312151320041"</f>
        <v>20190312151320041</v>
      </c>
      <c r="B2582" t="str">
        <f>"1552374800032657"</f>
        <v>1552374800032657</v>
      </c>
      <c r="C2582" t="s">
        <v>40</v>
      </c>
      <c r="D2582">
        <v>4.3646289999999999</v>
      </c>
      <c r="E2582">
        <v>0.44448589999999999</v>
      </c>
      <c r="F2582" t="s">
        <v>53</v>
      </c>
      <c r="G2582">
        <v>-477.14879999999999</v>
      </c>
      <c r="H2582" s="1">
        <v>2.9601939999999999E-6</v>
      </c>
      <c r="I2582">
        <v>218.5498</v>
      </c>
      <c r="J2582">
        <v>-486.41489999999999</v>
      </c>
      <c r="K2582">
        <v>1.1130089999999999</v>
      </c>
      <c r="L2582">
        <v>221.6602</v>
      </c>
      <c r="M2582">
        <v>0.73733369999999998</v>
      </c>
      <c r="N2582">
        <v>0</v>
      </c>
      <c r="O2582">
        <v>-0.67546700000000004</v>
      </c>
      <c r="P2582">
        <v>0.88298169999999898</v>
      </c>
      <c r="Q2582">
        <v>3.1163420000000001E-2</v>
      </c>
      <c r="R2582">
        <v>-0.4683718</v>
      </c>
      <c r="S2582">
        <v>2.879883</v>
      </c>
      <c r="T2582">
        <v>-0.3360764</v>
      </c>
      <c r="U2582">
        <v>-1.0098419999999999</v>
      </c>
      <c r="V2582">
        <v>-0.25138880000000002</v>
      </c>
      <c r="W2582">
        <v>3.806988E-2</v>
      </c>
      <c r="X2582">
        <v>0.96713720000000003</v>
      </c>
      <c r="Y2582">
        <v>-0.38796520000000001</v>
      </c>
      <c r="Z2582">
        <v>9.043466E-2</v>
      </c>
      <c r="AA2582">
        <v>0.9172266</v>
      </c>
      <c r="AB2582">
        <v>19</v>
      </c>
      <c r="AC2582">
        <v>9.2660999999999891</v>
      </c>
      <c r="AD2582">
        <v>-1.113006039806</v>
      </c>
      <c r="AE2582">
        <v>-3.1103999999999901</v>
      </c>
      <c r="AF2582">
        <v>-3.9149431486485602</v>
      </c>
      <c r="AG2582">
        <v>-1.113006039806</v>
      </c>
      <c r="AH2582">
        <v>8.8191962095232004</v>
      </c>
      <c r="AI2582">
        <v>96.579888514183395</v>
      </c>
      <c r="AJ2582">
        <v>113.93698812159001</v>
      </c>
      <c r="AK2582">
        <v>9.7130728445669199</v>
      </c>
      <c r="AL2582">
        <v>87.818229329315102</v>
      </c>
      <c r="AM2582">
        <v>104.570505312115</v>
      </c>
      <c r="AN2582">
        <v>1.00000000407624</v>
      </c>
    </row>
    <row r="2583" spans="1:40" x14ac:dyDescent="0.25">
      <c r="A2583" t="str">
        <f>"20190312151320062"</f>
        <v>20190312151320062</v>
      </c>
      <c r="B2583" t="str">
        <f>"1552374800053153"</f>
        <v>1552374800053153</v>
      </c>
      <c r="C2583" t="s">
        <v>40</v>
      </c>
      <c r="D2583">
        <v>4.4402559999999998</v>
      </c>
      <c r="E2583">
        <v>0.4450443</v>
      </c>
      <c r="F2583" t="s">
        <v>53</v>
      </c>
      <c r="G2583">
        <v>-476.03289999999998</v>
      </c>
      <c r="H2583" s="1">
        <v>3.43415E-6</v>
      </c>
      <c r="I2583">
        <v>218.07149999999999</v>
      </c>
      <c r="J2583">
        <v>-486.27629999999999</v>
      </c>
      <c r="K2583">
        <v>1.1130260000000001</v>
      </c>
      <c r="L2583">
        <v>221.5428</v>
      </c>
      <c r="M2583">
        <v>0.74145319999999904</v>
      </c>
      <c r="N2583">
        <v>0</v>
      </c>
      <c r="O2583">
        <v>-0.67094209999999999</v>
      </c>
      <c r="P2583">
        <v>0.88541000000000003</v>
      </c>
      <c r="Q2583">
        <v>3.0416990000000001E-2</v>
      </c>
      <c r="R2583">
        <v>-0.46381470000000002</v>
      </c>
      <c r="S2583">
        <v>2.880341</v>
      </c>
      <c r="T2583">
        <v>-0.30878630000000001</v>
      </c>
      <c r="U2583">
        <v>-0.99563599999999997</v>
      </c>
      <c r="V2583">
        <v>-0.25046800000000002</v>
      </c>
      <c r="W2583">
        <v>3.7355140000000002E-2</v>
      </c>
      <c r="X2583">
        <v>0.96740389999999998</v>
      </c>
      <c r="Y2583">
        <v>-0.38727519999999999</v>
      </c>
      <c r="Z2583">
        <v>8.2854570000000002E-2</v>
      </c>
      <c r="AA2583">
        <v>0.91823370000000004</v>
      </c>
      <c r="AB2583">
        <v>19</v>
      </c>
      <c r="AC2583">
        <v>10.243399999999999</v>
      </c>
      <c r="AD2583">
        <v>-1.1130225658499999</v>
      </c>
      <c r="AE2583">
        <v>-3.47130000000001</v>
      </c>
      <c r="AF2583">
        <v>-4.2540505353699203</v>
      </c>
      <c r="AG2583">
        <v>-1.1130225658499999</v>
      </c>
      <c r="AH2583">
        <v>9.8204578616829608</v>
      </c>
      <c r="AI2583">
        <v>95.937350818083601</v>
      </c>
      <c r="AJ2583">
        <v>113.42141677548901</v>
      </c>
      <c r="AK2583">
        <v>10.7599794517769</v>
      </c>
      <c r="AL2583">
        <v>87.859209985569507</v>
      </c>
      <c r="AM2583">
        <v>104.515561554412</v>
      </c>
      <c r="AN2583">
        <v>0.99999996562181404</v>
      </c>
    </row>
    <row r="2584" spans="1:40" x14ac:dyDescent="0.25">
      <c r="A2584" t="str">
        <f>"20190312151320087"</f>
        <v>20190312151320087</v>
      </c>
      <c r="B2584" t="str">
        <f>"1552374800082433"</f>
        <v>1552374800082433</v>
      </c>
      <c r="C2584" t="s">
        <v>40</v>
      </c>
      <c r="D2584">
        <v>4.3414950000000001</v>
      </c>
      <c r="E2584">
        <v>0.4457565</v>
      </c>
      <c r="F2584" t="s">
        <v>53</v>
      </c>
      <c r="G2584">
        <v>-475.51010000000002</v>
      </c>
      <c r="H2584" s="1">
        <v>3.6569800000000002E-6</v>
      </c>
      <c r="I2584">
        <v>217.86539999999999</v>
      </c>
      <c r="J2584">
        <v>-486.12189999999998</v>
      </c>
      <c r="K2584">
        <v>1.1130549999999999</v>
      </c>
      <c r="L2584">
        <v>221.41380000000001</v>
      </c>
      <c r="M2584">
        <v>0.74598350000000002</v>
      </c>
      <c r="N2584">
        <v>0</v>
      </c>
      <c r="O2584">
        <v>-0.66590090000000002</v>
      </c>
      <c r="P2584">
        <v>0.8881812</v>
      </c>
      <c r="Q2584">
        <v>3.038018E-2</v>
      </c>
      <c r="R2584">
        <v>-0.45848870000000003</v>
      </c>
      <c r="S2584">
        <v>2.88266</v>
      </c>
      <c r="T2584">
        <v>-0.29801129999999998</v>
      </c>
      <c r="U2584">
        <v>-0.98464969999999996</v>
      </c>
      <c r="V2584">
        <v>-0.24972349999999999</v>
      </c>
      <c r="W2584">
        <v>3.7351809999999999E-2</v>
      </c>
      <c r="X2584">
        <v>0.96759649999999997</v>
      </c>
      <c r="Y2584">
        <v>-0.38473279999999999</v>
      </c>
      <c r="Z2584">
        <v>7.9510990000000004E-2</v>
      </c>
      <c r="AA2584">
        <v>0.919597</v>
      </c>
      <c r="AB2584">
        <v>19</v>
      </c>
      <c r="AC2584">
        <v>10.611799999999899</v>
      </c>
      <c r="AD2584">
        <v>-1.11305134302</v>
      </c>
      <c r="AE2584">
        <v>-3.5484000000000102</v>
      </c>
      <c r="AF2584">
        <v>-4.3762428419872004</v>
      </c>
      <c r="AG2584">
        <v>-1.11305134302</v>
      </c>
      <c r="AH2584">
        <v>10.1788246481667</v>
      </c>
      <c r="AI2584">
        <v>95.736603509550605</v>
      </c>
      <c r="AJ2584">
        <v>113.26460853943399</v>
      </c>
      <c r="AK2584">
        <v>11.1354773549395</v>
      </c>
      <c r="AL2584">
        <v>87.859400956311703</v>
      </c>
      <c r="AM2584">
        <v>104.471469805708</v>
      </c>
      <c r="AN2584">
        <v>0.999999985487387</v>
      </c>
    </row>
    <row r="2585" spans="1:40" x14ac:dyDescent="0.25">
      <c r="A2585" t="str">
        <f>"20190312151320110"</f>
        <v>20190312151320110</v>
      </c>
      <c r="B2585" t="str">
        <f>"1552374800102929"</f>
        <v>1552374800102929</v>
      </c>
      <c r="C2585" t="s">
        <v>40</v>
      </c>
      <c r="D2585">
        <v>4.3151570000000001</v>
      </c>
      <c r="E2585">
        <v>0.446102</v>
      </c>
      <c r="F2585" t="s">
        <v>53</v>
      </c>
      <c r="G2585">
        <v>-474.67169999999999</v>
      </c>
      <c r="H2585" s="1">
        <v>4.0151319999999999E-6</v>
      </c>
      <c r="I2585">
        <v>217.55359999999999</v>
      </c>
      <c r="J2585">
        <v>-485.96730000000002</v>
      </c>
      <c r="K2585">
        <v>1.1130770000000001</v>
      </c>
      <c r="L2585">
        <v>221.28649999999999</v>
      </c>
      <c r="M2585">
        <v>0.75046250000000003</v>
      </c>
      <c r="N2585">
        <v>0</v>
      </c>
      <c r="O2585">
        <v>-0.6608484</v>
      </c>
      <c r="P2585">
        <v>0.89096649999999999</v>
      </c>
      <c r="Q2585">
        <v>3.085568E-2</v>
      </c>
      <c r="R2585">
        <v>-0.45301960000000002</v>
      </c>
      <c r="S2585">
        <v>2.8852229999999999</v>
      </c>
      <c r="T2585">
        <v>-0.28046729999999997</v>
      </c>
      <c r="U2585">
        <v>-0.97268679999999996</v>
      </c>
      <c r="V2585">
        <v>-0.24913360000000001</v>
      </c>
      <c r="W2585">
        <v>3.7861180000000001E-2</v>
      </c>
      <c r="X2585">
        <v>0.96772879999999994</v>
      </c>
      <c r="Y2585">
        <v>-0.38268760000000002</v>
      </c>
      <c r="Z2585">
        <v>7.4430010000000005E-2</v>
      </c>
      <c r="AA2585">
        <v>0.92087479999999999</v>
      </c>
      <c r="AB2585">
        <v>19</v>
      </c>
      <c r="AC2585">
        <v>11.2956</v>
      </c>
      <c r="AD2585">
        <v>-1.1130729848680001</v>
      </c>
      <c r="AE2585">
        <v>-3.7328999999999999</v>
      </c>
      <c r="AF2585">
        <v>-4.6230064516471696</v>
      </c>
      <c r="AG2585">
        <v>-1.1130729848680001</v>
      </c>
      <c r="AH2585">
        <v>10.849296376588899</v>
      </c>
      <c r="AI2585">
        <v>95.391755770331201</v>
      </c>
      <c r="AJ2585">
        <v>113.07939590968201</v>
      </c>
      <c r="AK2585">
        <v>11.8456047540292</v>
      </c>
      <c r="AL2585">
        <v>87.830195630919604</v>
      </c>
      <c r="AM2585">
        <v>104.436824260771</v>
      </c>
      <c r="AN2585">
        <v>1.0000000249746901</v>
      </c>
    </row>
    <row r="2586" spans="1:40" x14ac:dyDescent="0.25">
      <c r="A2586" t="str">
        <f>"20190312151320153"</f>
        <v>20190312151320153</v>
      </c>
      <c r="B2586" t="str">
        <f>"1552374800143112"</f>
        <v>1552374800143112</v>
      </c>
      <c r="C2586" t="s">
        <v>40</v>
      </c>
      <c r="D2586">
        <v>4.2355210000000003</v>
      </c>
      <c r="E2586">
        <v>0.4467757</v>
      </c>
      <c r="F2586" t="s">
        <v>53</v>
      </c>
      <c r="G2586">
        <v>-474.03460000000001</v>
      </c>
      <c r="H2586" s="1">
        <v>4.2879239999999999E-6</v>
      </c>
      <c r="I2586">
        <v>217.33109999999999</v>
      </c>
      <c r="J2586">
        <v>-485.6902</v>
      </c>
      <c r="K2586">
        <v>1.113137</v>
      </c>
      <c r="L2586">
        <v>221.0625</v>
      </c>
      <c r="M2586">
        <v>0.75836999999999999</v>
      </c>
      <c r="N2586">
        <v>0</v>
      </c>
      <c r="O2586">
        <v>-0.65175760000000005</v>
      </c>
      <c r="P2586">
        <v>0.89539409999999897</v>
      </c>
      <c r="Q2586">
        <v>3.025011E-2</v>
      </c>
      <c r="R2586">
        <v>-0.44424649999999999</v>
      </c>
      <c r="S2586">
        <v>2.8894959999999998</v>
      </c>
      <c r="T2586">
        <v>-0.26952910000000002</v>
      </c>
      <c r="U2586">
        <v>-0.95780940000000003</v>
      </c>
      <c r="V2586">
        <v>-0.2469913</v>
      </c>
      <c r="W2586">
        <v>3.7327979999999997E-2</v>
      </c>
      <c r="X2586">
        <v>0.96829849999999995</v>
      </c>
      <c r="Y2586">
        <v>-0.37657249999999998</v>
      </c>
      <c r="Z2586">
        <v>7.0664370000000004E-2</v>
      </c>
      <c r="AA2586">
        <v>0.92368810000000001</v>
      </c>
      <c r="AB2586">
        <v>19</v>
      </c>
      <c r="AC2586">
        <v>11.6555999999999</v>
      </c>
      <c r="AD2586">
        <v>-1.113132712076</v>
      </c>
      <c r="AE2586">
        <v>-3.7313999999999998</v>
      </c>
      <c r="AF2586">
        <v>-4.7279382569871</v>
      </c>
      <c r="AG2586">
        <v>-1.113132712076</v>
      </c>
      <c r="AH2586">
        <v>11.1792327118114</v>
      </c>
      <c r="AI2586">
        <v>95.239778085476004</v>
      </c>
      <c r="AJ2586">
        <v>112.924548588251</v>
      </c>
      <c r="AK2586">
        <v>12.1888354087423</v>
      </c>
      <c r="AL2586">
        <v>87.860767368710896</v>
      </c>
      <c r="AM2586">
        <v>104.309728825311</v>
      </c>
      <c r="AN2586">
        <v>1.0000000327344001</v>
      </c>
    </row>
    <row r="2587" spans="1:40" x14ac:dyDescent="0.25">
      <c r="A2587" t="str">
        <f>"20190312151320175"</f>
        <v>20190312151320175</v>
      </c>
      <c r="B2587" t="str">
        <f>"1552374800162631"</f>
        <v>1552374800162631</v>
      </c>
      <c r="C2587" t="s">
        <v>40</v>
      </c>
      <c r="D2587">
        <v>4.3946909999999999</v>
      </c>
      <c r="E2587">
        <v>0.44718839999999999</v>
      </c>
      <c r="F2587" t="s">
        <v>53</v>
      </c>
      <c r="G2587">
        <v>-473.72969999999998</v>
      </c>
      <c r="H2587" s="1">
        <v>4.4177250000000001E-6</v>
      </c>
      <c r="I2587">
        <v>217.20740000000001</v>
      </c>
      <c r="J2587">
        <v>-485.54520000000002</v>
      </c>
      <c r="K2587">
        <v>1.113164</v>
      </c>
      <c r="L2587">
        <v>220.94759999999999</v>
      </c>
      <c r="M2587">
        <v>0.76244899999999904</v>
      </c>
      <c r="N2587">
        <v>0</v>
      </c>
      <c r="O2587">
        <v>-0.64698059999999902</v>
      </c>
      <c r="P2587">
        <v>0.89746429999999999</v>
      </c>
      <c r="Q2587">
        <v>3.0046340000000001E-2</v>
      </c>
      <c r="R2587">
        <v>-0.44006309999999899</v>
      </c>
      <c r="S2587">
        <v>2.896423</v>
      </c>
      <c r="T2587">
        <v>-0.26956340000000001</v>
      </c>
      <c r="U2587">
        <v>-0.93359380000000003</v>
      </c>
      <c r="V2587">
        <v>-0.24543229999999999</v>
      </c>
      <c r="W2587">
        <v>3.7162639999999997E-2</v>
      </c>
      <c r="X2587">
        <v>0.96870109999999998</v>
      </c>
      <c r="Y2587">
        <v>-0.3784035</v>
      </c>
      <c r="Z2587">
        <v>7.0413690000000001E-2</v>
      </c>
      <c r="AA2587">
        <v>0.92295870000000002</v>
      </c>
      <c r="AB2587">
        <v>19</v>
      </c>
      <c r="AC2587">
        <v>11.8155</v>
      </c>
      <c r="AD2587">
        <v>-1.113159582275</v>
      </c>
      <c r="AE2587">
        <v>-3.7401999999999802</v>
      </c>
      <c r="AF2587">
        <v>-4.7545404091603602</v>
      </c>
      <c r="AG2587">
        <v>-1.113159582275</v>
      </c>
      <c r="AH2587">
        <v>11.3375880902865</v>
      </c>
      <c r="AI2587">
        <v>95.173665184536901</v>
      </c>
      <c r="AJ2587">
        <v>112.751268525135</v>
      </c>
      <c r="AK2587">
        <v>12.3444595856989</v>
      </c>
      <c r="AL2587">
        <v>87.870247050516298</v>
      </c>
      <c r="AM2587">
        <v>104.21741088905399</v>
      </c>
      <c r="AN2587">
        <v>0.999999948418133</v>
      </c>
    </row>
    <row r="2588" spans="1:40" x14ac:dyDescent="0.25">
      <c r="A2588" t="str">
        <f>"20190312151320197"</f>
        <v>20190312151320197</v>
      </c>
      <c r="B2588" t="str">
        <f>"1552374800192887"</f>
        <v>1552374800192887</v>
      </c>
      <c r="C2588" t="s">
        <v>40</v>
      </c>
      <c r="D2588">
        <v>4.208475</v>
      </c>
      <c r="E2588">
        <v>0.44745249999999998</v>
      </c>
      <c r="F2588" t="s">
        <v>53</v>
      </c>
      <c r="G2588">
        <v>-473.46969999999999</v>
      </c>
      <c r="H2588" s="1">
        <v>4.5284139999999997E-6</v>
      </c>
      <c r="I2588">
        <v>217.10149999999999</v>
      </c>
      <c r="J2588">
        <v>-485.3904</v>
      </c>
      <c r="K2588">
        <v>1.113202</v>
      </c>
      <c r="L2588">
        <v>220.82650000000001</v>
      </c>
      <c r="M2588">
        <v>0.766764</v>
      </c>
      <c r="N2588">
        <v>0</v>
      </c>
      <c r="O2588">
        <v>-0.64186019999999999</v>
      </c>
      <c r="P2588">
        <v>0.89979089999999995</v>
      </c>
      <c r="Q2588">
        <v>3.0080550000000001E-2</v>
      </c>
      <c r="R2588">
        <v>-0.43528329999999998</v>
      </c>
      <c r="S2588">
        <v>2.898987</v>
      </c>
      <c r="T2588">
        <v>-0.26723720000000001</v>
      </c>
      <c r="U2588">
        <v>-0.92333980000000004</v>
      </c>
      <c r="V2588">
        <v>-0.24409980000000001</v>
      </c>
      <c r="W2588">
        <v>3.7232199999999903E-2</v>
      </c>
      <c r="X2588">
        <v>0.96903510000000004</v>
      </c>
      <c r="Y2588">
        <v>-0.37549129999999997</v>
      </c>
      <c r="Z2588">
        <v>6.9341230000000004E-2</v>
      </c>
      <c r="AA2588">
        <v>0.92422839999999995</v>
      </c>
      <c r="AB2588">
        <v>19</v>
      </c>
      <c r="AC2588">
        <v>11.9207</v>
      </c>
      <c r="AD2588">
        <v>-1.113197471586</v>
      </c>
      <c r="AE2588">
        <v>-3.7250000000000201</v>
      </c>
      <c r="AF2588">
        <v>-4.7576409060742604</v>
      </c>
      <c r="AG2588">
        <v>-1.113197471586</v>
      </c>
      <c r="AH2588">
        <v>11.440907962913499</v>
      </c>
      <c r="AI2588">
        <v>95.1337474111304</v>
      </c>
      <c r="AJ2588">
        <v>112.57972462555701</v>
      </c>
      <c r="AK2588">
        <v>12.4406081289362</v>
      </c>
      <c r="AL2588">
        <v>87.866258878239194</v>
      </c>
      <c r="AM2588">
        <v>104.13864803177501</v>
      </c>
      <c r="AN2588">
        <v>0.99999998705444504</v>
      </c>
    </row>
    <row r="2589" spans="1:40" x14ac:dyDescent="0.25">
      <c r="A2589" t="str">
        <f>"20190312151320220"</f>
        <v>20190312151320220</v>
      </c>
      <c r="B2589" t="str">
        <f>"1552374800212408"</f>
        <v>1552374800212408</v>
      </c>
      <c r="C2589" t="s">
        <v>40</v>
      </c>
      <c r="D2589">
        <v>4.1970859999999997</v>
      </c>
      <c r="E2589">
        <v>0.44764130000000002</v>
      </c>
      <c r="F2589" t="s">
        <v>53</v>
      </c>
      <c r="G2589">
        <v>-473.34820000000002</v>
      </c>
      <c r="H2589" s="1">
        <v>4.5801380000000002E-6</v>
      </c>
      <c r="I2589">
        <v>217.0522</v>
      </c>
      <c r="J2589">
        <v>-485.24239999999998</v>
      </c>
      <c r="K2589">
        <v>1.1132439999999999</v>
      </c>
      <c r="L2589">
        <v>220.7123</v>
      </c>
      <c r="M2589">
        <v>0.77085780000000004</v>
      </c>
      <c r="N2589">
        <v>0</v>
      </c>
      <c r="O2589">
        <v>-0.63693710000000003</v>
      </c>
      <c r="P2589">
        <v>0.90201730000000002</v>
      </c>
      <c r="Q2589">
        <v>3.0425890000000001E-2</v>
      </c>
      <c r="R2589">
        <v>-0.43062709999999998</v>
      </c>
      <c r="S2589">
        <v>2.9029240000000001</v>
      </c>
      <c r="T2589">
        <v>-0.2683489</v>
      </c>
      <c r="U2589">
        <v>-0.90985110000000002</v>
      </c>
      <c r="V2589">
        <v>-0.2429017</v>
      </c>
      <c r="W2589">
        <v>3.7611029999999997E-2</v>
      </c>
      <c r="X2589">
        <v>0.96932149999999995</v>
      </c>
      <c r="Y2589">
        <v>-0.37382110000000002</v>
      </c>
      <c r="Z2589">
        <v>6.9209699999999999E-2</v>
      </c>
      <c r="AA2589">
        <v>0.92491500000000004</v>
      </c>
      <c r="AB2589">
        <v>19</v>
      </c>
      <c r="AC2589">
        <v>11.8941999999999</v>
      </c>
      <c r="AD2589">
        <v>-1.1132394198619999</v>
      </c>
      <c r="AE2589">
        <v>-3.6600999999999999</v>
      </c>
      <c r="AF2589">
        <v>-4.7169070370213602</v>
      </c>
      <c r="AG2589">
        <v>-1.1132394198619999</v>
      </c>
      <c r="AH2589">
        <v>11.4092044912961</v>
      </c>
      <c r="AI2589">
        <v>95.152505798728797</v>
      </c>
      <c r="AJ2589">
        <v>112.461667651864</v>
      </c>
      <c r="AK2589">
        <v>12.3959050144008</v>
      </c>
      <c r="AL2589">
        <v>87.844538327238098</v>
      </c>
      <c r="AM2589">
        <v>104.06802309570701</v>
      </c>
      <c r="AN2589">
        <v>0.99999999790140004</v>
      </c>
    </row>
    <row r="2590" spans="1:40" x14ac:dyDescent="0.25">
      <c r="A2590" t="str">
        <f>"20190312151320243"</f>
        <v>20190312151320243</v>
      </c>
      <c r="B2590" t="str">
        <f>"1552374800232904"</f>
        <v>1552374800232904</v>
      </c>
      <c r="C2590" t="s">
        <v>40</v>
      </c>
      <c r="D2590">
        <v>4.2041309999999896</v>
      </c>
      <c r="E2590">
        <v>0.44780589999999998</v>
      </c>
      <c r="F2590" t="s">
        <v>53</v>
      </c>
      <c r="G2590">
        <v>-473.21210000000002</v>
      </c>
      <c r="H2590" s="1">
        <v>4.6383089999999997E-6</v>
      </c>
      <c r="I2590">
        <v>217.00239999999999</v>
      </c>
      <c r="J2590">
        <v>-485.08479999999997</v>
      </c>
      <c r="K2590">
        <v>1.113283</v>
      </c>
      <c r="L2590">
        <v>220.59229999999999</v>
      </c>
      <c r="M2590">
        <v>0.77518409999999904</v>
      </c>
      <c r="N2590">
        <v>0</v>
      </c>
      <c r="O2590">
        <v>-0.63166420000000001</v>
      </c>
      <c r="P2590">
        <v>0.90435030000000005</v>
      </c>
      <c r="Q2590">
        <v>2.9933049999999999E-2</v>
      </c>
      <c r="R2590">
        <v>-0.42574050000000002</v>
      </c>
      <c r="S2590">
        <v>2.9069210000000001</v>
      </c>
      <c r="T2590">
        <v>-0.268995599999999</v>
      </c>
      <c r="U2590">
        <v>-0.89642330000000003</v>
      </c>
      <c r="V2590">
        <v>-0.24154429999999999</v>
      </c>
      <c r="W2590">
        <v>3.7155479999999998E-2</v>
      </c>
      <c r="X2590">
        <v>0.96967820000000005</v>
      </c>
      <c r="Y2590">
        <v>-0.37176550000000003</v>
      </c>
      <c r="Z2590">
        <v>6.8910570000000004E-2</v>
      </c>
      <c r="AA2590">
        <v>0.92576550000000002</v>
      </c>
      <c r="AB2590">
        <v>19</v>
      </c>
      <c r="AC2590">
        <v>11.872699999999901</v>
      </c>
      <c r="AD2590">
        <v>-1.113278361691</v>
      </c>
      <c r="AE2590">
        <v>-3.5899000000000001</v>
      </c>
      <c r="AF2590">
        <v>-4.6792427379386696</v>
      </c>
      <c r="AG2590">
        <v>-1.113278361691</v>
      </c>
      <c r="AH2590">
        <v>11.379979435996299</v>
      </c>
      <c r="AI2590">
        <v>95.169917958836905</v>
      </c>
      <c r="AJ2590">
        <v>112.351582820608</v>
      </c>
      <c r="AK2590">
        <v>12.354700857360299</v>
      </c>
      <c r="AL2590">
        <v>87.8706576711932</v>
      </c>
      <c r="AM2590">
        <v>103.987559011852</v>
      </c>
      <c r="AN2590">
        <v>0.99999999505588</v>
      </c>
    </row>
    <row r="2591" spans="1:40" x14ac:dyDescent="0.25">
      <c r="A2591" t="str">
        <f>"20190312151320265"</f>
        <v>20190312151320265</v>
      </c>
      <c r="B2591" t="str">
        <f>"1552374800252424"</f>
        <v>1552374800252424</v>
      </c>
      <c r="C2591" t="s">
        <v>40</v>
      </c>
      <c r="D2591">
        <v>4.2045899999999996</v>
      </c>
      <c r="E2591">
        <v>0.44797749999999997</v>
      </c>
      <c r="F2591" t="s">
        <v>53</v>
      </c>
      <c r="G2591">
        <v>-473.19580000000002</v>
      </c>
      <c r="H2591" s="1">
        <v>4.6450649999999999E-6</v>
      </c>
      <c r="I2591">
        <v>216.9915</v>
      </c>
      <c r="J2591">
        <v>-484.93770000000001</v>
      </c>
      <c r="K2591">
        <v>1.1133249999999999</v>
      </c>
      <c r="L2591">
        <v>220.4819</v>
      </c>
      <c r="M2591">
        <v>0.77918769999999904</v>
      </c>
      <c r="N2591">
        <v>0</v>
      </c>
      <c r="O2591">
        <v>-0.626718</v>
      </c>
      <c r="P2591">
        <v>0.90669520000000003</v>
      </c>
      <c r="Q2591">
        <v>2.9465729999999999E-2</v>
      </c>
      <c r="R2591">
        <v>-0.42075620000000002</v>
      </c>
      <c r="S2591">
        <v>2.9112239999999998</v>
      </c>
      <c r="T2591">
        <v>-0.2726054</v>
      </c>
      <c r="U2591">
        <v>-0.88171390000000005</v>
      </c>
      <c r="V2591">
        <v>-0.24071960000000001</v>
      </c>
      <c r="W2591">
        <v>3.6716609999999997E-2</v>
      </c>
      <c r="X2591">
        <v>0.96989999999999998</v>
      </c>
      <c r="Y2591">
        <v>-0.37045450000000002</v>
      </c>
      <c r="Z2591">
        <v>6.9411650000000005E-2</v>
      </c>
      <c r="AA2591">
        <v>0.92625349999999995</v>
      </c>
      <c r="AB2591">
        <v>19</v>
      </c>
      <c r="AC2591">
        <v>11.7418999999999</v>
      </c>
      <c r="AD2591">
        <v>-1.1133203549349999</v>
      </c>
      <c r="AE2591">
        <v>-3.49039999999999</v>
      </c>
      <c r="AF2591">
        <v>-4.60138633144396</v>
      </c>
      <c r="AG2591">
        <v>-1.1133203549349999</v>
      </c>
      <c r="AH2591">
        <v>11.2442770949693</v>
      </c>
      <c r="AI2591">
        <v>95.235748617583894</v>
      </c>
      <c r="AJ2591">
        <v>112.255373593904</v>
      </c>
      <c r="AK2591">
        <v>12.200246135728699</v>
      </c>
      <c r="AL2591">
        <v>87.895820298482505</v>
      </c>
      <c r="AM2591">
        <v>103.93860355281301</v>
      </c>
      <c r="AN2591">
        <v>1.00000002263702</v>
      </c>
    </row>
    <row r="2592" spans="1:40" x14ac:dyDescent="0.25">
      <c r="A2592" t="str">
        <f>"20190312151320311"</f>
        <v>20190312151320311</v>
      </c>
      <c r="B2592" t="str">
        <f>"1552374800302200"</f>
        <v>1552374800302200</v>
      </c>
      <c r="C2592" t="s">
        <v>40</v>
      </c>
      <c r="D2592">
        <v>4.5920420000000002</v>
      </c>
      <c r="E2592">
        <v>0.47106730000000002</v>
      </c>
      <c r="F2592" t="s">
        <v>53</v>
      </c>
      <c r="G2592">
        <v>-473.17239999999998</v>
      </c>
      <c r="H2592" s="1">
        <v>4.6551230000000001E-6</v>
      </c>
      <c r="I2592">
        <v>216.9846</v>
      </c>
      <c r="J2592">
        <v>-484.62569999999999</v>
      </c>
      <c r="K2592">
        <v>1.113402</v>
      </c>
      <c r="L2592">
        <v>220.25290000000001</v>
      </c>
      <c r="M2592">
        <v>0.78758450000000002</v>
      </c>
      <c r="N2592">
        <v>0</v>
      </c>
      <c r="O2592">
        <v>-0.61613180000000001</v>
      </c>
      <c r="P2592">
        <v>0.91195139999999997</v>
      </c>
      <c r="Q2592">
        <v>2.938209E-2</v>
      </c>
      <c r="R2592">
        <v>-0.40924539999999998</v>
      </c>
      <c r="S2592">
        <v>2.915527</v>
      </c>
      <c r="T2592">
        <v>-0.27588839999999998</v>
      </c>
      <c r="U2592">
        <v>-0.86666869999999996</v>
      </c>
      <c r="V2592">
        <v>-0.239899</v>
      </c>
      <c r="W2592">
        <v>3.6676109999999998E-2</v>
      </c>
      <c r="X2592">
        <v>0.97010479999999999</v>
      </c>
      <c r="Y2592">
        <v>-0.3626432</v>
      </c>
      <c r="Z2592">
        <v>6.9127369999999994E-2</v>
      </c>
      <c r="AA2592">
        <v>0.92936070000000004</v>
      </c>
      <c r="AB2592">
        <v>19</v>
      </c>
      <c r="AC2592">
        <v>11.4533</v>
      </c>
      <c r="AD2592">
        <v>-1.113397344877</v>
      </c>
      <c r="AE2592">
        <v>-3.2683</v>
      </c>
      <c r="AF2592">
        <v>-4.4440520249843702</v>
      </c>
      <c r="AG2592">
        <v>-1.113397344877</v>
      </c>
      <c r="AH2592">
        <v>10.9390622979226</v>
      </c>
      <c r="AI2592">
        <v>95.386905542802097</v>
      </c>
      <c r="AJ2592">
        <v>112.10970894589001</v>
      </c>
      <c r="AK2592">
        <v>11.859693756846299</v>
      </c>
      <c r="AL2592">
        <v>87.898142283610497</v>
      </c>
      <c r="AM2592">
        <v>103.89011189435401</v>
      </c>
      <c r="AN2592">
        <v>0.99999999511438598</v>
      </c>
    </row>
    <row r="2593" spans="1:40" x14ac:dyDescent="0.25">
      <c r="A2593" t="str">
        <f>"20190312151320333"</f>
        <v>20190312151320333</v>
      </c>
      <c r="B2593" t="str">
        <f>"1552374800322695"</f>
        <v>1552374800322695</v>
      </c>
      <c r="C2593" t="s">
        <v>40</v>
      </c>
      <c r="D2593">
        <v>4.4400559999999896</v>
      </c>
      <c r="E2593">
        <v>0.4720337</v>
      </c>
      <c r="F2593" t="s">
        <v>53</v>
      </c>
      <c r="G2593">
        <v>-472.78210000000001</v>
      </c>
      <c r="H2593" s="1">
        <v>4.7897750000000002E-6</v>
      </c>
      <c r="I2593">
        <v>216.10489999999999</v>
      </c>
      <c r="J2593">
        <v>-484.46480000000003</v>
      </c>
      <c r="K2593">
        <v>1.113432</v>
      </c>
      <c r="L2593">
        <v>220.13740000000001</v>
      </c>
      <c r="M2593">
        <v>0.79185490000000003</v>
      </c>
      <c r="N2593">
        <v>0</v>
      </c>
      <c r="O2593">
        <v>-0.61063299999999998</v>
      </c>
      <c r="P2593">
        <v>0.914686</v>
      </c>
      <c r="Q2593">
        <v>2.871669E-2</v>
      </c>
      <c r="R2593">
        <v>-0.40314430000000001</v>
      </c>
      <c r="S2593">
        <v>2.8502809999999998</v>
      </c>
      <c r="T2593">
        <v>-0.26795029999999997</v>
      </c>
      <c r="U2593">
        <v>-0.9982605</v>
      </c>
      <c r="V2593">
        <v>-0.2396353</v>
      </c>
      <c r="W2593">
        <v>3.6031380000000002E-2</v>
      </c>
      <c r="X2593">
        <v>0.97019409999999895</v>
      </c>
      <c r="Y2593">
        <v>-0.3114074</v>
      </c>
      <c r="Z2593">
        <v>6.5240350000000003E-2</v>
      </c>
      <c r="AA2593">
        <v>0.9480343</v>
      </c>
      <c r="AB2593">
        <v>19</v>
      </c>
      <c r="AC2593">
        <v>11.682700000000001</v>
      </c>
      <c r="AD2593">
        <v>-1.113427210225</v>
      </c>
      <c r="AE2593">
        <v>-4.0325000000000202</v>
      </c>
      <c r="AF2593">
        <v>-3.9091434708031798</v>
      </c>
      <c r="AG2593">
        <v>-1.113427210225</v>
      </c>
      <c r="AH2593">
        <v>11.6196193830311</v>
      </c>
      <c r="AI2593">
        <v>95.189428429824204</v>
      </c>
      <c r="AJ2593">
        <v>108.59428386178401</v>
      </c>
      <c r="AK2593">
        <v>12.3100234538487</v>
      </c>
      <c r="AL2593">
        <v>87.9351069634249</v>
      </c>
      <c r="AM2593">
        <v>103.87420621104501</v>
      </c>
      <c r="AN2593">
        <v>0.99999996451280104</v>
      </c>
    </row>
    <row r="2594" spans="1:40" x14ac:dyDescent="0.25">
      <c r="A2594" t="str">
        <f>"20190312151320376"</f>
        <v>20190312151320376</v>
      </c>
      <c r="B2594" t="str">
        <f>"1552374800372471"</f>
        <v>1552374800372471</v>
      </c>
      <c r="C2594" t="s">
        <v>40</v>
      </c>
      <c r="D2594">
        <v>4.616778</v>
      </c>
      <c r="E2594">
        <v>0.47179379999999999</v>
      </c>
      <c r="F2594" t="s">
        <v>53</v>
      </c>
      <c r="G2594">
        <v>-472.11130000000003</v>
      </c>
      <c r="H2594" s="1">
        <v>5.0766989999999998E-6</v>
      </c>
      <c r="I2594">
        <v>215.86410000000001</v>
      </c>
      <c r="J2594">
        <v>-484.17</v>
      </c>
      <c r="K2594">
        <v>1.1134770000000001</v>
      </c>
      <c r="L2594">
        <v>219.93010000000001</v>
      </c>
      <c r="M2594">
        <v>0.79955639999999994</v>
      </c>
      <c r="N2594">
        <v>0</v>
      </c>
      <c r="O2594">
        <v>-0.60051259999999995</v>
      </c>
      <c r="P2594">
        <v>0.91956079999999996</v>
      </c>
      <c r="Q2594">
        <v>2.8407999999999999E-2</v>
      </c>
      <c r="R2594">
        <v>-0.39191999999999999</v>
      </c>
      <c r="S2594">
        <v>2.8529360000000001</v>
      </c>
      <c r="T2594">
        <v>-0.25713789999999997</v>
      </c>
      <c r="U2594">
        <v>-0.98689269999999996</v>
      </c>
      <c r="V2594">
        <v>-0.2391769</v>
      </c>
      <c r="W2594">
        <v>3.575689E-2</v>
      </c>
      <c r="X2594">
        <v>0.9703174</v>
      </c>
      <c r="Y2594">
        <v>-0.3032647</v>
      </c>
      <c r="Z2594">
        <v>6.159237E-2</v>
      </c>
      <c r="AA2594">
        <v>0.95091369999999997</v>
      </c>
      <c r="AB2594">
        <v>19</v>
      </c>
      <c r="AC2594">
        <v>12.0586999999999</v>
      </c>
      <c r="AD2594">
        <v>-1.113471923301</v>
      </c>
      <c r="AE2594">
        <v>-4.0659999999999998</v>
      </c>
      <c r="AF2594">
        <v>-3.9602737222745099</v>
      </c>
      <c r="AG2594">
        <v>-1.113471923301</v>
      </c>
      <c r="AH2594">
        <v>11.992054949188701</v>
      </c>
      <c r="AI2594">
        <v>95.038593580726996</v>
      </c>
      <c r="AJ2594">
        <v>108.275364993804</v>
      </c>
      <c r="AK2594">
        <v>12.6780507012584</v>
      </c>
      <c r="AL2594">
        <v>87.950844297879399</v>
      </c>
      <c r="AM2594">
        <v>103.84699668016</v>
      </c>
      <c r="AN2594">
        <v>1.0000000007094201</v>
      </c>
    </row>
    <row r="2595" spans="1:40" x14ac:dyDescent="0.25">
      <c r="A2595" t="str">
        <f>"20190312151320398"</f>
        <v>20190312151320398</v>
      </c>
      <c r="B2595" t="str">
        <f>"1552374800392968"</f>
        <v>1552374800392968</v>
      </c>
      <c r="C2595" t="s">
        <v>40</v>
      </c>
      <c r="D2595">
        <v>4.2878230000000004</v>
      </c>
      <c r="E2595">
        <v>0.4721651</v>
      </c>
      <c r="F2595" t="s">
        <v>53</v>
      </c>
      <c r="G2595">
        <v>-472.15120000000002</v>
      </c>
      <c r="H2595" s="1">
        <v>5.0625729999999999E-6</v>
      </c>
      <c r="I2595">
        <v>215.94579999999999</v>
      </c>
      <c r="J2595">
        <v>-484.00290000000001</v>
      </c>
      <c r="K2595">
        <v>1.1135029999999999</v>
      </c>
      <c r="L2595">
        <v>219.8151</v>
      </c>
      <c r="M2595">
        <v>0.80385180000000001</v>
      </c>
      <c r="N2595">
        <v>0</v>
      </c>
      <c r="O2595">
        <v>-0.59474989999999905</v>
      </c>
      <c r="P2595">
        <v>0.92228120000000002</v>
      </c>
      <c r="Q2595">
        <v>2.87573E-2</v>
      </c>
      <c r="R2595">
        <v>-0.38544869999999998</v>
      </c>
      <c r="S2595">
        <v>2.8656920000000001</v>
      </c>
      <c r="T2595">
        <v>-0.26549080000000003</v>
      </c>
      <c r="U2595">
        <v>-0.95001219999999997</v>
      </c>
      <c r="V2595">
        <v>-0.23901919999999999</v>
      </c>
      <c r="W2595">
        <v>3.6122399999999999E-2</v>
      </c>
      <c r="X2595">
        <v>0.9703427</v>
      </c>
      <c r="Y2595">
        <v>-0.3085196</v>
      </c>
      <c r="Z2595">
        <v>6.3332230000000003E-2</v>
      </c>
      <c r="AA2595">
        <v>0.94910729999999999</v>
      </c>
      <c r="AB2595">
        <v>19</v>
      </c>
      <c r="AC2595">
        <v>11.8516999999999</v>
      </c>
      <c r="AD2595">
        <v>-1.113497937427</v>
      </c>
      <c r="AE2595">
        <v>-3.8693</v>
      </c>
      <c r="AF2595">
        <v>-3.9074710404761102</v>
      </c>
      <c r="AG2595">
        <v>-1.113497937427</v>
      </c>
      <c r="AH2595">
        <v>11.7352268266271</v>
      </c>
      <c r="AI2595">
        <v>95.144226123211695</v>
      </c>
      <c r="AJ2595">
        <v>108.41617837939999</v>
      </c>
      <c r="AK2595">
        <v>12.418685770289899</v>
      </c>
      <c r="AL2595">
        <v>87.929888537569099</v>
      </c>
      <c r="AM2595">
        <v>103.83787083938</v>
      </c>
      <c r="AN2595">
        <v>0.99999998059684403</v>
      </c>
    </row>
    <row r="2596" spans="1:40" x14ac:dyDescent="0.25">
      <c r="A2596" t="str">
        <f>"20190312151320420"</f>
        <v>20190312151320420</v>
      </c>
      <c r="B2596" t="str">
        <f>"1552374800412488"</f>
        <v>1552374800412488</v>
      </c>
      <c r="C2596" t="s">
        <v>40</v>
      </c>
      <c r="D2596">
        <v>4.6035879999999896</v>
      </c>
      <c r="E2596">
        <v>0.47238809999999898</v>
      </c>
      <c r="F2596" t="s">
        <v>53</v>
      </c>
      <c r="G2596">
        <v>-472.43180000000001</v>
      </c>
      <c r="H2596" s="1">
        <v>4.9431250000000002E-6</v>
      </c>
      <c r="I2596">
        <v>216.0591</v>
      </c>
      <c r="J2596">
        <v>-483.8519</v>
      </c>
      <c r="K2596">
        <v>1.113532</v>
      </c>
      <c r="L2596">
        <v>219.71270000000001</v>
      </c>
      <c r="M2596">
        <v>0.80768219999999902</v>
      </c>
      <c r="N2596">
        <v>0</v>
      </c>
      <c r="O2596">
        <v>-0.58953730000000004</v>
      </c>
      <c r="P2596">
        <v>0.92479279999999997</v>
      </c>
      <c r="Q2596">
        <v>2.90528E-2</v>
      </c>
      <c r="R2596">
        <v>-0.37936049999999999</v>
      </c>
      <c r="S2596">
        <v>2.871826</v>
      </c>
      <c r="T2596">
        <v>-0.2763582</v>
      </c>
      <c r="U2596">
        <v>-0.93220519999999996</v>
      </c>
      <c r="V2596">
        <v>-0.23913780000000001</v>
      </c>
      <c r="W2596">
        <v>3.6427370000000001E-2</v>
      </c>
      <c r="X2596">
        <v>0.97030209999999995</v>
      </c>
      <c r="Y2596">
        <v>-0.30805339999999998</v>
      </c>
      <c r="Z2596">
        <v>6.546739E-2</v>
      </c>
      <c r="AA2596">
        <v>0.94911380000000001</v>
      </c>
      <c r="AB2596">
        <v>20</v>
      </c>
      <c r="AC2596">
        <v>11.4200999999999</v>
      </c>
      <c r="AD2596">
        <v>-1.113527056875</v>
      </c>
      <c r="AE2596">
        <v>-3.6536000000000102</v>
      </c>
      <c r="AF2596">
        <v>-3.7494695009163199</v>
      </c>
      <c r="AG2596">
        <v>-1.113527056875</v>
      </c>
      <c r="AH2596">
        <v>11.2809923142167</v>
      </c>
      <c r="AI2596">
        <v>95.351275170105893</v>
      </c>
      <c r="AJ2596">
        <v>108.38528686721899</v>
      </c>
      <c r="AK2596">
        <v>11.9398179064051</v>
      </c>
      <c r="AL2596">
        <v>87.912403582250604</v>
      </c>
      <c r="AM2596">
        <v>103.84503001855199</v>
      </c>
      <c r="AN2596">
        <v>1.00000000296918</v>
      </c>
    </row>
    <row r="2597" spans="1:40" x14ac:dyDescent="0.25">
      <c r="A2597" t="str">
        <f>"20190312151320465"</f>
        <v>20190312151320465</v>
      </c>
      <c r="B2597" t="str">
        <f>"1552374800452503"</f>
        <v>1552374800452503</v>
      </c>
      <c r="C2597" t="s">
        <v>40</v>
      </c>
      <c r="D2597">
        <v>4.6320370000000004</v>
      </c>
      <c r="E2597">
        <v>0.47371180000000002</v>
      </c>
      <c r="F2597" t="s">
        <v>53</v>
      </c>
      <c r="G2597">
        <v>-472.48630000000003</v>
      </c>
      <c r="H2597" s="1">
        <v>4.92071E-6</v>
      </c>
      <c r="I2597">
        <v>216.09989999999999</v>
      </c>
      <c r="J2597">
        <v>-483.53120000000001</v>
      </c>
      <c r="K2597">
        <v>1.113556</v>
      </c>
      <c r="L2597">
        <v>219.49969999999999</v>
      </c>
      <c r="M2597">
        <v>0.81566149999999904</v>
      </c>
      <c r="N2597">
        <v>0</v>
      </c>
      <c r="O2597">
        <v>-0.57844640000000003</v>
      </c>
      <c r="P2597">
        <v>0.92991140000000005</v>
      </c>
      <c r="Q2597">
        <v>2.9593209999999998E-2</v>
      </c>
      <c r="R2597">
        <v>-0.3665909</v>
      </c>
      <c r="S2597">
        <v>2.8775940000000002</v>
      </c>
      <c r="T2597">
        <v>-0.2819276</v>
      </c>
      <c r="U2597">
        <v>-0.91470340000000006</v>
      </c>
      <c r="V2597">
        <v>-0.23923829999999999</v>
      </c>
      <c r="W2597">
        <v>3.6987270000000003E-2</v>
      </c>
      <c r="X2597">
        <v>0.97025609999999995</v>
      </c>
      <c r="Y2597">
        <v>-0.3007782</v>
      </c>
      <c r="Z2597">
        <v>6.5565330000000005E-2</v>
      </c>
      <c r="AA2597">
        <v>0.95143770000000005</v>
      </c>
      <c r="AB2597">
        <v>20</v>
      </c>
      <c r="AC2597">
        <v>11.044899999999901</v>
      </c>
      <c r="AD2597">
        <v>-1.1135510792899901</v>
      </c>
      <c r="AE2597">
        <v>-3.3997999999999902</v>
      </c>
      <c r="AF2597">
        <v>-3.5827050123281499</v>
      </c>
      <c r="AG2597">
        <v>-1.1135510792899901</v>
      </c>
      <c r="AH2597">
        <v>10.875054307204399</v>
      </c>
      <c r="AI2597">
        <v>95.5547372040444</v>
      </c>
      <c r="AJ2597">
        <v>108.23407936952501</v>
      </c>
      <c r="AK2597">
        <v>11.5040244000173</v>
      </c>
      <c r="AL2597">
        <v>87.880301951345999</v>
      </c>
      <c r="AM2597">
        <v>103.851255899813</v>
      </c>
      <c r="AN2597">
        <v>0.99999996095807497</v>
      </c>
    </row>
    <row r="2598" spans="1:40" x14ac:dyDescent="0.25">
      <c r="A2598" t="str">
        <f>"20190312151320488"</f>
        <v>20190312151320488</v>
      </c>
      <c r="B2598" t="str">
        <f>"1552374800482760"</f>
        <v>1552374800482760</v>
      </c>
      <c r="C2598" t="s">
        <v>40</v>
      </c>
      <c r="D2598">
        <v>4.3421510000000003</v>
      </c>
      <c r="E2598">
        <v>0.47387020000000002</v>
      </c>
      <c r="F2598" t="s">
        <v>53</v>
      </c>
      <c r="G2598">
        <v>-472.39440000000002</v>
      </c>
      <c r="H2598" s="1">
        <v>4.9608159999999996E-6</v>
      </c>
      <c r="I2598">
        <v>216.08500000000001</v>
      </c>
      <c r="J2598">
        <v>-483.35910000000001</v>
      </c>
      <c r="K2598">
        <v>1.113561</v>
      </c>
      <c r="L2598">
        <v>219.38810000000001</v>
      </c>
      <c r="M2598">
        <v>0.81984840000000003</v>
      </c>
      <c r="N2598">
        <v>0</v>
      </c>
      <c r="O2598">
        <v>-0.57249640000000002</v>
      </c>
      <c r="P2598">
        <v>0.93231900000000001</v>
      </c>
      <c r="Q2598">
        <v>2.920828E-2</v>
      </c>
      <c r="R2598">
        <v>-0.36045549999999998</v>
      </c>
      <c r="S2598">
        <v>2.8863829999999999</v>
      </c>
      <c r="T2598">
        <v>-0.28860629999999998</v>
      </c>
      <c r="U2598">
        <v>-0.88502499999999995</v>
      </c>
      <c r="V2598">
        <v>-0.23857619999999999</v>
      </c>
      <c r="W2598">
        <v>3.6619409999999998E-2</v>
      </c>
      <c r="X2598">
        <v>0.97043310000000005</v>
      </c>
      <c r="Y2598">
        <v>-0.30344480000000001</v>
      </c>
      <c r="Z2598">
        <v>6.6727690000000006E-2</v>
      </c>
      <c r="AA2598">
        <v>0.95050970000000001</v>
      </c>
      <c r="AB2598">
        <v>20</v>
      </c>
      <c r="AC2598">
        <v>10.964699999999899</v>
      </c>
      <c r="AD2598">
        <v>-1.113556039184</v>
      </c>
      <c r="AE2598">
        <v>-3.3031000000000001</v>
      </c>
      <c r="AF2598">
        <v>-3.5359464738567299</v>
      </c>
      <c r="AG2598">
        <v>-1.113556039184</v>
      </c>
      <c r="AH2598">
        <v>10.7790037640069</v>
      </c>
      <c r="AI2598">
        <v>95.606263042436396</v>
      </c>
      <c r="AJ2598">
        <v>108.16156963666</v>
      </c>
      <c r="AK2598">
        <v>11.3986774084917</v>
      </c>
      <c r="AL2598">
        <v>87.901393133632396</v>
      </c>
      <c r="AM2598">
        <v>103.81196929556501</v>
      </c>
      <c r="AN2598">
        <v>0.99999999298539899</v>
      </c>
    </row>
    <row r="2599" spans="1:40" x14ac:dyDescent="0.25">
      <c r="A2599" t="str">
        <f>"20190312151320512"</f>
        <v>20190312151320512</v>
      </c>
      <c r="B2599" t="str">
        <f>"1552374800502280"</f>
        <v>1552374800502280</v>
      </c>
      <c r="C2599" t="s">
        <v>40</v>
      </c>
      <c r="D2599">
        <v>4.366015</v>
      </c>
      <c r="E2599">
        <v>0.47415069999999998</v>
      </c>
      <c r="F2599" t="s">
        <v>53</v>
      </c>
      <c r="G2599">
        <v>-472.42700000000002</v>
      </c>
      <c r="H2599" s="1">
        <v>4.9475719999999999E-6</v>
      </c>
      <c r="I2599">
        <v>216.11269999999999</v>
      </c>
      <c r="J2599">
        <v>-483.18509999999998</v>
      </c>
      <c r="K2599">
        <v>1.1135790000000001</v>
      </c>
      <c r="L2599">
        <v>219.27709999999999</v>
      </c>
      <c r="M2599">
        <v>0.82401780000000002</v>
      </c>
      <c r="N2599">
        <v>0</v>
      </c>
      <c r="O2599">
        <v>-0.56647879999999995</v>
      </c>
      <c r="P2599">
        <v>0.93415029999999999</v>
      </c>
      <c r="Q2599">
        <v>2.9290819999999999E-2</v>
      </c>
      <c r="R2599">
        <v>-0.35567589999999999</v>
      </c>
      <c r="S2599">
        <v>2.8919980000000001</v>
      </c>
      <c r="T2599">
        <v>-0.29458329999999999</v>
      </c>
      <c r="U2599">
        <v>-0.86650090000000002</v>
      </c>
      <c r="V2599">
        <v>-0.23644100000000001</v>
      </c>
      <c r="W2599">
        <v>3.6729949999999997E-2</v>
      </c>
      <c r="X2599">
        <v>0.97095140000000002</v>
      </c>
      <c r="Y2599">
        <v>-0.30244729999999997</v>
      </c>
      <c r="Z2599">
        <v>6.7537410000000006E-2</v>
      </c>
      <c r="AA2599">
        <v>0.95077040000000002</v>
      </c>
      <c r="AB2599">
        <v>20</v>
      </c>
      <c r="AC2599">
        <v>10.758100000000001</v>
      </c>
      <c r="AD2599">
        <v>-1.113574052428</v>
      </c>
      <c r="AE2599">
        <v>-3.1644000000000001</v>
      </c>
      <c r="AF2599">
        <v>-3.4528327136265702</v>
      </c>
      <c r="AG2599">
        <v>-1.113574052428</v>
      </c>
      <c r="AH2599">
        <v>10.553871491912</v>
      </c>
      <c r="AI2599">
        <v>95.726636732481694</v>
      </c>
      <c r="AJ2599">
        <v>108.116163997017</v>
      </c>
      <c r="AK2599">
        <v>11.1600315584824</v>
      </c>
      <c r="AL2599">
        <v>87.895055469104605</v>
      </c>
      <c r="AM2599">
        <v>103.685994106439</v>
      </c>
      <c r="AN2599">
        <v>1.0000000284349799</v>
      </c>
    </row>
    <row r="2600" spans="1:40" x14ac:dyDescent="0.25">
      <c r="A2600" t="str">
        <f>"20190312151320554"</f>
        <v>20190312151320554</v>
      </c>
      <c r="B2600" t="str">
        <f>"1552374800553032"</f>
        <v>1552374800553032</v>
      </c>
      <c r="C2600" t="s">
        <v>40</v>
      </c>
      <c r="D2600">
        <v>4.4058479999999998</v>
      </c>
      <c r="E2600">
        <v>0.47557569999999999</v>
      </c>
      <c r="F2600" t="s">
        <v>53</v>
      </c>
      <c r="G2600">
        <v>-472.33769999999998</v>
      </c>
      <c r="H2600" s="1">
        <v>4.9858970000000001E-6</v>
      </c>
      <c r="I2600">
        <v>216.08320000000001</v>
      </c>
      <c r="J2600">
        <v>-482.86950000000002</v>
      </c>
      <c r="K2600">
        <v>1.113594</v>
      </c>
      <c r="L2600">
        <v>219.08019999999999</v>
      </c>
      <c r="M2600">
        <v>0.83141509999999996</v>
      </c>
      <c r="N2600">
        <v>0</v>
      </c>
      <c r="O2600">
        <v>-0.55556499999999998</v>
      </c>
      <c r="P2600">
        <v>0.93774440000000003</v>
      </c>
      <c r="Q2600">
        <v>2.8821719999999999E-2</v>
      </c>
      <c r="R2600">
        <v>-0.34612809999999999</v>
      </c>
      <c r="S2600">
        <v>2.8960569999999999</v>
      </c>
      <c r="T2600">
        <v>-0.29730450000000003</v>
      </c>
      <c r="U2600">
        <v>-0.85272219999999999</v>
      </c>
      <c r="V2600">
        <v>-0.23354739999999999</v>
      </c>
      <c r="W2600">
        <v>3.6279649999999997E-2</v>
      </c>
      <c r="X2600">
        <v>0.97166839999999999</v>
      </c>
      <c r="Y2600">
        <v>-0.29441099999999998</v>
      </c>
      <c r="Z2600">
        <v>6.6848580000000005E-2</v>
      </c>
      <c r="AA2600">
        <v>0.95333800000000002</v>
      </c>
      <c r="AB2600">
        <v>20</v>
      </c>
      <c r="AC2600">
        <v>10.5318</v>
      </c>
      <c r="AD2600">
        <v>-1.113589014103</v>
      </c>
      <c r="AE2600">
        <v>-2.9969999999999799</v>
      </c>
      <c r="AF2600">
        <v>-3.3251202197557101</v>
      </c>
      <c r="AG2600">
        <v>-1.113589014103</v>
      </c>
      <c r="AH2600">
        <v>10.315143612626001</v>
      </c>
      <c r="AI2600">
        <v>95.866562697145795</v>
      </c>
      <c r="AJ2600">
        <v>107.86689576576001</v>
      </c>
      <c r="AK2600">
        <v>10.8948929649289</v>
      </c>
      <c r="AL2600">
        <v>87.920872990731795</v>
      </c>
      <c r="AM2600">
        <v>103.515077773786</v>
      </c>
      <c r="AN2600">
        <v>1.00000004030472</v>
      </c>
    </row>
    <row r="2601" spans="1:40" x14ac:dyDescent="0.25">
      <c r="A2601" t="str">
        <f>"20190312151320578"</f>
        <v>20190312151320578</v>
      </c>
      <c r="B2601" t="str">
        <f>"1552374800572552"</f>
        <v>1552374800572552</v>
      </c>
      <c r="C2601" t="s">
        <v>40</v>
      </c>
      <c r="D2601">
        <v>4.4408019999999997</v>
      </c>
      <c r="E2601">
        <v>0.47614529999999999</v>
      </c>
      <c r="F2601" t="s">
        <v>53</v>
      </c>
      <c r="G2601">
        <v>-472.25619999999998</v>
      </c>
      <c r="H2601" s="1">
        <v>5.0197699999999901E-6</v>
      </c>
      <c r="I2601">
        <v>216.03129999999999</v>
      </c>
      <c r="J2601">
        <v>-482.69389999999999</v>
      </c>
      <c r="K2601">
        <v>1.113602</v>
      </c>
      <c r="L2601">
        <v>218.97309999999999</v>
      </c>
      <c r="M2601">
        <v>0.8354395</v>
      </c>
      <c r="N2601">
        <v>0</v>
      </c>
      <c r="O2601">
        <v>-0.54949479999999995</v>
      </c>
      <c r="P2601">
        <v>0.93969650000000005</v>
      </c>
      <c r="Q2601">
        <v>2.8302109999999998E-2</v>
      </c>
      <c r="R2601">
        <v>-0.34083740000000001</v>
      </c>
      <c r="S2601">
        <v>2.9008790000000002</v>
      </c>
      <c r="T2601">
        <v>-0.3043709</v>
      </c>
      <c r="U2601">
        <v>-0.83332819999999996</v>
      </c>
      <c r="V2601">
        <v>-0.2319515</v>
      </c>
      <c r="W2601">
        <v>3.5760229999999997E-2</v>
      </c>
      <c r="X2601">
        <v>0.97206979999999998</v>
      </c>
      <c r="Y2601">
        <v>-0.29361219999999999</v>
      </c>
      <c r="Z2601">
        <v>6.7861539999999998E-2</v>
      </c>
      <c r="AA2601">
        <v>0.95351280000000005</v>
      </c>
      <c r="AB2601">
        <v>20</v>
      </c>
      <c r="AC2601">
        <v>10.4377</v>
      </c>
      <c r="AD2601">
        <v>-1.1135969802299901</v>
      </c>
      <c r="AE2601">
        <v>-2.9418000000000002</v>
      </c>
      <c r="AF2601">
        <v>-3.2437185481529802</v>
      </c>
      <c r="AG2601">
        <v>-1.1135969802299901</v>
      </c>
      <c r="AH2601">
        <v>10.229200771068999</v>
      </c>
      <c r="AI2601">
        <v>95.924496386480698</v>
      </c>
      <c r="AJ2601">
        <v>107.594019734383</v>
      </c>
      <c r="AK2601">
        <v>10.788807008601401</v>
      </c>
      <c r="AL2601">
        <v>87.95065279424</v>
      </c>
      <c r="AM2601">
        <v>103.420736339977</v>
      </c>
      <c r="AN2601">
        <v>0.99999999423697095</v>
      </c>
    </row>
    <row r="2602" spans="1:40" x14ac:dyDescent="0.25">
      <c r="A2602" t="str">
        <f>"20190312151320622"</f>
        <v>20190312151320622</v>
      </c>
      <c r="B2602" t="str">
        <f>"1552374800612568"</f>
        <v>1552374800612568</v>
      </c>
      <c r="C2602" t="s">
        <v>40</v>
      </c>
      <c r="D2602">
        <v>4.4373659999999999</v>
      </c>
      <c r="E2602">
        <v>0.47692620000000002</v>
      </c>
      <c r="F2602" t="s">
        <v>53</v>
      </c>
      <c r="G2602">
        <v>-472.16219999999998</v>
      </c>
      <c r="H2602" s="1">
        <v>5.0598539999999996E-6</v>
      </c>
      <c r="I2602">
        <v>215.99529999999999</v>
      </c>
      <c r="J2602">
        <v>-482.36110000000002</v>
      </c>
      <c r="K2602">
        <v>1.1136189999999999</v>
      </c>
      <c r="L2602">
        <v>218.7747</v>
      </c>
      <c r="M2602">
        <v>0.84288569999999996</v>
      </c>
      <c r="N2602">
        <v>0</v>
      </c>
      <c r="O2602">
        <v>-0.53800389999999998</v>
      </c>
      <c r="P2602">
        <v>0.94353509999999996</v>
      </c>
      <c r="Q2602">
        <v>2.8368170000000002E-2</v>
      </c>
      <c r="R2602">
        <v>-0.33005620000000002</v>
      </c>
      <c r="S2602">
        <v>2.903931</v>
      </c>
      <c r="T2602">
        <v>-0.30705579999999999</v>
      </c>
      <c r="U2602">
        <v>-0.82106019999999902</v>
      </c>
      <c r="V2602">
        <v>-0.22977059999999999</v>
      </c>
      <c r="W2602">
        <v>3.5816460000000001E-2</v>
      </c>
      <c r="X2602">
        <v>0.97258560000000005</v>
      </c>
      <c r="Y2602">
        <v>-0.28453270000000003</v>
      </c>
      <c r="Z2602">
        <v>6.7000660000000004E-2</v>
      </c>
      <c r="AA2602">
        <v>0.95632209999999995</v>
      </c>
      <c r="AB2602">
        <v>20</v>
      </c>
      <c r="AC2602">
        <v>10.1989</v>
      </c>
      <c r="AD2602">
        <v>-1.1136139401459999</v>
      </c>
      <c r="AE2602">
        <v>-2.7793999999999999</v>
      </c>
      <c r="AF2602">
        <v>-3.1099667482233202</v>
      </c>
      <c r="AG2602">
        <v>-1.1136139401459999</v>
      </c>
      <c r="AH2602">
        <v>9.9815403316417299</v>
      </c>
      <c r="AI2602">
        <v>96.080043815638604</v>
      </c>
      <c r="AJ2602">
        <v>107.30556275017</v>
      </c>
      <c r="AK2602">
        <v>10.513951520476599</v>
      </c>
      <c r="AL2602">
        <v>87.947429098520999</v>
      </c>
      <c r="AM2602">
        <v>103.292250462601</v>
      </c>
      <c r="AN2602">
        <v>1.0000000483793201</v>
      </c>
    </row>
    <row r="2603" spans="1:40" x14ac:dyDescent="0.25">
      <c r="A2603" t="str">
        <f>"20190312151320643"</f>
        <v>20190312151320643</v>
      </c>
      <c r="B2603" t="str">
        <f>"1552374800633064"</f>
        <v>1552374800633064</v>
      </c>
      <c r="C2603" t="s">
        <v>40</v>
      </c>
      <c r="D2603">
        <v>4.6975980000000002</v>
      </c>
      <c r="E2603">
        <v>0.47724280000000002</v>
      </c>
      <c r="F2603" t="s">
        <v>53</v>
      </c>
      <c r="G2603">
        <v>-471.9282</v>
      </c>
      <c r="H2603" s="1">
        <v>5.1606709999999901E-6</v>
      </c>
      <c r="I2603">
        <v>215.92699999999999</v>
      </c>
      <c r="J2603">
        <v>-482.1902</v>
      </c>
      <c r="K2603">
        <v>1.1136189999999999</v>
      </c>
      <c r="L2603">
        <v>218.67519999999999</v>
      </c>
      <c r="M2603">
        <v>0.84661280000000005</v>
      </c>
      <c r="N2603">
        <v>0</v>
      </c>
      <c r="O2603">
        <v>-0.53211949999999997</v>
      </c>
      <c r="P2603">
        <v>0.94541090000000005</v>
      </c>
      <c r="Q2603">
        <v>2.8660580000000001E-2</v>
      </c>
      <c r="R2603">
        <v>-0.32461830000000003</v>
      </c>
      <c r="S2603">
        <v>2.9109500000000001</v>
      </c>
      <c r="T2603">
        <v>-0.31071599999999999</v>
      </c>
      <c r="U2603">
        <v>-0.79454040000000004</v>
      </c>
      <c r="V2603">
        <v>-0.2285933</v>
      </c>
      <c r="W2603">
        <v>3.6109059999999998E-2</v>
      </c>
      <c r="X2603">
        <v>0.9728521</v>
      </c>
      <c r="Y2603">
        <v>-0.28647820000000002</v>
      </c>
      <c r="Z2603">
        <v>6.7344879999999996E-2</v>
      </c>
      <c r="AA2603">
        <v>0.95571700000000004</v>
      </c>
      <c r="AB2603">
        <v>20</v>
      </c>
      <c r="AC2603">
        <v>10.262</v>
      </c>
      <c r="AD2603">
        <v>-1.113613839329</v>
      </c>
      <c r="AE2603">
        <v>-2.7481999999999598</v>
      </c>
      <c r="AF2603">
        <v>-3.1000351955903001</v>
      </c>
      <c r="AG2603">
        <v>-1.113613839329</v>
      </c>
      <c r="AH2603">
        <v>10.0404704582501</v>
      </c>
      <c r="AI2603">
        <v>96.049408388629004</v>
      </c>
      <c r="AJ2603">
        <v>107.158280699017</v>
      </c>
      <c r="AK2603">
        <v>10.5669958370408</v>
      </c>
      <c r="AL2603">
        <v>87.930653370834605</v>
      </c>
      <c r="AM2603">
        <v>103.223047401394</v>
      </c>
      <c r="AN2603">
        <v>0.99999998474669105</v>
      </c>
    </row>
    <row r="2604" spans="1:40" x14ac:dyDescent="0.25">
      <c r="A2604" t="str">
        <f>"20190312151320666"</f>
        <v>20190312151320666</v>
      </c>
      <c r="B2604" t="str">
        <f>"1552374800662343"</f>
        <v>1552374800662343</v>
      </c>
      <c r="C2604" t="s">
        <v>40</v>
      </c>
      <c r="D2604">
        <v>4.5120209999999998</v>
      </c>
      <c r="E2604">
        <v>0.4778133</v>
      </c>
      <c r="F2604" t="s">
        <v>53</v>
      </c>
      <c r="G2604">
        <v>-471.68819999999999</v>
      </c>
      <c r="H2604" s="1">
        <v>5.2642889999999996E-6</v>
      </c>
      <c r="I2604">
        <v>215.86250000000001</v>
      </c>
      <c r="J2604">
        <v>-482.02440000000001</v>
      </c>
      <c r="K2604">
        <v>1.1136109999999999</v>
      </c>
      <c r="L2604">
        <v>218.58009999999999</v>
      </c>
      <c r="M2604">
        <v>0.85015940000000001</v>
      </c>
      <c r="N2604">
        <v>0</v>
      </c>
      <c r="O2604">
        <v>-0.52643499999999999</v>
      </c>
      <c r="P2604">
        <v>0.94721690000000003</v>
      </c>
      <c r="Q2604">
        <v>2.893134E-2</v>
      </c>
      <c r="R2604">
        <v>-0.3192854</v>
      </c>
      <c r="S2604">
        <v>2.91452</v>
      </c>
      <c r="T2604">
        <v>-0.30904809999999999</v>
      </c>
      <c r="U2604">
        <v>-0.78054809999999997</v>
      </c>
      <c r="V2604">
        <v>-0.22755410000000001</v>
      </c>
      <c r="W2604">
        <v>3.638019E-2</v>
      </c>
      <c r="X2604">
        <v>0.9730856</v>
      </c>
      <c r="Y2604">
        <v>-0.28471239999999998</v>
      </c>
      <c r="Z2604">
        <v>6.6381689999999993E-2</v>
      </c>
      <c r="AA2604">
        <v>0.95631180000000005</v>
      </c>
      <c r="AB2604">
        <v>20</v>
      </c>
      <c r="AC2604">
        <v>10.3362</v>
      </c>
      <c r="AD2604">
        <v>-1.1136057357109901</v>
      </c>
      <c r="AE2604">
        <v>-2.7175999999999698</v>
      </c>
      <c r="AF2604">
        <v>-3.0974639707510998</v>
      </c>
      <c r="AG2604">
        <v>-1.1136057357109901</v>
      </c>
      <c r="AH2604">
        <v>10.108792056681599</v>
      </c>
      <c r="AI2604">
        <v>96.012704605273896</v>
      </c>
      <c r="AJ2604">
        <v>107.035738458727</v>
      </c>
      <c r="AK2604">
        <v>10.631184206377901</v>
      </c>
      <c r="AL2604">
        <v>87.915108554266297</v>
      </c>
      <c r="AM2604">
        <v>103.16198357888599</v>
      </c>
      <c r="AN2604">
        <v>0.99999998578930205</v>
      </c>
    </row>
    <row r="2605" spans="1:40" x14ac:dyDescent="0.25">
      <c r="A2605" t="str">
        <f>"20190312151320688"</f>
        <v>20190312151320688</v>
      </c>
      <c r="B2605" t="str">
        <f>"1552374800682839"</f>
        <v>1552374800682839</v>
      </c>
      <c r="C2605" t="s">
        <v>40</v>
      </c>
      <c r="D2605">
        <v>4.4670519999999998</v>
      </c>
      <c r="E2605">
        <v>0.47820760000000001</v>
      </c>
      <c r="F2605" t="s">
        <v>53</v>
      </c>
      <c r="G2605">
        <v>-471.4556</v>
      </c>
      <c r="H2605" s="1">
        <v>5.3644909999999996E-6</v>
      </c>
      <c r="I2605">
        <v>215.79570000000001</v>
      </c>
      <c r="J2605">
        <v>-481.851</v>
      </c>
      <c r="K2605">
        <v>1.11359599999999</v>
      </c>
      <c r="L2605">
        <v>218.48220000000001</v>
      </c>
      <c r="M2605">
        <v>0.85378339999999997</v>
      </c>
      <c r="N2605">
        <v>0</v>
      </c>
      <c r="O2605">
        <v>-0.52053709999999997</v>
      </c>
      <c r="P2605">
        <v>0.94917640000000003</v>
      </c>
      <c r="Q2605">
        <v>2.9065569999999999E-2</v>
      </c>
      <c r="R2605">
        <v>-0.31340030000000002</v>
      </c>
      <c r="S2605">
        <v>2.9174500000000001</v>
      </c>
      <c r="T2605">
        <v>-0.3074038</v>
      </c>
      <c r="U2605">
        <v>-0.76861569999999901</v>
      </c>
      <c r="V2605">
        <v>-0.2268551</v>
      </c>
      <c r="W2605">
        <v>3.6513150000000001E-2</v>
      </c>
      <c r="X2605">
        <v>0.97324379999999999</v>
      </c>
      <c r="Y2605">
        <v>-0.28205330000000001</v>
      </c>
      <c r="Z2605">
        <v>6.5367990000000001E-2</v>
      </c>
      <c r="AA2605">
        <v>0.95716920000000005</v>
      </c>
      <c r="AB2605">
        <v>20</v>
      </c>
      <c r="AC2605">
        <v>10.395399999999899</v>
      </c>
      <c r="AD2605">
        <v>-1.11359063550899</v>
      </c>
      <c r="AE2605">
        <v>-2.6864999999999899</v>
      </c>
      <c r="AF2605">
        <v>-3.08447076575353</v>
      </c>
      <c r="AG2605">
        <v>-1.11359063550899</v>
      </c>
      <c r="AH2605">
        <v>10.1649863593655</v>
      </c>
      <c r="AI2605">
        <v>95.984550354665402</v>
      </c>
      <c r="AJ2605">
        <v>106.879933676207</v>
      </c>
      <c r="AK2605">
        <v>10.6808703622115</v>
      </c>
      <c r="AL2605">
        <v>87.907485410246906</v>
      </c>
      <c r="AM2605">
        <v>103.12089456337399</v>
      </c>
      <c r="AN2605">
        <v>0.99999997037868504</v>
      </c>
    </row>
    <row r="2606" spans="1:40" x14ac:dyDescent="0.25">
      <c r="A2606" t="str">
        <f>"20190312151320715"</f>
        <v>20190312151320715</v>
      </c>
      <c r="B2606" t="str">
        <f>"1552374800702360"</f>
        <v>1552374800702360</v>
      </c>
      <c r="C2606" t="s">
        <v>40</v>
      </c>
      <c r="D2606">
        <v>4.4770379999999896</v>
      </c>
      <c r="E2606">
        <v>0.4784968</v>
      </c>
      <c r="F2606" t="s">
        <v>53</v>
      </c>
      <c r="G2606">
        <v>-471.25220000000002</v>
      </c>
      <c r="H2606" s="1">
        <v>5.4525860000000001E-6</v>
      </c>
      <c r="I2606">
        <v>215.74780000000001</v>
      </c>
      <c r="J2606">
        <v>-481.64850000000001</v>
      </c>
      <c r="K2606">
        <v>1.1135660000000001</v>
      </c>
      <c r="L2606">
        <v>218.3698</v>
      </c>
      <c r="M2606">
        <v>0.85791269999999997</v>
      </c>
      <c r="N2606">
        <v>0</v>
      </c>
      <c r="O2606">
        <v>-0.51370360000000004</v>
      </c>
      <c r="P2606">
        <v>0.95137720000000003</v>
      </c>
      <c r="Q2606">
        <v>2.9210509999999999E-2</v>
      </c>
      <c r="R2606">
        <v>-0.30664089999999999</v>
      </c>
      <c r="S2606">
        <v>2.921173</v>
      </c>
      <c r="T2606">
        <v>-0.30692049999999998</v>
      </c>
      <c r="U2606">
        <v>-0.75364690000000001</v>
      </c>
      <c r="V2606">
        <v>-0.2260027</v>
      </c>
      <c r="W2606">
        <v>3.6658969999999999E-2</v>
      </c>
      <c r="X2606">
        <v>0.97343670000000004</v>
      </c>
      <c r="Y2606">
        <v>-0.27934589999999998</v>
      </c>
      <c r="Z2606">
        <v>6.4512260000000002E-2</v>
      </c>
      <c r="AA2606">
        <v>0.95802089999999995</v>
      </c>
      <c r="AB2606">
        <v>20</v>
      </c>
      <c r="AC2606">
        <v>10.396299999999901</v>
      </c>
      <c r="AD2606">
        <v>-1.113560547414</v>
      </c>
      <c r="AE2606">
        <v>-2.6219999999999799</v>
      </c>
      <c r="AF2606">
        <v>-3.0583263105265002</v>
      </c>
      <c r="AG2606">
        <v>-1.113560547414</v>
      </c>
      <c r="AH2606">
        <v>10.156973039901599</v>
      </c>
      <c r="AI2606">
        <v>95.992922612891704</v>
      </c>
      <c r="AJ2606">
        <v>106.75736740806801</v>
      </c>
      <c r="AK2606">
        <v>10.665715083748699</v>
      </c>
      <c r="AL2606">
        <v>87.899125119363205</v>
      </c>
      <c r="AM2606">
        <v>103.070788026617</v>
      </c>
      <c r="AN2606">
        <v>1.0000000546978101</v>
      </c>
    </row>
    <row r="2607" spans="1:40" x14ac:dyDescent="0.25">
      <c r="A2607" t="str">
        <f>"20190312151320757"</f>
        <v>20190312151320757</v>
      </c>
      <c r="B2607" t="str">
        <f>"1552374800753112"</f>
        <v>1552374800753112</v>
      </c>
      <c r="C2607" t="s">
        <v>40</v>
      </c>
      <c r="D2607">
        <v>4.4607469999999996</v>
      </c>
      <c r="E2607">
        <v>0.49153170000000002</v>
      </c>
      <c r="F2607" t="s">
        <v>53</v>
      </c>
      <c r="G2607">
        <v>-471.03629999999998</v>
      </c>
      <c r="H2607" s="1">
        <v>5.5464809999999999E-6</v>
      </c>
      <c r="I2607">
        <v>215.70509999999999</v>
      </c>
      <c r="J2607">
        <v>-481.31360000000001</v>
      </c>
      <c r="K2607">
        <v>1.1134900000000001</v>
      </c>
      <c r="L2607">
        <v>218.18809999999999</v>
      </c>
      <c r="M2607">
        <v>0.86447099999999899</v>
      </c>
      <c r="N2607">
        <v>0</v>
      </c>
      <c r="O2607">
        <v>-0.50258959999999997</v>
      </c>
      <c r="P2607">
        <v>0.95539079999999998</v>
      </c>
      <c r="Q2607">
        <v>2.972207E-2</v>
      </c>
      <c r="R2607">
        <v>-0.293846</v>
      </c>
      <c r="S2607">
        <v>2.9259339999999998</v>
      </c>
      <c r="T2607">
        <v>-0.30702439999999998</v>
      </c>
      <c r="U2607">
        <v>-0.7346954</v>
      </c>
      <c r="V2607">
        <v>-0.22649369999999999</v>
      </c>
      <c r="W2607">
        <v>3.7163590000000003E-2</v>
      </c>
      <c r="X2607">
        <v>0.97330340000000004</v>
      </c>
      <c r="Y2607">
        <v>-0.2732386</v>
      </c>
      <c r="Z2607">
        <v>6.3219189999999995E-2</v>
      </c>
      <c r="AA2607">
        <v>0.95986660000000001</v>
      </c>
      <c r="AB2607">
        <v>20</v>
      </c>
      <c r="AC2607">
        <v>10.2773</v>
      </c>
      <c r="AD2607">
        <v>-1.1134844535189901</v>
      </c>
      <c r="AE2607">
        <v>-2.4830000000000001</v>
      </c>
      <c r="AF2607">
        <v>-2.9858081397475602</v>
      </c>
      <c r="AG2607">
        <v>-1.1134844535189901</v>
      </c>
      <c r="AH2607">
        <v>10.021681030863</v>
      </c>
      <c r="AI2607">
        <v>96.078070115025696</v>
      </c>
      <c r="AJ2607">
        <v>106.59062870327</v>
      </c>
      <c r="AK2607">
        <v>10.516129923121399</v>
      </c>
      <c r="AL2607">
        <v>87.870192731240195</v>
      </c>
      <c r="AM2607">
        <v>103.099938788591</v>
      </c>
      <c r="AN2607">
        <v>1.0000000185064599</v>
      </c>
    </row>
    <row r="2608" spans="1:40" x14ac:dyDescent="0.25">
      <c r="A2608" t="str">
        <f>"20190312151320779"</f>
        <v>20190312151320779</v>
      </c>
      <c r="B2608" t="str">
        <f>"1552374800772632"</f>
        <v>1552374800772632</v>
      </c>
      <c r="C2608" t="s">
        <v>40</v>
      </c>
      <c r="D2608">
        <v>4.4674909999999999</v>
      </c>
      <c r="E2608">
        <v>0.49110789999999999</v>
      </c>
      <c r="F2608" t="s">
        <v>53</v>
      </c>
      <c r="G2608">
        <v>-471.2697</v>
      </c>
      <c r="H2608" s="1">
        <v>5.4312440000000001E-6</v>
      </c>
      <c r="I2608">
        <v>215.43719999999999</v>
      </c>
      <c r="J2608">
        <v>-481.14179999999999</v>
      </c>
      <c r="K2608">
        <v>1.1134329999999999</v>
      </c>
      <c r="L2608">
        <v>218.0968</v>
      </c>
      <c r="M2608">
        <v>0.86769219999999903</v>
      </c>
      <c r="N2608">
        <v>0</v>
      </c>
      <c r="O2608">
        <v>-0.49700810000000001</v>
      </c>
      <c r="P2608">
        <v>0.95695350000000001</v>
      </c>
      <c r="Q2608">
        <v>2.8648170000000001E-2</v>
      </c>
      <c r="R2608">
        <v>-0.2888249</v>
      </c>
      <c r="S2608">
        <v>2.9053339999999999</v>
      </c>
      <c r="T2608">
        <v>-0.32209209999999999</v>
      </c>
      <c r="U2608">
        <v>-0.79573059999999995</v>
      </c>
      <c r="V2608">
        <v>-0.2253346</v>
      </c>
      <c r="W2608">
        <v>3.6109049999999997E-2</v>
      </c>
      <c r="X2608">
        <v>0.97361209999999998</v>
      </c>
      <c r="Y2608">
        <v>-0.2462567</v>
      </c>
      <c r="Z2608">
        <v>6.4535419999999996E-2</v>
      </c>
      <c r="AA2608">
        <v>0.96705370000000002</v>
      </c>
      <c r="AB2608">
        <v>20</v>
      </c>
      <c r="AC2608">
        <v>9.8720999999999801</v>
      </c>
      <c r="AD2608">
        <v>-1.11342756875599</v>
      </c>
      <c r="AE2608">
        <v>-2.65960000000001</v>
      </c>
      <c r="AF2608">
        <v>-2.5684593194573102</v>
      </c>
      <c r="AG2608">
        <v>-1.11342756875599</v>
      </c>
      <c r="AH2608">
        <v>9.7723500975525592</v>
      </c>
      <c r="AI2608">
        <v>96.288281661200998</v>
      </c>
      <c r="AJ2608">
        <v>104.725950314092</v>
      </c>
      <c r="AK2608">
        <v>10.1654085336354</v>
      </c>
      <c r="AL2608">
        <v>87.930654044803205</v>
      </c>
      <c r="AM2608">
        <v>103.031201879725</v>
      </c>
      <c r="AN2608">
        <v>1.0000000333577299</v>
      </c>
    </row>
    <row r="2609" spans="1:40" x14ac:dyDescent="0.25">
      <c r="A2609" t="str">
        <f>"20190312151320802"</f>
        <v>20190312151320802</v>
      </c>
      <c r="B2609" t="str">
        <f>"1552374800793129"</f>
        <v>1552374800793129</v>
      </c>
      <c r="C2609" t="s">
        <v>40</v>
      </c>
      <c r="D2609">
        <v>4.4604100000000004</v>
      </c>
      <c r="E2609">
        <v>0.4915079</v>
      </c>
      <c r="F2609" t="s">
        <v>53</v>
      </c>
      <c r="G2609">
        <v>-471.18599999999998</v>
      </c>
      <c r="H2609" s="1">
        <v>5.4684470000000003E-6</v>
      </c>
      <c r="I2609">
        <v>215.4384</v>
      </c>
      <c r="J2609">
        <v>-480.95389999999998</v>
      </c>
      <c r="K2609">
        <v>1.113367</v>
      </c>
      <c r="L2609">
        <v>217.9984</v>
      </c>
      <c r="M2609">
        <v>0.87110019999999999</v>
      </c>
      <c r="N2609">
        <v>0</v>
      </c>
      <c r="O2609">
        <v>-0.49101070000000002</v>
      </c>
      <c r="P2609">
        <v>0.9581596</v>
      </c>
      <c r="Q2609">
        <v>2.7551829999999999E-2</v>
      </c>
      <c r="R2609">
        <v>-0.28490659999999901</v>
      </c>
      <c r="S2609">
        <v>2.9101560000000002</v>
      </c>
      <c r="T2609">
        <v>-0.32546219999999998</v>
      </c>
      <c r="U2609">
        <v>-0.77705380000000002</v>
      </c>
      <c r="V2609">
        <v>-0.22260150000000001</v>
      </c>
      <c r="W2609">
        <v>3.505544E-2</v>
      </c>
      <c r="X2609">
        <v>0.97427900000000001</v>
      </c>
      <c r="Y2609">
        <v>-0.24571889999999999</v>
      </c>
      <c r="Z2609">
        <v>6.4585539999999997E-2</v>
      </c>
      <c r="AA2609">
        <v>0.96718709999999997</v>
      </c>
      <c r="AB2609">
        <v>20</v>
      </c>
      <c r="AC2609">
        <v>9.7678999999999903</v>
      </c>
      <c r="AD2609">
        <v>-1.1133615315530001</v>
      </c>
      <c r="AE2609">
        <v>-2.56</v>
      </c>
      <c r="AF2609">
        <v>-2.5354235148118698</v>
      </c>
      <c r="AG2609">
        <v>-1.1133615315530001</v>
      </c>
      <c r="AH2609">
        <v>9.6489603672425392</v>
      </c>
      <c r="AI2609">
        <v>96.367761783641299</v>
      </c>
      <c r="AJ2609">
        <v>104.72258780002799</v>
      </c>
      <c r="AK2609">
        <v>10.038445221647599</v>
      </c>
      <c r="AL2609">
        <v>87.991059517541103</v>
      </c>
      <c r="AM2609">
        <v>102.86992438567199</v>
      </c>
      <c r="AN2609">
        <v>0.99999994075842003</v>
      </c>
    </row>
    <row r="2610" spans="1:40" x14ac:dyDescent="0.25">
      <c r="A2610" t="str">
        <f>"20190312151320826"</f>
        <v>20190312151320826</v>
      </c>
      <c r="B2610" t="str">
        <f>"1552374800822409"</f>
        <v>1552374800822409</v>
      </c>
      <c r="C2610" t="s">
        <v>40</v>
      </c>
      <c r="D2610">
        <v>4.5897519999999998</v>
      </c>
      <c r="E2610">
        <v>0.49223939999999999</v>
      </c>
      <c r="F2610" t="s">
        <v>53</v>
      </c>
      <c r="G2610">
        <v>-471.0763</v>
      </c>
      <c r="H2610" s="1">
        <v>5.5151409999999996E-6</v>
      </c>
      <c r="I2610">
        <v>215.3937</v>
      </c>
      <c r="J2610">
        <v>-480.76459999999997</v>
      </c>
      <c r="K2610">
        <v>1.1132850000000001</v>
      </c>
      <c r="L2610">
        <v>217.9007</v>
      </c>
      <c r="M2610">
        <v>0.87439929999999999</v>
      </c>
      <c r="N2610">
        <v>0</v>
      </c>
      <c r="O2610">
        <v>-0.48511209999999999</v>
      </c>
      <c r="P2610">
        <v>0.95924549999999997</v>
      </c>
      <c r="Q2610">
        <v>2.6990630000000002E-2</v>
      </c>
      <c r="R2610">
        <v>-0.28128330000000001</v>
      </c>
      <c r="S2610">
        <v>2.9121090000000001</v>
      </c>
      <c r="T2610">
        <v>-0.32823809999999998</v>
      </c>
      <c r="U2610">
        <v>-0.76789859999999999</v>
      </c>
      <c r="V2610">
        <v>-0.219693</v>
      </c>
      <c r="W2610">
        <v>3.4548389999999998E-2</v>
      </c>
      <c r="X2610">
        <v>0.97495710000000002</v>
      </c>
      <c r="Y2610">
        <v>-0.24215320000000001</v>
      </c>
      <c r="Z2610">
        <v>6.4369919999999997E-2</v>
      </c>
      <c r="AA2610">
        <v>0.96810039999999997</v>
      </c>
      <c r="AB2610">
        <v>20</v>
      </c>
      <c r="AC2610">
        <v>9.6882999999999697</v>
      </c>
      <c r="AD2610">
        <v>-1.113279484859</v>
      </c>
      <c r="AE2610">
        <v>-2.5070000000000001</v>
      </c>
      <c r="AF2610">
        <v>-2.4772506328836701</v>
      </c>
      <c r="AG2610">
        <v>-1.113279484859</v>
      </c>
      <c r="AH2610">
        <v>9.5696352902859498</v>
      </c>
      <c r="AI2610">
        <v>96.425704628111603</v>
      </c>
      <c r="AJ2610">
        <v>104.513325629552</v>
      </c>
      <c r="AK2610">
        <v>9.9475666119215695</v>
      </c>
      <c r="AL2610">
        <v>88.020129024114397</v>
      </c>
      <c r="AM2610">
        <v>102.698709657587</v>
      </c>
      <c r="AN2610">
        <v>0.99999997617049996</v>
      </c>
    </row>
    <row r="2611" spans="1:40" x14ac:dyDescent="0.25">
      <c r="A2611" t="str">
        <f>"20190312151320869"</f>
        <v>20190312151320869</v>
      </c>
      <c r="B2611" t="str">
        <f>"1552374800862425"</f>
        <v>1552374800862425</v>
      </c>
      <c r="C2611" t="s">
        <v>40</v>
      </c>
      <c r="D2611">
        <v>4.4315670000000003</v>
      </c>
      <c r="E2611">
        <v>0.49641550000000001</v>
      </c>
      <c r="F2611" t="s">
        <v>53</v>
      </c>
      <c r="G2611">
        <v>-470.89729999999997</v>
      </c>
      <c r="H2611" s="1">
        <v>5.5911529999999997E-6</v>
      </c>
      <c r="I2611">
        <v>215.31700000000001</v>
      </c>
      <c r="J2611">
        <v>-480.41590000000002</v>
      </c>
      <c r="K2611">
        <v>1.1131040000000001</v>
      </c>
      <c r="L2611">
        <v>217.7244</v>
      </c>
      <c r="M2611">
        <v>0.88010049999999995</v>
      </c>
      <c r="N2611">
        <v>0</v>
      </c>
      <c r="O2611">
        <v>-0.47469060000000002</v>
      </c>
      <c r="P2611">
        <v>0.96100960000000002</v>
      </c>
      <c r="Q2611">
        <v>2.8021419999999998E-2</v>
      </c>
      <c r="R2611">
        <v>-0.275092</v>
      </c>
      <c r="S2611">
        <v>2.9130549999999999</v>
      </c>
      <c r="T2611">
        <v>-0.32866640000000003</v>
      </c>
      <c r="U2611">
        <v>-0.76274109999999995</v>
      </c>
      <c r="V2611">
        <v>-0.21437239999999999</v>
      </c>
      <c r="W2611">
        <v>3.5691130000000001E-2</v>
      </c>
      <c r="X2611">
        <v>0.97609970000000001</v>
      </c>
      <c r="Y2611">
        <v>-0.23239770000000001</v>
      </c>
      <c r="Z2611">
        <v>6.2917410000000007E-2</v>
      </c>
      <c r="AA2611">
        <v>0.97058370000000005</v>
      </c>
      <c r="AB2611">
        <v>20</v>
      </c>
      <c r="AC2611">
        <v>9.5186000000000401</v>
      </c>
      <c r="AD2611">
        <v>-1.113098408847</v>
      </c>
      <c r="AE2611">
        <v>-2.4073999999999902</v>
      </c>
      <c r="AF2611">
        <v>-2.3692945784823101</v>
      </c>
      <c r="AG2611">
        <v>-1.113098408847</v>
      </c>
      <c r="AH2611">
        <v>9.3997210038768699</v>
      </c>
      <c r="AI2611">
        <v>96.550395941885299</v>
      </c>
      <c r="AJ2611">
        <v>104.147281087317</v>
      </c>
      <c r="AK2611">
        <v>9.7574228061577593</v>
      </c>
      <c r="AL2611">
        <v>87.954614480557794</v>
      </c>
      <c r="AM2611">
        <v>102.38672710588401</v>
      </c>
      <c r="AN2611">
        <v>1.0000000034912599</v>
      </c>
    </row>
    <row r="2612" spans="1:40" x14ac:dyDescent="0.25">
      <c r="A2612" t="str">
        <f>"20190312151320891"</f>
        <v>20190312151320891</v>
      </c>
      <c r="B2612" t="str">
        <f>"1552374800882920"</f>
        <v>1552374800882920</v>
      </c>
      <c r="C2612" t="s">
        <v>40</v>
      </c>
      <c r="D2612">
        <v>4.4351050000000001</v>
      </c>
      <c r="E2612">
        <v>0.49662919999999999</v>
      </c>
      <c r="F2612" t="s">
        <v>54</v>
      </c>
      <c r="G2612">
        <v>-468.5498</v>
      </c>
      <c r="H2612" s="1">
        <v>3.0163089999999999E-6</v>
      </c>
      <c r="I2612">
        <v>214.54060000000001</v>
      </c>
      <c r="J2612">
        <v>-480.23289999999997</v>
      </c>
      <c r="K2612">
        <v>1.113024</v>
      </c>
      <c r="L2612">
        <v>217.6336</v>
      </c>
      <c r="M2612">
        <v>0.88293189999999999</v>
      </c>
      <c r="N2612">
        <v>0</v>
      </c>
      <c r="O2612">
        <v>-0.46940369999999998</v>
      </c>
      <c r="P2612">
        <v>0.96180209999999999</v>
      </c>
      <c r="Q2612">
        <v>2.7675089999999999E-2</v>
      </c>
      <c r="R2612">
        <v>-0.27234439999999999</v>
      </c>
      <c r="S2612">
        <v>2.9064329999999998</v>
      </c>
      <c r="T2612">
        <v>-0.27263809999999999</v>
      </c>
      <c r="U2612">
        <v>-0.779815699999999</v>
      </c>
      <c r="V2612">
        <v>-0.21130070000000001</v>
      </c>
      <c r="W2612">
        <v>3.53995E-2</v>
      </c>
      <c r="X2612">
        <v>0.97677979999999998</v>
      </c>
      <c r="Y2612">
        <v>-0.22194620000000001</v>
      </c>
      <c r="Z2612">
        <v>5.1399809999999997E-2</v>
      </c>
      <c r="AA2612">
        <v>0.97370319999999999</v>
      </c>
      <c r="AB2612">
        <v>21</v>
      </c>
      <c r="AC2612">
        <v>11.6830999999999</v>
      </c>
      <c r="AD2612">
        <v>-1.1130209836910001</v>
      </c>
      <c r="AE2612">
        <v>-3.09299999999998</v>
      </c>
      <c r="AF2612">
        <v>-2.7301521681346101</v>
      </c>
      <c r="AG2612">
        <v>-1.1130209836910001</v>
      </c>
      <c r="AH2612">
        <v>11.6688165868848</v>
      </c>
      <c r="AI2612">
        <v>95.306179961453296</v>
      </c>
      <c r="AJ2612">
        <v>103.168608295365</v>
      </c>
      <c r="AK2612">
        <v>12.0355235494624</v>
      </c>
      <c r="AL2612">
        <v>87.971334093885005</v>
      </c>
      <c r="AM2612">
        <v>102.206356380942</v>
      </c>
      <c r="AN2612">
        <v>0.99999994405438797</v>
      </c>
    </row>
    <row r="2613" spans="1:40" x14ac:dyDescent="0.25">
      <c r="A2613" t="str">
        <f>"20190312151320915"</f>
        <v>20190312151320915</v>
      </c>
      <c r="B2613" t="str">
        <f>"1552374800902440"</f>
        <v>1552374800902440</v>
      </c>
      <c r="C2613" t="s">
        <v>40</v>
      </c>
      <c r="D2613">
        <v>4.7031749999999999</v>
      </c>
      <c r="E2613">
        <v>0.49723230000000002</v>
      </c>
      <c r="F2613" t="s">
        <v>54</v>
      </c>
      <c r="G2613">
        <v>-468.4128</v>
      </c>
      <c r="H2613" s="1">
        <v>2.9455949999999999E-6</v>
      </c>
      <c r="I2613">
        <v>214.49029999999999</v>
      </c>
      <c r="J2613">
        <v>-480.04079999999999</v>
      </c>
      <c r="K2613">
        <v>1.1129599999999999</v>
      </c>
      <c r="L2613">
        <v>217.53960000000001</v>
      </c>
      <c r="M2613">
        <v>0.88579059999999898</v>
      </c>
      <c r="N2613">
        <v>0</v>
      </c>
      <c r="O2613">
        <v>-0.46398679999999898</v>
      </c>
      <c r="P2613">
        <v>0.96254589999999995</v>
      </c>
      <c r="Q2613">
        <v>2.8146350000000001E-2</v>
      </c>
      <c r="R2613">
        <v>-0.2696539</v>
      </c>
      <c r="S2613">
        <v>2.9080810000000001</v>
      </c>
      <c r="T2613">
        <v>-0.27383550000000001</v>
      </c>
      <c r="U2613">
        <v>-0.77333069999999904</v>
      </c>
      <c r="V2613">
        <v>-0.20803859999999999</v>
      </c>
      <c r="W2613">
        <v>3.5920819999999999E-2</v>
      </c>
      <c r="X2613">
        <v>0.97746080000000002</v>
      </c>
      <c r="Y2613">
        <v>-0.21814990000000001</v>
      </c>
      <c r="Z2613">
        <v>5.1005120000000001E-2</v>
      </c>
      <c r="AA2613">
        <v>0.97458149999999999</v>
      </c>
      <c r="AB2613">
        <v>21</v>
      </c>
      <c r="AC2613">
        <v>11.627999999999901</v>
      </c>
      <c r="AD2613">
        <v>-1.112957054405</v>
      </c>
      <c r="AE2613">
        <v>-3.0493000000000099</v>
      </c>
      <c r="AF2613">
        <v>-2.6714217606878998</v>
      </c>
      <c r="AG2613">
        <v>-1.112957054405</v>
      </c>
      <c r="AH2613">
        <v>11.6157765822144</v>
      </c>
      <c r="AI2613">
        <v>95.334619225640793</v>
      </c>
      <c r="AJ2613">
        <v>102.95179545211001</v>
      </c>
      <c r="AK2613">
        <v>11.970857665027401</v>
      </c>
      <c r="AL2613">
        <v>87.941445740829593</v>
      </c>
      <c r="AM2613">
        <v>102.01530382859301</v>
      </c>
      <c r="AN2613">
        <v>0.99999998996803596</v>
      </c>
    </row>
    <row r="2614" spans="1:40" x14ac:dyDescent="0.25">
      <c r="A2614" t="str">
        <f>"20190312151320958"</f>
        <v>20190312151320958</v>
      </c>
      <c r="B2614" t="str">
        <f>"1552374800952216"</f>
        <v>1552374800952216</v>
      </c>
      <c r="C2614" t="s">
        <v>40</v>
      </c>
      <c r="D2614">
        <v>4.4634679999999998</v>
      </c>
      <c r="E2614">
        <v>0.49817149999999999</v>
      </c>
      <c r="F2614" t="s">
        <v>53</v>
      </c>
      <c r="G2614">
        <v>-469.99619999999999</v>
      </c>
      <c r="H2614" s="1">
        <v>5.9722729999999999E-6</v>
      </c>
      <c r="I2614">
        <v>214.89439999999999</v>
      </c>
      <c r="J2614">
        <v>-479.68439999999998</v>
      </c>
      <c r="K2614">
        <v>1.112811</v>
      </c>
      <c r="L2614">
        <v>217.3683</v>
      </c>
      <c r="M2614">
        <v>0.89074690000000001</v>
      </c>
      <c r="N2614">
        <v>0</v>
      </c>
      <c r="O2614">
        <v>-0.45439950000000001</v>
      </c>
      <c r="P2614">
        <v>0.96409500000000004</v>
      </c>
      <c r="Q2614">
        <v>2.8182860000000001E-2</v>
      </c>
      <c r="R2614">
        <v>-0.2640574</v>
      </c>
      <c r="S2614">
        <v>2.9113769999999999</v>
      </c>
      <c r="T2614">
        <v>-0.32258500000000001</v>
      </c>
      <c r="U2614">
        <v>-0.76667790000000002</v>
      </c>
      <c r="V2614">
        <v>-0.20315</v>
      </c>
      <c r="W2614">
        <v>3.605187E-2</v>
      </c>
      <c r="X2614">
        <v>0.97848369999999996</v>
      </c>
      <c r="Y2614">
        <v>-0.2090533</v>
      </c>
      <c r="Z2614">
        <v>5.8588460000000002E-2</v>
      </c>
      <c r="AA2614">
        <v>0.9761476</v>
      </c>
      <c r="AB2614">
        <v>21</v>
      </c>
      <c r="AC2614">
        <v>9.6881999999999895</v>
      </c>
      <c r="AD2614">
        <v>-1.1128050277270001</v>
      </c>
      <c r="AE2614">
        <v>-2.4739000000000102</v>
      </c>
      <c r="AF2614">
        <v>-2.1718942566544399</v>
      </c>
      <c r="AG2614">
        <v>-1.1128050277270001</v>
      </c>
      <c r="AH2614">
        <v>9.6349815891681008</v>
      </c>
      <c r="AI2614">
        <v>96.428363401392602</v>
      </c>
      <c r="AJ2614">
        <v>102.703154290649</v>
      </c>
      <c r="AK2614">
        <v>9.9392318574138994</v>
      </c>
      <c r="AL2614">
        <v>87.933932294326198</v>
      </c>
      <c r="AM2614">
        <v>101.728956110119</v>
      </c>
      <c r="AN2614">
        <v>1.00000000549809</v>
      </c>
    </row>
    <row r="2615" spans="1:40" x14ac:dyDescent="0.25">
      <c r="A2615" t="str">
        <f>"20190312151320979"</f>
        <v>20190312151320979</v>
      </c>
      <c r="B2615" t="str">
        <f>"1552374800972712"</f>
        <v>1552374800972712</v>
      </c>
      <c r="C2615" t="s">
        <v>40</v>
      </c>
      <c r="D2615">
        <v>4.4322189999999999</v>
      </c>
      <c r="E2615">
        <v>0.49824190000000002</v>
      </c>
      <c r="F2615" t="s">
        <v>53</v>
      </c>
      <c r="G2615">
        <v>-470.0444</v>
      </c>
      <c r="H2615" s="1">
        <v>5.9496550000000002E-6</v>
      </c>
      <c r="I2615">
        <v>214.8657</v>
      </c>
      <c r="J2615">
        <v>-479.50790000000001</v>
      </c>
      <c r="K2615">
        <v>1.1127100000000001</v>
      </c>
      <c r="L2615">
        <v>217.28489999999999</v>
      </c>
      <c r="M2615">
        <v>0.89304269999999997</v>
      </c>
      <c r="N2615">
        <v>0</v>
      </c>
      <c r="O2615">
        <v>-0.44987120000000003</v>
      </c>
      <c r="P2615">
        <v>0.96498799999999996</v>
      </c>
      <c r="Q2615">
        <v>2.8273719999999999E-2</v>
      </c>
      <c r="R2615">
        <v>-0.2607662</v>
      </c>
      <c r="S2615">
        <v>2.9143680000000001</v>
      </c>
      <c r="T2615">
        <v>-0.336424</v>
      </c>
      <c r="U2615">
        <v>-0.75657649999999999</v>
      </c>
      <c r="V2615">
        <v>-0.20151150000000001</v>
      </c>
      <c r="W2615">
        <v>3.6188629999999999E-2</v>
      </c>
      <c r="X2615">
        <v>0.97881739999999995</v>
      </c>
      <c r="Y2615">
        <v>-0.2072312</v>
      </c>
      <c r="Z2615">
        <v>6.0507569999999997E-2</v>
      </c>
      <c r="AA2615">
        <v>0.97641900000000004</v>
      </c>
      <c r="AB2615">
        <v>21</v>
      </c>
      <c r="AC2615">
        <v>9.4634999999999998</v>
      </c>
      <c r="AD2615">
        <v>-1.1127040503450001</v>
      </c>
      <c r="AE2615">
        <v>-2.41919999999998</v>
      </c>
      <c r="AF2615">
        <v>-2.0701386989396</v>
      </c>
      <c r="AG2615">
        <v>-1.1127040503450001</v>
      </c>
      <c r="AH2615">
        <v>9.4178577772733298</v>
      </c>
      <c r="AI2615">
        <v>96.582447071204697</v>
      </c>
      <c r="AJ2615">
        <v>102.397030890354</v>
      </c>
      <c r="AK2615">
        <v>9.7066796408168905</v>
      </c>
      <c r="AL2615">
        <v>87.926091399855494</v>
      </c>
      <c r="AM2615">
        <v>101.633087638589</v>
      </c>
      <c r="AN2615">
        <v>1.0000000020581401</v>
      </c>
    </row>
    <row r="2616" spans="1:40" x14ac:dyDescent="0.25">
      <c r="A2616" t="str">
        <f>"20190312151321024"</f>
        <v>20190312151321024</v>
      </c>
      <c r="B2616" t="str">
        <f>"1552374801012729"</f>
        <v>1552374801012729</v>
      </c>
      <c r="C2616" t="s">
        <v>40</v>
      </c>
      <c r="D2616">
        <v>4.6285309999999997</v>
      </c>
      <c r="E2616">
        <v>0.49907439999999997</v>
      </c>
      <c r="F2616" t="s">
        <v>54</v>
      </c>
      <c r="G2616">
        <v>-469.83870000000002</v>
      </c>
      <c r="H2616" s="1">
        <v>3.690574E-6</v>
      </c>
      <c r="I2616">
        <v>214.80619999999999</v>
      </c>
      <c r="J2616">
        <v>-479.12909999999999</v>
      </c>
      <c r="K2616">
        <v>1.1124780000000001</v>
      </c>
      <c r="L2616">
        <v>217.1087</v>
      </c>
      <c r="M2616">
        <v>0.89763649999999995</v>
      </c>
      <c r="N2616">
        <v>0</v>
      </c>
      <c r="O2616">
        <v>-0.44063459999999899</v>
      </c>
      <c r="P2616">
        <v>0.9670069</v>
      </c>
      <c r="Q2616">
        <v>2.6759990000000001E-2</v>
      </c>
      <c r="R2616">
        <v>-0.2533417</v>
      </c>
      <c r="S2616">
        <v>2.9166560000000001</v>
      </c>
      <c r="T2616">
        <v>-0.33563979999999999</v>
      </c>
      <c r="U2616">
        <v>-0.74769589999999997</v>
      </c>
      <c r="V2616">
        <v>-0.1989252</v>
      </c>
      <c r="W2616">
        <v>3.4780940000000003E-2</v>
      </c>
      <c r="X2616">
        <v>0.97939730000000003</v>
      </c>
      <c r="Y2616">
        <v>-0.20022090000000001</v>
      </c>
      <c r="Z2616">
        <v>5.9034919999999998E-2</v>
      </c>
      <c r="AA2616">
        <v>0.97797060000000002</v>
      </c>
      <c r="AB2616">
        <v>21</v>
      </c>
      <c r="AC2616">
        <v>9.2903999999999698</v>
      </c>
      <c r="AD2616">
        <v>-1.1124743094259999</v>
      </c>
      <c r="AE2616">
        <v>-2.3025000000000002</v>
      </c>
      <c r="AF2616">
        <v>-1.99993759748337</v>
      </c>
      <c r="AG2616">
        <v>-1.1124743094259999</v>
      </c>
      <c r="AH2616">
        <v>9.2296997545062798</v>
      </c>
      <c r="AI2616">
        <v>96.718382717148302</v>
      </c>
      <c r="AJ2616">
        <v>102.226126623718</v>
      </c>
      <c r="AK2616">
        <v>9.5091906617384492</v>
      </c>
      <c r="AL2616">
        <v>88.006796945304401</v>
      </c>
      <c r="AM2616">
        <v>101.481155542905</v>
      </c>
      <c r="AN2616">
        <v>1.0000000101148001</v>
      </c>
    </row>
    <row r="2617" spans="1:40" x14ac:dyDescent="0.25">
      <c r="A2617" t="str">
        <f>"20190312151321046"</f>
        <v>20190312151321046</v>
      </c>
      <c r="B2617" t="str">
        <f>"1552374801042984"</f>
        <v>1552374801042984</v>
      </c>
      <c r="C2617" t="s">
        <v>40</v>
      </c>
      <c r="D2617">
        <v>4.4446180000000002</v>
      </c>
      <c r="E2617">
        <v>0.4999748</v>
      </c>
      <c r="F2617" t="s">
        <v>54</v>
      </c>
      <c r="G2617">
        <v>-467.78969999999998</v>
      </c>
      <c r="H2617" s="1">
        <v>2.6243520000000002E-6</v>
      </c>
      <c r="I2617">
        <v>214.2542</v>
      </c>
      <c r="J2617">
        <v>-478.94450000000001</v>
      </c>
      <c r="K2617">
        <v>1.1123730000000001</v>
      </c>
      <c r="L2617">
        <v>217.0241</v>
      </c>
      <c r="M2617">
        <v>0.89971009999999996</v>
      </c>
      <c r="N2617">
        <v>0</v>
      </c>
      <c r="O2617">
        <v>-0.43638529999999998</v>
      </c>
      <c r="P2617">
        <v>0.96761189999999997</v>
      </c>
      <c r="Q2617">
        <v>2.5722149999999999E-2</v>
      </c>
      <c r="R2617">
        <v>-0.251129299999999</v>
      </c>
      <c r="S2617">
        <v>2.9178769999999998</v>
      </c>
      <c r="T2617">
        <v>-0.28626489999999999</v>
      </c>
      <c r="U2617">
        <v>-0.73452759999999995</v>
      </c>
      <c r="V2617">
        <v>-0.19653029999999999</v>
      </c>
      <c r="W2617">
        <v>3.380114E-2</v>
      </c>
      <c r="X2617">
        <v>0.97991499999999998</v>
      </c>
      <c r="Y2617">
        <v>-0.20085819999999999</v>
      </c>
      <c r="Z2617">
        <v>5.0077539999999997E-2</v>
      </c>
      <c r="AA2617">
        <v>0.97833959999999998</v>
      </c>
      <c r="AB2617">
        <v>21</v>
      </c>
      <c r="AC2617">
        <v>11.1548</v>
      </c>
      <c r="AD2617">
        <v>-1.1123703756479999</v>
      </c>
      <c r="AE2617">
        <v>-2.7698999999999998</v>
      </c>
      <c r="AF2617">
        <v>-2.35374321804824</v>
      </c>
      <c r="AG2617">
        <v>-1.1123703756479999</v>
      </c>
      <c r="AH2617">
        <v>11.1409787450726</v>
      </c>
      <c r="AI2617">
        <v>95.579440900359998</v>
      </c>
      <c r="AJ2617">
        <v>101.929397569744</v>
      </c>
      <c r="AK2617">
        <v>11.441104946083099</v>
      </c>
      <c r="AL2617">
        <v>88.062968447704193</v>
      </c>
      <c r="AM2617">
        <v>101.340699084272</v>
      </c>
      <c r="AN2617">
        <v>1.0000000415541901</v>
      </c>
    </row>
    <row r="2618" spans="1:40" x14ac:dyDescent="0.25">
      <c r="A2618" t="str">
        <f>"20190312151321069"</f>
        <v>20190312151321069</v>
      </c>
      <c r="B2618" t="str">
        <f>"1552374801062504"</f>
        <v>1552374801062504</v>
      </c>
      <c r="C2618" t="s">
        <v>40</v>
      </c>
      <c r="D2618">
        <v>4.4463210000000002</v>
      </c>
      <c r="E2618">
        <v>0.50055059999999996</v>
      </c>
      <c r="F2618" t="s">
        <v>53</v>
      </c>
      <c r="G2618">
        <v>-469.99599999999998</v>
      </c>
      <c r="H2618" s="1">
        <v>5.9676019999999999E-6</v>
      </c>
      <c r="I2618">
        <v>214.78550000000001</v>
      </c>
      <c r="J2618">
        <v>-478.74529999999999</v>
      </c>
      <c r="K2618">
        <v>1.112271</v>
      </c>
      <c r="L2618">
        <v>216.93389999999999</v>
      </c>
      <c r="M2618">
        <v>0.90182169999999895</v>
      </c>
      <c r="N2618">
        <v>0</v>
      </c>
      <c r="O2618">
        <v>-0.43200490000000002</v>
      </c>
      <c r="P2618">
        <v>0.96837569999999995</v>
      </c>
      <c r="Q2618">
        <v>2.563839E-2</v>
      </c>
      <c r="R2618">
        <v>-0.24817629999999999</v>
      </c>
      <c r="S2618">
        <v>2.9204409999999998</v>
      </c>
      <c r="T2618">
        <v>-0.36303449999999998</v>
      </c>
      <c r="U2618">
        <v>-0.73062130000000003</v>
      </c>
      <c r="V2618">
        <v>-0.19474530000000001</v>
      </c>
      <c r="W2618">
        <v>3.3771120000000002E-2</v>
      </c>
      <c r="X2618">
        <v>0.98027229999999999</v>
      </c>
      <c r="Y2618">
        <v>-0.19595879999999999</v>
      </c>
      <c r="Z2618">
        <v>6.2604430000000003E-2</v>
      </c>
      <c r="AA2618">
        <v>0.97861169999999997</v>
      </c>
      <c r="AB2618">
        <v>21</v>
      </c>
      <c r="AC2618">
        <v>8.7492999999999999</v>
      </c>
      <c r="AD2618">
        <v>-1.1122650323979999</v>
      </c>
      <c r="AE2618">
        <v>-2.1483999999999801</v>
      </c>
      <c r="AF2618">
        <v>-1.81468950445078</v>
      </c>
      <c r="AG2618">
        <v>-1.1122650323979999</v>
      </c>
      <c r="AH2618">
        <v>8.6864232703276798</v>
      </c>
      <c r="AI2618">
        <v>97.144220090848606</v>
      </c>
      <c r="AJ2618">
        <v>101.80000718768299</v>
      </c>
      <c r="AK2618">
        <v>8.9433875422654801</v>
      </c>
      <c r="AL2618">
        <v>88.064689371510696</v>
      </c>
      <c r="AM2618">
        <v>101.236337762999</v>
      </c>
      <c r="AN2618">
        <v>1.0000000012827099</v>
      </c>
    </row>
    <row r="2619" spans="1:40" x14ac:dyDescent="0.25">
      <c r="A2619" t="str">
        <f>"20190312151321091"</f>
        <v>20190312151321091</v>
      </c>
      <c r="B2619" t="str">
        <f>"1552374801083000"</f>
        <v>1552374801083000</v>
      </c>
      <c r="C2619" t="s">
        <v>40</v>
      </c>
      <c r="D2619">
        <v>4.6064429999999996</v>
      </c>
      <c r="E2619">
        <v>0.50111870000000003</v>
      </c>
      <c r="F2619" t="s">
        <v>54</v>
      </c>
      <c r="G2619">
        <v>-469.78339999999997</v>
      </c>
      <c r="H2619" s="1">
        <v>3.665541E-6</v>
      </c>
      <c r="I2619">
        <v>214.70509999999999</v>
      </c>
      <c r="J2619">
        <v>-478.56049999999999</v>
      </c>
      <c r="K2619">
        <v>1.1121890000000001</v>
      </c>
      <c r="L2619">
        <v>216.851</v>
      </c>
      <c r="M2619">
        <v>0.90368740000000003</v>
      </c>
      <c r="N2619">
        <v>0</v>
      </c>
      <c r="O2619">
        <v>-0.42808819999999997</v>
      </c>
      <c r="P2619">
        <v>0.96911080000000005</v>
      </c>
      <c r="Q2619">
        <v>2.6041809999999999E-2</v>
      </c>
      <c r="R2619">
        <v>-0.2452472</v>
      </c>
      <c r="S2619">
        <v>2.9213870000000002</v>
      </c>
      <c r="T2619">
        <v>-0.36257309999999998</v>
      </c>
      <c r="U2619">
        <v>-0.72654719999999995</v>
      </c>
      <c r="V2619">
        <v>-0.1934469</v>
      </c>
      <c r="W2619">
        <v>3.421337E-2</v>
      </c>
      <c r="X2619">
        <v>0.980514</v>
      </c>
      <c r="Y2619">
        <v>-0.19312009999999999</v>
      </c>
      <c r="Z2619">
        <v>6.1921249999999997E-2</v>
      </c>
      <c r="AA2619">
        <v>0.97921930000000001</v>
      </c>
      <c r="AB2619">
        <v>21</v>
      </c>
      <c r="AC2619">
        <v>8.7771000000000097</v>
      </c>
      <c r="AD2619">
        <v>-1.11218533445899</v>
      </c>
      <c r="AE2619">
        <v>-2.1459000000000099</v>
      </c>
      <c r="AF2619">
        <v>-1.79109486828958</v>
      </c>
      <c r="AG2619">
        <v>-1.11218533445899</v>
      </c>
      <c r="AH2619">
        <v>8.7186894855572099</v>
      </c>
      <c r="AI2619">
        <v>97.122418097574297</v>
      </c>
      <c r="AJ2619">
        <v>101.608859137458</v>
      </c>
      <c r="AK2619">
        <v>8.9699790072755903</v>
      </c>
      <c r="AL2619">
        <v>88.039335621071004</v>
      </c>
      <c r="AM2619">
        <v>101.16062810616199</v>
      </c>
      <c r="AN2619">
        <v>0.99999998100118304</v>
      </c>
    </row>
    <row r="2620" spans="1:40" x14ac:dyDescent="0.25">
      <c r="A2620" t="str">
        <f>"20190312151321114"</f>
        <v>20190312151321114</v>
      </c>
      <c r="B2620" t="str">
        <f>"1552374801102520"</f>
        <v>1552374801102520</v>
      </c>
      <c r="C2620" t="s">
        <v>40</v>
      </c>
      <c r="D2620">
        <v>4.4428390000000002</v>
      </c>
      <c r="E2620">
        <v>0.50116059999999996</v>
      </c>
      <c r="F2620" t="s">
        <v>54</v>
      </c>
      <c r="G2620">
        <v>-469.53550000000001</v>
      </c>
      <c r="H2620" s="1">
        <v>3.537438E-6</v>
      </c>
      <c r="I2620">
        <v>214.61869999999999</v>
      </c>
      <c r="J2620">
        <v>-478.37049999999999</v>
      </c>
      <c r="K2620">
        <v>1.1121209999999999</v>
      </c>
      <c r="L2620">
        <v>216.76650000000001</v>
      </c>
      <c r="M2620">
        <v>0.90552120000000003</v>
      </c>
      <c r="N2620">
        <v>0</v>
      </c>
      <c r="O2620">
        <v>-0.42419560000000001</v>
      </c>
      <c r="P2620">
        <v>0.96979539999999997</v>
      </c>
      <c r="Q2620">
        <v>2.6322459999999999E-2</v>
      </c>
      <c r="R2620">
        <v>-0.2424955</v>
      </c>
      <c r="S2620">
        <v>2.9223629999999998</v>
      </c>
      <c r="T2620">
        <v>-0.36013309999999998</v>
      </c>
      <c r="U2620">
        <v>-0.72283940000000002</v>
      </c>
      <c r="V2620">
        <v>-0.1920027</v>
      </c>
      <c r="W2620">
        <v>3.4529799999999999E-2</v>
      </c>
      <c r="X2620">
        <v>0.98078670000000001</v>
      </c>
      <c r="Y2620">
        <v>-0.19024679999999999</v>
      </c>
      <c r="Z2620">
        <v>6.090512E-2</v>
      </c>
      <c r="AA2620">
        <v>0.97984519999999997</v>
      </c>
      <c r="AB2620">
        <v>21</v>
      </c>
      <c r="AC2620">
        <v>8.8349999999999795</v>
      </c>
      <c r="AD2620">
        <v>-1.1121174625619901</v>
      </c>
      <c r="AE2620">
        <v>-2.1478000000000099</v>
      </c>
      <c r="AF2620">
        <v>-1.77639422742828</v>
      </c>
      <c r="AG2620">
        <v>-1.1121174625619901</v>
      </c>
      <c r="AH2620">
        <v>8.7804046805007392</v>
      </c>
      <c r="AI2620">
        <v>97.076712160603293</v>
      </c>
      <c r="AJ2620">
        <v>101.43733005076</v>
      </c>
      <c r="AK2620">
        <v>9.0270641991256007</v>
      </c>
      <c r="AL2620">
        <v>88.021194731610507</v>
      </c>
      <c r="AM2620">
        <v>101.07637183910801</v>
      </c>
      <c r="AN2620">
        <v>0.99999994739610798</v>
      </c>
    </row>
    <row r="2621" spans="1:40" x14ac:dyDescent="0.25">
      <c r="A2621" t="str">
        <f>"20190312151321161"</f>
        <v>20190312151321161</v>
      </c>
      <c r="B2621" t="str">
        <f>"1552374801152296"</f>
        <v>1552374801152296</v>
      </c>
      <c r="C2621" t="s">
        <v>40</v>
      </c>
      <c r="D2621">
        <v>4.4733609999999997</v>
      </c>
      <c r="E2621">
        <v>0.50170009999999998</v>
      </c>
      <c r="F2621" t="s">
        <v>54</v>
      </c>
      <c r="G2621">
        <v>-469.37189999999998</v>
      </c>
      <c r="H2621" s="1">
        <v>3.452631E-6</v>
      </c>
      <c r="I2621">
        <v>214.56720000000001</v>
      </c>
      <c r="J2621">
        <v>-477.96749999999997</v>
      </c>
      <c r="K2621">
        <v>1.1120019999999999</v>
      </c>
      <c r="L2621">
        <v>216.5899</v>
      </c>
      <c r="M2621">
        <v>0.90915140000000005</v>
      </c>
      <c r="N2621">
        <v>0</v>
      </c>
      <c r="O2621">
        <v>-0.41635879999999997</v>
      </c>
      <c r="P2621">
        <v>0.97132189999999996</v>
      </c>
      <c r="Q2621">
        <v>2.748859E-2</v>
      </c>
      <c r="R2621">
        <v>-0.23617469999999999</v>
      </c>
      <c r="S2621">
        <v>2.9245299999999999</v>
      </c>
      <c r="T2621">
        <v>-0.36143930000000002</v>
      </c>
      <c r="U2621">
        <v>-0.71478269999999899</v>
      </c>
      <c r="V2621">
        <v>-0.18990029999999999</v>
      </c>
      <c r="W2621">
        <v>3.5756419999999997E-2</v>
      </c>
      <c r="X2621">
        <v>0.98115209999999997</v>
      </c>
      <c r="Y2621">
        <v>-0.1845425</v>
      </c>
      <c r="Z2621">
        <v>5.9907469999999997E-2</v>
      </c>
      <c r="AA2621">
        <v>0.98099700000000001</v>
      </c>
      <c r="AB2621">
        <v>21</v>
      </c>
      <c r="AC2621">
        <v>8.5955999999999904</v>
      </c>
      <c r="AD2621">
        <v>-1.1119985473689999</v>
      </c>
      <c r="AE2621">
        <v>-2.02269999999998</v>
      </c>
      <c r="AF2621">
        <v>-1.71282856896589</v>
      </c>
      <c r="AG2621">
        <v>-1.1119985473689999</v>
      </c>
      <c r="AH2621">
        <v>8.5221123600862594</v>
      </c>
      <c r="AI2621">
        <v>97.290006549047405</v>
      </c>
      <c r="AJ2621">
        <v>101.364264253353</v>
      </c>
      <c r="AK2621">
        <v>8.7633738682057594</v>
      </c>
      <c r="AL2621">
        <v>87.950871333739897</v>
      </c>
      <c r="AM2621">
        <v>100.954056651467</v>
      </c>
      <c r="AN2621">
        <v>1.0000000444228501</v>
      </c>
    </row>
    <row r="2622" spans="1:40" x14ac:dyDescent="0.25">
      <c r="A2622" t="str">
        <f>"20190312151321180"</f>
        <v>20190312151321180</v>
      </c>
      <c r="B2622" t="str">
        <f>"1552374801172793"</f>
        <v>1552374801172793</v>
      </c>
      <c r="C2622" t="s">
        <v>40</v>
      </c>
      <c r="D2622">
        <v>4.5012400000000001</v>
      </c>
      <c r="E2622">
        <v>0.50213229999999998</v>
      </c>
      <c r="F2622" t="s">
        <v>54</v>
      </c>
      <c r="G2622">
        <v>-469.04270000000002</v>
      </c>
      <c r="H2622" s="1">
        <v>3.2822169999999999E-6</v>
      </c>
      <c r="I2622">
        <v>214.45760000000001</v>
      </c>
      <c r="J2622">
        <v>-477.7971</v>
      </c>
      <c r="K2622">
        <v>1.11196299999999</v>
      </c>
      <c r="L2622">
        <v>216.5163</v>
      </c>
      <c r="M2622">
        <v>0.91059800000000002</v>
      </c>
      <c r="N2622">
        <v>0</v>
      </c>
      <c r="O2622">
        <v>-0.41318569999999999</v>
      </c>
      <c r="P2622">
        <v>0.97193689999999999</v>
      </c>
      <c r="Q2622">
        <v>2.7949459999999999E-2</v>
      </c>
      <c r="R2622">
        <v>-0.23357629999999999</v>
      </c>
      <c r="S2622">
        <v>2.9288020000000001</v>
      </c>
      <c r="T2622">
        <v>-0.36491699999999999</v>
      </c>
      <c r="U2622">
        <v>-0.69973750000000001</v>
      </c>
      <c r="V2622">
        <v>-0.18909500000000001</v>
      </c>
      <c r="W2622">
        <v>3.6239140000000003E-2</v>
      </c>
      <c r="X2622">
        <v>0.98128990000000005</v>
      </c>
      <c r="Y2622">
        <v>-0.18614249999999999</v>
      </c>
      <c r="Z2622">
        <v>6.0191130000000002E-2</v>
      </c>
      <c r="AA2622">
        <v>0.98067729999999997</v>
      </c>
      <c r="AB2622">
        <v>21</v>
      </c>
      <c r="AC2622">
        <v>8.7543999999999702</v>
      </c>
      <c r="AD2622">
        <v>-1.1119597177829901</v>
      </c>
      <c r="AE2622">
        <v>-2.05869999999998</v>
      </c>
      <c r="AF2622">
        <v>-1.7163822666595601</v>
      </c>
      <c r="AG2622">
        <v>-1.1119597177829901</v>
      </c>
      <c r="AH2622">
        <v>8.6899057767630392</v>
      </c>
      <c r="AI2622">
        <v>97.155177822876297</v>
      </c>
      <c r="AJ2622">
        <v>101.172935037857</v>
      </c>
      <c r="AK2622">
        <v>8.9273111802095908</v>
      </c>
      <c r="AL2622">
        <v>87.923195550774395</v>
      </c>
      <c r="AM2622">
        <v>100.907225987426</v>
      </c>
      <c r="AN2622">
        <v>1.0000000310674699</v>
      </c>
    </row>
    <row r="2623" spans="1:40" x14ac:dyDescent="0.25">
      <c r="A2623" t="str">
        <f>"20190312151321204"</f>
        <v>20190312151321204</v>
      </c>
      <c r="B2623" t="str">
        <f>"1552374801192312"</f>
        <v>1552374801192312</v>
      </c>
      <c r="C2623" t="s">
        <v>40</v>
      </c>
      <c r="D2623">
        <v>4.4336909999999996</v>
      </c>
      <c r="E2623">
        <v>0.50244999999999995</v>
      </c>
      <c r="F2623" t="s">
        <v>54</v>
      </c>
      <c r="G2623">
        <v>-468.88929999999999</v>
      </c>
      <c r="H2623" s="1">
        <v>3.202991E-6</v>
      </c>
      <c r="I2623">
        <v>214.40260000000001</v>
      </c>
      <c r="J2623">
        <v>-477.59820000000002</v>
      </c>
      <c r="K2623">
        <v>1.111918</v>
      </c>
      <c r="L2623">
        <v>216.43109999999999</v>
      </c>
      <c r="M2623">
        <v>0.91223069999999895</v>
      </c>
      <c r="N2623">
        <v>0</v>
      </c>
      <c r="O2623">
        <v>-0.40956809999999899</v>
      </c>
      <c r="P2623">
        <v>0.97255559999999996</v>
      </c>
      <c r="Q2623">
        <v>2.790291E-2</v>
      </c>
      <c r="R2623">
        <v>-0.23099140000000001</v>
      </c>
      <c r="S2623">
        <v>2.9299930000000001</v>
      </c>
      <c r="T2623">
        <v>-0.36575210000000002</v>
      </c>
      <c r="U2623">
        <v>-0.69525150000000002</v>
      </c>
      <c r="V2623">
        <v>-0.187805</v>
      </c>
      <c r="W2623">
        <v>3.6220080000000002E-2</v>
      </c>
      <c r="X2623">
        <v>0.98153829999999997</v>
      </c>
      <c r="Y2623">
        <v>-0.183777</v>
      </c>
      <c r="Z2623">
        <v>5.9772739999999998E-2</v>
      </c>
      <c r="AA2623">
        <v>0.98114900000000005</v>
      </c>
      <c r="AB2623">
        <v>21</v>
      </c>
      <c r="AC2623">
        <v>8.7089000000000194</v>
      </c>
      <c r="AD2623">
        <v>-1.111914797009</v>
      </c>
      <c r="AE2623">
        <v>-2.0284999999999802</v>
      </c>
      <c r="AF2623">
        <v>-1.6903673259363701</v>
      </c>
      <c r="AG2623">
        <v>-1.111914797009</v>
      </c>
      <c r="AH2623">
        <v>8.6420999264535592</v>
      </c>
      <c r="AI2623">
        <v>97.196641079116702</v>
      </c>
      <c r="AJ2623">
        <v>101.067148327655</v>
      </c>
      <c r="AK2623">
        <v>8.8757865764792694</v>
      </c>
      <c r="AL2623">
        <v>87.924288309569803</v>
      </c>
      <c r="AM2623">
        <v>100.831907193177</v>
      </c>
      <c r="AN2623">
        <v>1.00000002329354</v>
      </c>
    </row>
    <row r="2624" spans="1:40" x14ac:dyDescent="0.25">
      <c r="A2624" t="str">
        <f>"20190312151321226"</f>
        <v>20190312151321226</v>
      </c>
      <c r="B2624" t="str">
        <f>"1552374801222569"</f>
        <v>1552374801222569</v>
      </c>
      <c r="C2624" t="s">
        <v>40</v>
      </c>
      <c r="D2624">
        <v>4.6438930000000003</v>
      </c>
      <c r="E2624">
        <v>0.50928830000000003</v>
      </c>
      <c r="F2624" t="s">
        <v>54</v>
      </c>
      <c r="G2624">
        <v>-468.77800000000002</v>
      </c>
      <c r="H2624" s="1">
        <v>3.1457600000000002E-6</v>
      </c>
      <c r="I2624">
        <v>214.35640000000001</v>
      </c>
      <c r="J2624">
        <v>-477.40210000000002</v>
      </c>
      <c r="K2624">
        <v>1.111885</v>
      </c>
      <c r="L2624">
        <v>216.34790000000001</v>
      </c>
      <c r="M2624">
        <v>0.91378269999999995</v>
      </c>
      <c r="N2624">
        <v>0</v>
      </c>
      <c r="O2624">
        <v>-0.40609410000000001</v>
      </c>
      <c r="P2624">
        <v>0.97309259999999997</v>
      </c>
      <c r="Q2624">
        <v>2.856976E-2</v>
      </c>
      <c r="R2624">
        <v>-0.22863749999999999</v>
      </c>
      <c r="S2624">
        <v>2.9314879999999999</v>
      </c>
      <c r="T2624">
        <v>-0.369556</v>
      </c>
      <c r="U2624">
        <v>-0.68952939999999996</v>
      </c>
      <c r="V2624">
        <v>-0.18643670000000001</v>
      </c>
      <c r="W2624">
        <v>3.6913420000000002E-2</v>
      </c>
      <c r="X2624">
        <v>0.98177329999999996</v>
      </c>
      <c r="Y2624">
        <v>-0.18191599999999999</v>
      </c>
      <c r="Z2624">
        <v>5.9873309999999999E-2</v>
      </c>
      <c r="AA2624">
        <v>0.98148950000000001</v>
      </c>
      <c r="AB2624">
        <v>21</v>
      </c>
      <c r="AC2624">
        <v>8.6240999999999897</v>
      </c>
      <c r="AD2624">
        <v>-1.11188185424</v>
      </c>
      <c r="AE2624">
        <v>-1.9915</v>
      </c>
      <c r="AF2624">
        <v>-1.6563343766598</v>
      </c>
      <c r="AG2624">
        <v>-1.11188185424</v>
      </c>
      <c r="AH2624">
        <v>8.5546763588435901</v>
      </c>
      <c r="AI2624">
        <v>97.271860065997402</v>
      </c>
      <c r="AJ2624">
        <v>100.957875141076</v>
      </c>
      <c r="AK2624">
        <v>8.7842024356028308</v>
      </c>
      <c r="AL2624">
        <v>87.884536278523598</v>
      </c>
      <c r="AM2624">
        <v>100.752321585917</v>
      </c>
      <c r="AN2624">
        <v>1.00000002813793</v>
      </c>
    </row>
    <row r="2625" spans="1:40" x14ac:dyDescent="0.25">
      <c r="A2625" t="str">
        <f>"20190312151321247"</f>
        <v>20190312151321247</v>
      </c>
      <c r="B2625" t="str">
        <f>"1552374801243064"</f>
        <v>1552374801243064</v>
      </c>
      <c r="C2625" t="s">
        <v>40</v>
      </c>
      <c r="D2625">
        <v>4.530767</v>
      </c>
      <c r="E2625">
        <v>0.50433609999999995</v>
      </c>
      <c r="F2625" t="s">
        <v>54</v>
      </c>
      <c r="G2625">
        <v>-468.27620000000002</v>
      </c>
      <c r="H2625" s="1">
        <v>2.892239E-6</v>
      </c>
      <c r="I2625">
        <v>214.048</v>
      </c>
      <c r="J2625">
        <v>-477.21249999999998</v>
      </c>
      <c r="K2625">
        <v>1.1118520000000001</v>
      </c>
      <c r="L2625">
        <v>216.2681</v>
      </c>
      <c r="M2625">
        <v>0.91523520000000003</v>
      </c>
      <c r="N2625">
        <v>0</v>
      </c>
      <c r="O2625">
        <v>-0.40280939999999998</v>
      </c>
      <c r="P2625">
        <v>0.97360250000000004</v>
      </c>
      <c r="Q2625">
        <v>2.9507889999999998E-2</v>
      </c>
      <c r="R2625">
        <v>-0.22633539999999999</v>
      </c>
      <c r="S2625">
        <v>2.9205019999999999</v>
      </c>
      <c r="T2625">
        <v>-0.35582849999999999</v>
      </c>
      <c r="U2625">
        <v>-0.73602290000000004</v>
      </c>
      <c r="V2625">
        <v>-0.18522250000000001</v>
      </c>
      <c r="W2625">
        <v>3.78731E-2</v>
      </c>
      <c r="X2625">
        <v>0.98196649999999996</v>
      </c>
      <c r="Y2625">
        <v>-0.1632227</v>
      </c>
      <c r="Z2625">
        <v>5.6258410000000002E-2</v>
      </c>
      <c r="AA2625">
        <v>0.98498390000000002</v>
      </c>
      <c r="AB2625">
        <v>21</v>
      </c>
      <c r="AC2625">
        <v>8.9362999999999602</v>
      </c>
      <c r="AD2625">
        <v>-1.111849107761</v>
      </c>
      <c r="AE2625">
        <v>-2.2201</v>
      </c>
      <c r="AF2625">
        <v>-1.5452516234565701</v>
      </c>
      <c r="AG2625">
        <v>-1.111849107761</v>
      </c>
      <c r="AH2625">
        <v>8.9431047567379895</v>
      </c>
      <c r="AI2625">
        <v>96.984468266847003</v>
      </c>
      <c r="AJ2625">
        <v>99.803167770596204</v>
      </c>
      <c r="AK2625">
        <v>9.1434749252247496</v>
      </c>
      <c r="AL2625">
        <v>87.829512070155005</v>
      </c>
      <c r="AM2625">
        <v>100.68185872711599</v>
      </c>
      <c r="AN2625">
        <v>0.999999976666054</v>
      </c>
    </row>
    <row r="2626" spans="1:40" x14ac:dyDescent="0.25">
      <c r="A2626" t="str">
        <f>"20190312151321270"</f>
        <v>20190312151321270</v>
      </c>
      <c r="B2626" t="str">
        <f>"1552374801262584"</f>
        <v>1552374801262584</v>
      </c>
      <c r="C2626" t="s">
        <v>40</v>
      </c>
      <c r="D2626">
        <v>4.5044060000000004</v>
      </c>
      <c r="E2626">
        <v>0.49785010000000002</v>
      </c>
      <c r="F2626" t="s">
        <v>54</v>
      </c>
      <c r="G2626">
        <v>-467.95299999999997</v>
      </c>
      <c r="H2626" s="1">
        <v>2.7185520000000001E-6</v>
      </c>
      <c r="I2626">
        <v>214.08699999999999</v>
      </c>
      <c r="J2626">
        <v>-477.01150000000001</v>
      </c>
      <c r="K2626">
        <v>1.111834</v>
      </c>
      <c r="L2626">
        <v>216.18440000000001</v>
      </c>
      <c r="M2626">
        <v>0.91673769999999999</v>
      </c>
      <c r="N2626">
        <v>0</v>
      </c>
      <c r="O2626">
        <v>-0.39937810000000001</v>
      </c>
      <c r="P2626">
        <v>0.97431219999999996</v>
      </c>
      <c r="Q2626">
        <v>2.9452229999999999E-2</v>
      </c>
      <c r="R2626">
        <v>-0.22326750000000001</v>
      </c>
      <c r="S2626">
        <v>2.9315190000000002</v>
      </c>
      <c r="T2626">
        <v>-0.35200930000000002</v>
      </c>
      <c r="U2626">
        <v>-0.6905365</v>
      </c>
      <c r="V2626">
        <v>-0.18463560000000001</v>
      </c>
      <c r="W2626">
        <v>3.7830210000000003E-2</v>
      </c>
      <c r="X2626">
        <v>0.98207869999999997</v>
      </c>
      <c r="Y2626">
        <v>-0.1748535</v>
      </c>
      <c r="Z2626">
        <v>5.5911080000000002E-2</v>
      </c>
      <c r="AA2626">
        <v>0.98300569999999998</v>
      </c>
      <c r="AB2626">
        <v>21</v>
      </c>
      <c r="AC2626">
        <v>9.0584999999999791</v>
      </c>
      <c r="AD2626">
        <v>-1.111831281448</v>
      </c>
      <c r="AE2626">
        <v>-2.0973999999999902</v>
      </c>
      <c r="AF2626">
        <v>-1.6711813130829001</v>
      </c>
      <c r="AG2626">
        <v>-1.111831281448</v>
      </c>
      <c r="AH2626">
        <v>9.0134542056753197</v>
      </c>
      <c r="AI2626">
        <v>96.915360681374594</v>
      </c>
      <c r="AJ2626">
        <v>100.503910506976</v>
      </c>
      <c r="AK2626">
        <v>9.2342499694024909</v>
      </c>
      <c r="AL2626">
        <v>87.831971301918301</v>
      </c>
      <c r="AM2626">
        <v>100.647598436674</v>
      </c>
      <c r="AN2626">
        <v>1.00000000128484</v>
      </c>
    </row>
    <row r="2627" spans="1:40" x14ac:dyDescent="0.25">
      <c r="A2627" t="str">
        <f>"20190312151321293"</f>
        <v>20190312151321293</v>
      </c>
      <c r="B2627" t="str">
        <f>"1552374801283080"</f>
        <v>1552374801283080</v>
      </c>
      <c r="C2627" t="s">
        <v>40</v>
      </c>
      <c r="D2627">
        <v>4.5017880000000003</v>
      </c>
      <c r="E2627">
        <v>0.49477670000000001</v>
      </c>
      <c r="F2627" t="s">
        <v>54</v>
      </c>
      <c r="G2627">
        <v>-467.38709999999998</v>
      </c>
      <c r="H2627" s="1">
        <v>2.4158600000000002E-6</v>
      </c>
      <c r="I2627">
        <v>214.12180000000001</v>
      </c>
      <c r="J2627">
        <v>-476.80700000000002</v>
      </c>
      <c r="K2627">
        <v>1.111836</v>
      </c>
      <c r="L2627">
        <v>216.1001</v>
      </c>
      <c r="M2627">
        <v>0.91823480000000002</v>
      </c>
      <c r="N2627">
        <v>0</v>
      </c>
      <c r="O2627">
        <v>-0.3959239</v>
      </c>
      <c r="P2627">
        <v>0.97476980000000002</v>
      </c>
      <c r="Q2627">
        <v>2.95301E-2</v>
      </c>
      <c r="R2627">
        <v>-0.22125049999999999</v>
      </c>
      <c r="S2627">
        <v>2.944763</v>
      </c>
      <c r="T2627">
        <v>-0.3401843</v>
      </c>
      <c r="U2627">
        <v>-0.63108830000000005</v>
      </c>
      <c r="V2627">
        <v>-0.18296899999999999</v>
      </c>
      <c r="W2627">
        <v>3.7923600000000002E-2</v>
      </c>
      <c r="X2627">
        <v>0.98238689999999995</v>
      </c>
      <c r="Y2627">
        <v>-0.1911754</v>
      </c>
      <c r="Z2627">
        <v>5.4541480000000003E-2</v>
      </c>
      <c r="AA2627">
        <v>0.9800394</v>
      </c>
      <c r="AB2627">
        <v>21</v>
      </c>
      <c r="AC2627">
        <v>9.4198999999999806</v>
      </c>
      <c r="AD2627">
        <v>-1.11183358414</v>
      </c>
      <c r="AE2627">
        <v>-1.97829999999999</v>
      </c>
      <c r="AF2627">
        <v>-1.8879150658998001</v>
      </c>
      <c r="AG2627">
        <v>-1.11183358414</v>
      </c>
      <c r="AH2627">
        <v>9.3091477321916507</v>
      </c>
      <c r="AI2627">
        <v>96.676187551522105</v>
      </c>
      <c r="AJ2627">
        <v>101.46422462872501</v>
      </c>
      <c r="AK2627">
        <v>9.5635050433741107</v>
      </c>
      <c r="AL2627">
        <v>87.8266164686667</v>
      </c>
      <c r="AM2627">
        <v>100.55042071184999</v>
      </c>
      <c r="AN2627">
        <v>0.99999993784478203</v>
      </c>
    </row>
    <row r="2628" spans="1:40" x14ac:dyDescent="0.25">
      <c r="A2628" t="str">
        <f>"20190312151321315"</f>
        <v>20190312151321315</v>
      </c>
      <c r="B2628" t="str">
        <f>"1552374801302601"</f>
        <v>1552374801302601</v>
      </c>
      <c r="C2628" t="s">
        <v>40</v>
      </c>
      <c r="D2628">
        <v>4.4890689999999998</v>
      </c>
      <c r="E2628">
        <v>0.49293330000000002</v>
      </c>
      <c r="F2628" t="s">
        <v>54</v>
      </c>
      <c r="G2628">
        <v>-466.69880000000001</v>
      </c>
      <c r="H2628" s="1">
        <v>2.0531330000000002E-6</v>
      </c>
      <c r="I2628">
        <v>214.04040000000001</v>
      </c>
      <c r="J2628">
        <v>-476.62139999999999</v>
      </c>
      <c r="K2628">
        <v>1.111853</v>
      </c>
      <c r="L2628">
        <v>216.02430000000001</v>
      </c>
      <c r="M2628">
        <v>0.91957089999999997</v>
      </c>
      <c r="N2628">
        <v>0</v>
      </c>
      <c r="O2628">
        <v>-0.39281060000000001</v>
      </c>
      <c r="P2628">
        <v>0.97518890000000003</v>
      </c>
      <c r="Q2628">
        <v>3.0056159999999998E-2</v>
      </c>
      <c r="R2628">
        <v>-0.21932560000000001</v>
      </c>
      <c r="S2628">
        <v>2.950958</v>
      </c>
      <c r="T2628">
        <v>-0.32458520000000002</v>
      </c>
      <c r="U2628">
        <v>-0.60130309999999998</v>
      </c>
      <c r="V2628">
        <v>-0.18157619999999999</v>
      </c>
      <c r="W2628">
        <v>3.8458699999999998E-2</v>
      </c>
      <c r="X2628">
        <v>0.98262450000000001</v>
      </c>
      <c r="Y2628">
        <v>-0.19804579999999999</v>
      </c>
      <c r="Z2628">
        <v>5.2086680000000003E-2</v>
      </c>
      <c r="AA2628">
        <v>0.97880789999999995</v>
      </c>
      <c r="AB2628">
        <v>21</v>
      </c>
      <c r="AC2628">
        <v>9.9225999999999797</v>
      </c>
      <c r="AD2628">
        <v>-1.1118509468669999</v>
      </c>
      <c r="AE2628">
        <v>-1.9839</v>
      </c>
      <c r="AF2628">
        <v>-2.0487237480175602</v>
      </c>
      <c r="AG2628">
        <v>-1.1118509468669999</v>
      </c>
      <c r="AH2628">
        <v>9.7861238843242493</v>
      </c>
      <c r="AI2628">
        <v>96.345465049217694</v>
      </c>
      <c r="AJ2628">
        <v>101.824097999003</v>
      </c>
      <c r="AK2628">
        <v>10.059905675655299</v>
      </c>
      <c r="AL2628">
        <v>87.795935133654694</v>
      </c>
      <c r="AM2628">
        <v>100.46941566567099</v>
      </c>
      <c r="AN2628">
        <v>0.99999994800618797</v>
      </c>
    </row>
    <row r="2629" spans="1:40" x14ac:dyDescent="0.25">
      <c r="A2629" t="str">
        <f>"20190312151321362"</f>
        <v>20190312151321362</v>
      </c>
      <c r="B2629" t="str">
        <f>"1552374801353353"</f>
        <v>1552374801353353</v>
      </c>
      <c r="C2629" t="s">
        <v>40</v>
      </c>
      <c r="D2629">
        <v>4.4557739999999999</v>
      </c>
      <c r="E2629">
        <v>0.49148999999999998</v>
      </c>
      <c r="F2629" t="s">
        <v>54</v>
      </c>
      <c r="G2629">
        <v>-466.37189999999998</v>
      </c>
      <c r="H2629" s="1">
        <v>1.8805799999999999E-6</v>
      </c>
      <c r="I2629">
        <v>214.00880000000001</v>
      </c>
      <c r="J2629">
        <v>-476.20620000000002</v>
      </c>
      <c r="K2629">
        <v>1.1118809999999999</v>
      </c>
      <c r="L2629">
        <v>215.85720000000001</v>
      </c>
      <c r="M2629">
        <v>0.92250080000000001</v>
      </c>
      <c r="N2629">
        <v>0</v>
      </c>
      <c r="O2629">
        <v>-0.38587880000000002</v>
      </c>
      <c r="P2629">
        <v>0.97615750000000001</v>
      </c>
      <c r="Q2629">
        <v>2.9789139999999999E-2</v>
      </c>
      <c r="R2629">
        <v>-0.2150097</v>
      </c>
      <c r="S2629">
        <v>2.9555660000000001</v>
      </c>
      <c r="T2629">
        <v>-0.32061600000000001</v>
      </c>
      <c r="U2629">
        <v>-0.58117680000000005</v>
      </c>
      <c r="V2629">
        <v>-0.178531</v>
      </c>
      <c r="W2629">
        <v>3.8206169999999998E-2</v>
      </c>
      <c r="X2629">
        <v>0.98319230000000002</v>
      </c>
      <c r="Y2629">
        <v>-0.1974996</v>
      </c>
      <c r="Z2629">
        <v>5.0712680000000003E-2</v>
      </c>
      <c r="AA2629">
        <v>0.97899040000000004</v>
      </c>
      <c r="AB2629">
        <v>21</v>
      </c>
      <c r="AC2629">
        <v>9.8343000000000398</v>
      </c>
      <c r="AD2629">
        <v>-1.11187911942</v>
      </c>
      <c r="AE2629">
        <v>-1.8483999999999901</v>
      </c>
      <c r="AF2629">
        <v>-2.06430393114415</v>
      </c>
      <c r="AG2629">
        <v>-1.11187911942</v>
      </c>
      <c r="AH2629">
        <v>9.6664981947088808</v>
      </c>
      <c r="AI2629">
        <v>96.418085150945402</v>
      </c>
      <c r="AJ2629">
        <v>102.054580068909</v>
      </c>
      <c r="AK2629">
        <v>9.9467991456874891</v>
      </c>
      <c r="AL2629">
        <v>87.810414933787598</v>
      </c>
      <c r="AM2629">
        <v>100.29180178299499</v>
      </c>
      <c r="AN2629">
        <v>1.0000000640831701</v>
      </c>
    </row>
    <row r="2630" spans="1:40" x14ac:dyDescent="0.25">
      <c r="A2630" t="str">
        <f>"20190312151321404"</f>
        <v>20190312151321404</v>
      </c>
      <c r="B2630" t="str">
        <f>"1552374801393368"</f>
        <v>1552374801393368</v>
      </c>
      <c r="C2630" t="s">
        <v>40</v>
      </c>
      <c r="D2630">
        <v>4.7478850000000001</v>
      </c>
      <c r="E2630">
        <v>0.4911471</v>
      </c>
      <c r="F2630" t="s">
        <v>54</v>
      </c>
      <c r="G2630">
        <v>-465.77359999999999</v>
      </c>
      <c r="H2630" s="1">
        <v>1.567362E-6</v>
      </c>
      <c r="I2630">
        <v>213.89060000000001</v>
      </c>
      <c r="J2630">
        <v>-475.82799999999997</v>
      </c>
      <c r="K2630">
        <v>1.111912</v>
      </c>
      <c r="L2630">
        <v>215.70830000000001</v>
      </c>
      <c r="M2630">
        <v>0.92512260000000002</v>
      </c>
      <c r="N2630">
        <v>0</v>
      </c>
      <c r="O2630">
        <v>-0.37955050000000001</v>
      </c>
      <c r="P2630">
        <v>0.97729920000000003</v>
      </c>
      <c r="Q2630">
        <v>2.9326089999999999E-2</v>
      </c>
      <c r="R2630">
        <v>-0.20982500000000001</v>
      </c>
      <c r="S2630">
        <v>2.959991</v>
      </c>
      <c r="T2630">
        <v>-0.31546929999999901</v>
      </c>
      <c r="U2630">
        <v>-0.55798340000000002</v>
      </c>
      <c r="V2630">
        <v>-0.17702100000000001</v>
      </c>
      <c r="W2630">
        <v>3.7747780000000002E-2</v>
      </c>
      <c r="X2630">
        <v>0.983483</v>
      </c>
      <c r="Y2630">
        <v>-0.1985885</v>
      </c>
      <c r="Z2630">
        <v>4.9325430000000003E-2</v>
      </c>
      <c r="AA2630">
        <v>0.97884090000000001</v>
      </c>
      <c r="AB2630">
        <v>22</v>
      </c>
      <c r="AC2630">
        <v>10.054399999999999</v>
      </c>
      <c r="AD2630">
        <v>-1.111910432638</v>
      </c>
      <c r="AE2630">
        <v>-1.8177000000000001</v>
      </c>
      <c r="AF2630">
        <v>-2.1096681273937699</v>
      </c>
      <c r="AG2630">
        <v>-1.111910432638</v>
      </c>
      <c r="AH2630">
        <v>9.8749605489530108</v>
      </c>
      <c r="AI2630">
        <v>96.283759827301296</v>
      </c>
      <c r="AJ2630">
        <v>102.059277598641</v>
      </c>
      <c r="AK2630">
        <v>10.1588331151431</v>
      </c>
      <c r="AL2630">
        <v>87.836697718196802</v>
      </c>
      <c r="AM2630">
        <v>100.20363852893099</v>
      </c>
      <c r="AN2630">
        <v>1.0000000703124601</v>
      </c>
    </row>
    <row r="2631" spans="1:40" x14ac:dyDescent="0.25">
      <c r="A2631" t="str">
        <f>"20190312151321426"</f>
        <v>20190312151321426</v>
      </c>
      <c r="B2631" t="str">
        <f>"1552374801422649"</f>
        <v>1552374801422649</v>
      </c>
      <c r="C2631" t="s">
        <v>40</v>
      </c>
      <c r="D2631">
        <v>4.4496989999999998</v>
      </c>
      <c r="E2631">
        <v>0.49126120000000001</v>
      </c>
      <c r="F2631" t="s">
        <v>54</v>
      </c>
      <c r="G2631">
        <v>-465.27330000000001</v>
      </c>
      <c r="H2631" s="1">
        <v>1.3058000000000001E-6</v>
      </c>
      <c r="I2631">
        <v>213.78309999999999</v>
      </c>
      <c r="J2631">
        <v>-475.625</v>
      </c>
      <c r="K2631">
        <v>1.111926</v>
      </c>
      <c r="L2631">
        <v>215.62950000000001</v>
      </c>
      <c r="M2631">
        <v>0.92651380000000005</v>
      </c>
      <c r="N2631">
        <v>0</v>
      </c>
      <c r="O2631">
        <v>-0.37614150000000002</v>
      </c>
      <c r="P2631">
        <v>0.9779698</v>
      </c>
      <c r="Q2631">
        <v>2.8351959999999999E-2</v>
      </c>
      <c r="R2631">
        <v>-0.20681260000000001</v>
      </c>
      <c r="S2631">
        <v>2.9630130000000001</v>
      </c>
      <c r="T2631">
        <v>-0.3121448</v>
      </c>
      <c r="U2631">
        <v>-0.54043580000000002</v>
      </c>
      <c r="V2631">
        <v>-0.17643789999999901</v>
      </c>
      <c r="W2631">
        <v>3.6777129999999998E-2</v>
      </c>
      <c r="X2631">
        <v>0.98362450000000001</v>
      </c>
      <c r="Y2631">
        <v>-0.20083590000000001</v>
      </c>
      <c r="Z2631">
        <v>4.8585820000000002E-2</v>
      </c>
      <c r="AA2631">
        <v>0.97841929999999999</v>
      </c>
      <c r="AB2631">
        <v>22</v>
      </c>
      <c r="AC2631">
        <v>10.3516999999999</v>
      </c>
      <c r="AD2631">
        <v>-1.1119246942000001</v>
      </c>
      <c r="AE2631">
        <v>-1.84640000000001</v>
      </c>
      <c r="AF2631">
        <v>-2.1589451849985601</v>
      </c>
      <c r="AG2631">
        <v>-1.1119246942000001</v>
      </c>
      <c r="AH2631">
        <v>10.172214837700601</v>
      </c>
      <c r="AI2631">
        <v>96.103343632873404</v>
      </c>
      <c r="AJ2631">
        <v>101.982614597104</v>
      </c>
      <c r="AK2631">
        <v>10.458077047992001</v>
      </c>
      <c r="AL2631">
        <v>87.892350416103596</v>
      </c>
      <c r="AM2631">
        <v>100.16929831944</v>
      </c>
      <c r="AN2631">
        <v>1.00000002342384</v>
      </c>
    </row>
    <row r="2632" spans="1:40" x14ac:dyDescent="0.25">
      <c r="A2632" t="str">
        <f>"20190312151321458"</f>
        <v>20190312151321458</v>
      </c>
      <c r="B2632" t="str">
        <f>"1552374801452904"</f>
        <v>1552374801452904</v>
      </c>
      <c r="C2632" t="s">
        <v>40</v>
      </c>
      <c r="D2632">
        <v>4.4006309999999997</v>
      </c>
      <c r="E2632">
        <v>0.491392</v>
      </c>
      <c r="F2632" t="s">
        <v>54</v>
      </c>
      <c r="G2632">
        <v>-464.87830000000002</v>
      </c>
      <c r="H2632" s="1">
        <v>1.099385E-6</v>
      </c>
      <c r="I2632">
        <v>213.69649999999999</v>
      </c>
      <c r="J2632">
        <v>-475.32619999999997</v>
      </c>
      <c r="K2632">
        <v>1.1119460000000001</v>
      </c>
      <c r="L2632">
        <v>215.5153</v>
      </c>
      <c r="M2632">
        <v>0.92854049999999999</v>
      </c>
      <c r="N2632">
        <v>0</v>
      </c>
      <c r="O2632">
        <v>-0.3711102</v>
      </c>
      <c r="P2632">
        <v>0.97892539999999995</v>
      </c>
      <c r="Q2632">
        <v>2.7215030000000001E-2</v>
      </c>
      <c r="R2632">
        <v>-0.20239789999999999</v>
      </c>
      <c r="S2632">
        <v>2.9637449999999999</v>
      </c>
      <c r="T2632">
        <v>-0.3066469</v>
      </c>
      <c r="U2632">
        <v>-0.53308109999999997</v>
      </c>
      <c r="V2632">
        <v>-0.17554810000000001</v>
      </c>
      <c r="W2632">
        <v>3.5654440000000003E-2</v>
      </c>
      <c r="X2632">
        <v>0.98382499999999995</v>
      </c>
      <c r="Y2632">
        <v>-0.19805680000000001</v>
      </c>
      <c r="Z2632">
        <v>4.7119290000000001E-2</v>
      </c>
      <c r="AA2632">
        <v>0.97905730000000002</v>
      </c>
      <c r="AB2632">
        <v>22</v>
      </c>
      <c r="AC2632">
        <v>10.447899999999899</v>
      </c>
      <c r="AD2632">
        <v>-1.111944900615</v>
      </c>
      <c r="AE2632">
        <v>-1.81880000000001</v>
      </c>
      <c r="AF2632">
        <v>-2.1647920088335901</v>
      </c>
      <c r="AG2632">
        <v>-1.111944900615</v>
      </c>
      <c r="AH2632">
        <v>10.2639012704148</v>
      </c>
      <c r="AI2632">
        <v>96.050951141511305</v>
      </c>
      <c r="AJ2632">
        <v>101.90988109832</v>
      </c>
      <c r="AK2632">
        <v>10.5484792834008</v>
      </c>
      <c r="AL2632">
        <v>87.9567179996492</v>
      </c>
      <c r="AM2632">
        <v>100.11705596049499</v>
      </c>
      <c r="AN2632">
        <v>1.0000000025651601</v>
      </c>
    </row>
    <row r="2633" spans="1:40" x14ac:dyDescent="0.25">
      <c r="A2633" t="str">
        <f>"20190312151321483"</f>
        <v>20190312151321483</v>
      </c>
      <c r="B2633" t="str">
        <f>"1552374801472424"</f>
        <v>1552374801472424</v>
      </c>
      <c r="C2633" t="s">
        <v>40</v>
      </c>
      <c r="D2633">
        <v>4.3879130000000002</v>
      </c>
      <c r="E2633">
        <v>0.4914134</v>
      </c>
      <c r="F2633" t="s">
        <v>54</v>
      </c>
      <c r="G2633">
        <v>-464.52719999999999</v>
      </c>
      <c r="H2633" s="1">
        <v>9.1598620000000002E-7</v>
      </c>
      <c r="I2633">
        <v>213.61840000000001</v>
      </c>
      <c r="J2633">
        <v>-475.10640000000001</v>
      </c>
      <c r="K2633">
        <v>1.1119600000000001</v>
      </c>
      <c r="L2633">
        <v>215.4323</v>
      </c>
      <c r="M2633">
        <v>0.93001250000000002</v>
      </c>
      <c r="N2633">
        <v>0</v>
      </c>
      <c r="O2633">
        <v>-0.36740499999999998</v>
      </c>
      <c r="P2633">
        <v>0.97959160000000001</v>
      </c>
      <c r="Q2633">
        <v>2.6706649999999998E-2</v>
      </c>
      <c r="R2633">
        <v>-0.1992168</v>
      </c>
      <c r="S2633">
        <v>2.9654240000000001</v>
      </c>
      <c r="T2633">
        <v>-0.30534299999999998</v>
      </c>
      <c r="U2633">
        <v>-0.5208893</v>
      </c>
      <c r="V2633">
        <v>-0.17482539999999999</v>
      </c>
      <c r="W2633">
        <v>3.5163130000000001E-2</v>
      </c>
      <c r="X2633">
        <v>0.98397140000000005</v>
      </c>
      <c r="Y2633">
        <v>-0.19818920000000001</v>
      </c>
      <c r="Z2633">
        <v>4.6574360000000002E-2</v>
      </c>
      <c r="AA2633">
        <v>0.97905660000000005</v>
      </c>
      <c r="AB2633">
        <v>22</v>
      </c>
      <c r="AC2633">
        <v>10.5792</v>
      </c>
      <c r="AD2633">
        <v>-1.1119590840138001</v>
      </c>
      <c r="AE2633">
        <v>-1.8138999999999801</v>
      </c>
      <c r="AF2633">
        <v>-2.1766405218617102</v>
      </c>
      <c r="AG2633">
        <v>-1.1119590840138001</v>
      </c>
      <c r="AH2633">
        <v>10.3941465897528</v>
      </c>
      <c r="AI2633">
        <v>95.977551467279795</v>
      </c>
      <c r="AJ2633">
        <v>101.827410648203</v>
      </c>
      <c r="AK2633">
        <v>10.677663615941499</v>
      </c>
      <c r="AL2633">
        <v>87.984885730580103</v>
      </c>
      <c r="AM2633">
        <v>100.07479256051801</v>
      </c>
      <c r="AN2633">
        <v>1.00000004110725</v>
      </c>
    </row>
    <row r="2634" spans="1:40" x14ac:dyDescent="0.25">
      <c r="A2634" t="str">
        <f>"20190312151321503"</f>
        <v>20190312151321503</v>
      </c>
      <c r="B2634" t="str">
        <f>"1552374801492921"</f>
        <v>1552374801492921</v>
      </c>
      <c r="C2634" t="s">
        <v>40</v>
      </c>
      <c r="D2634">
        <v>4.4137440000000003</v>
      </c>
      <c r="E2634">
        <v>0.49158089999999999</v>
      </c>
      <c r="F2634" t="s">
        <v>54</v>
      </c>
      <c r="G2634">
        <v>-464.33210000000003</v>
      </c>
      <c r="H2634" s="1">
        <v>8.1410539999999997E-7</v>
      </c>
      <c r="I2634">
        <v>213.57400000000001</v>
      </c>
      <c r="J2634">
        <v>-474.9205</v>
      </c>
      <c r="K2634">
        <v>1.1119749999999999</v>
      </c>
      <c r="L2634">
        <v>215.363</v>
      </c>
      <c r="M2634">
        <v>0.93124669999999998</v>
      </c>
      <c r="N2634">
        <v>0</v>
      </c>
      <c r="O2634">
        <v>-0.36426459999999999</v>
      </c>
      <c r="P2634">
        <v>0.98020819999999997</v>
      </c>
      <c r="Q2634">
        <v>2.6386710000000001E-2</v>
      </c>
      <c r="R2634">
        <v>-0.19620319999999999</v>
      </c>
      <c r="S2634">
        <v>2.9667970000000001</v>
      </c>
      <c r="T2634">
        <v>-0.30618669999999998</v>
      </c>
      <c r="U2634">
        <v>-0.51170349999999998</v>
      </c>
      <c r="V2634">
        <v>-0.17453399999999999</v>
      </c>
      <c r="W2634">
        <v>3.4856239999999997E-2</v>
      </c>
      <c r="X2634">
        <v>0.98403399999999996</v>
      </c>
      <c r="Y2634">
        <v>-0.19790340000000001</v>
      </c>
      <c r="Z2634">
        <v>4.6386110000000001E-2</v>
      </c>
      <c r="AA2634">
        <v>0.97912339999999998</v>
      </c>
      <c r="AB2634">
        <v>22</v>
      </c>
      <c r="AC2634">
        <v>10.588399999999901</v>
      </c>
      <c r="AD2634">
        <v>-1.1119741858946</v>
      </c>
      <c r="AE2634">
        <v>-1.7889999999999799</v>
      </c>
      <c r="AF2634">
        <v>-2.16783346276442</v>
      </c>
      <c r="AG2634">
        <v>-1.1119741858946</v>
      </c>
      <c r="AH2634">
        <v>10.4010323901174</v>
      </c>
      <c r="AI2634">
        <v>95.974873246090297</v>
      </c>
      <c r="AJ2634">
        <v>101.77331343482599</v>
      </c>
      <c r="AK2634">
        <v>10.6825775584664</v>
      </c>
      <c r="AL2634">
        <v>88.002479923115402</v>
      </c>
      <c r="AM2634">
        <v>100.057716204519</v>
      </c>
      <c r="AN2634">
        <v>0.99999999388946803</v>
      </c>
    </row>
    <row r="2635" spans="1:40" x14ac:dyDescent="0.25">
      <c r="A2635" t="str">
        <f>"20190312151321529"</f>
        <v>20190312151321529</v>
      </c>
      <c r="B2635" t="str">
        <f>"1552374801523176"</f>
        <v>1552374801523176</v>
      </c>
      <c r="C2635" t="s">
        <v>40</v>
      </c>
      <c r="D2635">
        <v>4.3844180000000001</v>
      </c>
      <c r="E2635">
        <v>0.49185420000000002</v>
      </c>
      <c r="F2635" t="s">
        <v>54</v>
      </c>
      <c r="G2635">
        <v>-464.20330000000001</v>
      </c>
      <c r="H2635" s="1">
        <v>7.4695999999999996E-7</v>
      </c>
      <c r="I2635">
        <v>213.54249999999999</v>
      </c>
      <c r="J2635">
        <v>-474.6968</v>
      </c>
      <c r="K2635">
        <v>1.1119969999999999</v>
      </c>
      <c r="L2635">
        <v>215.28059999999999</v>
      </c>
      <c r="M2635">
        <v>0.93271910000000002</v>
      </c>
      <c r="N2635">
        <v>0</v>
      </c>
      <c r="O2635">
        <v>-0.36047780000000001</v>
      </c>
      <c r="P2635">
        <v>0.98102929999999999</v>
      </c>
      <c r="Q2635">
        <v>2.653991E-2</v>
      </c>
      <c r="R2635">
        <v>-0.19203500000000001</v>
      </c>
      <c r="S2635">
        <v>2.9679869999999999</v>
      </c>
      <c r="T2635">
        <v>-0.30794870000000002</v>
      </c>
      <c r="U2635">
        <v>-0.50416559999999999</v>
      </c>
      <c r="V2635">
        <v>-0.17471929999999999</v>
      </c>
      <c r="W2635">
        <v>3.5020170000000003E-2</v>
      </c>
      <c r="X2635">
        <v>0.98399530000000002</v>
      </c>
      <c r="Y2635">
        <v>-0.1963973</v>
      </c>
      <c r="Z2635">
        <v>4.6208220000000001E-2</v>
      </c>
      <c r="AA2635">
        <v>0.97943500000000006</v>
      </c>
      <c r="AB2635">
        <v>22</v>
      </c>
      <c r="AC2635">
        <v>10.4934999999999</v>
      </c>
      <c r="AD2635">
        <v>-1.1119962530399901</v>
      </c>
      <c r="AE2635">
        <v>-1.7381</v>
      </c>
      <c r="AF2635">
        <v>-2.1382423844106802</v>
      </c>
      <c r="AG2635">
        <v>-1.1119962530399901</v>
      </c>
      <c r="AH2635">
        <v>10.301909741642101</v>
      </c>
      <c r="AI2635">
        <v>96.033094119747204</v>
      </c>
      <c r="AJ2635">
        <v>101.72569945952</v>
      </c>
      <c r="AK2635">
        <v>10.5800737467282</v>
      </c>
      <c r="AL2635">
        <v>87.993081696826295</v>
      </c>
      <c r="AM2635">
        <v>100.06856384699699</v>
      </c>
      <c r="AN2635">
        <v>0.99999999826070396</v>
      </c>
    </row>
    <row r="2636" spans="1:40" x14ac:dyDescent="0.25">
      <c r="A2636" t="str">
        <f>"20190312151321572"</f>
        <v>20190312151321572</v>
      </c>
      <c r="B2636" t="str">
        <f>"1552374801563193"</f>
        <v>1552374801563193</v>
      </c>
      <c r="C2636" t="s">
        <v>40</v>
      </c>
      <c r="D2636">
        <v>4.394622</v>
      </c>
      <c r="E2636">
        <v>0.49216650000000001</v>
      </c>
      <c r="F2636" t="s">
        <v>54</v>
      </c>
      <c r="G2636">
        <v>-463.8288</v>
      </c>
      <c r="H2636" s="1">
        <v>5.5072430000000003E-7</v>
      </c>
      <c r="I2636">
        <v>213.4718</v>
      </c>
      <c r="J2636">
        <v>-474.29079999999999</v>
      </c>
      <c r="K2636">
        <v>1.112045</v>
      </c>
      <c r="L2636">
        <v>215.1336</v>
      </c>
      <c r="M2636">
        <v>0.93536819999999998</v>
      </c>
      <c r="N2636">
        <v>0</v>
      </c>
      <c r="O2636">
        <v>-0.35354560000000002</v>
      </c>
      <c r="P2636">
        <v>0.98281229999999997</v>
      </c>
      <c r="Q2636">
        <v>2.6616810000000001E-2</v>
      </c>
      <c r="R2636">
        <v>-0.18267920000000001</v>
      </c>
      <c r="S2636">
        <v>2.9694820000000002</v>
      </c>
      <c r="T2636">
        <v>-0.30383100000000002</v>
      </c>
      <c r="U2636">
        <v>-0.49420170000000002</v>
      </c>
      <c r="V2636">
        <v>-0.17679610000000001</v>
      </c>
      <c r="W2636">
        <v>3.5097370000000003E-2</v>
      </c>
      <c r="X2636">
        <v>0.98362150000000004</v>
      </c>
      <c r="Y2636">
        <v>-0.1925248</v>
      </c>
      <c r="Z2636">
        <v>4.473771E-2</v>
      </c>
      <c r="AA2636">
        <v>0.98027180000000003</v>
      </c>
      <c r="AB2636">
        <v>22</v>
      </c>
      <c r="AC2636">
        <v>10.4619999999999</v>
      </c>
      <c r="AD2636">
        <v>-1.1120444492757</v>
      </c>
      <c r="AE2636">
        <v>-1.66179999999999</v>
      </c>
      <c r="AF2636">
        <v>-2.1211222722154499</v>
      </c>
      <c r="AG2636">
        <v>-1.1120444492757</v>
      </c>
      <c r="AH2636">
        <v>10.2607441137222</v>
      </c>
      <c r="AI2636">
        <v>96.058377758326003</v>
      </c>
      <c r="AJ2636">
        <v>101.679782196868</v>
      </c>
      <c r="AK2636">
        <v>10.536539864591999</v>
      </c>
      <c r="AL2636">
        <v>87.988655686556598</v>
      </c>
      <c r="AM2636">
        <v>100.189542074393</v>
      </c>
      <c r="AN2636">
        <v>0.99999997080918801</v>
      </c>
    </row>
    <row r="2637" spans="1:40" x14ac:dyDescent="0.25">
      <c r="A2637" t="str">
        <f>"20190312151321594"</f>
        <v>20190312151321594</v>
      </c>
      <c r="B2637" t="str">
        <f>"1552374801582713"</f>
        <v>1552374801582713</v>
      </c>
      <c r="C2637" t="s">
        <v>40</v>
      </c>
      <c r="D2637">
        <v>4.3879239999999999</v>
      </c>
      <c r="E2637">
        <v>0.49227569999999998</v>
      </c>
      <c r="F2637" t="s">
        <v>54</v>
      </c>
      <c r="G2637">
        <v>-463.26979999999998</v>
      </c>
      <c r="H2637" s="1">
        <v>2.5672269999999999E-7</v>
      </c>
      <c r="I2637">
        <v>213.39250000000001</v>
      </c>
      <c r="J2637">
        <v>-474.0915</v>
      </c>
      <c r="K2637">
        <v>1.1120749999999999</v>
      </c>
      <c r="L2637">
        <v>215.06270000000001</v>
      </c>
      <c r="M2637">
        <v>0.93665920000000003</v>
      </c>
      <c r="N2637">
        <v>0</v>
      </c>
      <c r="O2637">
        <v>-0.35011039999999999</v>
      </c>
      <c r="P2637">
        <v>0.98355669999999995</v>
      </c>
      <c r="Q2637">
        <v>2.599862E-2</v>
      </c>
      <c r="R2637">
        <v>-0.17871899999999999</v>
      </c>
      <c r="S2637">
        <v>2.973328</v>
      </c>
      <c r="T2637">
        <v>-0.30001620000000001</v>
      </c>
      <c r="U2637">
        <v>-0.4697113</v>
      </c>
      <c r="V2637">
        <v>-0.17715349999999999</v>
      </c>
      <c r="W2637">
        <v>3.4481190000000002E-2</v>
      </c>
      <c r="X2637">
        <v>0.98357899999999998</v>
      </c>
      <c r="Y2637">
        <v>-0.19705719999999999</v>
      </c>
      <c r="Z2637">
        <v>4.4069469999999999E-2</v>
      </c>
      <c r="AA2637">
        <v>0.97940099999999997</v>
      </c>
      <c r="AB2637">
        <v>22</v>
      </c>
      <c r="AC2637">
        <v>10.8217</v>
      </c>
      <c r="AD2637">
        <v>-1.1120747432772999</v>
      </c>
      <c r="AE2637">
        <v>-1.6701999999999899</v>
      </c>
      <c r="AF2637">
        <v>-2.20177366700426</v>
      </c>
      <c r="AG2637">
        <v>-1.1120747432772999</v>
      </c>
      <c r="AH2637">
        <v>10.612034685809</v>
      </c>
      <c r="AI2637">
        <v>95.858529977332097</v>
      </c>
      <c r="AJ2637">
        <v>101.72136391387301</v>
      </c>
      <c r="AK2637">
        <v>10.8949436753093</v>
      </c>
      <c r="AL2637">
        <v>88.023981607789906</v>
      </c>
      <c r="AM2637">
        <v>100.210139638538</v>
      </c>
      <c r="AN2637">
        <v>0.99999998213353203</v>
      </c>
    </row>
    <row r="2638" spans="1:40" x14ac:dyDescent="0.25">
      <c r="A2638" t="str">
        <f>"20190312151321628"</f>
        <v>20190312151321628</v>
      </c>
      <c r="B2638" t="str">
        <f>"1552374801622729"</f>
        <v>1552374801622729</v>
      </c>
      <c r="C2638" t="s">
        <v>40</v>
      </c>
      <c r="D2638">
        <v>4.5059979999999999</v>
      </c>
      <c r="E2638">
        <v>0.49237839999999999</v>
      </c>
      <c r="F2638" t="s">
        <v>54</v>
      </c>
      <c r="G2638">
        <v>-463.10210000000001</v>
      </c>
      <c r="H2638" s="1">
        <v>1.685748E-7</v>
      </c>
      <c r="I2638">
        <v>213.3683</v>
      </c>
      <c r="J2638">
        <v>-473.77910000000003</v>
      </c>
      <c r="K2638">
        <v>1.1121379999999901</v>
      </c>
      <c r="L2638">
        <v>214.95330000000001</v>
      </c>
      <c r="M2638">
        <v>0.93867979999999995</v>
      </c>
      <c r="N2638">
        <v>0</v>
      </c>
      <c r="O2638">
        <v>-0.34465570000000001</v>
      </c>
      <c r="P2638">
        <v>0.98455510000000002</v>
      </c>
      <c r="Q2638">
        <v>2.5874769999999998E-2</v>
      </c>
      <c r="R2638">
        <v>-0.1731531</v>
      </c>
      <c r="S2638">
        <v>2.9747309999999998</v>
      </c>
      <c r="T2638">
        <v>-0.30102960000000001</v>
      </c>
      <c r="U2638">
        <v>-0.45866390000000001</v>
      </c>
      <c r="V2638">
        <v>-0.1770004</v>
      </c>
      <c r="W2638">
        <v>3.4363949999999997E-2</v>
      </c>
      <c r="X2638">
        <v>0.98361069999999995</v>
      </c>
      <c r="Y2638">
        <v>-0.1949951</v>
      </c>
      <c r="Z2638">
        <v>4.3598949999999997E-2</v>
      </c>
      <c r="AA2638">
        <v>0.97983469999999995</v>
      </c>
      <c r="AB2638">
        <v>22</v>
      </c>
      <c r="AC2638">
        <v>10.677</v>
      </c>
      <c r="AD2638">
        <v>-1.1121378314252</v>
      </c>
      <c r="AE2638">
        <v>-1.585</v>
      </c>
      <c r="AF2638">
        <v>-2.16915573290555</v>
      </c>
      <c r="AG2638">
        <v>-1.1121378314252</v>
      </c>
      <c r="AH2638">
        <v>10.4580331065615</v>
      </c>
      <c r="AI2638">
        <v>95.944597044409505</v>
      </c>
      <c r="AJ2638">
        <v>101.717866471153</v>
      </c>
      <c r="AK2638">
        <v>10.7383678279159</v>
      </c>
      <c r="AL2638">
        <v>88.030703014923802</v>
      </c>
      <c r="AM2638">
        <v>100.20117932247101</v>
      </c>
      <c r="AN2638">
        <v>1.0000000159071201</v>
      </c>
    </row>
    <row r="2639" spans="1:40" x14ac:dyDescent="0.25">
      <c r="A2639" t="str">
        <f>"20190312151321650"</f>
        <v>20190312151321650</v>
      </c>
      <c r="B2639" t="str">
        <f>"1552374801643225"</f>
        <v>1552374801643225</v>
      </c>
      <c r="C2639" t="s">
        <v>40</v>
      </c>
      <c r="D2639">
        <v>4.3689999999999998</v>
      </c>
      <c r="E2639">
        <v>0.46849800000000003</v>
      </c>
      <c r="F2639" t="s">
        <v>54</v>
      </c>
      <c r="G2639">
        <v>-462.73390000000001</v>
      </c>
      <c r="H2639" s="1">
        <v>-2.4915199999999999E-8</v>
      </c>
      <c r="I2639">
        <v>213.31120000000001</v>
      </c>
      <c r="J2639">
        <v>-473.57100000000003</v>
      </c>
      <c r="K2639">
        <v>1.112193</v>
      </c>
      <c r="L2639">
        <v>214.8817</v>
      </c>
      <c r="M2639">
        <v>0.94003499999999995</v>
      </c>
      <c r="N2639">
        <v>0</v>
      </c>
      <c r="O2639">
        <v>-0.34094099999999999</v>
      </c>
      <c r="P2639">
        <v>0.98509999999999998</v>
      </c>
      <c r="Q2639">
        <v>2.6126280000000002E-2</v>
      </c>
      <c r="R2639">
        <v>-0.1699869</v>
      </c>
      <c r="S2639">
        <v>2.9770810000000001</v>
      </c>
      <c r="T2639">
        <v>-0.29976069999999999</v>
      </c>
      <c r="U2639">
        <v>-0.4426117</v>
      </c>
      <c r="V2639">
        <v>-0.1762765</v>
      </c>
      <c r="W2639">
        <v>3.4623679999999997E-2</v>
      </c>
      <c r="X2639">
        <v>0.98373160000000004</v>
      </c>
      <c r="Y2639">
        <v>-0.19643169999999999</v>
      </c>
      <c r="Z2639">
        <v>4.3130929999999998E-2</v>
      </c>
      <c r="AA2639">
        <v>0.97956840000000001</v>
      </c>
      <c r="AB2639">
        <v>22</v>
      </c>
      <c r="AC2639">
        <v>10.8370999999999</v>
      </c>
      <c r="AD2639">
        <v>-1.1121930249151999</v>
      </c>
      <c r="AE2639">
        <v>-1.57049999999998</v>
      </c>
      <c r="AF2639">
        <v>-2.1959372861528901</v>
      </c>
      <c r="AG2639">
        <v>-1.1121930249151999</v>
      </c>
      <c r="AH2639">
        <v>10.6137119400563</v>
      </c>
      <c r="AI2639">
        <v>95.858902737955802</v>
      </c>
      <c r="AJ2639">
        <v>101.689353048832</v>
      </c>
      <c r="AK2639">
        <v>10.8954116505931</v>
      </c>
      <c r="AL2639">
        <v>88.015812753708104</v>
      </c>
      <c r="AM2639">
        <v>100.15910652308401</v>
      </c>
      <c r="AN2639">
        <v>1.0000000322537701</v>
      </c>
    </row>
    <row r="2640" spans="1:40" x14ac:dyDescent="0.25">
      <c r="A2640" t="str">
        <f>"20190312151321673"</f>
        <v>20190312151321673</v>
      </c>
      <c r="B2640" t="str">
        <f>"1552374801662745"</f>
        <v>1552374801662745</v>
      </c>
      <c r="C2640" t="s">
        <v>40</v>
      </c>
      <c r="D2640">
        <v>4.4184340000000004</v>
      </c>
      <c r="E2640">
        <v>0.46346540000000003</v>
      </c>
      <c r="F2640" t="s">
        <v>54</v>
      </c>
      <c r="G2640">
        <v>-465.09739999999999</v>
      </c>
      <c r="H2640" s="1">
        <v>1.193765E-6</v>
      </c>
      <c r="I2640">
        <v>214.20490000000001</v>
      </c>
      <c r="J2640">
        <v>-473.35629999999998</v>
      </c>
      <c r="K2640">
        <v>1.112258</v>
      </c>
      <c r="L2640">
        <v>214.80879999999999</v>
      </c>
      <c r="M2640">
        <v>0.94144000000000005</v>
      </c>
      <c r="N2640">
        <v>0</v>
      </c>
      <c r="O2640">
        <v>-0.337041799999999</v>
      </c>
      <c r="P2640">
        <v>0.98570360000000001</v>
      </c>
      <c r="Q2640">
        <v>2.6005859999999999E-2</v>
      </c>
      <c r="R2640">
        <v>-0.16647029999999999</v>
      </c>
      <c r="S2640">
        <v>3.0143430000000002</v>
      </c>
      <c r="T2640">
        <v>-0.3956422</v>
      </c>
      <c r="U2640">
        <v>-0.2407379</v>
      </c>
      <c r="V2640">
        <v>-0.1757147</v>
      </c>
      <c r="W2640">
        <v>3.4510260000000001E-2</v>
      </c>
      <c r="X2640">
        <v>0.98383609999999999</v>
      </c>
      <c r="Y2640">
        <v>-0.25610090000000002</v>
      </c>
      <c r="Z2640">
        <v>5.9879370000000001E-2</v>
      </c>
      <c r="AA2640">
        <v>0.96479369999999998</v>
      </c>
      <c r="AB2640">
        <v>22</v>
      </c>
      <c r="AC2640">
        <v>8.2588999999999793</v>
      </c>
      <c r="AD2640">
        <v>-1.112256806235</v>
      </c>
      <c r="AE2640">
        <v>-0.60389999999998101</v>
      </c>
      <c r="AF2640">
        <v>-2.1759079393340199</v>
      </c>
      <c r="AG2640">
        <v>-1.112256806235</v>
      </c>
      <c r="AH2640">
        <v>7.8377738165578101</v>
      </c>
      <c r="AI2640">
        <v>97.786236866873395</v>
      </c>
      <c r="AJ2640">
        <v>105.515617582375</v>
      </c>
      <c r="AK2640">
        <v>8.2098957948924092</v>
      </c>
      <c r="AL2640">
        <v>88.022315147509104</v>
      </c>
      <c r="AM2640">
        <v>100.126346831245</v>
      </c>
      <c r="AN2640">
        <v>1.0000000427522799</v>
      </c>
    </row>
    <row r="2641" spans="1:40" x14ac:dyDescent="0.25">
      <c r="A2641" t="str">
        <f>"20190312151321693"</f>
        <v>20190312151321693</v>
      </c>
      <c r="B2641" t="str">
        <f>"1552374801683240"</f>
        <v>1552374801683240</v>
      </c>
      <c r="C2641" t="s">
        <v>40</v>
      </c>
      <c r="D2641">
        <v>4.3981240000000001</v>
      </c>
      <c r="E2641">
        <v>0.4621845</v>
      </c>
      <c r="F2641" t="s">
        <v>54</v>
      </c>
      <c r="G2641">
        <v>-464.66399999999999</v>
      </c>
      <c r="H2641" s="1">
        <v>9.6079359999999899E-7</v>
      </c>
      <c r="I2641">
        <v>214.2585</v>
      </c>
      <c r="J2641">
        <v>-473.16480000000001</v>
      </c>
      <c r="K2641">
        <v>1.1123160000000001</v>
      </c>
      <c r="L2641">
        <v>214.7448</v>
      </c>
      <c r="M2641">
        <v>0.94270039999999999</v>
      </c>
      <c r="N2641">
        <v>0</v>
      </c>
      <c r="O2641">
        <v>-0.3334992</v>
      </c>
      <c r="P2641">
        <v>0.98620640000000004</v>
      </c>
      <c r="Q2641">
        <v>2.5365209999999999E-2</v>
      </c>
      <c r="R2641">
        <v>-0.163566299999999</v>
      </c>
      <c r="S2641">
        <v>3.021423</v>
      </c>
      <c r="T2641">
        <v>-0.3866193</v>
      </c>
      <c r="U2641">
        <v>-0.19128419999999999</v>
      </c>
      <c r="V2641">
        <v>-0.17491999999999999</v>
      </c>
      <c r="W2641">
        <v>3.3876910000000003E-2</v>
      </c>
      <c r="X2641">
        <v>0.98399970000000003</v>
      </c>
      <c r="Y2641">
        <v>-0.26850000000000002</v>
      </c>
      <c r="Z2641">
        <v>5.8814060000000001E-2</v>
      </c>
      <c r="AA2641">
        <v>0.96148250000000002</v>
      </c>
      <c r="AB2641">
        <v>22</v>
      </c>
      <c r="AC2641">
        <v>8.5008000000000195</v>
      </c>
      <c r="AD2641">
        <v>-1.1123150392063901</v>
      </c>
      <c r="AE2641">
        <v>-0.48630000000000001</v>
      </c>
      <c r="AF2641">
        <v>-2.3368081641952898</v>
      </c>
      <c r="AG2641">
        <v>-1.1123150392063901</v>
      </c>
      <c r="AH2641">
        <v>8.0390831319582006</v>
      </c>
      <c r="AI2641">
        <v>97.568222504898003</v>
      </c>
      <c r="AJ2641">
        <v>106.20814031504899</v>
      </c>
      <c r="AK2641">
        <v>8.4453996202210195</v>
      </c>
      <c r="AL2641">
        <v>88.058624637527501</v>
      </c>
      <c r="AM2641">
        <v>100.07984841557</v>
      </c>
      <c r="AN2641">
        <v>1.00000003051561</v>
      </c>
    </row>
    <row r="2642" spans="1:40" x14ac:dyDescent="0.25">
      <c r="A2642" t="str">
        <f>"20190312151321716"</f>
        <v>20190312151321716</v>
      </c>
      <c r="B2642" t="str">
        <f>"1552374801712521"</f>
        <v>1552374801712521</v>
      </c>
      <c r="C2642" t="s">
        <v>40</v>
      </c>
      <c r="D2642">
        <v>4.4410939999999997</v>
      </c>
      <c r="E2642">
        <v>0.46125640000000001</v>
      </c>
      <c r="F2642" t="s">
        <v>54</v>
      </c>
      <c r="G2642">
        <v>-464.45839999999998</v>
      </c>
      <c r="H2642" s="1">
        <v>8.518553E-7</v>
      </c>
      <c r="I2642">
        <v>214.24799999999999</v>
      </c>
      <c r="J2642">
        <v>-472.94830000000002</v>
      </c>
      <c r="K2642">
        <v>1.112385</v>
      </c>
      <c r="L2642">
        <v>214.67339999999999</v>
      </c>
      <c r="M2642">
        <v>0.94413860000000005</v>
      </c>
      <c r="N2642">
        <v>0</v>
      </c>
      <c r="O2642">
        <v>-0.3294048</v>
      </c>
      <c r="P2642">
        <v>0.98677740000000003</v>
      </c>
      <c r="Q2642">
        <v>2.442329E-2</v>
      </c>
      <c r="R2642">
        <v>-0.1602314</v>
      </c>
      <c r="S2642">
        <v>3.023285</v>
      </c>
      <c r="T2642">
        <v>-0.3862507</v>
      </c>
      <c r="U2642">
        <v>-0.1725006</v>
      </c>
      <c r="V2642">
        <v>-0.1739832</v>
      </c>
      <c r="W2642">
        <v>3.2939969999999999E-2</v>
      </c>
      <c r="X2642">
        <v>0.98419760000000001</v>
      </c>
      <c r="Y2642">
        <v>-0.27034079999999999</v>
      </c>
      <c r="Z2642">
        <v>5.8366880000000003E-2</v>
      </c>
      <c r="AA2642">
        <v>0.96099380000000001</v>
      </c>
      <c r="AB2642">
        <v>22</v>
      </c>
      <c r="AC2642">
        <v>8.4899000000000306</v>
      </c>
      <c r="AD2642">
        <v>-1.1123841481447001</v>
      </c>
      <c r="AE2642">
        <v>-0.425399999999996</v>
      </c>
      <c r="AF2642">
        <v>-2.3547667848019498</v>
      </c>
      <c r="AG2642">
        <v>-1.1123841481447001</v>
      </c>
      <c r="AH2642">
        <v>8.0188397977133601</v>
      </c>
      <c r="AI2642">
        <v>97.581571880202006</v>
      </c>
      <c r="AJ2642">
        <v>106.36510310181301</v>
      </c>
      <c r="AK2642">
        <v>8.4311397097451604</v>
      </c>
      <c r="AL2642">
        <v>88.112337376404895</v>
      </c>
      <c r="AM2642">
        <v>100.02498790459001</v>
      </c>
      <c r="AN2642">
        <v>1.00000005567579</v>
      </c>
    </row>
    <row r="2643" spans="1:40" x14ac:dyDescent="0.25">
      <c r="A2643" t="str">
        <f>"20190312151321743"</f>
        <v>20190312151321743</v>
      </c>
      <c r="B2643" t="str">
        <f>"1552374801733017"</f>
        <v>1552374801733017</v>
      </c>
      <c r="C2643" t="s">
        <v>40</v>
      </c>
      <c r="D2643">
        <v>4.4347799999999999</v>
      </c>
      <c r="E2643">
        <v>0.46087830000000002</v>
      </c>
      <c r="F2643" t="s">
        <v>54</v>
      </c>
      <c r="G2643">
        <v>-464.2724</v>
      </c>
      <c r="H2643" s="1">
        <v>7.5369759999999996E-7</v>
      </c>
      <c r="I2643">
        <v>214.2286</v>
      </c>
      <c r="J2643">
        <v>-472.70139999999998</v>
      </c>
      <c r="K2643">
        <v>1.1124609999999999</v>
      </c>
      <c r="L2643">
        <v>214.5934</v>
      </c>
      <c r="M2643">
        <v>0.94579469999999999</v>
      </c>
      <c r="N2643">
        <v>0</v>
      </c>
      <c r="O2643">
        <v>-0.32461810000000002</v>
      </c>
      <c r="P2643">
        <v>0.98742289999999999</v>
      </c>
      <c r="Q2643">
        <v>2.3261239999999999E-2</v>
      </c>
      <c r="R2643">
        <v>-0.15638070000000001</v>
      </c>
      <c r="S2643">
        <v>3.0246580000000001</v>
      </c>
      <c r="T2643">
        <v>-0.38780609999999999</v>
      </c>
      <c r="U2643">
        <v>-0.15509029999999999</v>
      </c>
      <c r="V2643">
        <v>-0.1728459</v>
      </c>
      <c r="W2643">
        <v>3.1782820000000003E-2</v>
      </c>
      <c r="X2643">
        <v>0.98443599999999998</v>
      </c>
      <c r="Y2643">
        <v>-0.27100410000000003</v>
      </c>
      <c r="Z2643">
        <v>5.8053489999999999E-2</v>
      </c>
      <c r="AA2643">
        <v>0.96082599999999996</v>
      </c>
      <c r="AB2643">
        <v>22</v>
      </c>
      <c r="AC2643">
        <v>8.4289999999999701</v>
      </c>
      <c r="AD2643">
        <v>-1.1124602463024</v>
      </c>
      <c r="AE2643">
        <v>-0.36480000000000201</v>
      </c>
      <c r="AF2643">
        <v>-2.3504292282376502</v>
      </c>
      <c r="AG2643">
        <v>-1.1124602463024</v>
      </c>
      <c r="AH2643">
        <v>7.9526443467508701</v>
      </c>
      <c r="AI2643">
        <v>97.6405648456401</v>
      </c>
      <c r="AJ2643">
        <v>106.465211649239</v>
      </c>
      <c r="AK2643">
        <v>8.3669969201898002</v>
      </c>
      <c r="AL2643">
        <v>88.178671912905997</v>
      </c>
      <c r="AM2643">
        <v>99.9584088910524</v>
      </c>
      <c r="AN2643">
        <v>1.00000004544498</v>
      </c>
    </row>
    <row r="2644" spans="1:40" x14ac:dyDescent="0.25">
      <c r="A2644" t="str">
        <f>"20190312151321784"</f>
        <v>20190312151321784</v>
      </c>
      <c r="B2644" t="str">
        <f>"1552374801773033"</f>
        <v>1552374801773033</v>
      </c>
      <c r="C2644" t="s">
        <v>40</v>
      </c>
      <c r="D2644">
        <v>4.4609920000000001</v>
      </c>
      <c r="E2644">
        <v>0.46057399999999998</v>
      </c>
      <c r="F2644" t="s">
        <v>54</v>
      </c>
      <c r="G2644">
        <v>-464.01679999999999</v>
      </c>
      <c r="H2644" s="1">
        <v>6.1939990000000001E-7</v>
      </c>
      <c r="I2644">
        <v>214.18969999999999</v>
      </c>
      <c r="J2644">
        <v>-472.30799999999999</v>
      </c>
      <c r="K2644">
        <v>1.1125929999999999</v>
      </c>
      <c r="L2644">
        <v>214.4692</v>
      </c>
      <c r="M2644">
        <v>0.94847400000000004</v>
      </c>
      <c r="N2644">
        <v>0</v>
      </c>
      <c r="O2644">
        <v>-0.31670300000000001</v>
      </c>
      <c r="P2644">
        <v>0.98856350000000004</v>
      </c>
      <c r="Q2644">
        <v>2.3012790000000002E-2</v>
      </c>
      <c r="R2644">
        <v>-0.14904049999999999</v>
      </c>
      <c r="S2644">
        <v>3.025055</v>
      </c>
      <c r="T2644">
        <v>-0.38749850000000002</v>
      </c>
      <c r="U2644">
        <v>-0.140625</v>
      </c>
      <c r="V2644">
        <v>-0.1719435</v>
      </c>
      <c r="W2644">
        <v>3.1528790000000001E-2</v>
      </c>
      <c r="X2644">
        <v>0.98460219999999998</v>
      </c>
      <c r="Y2644">
        <v>-0.2676519</v>
      </c>
      <c r="Z2644">
        <v>5.6838390000000003E-2</v>
      </c>
      <c r="AA2644">
        <v>0.96183779999999997</v>
      </c>
      <c r="AB2644">
        <v>22</v>
      </c>
      <c r="AC2644">
        <v>8.2912000000000603</v>
      </c>
      <c r="AD2644">
        <v>-1.1125923806000999</v>
      </c>
      <c r="AE2644">
        <v>-0.27950000000001202</v>
      </c>
      <c r="AF2644">
        <v>-2.3191499393283102</v>
      </c>
      <c r="AG2644">
        <v>-1.1125923806000999</v>
      </c>
      <c r="AH2644">
        <v>7.8123725628759404</v>
      </c>
      <c r="AI2644">
        <v>97.774275282007096</v>
      </c>
      <c r="AJ2644">
        <v>106.53383922488101</v>
      </c>
      <c r="AK2644">
        <v>8.2249305959158505</v>
      </c>
      <c r="AL2644">
        <v>88.193234087224695</v>
      </c>
      <c r="AM2644">
        <v>99.905811250833906</v>
      </c>
      <c r="AN2644">
        <v>1.0000000620179701</v>
      </c>
    </row>
    <row r="2645" spans="1:40" x14ac:dyDescent="0.25">
      <c r="A2645" t="str">
        <f>"20190312151321831"</f>
        <v>20190312151321831</v>
      </c>
      <c r="B2645" t="str">
        <f>"1552374801822809"</f>
        <v>1552374801822809</v>
      </c>
      <c r="C2645" t="s">
        <v>40</v>
      </c>
      <c r="D2645">
        <v>4.4670540000000001</v>
      </c>
      <c r="E2645">
        <v>0.46065630000000002</v>
      </c>
      <c r="F2645" t="s">
        <v>54</v>
      </c>
      <c r="G2645">
        <v>-463.51580000000001</v>
      </c>
      <c r="H2645" s="1">
        <v>3.5532030000000001E-7</v>
      </c>
      <c r="I2645">
        <v>214.13159999999999</v>
      </c>
      <c r="J2645">
        <v>-471.87240000000003</v>
      </c>
      <c r="K2645">
        <v>1.1127499999999999</v>
      </c>
      <c r="L2645">
        <v>214.3364</v>
      </c>
      <c r="M2645">
        <v>0.95148719999999998</v>
      </c>
      <c r="N2645">
        <v>0</v>
      </c>
      <c r="O2645">
        <v>-0.30753049999999998</v>
      </c>
      <c r="P2645">
        <v>0.98970760000000002</v>
      </c>
      <c r="Q2645">
        <v>2.330919E-2</v>
      </c>
      <c r="R2645">
        <v>-0.1411944</v>
      </c>
      <c r="S2645">
        <v>3.026062</v>
      </c>
      <c r="T2645">
        <v>-0.38292730000000003</v>
      </c>
      <c r="U2645">
        <v>-0.1161804</v>
      </c>
      <c r="V2645">
        <v>-0.17025899999999999</v>
      </c>
      <c r="W2645">
        <v>3.1823329999999997E-2</v>
      </c>
      <c r="X2645">
        <v>0.98488529999999996</v>
      </c>
      <c r="Y2645">
        <v>-0.26631830000000001</v>
      </c>
      <c r="Z2645">
        <v>5.4986689999999998E-2</v>
      </c>
      <c r="AA2645">
        <v>0.96231540000000004</v>
      </c>
      <c r="AB2645">
        <v>22</v>
      </c>
      <c r="AC2645">
        <v>8.3566000000000091</v>
      </c>
      <c r="AD2645">
        <v>-1.1127496446796901</v>
      </c>
      <c r="AE2645">
        <v>-0.20480000000000501</v>
      </c>
      <c r="AF2645">
        <v>-2.3338040389432999</v>
      </c>
      <c r="AG2645">
        <v>-1.1127496446796901</v>
      </c>
      <c r="AH2645">
        <v>7.8750203344298697</v>
      </c>
      <c r="AI2645">
        <v>97.715293985602898</v>
      </c>
      <c r="AJ2645">
        <v>106.507469323319</v>
      </c>
      <c r="AK2645">
        <v>8.28859447262362</v>
      </c>
      <c r="AL2645">
        <v>88.176349517257904</v>
      </c>
      <c r="AM2645">
        <v>99.807895332061193</v>
      </c>
      <c r="AN2645">
        <v>0.99999995278468801</v>
      </c>
    </row>
    <row r="2646" spans="1:40" x14ac:dyDescent="0.25">
      <c r="A2646" t="str">
        <f>"20190312151321852"</f>
        <v>20190312151321852</v>
      </c>
      <c r="B2646" t="str">
        <f>"1552374801843304"</f>
        <v>1552374801843304</v>
      </c>
      <c r="C2646" t="s">
        <v>40</v>
      </c>
      <c r="D2646">
        <v>4.4688059999999998</v>
      </c>
      <c r="E2646">
        <v>0.46079629999999999</v>
      </c>
      <c r="F2646" t="s">
        <v>54</v>
      </c>
      <c r="G2646">
        <v>-463.02120000000002</v>
      </c>
      <c r="H2646" s="1">
        <v>9.5023620000000002E-8</v>
      </c>
      <c r="I2646">
        <v>214.06540000000001</v>
      </c>
      <c r="J2646">
        <v>-471.66629999999998</v>
      </c>
      <c r="K2646">
        <v>1.112825</v>
      </c>
      <c r="L2646">
        <v>214.27539999999999</v>
      </c>
      <c r="M2646">
        <v>0.95292169999999998</v>
      </c>
      <c r="N2646">
        <v>0</v>
      </c>
      <c r="O2646">
        <v>-0.30305500000000002</v>
      </c>
      <c r="P2646">
        <v>0.99024109999999999</v>
      </c>
      <c r="Q2646">
        <v>2.3498430000000001E-2</v>
      </c>
      <c r="R2646">
        <v>-0.1373711</v>
      </c>
      <c r="S2646">
        <v>3.0269780000000002</v>
      </c>
      <c r="T2646">
        <v>-0.38054480000000002</v>
      </c>
      <c r="U2646">
        <v>-9.2681879999999994E-2</v>
      </c>
      <c r="V2646">
        <v>-0.16943839999999999</v>
      </c>
      <c r="W2646">
        <v>3.2012539999999999E-2</v>
      </c>
      <c r="X2646">
        <v>0.98502069999999997</v>
      </c>
      <c r="Y2646">
        <v>-0.2693296</v>
      </c>
      <c r="Z2646">
        <v>5.4300269999999998E-2</v>
      </c>
      <c r="AA2646">
        <v>0.96151600000000004</v>
      </c>
      <c r="AB2646">
        <v>22</v>
      </c>
      <c r="AC2646">
        <v>8.6450999999999496</v>
      </c>
      <c r="AD2646">
        <v>-1.1128249049763801</v>
      </c>
      <c r="AE2646">
        <v>-0.20999999999997901</v>
      </c>
      <c r="AF2646">
        <v>-2.3805244605423699</v>
      </c>
      <c r="AG2646">
        <v>-1.1128249049763801</v>
      </c>
      <c r="AH2646">
        <v>8.1669082402930595</v>
      </c>
      <c r="AI2646">
        <v>97.452897710774906</v>
      </c>
      <c r="AJ2646">
        <v>106.250567659493</v>
      </c>
      <c r="AK2646">
        <v>8.5792579039065409</v>
      </c>
      <c r="AL2646">
        <v>88.165503099955004</v>
      </c>
      <c r="AM2646">
        <v>99.760219639335304</v>
      </c>
      <c r="AN2646">
        <v>0.99999997677014996</v>
      </c>
    </row>
    <row r="2647" spans="1:40" x14ac:dyDescent="0.25">
      <c r="A2647" t="str">
        <f>"20190312151321872"</f>
        <v>20190312151321872</v>
      </c>
      <c r="B2647" t="str">
        <f>"1552374801862825"</f>
        <v>1552374801862825</v>
      </c>
      <c r="C2647" t="s">
        <v>40</v>
      </c>
      <c r="D2647">
        <v>4.766311</v>
      </c>
      <c r="E2647">
        <v>0.46086510000000003</v>
      </c>
      <c r="F2647" t="s">
        <v>54</v>
      </c>
      <c r="G2647">
        <v>-462.7953</v>
      </c>
      <c r="H2647" s="1">
        <v>-2.3832429999999999E-8</v>
      </c>
      <c r="I2647">
        <v>214.03479999999999</v>
      </c>
      <c r="J2647">
        <v>-471.46289999999999</v>
      </c>
      <c r="K2647">
        <v>1.112879</v>
      </c>
      <c r="L2647">
        <v>214.21629999999999</v>
      </c>
      <c r="M2647">
        <v>0.95433650000000003</v>
      </c>
      <c r="N2647">
        <v>0</v>
      </c>
      <c r="O2647">
        <v>-0.29856959999999999</v>
      </c>
      <c r="P2647">
        <v>0.99072689999999997</v>
      </c>
      <c r="Q2647">
        <v>2.3790490000000001E-2</v>
      </c>
      <c r="R2647">
        <v>-0.13377</v>
      </c>
      <c r="S2647">
        <v>3.0271910000000002</v>
      </c>
      <c r="T2647">
        <v>-0.37974730000000001</v>
      </c>
      <c r="U2647">
        <v>-8.2107540000000007E-2</v>
      </c>
      <c r="V2647">
        <v>-0.1683907</v>
      </c>
      <c r="W2647">
        <v>3.2309930000000001E-2</v>
      </c>
      <c r="X2647">
        <v>0.98519060000000003</v>
      </c>
      <c r="Y2647">
        <v>-0.26822249999999997</v>
      </c>
      <c r="Z2647">
        <v>5.3583459999999999E-2</v>
      </c>
      <c r="AA2647">
        <v>0.96186559999999999</v>
      </c>
      <c r="AB2647">
        <v>22</v>
      </c>
      <c r="AC2647">
        <v>8.6675999999999895</v>
      </c>
      <c r="AD2647">
        <v>-1.11287902383243</v>
      </c>
      <c r="AE2647">
        <v>-0.181499999999999</v>
      </c>
      <c r="AF2647">
        <v>-2.3756420372944498</v>
      </c>
      <c r="AG2647">
        <v>-1.11287902383243</v>
      </c>
      <c r="AH2647">
        <v>8.1914262466994501</v>
      </c>
      <c r="AI2647">
        <v>97.4340906147482</v>
      </c>
      <c r="AJ2647">
        <v>106.17298761411899</v>
      </c>
      <c r="AK2647">
        <v>8.6012579757942103</v>
      </c>
      <c r="AL2647">
        <v>88.1484550183946</v>
      </c>
      <c r="AM2647">
        <v>99.699377683814106</v>
      </c>
      <c r="AN2647">
        <v>0.99999993887572503</v>
      </c>
    </row>
    <row r="2648" spans="1:40" x14ac:dyDescent="0.25">
      <c r="A2648" t="str">
        <f>"20190312151321895"</f>
        <v>20190312151321895</v>
      </c>
      <c r="B2648" t="str">
        <f>"1552374801893081"</f>
        <v>1552374801893081</v>
      </c>
      <c r="C2648" t="s">
        <v>40</v>
      </c>
      <c r="D2648">
        <v>4.4361569999999997</v>
      </c>
      <c r="E2648">
        <v>0.46979530000000003</v>
      </c>
      <c r="F2648" t="s">
        <v>54</v>
      </c>
      <c r="G2648">
        <v>-462.56380000000001</v>
      </c>
      <c r="H2648" s="1">
        <v>-1.4571989999999999E-7</v>
      </c>
      <c r="I2648">
        <v>214.00389999999999</v>
      </c>
      <c r="J2648">
        <v>-471.24860000000001</v>
      </c>
      <c r="K2648">
        <v>1.1129469999999999</v>
      </c>
      <c r="L2648">
        <v>214.15520000000001</v>
      </c>
      <c r="M2648">
        <v>0.95583269999999998</v>
      </c>
      <c r="N2648">
        <v>0</v>
      </c>
      <c r="O2648">
        <v>-0.29374410000000001</v>
      </c>
      <c r="P2648">
        <v>0.9912377</v>
      </c>
      <c r="Q2648">
        <v>2.3887439999999999E-2</v>
      </c>
      <c r="R2648">
        <v>-0.12991230000000001</v>
      </c>
      <c r="S2648">
        <v>3.027374</v>
      </c>
      <c r="T2648">
        <v>-0.37858570000000002</v>
      </c>
      <c r="U2648">
        <v>-7.2265629999999997E-2</v>
      </c>
      <c r="V2648">
        <v>-0.16725319999999999</v>
      </c>
      <c r="W2648">
        <v>3.2410960000000003E-2</v>
      </c>
      <c r="X2648">
        <v>0.98538110000000001</v>
      </c>
      <c r="Y2648">
        <v>-0.2665614</v>
      </c>
      <c r="Z2648">
        <v>5.2742270000000001E-2</v>
      </c>
      <c r="AA2648">
        <v>0.9623737</v>
      </c>
      <c r="AB2648">
        <v>23</v>
      </c>
      <c r="AC2648">
        <v>8.6847999999999903</v>
      </c>
      <c r="AD2648">
        <v>-1.1129471457198901</v>
      </c>
      <c r="AE2648">
        <v>-0.15130000000002</v>
      </c>
      <c r="AF2648">
        <v>-2.3677380043293899</v>
      </c>
      <c r="AG2648">
        <v>-1.1129471457198901</v>
      </c>
      <c r="AH2648">
        <v>8.2112638265168094</v>
      </c>
      <c r="AI2648">
        <v>97.420035764054703</v>
      </c>
      <c r="AJ2648">
        <v>106.085045766661</v>
      </c>
      <c r="AK2648">
        <v>8.6179863213499797</v>
      </c>
      <c r="AL2648">
        <v>88.142663520093393</v>
      </c>
      <c r="AM2648">
        <v>99.633261708242998</v>
      </c>
      <c r="AN2648">
        <v>1.00000000773778</v>
      </c>
    </row>
    <row r="2649" spans="1:40" x14ac:dyDescent="0.25">
      <c r="A2649" t="str">
        <f>"20190312151321919"</f>
        <v>20190312151321919</v>
      </c>
      <c r="B2649" t="str">
        <f>"1552374801912601"</f>
        <v>1552374801912601</v>
      </c>
      <c r="C2649" t="s">
        <v>40</v>
      </c>
      <c r="D2649">
        <v>4.7347239999999999</v>
      </c>
      <c r="E2649">
        <v>0.47080729999999998</v>
      </c>
      <c r="F2649" t="s">
        <v>54</v>
      </c>
      <c r="G2649">
        <v>-460.22660000000002</v>
      </c>
      <c r="H2649" s="1">
        <v>-1.3744970000000001E-6</v>
      </c>
      <c r="I2649">
        <v>213.66220000000001</v>
      </c>
      <c r="J2649">
        <v>-471.02730000000003</v>
      </c>
      <c r="K2649">
        <v>1.1130249999999999</v>
      </c>
      <c r="L2649">
        <v>214.09350000000001</v>
      </c>
      <c r="M2649">
        <v>0.95738239999999997</v>
      </c>
      <c r="N2649">
        <v>0</v>
      </c>
      <c r="O2649">
        <v>-0.28865150000000001</v>
      </c>
      <c r="P2649">
        <v>0.99176920000000002</v>
      </c>
      <c r="Q2649">
        <v>2.4306000000000001E-2</v>
      </c>
      <c r="R2649">
        <v>-0.12571070000000001</v>
      </c>
      <c r="S2649">
        <v>3.0161739999999999</v>
      </c>
      <c r="T2649">
        <v>-0.30455890000000002</v>
      </c>
      <c r="U2649">
        <v>-0.134903</v>
      </c>
      <c r="V2649">
        <v>-0.16618939999999999</v>
      </c>
      <c r="W2649">
        <v>3.2835129999999997E-2</v>
      </c>
      <c r="X2649">
        <v>0.98554699999999995</v>
      </c>
      <c r="Y2649">
        <v>-0.2429405</v>
      </c>
      <c r="Z2649">
        <v>4.0924719999999998E-2</v>
      </c>
      <c r="AA2649">
        <v>0.96917750000000003</v>
      </c>
      <c r="AB2649">
        <v>23</v>
      </c>
      <c r="AC2649">
        <v>10.800700000000001</v>
      </c>
      <c r="AD2649">
        <v>-1.1130263744969999</v>
      </c>
      <c r="AE2649">
        <v>-0.43129999999999302</v>
      </c>
      <c r="AF2649">
        <v>-2.6764756803564702</v>
      </c>
      <c r="AG2649">
        <v>-1.1130263744969999</v>
      </c>
      <c r="AH2649">
        <v>10.355617681061</v>
      </c>
      <c r="AI2649">
        <v>95.940873823329298</v>
      </c>
      <c r="AJ2649">
        <v>104.49134350992701</v>
      </c>
      <c r="AK2649">
        <v>10.7536583232949</v>
      </c>
      <c r="AL2649">
        <v>88.118347366421403</v>
      </c>
      <c r="AM2649">
        <v>99.571545997239696</v>
      </c>
      <c r="AN2649">
        <v>0.99999997582173805</v>
      </c>
    </row>
    <row r="2650" spans="1:40" x14ac:dyDescent="0.25">
      <c r="A2650" t="str">
        <f>"20190312151321954"</f>
        <v>20190312151321954</v>
      </c>
      <c r="B2650" t="str">
        <f>"1552374801942858"</f>
        <v>1552374801942858</v>
      </c>
      <c r="C2650" t="s">
        <v>40</v>
      </c>
      <c r="D2650">
        <v>4.6952720000000001</v>
      </c>
      <c r="E2650">
        <v>0.47178789999999998</v>
      </c>
      <c r="F2650" t="s">
        <v>54</v>
      </c>
      <c r="G2650">
        <v>-459.0351</v>
      </c>
      <c r="H2650" s="1">
        <v>3.3169629999999998E-6</v>
      </c>
      <c r="I2650">
        <v>213.5701</v>
      </c>
      <c r="J2650">
        <v>-470.68459999999999</v>
      </c>
      <c r="K2650">
        <v>1.1131610000000001</v>
      </c>
      <c r="L2650">
        <v>214.00059999999999</v>
      </c>
      <c r="M2650">
        <v>0.95979020000000004</v>
      </c>
      <c r="N2650">
        <v>0</v>
      </c>
      <c r="O2650">
        <v>-0.28054059999999997</v>
      </c>
      <c r="P2650">
        <v>0.99262890000000004</v>
      </c>
      <c r="Q2650">
        <v>2.4210059999999999E-2</v>
      </c>
      <c r="R2650">
        <v>-0.1187537</v>
      </c>
      <c r="S2650">
        <v>3.0151059999999998</v>
      </c>
      <c r="T2650">
        <v>-0.279837</v>
      </c>
      <c r="U2650">
        <v>-0.13157650000000001</v>
      </c>
      <c r="V2650">
        <v>-0.16477139999999901</v>
      </c>
      <c r="W2650">
        <v>3.274792E-2</v>
      </c>
      <c r="X2650">
        <v>0.985788</v>
      </c>
      <c r="Y2650">
        <v>-0.23625570000000001</v>
      </c>
      <c r="Z2650">
        <v>3.6599430000000002E-2</v>
      </c>
      <c r="AA2650">
        <v>0.97100140000000001</v>
      </c>
      <c r="AB2650">
        <v>23</v>
      </c>
      <c r="AC2650">
        <v>11.6494999999999</v>
      </c>
      <c r="AD2650">
        <v>-1.113157683037</v>
      </c>
      <c r="AE2650">
        <v>-0.430499999999995</v>
      </c>
      <c r="AF2650">
        <v>-2.8293123732617498</v>
      </c>
      <c r="AG2650">
        <v>-1.113157683037</v>
      </c>
      <c r="AH2650">
        <v>11.200286599076501</v>
      </c>
      <c r="AI2650">
        <v>95.504006246353299</v>
      </c>
      <c r="AJ2650">
        <v>104.17694055309001</v>
      </c>
      <c r="AK2650">
        <v>11.605625723512301</v>
      </c>
      <c r="AL2650">
        <v>88.123346885654797</v>
      </c>
      <c r="AM2650">
        <v>99.489091339755007</v>
      </c>
      <c r="AN2650">
        <v>1.0000000107331399</v>
      </c>
    </row>
    <row r="2651" spans="1:40" x14ac:dyDescent="0.25">
      <c r="A2651" t="str">
        <f>"20190312151321997"</f>
        <v>20190312151321997</v>
      </c>
      <c r="B2651" t="str">
        <f>"1552374801992633"</f>
        <v>1552374801992633</v>
      </c>
      <c r="C2651" t="s">
        <v>40</v>
      </c>
      <c r="D2651">
        <v>4.6088149999999999</v>
      </c>
      <c r="E2651">
        <v>0.4731766</v>
      </c>
      <c r="F2651" t="s">
        <v>54</v>
      </c>
      <c r="G2651">
        <v>-457.6019</v>
      </c>
      <c r="H2651" s="1">
        <v>2.5580790000000002E-6</v>
      </c>
      <c r="I2651">
        <v>213.48310000000001</v>
      </c>
      <c r="J2651">
        <v>-470.26100000000002</v>
      </c>
      <c r="K2651">
        <v>1.1133309999999901</v>
      </c>
      <c r="L2651">
        <v>213.89070000000001</v>
      </c>
      <c r="M2651">
        <v>0.96276260000000002</v>
      </c>
      <c r="N2651">
        <v>0</v>
      </c>
      <c r="O2651">
        <v>-0.27016079999999998</v>
      </c>
      <c r="P2651">
        <v>0.99370740000000002</v>
      </c>
      <c r="Q2651">
        <v>2.4273659999999999E-2</v>
      </c>
      <c r="R2651">
        <v>-0.1093461</v>
      </c>
      <c r="S2651">
        <v>3.0142519999999999</v>
      </c>
      <c r="T2651">
        <v>-0.25647029999999998</v>
      </c>
      <c r="U2651">
        <v>-0.119232199999999</v>
      </c>
      <c r="V2651">
        <v>-0.16347729999999999</v>
      </c>
      <c r="W2651">
        <v>3.2819880000000003E-2</v>
      </c>
      <c r="X2651">
        <v>0.98600100000000002</v>
      </c>
      <c r="Y2651">
        <v>-0.23012640000000001</v>
      </c>
      <c r="Z2651">
        <v>3.2458299999999898E-2</v>
      </c>
      <c r="AA2651">
        <v>0.97261929999999996</v>
      </c>
      <c r="AB2651">
        <v>23</v>
      </c>
      <c r="AC2651">
        <v>12.659099999999899</v>
      </c>
      <c r="AD2651">
        <v>-1.1133284419209999</v>
      </c>
      <c r="AE2651">
        <v>-0.40760000000000202</v>
      </c>
      <c r="AF2651">
        <v>-3.00450915865826</v>
      </c>
      <c r="AG2651">
        <v>-1.1133284419209999</v>
      </c>
      <c r="AH2651">
        <v>12.204151474567899</v>
      </c>
      <c r="AI2651">
        <v>95.062077477309998</v>
      </c>
      <c r="AJ2651">
        <v>103.83046732874899</v>
      </c>
      <c r="AK2651">
        <v>12.6177608440741</v>
      </c>
      <c r="AL2651">
        <v>88.119221591203697</v>
      </c>
      <c r="AM2651">
        <v>99.413906940817199</v>
      </c>
      <c r="AN2651">
        <v>0.999999972069751</v>
      </c>
    </row>
    <row r="2652" spans="1:40" x14ac:dyDescent="0.25">
      <c r="A2652" t="str">
        <f>"20190312151322018"</f>
        <v>20190312151322018</v>
      </c>
      <c r="B2652" t="str">
        <f>"1552374802013129"</f>
        <v>1552374802013129</v>
      </c>
      <c r="C2652" t="s">
        <v>40</v>
      </c>
      <c r="D2652">
        <v>4.8040510000000003</v>
      </c>
      <c r="E2652">
        <v>0.47359649999999998</v>
      </c>
      <c r="F2652" t="s">
        <v>54</v>
      </c>
      <c r="G2652">
        <v>-456.17619999999999</v>
      </c>
      <c r="H2652" s="1">
        <v>1.802567E-6</v>
      </c>
      <c r="I2652">
        <v>213.41149999999999</v>
      </c>
      <c r="J2652">
        <v>-470.05040000000002</v>
      </c>
      <c r="K2652">
        <v>1.1133980000000001</v>
      </c>
      <c r="L2652">
        <v>213.83799999999999</v>
      </c>
      <c r="M2652">
        <v>0.96423389999999998</v>
      </c>
      <c r="N2652">
        <v>0</v>
      </c>
      <c r="O2652">
        <v>-0.2648605</v>
      </c>
      <c r="P2652">
        <v>0.9942223</v>
      </c>
      <c r="Q2652">
        <v>2.4714170000000001E-2</v>
      </c>
      <c r="R2652">
        <v>-0.10445839999999899</v>
      </c>
      <c r="S2652">
        <v>3.0134889999999999</v>
      </c>
      <c r="T2652">
        <v>-0.23820089999999999</v>
      </c>
      <c r="U2652">
        <v>-0.1025238</v>
      </c>
      <c r="V2652">
        <v>-0.16290829999999901</v>
      </c>
      <c r="W2652">
        <v>3.3266440000000001E-2</v>
      </c>
      <c r="X2652">
        <v>0.98608019999999996</v>
      </c>
      <c r="Y2652">
        <v>-0.2304088</v>
      </c>
      <c r="Z2652">
        <v>2.9774120000000001E-2</v>
      </c>
      <c r="AA2652">
        <v>0.97263829999999996</v>
      </c>
      <c r="AB2652">
        <v>23</v>
      </c>
      <c r="AC2652">
        <v>13.8742</v>
      </c>
      <c r="AD2652">
        <v>-1.11339619743299</v>
      </c>
      <c r="AE2652">
        <v>-0.42650000000000399</v>
      </c>
      <c r="AF2652">
        <v>-3.2427843755589398</v>
      </c>
      <c r="AG2652">
        <v>-1.11339619743299</v>
      </c>
      <c r="AH2652">
        <v>13.405375746220299</v>
      </c>
      <c r="AI2652">
        <v>94.615340991665306</v>
      </c>
      <c r="AJ2652">
        <v>103.59871868334</v>
      </c>
      <c r="AK2652">
        <v>13.8368855056396</v>
      </c>
      <c r="AL2652">
        <v>88.093621595020807</v>
      </c>
      <c r="AM2652">
        <v>99.380984244184006</v>
      </c>
      <c r="AN2652">
        <v>0.999999965535601</v>
      </c>
    </row>
    <row r="2653" spans="1:40" x14ac:dyDescent="0.25">
      <c r="A2653" t="str">
        <f>"20190312151322040"</f>
        <v>20190312151322040</v>
      </c>
      <c r="B2653" t="str">
        <f>"1552374802032649"</f>
        <v>1552374802032649</v>
      </c>
      <c r="C2653" t="s">
        <v>40</v>
      </c>
      <c r="D2653">
        <v>4.4074200000000001</v>
      </c>
      <c r="E2653">
        <v>0.47420449999999997</v>
      </c>
      <c r="F2653" t="s">
        <v>54</v>
      </c>
      <c r="G2653">
        <v>-455.64679999999998</v>
      </c>
      <c r="H2653" s="1">
        <v>1.521226E-6</v>
      </c>
      <c r="I2653">
        <v>213.40209999999999</v>
      </c>
      <c r="J2653">
        <v>-469.8356</v>
      </c>
      <c r="K2653">
        <v>1.113469</v>
      </c>
      <c r="L2653">
        <v>213.78569999999999</v>
      </c>
      <c r="M2653">
        <v>0.96572760000000002</v>
      </c>
      <c r="N2653">
        <v>0</v>
      </c>
      <c r="O2653">
        <v>-0.259360799999999</v>
      </c>
      <c r="P2653">
        <v>0.99478800000000001</v>
      </c>
      <c r="Q2653">
        <v>2.5018100000000001E-2</v>
      </c>
      <c r="R2653">
        <v>-9.8849919999999994E-2</v>
      </c>
      <c r="S2653">
        <v>3.013611</v>
      </c>
      <c r="T2653">
        <v>-0.2329524</v>
      </c>
      <c r="U2653">
        <v>-9.1201779999999996E-2</v>
      </c>
      <c r="V2653">
        <v>-0.1628558</v>
      </c>
      <c r="W2653">
        <v>3.3571440000000001E-2</v>
      </c>
      <c r="X2653">
        <v>0.98607860000000003</v>
      </c>
      <c r="Y2653">
        <v>-0.228603</v>
      </c>
      <c r="Z2653">
        <v>2.864152E-2</v>
      </c>
      <c r="AA2653">
        <v>0.97309829999999997</v>
      </c>
      <c r="AB2653">
        <v>23</v>
      </c>
      <c r="AC2653">
        <v>14.188800000000001</v>
      </c>
      <c r="AD2653">
        <v>-1.113467478774</v>
      </c>
      <c r="AE2653">
        <v>-0.383600000000001</v>
      </c>
      <c r="AF2653">
        <v>-3.2894914923029299</v>
      </c>
      <c r="AG2653">
        <v>-1.113467478774</v>
      </c>
      <c r="AH2653">
        <v>13.7182915439178</v>
      </c>
      <c r="AI2653">
        <v>94.512952911715004</v>
      </c>
      <c r="AJ2653">
        <v>103.484286271813</v>
      </c>
      <c r="AK2653">
        <v>14.151045437993099</v>
      </c>
      <c r="AL2653">
        <v>88.076136737711593</v>
      </c>
      <c r="AM2653">
        <v>99.378029721474604</v>
      </c>
      <c r="AN2653">
        <v>1.0000000292776301</v>
      </c>
    </row>
    <row r="2654" spans="1:40" x14ac:dyDescent="0.25">
      <c r="A2654" t="str">
        <f>"20190312151322063"</f>
        <v>20190312151322063</v>
      </c>
      <c r="B2654" t="str">
        <f>"1552374802053145"</f>
        <v>1552374802053145</v>
      </c>
      <c r="C2654" t="s">
        <v>40</v>
      </c>
      <c r="D2654">
        <v>4.4086730000000003</v>
      </c>
      <c r="E2654">
        <v>0.47433219999999998</v>
      </c>
      <c r="F2654" t="s">
        <v>54</v>
      </c>
      <c r="G2654">
        <v>-455.14330000000001</v>
      </c>
      <c r="H2654" s="1">
        <v>1.2535120000000001E-6</v>
      </c>
      <c r="I2654">
        <v>213.3974</v>
      </c>
      <c r="J2654">
        <v>-469.6087</v>
      </c>
      <c r="K2654">
        <v>1.1135469999999901</v>
      </c>
      <c r="L2654">
        <v>213.7319</v>
      </c>
      <c r="M2654">
        <v>0.96730059999999995</v>
      </c>
      <c r="N2654">
        <v>0</v>
      </c>
      <c r="O2654">
        <v>-0.25342999999999999</v>
      </c>
      <c r="P2654">
        <v>0.9953765</v>
      </c>
      <c r="Q2654">
        <v>2.5175940000000001E-2</v>
      </c>
      <c r="R2654">
        <v>-9.2694819999999997E-2</v>
      </c>
      <c r="S2654">
        <v>3.0135190000000001</v>
      </c>
      <c r="T2654">
        <v>-0.2283819</v>
      </c>
      <c r="U2654">
        <v>-7.9635620000000004E-2</v>
      </c>
      <c r="V2654">
        <v>-0.1629109</v>
      </c>
      <c r="W2654">
        <v>3.3726319999999997E-2</v>
      </c>
      <c r="X2654">
        <v>0.98606419999999995</v>
      </c>
      <c r="Y2654">
        <v>-0.22643940000000001</v>
      </c>
      <c r="Z2654">
        <v>2.756786E-2</v>
      </c>
      <c r="AA2654">
        <v>0.97363509999999998</v>
      </c>
      <c r="AB2654">
        <v>23</v>
      </c>
      <c r="AC2654">
        <v>14.465399999999899</v>
      </c>
      <c r="AD2654">
        <v>-1.1135457464880001</v>
      </c>
      <c r="AE2654">
        <v>-0.33449999999999103</v>
      </c>
      <c r="AF2654">
        <v>-3.32289539447547</v>
      </c>
      <c r="AG2654">
        <v>-1.1135457464880001</v>
      </c>
      <c r="AH2654">
        <v>13.994997140733499</v>
      </c>
      <c r="AI2654">
        <v>94.426734208366099</v>
      </c>
      <c r="AJ2654">
        <v>103.35666685443999</v>
      </c>
      <c r="AK2654">
        <v>14.4271120776574</v>
      </c>
      <c r="AL2654">
        <v>88.067257714429999</v>
      </c>
      <c r="AM2654">
        <v>99.381280815696897</v>
      </c>
      <c r="AN2654">
        <v>1.00000001626059</v>
      </c>
    </row>
    <row r="2655" spans="1:40" x14ac:dyDescent="0.25">
      <c r="A2655" t="str">
        <f>"20190312151322086"</f>
        <v>20190312151322086</v>
      </c>
      <c r="B2655" t="str">
        <f>"1552374802082426"</f>
        <v>1552374802082426</v>
      </c>
      <c r="C2655" t="s">
        <v>40</v>
      </c>
      <c r="D2655">
        <v>4.4076629999999897</v>
      </c>
      <c r="E2655">
        <v>0.47496379999999999</v>
      </c>
      <c r="F2655" t="s">
        <v>54</v>
      </c>
      <c r="G2655">
        <v>-454.77640000000002</v>
      </c>
      <c r="H2655" s="1">
        <v>1.05703E-6</v>
      </c>
      <c r="I2655">
        <v>213.4254</v>
      </c>
      <c r="J2655">
        <v>-469.3938</v>
      </c>
      <c r="K2655">
        <v>1.1136250000000001</v>
      </c>
      <c r="L2655">
        <v>213.6824</v>
      </c>
      <c r="M2655">
        <v>0.9687829</v>
      </c>
      <c r="N2655">
        <v>0</v>
      </c>
      <c r="O2655">
        <v>-0.2477019</v>
      </c>
      <c r="P2655">
        <v>0.995865</v>
      </c>
      <c r="Q2655">
        <v>2.6010189999999999E-2</v>
      </c>
      <c r="R2655">
        <v>-8.7040800000000002E-2</v>
      </c>
      <c r="S2655">
        <v>3.0138850000000001</v>
      </c>
      <c r="T2655">
        <v>-0.22626959999999999</v>
      </c>
      <c r="U2655">
        <v>-6.2286380000000002E-2</v>
      </c>
      <c r="V2655">
        <v>-0.16268479999999999</v>
      </c>
      <c r="W2655">
        <v>3.4557919999999999E-2</v>
      </c>
      <c r="X2655">
        <v>0.98607270000000002</v>
      </c>
      <c r="Y2655">
        <v>-0.226323</v>
      </c>
      <c r="Z2655">
        <v>2.689306E-2</v>
      </c>
      <c r="AA2655">
        <v>0.97368100000000002</v>
      </c>
      <c r="AB2655">
        <v>23</v>
      </c>
      <c r="AC2655">
        <v>14.6173999999999</v>
      </c>
      <c r="AD2655">
        <v>-1.1136239429699999</v>
      </c>
      <c r="AE2655">
        <v>-0.257000000000005</v>
      </c>
      <c r="AF2655">
        <v>-3.3525026500570201</v>
      </c>
      <c r="AG2655">
        <v>-1.1136239429699999</v>
      </c>
      <c r="AH2655">
        <v>14.1434176490204</v>
      </c>
      <c r="AI2655">
        <v>94.381158743024898</v>
      </c>
      <c r="AJ2655">
        <v>103.33506352462599</v>
      </c>
      <c r="AK2655">
        <v>14.5779180646489</v>
      </c>
      <c r="AL2655">
        <v>88.019582680296594</v>
      </c>
      <c r="AM2655">
        <v>99.368412429577205</v>
      </c>
      <c r="AN2655">
        <v>0.99999998183552796</v>
      </c>
    </row>
    <row r="2656" spans="1:40" x14ac:dyDescent="0.25">
      <c r="A2656" t="str">
        <f>"20190312151322109"</f>
        <v>20190312151322109</v>
      </c>
      <c r="B2656" t="str">
        <f>"1552374802102921"</f>
        <v>1552374802102921</v>
      </c>
      <c r="C2656" t="s">
        <v>40</v>
      </c>
      <c r="D2656">
        <v>4.599729</v>
      </c>
      <c r="E2656">
        <v>0.47552670000000002</v>
      </c>
      <c r="F2656" t="s">
        <v>54</v>
      </c>
      <c r="G2656">
        <v>-454.13959999999997</v>
      </c>
      <c r="H2656" s="1">
        <v>7.1813549999999998E-7</v>
      </c>
      <c r="I2656">
        <v>213.42590000000001</v>
      </c>
      <c r="J2656">
        <v>-469.15820000000002</v>
      </c>
      <c r="K2656">
        <v>1.1137140000000001</v>
      </c>
      <c r="L2656">
        <v>213.63</v>
      </c>
      <c r="M2656">
        <v>0.97039790000000004</v>
      </c>
      <c r="N2656">
        <v>0</v>
      </c>
      <c r="O2656">
        <v>-0.24129600000000001</v>
      </c>
      <c r="P2656">
        <v>0.9964402</v>
      </c>
      <c r="Q2656">
        <v>2.5974919999999999E-2</v>
      </c>
      <c r="R2656">
        <v>-8.020236E-2</v>
      </c>
      <c r="S2656">
        <v>3.013763</v>
      </c>
      <c r="T2656">
        <v>-0.22001760000000001</v>
      </c>
      <c r="U2656">
        <v>-5.0689699999999997E-2</v>
      </c>
      <c r="V2656">
        <v>-0.16294700000000001</v>
      </c>
      <c r="W2656">
        <v>3.4511689999999998E-2</v>
      </c>
      <c r="X2656">
        <v>0.98603110000000005</v>
      </c>
      <c r="Y2656">
        <v>-0.22372810000000001</v>
      </c>
      <c r="Z2656">
        <v>2.560604E-2</v>
      </c>
      <c r="AA2656">
        <v>0.97431520000000005</v>
      </c>
      <c r="AB2656">
        <v>23</v>
      </c>
      <c r="AC2656">
        <v>15.018599999999999</v>
      </c>
      <c r="AD2656">
        <v>-1.1137132818644999</v>
      </c>
      <c r="AE2656">
        <v>-0.20409999999998199</v>
      </c>
      <c r="AF2656">
        <v>-3.4073147763038301</v>
      </c>
      <c r="AG2656">
        <v>-1.1137132818644999</v>
      </c>
      <c r="AH2656">
        <v>14.5440642145516</v>
      </c>
      <c r="AI2656">
        <v>94.263879684747707</v>
      </c>
      <c r="AJ2656">
        <v>103.185194792632</v>
      </c>
      <c r="AK2656">
        <v>14.9793175791162</v>
      </c>
      <c r="AL2656">
        <v>88.022233191650002</v>
      </c>
      <c r="AM2656">
        <v>99.383632065081301</v>
      </c>
      <c r="AN2656">
        <v>1.0000000558614299</v>
      </c>
    </row>
    <row r="2657" spans="1:40" x14ac:dyDescent="0.25">
      <c r="A2657" t="str">
        <f>"20190312151322129"</f>
        <v>20190312151322129</v>
      </c>
      <c r="B2657" t="str">
        <f>"1552374802122441"</f>
        <v>1552374802122441</v>
      </c>
      <c r="C2657" t="s">
        <v>40</v>
      </c>
      <c r="D2657">
        <v>4.5832459999999999</v>
      </c>
      <c r="E2657">
        <v>0.47605540000000002</v>
      </c>
      <c r="F2657" t="s">
        <v>54</v>
      </c>
      <c r="G2657">
        <v>-453.81319999999999</v>
      </c>
      <c r="H2657" s="1">
        <v>5.4334309999999896E-7</v>
      </c>
      <c r="I2657">
        <v>213.45150000000001</v>
      </c>
      <c r="J2657">
        <v>-468.96010000000001</v>
      </c>
      <c r="K2657">
        <v>1.113791</v>
      </c>
      <c r="L2657">
        <v>213.5872</v>
      </c>
      <c r="M2657">
        <v>0.97174020000000005</v>
      </c>
      <c r="N2657">
        <v>0</v>
      </c>
      <c r="O2657">
        <v>-0.23583170000000001</v>
      </c>
      <c r="P2657">
        <v>0.99688460000000001</v>
      </c>
      <c r="Q2657">
        <v>2.4935479999999999E-2</v>
      </c>
      <c r="R2657">
        <v>-7.4831010000000003E-2</v>
      </c>
      <c r="S2657">
        <v>3.0136409999999998</v>
      </c>
      <c r="T2657">
        <v>-0.2187259</v>
      </c>
      <c r="U2657">
        <v>-3.5049440000000001E-2</v>
      </c>
      <c r="V2657">
        <v>-0.16271529999999901</v>
      </c>
      <c r="W2657">
        <v>3.3468020000000001E-2</v>
      </c>
      <c r="X2657">
        <v>0.98610529999999996</v>
      </c>
      <c r="Y2657">
        <v>-0.22332869999999999</v>
      </c>
      <c r="Z2657">
        <v>2.5059419999999999E-2</v>
      </c>
      <c r="AA2657">
        <v>0.97442099999999998</v>
      </c>
      <c r="AB2657">
        <v>23</v>
      </c>
      <c r="AC2657">
        <v>15.1469</v>
      </c>
      <c r="AD2657">
        <v>-1.1137904566568999</v>
      </c>
      <c r="AE2657">
        <v>-0.135699999999985</v>
      </c>
      <c r="AF2657">
        <v>-3.42193257830229</v>
      </c>
      <c r="AG2657">
        <v>-1.1137904566568999</v>
      </c>
      <c r="AH2657">
        <v>14.672296692876801</v>
      </c>
      <c r="AI2657">
        <v>94.2280232554306</v>
      </c>
      <c r="AJ2657">
        <v>103.128084436931</v>
      </c>
      <c r="AK2657">
        <v>15.107165253468001</v>
      </c>
      <c r="AL2657">
        <v>88.082065580854106</v>
      </c>
      <c r="AM2657">
        <v>99.369833387331198</v>
      </c>
      <c r="AN2657">
        <v>1.0000000199524499</v>
      </c>
    </row>
    <row r="2658" spans="1:40" x14ac:dyDescent="0.25">
      <c r="A2658" t="str">
        <f>"20190312151322155"</f>
        <v>20190312151322155</v>
      </c>
      <c r="B2658" t="str">
        <f>"1552374802142938"</f>
        <v>1552374802142938</v>
      </c>
      <c r="C2658" t="s">
        <v>40</v>
      </c>
      <c r="D2658">
        <v>4.4037699999999997</v>
      </c>
      <c r="E2658">
        <v>0.4763269</v>
      </c>
      <c r="F2658" t="s">
        <v>54</v>
      </c>
      <c r="G2658">
        <v>-453.71769999999998</v>
      </c>
      <c r="H2658" s="1">
        <v>4.9168679999999996E-7</v>
      </c>
      <c r="I2658">
        <v>213.47030000000001</v>
      </c>
      <c r="J2658">
        <v>-468.70769999999999</v>
      </c>
      <c r="K2658">
        <v>1.1138709999999901</v>
      </c>
      <c r="L2658">
        <v>213.53460000000001</v>
      </c>
      <c r="M2658">
        <v>0.9734275</v>
      </c>
      <c r="N2658">
        <v>0</v>
      </c>
      <c r="O2658">
        <v>-0.228767</v>
      </c>
      <c r="P2658">
        <v>0.99740399999999996</v>
      </c>
      <c r="Q2658">
        <v>2.4662630000000001E-2</v>
      </c>
      <c r="R2658">
        <v>-6.7655960000000001E-2</v>
      </c>
      <c r="S2658">
        <v>3.0131230000000002</v>
      </c>
      <c r="T2658">
        <v>-0.22017410000000001</v>
      </c>
      <c r="U2658">
        <v>-2.311707E-2</v>
      </c>
      <c r="V2658">
        <v>-0.16265379999999999</v>
      </c>
      <c r="W2658">
        <v>3.3190659999999997E-2</v>
      </c>
      <c r="X2658">
        <v>0.98612480000000002</v>
      </c>
      <c r="Y2658">
        <v>-0.2201158</v>
      </c>
      <c r="Z2658">
        <v>2.4610090000000001E-2</v>
      </c>
      <c r="AA2658">
        <v>0.97516329999999996</v>
      </c>
      <c r="AB2658">
        <v>23</v>
      </c>
      <c r="AC2658">
        <v>14.99</v>
      </c>
      <c r="AD2658">
        <v>-1.1138705083131999</v>
      </c>
      <c r="AE2658">
        <v>-6.4300000000002897E-2</v>
      </c>
      <c r="AF2658">
        <v>-3.34831420330188</v>
      </c>
      <c r="AG2658">
        <v>-1.1138705083131999</v>
      </c>
      <c r="AH2658">
        <v>14.5269409358252</v>
      </c>
      <c r="AI2658">
        <v>94.273038960573402</v>
      </c>
      <c r="AJ2658">
        <v>102.97942449687601</v>
      </c>
      <c r="AK2658">
        <v>14.9493788655675</v>
      </c>
      <c r="AL2658">
        <v>88.097965933670906</v>
      </c>
      <c r="AM2658">
        <v>99.366172794612396</v>
      </c>
      <c r="AN2658">
        <v>0.99999999987035704</v>
      </c>
    </row>
    <row r="2659" spans="1:40" x14ac:dyDescent="0.25">
      <c r="A2659" t="str">
        <f>"20190312151322197"</f>
        <v>20190312151322197</v>
      </c>
      <c r="B2659" t="str">
        <f>"1552374802192713"</f>
        <v>1552374802192713</v>
      </c>
      <c r="C2659" t="s">
        <v>40</v>
      </c>
      <c r="D2659">
        <v>4.4217430000000002</v>
      </c>
      <c r="E2659">
        <v>0.46896199999999999</v>
      </c>
      <c r="F2659" t="s">
        <v>54</v>
      </c>
      <c r="G2659">
        <v>-453.53719999999998</v>
      </c>
      <c r="H2659" s="1">
        <v>3.9364750000000002E-7</v>
      </c>
      <c r="I2659">
        <v>213.51519999999999</v>
      </c>
      <c r="J2659">
        <v>-468.28219999999999</v>
      </c>
      <c r="K2659">
        <v>1.1139650000000001</v>
      </c>
      <c r="L2659">
        <v>213.4503</v>
      </c>
      <c r="M2659">
        <v>0.97620260000000003</v>
      </c>
      <c r="N2659">
        <v>0</v>
      </c>
      <c r="O2659">
        <v>-0.2166167</v>
      </c>
      <c r="P2659">
        <v>0.99818130000000005</v>
      </c>
      <c r="Q2659">
        <v>2.4229549999999999E-2</v>
      </c>
      <c r="R2659">
        <v>-5.5204719999999999E-2</v>
      </c>
      <c r="S2659">
        <v>3.0130309999999998</v>
      </c>
      <c r="T2659">
        <v>-0.22122620000000001</v>
      </c>
      <c r="U2659">
        <v>-3.8452149999999999E-3</v>
      </c>
      <c r="V2659">
        <v>-0.1626755</v>
      </c>
      <c r="W2659">
        <v>3.2754110000000003E-2</v>
      </c>
      <c r="X2659">
        <v>0.98613580000000001</v>
      </c>
      <c r="Y2659">
        <v>-0.21422939999999999</v>
      </c>
      <c r="Z2659">
        <v>2.3642150000000001E-2</v>
      </c>
      <c r="AA2659">
        <v>0.97649719999999995</v>
      </c>
      <c r="AB2659">
        <v>23</v>
      </c>
      <c r="AC2659">
        <v>14.744999999999999</v>
      </c>
      <c r="AD2659">
        <v>-1.1139646063524999</v>
      </c>
      <c r="AE2659">
        <v>6.4899999999994407E-2</v>
      </c>
      <c r="AF2659">
        <v>-3.2390540837269999</v>
      </c>
      <c r="AG2659">
        <v>-1.1139646063524999</v>
      </c>
      <c r="AH2659">
        <v>14.2991964237999</v>
      </c>
      <c r="AI2659">
        <v>94.344933213847298</v>
      </c>
      <c r="AJ2659">
        <v>102.763249998555</v>
      </c>
      <c r="AK2659">
        <v>14.703720851129001</v>
      </c>
      <c r="AL2659">
        <v>88.122991982406404</v>
      </c>
      <c r="AM2659">
        <v>99.367297571503101</v>
      </c>
      <c r="AN2659">
        <v>0.99999998303188997</v>
      </c>
    </row>
    <row r="2660" spans="1:40" x14ac:dyDescent="0.25">
      <c r="A2660" t="str">
        <f>"20190312151322220"</f>
        <v>20190312151322220</v>
      </c>
      <c r="B2660" t="str">
        <f>"1552374802213210"</f>
        <v>1552374802213210</v>
      </c>
      <c r="C2660" t="s">
        <v>40</v>
      </c>
      <c r="D2660">
        <v>4.4036280000000003</v>
      </c>
      <c r="E2660">
        <v>0.46984880000000001</v>
      </c>
      <c r="F2660" t="s">
        <v>54</v>
      </c>
      <c r="G2660">
        <v>-454.55689999999998</v>
      </c>
      <c r="H2660" s="1">
        <v>9.2074229999999995E-7</v>
      </c>
      <c r="I2660">
        <v>213.8706</v>
      </c>
      <c r="J2660">
        <v>-468.06299999999999</v>
      </c>
      <c r="K2660">
        <v>1.114001</v>
      </c>
      <c r="L2660">
        <v>213.4092</v>
      </c>
      <c r="M2660">
        <v>0.97759149999999995</v>
      </c>
      <c r="N2660">
        <v>0</v>
      </c>
      <c r="O2660">
        <v>-0.21025849999999999</v>
      </c>
      <c r="P2660">
        <v>0.99852160000000001</v>
      </c>
      <c r="Q2660">
        <v>2.3845209999999999E-2</v>
      </c>
      <c r="R2660">
        <v>-4.8845949999999999E-2</v>
      </c>
      <c r="S2660">
        <v>3.0165709999999999</v>
      </c>
      <c r="T2660">
        <v>-0.24482889999999999</v>
      </c>
      <c r="U2660">
        <v>9.2361449999999998E-2</v>
      </c>
      <c r="V2660">
        <v>-0.16253919999999999</v>
      </c>
      <c r="W2660">
        <v>3.2371419999999998E-2</v>
      </c>
      <c r="X2660">
        <v>0.98617089999999996</v>
      </c>
      <c r="Y2660">
        <v>-0.23862140000000001</v>
      </c>
      <c r="Z2660">
        <v>2.6616310000000001E-2</v>
      </c>
      <c r="AA2660">
        <v>0.97074780000000005</v>
      </c>
      <c r="AB2660">
        <v>23</v>
      </c>
      <c r="AC2660">
        <v>13.5061</v>
      </c>
      <c r="AD2660">
        <v>-1.1140000792577001</v>
      </c>
      <c r="AE2660">
        <v>0.46139999999999698</v>
      </c>
      <c r="AF2660">
        <v>-3.2687956306018</v>
      </c>
      <c r="AG2660">
        <v>-1.1140000792577001</v>
      </c>
      <c r="AH2660">
        <v>13.0186666449711</v>
      </c>
      <c r="AI2660">
        <v>94.744294099754896</v>
      </c>
      <c r="AJ2660">
        <v>104.094753000898</v>
      </c>
      <c r="AK2660">
        <v>13.468916150311101</v>
      </c>
      <c r="AL2660">
        <v>88.144930118619797</v>
      </c>
      <c r="AM2660">
        <v>99.359260751904699</v>
      </c>
      <c r="AN2660">
        <v>0.99999997218813197</v>
      </c>
    </row>
    <row r="2661" spans="1:40" x14ac:dyDescent="0.25">
      <c r="A2661" t="str">
        <f>"20190312151322242"</f>
        <v>20190312151322242</v>
      </c>
      <c r="B2661" t="str">
        <f>"1552374802232730"</f>
        <v>1552374802232730</v>
      </c>
      <c r="C2661" t="s">
        <v>40</v>
      </c>
      <c r="D2661">
        <v>4.6046909999999999</v>
      </c>
      <c r="E2661">
        <v>0.47062700000000002</v>
      </c>
      <c r="F2661" t="s">
        <v>54</v>
      </c>
      <c r="G2661">
        <v>-454.6114</v>
      </c>
      <c r="H2661" s="1">
        <v>9.4950069999999997E-7</v>
      </c>
      <c r="I2661">
        <v>213.87610000000001</v>
      </c>
      <c r="J2661">
        <v>-467.8306</v>
      </c>
      <c r="K2661">
        <v>1.1140479999999999</v>
      </c>
      <c r="L2661">
        <v>213.3672</v>
      </c>
      <c r="M2661">
        <v>0.97902979999999995</v>
      </c>
      <c r="N2661">
        <v>0</v>
      </c>
      <c r="O2661">
        <v>-0.20345559999999999</v>
      </c>
      <c r="P2661">
        <v>0.99884340000000005</v>
      </c>
      <c r="Q2661">
        <v>2.3391680000000001E-2</v>
      </c>
      <c r="R2661">
        <v>-4.2010209999999999E-2</v>
      </c>
      <c r="S2661">
        <v>3.0155639999999999</v>
      </c>
      <c r="T2661">
        <v>-0.2497346</v>
      </c>
      <c r="U2661">
        <v>0.10466</v>
      </c>
      <c r="V2661">
        <v>-0.16243339999999901</v>
      </c>
      <c r="W2661">
        <v>3.1919599999999999E-2</v>
      </c>
      <c r="X2661">
        <v>0.9862031</v>
      </c>
      <c r="Y2661">
        <v>-0.23580690000000001</v>
      </c>
      <c r="Z2661">
        <v>2.648671E-2</v>
      </c>
      <c r="AA2661">
        <v>0.97143889999999999</v>
      </c>
      <c r="AB2661">
        <v>23</v>
      </c>
      <c r="AC2661">
        <v>13.219200000000001</v>
      </c>
      <c r="AD2661">
        <v>-1.1140470504993001</v>
      </c>
      <c r="AE2661">
        <v>0.50890000000001101</v>
      </c>
      <c r="AF2661">
        <v>-3.1654695193937599</v>
      </c>
      <c r="AG2661">
        <v>-1.1140470504993001</v>
      </c>
      <c r="AH2661">
        <v>12.748724884070199</v>
      </c>
      <c r="AI2661">
        <v>94.847640830941799</v>
      </c>
      <c r="AJ2661">
        <v>103.944369071604</v>
      </c>
      <c r="AK2661">
        <v>13.182992235401199</v>
      </c>
      <c r="AL2661">
        <v>88.170830957721407</v>
      </c>
      <c r="AM2661">
        <v>99.352976322131198</v>
      </c>
      <c r="AN2661">
        <v>1.00000001237466</v>
      </c>
    </row>
    <row r="2662" spans="1:40" x14ac:dyDescent="0.25">
      <c r="A2662" t="str">
        <f>"20190312151322263"</f>
        <v>20190312151322263</v>
      </c>
      <c r="B2662" t="str">
        <f>"1552374802253225"</f>
        <v>1552374802253225</v>
      </c>
      <c r="C2662" t="s">
        <v>40</v>
      </c>
      <c r="D2662">
        <v>4.4385130000000004</v>
      </c>
      <c r="E2662">
        <v>0.47036030000000001</v>
      </c>
      <c r="F2662" t="s">
        <v>54</v>
      </c>
      <c r="G2662">
        <v>-454.39519999999999</v>
      </c>
      <c r="H2662" s="1">
        <v>8.3358029999999995E-7</v>
      </c>
      <c r="I2662">
        <v>213.89670000000001</v>
      </c>
      <c r="J2662">
        <v>-467.61239999999998</v>
      </c>
      <c r="K2662">
        <v>1.1140890000000001</v>
      </c>
      <c r="L2662">
        <v>213.32929999999999</v>
      </c>
      <c r="M2662">
        <v>0.98034650000000001</v>
      </c>
      <c r="N2662">
        <v>0</v>
      </c>
      <c r="O2662">
        <v>-0.19701279999999999</v>
      </c>
      <c r="P2662">
        <v>0.99910180000000004</v>
      </c>
      <c r="Q2662">
        <v>2.298818E-2</v>
      </c>
      <c r="R2662">
        <v>-3.5600609999999998E-2</v>
      </c>
      <c r="S2662">
        <v>3.014313</v>
      </c>
      <c r="T2662">
        <v>-0.24994279999999999</v>
      </c>
      <c r="U2662">
        <v>0.1187897</v>
      </c>
      <c r="V2662">
        <v>-0.16227659999999999</v>
      </c>
      <c r="W2662">
        <v>3.1516879999999997E-2</v>
      </c>
      <c r="X2662">
        <v>0.9862419</v>
      </c>
      <c r="Y2662">
        <v>-0.2340035</v>
      </c>
      <c r="Z2662">
        <v>2.5918900000000002E-2</v>
      </c>
      <c r="AA2662">
        <v>0.97189020000000004</v>
      </c>
      <c r="AB2662">
        <v>23</v>
      </c>
      <c r="AC2662">
        <v>13.217199999999901</v>
      </c>
      <c r="AD2662">
        <v>-1.1140881664197</v>
      </c>
      <c r="AE2662">
        <v>0.56740000000002</v>
      </c>
      <c r="AF2662">
        <v>-3.1381196622750398</v>
      </c>
      <c r="AG2662">
        <v>-1.1140881664197</v>
      </c>
      <c r="AH2662">
        <v>12.7558730908131</v>
      </c>
      <c r="AI2662">
        <v>94.847680349040004</v>
      </c>
      <c r="AJ2662">
        <v>103.821080220941</v>
      </c>
      <c r="AK2662">
        <v>13.183371562929</v>
      </c>
      <c r="AL2662">
        <v>88.193916792032695</v>
      </c>
      <c r="AM2662">
        <v>99.343745907023603</v>
      </c>
      <c r="AN2662">
        <v>1.00000004697405</v>
      </c>
    </row>
    <row r="2663" spans="1:40" x14ac:dyDescent="0.25">
      <c r="A2663" t="str">
        <f>"20190312151322285"</f>
        <v>20190312151322285</v>
      </c>
      <c r="B2663" t="str">
        <f>"1552374802282505"</f>
        <v>1552374802282505</v>
      </c>
      <c r="C2663" t="s">
        <v>40</v>
      </c>
      <c r="D2663">
        <v>4.7334709999999998</v>
      </c>
      <c r="E2663">
        <v>0.47056940000000003</v>
      </c>
      <c r="F2663" t="s">
        <v>54</v>
      </c>
      <c r="G2663">
        <v>-454.42970000000003</v>
      </c>
      <c r="H2663" s="1">
        <v>8.4993619999999897E-7</v>
      </c>
      <c r="I2663">
        <v>213.94280000000001</v>
      </c>
      <c r="J2663">
        <v>-467.39890000000003</v>
      </c>
      <c r="K2663">
        <v>1.114134</v>
      </c>
      <c r="L2663">
        <v>213.2938</v>
      </c>
      <c r="M2663">
        <v>0.98160080000000005</v>
      </c>
      <c r="N2663">
        <v>0</v>
      </c>
      <c r="O2663">
        <v>-0.19066379999999999</v>
      </c>
      <c r="P2663">
        <v>0.99930580000000002</v>
      </c>
      <c r="Q2663">
        <v>2.235227E-2</v>
      </c>
      <c r="R2663">
        <v>-2.980644E-2</v>
      </c>
      <c r="S2663">
        <v>3.01355</v>
      </c>
      <c r="T2663">
        <v>-0.25468020000000002</v>
      </c>
      <c r="U2663">
        <v>0.14024349999999999</v>
      </c>
      <c r="V2663">
        <v>-0.1616119</v>
      </c>
      <c r="W2663">
        <v>3.0888240000000001E-2</v>
      </c>
      <c r="X2663">
        <v>0.98637090000000005</v>
      </c>
      <c r="Y2663">
        <v>-0.23459250000000001</v>
      </c>
      <c r="Z2663">
        <v>2.5910079999999999E-2</v>
      </c>
      <c r="AA2663">
        <v>0.97174839999999996</v>
      </c>
      <c r="AB2663">
        <v>23</v>
      </c>
      <c r="AC2663">
        <v>12.969200000000001</v>
      </c>
      <c r="AD2663">
        <v>-1.1141331500638001</v>
      </c>
      <c r="AE2663">
        <v>0.64900000000000002</v>
      </c>
      <c r="AF2663">
        <v>-3.08725596045837</v>
      </c>
      <c r="AG2663">
        <v>-1.1141331500638001</v>
      </c>
      <c r="AH2663">
        <v>12.515380990762001</v>
      </c>
      <c r="AI2663">
        <v>94.939816600145704</v>
      </c>
      <c r="AJ2663">
        <v>103.856906681415</v>
      </c>
      <c r="AK2663">
        <v>12.938593562879401</v>
      </c>
      <c r="AL2663">
        <v>88.229952710315999</v>
      </c>
      <c r="AM2663">
        <v>99.304948183590596</v>
      </c>
      <c r="AN2663">
        <v>1.00000002097935</v>
      </c>
    </row>
    <row r="2664" spans="1:40" x14ac:dyDescent="0.25">
      <c r="A2664" t="str">
        <f>"20190312151322308"</f>
        <v>20190312151322308</v>
      </c>
      <c r="B2664" t="str">
        <f>"1552374802303001"</f>
        <v>1552374802303001</v>
      </c>
      <c r="C2664" t="s">
        <v>40</v>
      </c>
      <c r="D2664">
        <v>4.4246749999999997</v>
      </c>
      <c r="E2664">
        <v>0.47093299999999999</v>
      </c>
      <c r="F2664" t="s">
        <v>54</v>
      </c>
      <c r="G2664">
        <v>-454.51580000000001</v>
      </c>
      <c r="H2664" s="1">
        <v>8.9497400000000003E-7</v>
      </c>
      <c r="I2664">
        <v>213.9598</v>
      </c>
      <c r="J2664">
        <v>-467.16449999999998</v>
      </c>
      <c r="K2664">
        <v>1.114168</v>
      </c>
      <c r="L2664">
        <v>213.25659999999999</v>
      </c>
      <c r="M2664">
        <v>0.98293629999999999</v>
      </c>
      <c r="N2664">
        <v>0</v>
      </c>
      <c r="O2664">
        <v>-0.1836544</v>
      </c>
      <c r="P2664">
        <v>0.99948239999999999</v>
      </c>
      <c r="Q2664">
        <v>2.2060739999999999E-2</v>
      </c>
      <c r="R2664">
        <v>-2.342027E-2</v>
      </c>
      <c r="S2664">
        <v>3.012543</v>
      </c>
      <c r="T2664">
        <v>-0.26052530000000002</v>
      </c>
      <c r="U2664">
        <v>0.15574649999999901</v>
      </c>
      <c r="V2664">
        <v>-0.1608772</v>
      </c>
      <c r="W2664">
        <v>3.0605609999999998E-2</v>
      </c>
      <c r="X2664">
        <v>0.98649980000000004</v>
      </c>
      <c r="Y2664">
        <v>-0.23262389999999999</v>
      </c>
      <c r="Z2664">
        <v>2.5827220000000001E-2</v>
      </c>
      <c r="AA2664">
        <v>0.97222379999999997</v>
      </c>
      <c r="AB2664">
        <v>23</v>
      </c>
      <c r="AC2664">
        <v>12.6486999999999</v>
      </c>
      <c r="AD2664">
        <v>-1.114167105026</v>
      </c>
      <c r="AE2664">
        <v>0.70320000000000904</v>
      </c>
      <c r="AF2664">
        <v>-2.99121443948468</v>
      </c>
      <c r="AG2664">
        <v>-1.114167105026</v>
      </c>
      <c r="AH2664">
        <v>12.2099350401779</v>
      </c>
      <c r="AI2664">
        <v>95.064890345811193</v>
      </c>
      <c r="AJ2664">
        <v>103.76532834802801</v>
      </c>
      <c r="AK2664">
        <v>12.6202712271277</v>
      </c>
      <c r="AL2664">
        <v>88.246153867557894</v>
      </c>
      <c r="AM2664">
        <v>99.262192698341494</v>
      </c>
      <c r="AN2664">
        <v>1.00000001612167</v>
      </c>
    </row>
    <row r="2665" spans="1:40" x14ac:dyDescent="0.25">
      <c r="A2665" t="str">
        <f>"20190312151322331"</f>
        <v>20190312151322331</v>
      </c>
      <c r="B2665" t="str">
        <f>"1552374802322521"</f>
        <v>1552374802322521</v>
      </c>
      <c r="C2665" t="s">
        <v>40</v>
      </c>
      <c r="D2665">
        <v>4.5087029999999997</v>
      </c>
      <c r="E2665">
        <v>0.4712364</v>
      </c>
      <c r="F2665" t="s">
        <v>54</v>
      </c>
      <c r="G2665">
        <v>-454.1859</v>
      </c>
      <c r="H2665" s="1">
        <v>7.1785019999999896E-7</v>
      </c>
      <c r="I2665">
        <v>213.99600000000001</v>
      </c>
      <c r="J2665">
        <v>-466.93439999999998</v>
      </c>
      <c r="K2665">
        <v>1.1142019999999999</v>
      </c>
      <c r="L2665">
        <v>213.2217</v>
      </c>
      <c r="M2665">
        <v>0.98420189999999996</v>
      </c>
      <c r="N2665">
        <v>0</v>
      </c>
      <c r="O2665">
        <v>-0.17674509999999999</v>
      </c>
      <c r="P2665">
        <v>0.99960879999999996</v>
      </c>
      <c r="Q2665">
        <v>2.1991799999999999E-2</v>
      </c>
      <c r="R2665">
        <v>-1.7289860000000001E-2</v>
      </c>
      <c r="S2665">
        <v>3.0113219999999998</v>
      </c>
      <c r="T2665">
        <v>-0.25851150000000001</v>
      </c>
      <c r="U2665">
        <v>0.17156979999999999</v>
      </c>
      <c r="V2665">
        <v>-0.15999910000000001</v>
      </c>
      <c r="W2665">
        <v>3.0549840000000002E-2</v>
      </c>
      <c r="X2665">
        <v>0.98664430000000003</v>
      </c>
      <c r="Y2665">
        <v>-0.2309621</v>
      </c>
      <c r="Z2665">
        <v>2.4980080000000002E-2</v>
      </c>
      <c r="AA2665">
        <v>0.97264200000000001</v>
      </c>
      <c r="AB2665">
        <v>23</v>
      </c>
      <c r="AC2665">
        <v>12.7484999999999</v>
      </c>
      <c r="AD2665">
        <v>-1.1142012821498</v>
      </c>
      <c r="AE2665">
        <v>0.774299999999982</v>
      </c>
      <c r="AF2665">
        <v>-2.99268926666503</v>
      </c>
      <c r="AG2665">
        <v>-1.1142012821498</v>
      </c>
      <c r="AH2665">
        <v>12.3171739303158</v>
      </c>
      <c r="AI2665">
        <v>95.023489065936005</v>
      </c>
      <c r="AJ2665">
        <v>103.656461463344</v>
      </c>
      <c r="AK2665">
        <v>12.724402035994</v>
      </c>
      <c r="AL2665">
        <v>88.249350701788899</v>
      </c>
      <c r="AM2665">
        <v>99.211180845247696</v>
      </c>
      <c r="AN2665">
        <v>0.999999989723662</v>
      </c>
    </row>
    <row r="2666" spans="1:40" x14ac:dyDescent="0.25">
      <c r="A2666" t="str">
        <f>"20190312151322354"</f>
        <v>20190312151322354</v>
      </c>
      <c r="B2666" t="str">
        <f>"1552374802343017"</f>
        <v>1552374802343017</v>
      </c>
      <c r="C2666" t="s">
        <v>40</v>
      </c>
      <c r="D2666">
        <v>4.647748</v>
      </c>
      <c r="E2666">
        <v>0.47143059999999998</v>
      </c>
      <c r="F2666" t="s">
        <v>54</v>
      </c>
      <c r="G2666">
        <v>-453.90210000000002</v>
      </c>
      <c r="H2666" s="1">
        <v>5.6520479999999995E-7</v>
      </c>
      <c r="I2666">
        <v>214.0333</v>
      </c>
      <c r="J2666">
        <v>-466.69549999999998</v>
      </c>
      <c r="K2666">
        <v>1.1142289999999999</v>
      </c>
      <c r="L2666">
        <v>213.18729999999999</v>
      </c>
      <c r="M2666">
        <v>0.98546699999999998</v>
      </c>
      <c r="N2666">
        <v>0</v>
      </c>
      <c r="O2666">
        <v>-0.1695497</v>
      </c>
      <c r="P2666">
        <v>0.99968429999999997</v>
      </c>
      <c r="Q2666">
        <v>2.2979050000000001E-2</v>
      </c>
      <c r="R2666">
        <v>-1.019307E-2</v>
      </c>
      <c r="S2666">
        <v>3.0100709999999999</v>
      </c>
      <c r="T2666">
        <v>-0.25734639999999998</v>
      </c>
      <c r="U2666">
        <v>0.18745419999999999</v>
      </c>
      <c r="V2666">
        <v>-0.15980369999999999</v>
      </c>
      <c r="W2666">
        <v>3.1544040000000002E-2</v>
      </c>
      <c r="X2666">
        <v>0.98664470000000004</v>
      </c>
      <c r="Y2666">
        <v>-0.22903850000000001</v>
      </c>
      <c r="Z2666">
        <v>2.4186010000000001E-2</v>
      </c>
      <c r="AA2666">
        <v>0.97311689999999995</v>
      </c>
      <c r="AB2666">
        <v>23</v>
      </c>
      <c r="AC2666">
        <v>12.793399999999901</v>
      </c>
      <c r="AD2666">
        <v>-1.1142284347951901</v>
      </c>
      <c r="AE2666">
        <v>0.84600000000000297</v>
      </c>
      <c r="AF2666">
        <v>-2.9804743599315802</v>
      </c>
      <c r="AG2666">
        <v>-1.1142284347951901</v>
      </c>
      <c r="AH2666">
        <v>12.371273594206301</v>
      </c>
      <c r="AI2666">
        <v>95.004086359460601</v>
      </c>
      <c r="AJ2666">
        <v>103.545507770456</v>
      </c>
      <c r="AK2666">
        <v>12.7739243287966</v>
      </c>
      <c r="AL2666">
        <v>88.192359791458102</v>
      </c>
      <c r="AM2666">
        <v>99.200120443926394</v>
      </c>
      <c r="AN2666">
        <v>1.00000000651565</v>
      </c>
    </row>
    <row r="2667" spans="1:40" x14ac:dyDescent="0.25">
      <c r="A2667" t="str">
        <f>"20190312151322377"</f>
        <v>20190312151322377</v>
      </c>
      <c r="B2667" t="str">
        <f>"1552374802373273"</f>
        <v>1552374802373273</v>
      </c>
      <c r="C2667" t="s">
        <v>40</v>
      </c>
      <c r="D2667">
        <v>4.6292580000000001</v>
      </c>
      <c r="E2667">
        <v>0.47164810000000001</v>
      </c>
      <c r="F2667" t="s">
        <v>54</v>
      </c>
      <c r="G2667">
        <v>-453.3929</v>
      </c>
      <c r="H2667" s="1">
        <v>2.9125919999999999E-7</v>
      </c>
      <c r="I2667">
        <v>214.1018</v>
      </c>
      <c r="J2667">
        <v>-466.4631</v>
      </c>
      <c r="K2667">
        <v>1.114244</v>
      </c>
      <c r="L2667">
        <v>213.15539999999999</v>
      </c>
      <c r="M2667">
        <v>0.98664700000000005</v>
      </c>
      <c r="N2667">
        <v>0</v>
      </c>
      <c r="O2667">
        <v>-0.16254089999999999</v>
      </c>
      <c r="P2667">
        <v>0.99973089999999998</v>
      </c>
      <c r="Q2667">
        <v>2.2999499999999999E-2</v>
      </c>
      <c r="R2667">
        <v>-3.0496199999999998E-3</v>
      </c>
      <c r="S2667">
        <v>3.0088499999999998</v>
      </c>
      <c r="T2667">
        <v>-0.25202229999999998</v>
      </c>
      <c r="U2667">
        <v>0.20684810000000001</v>
      </c>
      <c r="V2667">
        <v>-0.1598416</v>
      </c>
      <c r="W2667">
        <v>3.1570260000000003E-2</v>
      </c>
      <c r="X2667">
        <v>0.98663769999999995</v>
      </c>
      <c r="Y2667">
        <v>-0.2284766</v>
      </c>
      <c r="Z2667">
        <v>2.308963E-2</v>
      </c>
      <c r="AA2667">
        <v>0.97327549999999996</v>
      </c>
      <c r="AB2667">
        <v>23</v>
      </c>
      <c r="AC2667">
        <v>13.0702</v>
      </c>
      <c r="AD2667">
        <v>-1.1142437087407999</v>
      </c>
      <c r="AE2667">
        <v>0.94640000000001101</v>
      </c>
      <c r="AF2667">
        <v>-3.0364175644762601</v>
      </c>
      <c r="AG2667">
        <v>-1.1142437087407999</v>
      </c>
      <c r="AH2667">
        <v>12.6510696062597</v>
      </c>
      <c r="AI2667">
        <v>94.8950277452509</v>
      </c>
      <c r="AJ2667">
        <v>103.496422120205</v>
      </c>
      <c r="AK2667">
        <v>13.057983490981901</v>
      </c>
      <c r="AL2667">
        <v>88.190856708117806</v>
      </c>
      <c r="AM2667">
        <v>99.202329245007803</v>
      </c>
      <c r="AN2667">
        <v>0.99999998473415797</v>
      </c>
    </row>
    <row r="2668" spans="1:40" x14ac:dyDescent="0.25">
      <c r="A2668" t="str">
        <f>"20190312151322399"</f>
        <v>20190312151322399</v>
      </c>
      <c r="B2668" t="str">
        <f>"1552374802392794"</f>
        <v>1552374802392794</v>
      </c>
      <c r="C2668" t="s">
        <v>40</v>
      </c>
      <c r="D2668">
        <v>4.6769400000000001</v>
      </c>
      <c r="E2668">
        <v>0.48422199999999999</v>
      </c>
      <c r="F2668" t="s">
        <v>54</v>
      </c>
      <c r="G2668">
        <v>-453.07279999999997</v>
      </c>
      <c r="H2668" s="1">
        <v>1.181721E-7</v>
      </c>
      <c r="I2668">
        <v>214.16409999999999</v>
      </c>
      <c r="J2668">
        <v>-466.23590000000002</v>
      </c>
      <c r="K2668">
        <v>1.114255</v>
      </c>
      <c r="L2668">
        <v>213.1259</v>
      </c>
      <c r="M2668">
        <v>0.98775199999999996</v>
      </c>
      <c r="N2668">
        <v>0</v>
      </c>
      <c r="O2668">
        <v>-0.15568419999999999</v>
      </c>
      <c r="P2668">
        <v>0.99970809999999999</v>
      </c>
      <c r="Q2668">
        <v>2.3927839999999999E-2</v>
      </c>
      <c r="R2668">
        <v>3.3755669999999999E-3</v>
      </c>
      <c r="S2668">
        <v>3.007263</v>
      </c>
      <c r="T2668">
        <v>-0.25024220000000003</v>
      </c>
      <c r="U2668">
        <v>0.22653200000000001</v>
      </c>
      <c r="V2668">
        <v>-0.1593367</v>
      </c>
      <c r="W2668">
        <v>3.2511529999999997E-2</v>
      </c>
      <c r="X2668">
        <v>0.98668880000000003</v>
      </c>
      <c r="Y2668">
        <v>-0.22813249999999999</v>
      </c>
      <c r="Z2668">
        <v>2.2356330000000001E-2</v>
      </c>
      <c r="AA2668">
        <v>0.97337340000000006</v>
      </c>
      <c r="AB2668">
        <v>23</v>
      </c>
      <c r="AC2668">
        <v>13.1631</v>
      </c>
      <c r="AD2668">
        <v>-1.1142548818278999</v>
      </c>
      <c r="AE2668">
        <v>1.03819999999998</v>
      </c>
      <c r="AF2668">
        <v>-3.05319478662698</v>
      </c>
      <c r="AG2668">
        <v>-1.1142548818278999</v>
      </c>
      <c r="AH2668">
        <v>12.7501454732366</v>
      </c>
      <c r="AI2668">
        <v>94.857823652565898</v>
      </c>
      <c r="AJ2668">
        <v>103.466666090749</v>
      </c>
      <c r="AK2668">
        <v>13.157878701958699</v>
      </c>
      <c r="AL2668">
        <v>88.1368982043697</v>
      </c>
      <c r="AM2668">
        <v>99.173289351109304</v>
      </c>
      <c r="AN2668">
        <v>0.99999998579763505</v>
      </c>
    </row>
    <row r="2669" spans="1:40" x14ac:dyDescent="0.25">
      <c r="A2669" t="str">
        <f>"20190312151322441"</f>
        <v>20190312151322441</v>
      </c>
      <c r="B2669" t="str">
        <f>"1552374802432809"</f>
        <v>1552374802432809</v>
      </c>
      <c r="C2669" t="s">
        <v>40</v>
      </c>
      <c r="D2669">
        <v>4.5697349999999997</v>
      </c>
      <c r="E2669">
        <v>0.47453269999999997</v>
      </c>
      <c r="F2669" t="s">
        <v>54</v>
      </c>
      <c r="G2669">
        <v>-456.22199999999998</v>
      </c>
      <c r="H2669" s="1">
        <v>1.8177810000000001E-6</v>
      </c>
      <c r="I2669">
        <v>213.62020000000001</v>
      </c>
      <c r="J2669">
        <v>-465.80540000000002</v>
      </c>
      <c r="K2669">
        <v>1.1142719999999999</v>
      </c>
      <c r="L2669">
        <v>213.07429999999999</v>
      </c>
      <c r="M2669">
        <v>0.98971129999999996</v>
      </c>
      <c r="N2669">
        <v>0</v>
      </c>
      <c r="O2669">
        <v>-0.14269899999999999</v>
      </c>
      <c r="P2669">
        <v>0.99955819999999995</v>
      </c>
      <c r="Q2669">
        <v>2.6054629999999999E-2</v>
      </c>
      <c r="R2669">
        <v>1.431204E-2</v>
      </c>
      <c r="S2669">
        <v>3.008362</v>
      </c>
      <c r="T2669">
        <v>-0.3347406</v>
      </c>
      <c r="U2669">
        <v>0.14849849999999901</v>
      </c>
      <c r="V2669">
        <v>-0.15718840000000001</v>
      </c>
      <c r="W2669">
        <v>3.4677050000000001E-2</v>
      </c>
      <c r="X2669">
        <v>0.98695960000000005</v>
      </c>
      <c r="Y2669">
        <v>-0.1892876</v>
      </c>
      <c r="Z2669">
        <v>2.6285989999999999E-2</v>
      </c>
      <c r="AA2669">
        <v>0.98156980000000005</v>
      </c>
      <c r="AB2669">
        <v>23</v>
      </c>
      <c r="AC2669">
        <v>9.5834000000000401</v>
      </c>
      <c r="AD2669">
        <v>-1.114270182219</v>
      </c>
      <c r="AE2669">
        <v>0.54590000000001704</v>
      </c>
      <c r="AF2669">
        <v>-1.88256067811822</v>
      </c>
      <c r="AG2669">
        <v>-1.114270182219</v>
      </c>
      <c r="AH2669">
        <v>9.28232928945331</v>
      </c>
      <c r="AI2669">
        <v>96.709828898493697</v>
      </c>
      <c r="AJ2669">
        <v>101.464725307116</v>
      </c>
      <c r="AK2669">
        <v>9.5366277993650392</v>
      </c>
      <c r="AL2669">
        <v>88.012752919825999</v>
      </c>
      <c r="AM2669">
        <v>99.049226801988496</v>
      </c>
      <c r="AN2669">
        <v>0.99999997146171005</v>
      </c>
    </row>
    <row r="2670" spans="1:40" x14ac:dyDescent="0.25">
      <c r="A2670" t="str">
        <f>"20190312151322464"</f>
        <v>20190312151322464</v>
      </c>
      <c r="B2670" t="str">
        <f>"1552374802452329"</f>
        <v>1552374802452329</v>
      </c>
      <c r="C2670" t="s">
        <v>40</v>
      </c>
      <c r="D2670">
        <v>4.5604519999999997</v>
      </c>
      <c r="E2670">
        <v>0.46296949999999998</v>
      </c>
      <c r="F2670" t="s">
        <v>54</v>
      </c>
      <c r="G2670">
        <v>-454.00510000000003</v>
      </c>
      <c r="H2670" s="1">
        <v>6.1763459999999996E-7</v>
      </c>
      <c r="I2670">
        <v>214.08709999999999</v>
      </c>
      <c r="J2670">
        <v>-465.57459999999998</v>
      </c>
      <c r="K2670">
        <v>1.114277</v>
      </c>
      <c r="L2670">
        <v>213.0489</v>
      </c>
      <c r="M2670">
        <v>0.99068840000000002</v>
      </c>
      <c r="N2670">
        <v>0</v>
      </c>
      <c r="O2670">
        <v>-0.1357479</v>
      </c>
      <c r="P2670">
        <v>0.99945390000000001</v>
      </c>
      <c r="Q2670">
        <v>2.67044E-2</v>
      </c>
      <c r="R2670">
        <v>1.9471260000000001E-2</v>
      </c>
      <c r="S2670">
        <v>3.0050050000000001</v>
      </c>
      <c r="T2670">
        <v>-0.28375460000000002</v>
      </c>
      <c r="U2670">
        <v>0.25791930000000002</v>
      </c>
      <c r="V2670">
        <v>-0.15535889999999999</v>
      </c>
      <c r="W2670">
        <v>3.5354690000000001E-2</v>
      </c>
      <c r="X2670">
        <v>0.98722520000000002</v>
      </c>
      <c r="Y2670">
        <v>-0.2184161</v>
      </c>
      <c r="Z2670">
        <v>2.3026649999999999E-2</v>
      </c>
      <c r="AA2670">
        <v>0.97558400000000001</v>
      </c>
      <c r="AB2670">
        <v>23</v>
      </c>
      <c r="AC2670">
        <v>11.5694999999999</v>
      </c>
      <c r="AD2670">
        <v>-1.1142763823653901</v>
      </c>
      <c r="AE2670">
        <v>1.03819999999998</v>
      </c>
      <c r="AF2670">
        <v>-2.5755103192598798</v>
      </c>
      <c r="AG2670">
        <v>-1.1142763823653901</v>
      </c>
      <c r="AH2670">
        <v>11.2182249878989</v>
      </c>
      <c r="AI2670">
        <v>95.529503756844704</v>
      </c>
      <c r="AJ2670">
        <v>102.930053878568</v>
      </c>
      <c r="AK2670">
        <v>11.5638850366143</v>
      </c>
      <c r="AL2670">
        <v>87.973903176018993</v>
      </c>
      <c r="AM2670">
        <v>98.943249027758597</v>
      </c>
      <c r="AN2670">
        <v>0.99999996871462205</v>
      </c>
    </row>
    <row r="2671" spans="1:40" x14ac:dyDescent="0.25">
      <c r="A2671" t="str">
        <f>"20190312151322487"</f>
        <v>20190312151322487</v>
      </c>
      <c r="B2671" t="str">
        <f>"1552374802482587"</f>
        <v>1552374802482587</v>
      </c>
      <c r="C2671" t="s">
        <v>40</v>
      </c>
      <c r="D2671">
        <v>4.562875</v>
      </c>
      <c r="E2671">
        <v>0.46252690000000002</v>
      </c>
      <c r="F2671" t="s">
        <v>54</v>
      </c>
      <c r="G2671">
        <v>-457.03230000000002</v>
      </c>
      <c r="H2671" s="1">
        <v>2.2280180000000002E-6</v>
      </c>
      <c r="I2671">
        <v>214.09979999999999</v>
      </c>
      <c r="J2671">
        <v>-465.3417</v>
      </c>
      <c r="K2671">
        <v>1.114276</v>
      </c>
      <c r="L2671">
        <v>213.02500000000001</v>
      </c>
      <c r="M2671">
        <v>0.99162240000000001</v>
      </c>
      <c r="N2671">
        <v>0</v>
      </c>
      <c r="O2671">
        <v>-0.128748</v>
      </c>
      <c r="P2671">
        <v>0.99935569999999896</v>
      </c>
      <c r="Q2671">
        <v>2.6643139999999999E-2</v>
      </c>
      <c r="R2671">
        <v>2.405674E-2</v>
      </c>
      <c r="S2671">
        <v>3.004883</v>
      </c>
      <c r="T2671">
        <v>-0.3919628</v>
      </c>
      <c r="U2671">
        <v>0.36965940000000003</v>
      </c>
      <c r="V2671">
        <v>-0.15291540000000001</v>
      </c>
      <c r="W2671">
        <v>3.5328970000000001E-2</v>
      </c>
      <c r="X2671">
        <v>0.98760760000000003</v>
      </c>
      <c r="Y2671">
        <v>-0.24574099999999999</v>
      </c>
      <c r="Z2671">
        <v>3.2560770000000003E-2</v>
      </c>
      <c r="AA2671">
        <v>0.96878850000000005</v>
      </c>
      <c r="AB2671">
        <v>23</v>
      </c>
      <c r="AC2671">
        <v>8.3093999999999806</v>
      </c>
      <c r="AD2671">
        <v>-1.1142737719819999</v>
      </c>
      <c r="AE2671">
        <v>1.07479999999998</v>
      </c>
      <c r="AF2671">
        <v>-2.09861390750401</v>
      </c>
      <c r="AG2671">
        <v>-1.1142737719819999</v>
      </c>
      <c r="AH2671">
        <v>7.9610482707394503</v>
      </c>
      <c r="AI2671">
        <v>97.707702251666305</v>
      </c>
      <c r="AJ2671">
        <v>104.76779943699</v>
      </c>
      <c r="AK2671">
        <v>8.3080729378562701</v>
      </c>
      <c r="AL2671">
        <v>87.975377835673996</v>
      </c>
      <c r="AM2671">
        <v>98.801454136912795</v>
      </c>
      <c r="AN2671">
        <v>1.00000001362809</v>
      </c>
    </row>
    <row r="2672" spans="1:40" x14ac:dyDescent="0.25">
      <c r="A2672" t="str">
        <f>"20190312151322508"</f>
        <v>20190312151322508</v>
      </c>
      <c r="B2672" t="str">
        <f>"1552374802503081"</f>
        <v>1552374802503081</v>
      </c>
      <c r="C2672" t="s">
        <v>40</v>
      </c>
      <c r="D2672">
        <v>4.5879139999999996</v>
      </c>
      <c r="E2672">
        <v>0.46285939999999998</v>
      </c>
      <c r="F2672" t="s">
        <v>54</v>
      </c>
      <c r="G2672">
        <v>-457.09449999999998</v>
      </c>
      <c r="H2672" s="1">
        <v>2.2615439999999998E-6</v>
      </c>
      <c r="I2672">
        <v>214.09039999999999</v>
      </c>
      <c r="J2672">
        <v>-465.11020000000002</v>
      </c>
      <c r="K2672">
        <v>1.114263</v>
      </c>
      <c r="L2672">
        <v>213.00299999999999</v>
      </c>
      <c r="M2672">
        <v>0.9924963</v>
      </c>
      <c r="N2672">
        <v>0</v>
      </c>
      <c r="O2672">
        <v>-0.1218265</v>
      </c>
      <c r="P2672">
        <v>0.99923640000000002</v>
      </c>
      <c r="Q2672">
        <v>2.673093E-2</v>
      </c>
      <c r="R2672">
        <v>2.84949E-2</v>
      </c>
      <c r="S2672">
        <v>3.0034480000000001</v>
      </c>
      <c r="T2672">
        <v>-0.40579549999999998</v>
      </c>
      <c r="U2672">
        <v>0.38796999999999998</v>
      </c>
      <c r="V2672">
        <v>-0.15040979999999901</v>
      </c>
      <c r="W2672">
        <v>3.5455729999999998E-2</v>
      </c>
      <c r="X2672">
        <v>0.98798779999999997</v>
      </c>
      <c r="Y2672">
        <v>-0.24470049999999999</v>
      </c>
      <c r="Z2672">
        <v>3.2709630000000003E-2</v>
      </c>
      <c r="AA2672">
        <v>0.96904679999999999</v>
      </c>
      <c r="AB2672">
        <v>23</v>
      </c>
      <c r="AC2672">
        <v>8.0157000000000291</v>
      </c>
      <c r="AD2672">
        <v>-1.1142607384559999</v>
      </c>
      <c r="AE2672">
        <v>1.0873999999999999</v>
      </c>
      <c r="AF2672">
        <v>-2.0175947062591</v>
      </c>
      <c r="AG2672">
        <v>-1.1142607384559999</v>
      </c>
      <c r="AH2672">
        <v>7.6778233440683197</v>
      </c>
      <c r="AI2672">
        <v>97.989938188866205</v>
      </c>
      <c r="AJ2672">
        <v>104.72342519454899</v>
      </c>
      <c r="AK2672">
        <v>8.0163106660551602</v>
      </c>
      <c r="AL2672">
        <v>87.968110553480301</v>
      </c>
      <c r="AM2672">
        <v>98.656159656823306</v>
      </c>
      <c r="AN2672">
        <v>1.00000005483735</v>
      </c>
    </row>
    <row r="2673" spans="1:40" x14ac:dyDescent="0.25">
      <c r="A2673" t="str">
        <f>"20190312151322532"</f>
        <v>20190312151322532</v>
      </c>
      <c r="B2673" t="str">
        <f>"1552374802522603"</f>
        <v>1552374802522603</v>
      </c>
      <c r="C2673" t="s">
        <v>40</v>
      </c>
      <c r="D2673">
        <v>4.7568250000000001</v>
      </c>
      <c r="E2673">
        <v>0.46340969999999998</v>
      </c>
      <c r="F2673" t="s">
        <v>54</v>
      </c>
      <c r="G2673">
        <v>-456.96730000000002</v>
      </c>
      <c r="H2673" s="1">
        <v>2.1940309999999999E-6</v>
      </c>
      <c r="I2673">
        <v>214.08690000000001</v>
      </c>
      <c r="J2673">
        <v>-464.86660000000001</v>
      </c>
      <c r="K2673">
        <v>1.114242</v>
      </c>
      <c r="L2673">
        <v>212.98150000000001</v>
      </c>
      <c r="M2673">
        <v>0.99335960000000001</v>
      </c>
      <c r="N2673">
        <v>0</v>
      </c>
      <c r="O2673">
        <v>-0.11457539999999999</v>
      </c>
      <c r="P2673">
        <v>0.99905549999999999</v>
      </c>
      <c r="Q2673">
        <v>2.7333820000000002E-2</v>
      </c>
      <c r="R2673">
        <v>3.3779379999999998E-2</v>
      </c>
      <c r="S2673">
        <v>3.0019230000000001</v>
      </c>
      <c r="T2673">
        <v>-0.41077900000000001</v>
      </c>
      <c r="U2673">
        <v>0.39958189999999999</v>
      </c>
      <c r="V2673">
        <v>-0.14842330000000001</v>
      </c>
      <c r="W2673">
        <v>3.6092850000000003E-2</v>
      </c>
      <c r="X2673">
        <v>0.98826499999999995</v>
      </c>
      <c r="Y2673">
        <v>-0.24138689999999999</v>
      </c>
      <c r="Z2673">
        <v>3.1910319999999999E-2</v>
      </c>
      <c r="AA2673">
        <v>0.96990419999999999</v>
      </c>
      <c r="AB2673">
        <v>23</v>
      </c>
      <c r="AC2673">
        <v>7.8992999999999798</v>
      </c>
      <c r="AD2673">
        <v>-1.114239805969</v>
      </c>
      <c r="AE2673">
        <v>1.1053999999999999</v>
      </c>
      <c r="AF2673">
        <v>-1.9648906239747199</v>
      </c>
      <c r="AG2673">
        <v>-1.114239805969</v>
      </c>
      <c r="AH2673">
        <v>7.5728350897467402</v>
      </c>
      <c r="AI2673">
        <v>98.105580590945706</v>
      </c>
      <c r="AJ2673">
        <v>104.545535380473</v>
      </c>
      <c r="AK2673">
        <v>7.9025411612904097</v>
      </c>
      <c r="AL2673">
        <v>87.931582648681598</v>
      </c>
      <c r="AM2673">
        <v>98.541172679383493</v>
      </c>
      <c r="AN2673">
        <v>0.99999994001450399</v>
      </c>
    </row>
    <row r="2674" spans="1:40" x14ac:dyDescent="0.25">
      <c r="A2674" t="str">
        <f>"20190312151322553"</f>
        <v>20190312151322553</v>
      </c>
      <c r="B2674" t="str">
        <f>"1552374802543098"</f>
        <v>1552374802543098</v>
      </c>
      <c r="C2674" t="s">
        <v>40</v>
      </c>
      <c r="D2674">
        <v>4.862266</v>
      </c>
      <c r="E2674">
        <v>0.46406180000000002</v>
      </c>
      <c r="F2674" t="s">
        <v>54</v>
      </c>
      <c r="G2674">
        <v>-456.6696</v>
      </c>
      <c r="H2674" s="1">
        <v>2.034961E-6</v>
      </c>
      <c r="I2674">
        <v>214.1018</v>
      </c>
      <c r="J2674">
        <v>-464.6431</v>
      </c>
      <c r="K2674">
        <v>1.1142179999999999</v>
      </c>
      <c r="L2674">
        <v>212.9632</v>
      </c>
      <c r="M2674">
        <v>0.99409910000000001</v>
      </c>
      <c r="N2674">
        <v>0</v>
      </c>
      <c r="O2674">
        <v>-0.10797</v>
      </c>
      <c r="P2674">
        <v>0.99891240000000003</v>
      </c>
      <c r="Q2674">
        <v>2.6968300000000001E-2</v>
      </c>
      <c r="R2674">
        <v>3.8036170000000001E-2</v>
      </c>
      <c r="S2674">
        <v>3.0001530000000001</v>
      </c>
      <c r="T2674">
        <v>-0.4078194</v>
      </c>
      <c r="U2674">
        <v>0.41003420000000002</v>
      </c>
      <c r="V2674">
        <v>-0.14605889999999999</v>
      </c>
      <c r="W2674">
        <v>3.5768340000000003E-2</v>
      </c>
      <c r="X2674">
        <v>0.98862899999999998</v>
      </c>
      <c r="Y2674">
        <v>-0.23846529999999999</v>
      </c>
      <c r="Z2674">
        <v>3.0608699999999999E-2</v>
      </c>
      <c r="AA2674">
        <v>0.97066859999999999</v>
      </c>
      <c r="AB2674">
        <v>24</v>
      </c>
      <c r="AC2674">
        <v>7.9734999999999996</v>
      </c>
      <c r="AD2674">
        <v>-1.114215965039</v>
      </c>
      <c r="AE2674">
        <v>1.1385999999999901</v>
      </c>
      <c r="AF2674">
        <v>-1.95546731051023</v>
      </c>
      <c r="AG2674">
        <v>-1.114215965039</v>
      </c>
      <c r="AH2674">
        <v>7.6574018920359004</v>
      </c>
      <c r="AI2674">
        <v>98.024893685387894</v>
      </c>
      <c r="AJ2674">
        <v>104.325431233751</v>
      </c>
      <c r="AK2674">
        <v>7.9812989766940197</v>
      </c>
      <c r="AL2674">
        <v>87.950187712738398</v>
      </c>
      <c r="AM2674">
        <v>98.404019597130301</v>
      </c>
      <c r="AN2674">
        <v>0.99999993802828002</v>
      </c>
    </row>
    <row r="2675" spans="1:40" x14ac:dyDescent="0.25">
      <c r="A2675" t="str">
        <f>"20190312151322577"</f>
        <v>20190312151322577</v>
      </c>
      <c r="B2675" t="str">
        <f>"1552374802572377"</f>
        <v>1552374802572377</v>
      </c>
      <c r="C2675" t="s">
        <v>40</v>
      </c>
      <c r="D2675">
        <v>4.6131460000000004</v>
      </c>
      <c r="E2675">
        <v>0.46727790000000002</v>
      </c>
      <c r="F2675" t="s">
        <v>54</v>
      </c>
      <c r="G2675">
        <v>-456.43770000000001</v>
      </c>
      <c r="H2675" s="1">
        <v>1.911338E-6</v>
      </c>
      <c r="I2675">
        <v>214.10599999999999</v>
      </c>
      <c r="J2675">
        <v>-464.40199999999999</v>
      </c>
      <c r="K2675">
        <v>1.1141650000000001</v>
      </c>
      <c r="L2675">
        <v>212.9451</v>
      </c>
      <c r="M2675">
        <v>0.99483849999999996</v>
      </c>
      <c r="N2675">
        <v>0</v>
      </c>
      <c r="O2675">
        <v>-0.10093050000000001</v>
      </c>
      <c r="P2675">
        <v>0.99883</v>
      </c>
      <c r="Q2675">
        <v>2.5215230000000002E-2</v>
      </c>
      <c r="R2675">
        <v>4.1267539999999998E-2</v>
      </c>
      <c r="S2675">
        <v>2.9983520000000001</v>
      </c>
      <c r="T2675">
        <v>-0.40714620000000001</v>
      </c>
      <c r="U2675">
        <v>0.41760249999999999</v>
      </c>
      <c r="V2675">
        <v>-0.1422397</v>
      </c>
      <c r="W2675">
        <v>3.4079459999999999E-2</v>
      </c>
      <c r="X2675">
        <v>0.98924540000000005</v>
      </c>
      <c r="Y2675">
        <v>-0.2341867</v>
      </c>
      <c r="Z2675">
        <v>2.933759E-2</v>
      </c>
      <c r="AA2675">
        <v>0.97174890000000003</v>
      </c>
      <c r="AB2675">
        <v>24</v>
      </c>
      <c r="AC2675">
        <v>7.9642999999999802</v>
      </c>
      <c r="AD2675">
        <v>-1.114163088662</v>
      </c>
      <c r="AE2675">
        <v>1.1608999999999901</v>
      </c>
      <c r="AF2675">
        <v>-1.92202351898739</v>
      </c>
      <c r="AG2675">
        <v>-1.114163088662</v>
      </c>
      <c r="AH2675">
        <v>7.6596641684492504</v>
      </c>
      <c r="AI2675">
        <v>98.030549376354699</v>
      </c>
      <c r="AJ2675">
        <v>104.086270472526</v>
      </c>
      <c r="AK2675">
        <v>7.9753362919128898</v>
      </c>
      <c r="AL2675">
        <v>88.047012616255998</v>
      </c>
      <c r="AM2675">
        <v>98.182254217236306</v>
      </c>
      <c r="AN2675">
        <v>1.0000000016355699</v>
      </c>
    </row>
    <row r="2676" spans="1:40" x14ac:dyDescent="0.25">
      <c r="A2676" t="str">
        <f>"20190312151322602"</f>
        <v>20190312151322602</v>
      </c>
      <c r="B2676" t="str">
        <f>"1552374802592873"</f>
        <v>1552374802592873</v>
      </c>
      <c r="C2676" t="s">
        <v>40</v>
      </c>
      <c r="D2676">
        <v>4.9360900000000001</v>
      </c>
      <c r="E2676">
        <v>0.46676250000000002</v>
      </c>
      <c r="F2676" t="s">
        <v>54</v>
      </c>
      <c r="G2676">
        <v>-457.2627</v>
      </c>
      <c r="H2676" s="1">
        <v>2.3590819999999999E-6</v>
      </c>
      <c r="I2676">
        <v>213.9068</v>
      </c>
      <c r="J2676">
        <v>-464.1472</v>
      </c>
      <c r="K2676">
        <v>1.114082</v>
      </c>
      <c r="L2676">
        <v>212.92760000000001</v>
      </c>
      <c r="M2676">
        <v>0.99555210000000005</v>
      </c>
      <c r="N2676">
        <v>0</v>
      </c>
      <c r="O2676">
        <v>-9.3630119999999997E-2</v>
      </c>
      <c r="P2676">
        <v>0.99869940000000001</v>
      </c>
      <c r="Q2676">
        <v>2.3948270000000001E-2</v>
      </c>
      <c r="R2676">
        <v>4.5016550000000002E-2</v>
      </c>
      <c r="S2676">
        <v>2.9986269999999999</v>
      </c>
      <c r="T2676">
        <v>-0.4679701</v>
      </c>
      <c r="U2676">
        <v>0.40394590000000002</v>
      </c>
      <c r="V2676">
        <v>-0.13867829999999901</v>
      </c>
      <c r="W2676">
        <v>3.2879449999999998E-2</v>
      </c>
      <c r="X2676">
        <v>0.98979150000000005</v>
      </c>
      <c r="Y2676">
        <v>-0.22195309999999999</v>
      </c>
      <c r="Z2676">
        <v>3.1606370000000002E-2</v>
      </c>
      <c r="AA2676">
        <v>0.97454490000000005</v>
      </c>
      <c r="AB2676">
        <v>24</v>
      </c>
      <c r="AC2676">
        <v>6.8845000000000001</v>
      </c>
      <c r="AD2676">
        <v>-1.114079640918</v>
      </c>
      <c r="AE2676">
        <v>0.97919999999999097</v>
      </c>
      <c r="AF2676">
        <v>-1.5790002365773801</v>
      </c>
      <c r="AG2676">
        <v>-1.114079640918</v>
      </c>
      <c r="AH2676">
        <v>6.5933291968315997</v>
      </c>
      <c r="AI2676">
        <v>99.331686424538702</v>
      </c>
      <c r="AJ2676">
        <v>103.467803401244</v>
      </c>
      <c r="AK2676">
        <v>6.8706917476489497</v>
      </c>
      <c r="AL2676">
        <v>88.115806637031099</v>
      </c>
      <c r="AM2676">
        <v>97.975712934830597</v>
      </c>
      <c r="AN2676">
        <v>0.99999997129772</v>
      </c>
    </row>
    <row r="2677" spans="1:40" x14ac:dyDescent="0.25">
      <c r="A2677" t="str">
        <f>"20190312151322622"</f>
        <v>20190312151322622</v>
      </c>
      <c r="B2677" t="str">
        <f>"1552374802612394"</f>
        <v>1552374802612394</v>
      </c>
      <c r="C2677" t="s">
        <v>40</v>
      </c>
      <c r="D2677">
        <v>4.7925219999999999</v>
      </c>
      <c r="E2677">
        <v>0.467281</v>
      </c>
      <c r="F2677" t="s">
        <v>54</v>
      </c>
      <c r="G2677">
        <v>-457.11669999999998</v>
      </c>
      <c r="H2677" s="1">
        <v>2.281091E-6</v>
      </c>
      <c r="I2677">
        <v>213.91300000000001</v>
      </c>
      <c r="J2677">
        <v>-463.93669999999997</v>
      </c>
      <c r="K2677">
        <v>1.113988</v>
      </c>
      <c r="L2677">
        <v>212.9145</v>
      </c>
      <c r="M2677">
        <v>0.99608810000000003</v>
      </c>
      <c r="N2677">
        <v>0</v>
      </c>
      <c r="O2677">
        <v>-8.7745729999999994E-2</v>
      </c>
      <c r="P2677">
        <v>0.99856659999999997</v>
      </c>
      <c r="Q2677">
        <v>2.4526989999999999E-2</v>
      </c>
      <c r="R2677">
        <v>4.7575560000000003E-2</v>
      </c>
      <c r="S2677">
        <v>2.9963679999999999</v>
      </c>
      <c r="T2677">
        <v>-0.47481449999999997</v>
      </c>
      <c r="U2677">
        <v>0.4199524</v>
      </c>
      <c r="V2677">
        <v>-0.13536189999999901</v>
      </c>
      <c r="W2677">
        <v>3.3521879999999997E-2</v>
      </c>
      <c r="X2677">
        <v>0.99022900000000003</v>
      </c>
      <c r="Y2677">
        <v>-0.22137009999999999</v>
      </c>
      <c r="Z2677">
        <v>3.1108210000000001E-2</v>
      </c>
      <c r="AA2677">
        <v>0.97469360000000005</v>
      </c>
      <c r="AB2677">
        <v>24</v>
      </c>
      <c r="AC2677">
        <v>6.8199999999999896</v>
      </c>
      <c r="AD2677">
        <v>-1.1139857189089999</v>
      </c>
      <c r="AE2677">
        <v>0.99849999999997796</v>
      </c>
      <c r="AF2677">
        <v>-1.5525535141768101</v>
      </c>
      <c r="AG2677">
        <v>-1.1139857189089999</v>
      </c>
      <c r="AH2677">
        <v>6.5353665070934799</v>
      </c>
      <c r="AI2677">
        <v>99.4162075718708</v>
      </c>
      <c r="AJ2677">
        <v>103.36357090355899</v>
      </c>
      <c r="AK2677">
        <v>6.8089941972625603</v>
      </c>
      <c r="AL2677">
        <v>88.078977890913293</v>
      </c>
      <c r="AM2677">
        <v>97.783948993433896</v>
      </c>
      <c r="AN2677">
        <v>1.0000000164256699</v>
      </c>
    </row>
    <row r="2678" spans="1:40" x14ac:dyDescent="0.25">
      <c r="A2678" t="str">
        <f>"20190312151322642"</f>
        <v>20190312151322642</v>
      </c>
      <c r="B2678" t="str">
        <f>"1552374802632890"</f>
        <v>1552374802632890</v>
      </c>
      <c r="C2678" t="s">
        <v>40</v>
      </c>
      <c r="D2678">
        <v>4.8861179999999997</v>
      </c>
      <c r="E2678">
        <v>0.46785640000000001</v>
      </c>
      <c r="F2678" t="s">
        <v>54</v>
      </c>
      <c r="G2678">
        <v>-456.82589999999999</v>
      </c>
      <c r="H2678" s="1">
        <v>2.1261350000000002E-6</v>
      </c>
      <c r="I2678">
        <v>213.91849999999999</v>
      </c>
      <c r="J2678">
        <v>-463.72190000000001</v>
      </c>
      <c r="K2678">
        <v>1.113869</v>
      </c>
      <c r="L2678">
        <v>212.90219999999999</v>
      </c>
      <c r="M2678">
        <v>0.99658539999999995</v>
      </c>
      <c r="N2678">
        <v>0</v>
      </c>
      <c r="O2678">
        <v>-8.1903580000000004E-2</v>
      </c>
      <c r="P2678">
        <v>0.99838919999999998</v>
      </c>
      <c r="Q2678">
        <v>2.5582779999999999E-2</v>
      </c>
      <c r="R2678">
        <v>5.0640589999999999E-2</v>
      </c>
      <c r="S2678">
        <v>2.9956969999999998</v>
      </c>
      <c r="T2678">
        <v>-0.46930889999999997</v>
      </c>
      <c r="U2678">
        <v>0.42295840000000001</v>
      </c>
      <c r="V2678">
        <v>-0.1325926</v>
      </c>
      <c r="W2678">
        <v>3.4639410000000002E-2</v>
      </c>
      <c r="X2678">
        <v>0.99056509999999998</v>
      </c>
      <c r="Y2678">
        <v>-0.21685409999999999</v>
      </c>
      <c r="Z2678">
        <v>2.950117E-2</v>
      </c>
      <c r="AA2678">
        <v>0.97575809999999996</v>
      </c>
      <c r="AB2678">
        <v>24</v>
      </c>
      <c r="AC2678">
        <v>6.8960000000000097</v>
      </c>
      <c r="AD2678">
        <v>-1.1138668738649999</v>
      </c>
      <c r="AE2678">
        <v>1.0163</v>
      </c>
      <c r="AF2678">
        <v>-1.53843864814763</v>
      </c>
      <c r="AG2678">
        <v>-1.1138668738649999</v>
      </c>
      <c r="AH2678">
        <v>6.6205285579685196</v>
      </c>
      <c r="AI2678">
        <v>99.306794807867803</v>
      </c>
      <c r="AJ2678">
        <v>103.081883112852</v>
      </c>
      <c r="AK2678">
        <v>6.8875896563082897</v>
      </c>
      <c r="AL2678">
        <v>88.014910790442698</v>
      </c>
      <c r="AM2678">
        <v>97.624037470622</v>
      </c>
      <c r="AN2678">
        <v>0.99999995181895796</v>
      </c>
    </row>
    <row r="2679" spans="1:40" x14ac:dyDescent="0.25">
      <c r="A2679" t="str">
        <f>"20190312151322665"</f>
        <v>20190312151322665</v>
      </c>
      <c r="B2679" t="str">
        <f>"1552374802663146"</f>
        <v>1552374802663146</v>
      </c>
      <c r="C2679" t="s">
        <v>40</v>
      </c>
      <c r="D2679">
        <v>5.0519290000000003</v>
      </c>
      <c r="E2679">
        <v>0.46858319999999998</v>
      </c>
      <c r="F2679" t="s">
        <v>54</v>
      </c>
      <c r="G2679">
        <v>-456.39659999999998</v>
      </c>
      <c r="H2679" s="1">
        <v>1.896532E-6</v>
      </c>
      <c r="I2679">
        <v>213.94460000000001</v>
      </c>
      <c r="J2679">
        <v>-463.48250000000002</v>
      </c>
      <c r="K2679">
        <v>1.113715</v>
      </c>
      <c r="L2679">
        <v>212.8896</v>
      </c>
      <c r="M2679">
        <v>0.99708269999999999</v>
      </c>
      <c r="N2679">
        <v>0</v>
      </c>
      <c r="O2679">
        <v>-7.5612799999999994E-2</v>
      </c>
      <c r="P2679">
        <v>0.99820819999999999</v>
      </c>
      <c r="Q2679">
        <v>2.5493539999999999E-2</v>
      </c>
      <c r="R2679">
        <v>5.4136219999999999E-2</v>
      </c>
      <c r="S2679">
        <v>2.9949340000000002</v>
      </c>
      <c r="T2679">
        <v>-0.45540190000000003</v>
      </c>
      <c r="U2679">
        <v>0.42619319999999999</v>
      </c>
      <c r="V2679">
        <v>-0.12979499999999999</v>
      </c>
      <c r="W2679">
        <v>3.461939E-2</v>
      </c>
      <c r="X2679">
        <v>0.99093629999999999</v>
      </c>
      <c r="Y2679">
        <v>-0.21209529999999999</v>
      </c>
      <c r="Z2679">
        <v>2.7337219999999999E-2</v>
      </c>
      <c r="AA2679">
        <v>0.97686649999999997</v>
      </c>
      <c r="AB2679">
        <v>24</v>
      </c>
      <c r="AC2679">
        <v>7.0859000000000298</v>
      </c>
      <c r="AD2679">
        <v>-1.1137131034679999</v>
      </c>
      <c r="AE2679">
        <v>1.0549999999999999</v>
      </c>
      <c r="AF2679">
        <v>-1.55032561985411</v>
      </c>
      <c r="AG2679">
        <v>-1.1137131034679999</v>
      </c>
      <c r="AH2679">
        <v>6.8209894678495999</v>
      </c>
      <c r="AI2679">
        <v>99.046506625382307</v>
      </c>
      <c r="AJ2679">
        <v>102.80507071494399</v>
      </c>
      <c r="AK2679">
        <v>7.0830617479256501</v>
      </c>
      <c r="AL2679">
        <v>88.016058630911203</v>
      </c>
      <c r="AM2679">
        <v>97.462244875352596</v>
      </c>
      <c r="AN2679">
        <v>0.99999999742333101</v>
      </c>
    </row>
    <row r="2680" spans="1:40" x14ac:dyDescent="0.25">
      <c r="A2680" t="str">
        <f>"20190312151322689"</f>
        <v>20190312151322689</v>
      </c>
      <c r="B2680" t="str">
        <f>"1552374802682666"</f>
        <v>1552374802682666</v>
      </c>
      <c r="C2680" t="s">
        <v>40</v>
      </c>
      <c r="D2680">
        <v>4.8023619999999996</v>
      </c>
      <c r="E2680">
        <v>0.46863880000000002</v>
      </c>
      <c r="F2680" t="s">
        <v>54</v>
      </c>
      <c r="G2680">
        <v>-456.09589999999997</v>
      </c>
      <c r="H2680" s="1">
        <v>1.736316E-6</v>
      </c>
      <c r="I2680">
        <v>213.9495</v>
      </c>
      <c r="J2680">
        <v>-463.23</v>
      </c>
      <c r="K2680">
        <v>1.1135280000000001</v>
      </c>
      <c r="L2680">
        <v>212.87780000000001</v>
      </c>
      <c r="M2680">
        <v>0.99754100000000001</v>
      </c>
      <c r="N2680">
        <v>0</v>
      </c>
      <c r="O2680">
        <v>-6.9305569999999997E-2</v>
      </c>
      <c r="P2680">
        <v>0.99805889999999997</v>
      </c>
      <c r="Q2680">
        <v>2.4859940000000001E-2</v>
      </c>
      <c r="R2680">
        <v>5.7100360000000003E-2</v>
      </c>
      <c r="S2680">
        <v>2.993652</v>
      </c>
      <c r="T2680">
        <v>-0.45137109999999903</v>
      </c>
      <c r="U2680">
        <v>0.42955019999999999</v>
      </c>
      <c r="V2680">
        <v>-0.1264489</v>
      </c>
      <c r="W2680">
        <v>3.4066109999999997E-2</v>
      </c>
      <c r="X2680">
        <v>0.99138800000000005</v>
      </c>
      <c r="Y2680">
        <v>-0.20722779999999999</v>
      </c>
      <c r="Z2680">
        <v>2.5802740000000001E-2</v>
      </c>
      <c r="AA2680">
        <v>0.97795240000000005</v>
      </c>
      <c r="AB2680">
        <v>24</v>
      </c>
      <c r="AC2680">
        <v>7.1341000000000401</v>
      </c>
      <c r="AD2680">
        <v>-1.113526263684</v>
      </c>
      <c r="AE2680">
        <v>1.0716999999999901</v>
      </c>
      <c r="AF2680">
        <v>-1.5271972274037999</v>
      </c>
      <c r="AG2680">
        <v>-1.113526263684</v>
      </c>
      <c r="AH2680">
        <v>6.8787790650430196</v>
      </c>
      <c r="AI2680">
        <v>98.980220337664207</v>
      </c>
      <c r="AJ2680">
        <v>102.517533412341</v>
      </c>
      <c r="AK2680">
        <v>7.1337138670525597</v>
      </c>
      <c r="AL2680">
        <v>88.047777947034504</v>
      </c>
      <c r="AM2680">
        <v>97.268677294257103</v>
      </c>
      <c r="AN2680">
        <v>0.99999999535287099</v>
      </c>
    </row>
    <row r="2681" spans="1:40" x14ac:dyDescent="0.25">
      <c r="A2681" t="str">
        <f>"20190312151322709"</f>
        <v>20190312151322709</v>
      </c>
      <c r="B2681" t="str">
        <f>"1552374802703162"</f>
        <v>1552374802703162</v>
      </c>
      <c r="C2681" t="s">
        <v>40</v>
      </c>
      <c r="D2681">
        <v>4.6674889999999998</v>
      </c>
      <c r="E2681">
        <v>0.4686688</v>
      </c>
      <c r="F2681" t="s">
        <v>54</v>
      </c>
      <c r="G2681">
        <v>-455.94880000000001</v>
      </c>
      <c r="H2681" s="1">
        <v>1.6583160000000001E-6</v>
      </c>
      <c r="I2681">
        <v>213.9426</v>
      </c>
      <c r="J2681">
        <v>-463.01240000000001</v>
      </c>
      <c r="K2681">
        <v>1.113354</v>
      </c>
      <c r="L2681">
        <v>212.86859999999999</v>
      </c>
      <c r="M2681">
        <v>0.99788759999999999</v>
      </c>
      <c r="N2681">
        <v>0</v>
      </c>
      <c r="O2681">
        <v>-6.4122819999999997E-2</v>
      </c>
      <c r="P2681">
        <v>0.99794590000000005</v>
      </c>
      <c r="Q2681">
        <v>2.5432159999999999E-2</v>
      </c>
      <c r="R2681">
        <v>5.8797919999999997E-2</v>
      </c>
      <c r="S2681">
        <v>2.9921880000000001</v>
      </c>
      <c r="T2681">
        <v>-0.4576017</v>
      </c>
      <c r="U2681">
        <v>0.43756099999999998</v>
      </c>
      <c r="V2681">
        <v>-0.12297370000000001</v>
      </c>
      <c r="W2681">
        <v>3.4711850000000002E-2</v>
      </c>
      <c r="X2681">
        <v>0.99180270000000004</v>
      </c>
      <c r="Y2681">
        <v>-0.2047813</v>
      </c>
      <c r="Z2681">
        <v>2.5193210000000001E-2</v>
      </c>
      <c r="AA2681">
        <v>0.97848349999999995</v>
      </c>
      <c r="AB2681">
        <v>24</v>
      </c>
      <c r="AC2681">
        <v>7.0636000000000001</v>
      </c>
      <c r="AD2681">
        <v>-1.1133523416840001</v>
      </c>
      <c r="AE2681">
        <v>1.0740000000000101</v>
      </c>
      <c r="AF2681">
        <v>-1.4886054849247801</v>
      </c>
      <c r="AG2681">
        <v>-1.1133523416840001</v>
      </c>
      <c r="AH2681">
        <v>6.8147140527277399</v>
      </c>
      <c r="AI2681">
        <v>99.0685517724025</v>
      </c>
      <c r="AJ2681">
        <v>102.322130363686</v>
      </c>
      <c r="AK2681">
        <v>7.0636978521823997</v>
      </c>
      <c r="AL2681">
        <v>88.010757921274902</v>
      </c>
      <c r="AM2681">
        <v>97.068035570081705</v>
      </c>
      <c r="AN2681">
        <v>1.0000000195747001</v>
      </c>
    </row>
    <row r="2682" spans="1:40" x14ac:dyDescent="0.25">
      <c r="A2682" t="str">
        <f>"20190312151322732"</f>
        <v>20190312151322732</v>
      </c>
      <c r="B2682" t="str">
        <f>"1552374802722682"</f>
        <v>1552374802722682</v>
      </c>
      <c r="C2682" t="s">
        <v>40</v>
      </c>
      <c r="D2682">
        <v>4.6899940000000004</v>
      </c>
      <c r="E2682">
        <v>0.46921849999999998</v>
      </c>
      <c r="F2682" t="s">
        <v>54</v>
      </c>
      <c r="G2682">
        <v>-456.01170000000002</v>
      </c>
      <c r="H2682" s="1">
        <v>1.6934449999999999E-6</v>
      </c>
      <c r="I2682">
        <v>213.90450000000001</v>
      </c>
      <c r="J2682">
        <v>-462.77940000000001</v>
      </c>
      <c r="K2682">
        <v>1.1131819999999999</v>
      </c>
      <c r="L2682">
        <v>212.8597</v>
      </c>
      <c r="M2682">
        <v>0.99821459999999995</v>
      </c>
      <c r="N2682">
        <v>0</v>
      </c>
      <c r="O2682">
        <v>-5.8816430000000003E-2</v>
      </c>
      <c r="P2682">
        <v>0.99790760000000001</v>
      </c>
      <c r="Q2682">
        <v>2.615551E-2</v>
      </c>
      <c r="R2682">
        <v>5.9130229999999999E-2</v>
      </c>
      <c r="S2682">
        <v>2.9922490000000002</v>
      </c>
      <c r="T2682">
        <v>-0.47587180000000001</v>
      </c>
      <c r="U2682">
        <v>0.442749</v>
      </c>
      <c r="V2682">
        <v>-0.1180182</v>
      </c>
      <c r="W2682">
        <v>3.5517680000000003E-2</v>
      </c>
      <c r="X2682">
        <v>0.99237600000000004</v>
      </c>
      <c r="Y2682">
        <v>-0.2011011</v>
      </c>
      <c r="Z2682">
        <v>2.505922E-2</v>
      </c>
      <c r="AA2682">
        <v>0.97924990000000001</v>
      </c>
      <c r="AB2682">
        <v>24</v>
      </c>
      <c r="AC2682">
        <v>6.7676999999999898</v>
      </c>
      <c r="AD2682">
        <v>-1.1131803065550001</v>
      </c>
      <c r="AE2682">
        <v>1.0448</v>
      </c>
      <c r="AF2682">
        <v>-1.4039644086254699</v>
      </c>
      <c r="AG2682">
        <v>-1.1131803065550001</v>
      </c>
      <c r="AH2682">
        <v>6.5221774994968804</v>
      </c>
      <c r="AI2682">
        <v>99.472776080849897</v>
      </c>
      <c r="AJ2682">
        <v>102.148122158194</v>
      </c>
      <c r="AK2682">
        <v>6.7638070485882702</v>
      </c>
      <c r="AL2682">
        <v>87.964558656584501</v>
      </c>
      <c r="AM2682">
        <v>96.782040505370105</v>
      </c>
      <c r="AN2682">
        <v>0.99999996324991003</v>
      </c>
    </row>
    <row r="2683" spans="1:40" x14ac:dyDescent="0.25">
      <c r="A2683" t="str">
        <f>"20190312151322753"</f>
        <v>20190312151322753</v>
      </c>
      <c r="B2683" t="str">
        <f>"1552374802743177"</f>
        <v>1552374802743177</v>
      </c>
      <c r="C2683" t="s">
        <v>40</v>
      </c>
      <c r="D2683">
        <v>4.6728009999999998</v>
      </c>
      <c r="E2683">
        <v>0.49720819999999999</v>
      </c>
      <c r="F2683" t="s">
        <v>54</v>
      </c>
      <c r="G2683">
        <v>-455.68220000000002</v>
      </c>
      <c r="H2683" s="1">
        <v>1.5182929999999999E-6</v>
      </c>
      <c r="I2683">
        <v>213.90049999999999</v>
      </c>
      <c r="J2683">
        <v>-462.54860000000002</v>
      </c>
      <c r="K2683">
        <v>1.113032</v>
      </c>
      <c r="L2683">
        <v>212.8518</v>
      </c>
      <c r="M2683">
        <v>0.99849679999999996</v>
      </c>
      <c r="N2683">
        <v>0</v>
      </c>
      <c r="O2683">
        <v>-5.3818390000000001E-2</v>
      </c>
      <c r="P2683">
        <v>0.99787179999999998</v>
      </c>
      <c r="Q2683">
        <v>2.6287629999999999E-2</v>
      </c>
      <c r="R2683">
        <v>5.9676279999999998E-2</v>
      </c>
      <c r="S2683">
        <v>2.9925839999999999</v>
      </c>
      <c r="T2683">
        <v>-0.46938029999999997</v>
      </c>
      <c r="U2683">
        <v>0.43885800000000003</v>
      </c>
      <c r="V2683">
        <v>-0.1135785</v>
      </c>
      <c r="W2683">
        <v>3.5721639999999999E-2</v>
      </c>
      <c r="X2683">
        <v>0.99288670000000001</v>
      </c>
      <c r="Y2683">
        <v>-0.1951524</v>
      </c>
      <c r="Z2683">
        <v>2.348389E-2</v>
      </c>
      <c r="AA2683">
        <v>0.98049180000000002</v>
      </c>
      <c r="AB2683">
        <v>24</v>
      </c>
      <c r="AC2683">
        <v>6.8663999999999898</v>
      </c>
      <c r="AD2683">
        <v>-1.113030481707</v>
      </c>
      <c r="AE2683">
        <v>1.04869999999999</v>
      </c>
      <c r="AF2683">
        <v>-1.3812717815271001</v>
      </c>
      <c r="AG2683">
        <v>-1.113030481707</v>
      </c>
      <c r="AH2683">
        <v>6.62977361358588</v>
      </c>
      <c r="AI2683">
        <v>99.3333742805969</v>
      </c>
      <c r="AJ2683">
        <v>101.768859984613</v>
      </c>
      <c r="AK2683">
        <v>6.8629910939073397</v>
      </c>
      <c r="AL2683">
        <v>87.952865376661293</v>
      </c>
      <c r="AM2683">
        <v>96.525824543633107</v>
      </c>
      <c r="AN2683">
        <v>1.0000000551317101</v>
      </c>
    </row>
    <row r="2684" spans="1:40" x14ac:dyDescent="0.25">
      <c r="A2684" t="str">
        <f>"20190312151322780"</f>
        <v>20190312151322780</v>
      </c>
      <c r="B2684" t="str">
        <f>"1552374802772457"</f>
        <v>1552374802772457</v>
      </c>
      <c r="C2684" t="s">
        <v>40</v>
      </c>
      <c r="D2684">
        <v>4.8394750000000002</v>
      </c>
      <c r="E2684">
        <v>0.50237979999999904</v>
      </c>
      <c r="F2684" t="s">
        <v>54</v>
      </c>
      <c r="G2684">
        <v>-448.68700000000001</v>
      </c>
      <c r="H2684" s="1">
        <v>3.1206109999999999E-6</v>
      </c>
      <c r="I2684">
        <v>213.82400000000001</v>
      </c>
      <c r="J2684">
        <v>-462.27670000000001</v>
      </c>
      <c r="K2684">
        <v>1.1128480000000001</v>
      </c>
      <c r="L2684">
        <v>212.84360000000001</v>
      </c>
      <c r="M2684">
        <v>0.99877939999999998</v>
      </c>
      <c r="N2684">
        <v>0</v>
      </c>
      <c r="O2684">
        <v>-4.8291720000000003E-2</v>
      </c>
      <c r="P2684">
        <v>0.99779980000000001</v>
      </c>
      <c r="Q2684">
        <v>2.6772799999999999E-2</v>
      </c>
      <c r="R2684">
        <v>6.0650889999999999E-2</v>
      </c>
      <c r="S2684">
        <v>3.0001530000000001</v>
      </c>
      <c r="T2684">
        <v>-0.2408988</v>
      </c>
      <c r="U2684">
        <v>0.21041869999999999</v>
      </c>
      <c r="V2684">
        <v>-0.1090372</v>
      </c>
      <c r="W2684">
        <v>3.628203E-2</v>
      </c>
      <c r="X2684">
        <v>0.99337529999999996</v>
      </c>
      <c r="Y2684">
        <v>-0.11752700000000001</v>
      </c>
      <c r="Z2684">
        <v>8.5724809999999999E-3</v>
      </c>
      <c r="AA2684">
        <v>0.99303269999999999</v>
      </c>
      <c r="AB2684">
        <v>24</v>
      </c>
      <c r="AC2684">
        <v>13.589700000000001</v>
      </c>
      <c r="AD2684">
        <v>-1.112844879389</v>
      </c>
      <c r="AE2684">
        <v>0.98040000000000205</v>
      </c>
      <c r="AF2684">
        <v>-1.6247226950013101</v>
      </c>
      <c r="AG2684">
        <v>-1.112844879389</v>
      </c>
      <c r="AH2684">
        <v>13.436856966616</v>
      </c>
      <c r="AI2684">
        <v>94.700368846605798</v>
      </c>
      <c r="AJ2684">
        <v>96.8944708109034</v>
      </c>
      <c r="AK2684">
        <v>13.580400314516901</v>
      </c>
      <c r="AL2684">
        <v>87.920736435771303</v>
      </c>
      <c r="AM2684">
        <v>96.263958151389403</v>
      </c>
      <c r="AN2684">
        <v>0.99999999166742504</v>
      </c>
    </row>
    <row r="2685" spans="1:40" x14ac:dyDescent="0.25">
      <c r="A2685" t="str">
        <f>"20190312151322801"</f>
        <v>20190312151322801</v>
      </c>
      <c r="B2685" t="str">
        <f>"1552374802792954"</f>
        <v>1552374802792954</v>
      </c>
      <c r="C2685" t="s">
        <v>40</v>
      </c>
      <c r="D2685">
        <v>4.6770579999999997</v>
      </c>
      <c r="E2685">
        <v>0.50398949999999998</v>
      </c>
      <c r="F2685" t="s">
        <v>54</v>
      </c>
      <c r="G2685">
        <v>-445.70920000000001</v>
      </c>
      <c r="H2685" s="1">
        <v>1.53772E-6</v>
      </c>
      <c r="I2685">
        <v>213.78489999999999</v>
      </c>
      <c r="J2685">
        <v>-462.04520000000002</v>
      </c>
      <c r="K2685">
        <v>1.112671</v>
      </c>
      <c r="L2685">
        <v>212.8374</v>
      </c>
      <c r="M2685">
        <v>0.99898189999999998</v>
      </c>
      <c r="N2685">
        <v>0</v>
      </c>
      <c r="O2685">
        <v>-4.3906430000000003E-2</v>
      </c>
      <c r="P2685">
        <v>0.99782479999999996</v>
      </c>
      <c r="Q2685">
        <v>2.7274079999999999E-2</v>
      </c>
      <c r="R2685">
        <v>6.0014169999999999E-2</v>
      </c>
      <c r="S2685">
        <v>3.0016479999999999</v>
      </c>
      <c r="T2685">
        <v>-0.20162240000000001</v>
      </c>
      <c r="U2685">
        <v>0.17054749999999999</v>
      </c>
      <c r="V2685">
        <v>-0.1040264</v>
      </c>
      <c r="W2685">
        <v>3.6855760000000001E-2</v>
      </c>
      <c r="X2685">
        <v>0.99389139999999998</v>
      </c>
      <c r="Y2685">
        <v>-0.100186</v>
      </c>
      <c r="Z2685">
        <v>6.3021889999999997E-3</v>
      </c>
      <c r="AA2685">
        <v>0.99494870000000002</v>
      </c>
      <c r="AB2685">
        <v>24</v>
      </c>
      <c r="AC2685">
        <v>16.335999999999999</v>
      </c>
      <c r="AD2685">
        <v>-1.11266946227999</v>
      </c>
      <c r="AE2685">
        <v>0.94749999999999002</v>
      </c>
      <c r="AF2685">
        <v>-1.6562223877062501</v>
      </c>
      <c r="AG2685">
        <v>-1.11266946227999</v>
      </c>
      <c r="AH2685">
        <v>16.203721187593999</v>
      </c>
      <c r="AI2685">
        <v>93.907896084244797</v>
      </c>
      <c r="AJ2685">
        <v>95.836075618224299</v>
      </c>
      <c r="AK2685">
        <v>16.3261044421231</v>
      </c>
      <c r="AL2685">
        <v>87.887842094525396</v>
      </c>
      <c r="AM2685">
        <v>95.975150655195904</v>
      </c>
      <c r="AN2685">
        <v>0.99999997696804799</v>
      </c>
    </row>
    <row r="2686" spans="1:40" x14ac:dyDescent="0.25">
      <c r="A2686" t="str">
        <f>"20190312151322844"</f>
        <v>20190312151322844</v>
      </c>
      <c r="B2686" t="str">
        <f>"1552374802832970"</f>
        <v>1552374802832970</v>
      </c>
      <c r="C2686" t="s">
        <v>40</v>
      </c>
      <c r="D2686">
        <v>4.6641199999999996</v>
      </c>
      <c r="E2686">
        <v>0.50561069999999997</v>
      </c>
      <c r="F2686" t="s">
        <v>54</v>
      </c>
      <c r="G2686">
        <v>-444.4282</v>
      </c>
      <c r="H2686" s="1">
        <v>8.5765860000000002E-7</v>
      </c>
      <c r="I2686">
        <v>213.7475</v>
      </c>
      <c r="J2686">
        <v>-461.58319999999998</v>
      </c>
      <c r="K2686">
        <v>1.112266</v>
      </c>
      <c r="L2686">
        <v>212.8271</v>
      </c>
      <c r="M2686">
        <v>0.99929710000000005</v>
      </c>
      <c r="N2686">
        <v>0</v>
      </c>
      <c r="O2686">
        <v>-3.6037840000000002E-2</v>
      </c>
      <c r="P2686">
        <v>0.99791739999999995</v>
      </c>
      <c r="Q2686">
        <v>2.6949730000000002E-2</v>
      </c>
      <c r="R2686">
        <v>5.8606520000000002E-2</v>
      </c>
      <c r="S2686">
        <v>3.0024109999999999</v>
      </c>
      <c r="T2686">
        <v>-0.18962860000000001</v>
      </c>
      <c r="U2686">
        <v>0.15510560000000001</v>
      </c>
      <c r="V2686">
        <v>-9.4752210000000003E-2</v>
      </c>
      <c r="W2686">
        <v>3.6669439999999998E-2</v>
      </c>
      <c r="X2686">
        <v>0.99482530000000002</v>
      </c>
      <c r="Y2686">
        <v>-8.7304590000000001E-2</v>
      </c>
      <c r="Z2686">
        <v>5.0250629999999998E-3</v>
      </c>
      <c r="AA2686">
        <v>0.99616899999999997</v>
      </c>
      <c r="AB2686">
        <v>24</v>
      </c>
      <c r="AC2686">
        <v>17.154999999999902</v>
      </c>
      <c r="AD2686">
        <v>-1.1122651423413901</v>
      </c>
      <c r="AE2686">
        <v>0.9204</v>
      </c>
      <c r="AF2686">
        <v>-1.5316440185303799</v>
      </c>
      <c r="AG2686">
        <v>-1.1122651423413901</v>
      </c>
      <c r="AH2686">
        <v>17.039261449239198</v>
      </c>
      <c r="AI2686">
        <v>93.719819752602604</v>
      </c>
      <c r="AJ2686">
        <v>95.136461922542694</v>
      </c>
      <c r="AK2686">
        <v>17.144080549329399</v>
      </c>
      <c r="AL2686">
        <v>87.898524720967202</v>
      </c>
      <c r="AM2686">
        <v>95.440728329222594</v>
      </c>
      <c r="AN2686">
        <v>1.0000000033249401</v>
      </c>
    </row>
    <row r="2687" spans="1:40" x14ac:dyDescent="0.25">
      <c r="A2687" t="str">
        <f>"20190312151322867"</f>
        <v>20190312151322867</v>
      </c>
      <c r="B2687" t="str">
        <f>"1552374802863226"</f>
        <v>1552374802863226</v>
      </c>
      <c r="C2687" t="s">
        <v>40</v>
      </c>
      <c r="D2687">
        <v>4.6911129999999996</v>
      </c>
      <c r="E2687">
        <v>0.50636610000000004</v>
      </c>
      <c r="F2687" t="s">
        <v>54</v>
      </c>
      <c r="G2687">
        <v>-442.9076</v>
      </c>
      <c r="H2687" s="1">
        <v>5.1363690000000003E-8</v>
      </c>
      <c r="I2687">
        <v>213.6814</v>
      </c>
      <c r="J2687">
        <v>-461.346</v>
      </c>
      <c r="K2687">
        <v>1.1120829999999999</v>
      </c>
      <c r="L2687">
        <v>212.8227</v>
      </c>
      <c r="M2687">
        <v>0.99942140000000002</v>
      </c>
      <c r="N2687">
        <v>0</v>
      </c>
      <c r="O2687">
        <v>-3.2411339999999997E-2</v>
      </c>
      <c r="P2687">
        <v>0.99798339999999996</v>
      </c>
      <c r="Q2687">
        <v>2.755206E-2</v>
      </c>
      <c r="R2687">
        <v>5.7183869999999998E-2</v>
      </c>
      <c r="S2687">
        <v>3.0030209999999999</v>
      </c>
      <c r="T2687">
        <v>-0.1788516</v>
      </c>
      <c r="U2687">
        <v>0.1373596</v>
      </c>
      <c r="V2687">
        <v>-8.9707190000000006E-2</v>
      </c>
      <c r="W2687">
        <v>3.7334649999999997E-2</v>
      </c>
      <c r="X2687">
        <v>0.99526820000000005</v>
      </c>
      <c r="Y2687">
        <v>-7.7852870000000005E-2</v>
      </c>
      <c r="Z2687">
        <v>4.2429130000000001E-3</v>
      </c>
      <c r="AA2687">
        <v>0.99695579999999995</v>
      </c>
      <c r="AB2687">
        <v>24</v>
      </c>
      <c r="AC2687">
        <v>18.438400000000001</v>
      </c>
      <c r="AD2687">
        <v>-1.11208294863631</v>
      </c>
      <c r="AE2687">
        <v>0.85869999999999802</v>
      </c>
      <c r="AF2687">
        <v>-1.4506282990083199</v>
      </c>
      <c r="AG2687">
        <v>-1.11208294863631</v>
      </c>
      <c r="AH2687">
        <v>18.334328002365201</v>
      </c>
      <c r="AI2687">
        <v>93.460279904930303</v>
      </c>
      <c r="AJ2687">
        <v>94.523868640065203</v>
      </c>
      <c r="AK2687">
        <v>18.4252173459323</v>
      </c>
      <c r="AL2687">
        <v>87.860384918418305</v>
      </c>
      <c r="AM2687">
        <v>95.150362484785305</v>
      </c>
      <c r="AN2687">
        <v>1.0000000229797701</v>
      </c>
    </row>
    <row r="2688" spans="1:40" x14ac:dyDescent="0.25">
      <c r="A2688" t="str">
        <f>"20190312151322888"</f>
        <v>20190312151322888</v>
      </c>
      <c r="B2688" t="str">
        <f>"1552374802882747"</f>
        <v>1552374802882747</v>
      </c>
      <c r="C2688" t="s">
        <v>40</v>
      </c>
      <c r="D2688">
        <v>4.8500759999999996</v>
      </c>
      <c r="E2688">
        <v>0.50684839999999998</v>
      </c>
      <c r="F2688" t="s">
        <v>54</v>
      </c>
      <c r="G2688">
        <v>-441.8347</v>
      </c>
      <c r="H2688" s="1">
        <v>-5.1814290000000004E-7</v>
      </c>
      <c r="I2688">
        <v>213.6489</v>
      </c>
      <c r="J2688">
        <v>-461.11070000000001</v>
      </c>
      <c r="K2688">
        <v>1.1119110000000001</v>
      </c>
      <c r="L2688">
        <v>212.81890000000001</v>
      </c>
      <c r="M2688">
        <v>0.9995231</v>
      </c>
      <c r="N2688">
        <v>0</v>
      </c>
      <c r="O2688">
        <v>-2.911058E-2</v>
      </c>
      <c r="P2688">
        <v>0.99801790000000001</v>
      </c>
      <c r="Q2688">
        <v>2.915591E-2</v>
      </c>
      <c r="R2688">
        <v>5.5771630000000003E-2</v>
      </c>
      <c r="S2688">
        <v>3.0035099999999999</v>
      </c>
      <c r="T2688">
        <v>-0.17119100000000001</v>
      </c>
      <c r="U2688">
        <v>0.12718199999999999</v>
      </c>
      <c r="V2688">
        <v>-8.500009E-2</v>
      </c>
      <c r="W2688">
        <v>3.899379E-2</v>
      </c>
      <c r="X2688">
        <v>0.99561759999999999</v>
      </c>
      <c r="Y2688">
        <v>-7.1212120000000004E-2</v>
      </c>
      <c r="Z2688">
        <v>3.6841830000000002E-3</v>
      </c>
      <c r="AA2688">
        <v>0.99745439999999996</v>
      </c>
      <c r="AB2688">
        <v>24</v>
      </c>
      <c r="AC2688">
        <v>19.276</v>
      </c>
      <c r="AD2688">
        <v>-1.11191151814289</v>
      </c>
      <c r="AE2688">
        <v>0.82999999999998397</v>
      </c>
      <c r="AF2688">
        <v>-1.3862095753052901</v>
      </c>
      <c r="AG2688">
        <v>-1.11191151814289</v>
      </c>
      <c r="AH2688">
        <v>19.1799653000426</v>
      </c>
      <c r="AI2688">
        <v>93.309256467819594</v>
      </c>
      <c r="AJ2688">
        <v>94.133797857617694</v>
      </c>
      <c r="AK2688">
        <v>19.262112893493399</v>
      </c>
      <c r="AL2688">
        <v>87.765253762737998</v>
      </c>
      <c r="AM2688">
        <v>94.8797504695698</v>
      </c>
      <c r="AN2688">
        <v>0.99999996819416503</v>
      </c>
    </row>
    <row r="2689" spans="1:40" x14ac:dyDescent="0.25">
      <c r="A2689" t="str">
        <f>"20190312151322934"</f>
        <v>20190312151322934</v>
      </c>
      <c r="B2689" t="str">
        <f>"1552374802922762"</f>
        <v>1552374802922762</v>
      </c>
      <c r="C2689" t="s">
        <v>40</v>
      </c>
      <c r="D2689">
        <v>4.6455399999999996</v>
      </c>
      <c r="E2689">
        <v>0.50759719999999997</v>
      </c>
      <c r="F2689" t="s">
        <v>54</v>
      </c>
      <c r="G2689">
        <v>-440.80439999999999</v>
      </c>
      <c r="H2689" s="1">
        <v>-1.065415E-6</v>
      </c>
      <c r="I2689">
        <v>213.62469999999999</v>
      </c>
      <c r="J2689">
        <v>-460.62740000000002</v>
      </c>
      <c r="K2689">
        <v>1.1116170000000001</v>
      </c>
      <c r="L2689">
        <v>212.8126</v>
      </c>
      <c r="M2689">
        <v>0.99967989999999995</v>
      </c>
      <c r="N2689">
        <v>0</v>
      </c>
      <c r="O2689">
        <v>-2.311407E-2</v>
      </c>
      <c r="P2689">
        <v>0.99806490000000003</v>
      </c>
      <c r="Q2689">
        <v>3.2894350000000003E-2</v>
      </c>
      <c r="R2689">
        <v>5.2769139999999999E-2</v>
      </c>
      <c r="S2689">
        <v>3.004089</v>
      </c>
      <c r="T2689">
        <v>-0.16449449999999999</v>
      </c>
      <c r="U2689">
        <v>0.11920169999999999</v>
      </c>
      <c r="V2689">
        <v>-7.6010690000000006E-2</v>
      </c>
      <c r="W2689">
        <v>4.282101E-2</v>
      </c>
      <c r="X2689">
        <v>0.99618709999999999</v>
      </c>
      <c r="Y2689">
        <v>-6.2606889999999998E-2</v>
      </c>
      <c r="Z2689">
        <v>2.9764610000000001E-3</v>
      </c>
      <c r="AA2689">
        <v>0.99803379999999997</v>
      </c>
      <c r="AB2689">
        <v>24</v>
      </c>
      <c r="AC2689">
        <v>19.823</v>
      </c>
      <c r="AD2689">
        <v>-1.1116180654150001</v>
      </c>
      <c r="AE2689">
        <v>0.81209999999998606</v>
      </c>
      <c r="AF2689">
        <v>-1.2661226275931099</v>
      </c>
      <c r="AG2689">
        <v>-1.1116180654150001</v>
      </c>
      <c r="AH2689">
        <v>19.736969597277501</v>
      </c>
      <c r="AI2689">
        <v>93.216986816875703</v>
      </c>
      <c r="AJ2689">
        <v>93.670483318085004</v>
      </c>
      <c r="AK2689">
        <v>19.808753875883099</v>
      </c>
      <c r="AL2689">
        <v>87.545786441485703</v>
      </c>
      <c r="AM2689">
        <v>94.363306296046403</v>
      </c>
      <c r="AN2689">
        <v>1.00000000104905</v>
      </c>
    </row>
    <row r="2690" spans="1:40" x14ac:dyDescent="0.25">
      <c r="A2690" t="str">
        <f>"20190312151322954"</f>
        <v>20190312151322954</v>
      </c>
      <c r="B2690" t="str">
        <f>"1552374802943258"</f>
        <v>1552374802943258</v>
      </c>
      <c r="C2690" t="s">
        <v>40</v>
      </c>
      <c r="D2690">
        <v>4.9237019999999996</v>
      </c>
      <c r="E2690">
        <v>0.50793739999999998</v>
      </c>
      <c r="F2690" t="s">
        <v>55</v>
      </c>
      <c r="G2690">
        <v>-438.32400000000001</v>
      </c>
      <c r="H2690" s="1">
        <v>5.9989509999999998E-6</v>
      </c>
      <c r="I2690">
        <v>213.57990000000001</v>
      </c>
      <c r="J2690">
        <v>-460.39670000000001</v>
      </c>
      <c r="K2690">
        <v>1.11149599999999</v>
      </c>
      <c r="L2690">
        <v>212.81020000000001</v>
      </c>
      <c r="M2690">
        <v>0.99973529999999999</v>
      </c>
      <c r="N2690">
        <v>0</v>
      </c>
      <c r="O2690">
        <v>-2.0578610000000001E-2</v>
      </c>
      <c r="P2690">
        <v>0.99812800000000002</v>
      </c>
      <c r="Q2690">
        <v>3.4131679999999998E-2</v>
      </c>
      <c r="R2690">
        <v>5.0749349999999999E-2</v>
      </c>
      <c r="S2690">
        <v>3.0053100000000001</v>
      </c>
      <c r="T2690">
        <v>-0.14978620000000001</v>
      </c>
      <c r="U2690">
        <v>0.1033936</v>
      </c>
      <c r="V2690">
        <v>-7.1456690000000003E-2</v>
      </c>
      <c r="W2690">
        <v>4.4095830000000003E-2</v>
      </c>
      <c r="X2690">
        <v>0.99646849999999998</v>
      </c>
      <c r="Y2690">
        <v>-5.4850000000000003E-2</v>
      </c>
      <c r="Z2690">
        <v>2.3904260000000002E-3</v>
      </c>
      <c r="AA2690">
        <v>0.99849180000000004</v>
      </c>
      <c r="AB2690">
        <v>24</v>
      </c>
      <c r="AC2690">
        <v>22.072700000000001</v>
      </c>
      <c r="AD2690">
        <v>-1.1114900010490001</v>
      </c>
      <c r="AE2690">
        <v>0.76970000000000005</v>
      </c>
      <c r="AF2690">
        <v>-1.22069494300613</v>
      </c>
      <c r="AG2690">
        <v>-1.1114900010490001</v>
      </c>
      <c r="AH2690">
        <v>21.996476129563298</v>
      </c>
      <c r="AI2690">
        <v>92.888279852016694</v>
      </c>
      <c r="AJ2690">
        <v>93.176372505027999</v>
      </c>
      <c r="AK2690">
        <v>22.0583423739129</v>
      </c>
      <c r="AL2690">
        <v>87.472675520723996</v>
      </c>
      <c r="AM2690">
        <v>94.101655493738306</v>
      </c>
      <c r="AN2690">
        <v>0.99999998613069696</v>
      </c>
    </row>
    <row r="2691" spans="1:40" x14ac:dyDescent="0.25">
      <c r="A2691" t="str">
        <f>"20190312151322980"</f>
        <v>20190312151322980</v>
      </c>
      <c r="B2691" t="str">
        <f>"1552374802972538"</f>
        <v>1552374802972538</v>
      </c>
      <c r="C2691" t="s">
        <v>40</v>
      </c>
      <c r="D2691">
        <v>4.7927689999999998</v>
      </c>
      <c r="E2691">
        <v>0.50824650000000005</v>
      </c>
      <c r="F2691" t="s">
        <v>55</v>
      </c>
      <c r="G2691">
        <v>-437.44600000000003</v>
      </c>
      <c r="H2691" s="1">
        <v>5.6138350000000003E-6</v>
      </c>
      <c r="I2691">
        <v>213.53110000000001</v>
      </c>
      <c r="J2691">
        <v>-460.13240000000002</v>
      </c>
      <c r="K2691">
        <v>1.1113690000000001</v>
      </c>
      <c r="L2691">
        <v>212.80789999999999</v>
      </c>
      <c r="M2691">
        <v>0.99978690000000003</v>
      </c>
      <c r="N2691">
        <v>0</v>
      </c>
      <c r="O2691">
        <v>-1.7906700000000001E-2</v>
      </c>
      <c r="P2691">
        <v>0.99814049999999999</v>
      </c>
      <c r="Q2691">
        <v>3.6005540000000003E-2</v>
      </c>
      <c r="R2691">
        <v>4.9187050000000003E-2</v>
      </c>
      <c r="S2691">
        <v>3.005798</v>
      </c>
      <c r="T2691">
        <v>-0.145569</v>
      </c>
      <c r="U2691">
        <v>9.4421389999999994E-2</v>
      </c>
      <c r="V2691">
        <v>-6.722235E-2</v>
      </c>
      <c r="W2691">
        <v>4.6003620000000002E-2</v>
      </c>
      <c r="X2691">
        <v>0.99667689999999998</v>
      </c>
      <c r="Y2691">
        <v>-4.9212779999999998E-2</v>
      </c>
      <c r="Z2691">
        <v>2.0572419999999999E-3</v>
      </c>
      <c r="AA2691">
        <v>0.99878619999999996</v>
      </c>
      <c r="AB2691">
        <v>24</v>
      </c>
      <c r="AC2691">
        <v>22.686399999999999</v>
      </c>
      <c r="AD2691">
        <v>-1.1113633861650001</v>
      </c>
      <c r="AE2691">
        <v>0.72320000000001905</v>
      </c>
      <c r="AF2691">
        <v>-1.1266430119359501</v>
      </c>
      <c r="AG2691">
        <v>-1.1113633861650001</v>
      </c>
      <c r="AH2691">
        <v>22.615592774451301</v>
      </c>
      <c r="AI2691">
        <v>92.809856523581999</v>
      </c>
      <c r="AJ2691">
        <v>92.851951272402502</v>
      </c>
      <c r="AK2691">
        <v>22.670895209326599</v>
      </c>
      <c r="AL2691">
        <v>87.363256162255695</v>
      </c>
      <c r="AM2691">
        <v>93.8585549168005</v>
      </c>
      <c r="AN2691">
        <v>1.0000000101931099</v>
      </c>
    </row>
    <row r="2692" spans="1:40" x14ac:dyDescent="0.25">
      <c r="A2692" t="str">
        <f>"20190312151323023"</f>
        <v>20190312151323023</v>
      </c>
      <c r="B2692" t="str">
        <f>"1552374803012555"</f>
        <v>1552374803012555</v>
      </c>
      <c r="C2692" t="s">
        <v>40</v>
      </c>
      <c r="D2692">
        <v>4.5388960000000003</v>
      </c>
      <c r="E2692">
        <v>0.50846259999999999</v>
      </c>
      <c r="F2692" t="s">
        <v>55</v>
      </c>
      <c r="G2692">
        <v>-436.34249999999997</v>
      </c>
      <c r="H2692" s="1">
        <v>5.1274759999999998E-6</v>
      </c>
      <c r="I2692">
        <v>213.49709999999999</v>
      </c>
      <c r="J2692">
        <v>-459.67189999999999</v>
      </c>
      <c r="K2692">
        <v>1.111097</v>
      </c>
      <c r="L2692">
        <v>212.8047</v>
      </c>
      <c r="M2692">
        <v>0.99984989999999996</v>
      </c>
      <c r="N2692">
        <v>0</v>
      </c>
      <c r="O2692">
        <v>-1.3951440000000001E-2</v>
      </c>
      <c r="P2692">
        <v>0.99828950000000005</v>
      </c>
      <c r="Q2692">
        <v>3.8901440000000002E-2</v>
      </c>
      <c r="R2692">
        <v>4.3646339999999999E-2</v>
      </c>
      <c r="S2692">
        <v>3.0063780000000002</v>
      </c>
      <c r="T2692">
        <v>-0.1404455</v>
      </c>
      <c r="U2692">
        <v>8.7097170000000002E-2</v>
      </c>
      <c r="V2692">
        <v>-5.7715750000000003E-2</v>
      </c>
      <c r="W2692">
        <v>4.8970010000000001E-2</v>
      </c>
      <c r="X2692">
        <v>0.99713130000000005</v>
      </c>
      <c r="Y2692">
        <v>-4.2840259999999998E-2</v>
      </c>
      <c r="Z2692">
        <v>1.651217E-3</v>
      </c>
      <c r="AA2692">
        <v>0.99908059999999999</v>
      </c>
      <c r="AB2692">
        <v>24</v>
      </c>
      <c r="AC2692">
        <v>23.3294</v>
      </c>
      <c r="AD2692">
        <v>-1.111091872524</v>
      </c>
      <c r="AE2692">
        <v>0.69239999999999202</v>
      </c>
      <c r="AF2692">
        <v>-1.0155270527050699</v>
      </c>
      <c r="AG2692">
        <v>-1.111091872524</v>
      </c>
      <c r="AH2692">
        <v>23.264744671171101</v>
      </c>
      <c r="AI2692">
        <v>92.731691897333306</v>
      </c>
      <c r="AJ2692">
        <v>92.499425701739</v>
      </c>
      <c r="AK2692">
        <v>23.313390250213502</v>
      </c>
      <c r="AL2692">
        <v>87.193102487541793</v>
      </c>
      <c r="AM2692">
        <v>93.312686392348695</v>
      </c>
      <c r="AN2692">
        <v>0.99999999955857599</v>
      </c>
    </row>
    <row r="2693" spans="1:40" x14ac:dyDescent="0.25">
      <c r="A2693" t="str">
        <f>"20190312151323044"</f>
        <v>20190312151323044</v>
      </c>
      <c r="B2693" t="str">
        <f>"1552374803033050"</f>
        <v>1552374803033050</v>
      </c>
      <c r="C2693" t="s">
        <v>40</v>
      </c>
      <c r="D2693">
        <v>4.533175</v>
      </c>
      <c r="E2693">
        <v>0.50846289999999905</v>
      </c>
      <c r="F2693" t="s">
        <v>55</v>
      </c>
      <c r="G2693">
        <v>-434.05200000000002</v>
      </c>
      <c r="H2693" s="1">
        <v>4.120968E-6</v>
      </c>
      <c r="I2693">
        <v>213.3914</v>
      </c>
      <c r="J2693">
        <v>-459.43419999999998</v>
      </c>
      <c r="K2693">
        <v>1.1109560000000001</v>
      </c>
      <c r="L2693">
        <v>212.80340000000001</v>
      </c>
      <c r="M2693">
        <v>0.99987269999999995</v>
      </c>
      <c r="N2693">
        <v>0</v>
      </c>
      <c r="O2693">
        <v>-1.221583E-2</v>
      </c>
      <c r="P2693">
        <v>0.99831349999999996</v>
      </c>
      <c r="Q2693">
        <v>4.1016270000000001E-2</v>
      </c>
      <c r="R2693">
        <v>4.1085030000000002E-2</v>
      </c>
      <c r="S2693">
        <v>3.0071720000000002</v>
      </c>
      <c r="T2693">
        <v>-0.13041630000000001</v>
      </c>
      <c r="U2693">
        <v>6.8862919999999994E-2</v>
      </c>
      <c r="V2693">
        <v>-5.3410770000000003E-2</v>
      </c>
      <c r="W2693">
        <v>5.1114039999999999E-2</v>
      </c>
      <c r="X2693">
        <v>0.99726360000000003</v>
      </c>
      <c r="Y2693">
        <v>-3.5060710000000002E-2</v>
      </c>
      <c r="Z2693">
        <v>1.289307E-3</v>
      </c>
      <c r="AA2693">
        <v>0.9993843</v>
      </c>
      <c r="AB2693">
        <v>24</v>
      </c>
      <c r="AC2693">
        <v>25.382200000000001</v>
      </c>
      <c r="AD2693">
        <v>-1.1109518790320001</v>
      </c>
      <c r="AE2693">
        <v>0.58799999999999297</v>
      </c>
      <c r="AF2693">
        <v>-0.89632091778179501</v>
      </c>
      <c r="AG2693">
        <v>-1.1109518790320001</v>
      </c>
      <c r="AH2693">
        <v>25.3246337162449</v>
      </c>
      <c r="AI2693">
        <v>92.510295516516194</v>
      </c>
      <c r="AJ2693">
        <v>92.027037325194399</v>
      </c>
      <c r="AK2693">
        <v>25.364831521757502</v>
      </c>
      <c r="AL2693">
        <v>87.070104555796206</v>
      </c>
      <c r="AM2693">
        <v>93.065679695699501</v>
      </c>
      <c r="AN2693">
        <v>1.0000000216610301</v>
      </c>
    </row>
    <row r="2694" spans="1:40" x14ac:dyDescent="0.25">
      <c r="A2694" t="str">
        <f>"20190312151323067"</f>
        <v>20190312151323067</v>
      </c>
      <c r="B2694" t="str">
        <f>"1552374803062330"</f>
        <v>1552374803062330</v>
      </c>
      <c r="C2694" t="s">
        <v>40</v>
      </c>
      <c r="D2694">
        <v>4.5098669999999998</v>
      </c>
      <c r="E2694">
        <v>0.50844330000000004</v>
      </c>
      <c r="F2694" t="s">
        <v>55</v>
      </c>
      <c r="G2694">
        <v>-432.90660000000003</v>
      </c>
      <c r="H2694" s="1">
        <v>3.6174680000000001E-6</v>
      </c>
      <c r="I2694">
        <v>213.3409</v>
      </c>
      <c r="J2694">
        <v>-459.18520000000001</v>
      </c>
      <c r="K2694">
        <v>1.110811</v>
      </c>
      <c r="L2694">
        <v>212.8023</v>
      </c>
      <c r="M2694">
        <v>0.99989090000000003</v>
      </c>
      <c r="N2694">
        <v>0</v>
      </c>
      <c r="O2694">
        <v>-1.0631710000000001E-2</v>
      </c>
      <c r="P2694">
        <v>0.99834319999999999</v>
      </c>
      <c r="Q2694">
        <v>4.2972610000000001E-2</v>
      </c>
      <c r="R2694">
        <v>3.8269270000000001E-2</v>
      </c>
      <c r="S2694">
        <v>3.0077509999999998</v>
      </c>
      <c r="T2694">
        <v>-0.1259624</v>
      </c>
      <c r="U2694">
        <v>6.0943600000000001E-2</v>
      </c>
      <c r="V2694">
        <v>-4.899937E-2</v>
      </c>
      <c r="W2694">
        <v>5.3098319999999997E-2</v>
      </c>
      <c r="X2694">
        <v>0.99738640000000001</v>
      </c>
      <c r="Y2694">
        <v>-3.0850610000000001E-2</v>
      </c>
      <c r="Z2694">
        <v>1.0906869999999999E-3</v>
      </c>
      <c r="AA2694">
        <v>0.99952339999999995</v>
      </c>
      <c r="AB2694">
        <v>24</v>
      </c>
      <c r="AC2694">
        <v>26.278599999999901</v>
      </c>
      <c r="AD2694">
        <v>-1.110807382532</v>
      </c>
      <c r="AE2694">
        <v>0.53860000000000197</v>
      </c>
      <c r="AF2694">
        <v>-0.81651237902015406</v>
      </c>
      <c r="AG2694">
        <v>-1.110807382532</v>
      </c>
      <c r="AH2694">
        <v>26.2245500438584</v>
      </c>
      <c r="AI2694">
        <v>92.424284932423006</v>
      </c>
      <c r="AJ2694">
        <v>91.783352037248505</v>
      </c>
      <c r="AK2694">
        <v>26.260761803668501</v>
      </c>
      <c r="AL2694">
        <v>86.956258951753796</v>
      </c>
      <c r="AM2694">
        <v>92.812552617845697</v>
      </c>
      <c r="AN2694">
        <v>1.0000000003760801</v>
      </c>
    </row>
    <row r="2695" spans="1:40" x14ac:dyDescent="0.25">
      <c r="A2695" t="str">
        <f>"20190312151323089"</f>
        <v>20190312151323089</v>
      </c>
      <c r="B2695" t="str">
        <f>"1552374803082826"</f>
        <v>1552374803082826</v>
      </c>
      <c r="C2695" t="s">
        <v>40</v>
      </c>
      <c r="D2695">
        <v>4.5272870000000003</v>
      </c>
      <c r="E2695">
        <v>0.50843289999999997</v>
      </c>
      <c r="F2695" t="s">
        <v>55</v>
      </c>
      <c r="G2695">
        <v>-432.15969999999999</v>
      </c>
      <c r="H2695" s="1">
        <v>3.2918929999999998E-6</v>
      </c>
      <c r="I2695">
        <v>213.27600000000001</v>
      </c>
      <c r="J2695">
        <v>-458.94260000000003</v>
      </c>
      <c r="K2695">
        <v>1.1106780000000001</v>
      </c>
      <c r="L2695">
        <v>212.80119999999999</v>
      </c>
      <c r="M2695">
        <v>0.99990400000000002</v>
      </c>
      <c r="N2695">
        <v>0</v>
      </c>
      <c r="O2695">
        <v>-9.3235999999999996E-3</v>
      </c>
      <c r="P2695">
        <v>0.99836230000000004</v>
      </c>
      <c r="Q2695">
        <v>4.511122E-2</v>
      </c>
      <c r="R2695">
        <v>3.5179450000000001E-2</v>
      </c>
      <c r="S2695">
        <v>3.00827</v>
      </c>
      <c r="T2695">
        <v>-0.12364650000000001</v>
      </c>
      <c r="U2695">
        <v>5.2734379999999997E-2</v>
      </c>
      <c r="V2695">
        <v>-4.459113E-2</v>
      </c>
      <c r="W2695">
        <v>5.525998E-2</v>
      </c>
      <c r="X2695">
        <v>0.99747580000000002</v>
      </c>
      <c r="Y2695">
        <v>-2.681849E-2</v>
      </c>
      <c r="Z2695">
        <v>9.3392750000000004E-4</v>
      </c>
      <c r="AA2695">
        <v>0.99963990000000003</v>
      </c>
      <c r="AB2695">
        <v>24</v>
      </c>
      <c r="AC2695">
        <v>26.782900000000001</v>
      </c>
      <c r="AD2695">
        <v>-1.1106747081070001</v>
      </c>
      <c r="AE2695">
        <v>0.47479999999998701</v>
      </c>
      <c r="AF2695">
        <v>-0.72326210548091396</v>
      </c>
      <c r="AG2695">
        <v>-1.1106747081070001</v>
      </c>
      <c r="AH2695">
        <v>26.731352576200599</v>
      </c>
      <c r="AI2695">
        <v>92.378373874996896</v>
      </c>
      <c r="AJ2695">
        <v>91.549856417625804</v>
      </c>
      <c r="AK2695">
        <v>26.764190944872599</v>
      </c>
      <c r="AL2695">
        <v>86.832222760243297</v>
      </c>
      <c r="AM2695">
        <v>92.559644714229705</v>
      </c>
      <c r="AN2695">
        <v>1.0000000029249501</v>
      </c>
    </row>
    <row r="2696" spans="1:40" x14ac:dyDescent="0.25">
      <c r="A2696" t="str">
        <f>"20190312151323112"</f>
        <v>20190312151323112</v>
      </c>
      <c r="B2696" t="str">
        <f>"1552374803103322"</f>
        <v>1552374803103322</v>
      </c>
      <c r="C2696" t="s">
        <v>40</v>
      </c>
      <c r="D2696">
        <v>4.5332080000000001</v>
      </c>
      <c r="E2696">
        <v>0.50933220000000001</v>
      </c>
      <c r="F2696" t="s">
        <v>55</v>
      </c>
      <c r="G2696">
        <v>-430.77820000000003</v>
      </c>
      <c r="H2696" s="1">
        <v>2.6853080000000002E-6</v>
      </c>
      <c r="I2696">
        <v>213.20699999999999</v>
      </c>
      <c r="J2696">
        <v>-458.70119999999997</v>
      </c>
      <c r="K2696">
        <v>1.110579</v>
      </c>
      <c r="L2696">
        <v>212.80029999999999</v>
      </c>
      <c r="M2696">
        <v>0.99991379999999996</v>
      </c>
      <c r="N2696">
        <v>0</v>
      </c>
      <c r="O2696">
        <v>-8.2011459999999994E-3</v>
      </c>
      <c r="P2696">
        <v>0.9983417</v>
      </c>
      <c r="Q2696">
        <v>4.8285540000000002E-2</v>
      </c>
      <c r="R2696">
        <v>3.13417E-2</v>
      </c>
      <c r="S2696">
        <v>3.0087280000000001</v>
      </c>
      <c r="T2696">
        <v>-0.11865059999999999</v>
      </c>
      <c r="U2696">
        <v>4.3350220000000002E-2</v>
      </c>
      <c r="V2696">
        <v>-3.9622520000000001E-2</v>
      </c>
      <c r="W2696">
        <v>5.8453909999999998E-2</v>
      </c>
      <c r="X2696">
        <v>0.99750349999999999</v>
      </c>
      <c r="Y2696">
        <v>-2.2582979999999999E-2</v>
      </c>
      <c r="Z2696">
        <v>7.6838160000000004E-4</v>
      </c>
      <c r="AA2696">
        <v>0.99974470000000004</v>
      </c>
      <c r="AB2696">
        <v>24</v>
      </c>
      <c r="AC2696">
        <v>27.922999999999899</v>
      </c>
      <c r="AD2696">
        <v>-1.110576314692</v>
      </c>
      <c r="AE2696">
        <v>0.40670000000000001</v>
      </c>
      <c r="AF2696">
        <v>-0.634695163193292</v>
      </c>
      <c r="AG2696">
        <v>-1.110576314692</v>
      </c>
      <c r="AH2696">
        <v>27.874640375180601</v>
      </c>
      <c r="AI2696">
        <v>92.280970642746396</v>
      </c>
      <c r="AJ2696">
        <v>91.304378136624095</v>
      </c>
      <c r="AK2696">
        <v>27.903974515229599</v>
      </c>
      <c r="AL2696">
        <v>86.648927513532797</v>
      </c>
      <c r="AM2696">
        <v>92.274689075198296</v>
      </c>
      <c r="AN2696">
        <v>1.00000001809884</v>
      </c>
    </row>
    <row r="2697" spans="1:40" x14ac:dyDescent="0.25">
      <c r="A2697" t="str">
        <f>"20190312151323133"</f>
        <v>20190312151323133</v>
      </c>
      <c r="B2697" t="str">
        <f>"1552374803122843"</f>
        <v>1552374803122843</v>
      </c>
      <c r="C2697" t="s">
        <v>40</v>
      </c>
      <c r="D2697">
        <v>4.6140059999999998</v>
      </c>
      <c r="E2697">
        <v>0.53210740000000001</v>
      </c>
      <c r="F2697" t="s">
        <v>55</v>
      </c>
      <c r="G2697">
        <v>-428.3399</v>
      </c>
      <c r="H2697" s="1">
        <v>2.6220679999999998E-6</v>
      </c>
      <c r="I2697">
        <v>213.05119999999999</v>
      </c>
      <c r="J2697">
        <v>-458.4622</v>
      </c>
      <c r="K2697">
        <v>1.110498</v>
      </c>
      <c r="L2697">
        <v>212.79949999999999</v>
      </c>
      <c r="M2697">
        <v>0.99992119999999995</v>
      </c>
      <c r="N2697">
        <v>0</v>
      </c>
      <c r="O2697">
        <v>-7.2492379999999999E-3</v>
      </c>
      <c r="P2697">
        <v>0.99829829999999997</v>
      </c>
      <c r="Q2697">
        <v>5.1639829999999998E-2</v>
      </c>
      <c r="R2697">
        <v>2.7092649999999999E-2</v>
      </c>
      <c r="S2697">
        <v>3.0094910000000001</v>
      </c>
      <c r="T2697">
        <v>-0.1100833</v>
      </c>
      <c r="U2697">
        <v>2.4871830000000001E-2</v>
      </c>
      <c r="V2697">
        <v>-3.4414279999999998E-2</v>
      </c>
      <c r="W2697">
        <v>6.1824270000000001E-2</v>
      </c>
      <c r="X2697">
        <v>0.99749359999999998</v>
      </c>
      <c r="Y2697">
        <v>-1.5498120000000001E-2</v>
      </c>
      <c r="Z2697">
        <v>5.4844010000000001E-4</v>
      </c>
      <c r="AA2697">
        <v>0.99987969999999904</v>
      </c>
      <c r="AB2697">
        <v>24</v>
      </c>
      <c r="AC2697">
        <v>30.122299999999999</v>
      </c>
      <c r="AD2697">
        <v>-1.1104953779319999</v>
      </c>
      <c r="AE2697">
        <v>0.25169999999999898</v>
      </c>
      <c r="AF2697">
        <v>-0.469430609871272</v>
      </c>
      <c r="AG2697">
        <v>-1.1104953779319999</v>
      </c>
      <c r="AH2697">
        <v>30.0788058915474</v>
      </c>
      <c r="AI2697">
        <v>92.114115718805294</v>
      </c>
      <c r="AJ2697">
        <v>90.8941249007257</v>
      </c>
      <c r="AK2697">
        <v>30.102958807121901</v>
      </c>
      <c r="AL2697">
        <v>86.455469915092806</v>
      </c>
      <c r="AM2697">
        <v>91.975963769826194</v>
      </c>
      <c r="AN2697">
        <v>1.0000000325349501</v>
      </c>
    </row>
    <row r="2698" spans="1:40" x14ac:dyDescent="0.25">
      <c r="A2698" t="str">
        <f>"20190312151323156"</f>
        <v>20190312151323156</v>
      </c>
      <c r="B2698" t="str">
        <f>"1552374803152441"</f>
        <v>1552374803152441</v>
      </c>
      <c r="C2698" t="s">
        <v>40</v>
      </c>
      <c r="D2698">
        <v>4.4914509999999996</v>
      </c>
      <c r="E2698">
        <v>0.53403619999999996</v>
      </c>
      <c r="F2698" t="s">
        <v>55</v>
      </c>
      <c r="G2698">
        <v>-418.83640000000003</v>
      </c>
      <c r="H2698" s="1">
        <v>4.1273670000000002E-6</v>
      </c>
      <c r="I2698">
        <v>210.565</v>
      </c>
      <c r="J2698">
        <v>-458.2124</v>
      </c>
      <c r="K2698">
        <v>1.1104179999999999</v>
      </c>
      <c r="L2698">
        <v>212.7987</v>
      </c>
      <c r="M2698">
        <v>0.99992689999999995</v>
      </c>
      <c r="N2698">
        <v>0</v>
      </c>
      <c r="O2698">
        <v>-6.4226169999999898E-3</v>
      </c>
      <c r="P2698">
        <v>0.99822659999999996</v>
      </c>
      <c r="Q2698">
        <v>5.4729079999999999E-2</v>
      </c>
      <c r="R2698">
        <v>2.342E-2</v>
      </c>
      <c r="S2698">
        <v>3.0141300000000002</v>
      </c>
      <c r="T2698">
        <v>-8.4469680000000005E-2</v>
      </c>
      <c r="U2698">
        <v>-0.1699677</v>
      </c>
      <c r="V2698">
        <v>-2.990514E-2</v>
      </c>
      <c r="W2698">
        <v>6.4926529999999996E-2</v>
      </c>
      <c r="X2698">
        <v>0.99744180000000005</v>
      </c>
      <c r="Y2698">
        <v>4.9869910000000003E-2</v>
      </c>
      <c r="Z2698">
        <v>-5.1828639999999999E-4</v>
      </c>
      <c r="AA2698">
        <v>0.99875559999999997</v>
      </c>
      <c r="AB2698">
        <v>24</v>
      </c>
      <c r="AC2698">
        <v>39.375999999999898</v>
      </c>
      <c r="AD2698">
        <v>-1.110413872633</v>
      </c>
      <c r="AE2698">
        <v>-2.23369999999999</v>
      </c>
      <c r="AF2698">
        <v>1.9791747860033899</v>
      </c>
      <c r="AG2698">
        <v>-1.110413872633</v>
      </c>
      <c r="AH2698">
        <v>39.358335204652199</v>
      </c>
      <c r="AI2698">
        <v>91.614014711245702</v>
      </c>
      <c r="AJ2698">
        <v>87.121247039912106</v>
      </c>
      <c r="AK2698">
        <v>39.423707358439202</v>
      </c>
      <c r="AL2698">
        <v>86.2773651328027</v>
      </c>
      <c r="AM2698">
        <v>91.717318419111194</v>
      </c>
      <c r="AN2698">
        <v>0.99999995804174902</v>
      </c>
    </row>
    <row r="2699" spans="1:40" x14ac:dyDescent="0.25">
      <c r="A2699" t="str">
        <f>"20190312151323182"</f>
        <v>20190312151323182</v>
      </c>
      <c r="B2699" t="str">
        <f>"1552374803172937"</f>
        <v>1552374803172937</v>
      </c>
      <c r="C2699" t="s">
        <v>40</v>
      </c>
      <c r="D2699">
        <v>4.5026099999999998</v>
      </c>
      <c r="E2699">
        <v>0.53449650000000004</v>
      </c>
      <c r="F2699" t="s">
        <v>55</v>
      </c>
      <c r="G2699">
        <v>-415.41820000000001</v>
      </c>
      <c r="H2699" s="1">
        <v>3.5697509999999998E-6</v>
      </c>
      <c r="I2699">
        <v>210.0078</v>
      </c>
      <c r="J2699">
        <v>-457.93549999999999</v>
      </c>
      <c r="K2699">
        <v>1.110328</v>
      </c>
      <c r="L2699">
        <v>212.7978</v>
      </c>
      <c r="M2699">
        <v>0.99993120000000002</v>
      </c>
      <c r="N2699">
        <v>0</v>
      </c>
      <c r="O2699">
        <v>-5.7014630000000004E-3</v>
      </c>
      <c r="P2699">
        <v>0.99808640000000004</v>
      </c>
      <c r="Q2699">
        <v>5.8745400000000003E-2</v>
      </c>
      <c r="R2699">
        <v>1.9307959999999999E-2</v>
      </c>
      <c r="S2699">
        <v>3.0142519999999999</v>
      </c>
      <c r="T2699">
        <v>-7.8213210000000005E-2</v>
      </c>
      <c r="U2699">
        <v>-0.196579</v>
      </c>
      <c r="V2699">
        <v>-2.5059089999999999E-2</v>
      </c>
      <c r="W2699">
        <v>6.8954860000000007E-2</v>
      </c>
      <c r="X2699">
        <v>0.997305</v>
      </c>
      <c r="Y2699">
        <v>5.9369539999999998E-2</v>
      </c>
      <c r="Z2699">
        <v>-6.2154929999999999E-4</v>
      </c>
      <c r="AA2699">
        <v>0.99823589999999995</v>
      </c>
      <c r="AB2699">
        <v>24</v>
      </c>
      <c r="AC2699">
        <v>42.517299999999899</v>
      </c>
      <c r="AD2699">
        <v>-1.1103244302490001</v>
      </c>
      <c r="AE2699">
        <v>-2.7899999999999898</v>
      </c>
      <c r="AF2699">
        <v>2.5458023673922199</v>
      </c>
      <c r="AG2699">
        <v>-1.1103244302490001</v>
      </c>
      <c r="AH2699">
        <v>42.503654643888197</v>
      </c>
      <c r="AI2699">
        <v>91.493723508847296</v>
      </c>
      <c r="AJ2699">
        <v>86.572302401569999</v>
      </c>
      <c r="AK2699">
        <v>42.594302296447502</v>
      </c>
      <c r="AL2699">
        <v>86.046039937545402</v>
      </c>
      <c r="AM2699">
        <v>91.439357114281094</v>
      </c>
      <c r="AN2699">
        <v>0.99999999686712304</v>
      </c>
    </row>
    <row r="2700" spans="1:40" x14ac:dyDescent="0.25">
      <c r="A2700" t="str">
        <f>"20190312151323204"</f>
        <v>20190312151323204</v>
      </c>
      <c r="B2700" t="str">
        <f>"1552374803192458"</f>
        <v>1552374803192458</v>
      </c>
      <c r="C2700" t="s">
        <v>40</v>
      </c>
      <c r="D2700">
        <v>4.5209229999999998</v>
      </c>
      <c r="E2700">
        <v>0.53438790000000003</v>
      </c>
      <c r="F2700" t="s">
        <v>55</v>
      </c>
      <c r="G2700">
        <v>-408.63810000000001</v>
      </c>
      <c r="H2700" s="1">
        <v>5.6531600000000001E-6</v>
      </c>
      <c r="I2700">
        <v>209.31729999999999</v>
      </c>
      <c r="J2700">
        <v>-457.6979</v>
      </c>
      <c r="K2700">
        <v>1.110239</v>
      </c>
      <c r="L2700">
        <v>212.797</v>
      </c>
      <c r="M2700">
        <v>0.99993379999999998</v>
      </c>
      <c r="N2700">
        <v>0</v>
      </c>
      <c r="O2700">
        <v>-5.2537510000000001E-3</v>
      </c>
      <c r="P2700">
        <v>0.99794439999999995</v>
      </c>
      <c r="Q2700">
        <v>6.2306250000000001E-2</v>
      </c>
      <c r="R2700">
        <v>1.501212E-2</v>
      </c>
      <c r="S2700">
        <v>3.0138850000000001</v>
      </c>
      <c r="T2700">
        <v>-6.7881579999999997E-2</v>
      </c>
      <c r="U2700">
        <v>-0.2127838</v>
      </c>
      <c r="V2700">
        <v>-2.0300039999999998E-2</v>
      </c>
      <c r="W2700">
        <v>7.2525019999999996E-2</v>
      </c>
      <c r="X2700">
        <v>0.99716000000000005</v>
      </c>
      <c r="Y2700">
        <v>6.5168779999999996E-2</v>
      </c>
      <c r="Z2700">
        <v>-6.1472350000000002E-4</v>
      </c>
      <c r="AA2700">
        <v>0.99787409999999999</v>
      </c>
      <c r="AB2700">
        <v>24</v>
      </c>
      <c r="AC2700">
        <v>49.059800000000003</v>
      </c>
      <c r="AD2700">
        <v>-1.1102333468400001</v>
      </c>
      <c r="AE2700">
        <v>-3.4796999999999998</v>
      </c>
      <c r="AF2700">
        <v>3.2202495728026301</v>
      </c>
      <c r="AG2700">
        <v>-1.1102333468400001</v>
      </c>
      <c r="AH2700">
        <v>49.0524100086758</v>
      </c>
      <c r="AI2700">
        <v>91.293805138758998</v>
      </c>
      <c r="AJ2700">
        <v>86.243969874495605</v>
      </c>
      <c r="AK2700">
        <v>49.170535415579998</v>
      </c>
      <c r="AL2700">
        <v>85.840971073116506</v>
      </c>
      <c r="AM2700">
        <v>91.166258148834203</v>
      </c>
      <c r="AN2700">
        <v>1.0000000178749999</v>
      </c>
    </row>
    <row r="2701" spans="1:40" x14ac:dyDescent="0.25">
      <c r="A2701" t="str">
        <f>"20190312151323226"</f>
        <v>20190312151323226</v>
      </c>
      <c r="B2701" t="str">
        <f>"1552374803222713"</f>
        <v>1552374803222713</v>
      </c>
      <c r="C2701" t="s">
        <v>40</v>
      </c>
      <c r="D2701">
        <v>4.4956769999999997</v>
      </c>
      <c r="E2701">
        <v>0.53399090000000005</v>
      </c>
      <c r="F2701" t="s">
        <v>55</v>
      </c>
      <c r="G2701">
        <v>-408.37990000000002</v>
      </c>
      <c r="H2701">
        <v>3.8133519999999997E-2</v>
      </c>
      <c r="I2701">
        <v>209.11359999999999</v>
      </c>
      <c r="J2701">
        <v>-457.45499999999998</v>
      </c>
      <c r="K2701">
        <v>1.1101369999999999</v>
      </c>
      <c r="L2701">
        <v>212.7961</v>
      </c>
      <c r="M2701">
        <v>0.99993509999999997</v>
      </c>
      <c r="N2701">
        <v>0</v>
      </c>
      <c r="O2701">
        <v>-4.9582180000000003E-3</v>
      </c>
      <c r="P2701">
        <v>0.99786529999999996</v>
      </c>
      <c r="Q2701">
        <v>6.4448809999999995E-2</v>
      </c>
      <c r="R2701">
        <v>1.05506E-2</v>
      </c>
      <c r="S2701">
        <v>3.0136409999999998</v>
      </c>
      <c r="T2701">
        <v>-6.5512420000000002E-2</v>
      </c>
      <c r="U2701">
        <v>-0.22508239999999999</v>
      </c>
      <c r="V2701">
        <v>-1.552304E-2</v>
      </c>
      <c r="W2701">
        <v>7.4676850000000003E-2</v>
      </c>
      <c r="X2701">
        <v>0.9970869</v>
      </c>
      <c r="Y2701">
        <v>6.9519639999999994E-2</v>
      </c>
      <c r="Z2701">
        <v>-6.4686840000000002E-4</v>
      </c>
      <c r="AA2701">
        <v>0.99758029999999998</v>
      </c>
      <c r="AB2701">
        <v>25</v>
      </c>
      <c r="AC2701">
        <v>49.0750999999999</v>
      </c>
      <c r="AD2701">
        <v>-1.07200348</v>
      </c>
      <c r="AE2701">
        <v>-3.6825000000000001</v>
      </c>
      <c r="AF2701">
        <v>3.43748581506595</v>
      </c>
      <c r="AG2701">
        <v>-1.07200348</v>
      </c>
      <c r="AH2701">
        <v>49.069473091024797</v>
      </c>
      <c r="AI2701">
        <v>91.248462928799498</v>
      </c>
      <c r="AJ2701">
        <v>85.992779619216194</v>
      </c>
      <c r="AK2701">
        <v>49.201409427177197</v>
      </c>
      <c r="AL2701">
        <v>85.717344643733895</v>
      </c>
      <c r="AM2701">
        <v>90.891931115755696</v>
      </c>
      <c r="AN2701">
        <v>0.99999994142418502</v>
      </c>
    </row>
    <row r="2702" spans="1:40" x14ac:dyDescent="0.25">
      <c r="A2702" t="str">
        <f>"20190312151323246"</f>
        <v>20190312151323246</v>
      </c>
      <c r="B2702" t="str">
        <f>"1552374803242740"</f>
        <v>1552374803242740</v>
      </c>
      <c r="C2702" t="s">
        <v>40</v>
      </c>
      <c r="D2702">
        <v>4.520035</v>
      </c>
      <c r="E2702">
        <v>0.53382559999999901</v>
      </c>
      <c r="F2702" t="s">
        <v>55</v>
      </c>
      <c r="G2702">
        <v>-408.62139999999999</v>
      </c>
      <c r="H2702">
        <v>6.0181080000000003E-3</v>
      </c>
      <c r="I2702">
        <v>208.9796</v>
      </c>
      <c r="J2702">
        <v>-457.22890000000001</v>
      </c>
      <c r="K2702">
        <v>1.1100429999999999</v>
      </c>
      <c r="L2702">
        <v>212.79519999999999</v>
      </c>
      <c r="M2702">
        <v>0.99993580000000004</v>
      </c>
      <c r="N2702">
        <v>0</v>
      </c>
      <c r="O2702">
        <v>-4.8161970000000004E-3</v>
      </c>
      <c r="P2702">
        <v>0.99773020000000001</v>
      </c>
      <c r="Q2702">
        <v>6.7039719999999997E-2</v>
      </c>
      <c r="R2702">
        <v>6.3567399999999996E-3</v>
      </c>
      <c r="S2702">
        <v>3.0133670000000001</v>
      </c>
      <c r="T2702">
        <v>-6.8131689999999995E-2</v>
      </c>
      <c r="U2702">
        <v>-0.2355042</v>
      </c>
      <c r="V2702">
        <v>-1.116843E-2</v>
      </c>
      <c r="W2702">
        <v>7.7273350000000005E-2</v>
      </c>
      <c r="X2702">
        <v>0.99694740000000004</v>
      </c>
      <c r="Y2702">
        <v>7.3095530000000006E-2</v>
      </c>
      <c r="Z2702">
        <v>-7.1626160000000003E-4</v>
      </c>
      <c r="AA2702">
        <v>0.99732469999999995</v>
      </c>
      <c r="AB2702">
        <v>25</v>
      </c>
      <c r="AC2702">
        <v>48.607500000000002</v>
      </c>
      <c r="AD2702">
        <v>-1.104024892</v>
      </c>
      <c r="AE2702">
        <v>-3.8155999999999799</v>
      </c>
      <c r="AF2702">
        <v>3.5796047840586902</v>
      </c>
      <c r="AG2702">
        <v>-1.104024892</v>
      </c>
      <c r="AH2702">
        <v>48.600395274383303</v>
      </c>
      <c r="AI2702">
        <v>91.297814425839803</v>
      </c>
      <c r="AJ2702">
        <v>85.787553305398603</v>
      </c>
      <c r="AK2702">
        <v>48.744546999623601</v>
      </c>
      <c r="AL2702">
        <v>85.568145181642393</v>
      </c>
      <c r="AM2702">
        <v>90.641836405545305</v>
      </c>
      <c r="AN2702">
        <v>1.00000001140782</v>
      </c>
    </row>
    <row r="2703" spans="1:40" x14ac:dyDescent="0.25">
      <c r="A2703" t="str">
        <f>"20190312151323269"</f>
        <v>20190312151323269</v>
      </c>
      <c r="B2703" t="str">
        <f>"1552374803263236"</f>
        <v>1552374803263236</v>
      </c>
      <c r="C2703" t="s">
        <v>40</v>
      </c>
      <c r="D2703">
        <v>4.4253770000000001</v>
      </c>
      <c r="E2703">
        <v>0.53362609999999999</v>
      </c>
      <c r="F2703" t="s">
        <v>55</v>
      </c>
      <c r="G2703">
        <v>-406.74360000000001</v>
      </c>
      <c r="H2703">
        <v>8.0001210000000003E-2</v>
      </c>
      <c r="I2703">
        <v>208.65440000000001</v>
      </c>
      <c r="J2703">
        <v>-456.98129999999998</v>
      </c>
      <c r="K2703">
        <v>1.10997099999999</v>
      </c>
      <c r="L2703">
        <v>212.79409999999999</v>
      </c>
      <c r="M2703">
        <v>0.99993600000000005</v>
      </c>
      <c r="N2703">
        <v>0</v>
      </c>
      <c r="O2703">
        <v>-4.7672019999999999E-3</v>
      </c>
      <c r="P2703">
        <v>0.99754600000000004</v>
      </c>
      <c r="Q2703">
        <v>6.9998649999999996E-2</v>
      </c>
      <c r="R2703">
        <v>1.4524830000000001E-3</v>
      </c>
      <c r="S2703">
        <v>3.0125120000000001</v>
      </c>
      <c r="T2703">
        <v>-6.1463709999999998E-2</v>
      </c>
      <c r="U2703">
        <v>-0.24708559999999999</v>
      </c>
      <c r="V2703">
        <v>-6.1986460000000004E-3</v>
      </c>
      <c r="W2703">
        <v>8.0235760000000003E-2</v>
      </c>
      <c r="X2703">
        <v>0.99675659999999999</v>
      </c>
      <c r="Y2703">
        <v>7.697793E-2</v>
      </c>
      <c r="Z2703">
        <v>-6.8679429999999903E-4</v>
      </c>
      <c r="AA2703">
        <v>0.99703260000000005</v>
      </c>
      <c r="AB2703">
        <v>25</v>
      </c>
      <c r="AC2703">
        <v>50.237699999999897</v>
      </c>
      <c r="AD2703">
        <v>-1.02996978999999</v>
      </c>
      <c r="AE2703">
        <v>-4.1396999999999702</v>
      </c>
      <c r="AF2703">
        <v>3.8985194747534102</v>
      </c>
      <c r="AG2703">
        <v>-1.02996978999999</v>
      </c>
      <c r="AH2703">
        <v>50.235891707923201</v>
      </c>
      <c r="AI2703">
        <v>91.171031817701305</v>
      </c>
      <c r="AJ2703">
        <v>85.562497028511501</v>
      </c>
      <c r="AK2703">
        <v>50.397461320522197</v>
      </c>
      <c r="AL2703">
        <v>85.397882463729502</v>
      </c>
      <c r="AM2703">
        <v>90.356307323375404</v>
      </c>
      <c r="AN2703">
        <v>0.99999996001928404</v>
      </c>
    </row>
    <row r="2704" spans="1:40" x14ac:dyDescent="0.25">
      <c r="A2704" t="str">
        <f>"20190312151323292"</f>
        <v>20190312151323292</v>
      </c>
      <c r="B2704" t="str">
        <f>"1552374803282756"</f>
        <v>1552374803282756</v>
      </c>
      <c r="C2704" t="s">
        <v>40</v>
      </c>
      <c r="D2704">
        <v>4.4303019999999904</v>
      </c>
      <c r="E2704">
        <v>0.53369609999999901</v>
      </c>
      <c r="F2704" t="s">
        <v>55</v>
      </c>
      <c r="G2704">
        <v>-404.16120000000001</v>
      </c>
      <c r="H2704">
        <v>8.0001230000000007E-2</v>
      </c>
      <c r="I2704">
        <v>208.23339999999999</v>
      </c>
      <c r="J2704">
        <v>-456.72590000000002</v>
      </c>
      <c r="K2704">
        <v>1.109915</v>
      </c>
      <c r="L2704">
        <v>212.7928</v>
      </c>
      <c r="M2704">
        <v>0.99993569999999998</v>
      </c>
      <c r="N2704">
        <v>0</v>
      </c>
      <c r="O2704">
        <v>-4.8316970000000002E-3</v>
      </c>
      <c r="P2704">
        <v>0.99737909999999996</v>
      </c>
      <c r="Q2704">
        <v>7.2245859999999995E-2</v>
      </c>
      <c r="R2704">
        <v>-3.9980570000000002E-3</v>
      </c>
      <c r="S2704">
        <v>3.0118710000000002</v>
      </c>
      <c r="T2704">
        <v>-5.8730240000000003E-2</v>
      </c>
      <c r="U2704">
        <v>-0.26005549999999999</v>
      </c>
      <c r="V2704">
        <v>-7.9818239999999996E-4</v>
      </c>
      <c r="W2704">
        <v>8.2484680000000005E-2</v>
      </c>
      <c r="X2704">
        <v>0.99659200000000003</v>
      </c>
      <c r="Y2704">
        <v>8.1193979999999999E-2</v>
      </c>
      <c r="Z2704">
        <v>-6.9604770000000001E-4</v>
      </c>
      <c r="AA2704">
        <v>0.99669810000000003</v>
      </c>
      <c r="AB2704">
        <v>25</v>
      </c>
      <c r="AC2704">
        <v>52.564700000000002</v>
      </c>
      <c r="AD2704">
        <v>-1.0299137700000001</v>
      </c>
      <c r="AE2704">
        <v>-4.5594000000000099</v>
      </c>
      <c r="AF2704">
        <v>4.3037168626316697</v>
      </c>
      <c r="AG2704">
        <v>-1.0299137700000001</v>
      </c>
      <c r="AH2704">
        <v>52.566087953656101</v>
      </c>
      <c r="AI2704">
        <v>91.118695633664501</v>
      </c>
      <c r="AJ2704">
        <v>85.319490835108198</v>
      </c>
      <c r="AK2704">
        <v>52.752026538881303</v>
      </c>
      <c r="AL2704">
        <v>85.268600332661705</v>
      </c>
      <c r="AM2704">
        <v>90.045888862265699</v>
      </c>
      <c r="AN2704">
        <v>0.99999998699692205</v>
      </c>
    </row>
    <row r="2705" spans="1:40" x14ac:dyDescent="0.25">
      <c r="A2705" t="str">
        <f>"20190312151323315"</f>
        <v>20190312151323315</v>
      </c>
      <c r="B2705" t="str">
        <f>"1552374803303252"</f>
        <v>1552374803303252</v>
      </c>
      <c r="C2705" t="s">
        <v>40</v>
      </c>
      <c r="D2705">
        <v>4.6937740000000003</v>
      </c>
      <c r="E2705">
        <v>0.53337409999999996</v>
      </c>
      <c r="F2705" t="s">
        <v>54</v>
      </c>
      <c r="G2705">
        <v>-398.1651</v>
      </c>
      <c r="H2705">
        <v>8.000053E-2</v>
      </c>
      <c r="I2705">
        <v>207.4023</v>
      </c>
      <c r="J2705">
        <v>-456.47460000000001</v>
      </c>
      <c r="K2705">
        <v>1.1098699999999999</v>
      </c>
      <c r="L2705">
        <v>212.79140000000001</v>
      </c>
      <c r="M2705">
        <v>0.99993480000000001</v>
      </c>
      <c r="N2705">
        <v>0</v>
      </c>
      <c r="O2705">
        <v>-5.0131400000000001E-3</v>
      </c>
      <c r="P2705">
        <v>0.99720679999999995</v>
      </c>
      <c r="Q2705">
        <v>7.4248610000000007E-2</v>
      </c>
      <c r="R2705">
        <v>-8.1260669999999903E-3</v>
      </c>
      <c r="S2705">
        <v>3.0106199999999999</v>
      </c>
      <c r="T2705">
        <v>-5.2948120000000001E-2</v>
      </c>
      <c r="U2705">
        <v>-0.27713009999999999</v>
      </c>
      <c r="V2705">
        <v>3.1612110000000001E-3</v>
      </c>
      <c r="W2705">
        <v>8.4487999999999994E-2</v>
      </c>
      <c r="X2705">
        <v>0.99641950000000001</v>
      </c>
      <c r="Y2705">
        <v>8.6657349999999994E-2</v>
      </c>
      <c r="Z2705">
        <v>-6.7238729999999998E-4</v>
      </c>
      <c r="AA2705">
        <v>0.99623790000000001</v>
      </c>
      <c r="AB2705">
        <v>25</v>
      </c>
      <c r="AC2705">
        <v>58.3095</v>
      </c>
      <c r="AD2705">
        <v>-1.02986947</v>
      </c>
      <c r="AE2705">
        <v>-5.3891000000000098</v>
      </c>
      <c r="AF2705">
        <v>5.09512723510539</v>
      </c>
      <c r="AG2705">
        <v>-1.02986947</v>
      </c>
      <c r="AH2705">
        <v>58.317746776160703</v>
      </c>
      <c r="AI2705">
        <v>91.007878173357796</v>
      </c>
      <c r="AJ2705">
        <v>85.006839289602794</v>
      </c>
      <c r="AK2705">
        <v>58.5489585023983</v>
      </c>
      <c r="AL2705">
        <v>85.153416563441994</v>
      </c>
      <c r="AM2705">
        <v>89.818225716406999</v>
      </c>
      <c r="AN2705">
        <v>1.00000001768961</v>
      </c>
    </row>
    <row r="2706" spans="1:40" x14ac:dyDescent="0.25">
      <c r="A2706" t="str">
        <f>"20190312151323336"</f>
        <v>20190312151323336</v>
      </c>
      <c r="B2706" t="str">
        <f>"1552374803333039"</f>
        <v>1552374803333039</v>
      </c>
      <c r="C2706" t="s">
        <v>40</v>
      </c>
      <c r="D2706">
        <v>4.5525270000000004</v>
      </c>
      <c r="E2706">
        <v>0.53763219999999901</v>
      </c>
      <c r="F2706" t="s">
        <v>54</v>
      </c>
      <c r="G2706">
        <v>-385.8759</v>
      </c>
      <c r="H2706">
        <v>8.0001569999999994E-2</v>
      </c>
      <c r="I2706">
        <v>206.05799999999999</v>
      </c>
      <c r="J2706">
        <v>-456.23489999999998</v>
      </c>
      <c r="K2706">
        <v>1.1098209999999999</v>
      </c>
      <c r="L2706">
        <v>212.79</v>
      </c>
      <c r="M2706">
        <v>0.99993339999999997</v>
      </c>
      <c r="N2706">
        <v>0</v>
      </c>
      <c r="O2706">
        <v>-5.2881600000000001E-3</v>
      </c>
      <c r="P2706">
        <v>0.99702619999999997</v>
      </c>
      <c r="Q2706">
        <v>7.6075329999999997E-2</v>
      </c>
      <c r="R2706">
        <v>-1.2319460000000001E-2</v>
      </c>
      <c r="S2706">
        <v>3.0093380000000001</v>
      </c>
      <c r="T2706">
        <v>-4.3899180000000003E-2</v>
      </c>
      <c r="U2706">
        <v>-0.28701779999999999</v>
      </c>
      <c r="V2706">
        <v>7.0933109999999997E-3</v>
      </c>
      <c r="W2706">
        <v>8.6312849999999997E-2</v>
      </c>
      <c r="X2706">
        <v>0.99624279999999998</v>
      </c>
      <c r="Y2706">
        <v>8.9670100000000003E-2</v>
      </c>
      <c r="Z2706">
        <v>-5.7556079999999997E-4</v>
      </c>
      <c r="AA2706">
        <v>0.99597139999999995</v>
      </c>
      <c r="AB2706">
        <v>25</v>
      </c>
      <c r="AC2706">
        <v>70.358999999999895</v>
      </c>
      <c r="AD2706">
        <v>-1.0298194300000001</v>
      </c>
      <c r="AE2706">
        <v>-6.7319999999999904</v>
      </c>
      <c r="AF2706">
        <v>6.3584668078764901</v>
      </c>
      <c r="AG2706">
        <v>-1.0298194300000001</v>
      </c>
      <c r="AH2706">
        <v>70.378677338784399</v>
      </c>
      <c r="AI2706">
        <v>90.834923344304897</v>
      </c>
      <c r="AJ2706">
        <v>84.837542875775995</v>
      </c>
      <c r="AK2706">
        <v>70.672829660075195</v>
      </c>
      <c r="AL2706">
        <v>85.048476734912001</v>
      </c>
      <c r="AM2706">
        <v>89.592057362445104</v>
      </c>
      <c r="AN2706">
        <v>0.99999996984395201</v>
      </c>
    </row>
    <row r="2707" spans="1:40" x14ac:dyDescent="0.25">
      <c r="A2707" t="str">
        <f>"20190312151323358"</f>
        <v>20190312151323358</v>
      </c>
      <c r="B2707" t="str">
        <f>"1552374803352559"</f>
        <v>1552374803352559</v>
      </c>
      <c r="C2707" t="s">
        <v>40</v>
      </c>
      <c r="D2707">
        <v>4.4966049999999997</v>
      </c>
      <c r="E2707">
        <v>0.54057709999999903</v>
      </c>
      <c r="F2707" t="s">
        <v>55</v>
      </c>
      <c r="G2707">
        <v>-430.86419999999998</v>
      </c>
      <c r="H2707" s="1">
        <v>3.0044699999999998E-6</v>
      </c>
      <c r="I2707">
        <v>209.99209999999999</v>
      </c>
      <c r="J2707">
        <v>-455.9939</v>
      </c>
      <c r="K2707">
        <v>1.1097589999999999</v>
      </c>
      <c r="L2707">
        <v>212.78829999999999</v>
      </c>
      <c r="M2707">
        <v>0.99993129999999997</v>
      </c>
      <c r="N2707">
        <v>0</v>
      </c>
      <c r="O2707">
        <v>-5.6520549999999996E-3</v>
      </c>
      <c r="P2707">
        <v>0.99685630000000003</v>
      </c>
      <c r="Q2707">
        <v>7.7581259999999999E-2</v>
      </c>
      <c r="R2707">
        <v>-1.608656E-2</v>
      </c>
      <c r="S2707">
        <v>3.014923</v>
      </c>
      <c r="T2707">
        <v>-0.1318848</v>
      </c>
      <c r="U2707">
        <v>-0.33248899999999998</v>
      </c>
      <c r="V2707">
        <v>1.0512280000000001E-2</v>
      </c>
      <c r="W2707">
        <v>8.7812020000000005E-2</v>
      </c>
      <c r="X2707">
        <v>0.99608160000000001</v>
      </c>
      <c r="Y2707">
        <v>0.1039037</v>
      </c>
      <c r="Z2707">
        <v>-2.0182680000000001E-3</v>
      </c>
      <c r="AA2707">
        <v>0.99458530000000001</v>
      </c>
      <c r="AB2707">
        <v>25</v>
      </c>
      <c r="AC2707">
        <v>25.1297</v>
      </c>
      <c r="AD2707">
        <v>-1.10975599552999</v>
      </c>
      <c r="AE2707">
        <v>-2.79619999999999</v>
      </c>
      <c r="AF2707">
        <v>2.6490104611281602</v>
      </c>
      <c r="AG2707">
        <v>-1.10975599552999</v>
      </c>
      <c r="AH2707">
        <v>25.096758403965499</v>
      </c>
      <c r="AI2707">
        <v>92.517948765789498</v>
      </c>
      <c r="AJ2707">
        <v>83.974632294801197</v>
      </c>
      <c r="AK2707">
        <v>25.2605640708951</v>
      </c>
      <c r="AL2707">
        <v>84.962253391677905</v>
      </c>
      <c r="AM2707">
        <v>89.395343798155196</v>
      </c>
      <c r="AN2707">
        <v>1.00000000637291</v>
      </c>
    </row>
    <row r="2708" spans="1:40" x14ac:dyDescent="0.25">
      <c r="A2708" t="str">
        <f>"20190312151323380"</f>
        <v>20190312151323380</v>
      </c>
      <c r="B2708" t="str">
        <f>"1552374803373055"</f>
        <v>1552374803373055</v>
      </c>
      <c r="C2708" t="s">
        <v>40</v>
      </c>
      <c r="D2708">
        <v>4.5000910000000003</v>
      </c>
      <c r="E2708">
        <v>0.54124989999999995</v>
      </c>
      <c r="F2708" t="s">
        <v>55</v>
      </c>
      <c r="G2708">
        <v>-430.61829999999998</v>
      </c>
      <c r="H2708" s="1">
        <v>2.9212379999999999E-6</v>
      </c>
      <c r="I2708">
        <v>209.69710000000001</v>
      </c>
      <c r="J2708">
        <v>-455.74329999999998</v>
      </c>
      <c r="K2708">
        <v>1.109693</v>
      </c>
      <c r="L2708">
        <v>212.78639999999999</v>
      </c>
      <c r="M2708">
        <v>0.9999285</v>
      </c>
      <c r="N2708">
        <v>0</v>
      </c>
      <c r="O2708">
        <v>-6.1083800000000001E-3</v>
      </c>
      <c r="P2708">
        <v>0.99670610000000004</v>
      </c>
      <c r="Q2708">
        <v>7.8629569999999996E-2</v>
      </c>
      <c r="R2708">
        <v>-1.9856240000000001E-2</v>
      </c>
      <c r="S2708">
        <v>3.0138240000000001</v>
      </c>
      <c r="T2708">
        <v>-0.13180449999999999</v>
      </c>
      <c r="U2708">
        <v>-0.36714170000000002</v>
      </c>
      <c r="V2708">
        <v>1.3842449999999999E-2</v>
      </c>
      <c r="W2708">
        <v>8.8849839999999999E-2</v>
      </c>
      <c r="X2708">
        <v>0.99594890000000003</v>
      </c>
      <c r="Y2708">
        <v>0.11475680000000001</v>
      </c>
      <c r="Z2708">
        <v>-2.2329060000000002E-3</v>
      </c>
      <c r="AA2708">
        <v>0.99339109999999997</v>
      </c>
      <c r="AB2708">
        <v>25</v>
      </c>
      <c r="AC2708">
        <v>25.125</v>
      </c>
      <c r="AD2708">
        <v>-1.1096900787620001</v>
      </c>
      <c r="AE2708">
        <v>-3.08929999999997</v>
      </c>
      <c r="AF2708">
        <v>2.9301305126128701</v>
      </c>
      <c r="AG2708">
        <v>-1.1096900787620001</v>
      </c>
      <c r="AH2708">
        <v>25.095178648789702</v>
      </c>
      <c r="AI2708">
        <v>92.514864764249097</v>
      </c>
      <c r="AJ2708">
        <v>83.340259901054793</v>
      </c>
      <c r="AK2708">
        <v>25.290019144052099</v>
      </c>
      <c r="AL2708">
        <v>84.9025576138161</v>
      </c>
      <c r="AM2708">
        <v>89.203711255663407</v>
      </c>
      <c r="AN2708">
        <v>1.00000005945061</v>
      </c>
    </row>
    <row r="2709" spans="1:40" x14ac:dyDescent="0.25">
      <c r="A2709" t="str">
        <f>"20190312151323405"</f>
        <v>20190312151323405</v>
      </c>
      <c r="B2709" t="str">
        <f>"1552374803392575"</f>
        <v>1552374803392575</v>
      </c>
      <c r="C2709" t="s">
        <v>40</v>
      </c>
      <c r="D2709">
        <v>4.7010940000000003</v>
      </c>
      <c r="E2709">
        <v>0.54142080000000004</v>
      </c>
      <c r="F2709" t="s">
        <v>55</v>
      </c>
      <c r="G2709">
        <v>-431.19</v>
      </c>
      <c r="H2709" s="1">
        <v>3.1781180000000002E-6</v>
      </c>
      <c r="I2709">
        <v>209.65880000000001</v>
      </c>
      <c r="J2709">
        <v>-455.47590000000002</v>
      </c>
      <c r="K2709">
        <v>1.109631</v>
      </c>
      <c r="L2709">
        <v>212.7842</v>
      </c>
      <c r="M2709">
        <v>0.99992510000000001</v>
      </c>
      <c r="N2709">
        <v>0</v>
      </c>
      <c r="O2709">
        <v>-6.6711130000000002E-3</v>
      </c>
      <c r="P2709">
        <v>0.99658069999999999</v>
      </c>
      <c r="Q2709">
        <v>7.9223569999999993E-2</v>
      </c>
      <c r="R2709">
        <v>-2.3469340000000002E-2</v>
      </c>
      <c r="S2709">
        <v>3.0130309999999998</v>
      </c>
      <c r="T2709">
        <v>-0.1361743</v>
      </c>
      <c r="U2709">
        <v>-0.38380429999999999</v>
      </c>
      <c r="V2709">
        <v>1.6909219999999999E-2</v>
      </c>
      <c r="W2709">
        <v>8.9431159999999996E-2</v>
      </c>
      <c r="X2709">
        <v>0.9958494</v>
      </c>
      <c r="Y2709">
        <v>0.1196262</v>
      </c>
      <c r="Z2709">
        <v>-2.3909059999999999E-3</v>
      </c>
      <c r="AA2709">
        <v>0.99281620000000004</v>
      </c>
      <c r="AB2709">
        <v>25</v>
      </c>
      <c r="AC2709">
        <v>24.285900000000002</v>
      </c>
      <c r="AD2709">
        <v>-1.1096278218819999</v>
      </c>
      <c r="AE2709">
        <v>-3.12539999999998</v>
      </c>
      <c r="AF2709">
        <v>2.9572350010105901</v>
      </c>
      <c r="AG2709">
        <v>-1.1096278218819999</v>
      </c>
      <c r="AH2709">
        <v>24.256397963637301</v>
      </c>
      <c r="AI2709">
        <v>92.5999896316453</v>
      </c>
      <c r="AJ2709">
        <v>83.049049549085794</v>
      </c>
      <c r="AK2709">
        <v>24.4611805709505</v>
      </c>
      <c r="AL2709">
        <v>84.869116698525403</v>
      </c>
      <c r="AM2709">
        <v>89.027228565444801</v>
      </c>
      <c r="AN2709">
        <v>0.99999994079015497</v>
      </c>
    </row>
    <row r="2710" spans="1:40" x14ac:dyDescent="0.25">
      <c r="A2710" t="str">
        <f>"20190312151323428"</f>
        <v>20190312151323428</v>
      </c>
      <c r="B2710" t="str">
        <f>"1552374803422830"</f>
        <v>1552374803422830</v>
      </c>
      <c r="C2710" t="s">
        <v>40</v>
      </c>
      <c r="D2710">
        <v>4.5011039999999998</v>
      </c>
      <c r="E2710">
        <v>0.54144510000000001</v>
      </c>
      <c r="F2710" t="s">
        <v>55</v>
      </c>
      <c r="G2710">
        <v>-433.0926</v>
      </c>
      <c r="H2710" s="1">
        <v>4.005599E-6</v>
      </c>
      <c r="I2710">
        <v>209.8443</v>
      </c>
      <c r="J2710">
        <v>-455.23039999999997</v>
      </c>
      <c r="K2710">
        <v>1.1095900000000001</v>
      </c>
      <c r="L2710">
        <v>212.78190000000001</v>
      </c>
      <c r="M2710">
        <v>0.99992110000000001</v>
      </c>
      <c r="N2710">
        <v>0</v>
      </c>
      <c r="O2710">
        <v>-7.2499940000000001E-3</v>
      </c>
      <c r="P2710">
        <v>0.99642609999999998</v>
      </c>
      <c r="Q2710">
        <v>7.9945150000000006E-2</v>
      </c>
      <c r="R2710">
        <v>-2.7275979999999998E-2</v>
      </c>
      <c r="S2710">
        <v>3.0128170000000001</v>
      </c>
      <c r="T2710">
        <v>-0.14935670000000001</v>
      </c>
      <c r="U2710">
        <v>-0.39570620000000001</v>
      </c>
      <c r="V2710">
        <v>2.01491E-2</v>
      </c>
      <c r="W2710">
        <v>9.013736E-2</v>
      </c>
      <c r="X2710">
        <v>0.99572550000000004</v>
      </c>
      <c r="Y2710">
        <v>0.122890899999999</v>
      </c>
      <c r="Z2710">
        <v>-2.6735909999999999E-3</v>
      </c>
      <c r="AA2710">
        <v>0.99241659999999998</v>
      </c>
      <c r="AB2710">
        <v>25</v>
      </c>
      <c r="AC2710">
        <v>22.137799999999899</v>
      </c>
      <c r="AD2710">
        <v>-1.10958599440099</v>
      </c>
      <c r="AE2710">
        <v>-2.9376000000000002</v>
      </c>
      <c r="AF2710">
        <v>2.7701766254072</v>
      </c>
      <c r="AG2710">
        <v>-1.10958599440099</v>
      </c>
      <c r="AH2710">
        <v>22.103948297079601</v>
      </c>
      <c r="AI2710">
        <v>92.851483702986897</v>
      </c>
      <c r="AJ2710">
        <v>82.856651509099294</v>
      </c>
      <c r="AK2710">
        <v>22.304474661710699</v>
      </c>
      <c r="AL2710">
        <v>84.828490645795895</v>
      </c>
      <c r="AM2710">
        <v>88.840743905773707</v>
      </c>
      <c r="AN2710">
        <v>1.0000000006244101</v>
      </c>
    </row>
    <row r="2711" spans="1:40" x14ac:dyDescent="0.25">
      <c r="A2711" t="str">
        <f>"20190312151323449"</f>
        <v>20190312151323449</v>
      </c>
      <c r="B2711" t="str">
        <f>"1552374803442858"</f>
        <v>1552374803442858</v>
      </c>
      <c r="C2711" t="s">
        <v>40</v>
      </c>
      <c r="D2711">
        <v>4.5573899999999998</v>
      </c>
      <c r="E2711">
        <v>0.54145089999999996</v>
      </c>
      <c r="F2711" t="s">
        <v>55</v>
      </c>
      <c r="G2711">
        <v>-433.16680000000002</v>
      </c>
      <c r="H2711" s="1">
        <v>4.0425769999999996E-6</v>
      </c>
      <c r="I2711">
        <v>209.79769999999999</v>
      </c>
      <c r="J2711">
        <v>-454.9787</v>
      </c>
      <c r="K2711">
        <v>1.1095729999999999</v>
      </c>
      <c r="L2711">
        <v>212.77930000000001</v>
      </c>
      <c r="M2711">
        <v>0.99991660000000004</v>
      </c>
      <c r="N2711">
        <v>0</v>
      </c>
      <c r="O2711">
        <v>-7.8885710000000005E-3</v>
      </c>
      <c r="P2711">
        <v>0.99620850000000005</v>
      </c>
      <c r="Q2711">
        <v>8.137366E-2</v>
      </c>
      <c r="R2711">
        <v>-3.077966E-2</v>
      </c>
      <c r="S2711">
        <v>3.0117189999999998</v>
      </c>
      <c r="T2711">
        <v>-0.15145989999999901</v>
      </c>
      <c r="U2711">
        <v>-0.40734860000000001</v>
      </c>
      <c r="V2711">
        <v>2.3024409999999999E-2</v>
      </c>
      <c r="W2711">
        <v>9.1545810000000005E-2</v>
      </c>
      <c r="X2711">
        <v>0.99553469999999999</v>
      </c>
      <c r="Y2711">
        <v>0.1260655</v>
      </c>
      <c r="Z2711">
        <v>-2.7589590000000001E-3</v>
      </c>
      <c r="AA2711">
        <v>0.99201810000000001</v>
      </c>
      <c r="AB2711">
        <v>25</v>
      </c>
      <c r="AC2711">
        <v>21.811899999999898</v>
      </c>
      <c r="AD2711">
        <v>-1.1095689574230001</v>
      </c>
      <c r="AE2711">
        <v>-2.98160000000001</v>
      </c>
      <c r="AF2711">
        <v>2.8023148383321401</v>
      </c>
      <c r="AG2711">
        <v>-1.1095689574230001</v>
      </c>
      <c r="AH2711">
        <v>21.779417252011299</v>
      </c>
      <c r="AI2711">
        <v>92.892650276342806</v>
      </c>
      <c r="AJ2711">
        <v>82.668148232892307</v>
      </c>
      <c r="AK2711">
        <v>21.986976316938701</v>
      </c>
      <c r="AL2711">
        <v>84.7474576084403</v>
      </c>
      <c r="AM2711">
        <v>88.675117617552303</v>
      </c>
      <c r="AN2711">
        <v>1.00000004884424</v>
      </c>
    </row>
    <row r="2712" spans="1:40" x14ac:dyDescent="0.25">
      <c r="A2712" t="str">
        <f>"20190312151323470"</f>
        <v>20190312151323470</v>
      </c>
      <c r="B2712" t="str">
        <f>"1552374803462379"</f>
        <v>1552374803462379</v>
      </c>
      <c r="C2712" t="s">
        <v>40</v>
      </c>
      <c r="D2712">
        <v>4.550103</v>
      </c>
      <c r="E2712">
        <v>0.54140650000000001</v>
      </c>
      <c r="F2712" t="s">
        <v>55</v>
      </c>
      <c r="G2712">
        <v>-432.7697</v>
      </c>
      <c r="H2712" s="1">
        <v>3.8752690000000002E-6</v>
      </c>
      <c r="I2712">
        <v>209.69739999999999</v>
      </c>
      <c r="J2712">
        <v>-454.75119999999998</v>
      </c>
      <c r="K2712">
        <v>1.1095680000000001</v>
      </c>
      <c r="L2712">
        <v>212.77680000000001</v>
      </c>
      <c r="M2712">
        <v>0.99991180000000002</v>
      </c>
      <c r="N2712">
        <v>0</v>
      </c>
      <c r="O2712">
        <v>-8.4868879999999997E-3</v>
      </c>
      <c r="P2712">
        <v>0.99601260000000003</v>
      </c>
      <c r="Q2712">
        <v>8.2260970000000003E-2</v>
      </c>
      <c r="R2712">
        <v>-3.4525069999999998E-2</v>
      </c>
      <c r="S2712">
        <v>3.0108030000000001</v>
      </c>
      <c r="T2712">
        <v>-0.15042079999999999</v>
      </c>
      <c r="U2712">
        <v>-0.41780089999999998</v>
      </c>
      <c r="V2712">
        <v>2.6177969999999998E-2</v>
      </c>
      <c r="W2712">
        <v>9.2413289999999995E-2</v>
      </c>
      <c r="X2712">
        <v>0.99537659999999994</v>
      </c>
      <c r="Y2712">
        <v>0.12889120000000001</v>
      </c>
      <c r="Z2712">
        <v>-2.7807190000000001E-3</v>
      </c>
      <c r="AA2712">
        <v>0.99165490000000001</v>
      </c>
      <c r="AB2712">
        <v>25</v>
      </c>
      <c r="AC2712">
        <v>21.981499999999901</v>
      </c>
      <c r="AD2712">
        <v>-1.109564124731</v>
      </c>
      <c r="AE2712">
        <v>-3.0794000000000201</v>
      </c>
      <c r="AF2712">
        <v>2.8855141994675999</v>
      </c>
      <c r="AG2712">
        <v>-1.109564124731</v>
      </c>
      <c r="AH2712">
        <v>21.951988249602501</v>
      </c>
      <c r="AI2712">
        <v>92.868918017352797</v>
      </c>
      <c r="AJ2712">
        <v>82.511596433232299</v>
      </c>
      <c r="AK2712">
        <v>22.1686064707032</v>
      </c>
      <c r="AL2712">
        <v>84.697543021512701</v>
      </c>
      <c r="AM2712">
        <v>88.493493283698598</v>
      </c>
      <c r="AN2712">
        <v>1.0000000390547501</v>
      </c>
    </row>
    <row r="2713" spans="1:40" x14ac:dyDescent="0.25">
      <c r="A2713" t="str">
        <f>"20190312151323491"</f>
        <v>20190312151323491</v>
      </c>
      <c r="B2713" t="str">
        <f>"1552374803482875"</f>
        <v>1552374803482875</v>
      </c>
      <c r="C2713" t="s">
        <v>40</v>
      </c>
      <c r="D2713">
        <v>4.5131059999999996</v>
      </c>
      <c r="E2713">
        <v>0.54101390000000005</v>
      </c>
      <c r="F2713" t="s">
        <v>55</v>
      </c>
      <c r="G2713">
        <v>-432.9753</v>
      </c>
      <c r="H2713" s="1">
        <v>3.9682219999999997E-6</v>
      </c>
      <c r="I2713">
        <v>209.6771</v>
      </c>
      <c r="J2713">
        <v>-454.5061</v>
      </c>
      <c r="K2713">
        <v>1.1095649999999999</v>
      </c>
      <c r="L2713">
        <v>212.774</v>
      </c>
      <c r="M2713">
        <v>0.99990619999999997</v>
      </c>
      <c r="N2713">
        <v>0</v>
      </c>
      <c r="O2713">
        <v>-9.1414459999999993E-3</v>
      </c>
      <c r="P2713">
        <v>0.9958224</v>
      </c>
      <c r="Q2713">
        <v>8.3061070000000001E-2</v>
      </c>
      <c r="R2713">
        <v>-3.7928799999999999E-2</v>
      </c>
      <c r="S2713">
        <v>3.009827</v>
      </c>
      <c r="T2713">
        <v>-0.153362</v>
      </c>
      <c r="U2713">
        <v>-0.42843629999999999</v>
      </c>
      <c r="V2713">
        <v>2.8931800000000001E-2</v>
      </c>
      <c r="W2713">
        <v>9.3190029999999993E-2</v>
      </c>
      <c r="X2713">
        <v>0.99522790000000005</v>
      </c>
      <c r="Y2713">
        <v>0.13171289999999999</v>
      </c>
      <c r="Z2713">
        <v>-2.8735710000000001E-3</v>
      </c>
      <c r="AA2713">
        <v>0.99128369999999999</v>
      </c>
      <c r="AB2713">
        <v>25</v>
      </c>
      <c r="AC2713">
        <v>21.530799999999999</v>
      </c>
      <c r="AD2713">
        <v>-1.10956103177799</v>
      </c>
      <c r="AE2713">
        <v>-3.0969000000000002</v>
      </c>
      <c r="AF2713">
        <v>2.8924119680662299</v>
      </c>
      <c r="AG2713">
        <v>-1.10956103177799</v>
      </c>
      <c r="AH2713">
        <v>21.502265378722502</v>
      </c>
      <c r="AI2713">
        <v>92.927637638051195</v>
      </c>
      <c r="AJ2713">
        <v>82.338754130269393</v>
      </c>
      <c r="AK2713">
        <v>21.724285698113601</v>
      </c>
      <c r="AL2713">
        <v>84.652846014813505</v>
      </c>
      <c r="AM2713">
        <v>88.334850432597506</v>
      </c>
      <c r="AN2713">
        <v>1.00000000184052</v>
      </c>
    </row>
    <row r="2714" spans="1:40" x14ac:dyDescent="0.25">
      <c r="A2714" t="str">
        <f>"20190312151323537"</f>
        <v>20190312151323537</v>
      </c>
      <c r="B2714" t="str">
        <f>"1552374803533158"</f>
        <v>1552374803533158</v>
      </c>
      <c r="C2714" t="s">
        <v>40</v>
      </c>
      <c r="D2714">
        <v>4.4808779999999997</v>
      </c>
      <c r="E2714">
        <v>0.54062880000000002</v>
      </c>
      <c r="F2714" t="s">
        <v>55</v>
      </c>
      <c r="G2714">
        <v>-432.90989999999999</v>
      </c>
      <c r="H2714" s="1">
        <v>3.9419119999999998E-6</v>
      </c>
      <c r="I2714">
        <v>209.6464</v>
      </c>
      <c r="J2714">
        <v>-454.01150000000001</v>
      </c>
      <c r="K2714">
        <v>1.1095729999999999</v>
      </c>
      <c r="L2714">
        <v>212.7679</v>
      </c>
      <c r="M2714">
        <v>0.99989380000000005</v>
      </c>
      <c r="N2714">
        <v>0</v>
      </c>
      <c r="O2714">
        <v>-1.0451709999999999E-2</v>
      </c>
      <c r="P2714">
        <v>0.99545989999999995</v>
      </c>
      <c r="Q2714">
        <v>8.4200129999999998E-2</v>
      </c>
      <c r="R2714">
        <v>-4.4386299999999997E-2</v>
      </c>
      <c r="S2714">
        <v>3.0088810000000001</v>
      </c>
      <c r="T2714">
        <v>-0.15458920000000001</v>
      </c>
      <c r="U2714">
        <v>-0.4357605</v>
      </c>
      <c r="V2714">
        <v>3.4085900000000002E-2</v>
      </c>
      <c r="W2714">
        <v>9.4276230000000003E-2</v>
      </c>
      <c r="X2714">
        <v>0.99496240000000002</v>
      </c>
      <c r="Y2714">
        <v>0.1328193</v>
      </c>
      <c r="Z2714">
        <v>-2.858293E-3</v>
      </c>
      <c r="AA2714">
        <v>0.99113609999999996</v>
      </c>
      <c r="AB2714">
        <v>25</v>
      </c>
      <c r="AC2714">
        <v>21.101600000000001</v>
      </c>
      <c r="AD2714">
        <v>-1.109569058088</v>
      </c>
      <c r="AE2714">
        <v>-3.1214999999999899</v>
      </c>
      <c r="AF2714">
        <v>2.8929429173864998</v>
      </c>
      <c r="AG2714">
        <v>-1.109569058088</v>
      </c>
      <c r="AH2714">
        <v>21.0760488806776</v>
      </c>
      <c r="AI2714">
        <v>92.985666142789199</v>
      </c>
      <c r="AJ2714">
        <v>82.184301159695593</v>
      </c>
      <c r="AK2714">
        <v>21.302584318308298</v>
      </c>
      <c r="AL2714">
        <v>84.590336208424105</v>
      </c>
      <c r="AM2714">
        <v>88.037901015063696</v>
      </c>
      <c r="AN2714">
        <v>1.00000001676779</v>
      </c>
    </row>
    <row r="2715" spans="1:40" x14ac:dyDescent="0.25">
      <c r="A2715" t="str">
        <f>"20190312151323557"</f>
        <v>20190312151323557</v>
      </c>
      <c r="B2715" t="str">
        <f>"1552374803552678"</f>
        <v>1552374803552678</v>
      </c>
      <c r="C2715" t="s">
        <v>40</v>
      </c>
      <c r="D2715">
        <v>4.5018279999999997</v>
      </c>
      <c r="E2715">
        <v>0.54086990000000001</v>
      </c>
      <c r="F2715" t="s">
        <v>55</v>
      </c>
      <c r="G2715">
        <v>-432.72410000000002</v>
      </c>
      <c r="H2715" s="1">
        <v>3.8719810000000001E-6</v>
      </c>
      <c r="I2715">
        <v>209.56039999999999</v>
      </c>
      <c r="J2715">
        <v>-453.77339999999998</v>
      </c>
      <c r="K2715">
        <v>1.1095699999999999</v>
      </c>
      <c r="L2715">
        <v>212.7647</v>
      </c>
      <c r="M2715">
        <v>0.99988739999999998</v>
      </c>
      <c r="N2715">
        <v>0</v>
      </c>
      <c r="O2715">
        <v>-1.1069229999999999E-2</v>
      </c>
      <c r="P2715">
        <v>0.99531939999999997</v>
      </c>
      <c r="Q2715">
        <v>8.4273669999999995E-2</v>
      </c>
      <c r="R2715">
        <v>-4.7301950000000002E-2</v>
      </c>
      <c r="S2715">
        <v>3.0067140000000001</v>
      </c>
      <c r="T2715">
        <v>-0.1567202</v>
      </c>
      <c r="U2715">
        <v>-0.45303339999999998</v>
      </c>
      <c r="V2715">
        <v>3.6386839999999997E-2</v>
      </c>
      <c r="W2715">
        <v>9.4321810000000006E-2</v>
      </c>
      <c r="X2715">
        <v>0.9948766</v>
      </c>
      <c r="Y2715">
        <v>0.13786860000000001</v>
      </c>
      <c r="Z2715">
        <v>-2.9972940000000002E-3</v>
      </c>
      <c r="AA2715">
        <v>0.99044600000000005</v>
      </c>
      <c r="AB2715">
        <v>25</v>
      </c>
      <c r="AC2715">
        <v>21.049299999999899</v>
      </c>
      <c r="AD2715">
        <v>-1.1095661280189999</v>
      </c>
      <c r="AE2715">
        <v>-3.2043000000000101</v>
      </c>
      <c r="AF2715">
        <v>2.9630454195597999</v>
      </c>
      <c r="AG2715">
        <v>-1.1095661280189999</v>
      </c>
      <c r="AH2715">
        <v>21.026379879503999</v>
      </c>
      <c r="AI2715">
        <v>92.991207465221706</v>
      </c>
      <c r="AJ2715">
        <v>81.978676042639094</v>
      </c>
      <c r="AK2715">
        <v>21.263100102949</v>
      </c>
      <c r="AL2715">
        <v>84.587713036295497</v>
      </c>
      <c r="AM2715">
        <v>87.9053849416905</v>
      </c>
      <c r="AN2715">
        <v>1.0000000275972101</v>
      </c>
    </row>
    <row r="2716" spans="1:40" x14ac:dyDescent="0.25">
      <c r="A2716" t="str">
        <f>"20190312151323581"</f>
        <v>20190312151323581</v>
      </c>
      <c r="B2716" t="str">
        <f>"1552374803573173"</f>
        <v>1552374803573173</v>
      </c>
      <c r="C2716" t="s">
        <v>40</v>
      </c>
      <c r="D2716">
        <v>4.4768059999999998</v>
      </c>
      <c r="E2716">
        <v>0.5409448</v>
      </c>
      <c r="F2716" t="s">
        <v>55</v>
      </c>
      <c r="G2716">
        <v>-433.05439999999999</v>
      </c>
      <c r="H2716">
        <v>2.6632429999999999E-2</v>
      </c>
      <c r="I2716">
        <v>209.5641</v>
      </c>
      <c r="J2716">
        <v>-453.49880000000002</v>
      </c>
      <c r="K2716">
        <v>1.1095660000000001</v>
      </c>
      <c r="L2716">
        <v>212.76089999999999</v>
      </c>
      <c r="M2716">
        <v>0.99987969999999904</v>
      </c>
      <c r="N2716">
        <v>0</v>
      </c>
      <c r="O2716">
        <v>-1.177161E-2</v>
      </c>
      <c r="P2716">
        <v>0.99519139999999995</v>
      </c>
      <c r="Q2716">
        <v>8.4482920000000003E-2</v>
      </c>
      <c r="R2716">
        <v>-4.9565070000000003E-2</v>
      </c>
      <c r="S2716">
        <v>3.0053100000000001</v>
      </c>
      <c r="T2716">
        <v>-0.1570809</v>
      </c>
      <c r="U2716">
        <v>-0.46424870000000001</v>
      </c>
      <c r="V2716">
        <v>3.7951279999999997E-2</v>
      </c>
      <c r="W2716">
        <v>9.4498399999999996E-2</v>
      </c>
      <c r="X2716">
        <v>0.9948013</v>
      </c>
      <c r="Y2716">
        <v>0.14084849999999999</v>
      </c>
      <c r="Z2716">
        <v>-3.0456459999999999E-3</v>
      </c>
      <c r="AA2716">
        <v>0.99002650000000003</v>
      </c>
      <c r="AB2716">
        <v>25</v>
      </c>
      <c r="AC2716">
        <v>20.444400000000002</v>
      </c>
      <c r="AD2716">
        <v>-1.08293357</v>
      </c>
      <c r="AE2716">
        <v>-3.1967999999999899</v>
      </c>
      <c r="AF2716">
        <v>2.9478291144229098</v>
      </c>
      <c r="AG2716">
        <v>-1.08293357</v>
      </c>
      <c r="AH2716">
        <v>20.424677124403001</v>
      </c>
      <c r="AI2716">
        <v>93.003961078857998</v>
      </c>
      <c r="AJ2716">
        <v>81.787391365256696</v>
      </c>
      <c r="AK2716">
        <v>20.664701237641601</v>
      </c>
      <c r="AL2716">
        <v>84.577549286119094</v>
      </c>
      <c r="AM2716">
        <v>87.815247930021201</v>
      </c>
      <c r="AN2716">
        <v>0.99999993686894195</v>
      </c>
    </row>
    <row r="2717" spans="1:40" x14ac:dyDescent="0.25">
      <c r="A2717" t="str">
        <f>"20190312151323605"</f>
        <v>20190312151323605</v>
      </c>
      <c r="B2717" t="str">
        <f>"1552374803592693"</f>
        <v>1552374803592693</v>
      </c>
      <c r="C2717" t="s">
        <v>40</v>
      </c>
      <c r="D2717">
        <v>4.4683510000000002</v>
      </c>
      <c r="E2717">
        <v>0.54097410000000001</v>
      </c>
      <c r="F2717" t="s">
        <v>55</v>
      </c>
      <c r="G2717">
        <v>-433.1848</v>
      </c>
      <c r="H2717">
        <v>5.3722249999999999E-2</v>
      </c>
      <c r="I2717">
        <v>209.5702</v>
      </c>
      <c r="J2717">
        <v>-453.2321</v>
      </c>
      <c r="K2717">
        <v>1.1095619999999999</v>
      </c>
      <c r="L2717">
        <v>212.75700000000001</v>
      </c>
      <c r="M2717">
        <v>0.99987179999999998</v>
      </c>
      <c r="N2717">
        <v>0</v>
      </c>
      <c r="O2717">
        <v>-1.24472E-2</v>
      </c>
      <c r="P2717">
        <v>0.99511450000000001</v>
      </c>
      <c r="Q2717">
        <v>8.4529160000000006E-2</v>
      </c>
      <c r="R2717">
        <v>-5.1012219999999997E-2</v>
      </c>
      <c r="S2717">
        <v>3.0042420000000001</v>
      </c>
      <c r="T2717">
        <v>-0.15614879999999901</v>
      </c>
      <c r="U2717">
        <v>-0.47186280000000003</v>
      </c>
      <c r="V2717">
        <v>3.8725660000000002E-2</v>
      </c>
      <c r="W2717">
        <v>9.4515479999999999E-2</v>
      </c>
      <c r="X2717">
        <v>0.99476989999999998</v>
      </c>
      <c r="Y2717">
        <v>0.1426827</v>
      </c>
      <c r="Z2717">
        <v>-3.0405599999999999E-3</v>
      </c>
      <c r="AA2717">
        <v>0.98976379999999997</v>
      </c>
      <c r="AB2717">
        <v>25</v>
      </c>
      <c r="AC2717">
        <v>20.0473</v>
      </c>
      <c r="AD2717">
        <v>-1.0558397500000001</v>
      </c>
      <c r="AE2717">
        <v>-3.1867999999999999</v>
      </c>
      <c r="AF2717">
        <v>2.9290830750207801</v>
      </c>
      <c r="AG2717">
        <v>-1.0558397500000001</v>
      </c>
      <c r="AH2717">
        <v>20.0312212411141</v>
      </c>
      <c r="AI2717">
        <v>92.985559921758494</v>
      </c>
      <c r="AJ2717">
        <v>81.680833026891406</v>
      </c>
      <c r="AK2717">
        <v>20.2717574385773</v>
      </c>
      <c r="AL2717">
        <v>84.576566635876603</v>
      </c>
      <c r="AM2717">
        <v>87.770643209247496</v>
      </c>
      <c r="AN2717">
        <v>1.0000000033240299</v>
      </c>
    </row>
    <row r="2718" spans="1:40" x14ac:dyDescent="0.25">
      <c r="A2718" t="str">
        <f>"20190312151323648"</f>
        <v>20190312151323648</v>
      </c>
      <c r="B2718" t="str">
        <f>"1552374803643445"</f>
        <v>1552374803643445</v>
      </c>
      <c r="C2718" t="s">
        <v>40</v>
      </c>
      <c r="D2718">
        <v>4.4262220000000001</v>
      </c>
      <c r="E2718">
        <v>0.54081959999999996</v>
      </c>
      <c r="F2718" t="s">
        <v>55</v>
      </c>
      <c r="G2718">
        <v>-432.89800000000002</v>
      </c>
      <c r="H2718">
        <v>7.3783650000000006E-2</v>
      </c>
      <c r="I2718">
        <v>209.52850000000001</v>
      </c>
      <c r="J2718">
        <v>-452.75659999999999</v>
      </c>
      <c r="K2718">
        <v>1.1095619999999999</v>
      </c>
      <c r="L2718">
        <v>212.74959999999999</v>
      </c>
      <c r="M2718">
        <v>0.99985670000000004</v>
      </c>
      <c r="N2718">
        <v>0</v>
      </c>
      <c r="O2718">
        <v>-1.3643499999999999E-2</v>
      </c>
      <c r="P2718">
        <v>0.99499870000000001</v>
      </c>
      <c r="Q2718">
        <v>8.5076589999999994E-2</v>
      </c>
      <c r="R2718">
        <v>-5.2344069999999999E-2</v>
      </c>
      <c r="S2718">
        <v>3.0032649999999999</v>
      </c>
      <c r="T2718">
        <v>-0.15298059999999999</v>
      </c>
      <c r="U2718">
        <v>-0.47683720000000002</v>
      </c>
      <c r="V2718">
        <v>3.886775E-2</v>
      </c>
      <c r="W2718">
        <v>9.5016760000000006E-2</v>
      </c>
      <c r="X2718">
        <v>0.99471659999999995</v>
      </c>
      <c r="Y2718">
        <v>0.143155</v>
      </c>
      <c r="Z2718">
        <v>-2.9309819999999999E-3</v>
      </c>
      <c r="AA2718">
        <v>0.98969600000000002</v>
      </c>
      <c r="AB2718">
        <v>25</v>
      </c>
      <c r="AC2718">
        <v>19.8585999999999</v>
      </c>
      <c r="AD2718">
        <v>-1.03577835</v>
      </c>
      <c r="AE2718">
        <v>-3.2210999999999701</v>
      </c>
      <c r="AF2718">
        <v>2.9420473038382098</v>
      </c>
      <c r="AG2718">
        <v>-1.03577835</v>
      </c>
      <c r="AH2718">
        <v>19.8480896928621</v>
      </c>
      <c r="AI2718">
        <v>92.955058030582194</v>
      </c>
      <c r="AJ2718">
        <v>81.568540938459606</v>
      </c>
      <c r="AK2718">
        <v>20.091668511705301</v>
      </c>
      <c r="AL2718">
        <v>84.547715549435907</v>
      </c>
      <c r="AM2718">
        <v>87.762351906518106</v>
      </c>
      <c r="AN2718">
        <v>1.0000000004932501</v>
      </c>
    </row>
    <row r="2719" spans="1:40" x14ac:dyDescent="0.25">
      <c r="A2719" t="str">
        <f>"20190312151323669"</f>
        <v>20190312151323669</v>
      </c>
      <c r="B2719" t="str">
        <f>"1552374803662965"</f>
        <v>1552374803662965</v>
      </c>
      <c r="C2719" t="s">
        <v>40</v>
      </c>
      <c r="D2719">
        <v>4.4325999999999999</v>
      </c>
      <c r="E2719">
        <v>0.54076579999999996</v>
      </c>
      <c r="F2719" t="s">
        <v>55</v>
      </c>
      <c r="G2719">
        <v>-429.79880000000003</v>
      </c>
      <c r="H2719" s="1">
        <v>2.8045209999999902E-6</v>
      </c>
      <c r="I2719">
        <v>209.084</v>
      </c>
      <c r="J2719">
        <v>-452.50490000000002</v>
      </c>
      <c r="K2719">
        <v>1.1095619999999999</v>
      </c>
      <c r="L2719">
        <v>212.74539999999999</v>
      </c>
      <c r="M2719">
        <v>0.99984810000000002</v>
      </c>
      <c r="N2719">
        <v>0</v>
      </c>
      <c r="O2719">
        <v>-1.4275980000000001E-2</v>
      </c>
      <c r="P2719">
        <v>0.99498339999999996</v>
      </c>
      <c r="Q2719">
        <v>8.5438449999999999E-2</v>
      </c>
      <c r="R2719">
        <v>-5.204363E-2</v>
      </c>
      <c r="S2719">
        <v>3.0022579999999999</v>
      </c>
      <c r="T2719">
        <v>-0.14510039999999999</v>
      </c>
      <c r="U2719">
        <v>-0.47935489999999997</v>
      </c>
      <c r="V2719">
        <v>3.7938E-2</v>
      </c>
      <c r="W2719">
        <v>9.5352839999999994E-2</v>
      </c>
      <c r="X2719">
        <v>0.9947203</v>
      </c>
      <c r="Y2719">
        <v>0.1434066</v>
      </c>
      <c r="Z2719">
        <v>-2.7566180000000002E-3</v>
      </c>
      <c r="AA2719">
        <v>0.98965999999999998</v>
      </c>
      <c r="AB2719">
        <v>25</v>
      </c>
      <c r="AC2719">
        <v>22.7060999999999</v>
      </c>
      <c r="AD2719">
        <v>-1.1095591954790001</v>
      </c>
      <c r="AE2719">
        <v>-3.66139999999998</v>
      </c>
      <c r="AF2719">
        <v>3.3291106955871399</v>
      </c>
      <c r="AG2719">
        <v>-1.1095591954790001</v>
      </c>
      <c r="AH2719">
        <v>22.703219489801398</v>
      </c>
      <c r="AI2719">
        <v>92.768393823869403</v>
      </c>
      <c r="AJ2719">
        <v>81.657825028579197</v>
      </c>
      <c r="AK2719">
        <v>22.9728159970396</v>
      </c>
      <c r="AL2719">
        <v>84.528371564004502</v>
      </c>
      <c r="AM2719">
        <v>87.815834013331695</v>
      </c>
      <c r="AN2719">
        <v>0.99999996558607696</v>
      </c>
    </row>
    <row r="2720" spans="1:40" x14ac:dyDescent="0.25">
      <c r="A2720" t="str">
        <f>"20190312151323691"</f>
        <v>20190312151323691</v>
      </c>
      <c r="B2720" t="str">
        <f>"1552374803683461"</f>
        <v>1552374803683461</v>
      </c>
      <c r="C2720" t="s">
        <v>40</v>
      </c>
      <c r="D2720">
        <v>4.3714690000000003</v>
      </c>
      <c r="E2720">
        <v>0.54071999999999998</v>
      </c>
      <c r="F2720" t="s">
        <v>55</v>
      </c>
      <c r="G2720">
        <v>-429.09949999999998</v>
      </c>
      <c r="H2720" s="1">
        <v>2.9453430000000001E-6</v>
      </c>
      <c r="I2720">
        <v>209.02070000000001</v>
      </c>
      <c r="J2720">
        <v>-452.25909999999999</v>
      </c>
      <c r="K2720">
        <v>1.109558</v>
      </c>
      <c r="L2720">
        <v>212.7413</v>
      </c>
      <c r="M2720">
        <v>0.99983940000000004</v>
      </c>
      <c r="N2720">
        <v>0</v>
      </c>
      <c r="O2720">
        <v>-1.4894040000000001E-2</v>
      </c>
      <c r="P2720">
        <v>0.99499919999999997</v>
      </c>
      <c r="Q2720">
        <v>8.5514090000000001E-2</v>
      </c>
      <c r="R2720">
        <v>-5.161466E-2</v>
      </c>
      <c r="S2720">
        <v>3.0023499999999999</v>
      </c>
      <c r="T2720">
        <v>-0.1423296</v>
      </c>
      <c r="U2720">
        <v>-0.47779850000000001</v>
      </c>
      <c r="V2720">
        <v>3.6893429999999998E-2</v>
      </c>
      <c r="W2720">
        <v>9.5404569999999994E-2</v>
      </c>
      <c r="X2720">
        <v>0.99475469999999999</v>
      </c>
      <c r="Y2720">
        <v>0.14229720000000001</v>
      </c>
      <c r="Z2720">
        <v>-2.6488639999999999E-3</v>
      </c>
      <c r="AA2720">
        <v>0.98982040000000004</v>
      </c>
      <c r="AB2720">
        <v>25</v>
      </c>
      <c r="AC2720">
        <v>23.159600000000001</v>
      </c>
      <c r="AD2720">
        <v>-1.1095550546570001</v>
      </c>
      <c r="AE2720">
        <v>-3.7205999999999899</v>
      </c>
      <c r="AF2720">
        <v>3.3676947923524398</v>
      </c>
      <c r="AG2720">
        <v>-1.1095550546570001</v>
      </c>
      <c r="AH2720">
        <v>23.160625700572801</v>
      </c>
      <c r="AI2720">
        <v>92.714268994133704</v>
      </c>
      <c r="AJ2720">
        <v>81.726828950021897</v>
      </c>
      <c r="AK2720">
        <v>23.430472967394099</v>
      </c>
      <c r="AL2720">
        <v>84.525394461119802</v>
      </c>
      <c r="AM2720">
        <v>87.875989504735898</v>
      </c>
      <c r="AN2720">
        <v>1.00000003516306</v>
      </c>
    </row>
    <row r="2721" spans="1:40" x14ac:dyDescent="0.25">
      <c r="A2721" t="str">
        <f>"20190312151323714"</f>
        <v>20190312151323714</v>
      </c>
      <c r="B2721" t="str">
        <f>"1552374803702983"</f>
        <v>1552374803702983</v>
      </c>
      <c r="C2721" t="s">
        <v>40</v>
      </c>
      <c r="D2721">
        <v>4.4091529999999999</v>
      </c>
      <c r="E2721">
        <v>0.54072779999999998</v>
      </c>
      <c r="F2721" t="s">
        <v>55</v>
      </c>
      <c r="G2721">
        <v>-428.54419999999999</v>
      </c>
      <c r="H2721" s="1">
        <v>3.0541449999999999E-6</v>
      </c>
      <c r="I2721">
        <v>208.98179999999999</v>
      </c>
      <c r="J2721">
        <v>-451.99329999999998</v>
      </c>
      <c r="K2721">
        <v>1.1095539999999999</v>
      </c>
      <c r="L2721">
        <v>212.73650000000001</v>
      </c>
      <c r="M2721">
        <v>0.99982939999999998</v>
      </c>
      <c r="N2721">
        <v>0</v>
      </c>
      <c r="O2721">
        <v>-1.5562289999999999E-2</v>
      </c>
      <c r="P2721">
        <v>0.99507369999999995</v>
      </c>
      <c r="Q2721">
        <v>8.5453570000000006E-2</v>
      </c>
      <c r="R2721">
        <v>-5.0261029999999998E-2</v>
      </c>
      <c r="S2721">
        <v>3.0025019999999998</v>
      </c>
      <c r="T2721">
        <v>-0.14047899999999999</v>
      </c>
      <c r="U2721">
        <v>-0.47598269999999998</v>
      </c>
      <c r="V2721">
        <v>3.4873399999999999E-2</v>
      </c>
      <c r="W2721">
        <v>9.5322450000000003E-2</v>
      </c>
      <c r="X2721">
        <v>0.99483540000000004</v>
      </c>
      <c r="Y2721">
        <v>0.14104949999999999</v>
      </c>
      <c r="Z2721">
        <v>-2.554424E-3</v>
      </c>
      <c r="AA2721">
        <v>0.98999919999999997</v>
      </c>
      <c r="AB2721">
        <v>25</v>
      </c>
      <c r="AC2721">
        <v>23.449099999999898</v>
      </c>
      <c r="AD2721">
        <v>-1.1095509458549999</v>
      </c>
      <c r="AE2721">
        <v>-3.7547000000000099</v>
      </c>
      <c r="AF2721">
        <v>3.3819228700514299</v>
      </c>
      <c r="AG2721">
        <v>-1.1095509458549999</v>
      </c>
      <c r="AH2721">
        <v>23.453496391340401</v>
      </c>
      <c r="AI2721">
        <v>92.680873960538506</v>
      </c>
      <c r="AJ2721">
        <v>81.794681273686095</v>
      </c>
      <c r="AK2721">
        <v>23.722036138979298</v>
      </c>
      <c r="AL2721">
        <v>84.530120929833402</v>
      </c>
      <c r="AM2721">
        <v>87.992350483616306</v>
      </c>
      <c r="AN2721">
        <v>0.99999999829736097</v>
      </c>
    </row>
    <row r="2722" spans="1:40" x14ac:dyDescent="0.25">
      <c r="A2722" t="str">
        <f>"20190312151323738"</f>
        <v>20190312151323738</v>
      </c>
      <c r="B2722" t="str">
        <f>"1552374803733237"</f>
        <v>1552374803733237</v>
      </c>
      <c r="C2722" t="s">
        <v>40</v>
      </c>
      <c r="D2722">
        <v>4.3726289999999999</v>
      </c>
      <c r="E2722">
        <v>0.54077319999999995</v>
      </c>
      <c r="F2722" t="s">
        <v>55</v>
      </c>
      <c r="G2722">
        <v>-428.43130000000002</v>
      </c>
      <c r="H2722" s="1">
        <v>3.060524E-6</v>
      </c>
      <c r="I2722">
        <v>209.0333</v>
      </c>
      <c r="J2722">
        <v>-451.73559999999998</v>
      </c>
      <c r="K2722">
        <v>1.1095520000000001</v>
      </c>
      <c r="L2722">
        <v>212.73179999999999</v>
      </c>
      <c r="M2722">
        <v>0.99981929999999997</v>
      </c>
      <c r="N2722">
        <v>0</v>
      </c>
      <c r="O2722">
        <v>-1.621067E-2</v>
      </c>
      <c r="P2722">
        <v>0.99508240000000003</v>
      </c>
      <c r="Q2722">
        <v>8.5709850000000004E-2</v>
      </c>
      <c r="R2722">
        <v>-4.9647299999999998E-2</v>
      </c>
      <c r="S2722">
        <v>3.0031430000000001</v>
      </c>
      <c r="T2722">
        <v>-0.1414202</v>
      </c>
      <c r="U2722">
        <v>-0.47200009999999998</v>
      </c>
      <c r="V2722">
        <v>3.3614140000000001E-2</v>
      </c>
      <c r="W2722">
        <v>9.5559279999999996E-2</v>
      </c>
      <c r="X2722">
        <v>0.99485599999999996</v>
      </c>
      <c r="Y2722">
        <v>0.13909469999999999</v>
      </c>
      <c r="Z2722">
        <v>-2.4952109999999998E-3</v>
      </c>
      <c r="AA2722">
        <v>0.99027589999999999</v>
      </c>
      <c r="AB2722">
        <v>25</v>
      </c>
      <c r="AC2722">
        <v>23.304299999999898</v>
      </c>
      <c r="AD2722">
        <v>-1.1095489394760001</v>
      </c>
      <c r="AE2722">
        <v>-3.6984999999999899</v>
      </c>
      <c r="AF2722">
        <v>3.3128917331389598</v>
      </c>
      <c r="AG2722">
        <v>-1.1095489394760001</v>
      </c>
      <c r="AH2722">
        <v>23.3096545195028</v>
      </c>
      <c r="AI2722">
        <v>92.698171054740101</v>
      </c>
      <c r="AJ2722">
        <v>81.910994505525096</v>
      </c>
      <c r="AK2722">
        <v>23.570030638570898</v>
      </c>
      <c r="AL2722">
        <v>84.516489207493507</v>
      </c>
      <c r="AM2722">
        <v>88.064829531285895</v>
      </c>
      <c r="AN2722">
        <v>0.99999997356902803</v>
      </c>
    </row>
    <row r="2723" spans="1:40" x14ac:dyDescent="0.25">
      <c r="A2723" t="str">
        <f>"20190312151323758"</f>
        <v>20190312151323758</v>
      </c>
      <c r="B2723" t="str">
        <f>"1552374803752757"</f>
        <v>1552374803752757</v>
      </c>
      <c r="C2723" t="s">
        <v>40</v>
      </c>
      <c r="D2723">
        <v>4.3695389999999996</v>
      </c>
      <c r="E2723">
        <v>0.54077629999999999</v>
      </c>
      <c r="F2723" t="s">
        <v>55</v>
      </c>
      <c r="G2723">
        <v>-427.59550000000002</v>
      </c>
      <c r="H2723" s="1">
        <v>3.231334E-6</v>
      </c>
      <c r="I2723">
        <v>208.94820000000001</v>
      </c>
      <c r="J2723">
        <v>-451.49880000000002</v>
      </c>
      <c r="K2723">
        <v>1.1095469999999901</v>
      </c>
      <c r="L2723">
        <v>212.72730000000001</v>
      </c>
      <c r="M2723">
        <v>0.99980970000000002</v>
      </c>
      <c r="N2723">
        <v>0</v>
      </c>
      <c r="O2723">
        <v>-1.6806499999999999E-2</v>
      </c>
      <c r="P2723">
        <v>0.99509879999999995</v>
      </c>
      <c r="Q2723">
        <v>8.6067450000000004E-2</v>
      </c>
      <c r="R2723">
        <v>-4.8691640000000001E-2</v>
      </c>
      <c r="S2723">
        <v>3.0032649999999999</v>
      </c>
      <c r="T2723">
        <v>-0.13803859999999901</v>
      </c>
      <c r="U2723">
        <v>-0.47071839999999998</v>
      </c>
      <c r="V2723">
        <v>3.2065499999999997E-2</v>
      </c>
      <c r="W2723">
        <v>9.5902479999999998E-2</v>
      </c>
      <c r="X2723">
        <v>0.99487409999999998</v>
      </c>
      <c r="Y2723">
        <v>0.13809370000000001</v>
      </c>
      <c r="Z2723">
        <v>-2.3855510000000001E-3</v>
      </c>
      <c r="AA2723">
        <v>0.99041630000000003</v>
      </c>
      <c r="AB2723">
        <v>25</v>
      </c>
      <c r="AC2723">
        <v>23.903300000000002</v>
      </c>
      <c r="AD2723">
        <v>-1.1095437686659999</v>
      </c>
      <c r="AE2723">
        <v>-3.7791000000000001</v>
      </c>
      <c r="AF2723">
        <v>3.3697321928800799</v>
      </c>
      <c r="AG2723">
        <v>-1.1095437686659999</v>
      </c>
      <c r="AH2723">
        <v>23.913172515670698</v>
      </c>
      <c r="AI2723">
        <v>92.630600490217702</v>
      </c>
      <c r="AJ2723">
        <v>81.978960638771099</v>
      </c>
      <c r="AK2723">
        <v>24.174904388446802</v>
      </c>
      <c r="AL2723">
        <v>84.496734593967403</v>
      </c>
      <c r="AM2723">
        <v>88.153955324165693</v>
      </c>
      <c r="AN2723">
        <v>0.99999997840560395</v>
      </c>
    </row>
    <row r="2724" spans="1:40" x14ac:dyDescent="0.25">
      <c r="A2724" t="str">
        <f>"20190312151323782"</f>
        <v>20190312151323782</v>
      </c>
      <c r="B2724" t="str">
        <f>"1552374803773255"</f>
        <v>1552374803773255</v>
      </c>
      <c r="C2724" t="s">
        <v>40</v>
      </c>
      <c r="D2724">
        <v>4.3328540000000002</v>
      </c>
      <c r="E2724">
        <v>0.54083359999999903</v>
      </c>
      <c r="F2724" t="s">
        <v>55</v>
      </c>
      <c r="G2724">
        <v>-426.8304</v>
      </c>
      <c r="H2724" s="1">
        <v>3.384594E-6</v>
      </c>
      <c r="I2724">
        <v>208.8819</v>
      </c>
      <c r="J2724">
        <v>-451.23239999999998</v>
      </c>
      <c r="K2724">
        <v>1.1095429999999999</v>
      </c>
      <c r="L2724">
        <v>212.72210000000001</v>
      </c>
      <c r="M2724">
        <v>0.99979819999999997</v>
      </c>
      <c r="N2724">
        <v>0</v>
      </c>
      <c r="O2724">
        <v>-1.7476849999999999E-2</v>
      </c>
      <c r="P2724">
        <v>0.99514239999999998</v>
      </c>
      <c r="Q2724">
        <v>8.5931690000000005E-2</v>
      </c>
      <c r="R2724">
        <v>-4.8038919999999999E-2</v>
      </c>
      <c r="S2724">
        <v>3.0035400000000001</v>
      </c>
      <c r="T2724">
        <v>-0.13509389999999999</v>
      </c>
      <c r="U2724">
        <v>-0.46820070000000003</v>
      </c>
      <c r="V2724">
        <v>3.0744440000000001E-2</v>
      </c>
      <c r="W2724">
        <v>9.5752970000000007E-2</v>
      </c>
      <c r="X2724">
        <v>0.99493019999999999</v>
      </c>
      <c r="Y2724">
        <v>0.1366127</v>
      </c>
      <c r="Z2724">
        <v>-2.2716260000000001E-3</v>
      </c>
      <c r="AA2724">
        <v>0.99062190000000006</v>
      </c>
      <c r="AB2724">
        <v>25</v>
      </c>
      <c r="AC2724">
        <v>24.401999999999902</v>
      </c>
      <c r="AD2724">
        <v>-1.109539615406</v>
      </c>
      <c r="AE2724">
        <v>-3.8401999999999998</v>
      </c>
      <c r="AF2724">
        <v>3.4062503493212399</v>
      </c>
      <c r="AG2724">
        <v>-1.109539615406</v>
      </c>
      <c r="AH2724">
        <v>24.416131416121701</v>
      </c>
      <c r="AI2724">
        <v>92.576973622320693</v>
      </c>
      <c r="AJ2724">
        <v>82.058028311023804</v>
      </c>
      <c r="AK2724">
        <v>24.6775422789574</v>
      </c>
      <c r="AL2724">
        <v>84.505340485319095</v>
      </c>
      <c r="AM2724">
        <v>88.230060465135594</v>
      </c>
      <c r="AN2724">
        <v>0.99999997736338697</v>
      </c>
    </row>
    <row r="2725" spans="1:40" x14ac:dyDescent="0.25">
      <c r="A2725" t="str">
        <f>"20190312151323807"</f>
        <v>20190312151323807</v>
      </c>
      <c r="B2725" t="str">
        <f>"1552374803803510"</f>
        <v>1552374803803510</v>
      </c>
      <c r="C2725" t="s">
        <v>40</v>
      </c>
      <c r="D2725">
        <v>4.318168</v>
      </c>
      <c r="E2725">
        <v>0.54071569999999902</v>
      </c>
      <c r="F2725" t="s">
        <v>55</v>
      </c>
      <c r="G2725">
        <v>-426.33409999999998</v>
      </c>
      <c r="H2725" s="1">
        <v>3.481689E-6</v>
      </c>
      <c r="I2725">
        <v>208.8477</v>
      </c>
      <c r="J2725">
        <v>-450.95330000000001</v>
      </c>
      <c r="K2725">
        <v>1.1095389999999901</v>
      </c>
      <c r="L2725">
        <v>212.7165</v>
      </c>
      <c r="M2725">
        <v>0.99978599999999995</v>
      </c>
      <c r="N2725">
        <v>0</v>
      </c>
      <c r="O2725">
        <v>-1.8178690000000001E-2</v>
      </c>
      <c r="P2725">
        <v>0.99516890000000002</v>
      </c>
      <c r="Q2725">
        <v>8.5816799999999999E-2</v>
      </c>
      <c r="R2725">
        <v>-4.7692980000000003E-2</v>
      </c>
      <c r="S2725">
        <v>3.0036619999999998</v>
      </c>
      <c r="T2725">
        <v>-0.1338522</v>
      </c>
      <c r="U2725">
        <v>-0.46740720000000002</v>
      </c>
      <c r="V2725">
        <v>2.969927E-2</v>
      </c>
      <c r="W2725">
        <v>9.5626230000000007E-2</v>
      </c>
      <c r="X2725">
        <v>0.99497409999999997</v>
      </c>
      <c r="Y2725">
        <v>0.13565940000000001</v>
      </c>
      <c r="Z2725">
        <v>-2.198569E-3</v>
      </c>
      <c r="AA2725">
        <v>0.99075310000000005</v>
      </c>
      <c r="AB2725">
        <v>25</v>
      </c>
      <c r="AC2725">
        <v>24.619199999999999</v>
      </c>
      <c r="AD2725">
        <v>-1.1095355183109901</v>
      </c>
      <c r="AE2725">
        <v>-3.86879999999999</v>
      </c>
      <c r="AF2725">
        <v>3.4138272394464502</v>
      </c>
      <c r="AG2725">
        <v>-1.1095355183109901</v>
      </c>
      <c r="AH2725">
        <v>24.636630629548002</v>
      </c>
      <c r="AI2725">
        <v>92.554258236062594</v>
      </c>
      <c r="AJ2725">
        <v>82.110924532486806</v>
      </c>
      <c r="AK2725">
        <v>24.896763931562699</v>
      </c>
      <c r="AL2725">
        <v>84.512635428704598</v>
      </c>
      <c r="AM2725">
        <v>88.290269345712503</v>
      </c>
      <c r="AN2725">
        <v>0.999999941086676</v>
      </c>
    </row>
    <row r="2726" spans="1:40" x14ac:dyDescent="0.25">
      <c r="A2726" t="str">
        <f>"20190312151323850"</f>
        <v>20190312151323850</v>
      </c>
      <c r="B2726" t="str">
        <f>"1552374803843527"</f>
        <v>1552374803843527</v>
      </c>
      <c r="C2726" t="s">
        <v>40</v>
      </c>
      <c r="D2726">
        <v>4.3764019999999997</v>
      </c>
      <c r="E2726">
        <v>0.50901649999999998</v>
      </c>
      <c r="F2726" t="s">
        <v>55</v>
      </c>
      <c r="G2726">
        <v>-426.2833</v>
      </c>
      <c r="H2726" s="1">
        <v>3.4791630000000001E-6</v>
      </c>
      <c r="I2726">
        <v>208.8913</v>
      </c>
      <c r="J2726">
        <v>-450.45209999999997</v>
      </c>
      <c r="K2726">
        <v>1.1095330000000001</v>
      </c>
      <c r="L2726">
        <v>212.70580000000001</v>
      </c>
      <c r="M2726">
        <v>0.99976229999999999</v>
      </c>
      <c r="N2726">
        <v>0</v>
      </c>
      <c r="O2726">
        <v>-1.9439720000000001E-2</v>
      </c>
      <c r="P2726">
        <v>0.99527900000000002</v>
      </c>
      <c r="Q2726">
        <v>8.476649E-2</v>
      </c>
      <c r="R2726">
        <v>-4.727199E-2</v>
      </c>
      <c r="S2726">
        <v>3.0039060000000002</v>
      </c>
      <c r="T2726">
        <v>-0.13510079999999999</v>
      </c>
      <c r="U2726">
        <v>-0.46577449999999998</v>
      </c>
      <c r="V2726">
        <v>2.8019530000000001E-2</v>
      </c>
      <c r="W2726">
        <v>9.4562489999999999E-2</v>
      </c>
      <c r="X2726">
        <v>0.99512449999999997</v>
      </c>
      <c r="Y2726">
        <v>0.1338723</v>
      </c>
      <c r="Z2726">
        <v>-2.1227379999999999E-3</v>
      </c>
      <c r="AA2726">
        <v>0.99099630000000005</v>
      </c>
      <c r="AB2726">
        <v>26</v>
      </c>
      <c r="AC2726">
        <v>24.168799999999901</v>
      </c>
      <c r="AD2726">
        <v>-1.109529520837</v>
      </c>
      <c r="AE2726">
        <v>-3.8144999999999998</v>
      </c>
      <c r="AF2726">
        <v>3.3370595844005599</v>
      </c>
      <c r="AG2726">
        <v>-1.109529520837</v>
      </c>
      <c r="AH2726">
        <v>24.188650208711699</v>
      </c>
      <c r="AI2726">
        <v>92.601699448180895</v>
      </c>
      <c r="AJ2726">
        <v>82.145073424643599</v>
      </c>
      <c r="AK2726">
        <v>24.442950340473502</v>
      </c>
      <c r="AL2726">
        <v>84.573860832286897</v>
      </c>
      <c r="AM2726">
        <v>88.387159840223504</v>
      </c>
      <c r="AN2726">
        <v>0.99999996453833395</v>
      </c>
    </row>
    <row r="2727" spans="1:40" x14ac:dyDescent="0.25">
      <c r="A2727" t="str">
        <f>"20190312151323871"</f>
        <v>20190312151323871</v>
      </c>
      <c r="B2727" t="str">
        <f>"1552374803863046"</f>
        <v>1552374803863046</v>
      </c>
      <c r="C2727" t="s">
        <v>40</v>
      </c>
      <c r="D2727">
        <v>4.6357350000000004</v>
      </c>
      <c r="E2727">
        <v>0.50660179999999999</v>
      </c>
      <c r="F2727" t="s">
        <v>55</v>
      </c>
      <c r="G2727">
        <v>-427.33049999999997</v>
      </c>
      <c r="H2727" s="1">
        <v>2.9734490000000001E-6</v>
      </c>
      <c r="I2727">
        <v>211.08</v>
      </c>
      <c r="J2727">
        <v>-450.20679999999999</v>
      </c>
      <c r="K2727">
        <v>1.109524</v>
      </c>
      <c r="L2727">
        <v>212.7004</v>
      </c>
      <c r="M2727">
        <v>0.99975020000000003</v>
      </c>
      <c r="N2727">
        <v>0</v>
      </c>
      <c r="O2727">
        <v>-2.0056959999999999E-2</v>
      </c>
      <c r="P2727">
        <v>0.99533459999999996</v>
      </c>
      <c r="Q2727">
        <v>8.4533129999999998E-2</v>
      </c>
      <c r="R2727">
        <v>-4.6512169999999999E-2</v>
      </c>
      <c r="S2727">
        <v>3.0165099999999998</v>
      </c>
      <c r="T2727">
        <v>-0.14475270000000001</v>
      </c>
      <c r="U2727">
        <v>-0.21211240000000001</v>
      </c>
      <c r="V2727">
        <v>2.6644009999999999E-2</v>
      </c>
      <c r="W2727">
        <v>9.4325599999999996E-2</v>
      </c>
      <c r="X2727">
        <v>0.99518479999999998</v>
      </c>
      <c r="Y2727">
        <v>5.0086949999999998E-2</v>
      </c>
      <c r="Z2727">
        <v>-2.390258E-4</v>
      </c>
      <c r="AA2727">
        <v>0.99874479999999999</v>
      </c>
      <c r="AB2727">
        <v>26</v>
      </c>
      <c r="AC2727">
        <v>22.876300000000001</v>
      </c>
      <c r="AD2727">
        <v>-1.109521026551</v>
      </c>
      <c r="AE2727">
        <v>-1.6203999999999801</v>
      </c>
      <c r="AF2727">
        <v>1.1585110561102501</v>
      </c>
      <c r="AG2727">
        <v>-1.109521026551</v>
      </c>
      <c r="AH2727">
        <v>22.8507153791452</v>
      </c>
      <c r="AI2727">
        <v>92.776264578154198</v>
      </c>
      <c r="AJ2727">
        <v>87.097639702580196</v>
      </c>
      <c r="AK2727">
        <v>22.9069504324384</v>
      </c>
      <c r="AL2727">
        <v>84.587494785348497</v>
      </c>
      <c r="AM2727">
        <v>88.466390632876298</v>
      </c>
      <c r="AN2727">
        <v>1.00000000411764</v>
      </c>
    </row>
    <row r="2728" spans="1:40" x14ac:dyDescent="0.25">
      <c r="A2728" t="str">
        <f>"20190312151323892"</f>
        <v>20190312151323892</v>
      </c>
      <c r="B2728" t="str">
        <f>"1552374803882565"</f>
        <v>1552374803882565</v>
      </c>
      <c r="C2728" t="s">
        <v>40</v>
      </c>
      <c r="D2728">
        <v>4.3508930000000001</v>
      </c>
      <c r="E2728">
        <v>0.50556279999999998</v>
      </c>
      <c r="F2728" t="s">
        <v>55</v>
      </c>
      <c r="G2728">
        <v>-425.40300000000002</v>
      </c>
      <c r="H2728" s="1">
        <v>3.3110639999999998E-6</v>
      </c>
      <c r="I2728">
        <v>211.12909999999999</v>
      </c>
      <c r="J2728">
        <v>-449.96370000000002</v>
      </c>
      <c r="K2728">
        <v>1.109524</v>
      </c>
      <c r="L2728">
        <v>212.69479999999999</v>
      </c>
      <c r="M2728">
        <v>0.99973789999999996</v>
      </c>
      <c r="N2728">
        <v>0</v>
      </c>
      <c r="O2728">
        <v>-2.0668599999999999E-2</v>
      </c>
      <c r="P2728">
        <v>0.99541800000000003</v>
      </c>
      <c r="Q2728">
        <v>8.3774269999999998E-2</v>
      </c>
      <c r="R2728">
        <v>-4.6099519999999998E-2</v>
      </c>
      <c r="S2728">
        <v>3.016632</v>
      </c>
      <c r="T2728">
        <v>-0.1349397</v>
      </c>
      <c r="U2728">
        <v>-0.1911011</v>
      </c>
      <c r="V2728">
        <v>2.5619550000000001E-2</v>
      </c>
      <c r="W2728">
        <v>9.3565079999999995E-2</v>
      </c>
      <c r="X2728">
        <v>0.99528349999999999</v>
      </c>
      <c r="Y2728">
        <v>4.2558859999999997E-2</v>
      </c>
      <c r="Z2728" s="1">
        <v>-2.7438219999999999E-5</v>
      </c>
      <c r="AA2728">
        <v>0.99909389999999998</v>
      </c>
      <c r="AB2728">
        <v>26</v>
      </c>
      <c r="AC2728">
        <v>24.560700000000001</v>
      </c>
      <c r="AD2728">
        <v>-1.1095206889360001</v>
      </c>
      <c r="AE2728">
        <v>-1.5656999999999901</v>
      </c>
      <c r="AF2728">
        <v>1.0555602008707801</v>
      </c>
      <c r="AG2728">
        <v>-1.1095206889360001</v>
      </c>
      <c r="AH2728">
        <v>24.537942196378101</v>
      </c>
      <c r="AI2728">
        <v>92.586564238680197</v>
      </c>
      <c r="AJ2728">
        <v>87.536799141260403</v>
      </c>
      <c r="AK2728">
        <v>24.585683857270102</v>
      </c>
      <c r="AL2728">
        <v>84.631263004489199</v>
      </c>
      <c r="AM2728">
        <v>88.5254774042278</v>
      </c>
      <c r="AN2728">
        <v>1.00000001545492</v>
      </c>
    </row>
    <row r="2729" spans="1:40" x14ac:dyDescent="0.25">
      <c r="A2729" t="str">
        <f>"20190312151323915"</f>
        <v>20190312151323915</v>
      </c>
      <c r="B2729" t="str">
        <f>"1552374803912821"</f>
        <v>1552374803912821</v>
      </c>
      <c r="C2729" t="s">
        <v>40</v>
      </c>
      <c r="D2729">
        <v>4.228237</v>
      </c>
      <c r="E2729">
        <v>0.50494810000000001</v>
      </c>
      <c r="F2729" t="s">
        <v>55</v>
      </c>
      <c r="G2729">
        <v>-426.1302</v>
      </c>
      <c r="H2729" s="1">
        <v>3.1711379999999998E-6</v>
      </c>
      <c r="I2729">
        <v>211.25409999999999</v>
      </c>
      <c r="J2729">
        <v>-449.70080000000002</v>
      </c>
      <c r="K2729">
        <v>1.1095159999999999</v>
      </c>
      <c r="L2729">
        <v>212.68870000000001</v>
      </c>
      <c r="M2729">
        <v>0.99972399999999995</v>
      </c>
      <c r="N2729">
        <v>0</v>
      </c>
      <c r="O2729">
        <v>-2.1330080000000001E-2</v>
      </c>
      <c r="P2729">
        <v>0.99540779999999995</v>
      </c>
      <c r="Q2729">
        <v>8.3702559999999995E-2</v>
      </c>
      <c r="R2729">
        <v>-4.6453660000000001E-2</v>
      </c>
      <c r="S2729">
        <v>3.0171809999999999</v>
      </c>
      <c r="T2729">
        <v>-0.14045869999999999</v>
      </c>
      <c r="U2729">
        <v>-0.1823883</v>
      </c>
      <c r="V2729">
        <v>2.5314730000000001E-2</v>
      </c>
      <c r="W2729">
        <v>9.349151E-2</v>
      </c>
      <c r="X2729">
        <v>0.99529820000000002</v>
      </c>
      <c r="Y2729">
        <v>3.9014699999999999E-2</v>
      </c>
      <c r="Z2729" s="1">
        <v>8.4562459999999905E-5</v>
      </c>
      <c r="AA2729">
        <v>0.99923859999999998</v>
      </c>
      <c r="AB2729">
        <v>26</v>
      </c>
      <c r="AC2729">
        <v>23.570599999999999</v>
      </c>
      <c r="AD2729">
        <v>-1.109512828862</v>
      </c>
      <c r="AE2729">
        <v>-1.4346000000000101</v>
      </c>
      <c r="AF2729">
        <v>0.92943461592314003</v>
      </c>
      <c r="AG2729">
        <v>-1.109512828862</v>
      </c>
      <c r="AH2729">
        <v>23.543863408247301</v>
      </c>
      <c r="AI2729">
        <v>92.695990790874802</v>
      </c>
      <c r="AJ2729">
        <v>87.739324148359202</v>
      </c>
      <c r="AK2729">
        <v>23.5883100625901</v>
      </c>
      <c r="AL2729">
        <v>84.635496743392693</v>
      </c>
      <c r="AM2729">
        <v>88.543035095174503</v>
      </c>
      <c r="AN2729">
        <v>1.0000000024601401</v>
      </c>
    </row>
    <row r="2730" spans="1:40" x14ac:dyDescent="0.25">
      <c r="A2730" t="str">
        <f>"20190312151323936"</f>
        <v>20190312151323936</v>
      </c>
      <c r="B2730" t="str">
        <f>"1552374803933317"</f>
        <v>1552374803933317</v>
      </c>
      <c r="C2730" t="s">
        <v>40</v>
      </c>
      <c r="D2730">
        <v>4.2917940000000003</v>
      </c>
      <c r="E2730">
        <v>0.50472870000000003</v>
      </c>
      <c r="F2730" t="s">
        <v>55</v>
      </c>
      <c r="G2730">
        <v>-425.16699999999997</v>
      </c>
      <c r="H2730" s="1">
        <v>3.343768E-6</v>
      </c>
      <c r="I2730">
        <v>211.23390000000001</v>
      </c>
      <c r="J2730">
        <v>-449.4615</v>
      </c>
      <c r="K2730">
        <v>1.1095200000000001</v>
      </c>
      <c r="L2730">
        <v>212.68289999999999</v>
      </c>
      <c r="M2730">
        <v>0.99971100000000002</v>
      </c>
      <c r="N2730">
        <v>0</v>
      </c>
      <c r="O2730">
        <v>-2.193136E-2</v>
      </c>
      <c r="P2730">
        <v>0.9953999</v>
      </c>
      <c r="Q2730">
        <v>8.3680480000000002E-2</v>
      </c>
      <c r="R2730">
        <v>-4.6657469999999999E-2</v>
      </c>
      <c r="S2730">
        <v>3.0169679999999999</v>
      </c>
      <c r="T2730">
        <v>-0.1364387</v>
      </c>
      <c r="U2730">
        <v>-0.178894</v>
      </c>
      <c r="V2730">
        <v>2.4919960000000001E-2</v>
      </c>
      <c r="W2730">
        <v>9.3468720000000005E-2</v>
      </c>
      <c r="X2730">
        <v>0.99531029999999998</v>
      </c>
      <c r="Y2730">
        <v>3.7268179999999998E-2</v>
      </c>
      <c r="Z2730">
        <v>1.4873619999999999E-4</v>
      </c>
      <c r="AA2730">
        <v>0.99930529999999995</v>
      </c>
      <c r="AB2730">
        <v>26</v>
      </c>
      <c r="AC2730">
        <v>24.294499999999999</v>
      </c>
      <c r="AD2730">
        <v>-1.109516656232</v>
      </c>
      <c r="AE2730">
        <v>-1.4489999999999801</v>
      </c>
      <c r="AF2730">
        <v>0.91391480550981197</v>
      </c>
      <c r="AG2730">
        <v>-1.109516656232</v>
      </c>
      <c r="AH2730">
        <v>24.269995688054301</v>
      </c>
      <c r="AI2730">
        <v>92.615635488609001</v>
      </c>
      <c r="AJ2730">
        <v>87.843479962839098</v>
      </c>
      <c r="AK2730">
        <v>24.3125267749027</v>
      </c>
      <c r="AL2730">
        <v>84.636808242044395</v>
      </c>
      <c r="AM2730">
        <v>88.565763565842204</v>
      </c>
      <c r="AN2730">
        <v>0.99999999965546404</v>
      </c>
    </row>
    <row r="2731" spans="1:40" x14ac:dyDescent="0.25">
      <c r="A2731" t="str">
        <f>"20190312151323984"</f>
        <v>20190312151323984</v>
      </c>
      <c r="B2731" t="str">
        <f>"1552374803973334"</f>
        <v>1552374803973334</v>
      </c>
      <c r="C2731" t="s">
        <v>40</v>
      </c>
      <c r="D2731">
        <v>4.2835349999999996</v>
      </c>
      <c r="E2731">
        <v>0.50451840000000003</v>
      </c>
      <c r="F2731" t="s">
        <v>55</v>
      </c>
      <c r="G2731">
        <v>-425.01819999999998</v>
      </c>
      <c r="H2731" s="1">
        <v>3.369436E-6</v>
      </c>
      <c r="I2731">
        <v>211.2422</v>
      </c>
      <c r="J2731">
        <v>-448.92579999999998</v>
      </c>
      <c r="K2731">
        <v>1.1095200000000001</v>
      </c>
      <c r="L2731">
        <v>212.6695</v>
      </c>
      <c r="M2731">
        <v>0.99968080000000004</v>
      </c>
      <c r="N2731">
        <v>0</v>
      </c>
      <c r="O2731">
        <v>-2.327017E-2</v>
      </c>
      <c r="P2731">
        <v>0.99542980000000003</v>
      </c>
      <c r="Q2731">
        <v>8.3030099999999996E-2</v>
      </c>
      <c r="R2731">
        <v>-4.7178400000000002E-2</v>
      </c>
      <c r="S2731">
        <v>3.0170590000000002</v>
      </c>
      <c r="T2731">
        <v>-0.13694819999999999</v>
      </c>
      <c r="U2731">
        <v>-0.17782590000000001</v>
      </c>
      <c r="V2731">
        <v>2.410518E-2</v>
      </c>
      <c r="W2731">
        <v>9.2821130000000002E-2</v>
      </c>
      <c r="X2731">
        <v>0.99539100000000003</v>
      </c>
      <c r="Y2731">
        <v>3.5578499999999999E-2</v>
      </c>
      <c r="Z2731">
        <v>2.4824189999999999E-4</v>
      </c>
      <c r="AA2731">
        <v>0.99936689999999995</v>
      </c>
      <c r="AB2731">
        <v>26</v>
      </c>
      <c r="AC2731">
        <v>23.907599999999999</v>
      </c>
      <c r="AD2731">
        <v>-1.1095166305640001</v>
      </c>
      <c r="AE2731">
        <v>-1.4273</v>
      </c>
      <c r="AF2731">
        <v>0.86868832967670495</v>
      </c>
      <c r="AG2731">
        <v>-1.1095166305640001</v>
      </c>
      <c r="AH2731">
        <v>23.883085069622101</v>
      </c>
      <c r="AI2731">
        <v>92.658074881793198</v>
      </c>
      <c r="AJ2731">
        <v>87.916925582371903</v>
      </c>
      <c r="AK2731">
        <v>23.924619098544099</v>
      </c>
      <c r="AL2731">
        <v>84.674074603832295</v>
      </c>
      <c r="AM2731">
        <v>88.612750984315497</v>
      </c>
      <c r="AN2731">
        <v>1.00000003237915</v>
      </c>
    </row>
    <row r="2732" spans="1:40" x14ac:dyDescent="0.25">
      <c r="A2732" t="str">
        <f>"20190312151324007"</f>
        <v>20190312151324007</v>
      </c>
      <c r="B2732" t="str">
        <f>"1552374804002614"</f>
        <v>1552374804002614</v>
      </c>
      <c r="C2732" t="s">
        <v>40</v>
      </c>
      <c r="D2732">
        <v>4.2586240000000002</v>
      </c>
      <c r="E2732">
        <v>0.50460509999999903</v>
      </c>
      <c r="F2732" t="s">
        <v>55</v>
      </c>
      <c r="G2732">
        <v>-425.02379999999999</v>
      </c>
      <c r="H2732" s="1">
        <v>3.3668889999999998E-6</v>
      </c>
      <c r="I2732">
        <v>211.25989999999999</v>
      </c>
      <c r="J2732">
        <v>-448.64830000000001</v>
      </c>
      <c r="K2732">
        <v>1.109515</v>
      </c>
      <c r="L2732">
        <v>212.66229999999999</v>
      </c>
      <c r="M2732">
        <v>0.99966449999999996</v>
      </c>
      <c r="N2732">
        <v>0</v>
      </c>
      <c r="O2732">
        <v>-2.3957019999999999E-2</v>
      </c>
      <c r="P2732">
        <v>0.99545070000000002</v>
      </c>
      <c r="Q2732">
        <v>8.2739859999999998E-2</v>
      </c>
      <c r="R2732">
        <v>-4.7250800000000003E-2</v>
      </c>
      <c r="S2732">
        <v>3.0169980000000001</v>
      </c>
      <c r="T2732">
        <v>-0.14004730000000001</v>
      </c>
      <c r="U2732">
        <v>-0.1779327</v>
      </c>
      <c r="V2732">
        <v>2.3491580000000001E-2</v>
      </c>
      <c r="W2732">
        <v>9.2534359999999996E-2</v>
      </c>
      <c r="X2732">
        <v>0.99543230000000005</v>
      </c>
      <c r="Y2732">
        <v>3.4929149999999999E-2</v>
      </c>
      <c r="Z2732">
        <v>3.0073090000000001E-4</v>
      </c>
      <c r="AA2732">
        <v>0.99938979999999999</v>
      </c>
      <c r="AB2732">
        <v>26</v>
      </c>
      <c r="AC2732">
        <v>23.624500000000001</v>
      </c>
      <c r="AD2732">
        <v>-1.109511633111</v>
      </c>
      <c r="AE2732">
        <v>-1.4024000000000001</v>
      </c>
      <c r="AF2732">
        <v>0.83416398020423899</v>
      </c>
      <c r="AG2732">
        <v>-1.109511633111</v>
      </c>
      <c r="AH2732">
        <v>23.599448248161199</v>
      </c>
      <c r="AI2732">
        <v>92.690061659222906</v>
      </c>
      <c r="AJ2732">
        <v>87.975622761993506</v>
      </c>
      <c r="AK2732">
        <v>23.640236953709199</v>
      </c>
      <c r="AL2732">
        <v>84.690575965481798</v>
      </c>
      <c r="AM2732">
        <v>88.648106354116507</v>
      </c>
      <c r="AN2732">
        <v>0.99999996299739702</v>
      </c>
    </row>
    <row r="2733" spans="1:40" x14ac:dyDescent="0.25">
      <c r="A2733" t="str">
        <f>"20190312151324029"</f>
        <v>20190312151324029</v>
      </c>
      <c r="B2733" t="str">
        <f>"1552374804023110"</f>
        <v>1552374804023110</v>
      </c>
      <c r="C2733" t="s">
        <v>40</v>
      </c>
      <c r="D2733">
        <v>4.2358320000000003</v>
      </c>
      <c r="E2733">
        <v>0.50466729999999904</v>
      </c>
      <c r="F2733" t="s">
        <v>55</v>
      </c>
      <c r="G2733">
        <v>-424.7</v>
      </c>
      <c r="H2733" s="1">
        <v>3.4257079999999999E-6</v>
      </c>
      <c r="I2733">
        <v>211.244</v>
      </c>
      <c r="J2733">
        <v>-448.38459999999998</v>
      </c>
      <c r="K2733">
        <v>1.1095159999999999</v>
      </c>
      <c r="L2733">
        <v>212.65530000000001</v>
      </c>
      <c r="M2733">
        <v>0.99964869999999995</v>
      </c>
      <c r="N2733">
        <v>0</v>
      </c>
      <c r="O2733">
        <v>-2.4597460000000002E-2</v>
      </c>
      <c r="P2733">
        <v>0.99542900000000001</v>
      </c>
      <c r="Q2733">
        <v>8.2922969999999999E-2</v>
      </c>
      <c r="R2733">
        <v>-4.7377910000000002E-2</v>
      </c>
      <c r="S2733">
        <v>3.0168460000000001</v>
      </c>
      <c r="T2733">
        <v>-0.1397687</v>
      </c>
      <c r="U2733">
        <v>-0.1786652</v>
      </c>
      <c r="V2733">
        <v>2.2980110000000002E-2</v>
      </c>
      <c r="W2733">
        <v>9.2720960000000005E-2</v>
      </c>
      <c r="X2733">
        <v>0.9954269</v>
      </c>
      <c r="Y2733">
        <v>3.4534769999999999E-2</v>
      </c>
      <c r="Z2733">
        <v>3.3888190000000001E-4</v>
      </c>
      <c r="AA2733">
        <v>0.99940340000000005</v>
      </c>
      <c r="AB2733">
        <v>26</v>
      </c>
      <c r="AC2733">
        <v>23.6845999999999</v>
      </c>
      <c r="AD2733">
        <v>-1.109512574292</v>
      </c>
      <c r="AE2733">
        <v>-1.41129999999998</v>
      </c>
      <c r="AF2733">
        <v>0.82645633572483301</v>
      </c>
      <c r="AG2733">
        <v>-1.109512574292</v>
      </c>
      <c r="AH2733">
        <v>23.660410619058499</v>
      </c>
      <c r="AI2733">
        <v>92.683182173702605</v>
      </c>
      <c r="AJ2733">
        <v>87.999476146112897</v>
      </c>
      <c r="AK2733">
        <v>23.700824434812901</v>
      </c>
      <c r="AL2733">
        <v>84.679838540951806</v>
      </c>
      <c r="AM2733">
        <v>88.677522693211301</v>
      </c>
      <c r="AN2733">
        <v>0.99999998756127095</v>
      </c>
    </row>
    <row r="2734" spans="1:40" x14ac:dyDescent="0.25">
      <c r="A2734" t="str">
        <f>"20190312151324071"</f>
        <v>20190312151324071</v>
      </c>
      <c r="B2734" t="str">
        <f>"1552374804063125"</f>
        <v>1552374804063125</v>
      </c>
      <c r="C2734" t="s">
        <v>40</v>
      </c>
      <c r="D2734">
        <v>4.250381</v>
      </c>
      <c r="E2734">
        <v>0.50471709999999903</v>
      </c>
      <c r="F2734" t="s">
        <v>55</v>
      </c>
      <c r="G2734">
        <v>-423.56020000000001</v>
      </c>
      <c r="H2734" s="1">
        <v>3.633744E-6</v>
      </c>
      <c r="I2734">
        <v>211.1772</v>
      </c>
      <c r="J2734">
        <v>-447.89409999999998</v>
      </c>
      <c r="K2734">
        <v>1.1095360000000001</v>
      </c>
      <c r="L2734">
        <v>212.64169999999999</v>
      </c>
      <c r="M2734">
        <v>0.99961979999999995</v>
      </c>
      <c r="N2734">
        <v>0</v>
      </c>
      <c r="O2734">
        <v>-2.5746149999999999E-2</v>
      </c>
      <c r="P2734">
        <v>0.99541570000000001</v>
      </c>
      <c r="Q2734">
        <v>8.2950949999999996E-2</v>
      </c>
      <c r="R2734">
        <v>-4.7611069999999998E-2</v>
      </c>
      <c r="S2734">
        <v>3.0164789999999999</v>
      </c>
      <c r="T2734">
        <v>-0.13481960000000001</v>
      </c>
      <c r="U2734">
        <v>-0.179595899999999</v>
      </c>
      <c r="V2734">
        <v>2.206437E-2</v>
      </c>
      <c r="W2734">
        <v>9.2758460000000001E-2</v>
      </c>
      <c r="X2734">
        <v>0.99544410000000005</v>
      </c>
      <c r="Y2734">
        <v>3.3703509999999999E-2</v>
      </c>
      <c r="Z2734">
        <v>3.9672090000000002E-4</v>
      </c>
      <c r="AA2734">
        <v>0.99943179999999998</v>
      </c>
      <c r="AB2734">
        <v>26</v>
      </c>
      <c r="AC2734">
        <v>24.3338999999999</v>
      </c>
      <c r="AD2734">
        <v>-1.1095323662559999</v>
      </c>
      <c r="AE2734">
        <v>-1.4644999999999799</v>
      </c>
      <c r="AF2734">
        <v>0.835748481716587</v>
      </c>
      <c r="AG2734">
        <v>-1.1095323662559999</v>
      </c>
      <c r="AH2734">
        <v>24.313175012228001</v>
      </c>
      <c r="AI2734">
        <v>92.611341373645004</v>
      </c>
      <c r="AJ2734">
        <v>88.031272594519507</v>
      </c>
      <c r="AK2734">
        <v>24.352823589302499</v>
      </c>
      <c r="AL2734">
        <v>84.677680514545003</v>
      </c>
      <c r="AM2734">
        <v>88.730226734616807</v>
      </c>
      <c r="AN2734">
        <v>0.99999996227493804</v>
      </c>
    </row>
    <row r="2735" spans="1:40" x14ac:dyDescent="0.25">
      <c r="A2735" t="str">
        <f>"20190312151324094"</f>
        <v>20190312151324094</v>
      </c>
      <c r="B2735" t="str">
        <f>"1552374804082645"</f>
        <v>1552374804082645</v>
      </c>
      <c r="C2735" t="s">
        <v>40</v>
      </c>
      <c r="D2735">
        <v>4.2194399999999996</v>
      </c>
      <c r="E2735">
        <v>0.50481819999999999</v>
      </c>
      <c r="F2735" t="s">
        <v>55</v>
      </c>
      <c r="G2735">
        <v>-422.8365</v>
      </c>
      <c r="H2735" s="1">
        <v>3.7648790000000002E-6</v>
      </c>
      <c r="I2735">
        <v>211.1454</v>
      </c>
      <c r="J2735">
        <v>-447.62880000000001</v>
      </c>
      <c r="K2735">
        <v>1.109553</v>
      </c>
      <c r="L2735">
        <v>212.6343</v>
      </c>
      <c r="M2735">
        <v>0.99960450000000001</v>
      </c>
      <c r="N2735">
        <v>0</v>
      </c>
      <c r="O2735">
        <v>-2.6330050000000001E-2</v>
      </c>
      <c r="P2735">
        <v>0.99539239999999996</v>
      </c>
      <c r="Q2735">
        <v>8.2746849999999997E-2</v>
      </c>
      <c r="R2735">
        <v>-4.8443529999999999E-2</v>
      </c>
      <c r="S2735">
        <v>3.016327</v>
      </c>
      <c r="T2735">
        <v>-0.13356080000000001</v>
      </c>
      <c r="U2735">
        <v>-0.18011469999999999</v>
      </c>
      <c r="V2735">
        <v>2.231087E-2</v>
      </c>
      <c r="W2735">
        <v>9.2559530000000001E-2</v>
      </c>
      <c r="X2735">
        <v>0.99545720000000004</v>
      </c>
      <c r="Y2735">
        <v>3.3295110000000003E-2</v>
      </c>
      <c r="Z2735">
        <v>4.2787069999999998E-4</v>
      </c>
      <c r="AA2735">
        <v>0.99944549999999999</v>
      </c>
      <c r="AB2735">
        <v>26</v>
      </c>
      <c r="AC2735">
        <v>24.792300000000001</v>
      </c>
      <c r="AD2735">
        <v>-1.1095492351209999</v>
      </c>
      <c r="AE2735">
        <v>-1.4888999999999999</v>
      </c>
      <c r="AF2735">
        <v>0.83390517907585104</v>
      </c>
      <c r="AG2735">
        <v>-1.1095492351209999</v>
      </c>
      <c r="AH2735">
        <v>24.7734680011989</v>
      </c>
      <c r="AI2735">
        <v>92.562988678878696</v>
      </c>
      <c r="AJ2735">
        <v>88.072082049097105</v>
      </c>
      <c r="AK2735">
        <v>24.8123198060817</v>
      </c>
      <c r="AL2735">
        <v>84.689128021056902</v>
      </c>
      <c r="AM2735">
        <v>88.716062621831</v>
      </c>
      <c r="AN2735">
        <v>1.0000000392729</v>
      </c>
    </row>
    <row r="2736" spans="1:40" x14ac:dyDescent="0.25">
      <c r="A2736" t="str">
        <f>"20190312151324116"</f>
        <v>20190312151324116</v>
      </c>
      <c r="B2736" t="str">
        <f>"1552374804112902"</f>
        <v>1552374804112902</v>
      </c>
      <c r="C2736" t="s">
        <v>40</v>
      </c>
      <c r="D2736">
        <v>4.1936289999999996</v>
      </c>
      <c r="E2736">
        <v>0.4722769</v>
      </c>
      <c r="F2736" t="s">
        <v>55</v>
      </c>
      <c r="G2736">
        <v>-422.80669999999998</v>
      </c>
      <c r="H2736" s="1">
        <v>3.7718110000000001E-6</v>
      </c>
      <c r="I2736">
        <v>211.1268</v>
      </c>
      <c r="J2736">
        <v>-447.37139999999999</v>
      </c>
      <c r="K2736">
        <v>1.10958</v>
      </c>
      <c r="L2736">
        <v>212.62690000000001</v>
      </c>
      <c r="M2736">
        <v>0.99959030000000004</v>
      </c>
      <c r="N2736">
        <v>0</v>
      </c>
      <c r="O2736">
        <v>-2.686287E-2</v>
      </c>
      <c r="P2736">
        <v>0.99533249999999995</v>
      </c>
      <c r="Q2736">
        <v>8.3005780000000001E-2</v>
      </c>
      <c r="R2736">
        <v>-4.9228929999999997E-2</v>
      </c>
      <c r="S2736">
        <v>3.0162049999999998</v>
      </c>
      <c r="T2736">
        <v>-0.13482459999999999</v>
      </c>
      <c r="U2736">
        <v>-0.18318180000000001</v>
      </c>
      <c r="V2736">
        <v>2.2561560000000001E-2</v>
      </c>
      <c r="W2736">
        <v>9.2824470000000006E-2</v>
      </c>
      <c r="X2736">
        <v>0.99542679999999995</v>
      </c>
      <c r="Y2736">
        <v>3.377732E-2</v>
      </c>
      <c r="Z2736">
        <v>4.4492199999999999E-4</v>
      </c>
      <c r="AA2736">
        <v>0.99942929999999996</v>
      </c>
      <c r="AB2736">
        <v>26</v>
      </c>
      <c r="AC2736">
        <v>24.564699999999998</v>
      </c>
      <c r="AD2736">
        <v>-1.109576228189</v>
      </c>
      <c r="AE2736">
        <v>-1.5001</v>
      </c>
      <c r="AF2736">
        <v>0.83794475366840404</v>
      </c>
      <c r="AG2736">
        <v>-1.109576228189</v>
      </c>
      <c r="AH2736">
        <v>24.546238069002602</v>
      </c>
      <c r="AI2736">
        <v>92.586703944044203</v>
      </c>
      <c r="AJ2736">
        <v>88.044830299625602</v>
      </c>
      <c r="AK2736">
        <v>24.585587529211399</v>
      </c>
      <c r="AL2736">
        <v>84.673882020546301</v>
      </c>
      <c r="AM2736">
        <v>88.701601282940004</v>
      </c>
      <c r="AN2736">
        <v>0.99999996018932602</v>
      </c>
    </row>
    <row r="2737" spans="1:40" x14ac:dyDescent="0.25">
      <c r="A2737" t="str">
        <f>"20190312151324140"</f>
        <v>20190312151324140</v>
      </c>
      <c r="B2737" t="str">
        <f>"1552374804133398"</f>
        <v>1552374804133398</v>
      </c>
      <c r="C2737" t="s">
        <v>40</v>
      </c>
      <c r="D2737">
        <v>4.4000830000000004</v>
      </c>
      <c r="E2737">
        <v>0.46667819999999999</v>
      </c>
      <c r="F2737" t="s">
        <v>55</v>
      </c>
      <c r="G2737">
        <v>-428.18029999999999</v>
      </c>
      <c r="H2737" s="1">
        <v>2.6467239999999998E-6</v>
      </c>
      <c r="I2737">
        <v>213.09299999999999</v>
      </c>
      <c r="J2737">
        <v>-447.1019</v>
      </c>
      <c r="K2737">
        <v>1.1096189999999999</v>
      </c>
      <c r="L2737">
        <v>212.6191</v>
      </c>
      <c r="M2737">
        <v>0.99957660000000004</v>
      </c>
      <c r="N2737">
        <v>0</v>
      </c>
      <c r="O2737">
        <v>-2.736645E-2</v>
      </c>
      <c r="P2737">
        <v>0.99533490000000002</v>
      </c>
      <c r="Q2737">
        <v>8.2896990000000004E-2</v>
      </c>
      <c r="R2737">
        <v>-4.9362349999999999E-2</v>
      </c>
      <c r="S2737">
        <v>3.0323180000000001</v>
      </c>
      <c r="T2737">
        <v>-0.17532049999999999</v>
      </c>
      <c r="U2737">
        <v>7.3654170000000005E-2</v>
      </c>
      <c r="V2737">
        <v>2.2185179999999999E-2</v>
      </c>
      <c r="W2737">
        <v>9.2723330000000007E-2</v>
      </c>
      <c r="X2737">
        <v>0.99544469999999996</v>
      </c>
      <c r="Y2737">
        <v>-5.1501529999999997E-2</v>
      </c>
      <c r="Z2737">
        <v>3.0681419999999998E-3</v>
      </c>
      <c r="AA2737">
        <v>0.99866820000000001</v>
      </c>
      <c r="AB2737">
        <v>26</v>
      </c>
      <c r="AC2737">
        <v>18.921600000000002</v>
      </c>
      <c r="AD2737">
        <v>-1.1096163532759999</v>
      </c>
      <c r="AE2737">
        <v>0.473899999999986</v>
      </c>
      <c r="AF2737">
        <v>-0.98816864478483901</v>
      </c>
      <c r="AG2737">
        <v>-1.1096163532759999</v>
      </c>
      <c r="AH2737">
        <v>18.8368041460201</v>
      </c>
      <c r="AI2737">
        <v>93.366598174654797</v>
      </c>
      <c r="AJ2737">
        <v>93.002953184262495</v>
      </c>
      <c r="AK2737">
        <v>18.895314661511101</v>
      </c>
      <c r="AL2737">
        <v>84.679702092469398</v>
      </c>
      <c r="AM2737">
        <v>88.723277354309005</v>
      </c>
      <c r="AN2737">
        <v>0.99999997444800504</v>
      </c>
    </row>
    <row r="2738" spans="1:40" x14ac:dyDescent="0.25">
      <c r="A2738" t="str">
        <f>"20190312151324161"</f>
        <v>20190312151324161</v>
      </c>
      <c r="B2738" t="str">
        <f>"1552374804152917"</f>
        <v>1552374804152917</v>
      </c>
      <c r="C2738" t="s">
        <v>40</v>
      </c>
      <c r="D2738">
        <v>4.1601929999999996</v>
      </c>
      <c r="E2738">
        <v>0.46426099999999998</v>
      </c>
      <c r="F2738" t="s">
        <v>55</v>
      </c>
      <c r="G2738">
        <v>-431.99529999999999</v>
      </c>
      <c r="H2738" s="1">
        <v>3.2251280000000002E-6</v>
      </c>
      <c r="I2738">
        <v>213.20580000000001</v>
      </c>
      <c r="J2738">
        <v>-446.85270000000003</v>
      </c>
      <c r="K2738">
        <v>1.1096600000000001</v>
      </c>
      <c r="L2738">
        <v>212.61179999999999</v>
      </c>
      <c r="M2738">
        <v>0.99956540000000005</v>
      </c>
      <c r="N2738">
        <v>0</v>
      </c>
      <c r="O2738">
        <v>-2.7771009999999999E-2</v>
      </c>
      <c r="P2738">
        <v>0.99532580000000004</v>
      </c>
      <c r="Q2738">
        <v>8.2782019999999998E-2</v>
      </c>
      <c r="R2738">
        <v>-4.9737690000000001E-2</v>
      </c>
      <c r="S2738">
        <v>3.038513</v>
      </c>
      <c r="T2738">
        <v>-0.22318589999999999</v>
      </c>
      <c r="U2738">
        <v>0.11801150000000001</v>
      </c>
      <c r="V2738">
        <v>2.2147940000000001E-2</v>
      </c>
      <c r="W2738">
        <v>9.2618409999999998E-2</v>
      </c>
      <c r="X2738">
        <v>0.99545530000000004</v>
      </c>
      <c r="Y2738">
        <v>-6.6292699999999996E-2</v>
      </c>
      <c r="Z2738">
        <v>4.4670040000000001E-3</v>
      </c>
      <c r="AA2738">
        <v>0.99779019999999996</v>
      </c>
      <c r="AB2738">
        <v>26</v>
      </c>
      <c r="AC2738">
        <v>14.8574</v>
      </c>
      <c r="AD2738">
        <v>-1.1096567748720001</v>
      </c>
      <c r="AE2738">
        <v>0.59400000000002195</v>
      </c>
      <c r="AF2738">
        <v>-1.0008222099020301</v>
      </c>
      <c r="AG2738">
        <v>-1.1096567748720001</v>
      </c>
      <c r="AH2738">
        <v>14.7530088656889</v>
      </c>
      <c r="AI2738">
        <v>94.291611577677003</v>
      </c>
      <c r="AJ2738">
        <v>93.880914467872103</v>
      </c>
      <c r="AK2738">
        <v>14.8284946587625</v>
      </c>
      <c r="AL2738">
        <v>84.685739563580199</v>
      </c>
      <c r="AM2738">
        <v>88.725433318654794</v>
      </c>
      <c r="AN2738">
        <v>0.99999997770763005</v>
      </c>
    </row>
    <row r="2739" spans="1:40" x14ac:dyDescent="0.25">
      <c r="A2739" t="str">
        <f>"20190312151324184"</f>
        <v>20190312151324184</v>
      </c>
      <c r="B2739" t="str">
        <f>"1552374804172437"</f>
        <v>1552374804172437</v>
      </c>
      <c r="C2739" t="s">
        <v>40</v>
      </c>
      <c r="D2739">
        <v>4.209873</v>
      </c>
      <c r="E2739">
        <v>0.46317120000000001</v>
      </c>
      <c r="F2739" t="s">
        <v>55</v>
      </c>
      <c r="G2739">
        <v>-431.90989999999999</v>
      </c>
      <c r="H2739" s="1">
        <v>3.1806679999999999E-6</v>
      </c>
      <c r="I2739">
        <v>213.28110000000001</v>
      </c>
      <c r="J2739">
        <v>-446.58550000000002</v>
      </c>
      <c r="K2739">
        <v>1.109715</v>
      </c>
      <c r="L2739">
        <v>212.60390000000001</v>
      </c>
      <c r="M2739">
        <v>0.99955519999999998</v>
      </c>
      <c r="N2739">
        <v>0</v>
      </c>
      <c r="O2739">
        <v>-2.8135650000000002E-2</v>
      </c>
      <c r="P2739">
        <v>0.99535200000000001</v>
      </c>
      <c r="Q2739">
        <v>8.2279400000000003E-2</v>
      </c>
      <c r="R2739">
        <v>-5.0051230000000002E-2</v>
      </c>
      <c r="S2739">
        <v>3.0396730000000001</v>
      </c>
      <c r="T2739">
        <v>-0.22572639999999999</v>
      </c>
      <c r="U2739">
        <v>0.1361542</v>
      </c>
      <c r="V2739">
        <v>2.2084929999999999E-2</v>
      </c>
      <c r="W2739">
        <v>9.2131749999999998E-2</v>
      </c>
      <c r="X2739">
        <v>0.99550190000000005</v>
      </c>
      <c r="Y2739">
        <v>-7.2561840000000002E-2</v>
      </c>
      <c r="Z2739">
        <v>4.774843E-3</v>
      </c>
      <c r="AA2739">
        <v>0.99735249999999998</v>
      </c>
      <c r="AB2739">
        <v>26</v>
      </c>
      <c r="AC2739">
        <v>14.675599999999999</v>
      </c>
      <c r="AD2739">
        <v>-1.1097118193319999</v>
      </c>
      <c r="AE2739">
        <v>0.67719999999999902</v>
      </c>
      <c r="AF2739">
        <v>-1.0836765390357801</v>
      </c>
      <c r="AG2739">
        <v>-1.1097118193319999</v>
      </c>
      <c r="AH2739">
        <v>14.5676174897455</v>
      </c>
      <c r="AI2739">
        <v>94.344228230968795</v>
      </c>
      <c r="AJ2739">
        <v>94.254363473741194</v>
      </c>
      <c r="AK2739">
        <v>14.649958856282201</v>
      </c>
      <c r="AL2739">
        <v>84.713743077425207</v>
      </c>
      <c r="AM2739">
        <v>88.729117692619496</v>
      </c>
      <c r="AN2739">
        <v>1.00000001819738</v>
      </c>
    </row>
    <row r="2740" spans="1:40" x14ac:dyDescent="0.25">
      <c r="A2740" t="str">
        <f>"20190312151324208"</f>
        <v>20190312151324208</v>
      </c>
      <c r="B2740" t="str">
        <f>"1552374804202694"</f>
        <v>1552374804202694</v>
      </c>
      <c r="C2740" t="s">
        <v>40</v>
      </c>
      <c r="D2740">
        <v>4.216691</v>
      </c>
      <c r="E2740">
        <v>0.4622232</v>
      </c>
      <c r="F2740" t="s">
        <v>55</v>
      </c>
      <c r="G2740">
        <v>-432.07510000000002</v>
      </c>
      <c r="H2740" s="1">
        <v>3.2530940000000001E-6</v>
      </c>
      <c r="I2740">
        <v>213.29060000000001</v>
      </c>
      <c r="J2740">
        <v>-446.3064</v>
      </c>
      <c r="K2740">
        <v>1.1097760000000001</v>
      </c>
      <c r="L2740">
        <v>212.59569999999999</v>
      </c>
      <c r="M2740">
        <v>0.9995465</v>
      </c>
      <c r="N2740">
        <v>0</v>
      </c>
      <c r="O2740">
        <v>-2.8430509999999999E-2</v>
      </c>
      <c r="P2740">
        <v>0.99531570000000003</v>
      </c>
      <c r="Q2740">
        <v>8.2732139999999996E-2</v>
      </c>
      <c r="R2740">
        <v>-5.0019660000000001E-2</v>
      </c>
      <c r="S2740">
        <v>3.0404659999999999</v>
      </c>
      <c r="T2740">
        <v>-0.23252500000000001</v>
      </c>
      <c r="U2740">
        <v>0.14387510000000001</v>
      </c>
      <c r="V2740">
        <v>2.1747929999999999E-2</v>
      </c>
      <c r="W2740">
        <v>9.2604640000000002E-2</v>
      </c>
      <c r="X2740">
        <v>0.99546539999999994</v>
      </c>
      <c r="Y2740">
        <v>-7.5345759999999998E-2</v>
      </c>
      <c r="Z2740">
        <v>5.0454430000000001E-3</v>
      </c>
      <c r="AA2740">
        <v>0.99714469999999999</v>
      </c>
      <c r="AB2740">
        <v>26</v>
      </c>
      <c r="AC2740">
        <v>14.2312999999999</v>
      </c>
      <c r="AD2740">
        <v>-1.1097727469059999</v>
      </c>
      <c r="AE2740">
        <v>0.69490000000001795</v>
      </c>
      <c r="AF2740">
        <v>-1.0926136786921099</v>
      </c>
      <c r="AG2740">
        <v>-1.1097727469059999</v>
      </c>
      <c r="AH2740">
        <v>14.120128355151101</v>
      </c>
      <c r="AI2740">
        <v>94.480589526801097</v>
      </c>
      <c r="AJ2740">
        <v>94.424722733157907</v>
      </c>
      <c r="AK2740">
        <v>14.2057532347491</v>
      </c>
      <c r="AL2740">
        <v>84.686531929139804</v>
      </c>
      <c r="AM2740">
        <v>88.748458345577404</v>
      </c>
      <c r="AN2740">
        <v>0.99999997720298694</v>
      </c>
    </row>
    <row r="2741" spans="1:40" x14ac:dyDescent="0.25">
      <c r="A2741" t="str">
        <f>"20190312151324232"</f>
        <v>20190312151324232</v>
      </c>
      <c r="B2741" t="str">
        <f>"1552374804223190"</f>
        <v>1552374804223190</v>
      </c>
      <c r="C2741" t="s">
        <v>40</v>
      </c>
      <c r="D2741">
        <v>4.1935349999999998</v>
      </c>
      <c r="E2741">
        <v>0.46182210000000001</v>
      </c>
      <c r="F2741" t="s">
        <v>55</v>
      </c>
      <c r="G2741">
        <v>-431.95010000000002</v>
      </c>
      <c r="H2741" s="1">
        <v>3.1958500000000001E-6</v>
      </c>
      <c r="I2741">
        <v>213.3116</v>
      </c>
      <c r="J2741">
        <v>-446.02019999999999</v>
      </c>
      <c r="K2741">
        <v>1.109831</v>
      </c>
      <c r="L2741">
        <v>212.5873</v>
      </c>
      <c r="M2741">
        <v>0.99954030000000005</v>
      </c>
      <c r="N2741">
        <v>0</v>
      </c>
      <c r="O2741">
        <v>-2.8644329999999999E-2</v>
      </c>
      <c r="P2741">
        <v>0.99530430000000003</v>
      </c>
      <c r="Q2741">
        <v>8.2871529999999999E-2</v>
      </c>
      <c r="R2741">
        <v>-5.0018699999999902E-2</v>
      </c>
      <c r="S2741">
        <v>3.04129</v>
      </c>
      <c r="T2741">
        <v>-0.23509820000000001</v>
      </c>
      <c r="U2741">
        <v>0.15165709999999999</v>
      </c>
      <c r="V2741">
        <v>2.1521209999999999E-2</v>
      </c>
      <c r="W2741">
        <v>9.2765109999999998E-2</v>
      </c>
      <c r="X2741">
        <v>0.99545539999999999</v>
      </c>
      <c r="Y2741">
        <v>-7.8076229999999996E-2</v>
      </c>
      <c r="Z2741">
        <v>5.2212509999999997E-3</v>
      </c>
      <c r="AA2741">
        <v>0.99693370000000003</v>
      </c>
      <c r="AB2741">
        <v>26</v>
      </c>
      <c r="AC2741">
        <v>14.070099999999901</v>
      </c>
      <c r="AD2741">
        <v>-1.10982780415</v>
      </c>
      <c r="AE2741">
        <v>0.72429999999999894</v>
      </c>
      <c r="AF2741">
        <v>-1.12010060757941</v>
      </c>
      <c r="AG2741">
        <v>-1.10982780415</v>
      </c>
      <c r="AH2741">
        <v>13.9569697694622</v>
      </c>
      <c r="AI2741">
        <v>94.531958958937494</v>
      </c>
      <c r="AJ2741">
        <v>94.588373209415806</v>
      </c>
      <c r="AK2741">
        <v>14.0457590849211</v>
      </c>
      <c r="AL2741">
        <v>84.677297999671595</v>
      </c>
      <c r="AM2741">
        <v>88.761489019596794</v>
      </c>
      <c r="AN2741">
        <v>0.99999999075116797</v>
      </c>
    </row>
    <row r="2742" spans="1:40" x14ac:dyDescent="0.25">
      <c r="A2742" t="str">
        <f>"20190312151324253"</f>
        <v>20190312151324253</v>
      </c>
      <c r="B2742" t="str">
        <f>"1552374804242710"</f>
        <v>1552374804242710</v>
      </c>
      <c r="C2742" t="s">
        <v>40</v>
      </c>
      <c r="D2742">
        <v>4.2272049999999997</v>
      </c>
      <c r="E2742">
        <v>0.46161730000000001</v>
      </c>
      <c r="F2742" t="s">
        <v>55</v>
      </c>
      <c r="G2742">
        <v>-431.71710000000002</v>
      </c>
      <c r="H2742" s="1">
        <v>3.0923220000000002E-6</v>
      </c>
      <c r="I2742">
        <v>213.31389999999999</v>
      </c>
      <c r="J2742">
        <v>-445.77140000000003</v>
      </c>
      <c r="K2742">
        <v>1.109866</v>
      </c>
      <c r="L2742">
        <v>212.58</v>
      </c>
      <c r="M2742">
        <v>0.99953650000000005</v>
      </c>
      <c r="N2742">
        <v>0</v>
      </c>
      <c r="O2742">
        <v>-2.8773590000000002E-2</v>
      </c>
      <c r="P2742">
        <v>0.99533559999999999</v>
      </c>
      <c r="Q2742">
        <v>8.2447770000000004E-2</v>
      </c>
      <c r="R2742">
        <v>-5.0093800000000001E-2</v>
      </c>
      <c r="S2742">
        <v>3.041595</v>
      </c>
      <c r="T2742">
        <v>-0.23600789999999999</v>
      </c>
      <c r="U2742">
        <v>0.1545105</v>
      </c>
      <c r="V2742">
        <v>2.1456969999999999E-2</v>
      </c>
      <c r="W2742">
        <v>9.2359650000000001E-2</v>
      </c>
      <c r="X2742">
        <v>0.99549449999999995</v>
      </c>
      <c r="Y2742">
        <v>-7.9127089999999997E-2</v>
      </c>
      <c r="Z2742">
        <v>5.2914470000000003E-3</v>
      </c>
      <c r="AA2742">
        <v>0.99685049999999997</v>
      </c>
      <c r="AB2742">
        <v>26</v>
      </c>
      <c r="AC2742">
        <v>14.0543</v>
      </c>
      <c r="AD2742">
        <v>-1.109862907678</v>
      </c>
      <c r="AE2742">
        <v>0.73389999999997702</v>
      </c>
      <c r="AF2742">
        <v>-1.13097495033047</v>
      </c>
      <c r="AG2742">
        <v>-1.109862907678</v>
      </c>
      <c r="AH2742">
        <v>13.940661943405001</v>
      </c>
      <c r="AI2742">
        <v>94.5370646885535</v>
      </c>
      <c r="AJ2742">
        <v>94.638121572760994</v>
      </c>
      <c r="AK2742">
        <v>14.030429623942901</v>
      </c>
      <c r="AL2742">
        <v>84.700629375960702</v>
      </c>
      <c r="AM2742">
        <v>88.765233266583493</v>
      </c>
      <c r="AN2742">
        <v>1.0000000030199701</v>
      </c>
    </row>
    <row r="2743" spans="1:40" x14ac:dyDescent="0.25">
      <c r="A2743" t="str">
        <f>"20190312151324272"</f>
        <v>20190312151324272</v>
      </c>
      <c r="B2743" t="str">
        <f>"1552374804263206"</f>
        <v>1552374804263206</v>
      </c>
      <c r="C2743" t="s">
        <v>40</v>
      </c>
      <c r="D2743">
        <v>4.2790920000000003</v>
      </c>
      <c r="E2743">
        <v>0.46136440000000001</v>
      </c>
      <c r="F2743" t="s">
        <v>55</v>
      </c>
      <c r="G2743">
        <v>-431.6574</v>
      </c>
      <c r="H2743" s="1">
        <v>3.0666399999999998E-6</v>
      </c>
      <c r="I2743">
        <v>213.3047</v>
      </c>
      <c r="J2743">
        <v>-445.53809999999999</v>
      </c>
      <c r="K2743">
        <v>1.109896</v>
      </c>
      <c r="L2743">
        <v>212.57320000000001</v>
      </c>
      <c r="M2743">
        <v>0.99953409999999998</v>
      </c>
      <c r="N2743">
        <v>0</v>
      </c>
      <c r="O2743">
        <v>-2.8849779999999998E-2</v>
      </c>
      <c r="P2743">
        <v>0.99536809999999998</v>
      </c>
      <c r="Q2743">
        <v>8.1936910000000002E-2</v>
      </c>
      <c r="R2743">
        <v>-5.0284830000000003E-2</v>
      </c>
      <c r="S2743">
        <v>3.0417179999999999</v>
      </c>
      <c r="T2743">
        <v>-0.2391868</v>
      </c>
      <c r="U2743">
        <v>0.1561737</v>
      </c>
      <c r="V2743">
        <v>2.156371E-2</v>
      </c>
      <c r="W2743">
        <v>9.1864879999999996E-2</v>
      </c>
      <c r="X2743">
        <v>0.99553800000000003</v>
      </c>
      <c r="Y2743">
        <v>-7.9733890000000002E-2</v>
      </c>
      <c r="Z2743">
        <v>5.3920019999999999E-3</v>
      </c>
      <c r="AA2743">
        <v>0.99680159999999995</v>
      </c>
      <c r="AB2743">
        <v>26</v>
      </c>
      <c r="AC2743">
        <v>13.8806999999999</v>
      </c>
      <c r="AD2743">
        <v>-1.1098929333600001</v>
      </c>
      <c r="AE2743">
        <v>0.73149999999998205</v>
      </c>
      <c r="AF2743">
        <v>-1.1245009111064499</v>
      </c>
      <c r="AG2743">
        <v>-1.1098929333600001</v>
      </c>
      <c r="AH2743">
        <v>13.766047414303401</v>
      </c>
      <c r="AI2743">
        <v>94.594286980616403</v>
      </c>
      <c r="AJ2743">
        <v>94.669925944365403</v>
      </c>
      <c r="AK2743">
        <v>13.8564218337727</v>
      </c>
      <c r="AL2743">
        <v>84.729098782963405</v>
      </c>
      <c r="AM2743">
        <v>88.759146907290102</v>
      </c>
      <c r="AN2743">
        <v>1.0000000296051801</v>
      </c>
    </row>
    <row r="2744" spans="1:40" x14ac:dyDescent="0.25">
      <c r="A2744" t="str">
        <f>"20190312151324296"</f>
        <v>20190312151324296</v>
      </c>
      <c r="B2744" t="str">
        <f>"1552374804292486"</f>
        <v>1552374804292486</v>
      </c>
      <c r="C2744" t="s">
        <v>40</v>
      </c>
      <c r="D2744">
        <v>4.2503190000000002</v>
      </c>
      <c r="E2744">
        <v>0.46109020000000001</v>
      </c>
      <c r="F2744" t="s">
        <v>55</v>
      </c>
      <c r="G2744">
        <v>-431.67079999999999</v>
      </c>
      <c r="H2744" s="1">
        <v>3.073757E-6</v>
      </c>
      <c r="I2744">
        <v>213.29150000000001</v>
      </c>
      <c r="J2744">
        <v>-445.26560000000001</v>
      </c>
      <c r="K2744">
        <v>1.109928</v>
      </c>
      <c r="L2744">
        <v>212.5652</v>
      </c>
      <c r="M2744">
        <v>0.9995328</v>
      </c>
      <c r="N2744">
        <v>0</v>
      </c>
      <c r="O2744">
        <v>-2.889133E-2</v>
      </c>
      <c r="P2744">
        <v>0.99532410000000004</v>
      </c>
      <c r="Q2744">
        <v>8.2118679999999999E-2</v>
      </c>
      <c r="R2744">
        <v>-5.0860120000000002E-2</v>
      </c>
      <c r="S2744">
        <v>3.0419619999999998</v>
      </c>
      <c r="T2744">
        <v>-0.24346970000000001</v>
      </c>
      <c r="U2744">
        <v>0.15757750000000001</v>
      </c>
      <c r="V2744">
        <v>2.2091820000000002E-2</v>
      </c>
      <c r="W2744">
        <v>9.2064309999999996E-2</v>
      </c>
      <c r="X2744">
        <v>0.99550799999999995</v>
      </c>
      <c r="Y2744">
        <v>-8.0216319999999994E-2</v>
      </c>
      <c r="Z2744">
        <v>5.5103289999999996E-3</v>
      </c>
      <c r="AA2744">
        <v>0.99676229999999999</v>
      </c>
      <c r="AB2744">
        <v>26</v>
      </c>
      <c r="AC2744">
        <v>13.594799999999999</v>
      </c>
      <c r="AD2744">
        <v>-1.109924926243</v>
      </c>
      <c r="AE2744">
        <v>0.72630000000000905</v>
      </c>
      <c r="AF2744">
        <v>-1.1114010615652199</v>
      </c>
      <c r="AG2744">
        <v>-1.109924926243</v>
      </c>
      <c r="AH2744">
        <v>13.4785521687526</v>
      </c>
      <c r="AI2744">
        <v>94.691690649747699</v>
      </c>
      <c r="AJ2744">
        <v>94.713774523038794</v>
      </c>
      <c r="AK2744">
        <v>13.569764707883801</v>
      </c>
      <c r="AL2744">
        <v>84.717623669605402</v>
      </c>
      <c r="AM2744">
        <v>88.728729123337203</v>
      </c>
      <c r="AN2744">
        <v>1.0000000318753399</v>
      </c>
    </row>
    <row r="2745" spans="1:40" x14ac:dyDescent="0.25">
      <c r="A2745" t="str">
        <f>"20190312151324317"</f>
        <v>20190312151324317</v>
      </c>
      <c r="B2745" t="str">
        <f>"1552374804312981"</f>
        <v>1552374804312981</v>
      </c>
      <c r="C2745" t="s">
        <v>40</v>
      </c>
      <c r="D2745">
        <v>4.2703660000000001</v>
      </c>
      <c r="E2745">
        <v>0.46095199999999997</v>
      </c>
      <c r="F2745" t="s">
        <v>55</v>
      </c>
      <c r="G2745">
        <v>-431.29950000000002</v>
      </c>
      <c r="H2745" s="1">
        <v>2.9092040000000001E-6</v>
      </c>
      <c r="I2745">
        <v>213.2902</v>
      </c>
      <c r="J2745">
        <v>-445.01510000000002</v>
      </c>
      <c r="K2745">
        <v>1.1099490000000001</v>
      </c>
      <c r="L2745">
        <v>212.55799999999999</v>
      </c>
      <c r="M2745">
        <v>0.99953230000000004</v>
      </c>
      <c r="N2745">
        <v>0</v>
      </c>
      <c r="O2745">
        <v>-2.890009E-2</v>
      </c>
      <c r="P2745">
        <v>0.99529610000000002</v>
      </c>
      <c r="Q2745">
        <v>8.2116889999999998E-2</v>
      </c>
      <c r="R2745">
        <v>-5.1407120000000001E-2</v>
      </c>
      <c r="S2745">
        <v>3.042084</v>
      </c>
      <c r="T2745">
        <v>-0.2417639</v>
      </c>
      <c r="U2745">
        <v>0.1579132</v>
      </c>
      <c r="V2745">
        <v>2.2626110000000001E-2</v>
      </c>
      <c r="W2745">
        <v>9.2079030000000006E-2</v>
      </c>
      <c r="X2745">
        <v>0.99549460000000001</v>
      </c>
      <c r="Y2745">
        <v>-8.0337160000000005E-2</v>
      </c>
      <c r="Z2745">
        <v>5.477099E-3</v>
      </c>
      <c r="AA2745">
        <v>0.99675270000000005</v>
      </c>
      <c r="AB2745">
        <v>26</v>
      </c>
      <c r="AC2745">
        <v>13.715599999999901</v>
      </c>
      <c r="AD2745">
        <v>-1.1099460907959999</v>
      </c>
      <c r="AE2745">
        <v>0.73220000000000596</v>
      </c>
      <c r="AF2745">
        <v>-1.12097562873426</v>
      </c>
      <c r="AG2745">
        <v>-1.1099460907959999</v>
      </c>
      <c r="AH2745">
        <v>13.599896346055999</v>
      </c>
      <c r="AI2745">
        <v>94.650114041835295</v>
      </c>
      <c r="AJ2745">
        <v>94.711970534203502</v>
      </c>
      <c r="AK2745">
        <v>13.6910827660984</v>
      </c>
      <c r="AL2745">
        <v>84.716776475398703</v>
      </c>
      <c r="AM2745">
        <v>88.697976414324799</v>
      </c>
      <c r="AN2745">
        <v>0.99999999362431602</v>
      </c>
    </row>
    <row r="2746" spans="1:40" x14ac:dyDescent="0.25">
      <c r="A2746" t="str">
        <f>"20190312151324340"</f>
        <v>20190312151324340</v>
      </c>
      <c r="B2746" t="str">
        <f>"1552374804332502"</f>
        <v>1552374804332502</v>
      </c>
      <c r="C2746" t="s">
        <v>40</v>
      </c>
      <c r="D2746">
        <v>4.2716570000000003</v>
      </c>
      <c r="E2746">
        <v>0.46080959999999899</v>
      </c>
      <c r="F2746" t="s">
        <v>55</v>
      </c>
      <c r="G2746">
        <v>-431.14350000000002</v>
      </c>
      <c r="H2746" s="1">
        <v>2.8412399999999998E-6</v>
      </c>
      <c r="I2746">
        <v>213.27600000000001</v>
      </c>
      <c r="J2746">
        <v>-444.74709999999999</v>
      </c>
      <c r="K2746">
        <v>1.1099669999999999</v>
      </c>
      <c r="L2746">
        <v>212.55019999999999</v>
      </c>
      <c r="M2746">
        <v>0.99953259999999999</v>
      </c>
      <c r="N2746">
        <v>0</v>
      </c>
      <c r="O2746">
        <v>-2.8884719999999999E-2</v>
      </c>
      <c r="P2746">
        <v>0.99528459999999996</v>
      </c>
      <c r="Q2746">
        <v>8.1992399999999993E-2</v>
      </c>
      <c r="R2746">
        <v>-5.1827900000000003E-2</v>
      </c>
      <c r="S2746">
        <v>3.042389</v>
      </c>
      <c r="T2746">
        <v>-0.24343790000000001</v>
      </c>
      <c r="U2746">
        <v>0.15747069999999999</v>
      </c>
      <c r="V2746">
        <v>2.3058309999999999E-2</v>
      </c>
      <c r="W2746">
        <v>9.1975989999999994E-2</v>
      </c>
      <c r="X2746">
        <v>0.9954942</v>
      </c>
      <c r="Y2746">
        <v>-8.0167959999999996E-2</v>
      </c>
      <c r="Z2746">
        <v>5.5063890000000004E-3</v>
      </c>
      <c r="AA2746">
        <v>0.99676609999999999</v>
      </c>
      <c r="AB2746">
        <v>26</v>
      </c>
      <c r="AC2746">
        <v>13.603599999999901</v>
      </c>
      <c r="AD2746">
        <v>-1.10996415876</v>
      </c>
      <c r="AE2746">
        <v>0.72579999999999201</v>
      </c>
      <c r="AF2746">
        <v>-1.1110770221695401</v>
      </c>
      <c r="AG2746">
        <v>-1.10996415876</v>
      </c>
      <c r="AH2746">
        <v>13.4874203172353</v>
      </c>
      <c r="AI2746">
        <v>94.688814449551103</v>
      </c>
      <c r="AJ2746">
        <v>94.709321842482794</v>
      </c>
      <c r="AK2746">
        <v>13.578549974010301</v>
      </c>
      <c r="AL2746">
        <v>84.722705348151905</v>
      </c>
      <c r="AM2746">
        <v>88.673113662584896</v>
      </c>
      <c r="AN2746">
        <v>0.99999998531508805</v>
      </c>
    </row>
    <row r="2747" spans="1:40" x14ac:dyDescent="0.25">
      <c r="A2747" t="str">
        <f>"20190312151324361"</f>
        <v>20190312151324361</v>
      </c>
      <c r="B2747" t="str">
        <f>"1552374804352998"</f>
        <v>1552374804352998</v>
      </c>
      <c r="C2747" t="s">
        <v>40</v>
      </c>
      <c r="D2747">
        <v>4.3481209999999999</v>
      </c>
      <c r="E2747">
        <v>0.4608312</v>
      </c>
      <c r="F2747" t="s">
        <v>55</v>
      </c>
      <c r="G2747">
        <v>-430.96749999999997</v>
      </c>
      <c r="H2747" s="1">
        <v>2.764355E-6</v>
      </c>
      <c r="I2747">
        <v>213.26310000000001</v>
      </c>
      <c r="J2747">
        <v>-444.49349999999998</v>
      </c>
      <c r="K2747">
        <v>1.1099889999999999</v>
      </c>
      <c r="L2747">
        <v>212.5429</v>
      </c>
      <c r="M2747">
        <v>0.99953360000000002</v>
      </c>
      <c r="N2747">
        <v>0</v>
      </c>
      <c r="O2747">
        <v>-2.8840500000000002E-2</v>
      </c>
      <c r="P2747">
        <v>0.99526289999999995</v>
      </c>
      <c r="Q2747">
        <v>8.1799860000000002E-2</v>
      </c>
      <c r="R2747">
        <v>-5.2543769999999997E-2</v>
      </c>
      <c r="S2747">
        <v>3.0426030000000002</v>
      </c>
      <c r="T2747">
        <v>-0.2450862</v>
      </c>
      <c r="U2747">
        <v>0.15740970000000001</v>
      </c>
      <c r="V2747">
        <v>2.3814450000000001E-2</v>
      </c>
      <c r="W2747">
        <v>9.1806020000000002E-2</v>
      </c>
      <c r="X2747">
        <v>0.99549209999999999</v>
      </c>
      <c r="Y2747">
        <v>-8.0096020000000004E-2</v>
      </c>
      <c r="Z2747">
        <v>5.5367230000000003E-3</v>
      </c>
      <c r="AA2747">
        <v>0.99677179999999999</v>
      </c>
      <c r="AB2747">
        <v>26</v>
      </c>
      <c r="AC2747">
        <v>13.526</v>
      </c>
      <c r="AD2747">
        <v>-1.1099862356450001</v>
      </c>
      <c r="AE2747">
        <v>0.72020000000000495</v>
      </c>
      <c r="AF2747">
        <v>-1.1026122551544399</v>
      </c>
      <c r="AG2747">
        <v>-1.1099862356450001</v>
      </c>
      <c r="AH2747">
        <v>13.4095515289504</v>
      </c>
      <c r="AI2747">
        <v>94.716071822618105</v>
      </c>
      <c r="AJ2747">
        <v>94.700621481705397</v>
      </c>
      <c r="AK2747">
        <v>13.500514635972699</v>
      </c>
      <c r="AL2747">
        <v>84.732485353233898</v>
      </c>
      <c r="AM2747">
        <v>88.6296151603824</v>
      </c>
      <c r="AN2747">
        <v>0.99999999724972599</v>
      </c>
    </row>
    <row r="2748" spans="1:40" x14ac:dyDescent="0.25">
      <c r="A2748" t="str">
        <f>"20190312151324385"</f>
        <v>20190312151324385</v>
      </c>
      <c r="B2748" t="str">
        <f>"1552374804373493"</f>
        <v>1552374804373493</v>
      </c>
      <c r="C2748" t="s">
        <v>40</v>
      </c>
      <c r="D2748">
        <v>4.3496379999999997</v>
      </c>
      <c r="E2748">
        <v>0.46082240000000002</v>
      </c>
      <c r="F2748" t="s">
        <v>55</v>
      </c>
      <c r="G2748">
        <v>-430.64499999999998</v>
      </c>
      <c r="H2748" s="1">
        <v>2.6225120000000002E-6</v>
      </c>
      <c r="I2748">
        <v>213.24930000000001</v>
      </c>
      <c r="J2748">
        <v>-444.21980000000002</v>
      </c>
      <c r="K2748">
        <v>1.110025</v>
      </c>
      <c r="L2748">
        <v>212.5351</v>
      </c>
      <c r="M2748">
        <v>0.99953579999999997</v>
      </c>
      <c r="N2748">
        <v>0</v>
      </c>
      <c r="O2748">
        <v>-2.875494E-2</v>
      </c>
      <c r="P2748">
        <v>0.99523530000000004</v>
      </c>
      <c r="Q2748">
        <v>8.2016329999999998E-2</v>
      </c>
      <c r="R2748">
        <v>-5.2729280000000003E-2</v>
      </c>
      <c r="S2748">
        <v>3.0425110000000002</v>
      </c>
      <c r="T2748">
        <v>-0.24386260000000001</v>
      </c>
      <c r="U2748">
        <v>0.1551971</v>
      </c>
      <c r="V2748">
        <v>2.40801E-2</v>
      </c>
      <c r="W2748">
        <v>9.2048160000000004E-2</v>
      </c>
      <c r="X2748">
        <v>0.9954634</v>
      </c>
      <c r="Y2748">
        <v>-7.9295589999999999E-2</v>
      </c>
      <c r="Z2748">
        <v>5.4705839999999997E-3</v>
      </c>
      <c r="AA2748">
        <v>0.9968361</v>
      </c>
      <c r="AB2748">
        <v>26</v>
      </c>
      <c r="AC2748">
        <v>13.5748</v>
      </c>
      <c r="AD2748">
        <v>-1.110022377488</v>
      </c>
      <c r="AE2748">
        <v>0.71420000000000505</v>
      </c>
      <c r="AF2748">
        <v>-1.0969524935063999</v>
      </c>
      <c r="AG2748">
        <v>-1.110022377488</v>
      </c>
      <c r="AH2748">
        <v>13.458904233860199</v>
      </c>
      <c r="AI2748">
        <v>94.699282941334005</v>
      </c>
      <c r="AJ2748">
        <v>94.659527198675505</v>
      </c>
      <c r="AK2748">
        <v>13.549079585999699</v>
      </c>
      <c r="AL2748">
        <v>84.718553026932099</v>
      </c>
      <c r="AM2748">
        <v>88.614294521231898</v>
      </c>
      <c r="AN2748">
        <v>1.00000004785747</v>
      </c>
    </row>
    <row r="2749" spans="1:40" x14ac:dyDescent="0.25">
      <c r="A2749" t="str">
        <f>"20190312151324410"</f>
        <v>20190312151324410</v>
      </c>
      <c r="B2749" t="str">
        <f>"1552374804402773"</f>
        <v>1552374804402773</v>
      </c>
      <c r="C2749" t="s">
        <v>40</v>
      </c>
      <c r="D2749">
        <v>4.5989829999999996</v>
      </c>
      <c r="E2749">
        <v>0.4606268</v>
      </c>
      <c r="F2749" t="s">
        <v>55</v>
      </c>
      <c r="G2749">
        <v>-430.25810000000001</v>
      </c>
      <c r="H2749" s="1">
        <v>2.4513090000000002E-6</v>
      </c>
      <c r="I2749">
        <v>213.24520000000001</v>
      </c>
      <c r="J2749">
        <v>-443.92860000000002</v>
      </c>
      <c r="K2749">
        <v>1.110069</v>
      </c>
      <c r="L2749">
        <v>212.52680000000001</v>
      </c>
      <c r="M2749">
        <v>0.99953979999999998</v>
      </c>
      <c r="N2749">
        <v>0</v>
      </c>
      <c r="O2749">
        <v>-2.8611569999999999E-2</v>
      </c>
      <c r="P2749">
        <v>0.99525039999999998</v>
      </c>
      <c r="Q2749">
        <v>8.1829120000000005E-2</v>
      </c>
      <c r="R2749">
        <v>-5.273514E-2</v>
      </c>
      <c r="S2749">
        <v>3.0424799999999999</v>
      </c>
      <c r="T2749">
        <v>-0.24189189999999999</v>
      </c>
      <c r="U2749">
        <v>0.1547394</v>
      </c>
      <c r="V2749">
        <v>2.4220309999999998E-2</v>
      </c>
      <c r="W2749">
        <v>9.1887200000000002E-2</v>
      </c>
      <c r="X2749">
        <v>0.99547479999999999</v>
      </c>
      <c r="Y2749">
        <v>-7.9010419999999998E-2</v>
      </c>
      <c r="Z2749">
        <v>5.403901E-3</v>
      </c>
      <c r="AA2749">
        <v>0.9968591</v>
      </c>
      <c r="AB2749">
        <v>26</v>
      </c>
      <c r="AC2749">
        <v>13.670500000000001</v>
      </c>
      <c r="AD2749">
        <v>-1.110066548691</v>
      </c>
      <c r="AE2749">
        <v>0.71840000000000204</v>
      </c>
      <c r="AF2749">
        <v>-1.1020138552015299</v>
      </c>
      <c r="AG2749">
        <v>-1.110066548691</v>
      </c>
      <c r="AH2749">
        <v>13.5552143286745</v>
      </c>
      <c r="AI2749">
        <v>94.666304516714703</v>
      </c>
      <c r="AJ2749">
        <v>94.647819145312098</v>
      </c>
      <c r="AK2749">
        <v>13.6451646298563</v>
      </c>
      <c r="AL2749">
        <v>84.727814242742696</v>
      </c>
      <c r="AM2749">
        <v>88.606245171240502</v>
      </c>
      <c r="AN2749">
        <v>0.99999997918768702</v>
      </c>
    </row>
    <row r="2750" spans="1:40" x14ac:dyDescent="0.25">
      <c r="A2750" t="str">
        <f>"20190312151324453"</f>
        <v>20190312151324453</v>
      </c>
      <c r="B2750" t="str">
        <f>"1552374804442789"</f>
        <v>1552374804442789</v>
      </c>
      <c r="C2750" t="s">
        <v>40</v>
      </c>
      <c r="D2750">
        <v>4.7901590000000001</v>
      </c>
      <c r="E2750">
        <v>0.46036510000000003</v>
      </c>
      <c r="F2750" t="s">
        <v>55</v>
      </c>
      <c r="G2750">
        <v>-430.13639999999998</v>
      </c>
      <c r="H2750" s="1">
        <v>2.398132E-6</v>
      </c>
      <c r="I2750">
        <v>213.23589999999999</v>
      </c>
      <c r="J2750">
        <v>-443.40609999999998</v>
      </c>
      <c r="K2750">
        <v>1.1101399999999999</v>
      </c>
      <c r="L2750">
        <v>212.51230000000001</v>
      </c>
      <c r="M2750">
        <v>0.9995503</v>
      </c>
      <c r="N2750">
        <v>0</v>
      </c>
      <c r="O2750">
        <v>-2.8227439999999999E-2</v>
      </c>
      <c r="P2750">
        <v>0.99535969999999996</v>
      </c>
      <c r="Q2750">
        <v>8.1203040000000004E-2</v>
      </c>
      <c r="R2750">
        <v>-5.1630009999999997E-2</v>
      </c>
      <c r="S2750">
        <v>3.0427249999999999</v>
      </c>
      <c r="T2750">
        <v>-0.24489320000000001</v>
      </c>
      <c r="U2750">
        <v>0.15643309999999999</v>
      </c>
      <c r="V2750">
        <v>2.3479960000000001E-2</v>
      </c>
      <c r="W2750">
        <v>9.1306010000000007E-2</v>
      </c>
      <c r="X2750">
        <v>0.99554600000000004</v>
      </c>
      <c r="Y2750">
        <v>-7.9169069999999994E-2</v>
      </c>
      <c r="Z2750">
        <v>5.4457480000000003E-3</v>
      </c>
      <c r="AA2750">
        <v>0.99684629999999996</v>
      </c>
      <c r="AB2750">
        <v>27</v>
      </c>
      <c r="AC2750">
        <v>13.2697</v>
      </c>
      <c r="AD2750">
        <v>-1.11013760186799</v>
      </c>
      <c r="AE2750">
        <v>0.72359999999997604</v>
      </c>
      <c r="AF2750">
        <v>-1.09029222537647</v>
      </c>
      <c r="AG2750">
        <v>-1.11013760186799</v>
      </c>
      <c r="AH2750">
        <v>13.152206992760201</v>
      </c>
      <c r="AI2750">
        <v>94.808309836315502</v>
      </c>
      <c r="AJ2750">
        <v>94.738872522749901</v>
      </c>
      <c r="AK2750">
        <v>13.243930361196</v>
      </c>
      <c r="AL2750">
        <v>84.761254490807104</v>
      </c>
      <c r="AM2750">
        <v>88.648929078445406</v>
      </c>
      <c r="AN2750">
        <v>0.99999996704986005</v>
      </c>
    </row>
    <row r="2751" spans="1:40" x14ac:dyDescent="0.25">
      <c r="A2751" t="str">
        <f>"20190312151324474"</f>
        <v>20190312151324474</v>
      </c>
      <c r="B2751" t="str">
        <f>"1552374804463286"</f>
        <v>1552374804463286</v>
      </c>
      <c r="C2751" t="s">
        <v>40</v>
      </c>
      <c r="D2751">
        <v>4.442609</v>
      </c>
      <c r="E2751">
        <v>0.46029819999999999</v>
      </c>
      <c r="F2751" t="s">
        <v>55</v>
      </c>
      <c r="G2751">
        <v>-429.97469999999998</v>
      </c>
      <c r="H2751" s="1">
        <v>2.32728E-6</v>
      </c>
      <c r="I2751">
        <v>213.22630000000001</v>
      </c>
      <c r="J2751">
        <v>-443.15289999999999</v>
      </c>
      <c r="K2751">
        <v>1.1101650000000001</v>
      </c>
      <c r="L2751">
        <v>212.50540000000001</v>
      </c>
      <c r="M2751">
        <v>0.99955680000000002</v>
      </c>
      <c r="N2751">
        <v>0</v>
      </c>
      <c r="O2751">
        <v>-2.7987479999999999E-2</v>
      </c>
      <c r="P2751">
        <v>0.99535899999999999</v>
      </c>
      <c r="Q2751">
        <v>8.1442760000000003E-2</v>
      </c>
      <c r="R2751">
        <v>-5.1262769999999999E-2</v>
      </c>
      <c r="S2751">
        <v>3.0429379999999999</v>
      </c>
      <c r="T2751">
        <v>-0.25150660000000002</v>
      </c>
      <c r="U2751">
        <v>0.16177369999999999</v>
      </c>
      <c r="V2751">
        <v>2.3345999999999999E-2</v>
      </c>
      <c r="W2751">
        <v>9.1564329999999999E-2</v>
      </c>
      <c r="X2751">
        <v>0.99552549999999995</v>
      </c>
      <c r="Y2751">
        <v>-8.064781E-2</v>
      </c>
      <c r="Z2751">
        <v>5.6328630000000001E-3</v>
      </c>
      <c r="AA2751">
        <v>0.99672680000000002</v>
      </c>
      <c r="AB2751">
        <v>27</v>
      </c>
      <c r="AC2751">
        <v>13.1782</v>
      </c>
      <c r="AD2751">
        <v>-1.11016267272</v>
      </c>
      <c r="AE2751">
        <v>0.72089999999999999</v>
      </c>
      <c r="AF2751">
        <v>-1.0818067295857401</v>
      </c>
      <c r="AG2751">
        <v>-1.11016267272</v>
      </c>
      <c r="AH2751">
        <v>13.060449475331399</v>
      </c>
      <c r="AI2751">
        <v>94.842066578375196</v>
      </c>
      <c r="AJ2751">
        <v>94.735042774809898</v>
      </c>
      <c r="AK2751">
        <v>13.152114182053101</v>
      </c>
      <c r="AL2751">
        <v>84.746391977526997</v>
      </c>
      <c r="AM2751">
        <v>88.656606845605495</v>
      </c>
      <c r="AN2751">
        <v>1.0000000416972901</v>
      </c>
    </row>
    <row r="2752" spans="1:40" x14ac:dyDescent="0.25">
      <c r="A2752" t="str">
        <f>"20190312151324496"</f>
        <v>20190312151324496</v>
      </c>
      <c r="B2752" t="str">
        <f>"1552374804492566"</f>
        <v>1552374804492566</v>
      </c>
      <c r="C2752" t="s">
        <v>40</v>
      </c>
      <c r="D2752">
        <v>4.4704389999999998</v>
      </c>
      <c r="E2752">
        <v>0.44598159999999998</v>
      </c>
      <c r="F2752" t="s">
        <v>55</v>
      </c>
      <c r="G2752">
        <v>-429.76179999999999</v>
      </c>
      <c r="H2752" s="1">
        <v>2.3546479999999999E-6</v>
      </c>
      <c r="I2752">
        <v>213.22489999999999</v>
      </c>
      <c r="J2752">
        <v>-442.90359999999998</v>
      </c>
      <c r="K2752">
        <v>1.1101909999999999</v>
      </c>
      <c r="L2752">
        <v>212.49870000000001</v>
      </c>
      <c r="M2752">
        <v>0.99956420000000001</v>
      </c>
      <c r="N2752">
        <v>0</v>
      </c>
      <c r="O2752">
        <v>-2.771405E-2</v>
      </c>
      <c r="P2752">
        <v>0.9953978</v>
      </c>
      <c r="Q2752">
        <v>8.1255170000000002E-2</v>
      </c>
      <c r="R2752">
        <v>-5.0805669999999997E-2</v>
      </c>
      <c r="S2752">
        <v>3.0430600000000001</v>
      </c>
      <c r="T2752">
        <v>-0.25228010000000001</v>
      </c>
      <c r="U2752">
        <v>0.1635132</v>
      </c>
      <c r="V2752">
        <v>2.31553E-2</v>
      </c>
      <c r="W2752">
        <v>9.1394329999999996E-2</v>
      </c>
      <c r="X2752">
        <v>0.99554549999999997</v>
      </c>
      <c r="Y2752">
        <v>-8.0938880000000005E-2</v>
      </c>
      <c r="Z2752">
        <v>5.6392430000000004E-3</v>
      </c>
      <c r="AA2752">
        <v>0.99670309999999995</v>
      </c>
      <c r="AB2752">
        <v>27</v>
      </c>
      <c r="AC2752">
        <v>13.1417999999999</v>
      </c>
      <c r="AD2752">
        <v>-1.110188645352</v>
      </c>
      <c r="AE2752">
        <v>0.72619999999997698</v>
      </c>
      <c r="AF2752">
        <v>-1.0824509848892501</v>
      </c>
      <c r="AG2752">
        <v>-1.110188645352</v>
      </c>
      <c r="AH2752">
        <v>13.023962366595599</v>
      </c>
      <c r="AI2752">
        <v>94.855567990181299</v>
      </c>
      <c r="AJ2752">
        <v>94.751062415439307</v>
      </c>
      <c r="AK2752">
        <v>13.1159374308303</v>
      </c>
      <c r="AL2752">
        <v>84.756172880178994</v>
      </c>
      <c r="AM2752">
        <v>88.667603034859297</v>
      </c>
      <c r="AN2752">
        <v>0.99999996702224303</v>
      </c>
    </row>
    <row r="2753" spans="1:40" x14ac:dyDescent="0.25">
      <c r="A2753" t="str">
        <f>"20190312151324519"</f>
        <v>20190312151324519</v>
      </c>
      <c r="B2753" t="str">
        <f>"1552374804513064"</f>
        <v>1552374804513064</v>
      </c>
      <c r="C2753" t="s">
        <v>40</v>
      </c>
      <c r="D2753">
        <v>4.3773249999999999</v>
      </c>
      <c r="E2753">
        <v>0.44226919999999997</v>
      </c>
      <c r="F2753" t="s">
        <v>55</v>
      </c>
      <c r="G2753">
        <v>-432.05970000000002</v>
      </c>
      <c r="H2753" s="1">
        <v>3.2287480000000002E-6</v>
      </c>
      <c r="I2753">
        <v>213.49119999999999</v>
      </c>
      <c r="J2753">
        <v>-442.62560000000002</v>
      </c>
      <c r="K2753">
        <v>1.1102190000000001</v>
      </c>
      <c r="L2753">
        <v>212.4913</v>
      </c>
      <c r="M2753">
        <v>0.99957390000000002</v>
      </c>
      <c r="N2753">
        <v>0</v>
      </c>
      <c r="O2753">
        <v>-2.73528E-2</v>
      </c>
      <c r="P2753">
        <v>0.99543199999999998</v>
      </c>
      <c r="Q2753">
        <v>8.1229389999999999E-2</v>
      </c>
      <c r="R2753">
        <v>-5.0170079999999999E-2</v>
      </c>
      <c r="S2753">
        <v>3.0536799999999999</v>
      </c>
      <c r="T2753">
        <v>-0.31263429999999998</v>
      </c>
      <c r="U2753">
        <v>0.2794952</v>
      </c>
      <c r="V2753">
        <v>2.287198E-2</v>
      </c>
      <c r="W2753">
        <v>9.1387200000000002E-2</v>
      </c>
      <c r="X2753">
        <v>0.99555269999999996</v>
      </c>
      <c r="Y2753">
        <v>-0.11760080000000001</v>
      </c>
      <c r="Z2753">
        <v>8.7798759999999903E-3</v>
      </c>
      <c r="AA2753">
        <v>0.99302210000000002</v>
      </c>
      <c r="AB2753">
        <v>27</v>
      </c>
      <c r="AC2753">
        <v>10.565899999999999</v>
      </c>
      <c r="AD2753">
        <v>-1.110215771252</v>
      </c>
      <c r="AE2753">
        <v>0.99989999999999601</v>
      </c>
      <c r="AF2753">
        <v>-1.27460006405099</v>
      </c>
      <c r="AG2753">
        <v>-1.110215771252</v>
      </c>
      <c r="AH2753">
        <v>10.420564316745899</v>
      </c>
      <c r="AI2753">
        <v>96.036745540125494</v>
      </c>
      <c r="AJ2753">
        <v>96.973541563421904</v>
      </c>
      <c r="AK2753">
        <v>10.556767737402099</v>
      </c>
      <c r="AL2753">
        <v>84.756583095454104</v>
      </c>
      <c r="AM2753">
        <v>88.683909514792006</v>
      </c>
      <c r="AN2753">
        <v>0.99999996313512396</v>
      </c>
    </row>
    <row r="2754" spans="1:40" x14ac:dyDescent="0.25">
      <c r="A2754" t="str">
        <f>"20190312151324542"</f>
        <v>20190312151324542</v>
      </c>
      <c r="B2754" t="str">
        <f>"1552374804532582"</f>
        <v>1552374804532582</v>
      </c>
      <c r="C2754" t="s">
        <v>40</v>
      </c>
      <c r="D2754">
        <v>4.3813789999999999</v>
      </c>
      <c r="E2754">
        <v>0.44106529999999999</v>
      </c>
      <c r="F2754" t="s">
        <v>55</v>
      </c>
      <c r="G2754">
        <v>-432.55599999999998</v>
      </c>
      <c r="H2754" s="1">
        <v>3.446654E-6</v>
      </c>
      <c r="I2754">
        <v>213.51599999999999</v>
      </c>
      <c r="J2754">
        <v>-442.35309999999998</v>
      </c>
      <c r="K2754">
        <v>1.1102559999999999</v>
      </c>
      <c r="L2754">
        <v>212.48429999999999</v>
      </c>
      <c r="M2754">
        <v>0.99958519999999895</v>
      </c>
      <c r="N2754">
        <v>0</v>
      </c>
      <c r="O2754">
        <v>-2.6937920000000001E-2</v>
      </c>
      <c r="P2754">
        <v>0.99545859999999997</v>
      </c>
      <c r="Q2754">
        <v>8.1335290000000005E-2</v>
      </c>
      <c r="R2754">
        <v>-4.9467949999999997E-2</v>
      </c>
      <c r="S2754">
        <v>3.0569760000000001</v>
      </c>
      <c r="T2754">
        <v>-0.33704479999999998</v>
      </c>
      <c r="U2754">
        <v>0.31108089999999999</v>
      </c>
      <c r="V2754">
        <v>2.2573949999999999E-2</v>
      </c>
      <c r="W2754">
        <v>9.1510190000000005E-2</v>
      </c>
      <c r="X2754">
        <v>0.99554819999999999</v>
      </c>
      <c r="Y2754">
        <v>-0.127078</v>
      </c>
      <c r="Z2754">
        <v>9.920847E-3</v>
      </c>
      <c r="AA2754">
        <v>0.99184309999999998</v>
      </c>
      <c r="AB2754">
        <v>27</v>
      </c>
      <c r="AC2754">
        <v>9.7971000000000004</v>
      </c>
      <c r="AD2754">
        <v>-1.1102525533459999</v>
      </c>
      <c r="AE2754">
        <v>1.0317000000000001</v>
      </c>
      <c r="AF2754">
        <v>-1.27900730101397</v>
      </c>
      <c r="AG2754">
        <v>-1.1102525533459999</v>
      </c>
      <c r="AH2754">
        <v>9.6432660169302409</v>
      </c>
      <c r="AI2754">
        <v>96.511160210169606</v>
      </c>
      <c r="AJ2754">
        <v>97.555167792327396</v>
      </c>
      <c r="AK2754">
        <v>9.7908681883446906</v>
      </c>
      <c r="AL2754">
        <v>84.7495066099887</v>
      </c>
      <c r="AM2754">
        <v>88.701046856296003</v>
      </c>
      <c r="AN2754">
        <v>0.99999995830783805</v>
      </c>
    </row>
    <row r="2755" spans="1:40" x14ac:dyDescent="0.25">
      <c r="A2755" t="str">
        <f>"20190312151324562"</f>
        <v>20190312151324562</v>
      </c>
      <c r="B2755" t="str">
        <f>"1552374804553078"</f>
        <v>1552374804553078</v>
      </c>
      <c r="C2755" t="s">
        <v>40</v>
      </c>
      <c r="D2755">
        <v>4.4375819999999999</v>
      </c>
      <c r="E2755">
        <v>0.44080580000000003</v>
      </c>
      <c r="F2755" t="s">
        <v>55</v>
      </c>
      <c r="G2755">
        <v>-432.49590000000001</v>
      </c>
      <c r="H2755" s="1">
        <v>3.4192300000000002E-6</v>
      </c>
      <c r="I2755">
        <v>213.52510000000001</v>
      </c>
      <c r="J2755">
        <v>-442.09989999999999</v>
      </c>
      <c r="K2755">
        <v>1.110306</v>
      </c>
      <c r="L2755">
        <v>212.47790000000001</v>
      </c>
      <c r="M2755">
        <v>0.99959690000000001</v>
      </c>
      <c r="N2755">
        <v>0</v>
      </c>
      <c r="O2755">
        <v>-2.6493889999999999E-2</v>
      </c>
      <c r="P2755">
        <v>0.99551639999999997</v>
      </c>
      <c r="Q2755">
        <v>8.1021120000000002E-2</v>
      </c>
      <c r="R2755">
        <v>-4.8813670000000003E-2</v>
      </c>
      <c r="S2755">
        <v>3.0578609999999999</v>
      </c>
      <c r="T2755">
        <v>-0.34441749999999999</v>
      </c>
      <c r="U2755">
        <v>0.3228607</v>
      </c>
      <c r="V2755">
        <v>2.2351119999999999E-2</v>
      </c>
      <c r="W2755">
        <v>9.1211979999999998E-2</v>
      </c>
      <c r="X2755">
        <v>0.99558060000000004</v>
      </c>
      <c r="Y2755">
        <v>-0.1303308</v>
      </c>
      <c r="Z2755">
        <v>1.026403E-2</v>
      </c>
      <c r="AA2755">
        <v>0.99141749999999995</v>
      </c>
      <c r="AB2755">
        <v>27</v>
      </c>
      <c r="AC2755">
        <v>9.6039999999999797</v>
      </c>
      <c r="AD2755">
        <v>-1.11030258077</v>
      </c>
      <c r="AE2755">
        <v>1.0471999999999999</v>
      </c>
      <c r="AF2755">
        <v>-1.2843291886771599</v>
      </c>
      <c r="AG2755">
        <v>-1.11030258077</v>
      </c>
      <c r="AH2755">
        <v>9.4480897930223495</v>
      </c>
      <c r="AI2755">
        <v>96.641903465110005</v>
      </c>
      <c r="AJ2755">
        <v>97.741072395390404</v>
      </c>
      <c r="AK2755">
        <v>9.5994100872275308</v>
      </c>
      <c r="AL2755">
        <v>84.7666645749418</v>
      </c>
      <c r="AM2755">
        <v>88.713906482377197</v>
      </c>
      <c r="AN2755">
        <v>0.99999996447856598</v>
      </c>
    </row>
    <row r="2756" spans="1:40" x14ac:dyDescent="0.25">
      <c r="A2756" t="str">
        <f>"20190312151324587"</f>
        <v>20190312151324587</v>
      </c>
      <c r="B2756" t="str">
        <f>"1552374804583334"</f>
        <v>1552374804583334</v>
      </c>
      <c r="C2756" t="s">
        <v>40</v>
      </c>
      <c r="D2756">
        <v>4.3750109999999998</v>
      </c>
      <c r="E2756">
        <v>0.44060729999999998</v>
      </c>
      <c r="F2756" t="s">
        <v>55</v>
      </c>
      <c r="G2756">
        <v>-432.43430000000001</v>
      </c>
      <c r="H2756" s="1">
        <v>3.3929839999999999E-6</v>
      </c>
      <c r="I2756">
        <v>213.5127</v>
      </c>
      <c r="J2756">
        <v>-441.8313</v>
      </c>
      <c r="K2756">
        <v>1.1103620000000001</v>
      </c>
      <c r="L2756">
        <v>212.47139999999999</v>
      </c>
      <c r="M2756">
        <v>0.99961089999999997</v>
      </c>
      <c r="N2756">
        <v>0</v>
      </c>
      <c r="O2756">
        <v>-2.5955470000000001E-2</v>
      </c>
      <c r="P2756">
        <v>0.99555950000000004</v>
      </c>
      <c r="Q2756">
        <v>8.0659930000000005E-2</v>
      </c>
      <c r="R2756">
        <v>-4.8534559999999997E-2</v>
      </c>
      <c r="S2756">
        <v>3.0581360000000002</v>
      </c>
      <c r="T2756">
        <v>-0.35129139999999998</v>
      </c>
      <c r="U2756">
        <v>0.32739259999999998</v>
      </c>
      <c r="V2756">
        <v>2.2595819999999999E-2</v>
      </c>
      <c r="W2756">
        <v>9.0867240000000002E-2</v>
      </c>
      <c r="X2756">
        <v>0.99560669999999996</v>
      </c>
      <c r="Y2756">
        <v>-0.13119900000000001</v>
      </c>
      <c r="Z2756">
        <v>1.04539E-2</v>
      </c>
      <c r="AA2756">
        <v>0.99130090000000004</v>
      </c>
      <c r="AB2756">
        <v>27</v>
      </c>
      <c r="AC2756">
        <v>9.3969999999999896</v>
      </c>
      <c r="AD2756">
        <v>-1.1103586070160001</v>
      </c>
      <c r="AE2756">
        <v>1.0412999999999999</v>
      </c>
      <c r="AF2756">
        <v>-1.26738483355494</v>
      </c>
      <c r="AG2756">
        <v>-1.1103586070160001</v>
      </c>
      <c r="AH2756">
        <v>9.2393695867845693</v>
      </c>
      <c r="AI2756">
        <v>96.7897843199882</v>
      </c>
      <c r="AJ2756">
        <v>97.810643738713694</v>
      </c>
      <c r="AK2756">
        <v>9.3917576051396896</v>
      </c>
      <c r="AL2756">
        <v>84.786499609034195</v>
      </c>
      <c r="AM2756">
        <v>88.699865213491194</v>
      </c>
      <c r="AN2756">
        <v>1.00000006373578</v>
      </c>
    </row>
    <row r="2757" spans="1:40" x14ac:dyDescent="0.25">
      <c r="A2757" t="str">
        <f>"20190312151324609"</f>
        <v>20190312151324609</v>
      </c>
      <c r="B2757" t="str">
        <f>"1552374804602856"</f>
        <v>1552374804602856</v>
      </c>
      <c r="C2757" t="s">
        <v>40</v>
      </c>
      <c r="D2757">
        <v>4.4120179999999998</v>
      </c>
      <c r="E2757">
        <v>0.44058310000000001</v>
      </c>
      <c r="F2757" t="s">
        <v>55</v>
      </c>
      <c r="G2757">
        <v>-432.22820000000002</v>
      </c>
      <c r="H2757" s="1">
        <v>3.30188E-6</v>
      </c>
      <c r="I2757">
        <v>213.5095</v>
      </c>
      <c r="J2757">
        <v>-441.55090000000001</v>
      </c>
      <c r="K2757">
        <v>1.1104270000000001</v>
      </c>
      <c r="L2757">
        <v>212.4648</v>
      </c>
      <c r="M2757">
        <v>0.9996275</v>
      </c>
      <c r="N2757">
        <v>0</v>
      </c>
      <c r="O2757">
        <v>-2.5303249999999999E-2</v>
      </c>
      <c r="P2757">
        <v>0.99561719999999998</v>
      </c>
      <c r="Q2757">
        <v>8.0074629999999994E-2</v>
      </c>
      <c r="R2757">
        <v>-4.8320059999999998E-2</v>
      </c>
      <c r="S2757">
        <v>3.0581049999999999</v>
      </c>
      <c r="T2757">
        <v>-0.35359479999999999</v>
      </c>
      <c r="U2757">
        <v>0.33058169999999998</v>
      </c>
      <c r="V2757">
        <v>2.3017070000000001E-2</v>
      </c>
      <c r="W2757">
        <v>9.0299279999999996E-2</v>
      </c>
      <c r="X2757">
        <v>0.99564870000000005</v>
      </c>
      <c r="Y2757">
        <v>-0.13156389999999901</v>
      </c>
      <c r="Z2757">
        <v>1.0467519999999999E-2</v>
      </c>
      <c r="AA2757">
        <v>0.99125240000000003</v>
      </c>
      <c r="AB2757">
        <v>27</v>
      </c>
      <c r="AC2757">
        <v>9.3226999999999904</v>
      </c>
      <c r="AD2757">
        <v>-1.11042369812</v>
      </c>
      <c r="AE2757">
        <v>1.0447</v>
      </c>
      <c r="AF2757">
        <v>-1.2625821701484099</v>
      </c>
      <c r="AG2757">
        <v>-1.11042369812</v>
      </c>
      <c r="AH2757">
        <v>9.1648685491940807</v>
      </c>
      <c r="AI2757">
        <v>96.844313633904505</v>
      </c>
      <c r="AJ2757">
        <v>97.8438797945646</v>
      </c>
      <c r="AK2757">
        <v>9.3178307588048597</v>
      </c>
      <c r="AL2757">
        <v>84.819175528126905</v>
      </c>
      <c r="AM2757">
        <v>88.675691423437598</v>
      </c>
      <c r="AN2757">
        <v>1.00000003964579</v>
      </c>
    </row>
    <row r="2758" spans="1:40" x14ac:dyDescent="0.25">
      <c r="A2758" t="str">
        <f>"20190312151324633"</f>
        <v>20190312151324633</v>
      </c>
      <c r="B2758" t="str">
        <f>"1552374804623350"</f>
        <v>1552374804623350</v>
      </c>
      <c r="C2758" t="s">
        <v>40</v>
      </c>
      <c r="D2758">
        <v>4.3849530000000003</v>
      </c>
      <c r="E2758">
        <v>0.43978279999999997</v>
      </c>
      <c r="F2758" t="s">
        <v>55</v>
      </c>
      <c r="G2758">
        <v>-432.00709999999998</v>
      </c>
      <c r="H2758" s="1">
        <v>3.2046709999999998E-6</v>
      </c>
      <c r="I2758">
        <v>213.49979999999999</v>
      </c>
      <c r="J2758">
        <v>-441.27210000000002</v>
      </c>
      <c r="K2758">
        <v>1.1104849999999999</v>
      </c>
      <c r="L2758">
        <v>212.45849999999999</v>
      </c>
      <c r="M2758">
        <v>0.99964549999999996</v>
      </c>
      <c r="N2758">
        <v>0</v>
      </c>
      <c r="O2758">
        <v>-2.4580890000000001E-2</v>
      </c>
      <c r="P2758">
        <v>0.99562229999999996</v>
      </c>
      <c r="Q2758">
        <v>8.0319310000000005E-2</v>
      </c>
      <c r="R2758">
        <v>-4.7807049999999997E-2</v>
      </c>
      <c r="S2758">
        <v>3.0578609999999999</v>
      </c>
      <c r="T2758">
        <v>-0.35578500000000002</v>
      </c>
      <c r="U2758">
        <v>0.3316345</v>
      </c>
      <c r="V2758">
        <v>2.3211450000000002E-2</v>
      </c>
      <c r="W2758">
        <v>9.0559529999999999E-2</v>
      </c>
      <c r="X2758">
        <v>0.99562050000000002</v>
      </c>
      <c r="Y2758">
        <v>-0.13118779999999999</v>
      </c>
      <c r="Z2758">
        <v>1.0427260000000001E-2</v>
      </c>
      <c r="AA2758">
        <v>0.99130269999999998</v>
      </c>
      <c r="AB2758">
        <v>27</v>
      </c>
      <c r="AC2758">
        <v>9.2650000000000396</v>
      </c>
      <c r="AD2758">
        <v>-1.110481795329</v>
      </c>
      <c r="AE2758">
        <v>1.0412999999999999</v>
      </c>
      <c r="AF2758">
        <v>-1.2509917858502499</v>
      </c>
      <c r="AG2758">
        <v>-1.110481795329</v>
      </c>
      <c r="AH2758">
        <v>9.1073991284435198</v>
      </c>
      <c r="AI2758">
        <v>96.8878173299086</v>
      </c>
      <c r="AJ2758">
        <v>97.821200344873901</v>
      </c>
      <c r="AK2758">
        <v>9.2597445510551601</v>
      </c>
      <c r="AL2758">
        <v>84.804202698558598</v>
      </c>
      <c r="AM2758">
        <v>88.664473809574304</v>
      </c>
      <c r="AN2758">
        <v>0.99999998995258599</v>
      </c>
    </row>
    <row r="2759" spans="1:40" x14ac:dyDescent="0.25">
      <c r="A2759" t="str">
        <f>"20190312151324655"</f>
        <v>20190312151324655</v>
      </c>
      <c r="B2759" t="str">
        <f>"1552374804642870"</f>
        <v>1552374804642870</v>
      </c>
      <c r="C2759" t="s">
        <v>40</v>
      </c>
      <c r="D2759">
        <v>4.3811619999999998</v>
      </c>
      <c r="E2759">
        <v>0.43941550000000001</v>
      </c>
      <c r="F2759" t="s">
        <v>55</v>
      </c>
      <c r="G2759">
        <v>-431.63760000000002</v>
      </c>
      <c r="H2759" s="1">
        <v>3.0382699999999998E-6</v>
      </c>
      <c r="I2759">
        <v>213.529</v>
      </c>
      <c r="J2759">
        <v>-441.00130000000001</v>
      </c>
      <c r="K2759">
        <v>1.1105309999999999</v>
      </c>
      <c r="L2759">
        <v>212.45269999999999</v>
      </c>
      <c r="M2759">
        <v>0.9996642</v>
      </c>
      <c r="N2759">
        <v>0</v>
      </c>
      <c r="O2759">
        <v>-2.3799669999999998E-2</v>
      </c>
      <c r="P2759">
        <v>0.99560009999999999</v>
      </c>
      <c r="Q2759">
        <v>8.0698919999999993E-2</v>
      </c>
      <c r="R2759">
        <v>-4.762591E-2</v>
      </c>
      <c r="S2759">
        <v>3.057922</v>
      </c>
      <c r="T2759">
        <v>-0.35246070000000002</v>
      </c>
      <c r="U2759">
        <v>0.3397675</v>
      </c>
      <c r="V2759">
        <v>2.3797450000000001E-2</v>
      </c>
      <c r="W2759">
        <v>9.095367E-2</v>
      </c>
      <c r="X2759">
        <v>0.99557070000000003</v>
      </c>
      <c r="Y2759">
        <v>-0.1330287</v>
      </c>
      <c r="Z2759">
        <v>1.034472E-2</v>
      </c>
      <c r="AA2759">
        <v>0.9910582</v>
      </c>
      <c r="AB2759">
        <v>27</v>
      </c>
      <c r="AC2759">
        <v>9.3636999999999908</v>
      </c>
      <c r="AD2759">
        <v>-1.1105279617299999</v>
      </c>
      <c r="AE2759">
        <v>1.07630000000003</v>
      </c>
      <c r="AF2759">
        <v>-1.2810754169574601</v>
      </c>
      <c r="AG2759">
        <v>-1.1105279617299999</v>
      </c>
      <c r="AH2759">
        <v>9.2076070834285293</v>
      </c>
      <c r="AI2759">
        <v>96.812222560240002</v>
      </c>
      <c r="AJ2759">
        <v>97.920843922943405</v>
      </c>
      <c r="AK2759">
        <v>9.3623957820912604</v>
      </c>
      <c r="AL2759">
        <v>84.781526367891104</v>
      </c>
      <c r="AM2759">
        <v>88.630701113215693</v>
      </c>
      <c r="AN2759">
        <v>0.99999995370572903</v>
      </c>
    </row>
    <row r="2760" spans="1:40" x14ac:dyDescent="0.25">
      <c r="A2760" t="str">
        <f>"20190312151324696"</f>
        <v>20190312151324696</v>
      </c>
      <c r="B2760" t="str">
        <f>"1552374804692647"</f>
        <v>1552374804692647</v>
      </c>
      <c r="C2760" t="s">
        <v>40</v>
      </c>
      <c r="D2760">
        <v>4.3585859999999998</v>
      </c>
      <c r="E2760">
        <v>0.4393031</v>
      </c>
      <c r="F2760" t="s">
        <v>55</v>
      </c>
      <c r="G2760">
        <v>-431.37599999999998</v>
      </c>
      <c r="H2760" s="1">
        <v>2.9219069999999999E-6</v>
      </c>
      <c r="I2760">
        <v>213.53309999999999</v>
      </c>
      <c r="J2760">
        <v>-440.50330000000002</v>
      </c>
      <c r="K2760">
        <v>1.110641</v>
      </c>
      <c r="L2760">
        <v>212.44280000000001</v>
      </c>
      <c r="M2760">
        <v>0.99970270000000006</v>
      </c>
      <c r="N2760">
        <v>0</v>
      </c>
      <c r="O2760">
        <v>-2.2112690000000001E-2</v>
      </c>
      <c r="P2760">
        <v>0.99564240000000004</v>
      </c>
      <c r="Q2760">
        <v>8.0675769999999994E-2</v>
      </c>
      <c r="R2760">
        <v>-4.6778430000000003E-2</v>
      </c>
      <c r="S2760">
        <v>3.0582889999999998</v>
      </c>
      <c r="T2760">
        <v>-0.35285440000000001</v>
      </c>
      <c r="U2760">
        <v>0.34329219999999999</v>
      </c>
      <c r="V2760">
        <v>2.460449E-2</v>
      </c>
      <c r="W2760">
        <v>9.0957949999999996E-2</v>
      </c>
      <c r="X2760">
        <v>0.99555079999999996</v>
      </c>
      <c r="Y2760">
        <v>-0.132484299999999</v>
      </c>
      <c r="Z2760">
        <v>1.0129630000000001E-2</v>
      </c>
      <c r="AA2760">
        <v>0.99113329999999999</v>
      </c>
      <c r="AB2760">
        <v>27</v>
      </c>
      <c r="AC2760">
        <v>9.1273000000000408</v>
      </c>
      <c r="AD2760">
        <v>-1.1106380780930001</v>
      </c>
      <c r="AE2760">
        <v>1.0902999999999801</v>
      </c>
      <c r="AF2760">
        <v>-1.2732851775341301</v>
      </c>
      <c r="AG2760">
        <v>-1.1106380780930001</v>
      </c>
      <c r="AH2760">
        <v>8.9700089209397404</v>
      </c>
      <c r="AI2760">
        <v>96.988901717170094</v>
      </c>
      <c r="AJ2760">
        <v>98.079112434046905</v>
      </c>
      <c r="AK2760">
        <v>9.1277506607913406</v>
      </c>
      <c r="AL2760">
        <v>84.781280690515501</v>
      </c>
      <c r="AM2760">
        <v>88.584254549741701</v>
      </c>
      <c r="AN2760">
        <v>1.0000000624884899</v>
      </c>
    </row>
    <row r="2761" spans="1:40" x14ac:dyDescent="0.25">
      <c r="A2761" t="str">
        <f>"20190312151324718"</f>
        <v>20190312151324718</v>
      </c>
      <c r="B2761" t="str">
        <f>"1552374804713142"</f>
        <v>1552374804713142</v>
      </c>
      <c r="C2761" t="s">
        <v>40</v>
      </c>
      <c r="D2761">
        <v>4.3545930000000004</v>
      </c>
      <c r="E2761">
        <v>0.4392665</v>
      </c>
      <c r="F2761" t="s">
        <v>55</v>
      </c>
      <c r="G2761">
        <v>-431.08120000000002</v>
      </c>
      <c r="H2761" s="1">
        <v>2.793192E-6</v>
      </c>
      <c r="I2761">
        <v>213.50989999999999</v>
      </c>
      <c r="J2761">
        <v>-440.23140000000001</v>
      </c>
      <c r="K2761">
        <v>1.110719</v>
      </c>
      <c r="L2761">
        <v>212.43790000000001</v>
      </c>
      <c r="M2761">
        <v>0.99972530000000004</v>
      </c>
      <c r="N2761">
        <v>0</v>
      </c>
      <c r="O2761">
        <v>-2.10552E-2</v>
      </c>
      <c r="P2761">
        <v>0.99573579999999995</v>
      </c>
      <c r="Q2761">
        <v>8.0092430000000006E-2</v>
      </c>
      <c r="R2761">
        <v>-4.5773469999999997E-2</v>
      </c>
      <c r="S2761">
        <v>3.058624</v>
      </c>
      <c r="T2761">
        <v>-0.36053859999999999</v>
      </c>
      <c r="U2761">
        <v>0.34640500000000002</v>
      </c>
      <c r="V2761">
        <v>2.4636749999999999E-2</v>
      </c>
      <c r="W2761">
        <v>9.0389529999999996E-2</v>
      </c>
      <c r="X2761">
        <v>0.99560170000000003</v>
      </c>
      <c r="Y2761">
        <v>-0.1323838</v>
      </c>
      <c r="Z2761">
        <v>1.0217270000000001E-2</v>
      </c>
      <c r="AA2761">
        <v>0.99114579999999997</v>
      </c>
      <c r="AB2761">
        <v>27</v>
      </c>
      <c r="AC2761">
        <v>9.1501999999999803</v>
      </c>
      <c r="AD2761">
        <v>-1.1107162068080001</v>
      </c>
      <c r="AE2761">
        <v>1.0719999999999701</v>
      </c>
      <c r="AF2761">
        <v>-1.2463162231046301</v>
      </c>
      <c r="AG2761">
        <v>-1.1107162068080001</v>
      </c>
      <c r="AH2761">
        <v>8.9948558197737398</v>
      </c>
      <c r="AI2761">
        <v>96.973490840174307</v>
      </c>
      <c r="AJ2761">
        <v>97.8886058086688</v>
      </c>
      <c r="AK2761">
        <v>9.1484657641900409</v>
      </c>
      <c r="AL2761">
        <v>84.813983097313397</v>
      </c>
      <c r="AM2761">
        <v>88.582471507318004</v>
      </c>
      <c r="AN2761">
        <v>0.99999999081353597</v>
      </c>
    </row>
    <row r="2762" spans="1:40" x14ac:dyDescent="0.25">
      <c r="A2762" t="str">
        <f>"20190312151324741"</f>
        <v>20190312151324741</v>
      </c>
      <c r="B2762" t="str">
        <f>"1552374804732662"</f>
        <v>1552374804732662</v>
      </c>
      <c r="C2762" t="s">
        <v>40</v>
      </c>
      <c r="D2762">
        <v>4.368913</v>
      </c>
      <c r="E2762">
        <v>0.439195</v>
      </c>
      <c r="F2762" t="s">
        <v>55</v>
      </c>
      <c r="G2762">
        <v>-430.9228</v>
      </c>
      <c r="H2762" s="1">
        <v>2.7236449999999998E-6</v>
      </c>
      <c r="I2762">
        <v>213.5018</v>
      </c>
      <c r="J2762">
        <v>-439.96339999999998</v>
      </c>
      <c r="K2762">
        <v>1.110798</v>
      </c>
      <c r="L2762">
        <v>212.43340000000001</v>
      </c>
      <c r="M2762">
        <v>0.99974850000000004</v>
      </c>
      <c r="N2762">
        <v>0</v>
      </c>
      <c r="O2762">
        <v>-1.991544E-2</v>
      </c>
      <c r="P2762">
        <v>0.99583250000000001</v>
      </c>
      <c r="Q2762">
        <v>7.9636929999999995E-2</v>
      </c>
      <c r="R2762">
        <v>-4.4448170000000002E-2</v>
      </c>
      <c r="S2762">
        <v>3.0582579999999999</v>
      </c>
      <c r="T2762">
        <v>-0.36491810000000002</v>
      </c>
      <c r="U2762">
        <v>0.34956359999999997</v>
      </c>
      <c r="V2762">
        <v>2.4429570000000001E-2</v>
      </c>
      <c r="W2762">
        <v>8.995119E-2</v>
      </c>
      <c r="X2762">
        <v>0.99564649999999999</v>
      </c>
      <c r="Y2762">
        <v>-0.13226099999999999</v>
      </c>
      <c r="Z2762">
        <v>1.019873E-2</v>
      </c>
      <c r="AA2762">
        <v>0.99116249999999995</v>
      </c>
      <c r="AB2762">
        <v>27</v>
      </c>
      <c r="AC2762">
        <v>9.04059999999998</v>
      </c>
      <c r="AD2762">
        <v>-1.110795276355</v>
      </c>
      <c r="AE2762">
        <v>1.06839999999999</v>
      </c>
      <c r="AF2762">
        <v>-1.2299333494302001</v>
      </c>
      <c r="AG2762">
        <v>-1.110795276355</v>
      </c>
      <c r="AH2762">
        <v>8.8852403290091395</v>
      </c>
      <c r="AI2762">
        <v>97.059283903342802</v>
      </c>
      <c r="AJ2762">
        <v>97.881046951749198</v>
      </c>
      <c r="AK2762">
        <v>9.0384787378332394</v>
      </c>
      <c r="AL2762">
        <v>84.839200836733696</v>
      </c>
      <c r="AM2762">
        <v>88.594450473837298</v>
      </c>
      <c r="AN2762">
        <v>0.99999998671752499</v>
      </c>
    </row>
    <row r="2763" spans="1:40" x14ac:dyDescent="0.25">
      <c r="A2763" t="str">
        <f>"20190312151324764"</f>
        <v>20190312151324764</v>
      </c>
      <c r="B2763" t="str">
        <f>"1552374804753159"</f>
        <v>1552374804753159</v>
      </c>
      <c r="C2763" t="s">
        <v>40</v>
      </c>
      <c r="D2763">
        <v>4.3784559999999999</v>
      </c>
      <c r="E2763">
        <v>0.43904310000000002</v>
      </c>
      <c r="F2763" t="s">
        <v>55</v>
      </c>
      <c r="G2763">
        <v>-430.6223</v>
      </c>
      <c r="H2763" s="1">
        <v>2.5891860000000002E-6</v>
      </c>
      <c r="I2763">
        <v>213.5154</v>
      </c>
      <c r="J2763">
        <v>-439.6782</v>
      </c>
      <c r="K2763">
        <v>1.110894</v>
      </c>
      <c r="L2763">
        <v>212.42910000000001</v>
      </c>
      <c r="M2763">
        <v>0.99977419999999995</v>
      </c>
      <c r="N2763">
        <v>0</v>
      </c>
      <c r="O2763">
        <v>-1.8575930000000001E-2</v>
      </c>
      <c r="P2763">
        <v>0.99588699999999997</v>
      </c>
      <c r="Q2763">
        <v>7.9683420000000005E-2</v>
      </c>
      <c r="R2763">
        <v>-4.3125660000000003E-2</v>
      </c>
      <c r="S2763">
        <v>3.057404</v>
      </c>
      <c r="T2763">
        <v>-0.36356810000000001</v>
      </c>
      <c r="U2763">
        <v>0.35414119999999999</v>
      </c>
      <c r="V2763">
        <v>2.442161E-2</v>
      </c>
      <c r="W2763">
        <v>9.0020059999999999E-2</v>
      </c>
      <c r="X2763">
        <v>0.99564050000000004</v>
      </c>
      <c r="Y2763">
        <v>-0.1324446</v>
      </c>
      <c r="Z2763">
        <v>1.001577E-2</v>
      </c>
      <c r="AA2763">
        <v>0.99113980000000002</v>
      </c>
      <c r="AB2763">
        <v>27</v>
      </c>
      <c r="AC2763">
        <v>9.0558999999999994</v>
      </c>
      <c r="AD2763">
        <v>-1.110891410814</v>
      </c>
      <c r="AE2763">
        <v>1.0862999999999901</v>
      </c>
      <c r="AF2763">
        <v>-1.2360076048427899</v>
      </c>
      <c r="AG2763">
        <v>-1.110891410814</v>
      </c>
      <c r="AH2763">
        <v>8.9020982305344099</v>
      </c>
      <c r="AI2763">
        <v>97.046255210528003</v>
      </c>
      <c r="AJ2763">
        <v>97.904668957748896</v>
      </c>
      <c r="AK2763">
        <v>9.0558902064862394</v>
      </c>
      <c r="AL2763">
        <v>84.835238952922694</v>
      </c>
      <c r="AM2763">
        <v>88.594899802856702</v>
      </c>
      <c r="AN2763">
        <v>1.00000001573882</v>
      </c>
    </row>
    <row r="2764" spans="1:40" x14ac:dyDescent="0.25">
      <c r="A2764" t="str">
        <f>"20190312151324788"</f>
        <v>20190312151324788</v>
      </c>
      <c r="B2764" t="str">
        <f>"1552374804782439"</f>
        <v>1552374804782439</v>
      </c>
      <c r="C2764" t="s">
        <v>40</v>
      </c>
      <c r="D2764">
        <v>4.3633170000000003</v>
      </c>
      <c r="E2764">
        <v>0.4390193</v>
      </c>
      <c r="F2764" t="s">
        <v>55</v>
      </c>
      <c r="G2764">
        <v>-430.25709999999998</v>
      </c>
      <c r="H2764" s="1">
        <v>2.4253400000000001E-6</v>
      </c>
      <c r="I2764">
        <v>213.53710000000001</v>
      </c>
      <c r="J2764">
        <v>-439.41379999999998</v>
      </c>
      <c r="K2764">
        <v>1.110981</v>
      </c>
      <c r="L2764">
        <v>212.42570000000001</v>
      </c>
      <c r="M2764">
        <v>0.99979870000000004</v>
      </c>
      <c r="N2764">
        <v>0</v>
      </c>
      <c r="O2764">
        <v>-1.719745E-2</v>
      </c>
      <c r="P2764">
        <v>0.99592760000000002</v>
      </c>
      <c r="Q2764">
        <v>7.9988729999999994E-2</v>
      </c>
      <c r="R2764">
        <v>-4.1600909999999998E-2</v>
      </c>
      <c r="S2764">
        <v>3.0567630000000001</v>
      </c>
      <c r="T2764">
        <v>-0.36043720000000001</v>
      </c>
      <c r="U2764">
        <v>0.35948180000000002</v>
      </c>
      <c r="V2764">
        <v>2.4249529999999998E-2</v>
      </c>
      <c r="W2764">
        <v>9.034963E-2</v>
      </c>
      <c r="X2764">
        <v>0.99561480000000002</v>
      </c>
      <c r="Y2764">
        <v>-0.1328348</v>
      </c>
      <c r="Z2764">
        <v>9.7925289999999995E-3</v>
      </c>
      <c r="AA2764">
        <v>0.99108980000000002</v>
      </c>
      <c r="AB2764">
        <v>27</v>
      </c>
      <c r="AC2764">
        <v>9.1567000000000007</v>
      </c>
      <c r="AD2764">
        <v>-1.1109785746600001</v>
      </c>
      <c r="AE2764">
        <v>1.1113999999999999</v>
      </c>
      <c r="AF2764">
        <v>-1.25057366491067</v>
      </c>
      <c r="AG2764">
        <v>-1.1109785746600001</v>
      </c>
      <c r="AH2764">
        <v>9.0055860665486094</v>
      </c>
      <c r="AI2764">
        <v>96.9666038193281</v>
      </c>
      <c r="AJ2764">
        <v>97.905900737867995</v>
      </c>
      <c r="AK2764">
        <v>9.1596281740437604</v>
      </c>
      <c r="AL2764">
        <v>84.8162784450884</v>
      </c>
      <c r="AM2764">
        <v>88.604760518182403</v>
      </c>
      <c r="AN2764">
        <v>0.99999996266269797</v>
      </c>
    </row>
    <row r="2765" spans="1:40" x14ac:dyDescent="0.25">
      <c r="A2765" t="str">
        <f>"20190312151324810"</f>
        <v>20190312151324810</v>
      </c>
      <c r="B2765" t="str">
        <f>"1552374804802937"</f>
        <v>1552374804802937</v>
      </c>
      <c r="C2765" t="s">
        <v>40</v>
      </c>
      <c r="D2765">
        <v>4.3877249999999997</v>
      </c>
      <c r="E2765">
        <v>0.43900109999999998</v>
      </c>
      <c r="F2765" t="s">
        <v>55</v>
      </c>
      <c r="G2765">
        <v>-429.86559999999997</v>
      </c>
      <c r="H2765" s="1">
        <v>2.3065740000000002E-6</v>
      </c>
      <c r="I2765">
        <v>213.56440000000001</v>
      </c>
      <c r="J2765">
        <v>-439.13470000000001</v>
      </c>
      <c r="K2765">
        <v>1.111086</v>
      </c>
      <c r="L2765">
        <v>212.42259999999999</v>
      </c>
      <c r="M2765">
        <v>0.9998245</v>
      </c>
      <c r="N2765">
        <v>0</v>
      </c>
      <c r="O2765">
        <v>-1.560542E-2</v>
      </c>
      <c r="P2765">
        <v>0.99600230000000001</v>
      </c>
      <c r="Q2765">
        <v>7.9862269999999999E-2</v>
      </c>
      <c r="R2765">
        <v>-4.0017659999999997E-2</v>
      </c>
      <c r="S2765">
        <v>3.0560610000000001</v>
      </c>
      <c r="T2765">
        <v>-0.35558390000000001</v>
      </c>
      <c r="U2765">
        <v>0.3644714</v>
      </c>
      <c r="V2765">
        <v>2.4230669999999999E-2</v>
      </c>
      <c r="W2765">
        <v>9.0249899999999994E-2</v>
      </c>
      <c r="X2765">
        <v>0.99562439999999996</v>
      </c>
      <c r="Y2765">
        <v>-0.13291620000000001</v>
      </c>
      <c r="Z2765">
        <v>9.4834870000000005E-3</v>
      </c>
      <c r="AA2765">
        <v>0.99108189999999996</v>
      </c>
      <c r="AB2765">
        <v>27</v>
      </c>
      <c r="AC2765">
        <v>9.2691000000000301</v>
      </c>
      <c r="AD2765">
        <v>-1.111083693426</v>
      </c>
      <c r="AE2765">
        <v>1.1418000000000099</v>
      </c>
      <c r="AF2765">
        <v>-1.26836453908169</v>
      </c>
      <c r="AG2765">
        <v>-1.111083693426</v>
      </c>
      <c r="AH2765">
        <v>9.1210529504398608</v>
      </c>
      <c r="AI2765">
        <v>96.8797271851885</v>
      </c>
      <c r="AJ2765">
        <v>97.916724901131303</v>
      </c>
      <c r="AK2765">
        <v>9.2756057755019299</v>
      </c>
      <c r="AL2765">
        <v>84.8220164876072</v>
      </c>
      <c r="AM2765">
        <v>88.605858670509406</v>
      </c>
      <c r="AN2765">
        <v>1.0000000578470001</v>
      </c>
    </row>
    <row r="2766" spans="1:40" x14ac:dyDescent="0.25">
      <c r="A2766" t="str">
        <f>"20190312151324857"</f>
        <v>20190312151324857</v>
      </c>
      <c r="B2766" t="str">
        <f>"1552374804852710"</f>
        <v>1552374804852710</v>
      </c>
      <c r="C2766" t="s">
        <v>40</v>
      </c>
      <c r="D2766">
        <v>4.4309180000000001</v>
      </c>
      <c r="E2766">
        <v>0.50783250000000002</v>
      </c>
      <c r="F2766" t="s">
        <v>55</v>
      </c>
      <c r="G2766">
        <v>-429.54079999999999</v>
      </c>
      <c r="H2766" s="1">
        <v>2.362543E-6</v>
      </c>
      <c r="I2766">
        <v>213.58320000000001</v>
      </c>
      <c r="J2766">
        <v>-438.5795</v>
      </c>
      <c r="K2766">
        <v>1.1112569999999999</v>
      </c>
      <c r="L2766">
        <v>212.41820000000001</v>
      </c>
      <c r="M2766">
        <v>0.99987269999999995</v>
      </c>
      <c r="N2766">
        <v>0</v>
      </c>
      <c r="O2766">
        <v>-1.2107349999999999E-2</v>
      </c>
      <c r="P2766">
        <v>0.99614270000000005</v>
      </c>
      <c r="Q2766">
        <v>7.9675839999999998E-2</v>
      </c>
      <c r="R2766">
        <v>-3.6769950000000003E-2</v>
      </c>
      <c r="S2766">
        <v>3.055237</v>
      </c>
      <c r="T2766">
        <v>-0.3538307</v>
      </c>
      <c r="U2766">
        <v>0.36959839999999999</v>
      </c>
      <c r="V2766">
        <v>2.4430750000000001E-2</v>
      </c>
      <c r="W2766">
        <v>9.0114079999999999E-2</v>
      </c>
      <c r="X2766">
        <v>0.99563179999999996</v>
      </c>
      <c r="Y2766">
        <v>-0.1311639</v>
      </c>
      <c r="Z2766">
        <v>8.9353820000000004E-3</v>
      </c>
      <c r="AA2766">
        <v>0.99132039999999999</v>
      </c>
      <c r="AB2766">
        <v>27</v>
      </c>
      <c r="AC2766">
        <v>9.0387000000000004</v>
      </c>
      <c r="AD2766">
        <v>-1.111254637457</v>
      </c>
      <c r="AE2766">
        <v>1.16499999999999</v>
      </c>
      <c r="AF2766">
        <v>-1.2556853767860601</v>
      </c>
      <c r="AG2766">
        <v>-1.111254637457</v>
      </c>
      <c r="AH2766">
        <v>8.8917272206065903</v>
      </c>
      <c r="AI2766">
        <v>97.054396116667704</v>
      </c>
      <c r="AJ2766">
        <v>98.038128583132107</v>
      </c>
      <c r="AK2766">
        <v>9.0484499004205308</v>
      </c>
      <c r="AL2766">
        <v>84.829830172340195</v>
      </c>
      <c r="AM2766">
        <v>88.594361865149097</v>
      </c>
      <c r="AN2766">
        <v>1.00000004506552</v>
      </c>
    </row>
    <row r="2767" spans="1:40" x14ac:dyDescent="0.25">
      <c r="A2767" t="str">
        <f>"20190312151324876"</f>
        <v>20190312151324876</v>
      </c>
      <c r="B2767" t="str">
        <f>"1552374804873207"</f>
        <v>1552374804873207</v>
      </c>
      <c r="C2767" t="s">
        <v>40</v>
      </c>
      <c r="D2767">
        <v>4.468248</v>
      </c>
      <c r="E2767">
        <v>0.50819440000000005</v>
      </c>
      <c r="F2767" t="s">
        <v>55</v>
      </c>
      <c r="G2767">
        <v>-419.02769999999998</v>
      </c>
      <c r="H2767" s="1">
        <v>4.0954819999999999E-6</v>
      </c>
      <c r="I2767">
        <v>211.31780000000001</v>
      </c>
      <c r="J2767">
        <v>-438.33800000000002</v>
      </c>
      <c r="K2767">
        <v>1.1113150000000001</v>
      </c>
      <c r="L2767">
        <v>212.417</v>
      </c>
      <c r="M2767">
        <v>0.99989110000000003</v>
      </c>
      <c r="N2767">
        <v>0</v>
      </c>
      <c r="O2767">
        <v>-1.045251E-2</v>
      </c>
      <c r="P2767">
        <v>0.99622630000000001</v>
      </c>
      <c r="Q2767">
        <v>7.9378149999999995E-2</v>
      </c>
      <c r="R2767">
        <v>-3.5108159999999999E-2</v>
      </c>
      <c r="S2767">
        <v>3.0190730000000001</v>
      </c>
      <c r="T2767">
        <v>-0.17159369999999999</v>
      </c>
      <c r="U2767">
        <v>-0.16990659999999999</v>
      </c>
      <c r="V2767">
        <v>2.4404720000000001E-2</v>
      </c>
      <c r="W2767">
        <v>8.9836750000000007E-2</v>
      </c>
      <c r="X2767">
        <v>0.99565740000000003</v>
      </c>
      <c r="Y2767">
        <v>4.5692499999999997E-2</v>
      </c>
      <c r="Z2767">
        <v>-7.0331339999999895E-4</v>
      </c>
      <c r="AA2767">
        <v>0.99895529999999999</v>
      </c>
      <c r="AB2767">
        <v>27</v>
      </c>
      <c r="AC2767">
        <v>19.310300000000002</v>
      </c>
      <c r="AD2767">
        <v>-1.1113109045180001</v>
      </c>
      <c r="AE2767">
        <v>-1.09919999999999</v>
      </c>
      <c r="AF2767">
        <v>0.894335396276283</v>
      </c>
      <c r="AG2767">
        <v>-1.1113109045180001</v>
      </c>
      <c r="AH2767">
        <v>19.257160875402999</v>
      </c>
      <c r="AI2767">
        <v>93.299268943023407</v>
      </c>
      <c r="AJ2767">
        <v>87.340996851217696</v>
      </c>
      <c r="AK2767">
        <v>19.309922131088101</v>
      </c>
      <c r="AL2767">
        <v>84.8457842053881</v>
      </c>
      <c r="AM2767">
        <v>88.595895005554198</v>
      </c>
      <c r="AN2767">
        <v>0.99999994509179801</v>
      </c>
    </row>
    <row r="2768" spans="1:40" x14ac:dyDescent="0.25">
      <c r="A2768" t="str">
        <f>"20190312151324898"</f>
        <v>20190312151324898</v>
      </c>
      <c r="B2768" t="str">
        <f>"1552374804892727"</f>
        <v>1552374804892727</v>
      </c>
      <c r="C2768" t="s">
        <v>40</v>
      </c>
      <c r="D2768">
        <v>4.5141289999999996</v>
      </c>
      <c r="E2768">
        <v>0.50836959999999998</v>
      </c>
      <c r="F2768" t="s">
        <v>41</v>
      </c>
      <c r="G2768">
        <v>-437.48719999999997</v>
      </c>
      <c r="H2768">
        <v>1.0524009999999999</v>
      </c>
      <c r="I2768">
        <v>212.3699</v>
      </c>
      <c r="J2768">
        <v>-438.07049999999998</v>
      </c>
      <c r="K2768">
        <v>1.1113839999999999</v>
      </c>
      <c r="L2768">
        <v>212.41630000000001</v>
      </c>
      <c r="M2768">
        <v>0.99990919999999905</v>
      </c>
      <c r="N2768">
        <v>0</v>
      </c>
      <c r="O2768">
        <v>-8.5292019999999996E-3</v>
      </c>
      <c r="P2768">
        <v>0.99630450000000004</v>
      </c>
      <c r="Q2768">
        <v>7.9186649999999997E-2</v>
      </c>
      <c r="R2768">
        <v>-3.3269960000000001E-2</v>
      </c>
      <c r="S2768">
        <v>3.0221559999999998</v>
      </c>
      <c r="T2768">
        <v>-0.2092485</v>
      </c>
      <c r="U2768">
        <v>-0.1674042</v>
      </c>
      <c r="V2768">
        <v>2.446912E-2</v>
      </c>
      <c r="W2768">
        <v>8.9666239999999994E-2</v>
      </c>
      <c r="X2768">
        <v>0.99567130000000004</v>
      </c>
      <c r="Y2768">
        <v>4.6697809999999999E-2</v>
      </c>
      <c r="Z2768">
        <v>-1.024088E-3</v>
      </c>
      <c r="AA2768">
        <v>0.99890849999999998</v>
      </c>
      <c r="AB2768">
        <v>27</v>
      </c>
      <c r="AC2768">
        <v>0.58330000000000803</v>
      </c>
      <c r="AD2768">
        <v>-5.8983000000000001E-2</v>
      </c>
      <c r="AE2768">
        <v>-4.6400000000005499E-2</v>
      </c>
      <c r="AF2768">
        <v>4.1006298648336902E-2</v>
      </c>
      <c r="AG2768">
        <v>-5.8983000000000001E-2</v>
      </c>
      <c r="AH2768">
        <v>0.57780357810786398</v>
      </c>
      <c r="AI2768">
        <v>95.814120647719804</v>
      </c>
      <c r="AJ2768">
        <v>85.940566472312995</v>
      </c>
      <c r="AK2768">
        <v>0.58225208088257396</v>
      </c>
      <c r="AL2768">
        <v>84.855593864053901</v>
      </c>
      <c r="AM2768">
        <v>88.592210940693406</v>
      </c>
      <c r="AN2768">
        <v>1.00000005503649</v>
      </c>
    </row>
    <row r="2769" spans="1:40" x14ac:dyDescent="0.25">
      <c r="A2769" t="str">
        <f>"20190312151324921"</f>
        <v>20190312151324921</v>
      </c>
      <c r="B2769" t="str">
        <f>"1552374804913223"</f>
        <v>1552374804913223</v>
      </c>
      <c r="C2769" t="s">
        <v>40</v>
      </c>
      <c r="D2769">
        <v>4.4578569999999997</v>
      </c>
      <c r="E2769">
        <v>0.50869880000000001</v>
      </c>
      <c r="F2769" t="s">
        <v>41</v>
      </c>
      <c r="G2769">
        <v>-437.2466</v>
      </c>
      <c r="H2769">
        <v>1.050449</v>
      </c>
      <c r="I2769">
        <v>212.3715</v>
      </c>
      <c r="J2769">
        <v>-437.79500000000002</v>
      </c>
      <c r="K2769">
        <v>1.111464</v>
      </c>
      <c r="L2769">
        <v>212.4161</v>
      </c>
      <c r="M2769">
        <v>0.99992449999999999</v>
      </c>
      <c r="N2769">
        <v>0</v>
      </c>
      <c r="O2769">
        <v>-6.4421640000000002E-3</v>
      </c>
      <c r="P2769">
        <v>0.99639650000000002</v>
      </c>
      <c r="Q2769">
        <v>7.8750120000000007E-2</v>
      </c>
      <c r="R2769">
        <v>-3.1503030000000001E-2</v>
      </c>
      <c r="S2769">
        <v>3.0234380000000001</v>
      </c>
      <c r="T2769">
        <v>-0.22393250000000001</v>
      </c>
      <c r="U2769">
        <v>-0.16329959999999999</v>
      </c>
      <c r="V2769">
        <v>2.4766730000000001E-2</v>
      </c>
      <c r="W2769">
        <v>8.9252590000000007E-2</v>
      </c>
      <c r="X2769">
        <v>0.99570110000000001</v>
      </c>
      <c r="Y2769">
        <v>4.738655E-2</v>
      </c>
      <c r="Z2769">
        <v>-1.2750369999999999E-3</v>
      </c>
      <c r="AA2769">
        <v>0.99887579999999998</v>
      </c>
      <c r="AB2769">
        <v>27</v>
      </c>
      <c r="AC2769">
        <v>0.54840000000001499</v>
      </c>
      <c r="AD2769">
        <v>-6.1015E-2</v>
      </c>
      <c r="AE2769">
        <v>-4.4600000000002603E-2</v>
      </c>
      <c r="AF2769">
        <v>4.0567125766540202E-2</v>
      </c>
      <c r="AG2769">
        <v>-6.1015E-2</v>
      </c>
      <c r="AH2769">
        <v>0.54201060324017603</v>
      </c>
      <c r="AI2769">
        <v>96.405072088945701</v>
      </c>
      <c r="AJ2769">
        <v>85.719641974807303</v>
      </c>
      <c r="AK2769">
        <v>0.54694059635643999</v>
      </c>
      <c r="AL2769">
        <v>84.8793896367402</v>
      </c>
      <c r="AM2769">
        <v>88.575138101852204</v>
      </c>
      <c r="AN2769">
        <v>1.0000000481389</v>
      </c>
    </row>
    <row r="2770" spans="1:40" x14ac:dyDescent="0.25">
      <c r="A2770" t="str">
        <f>"20190312151324942"</f>
        <v>20190312151324942</v>
      </c>
      <c r="B2770" t="str">
        <f>"1552374804932742"</f>
        <v>1552374804932742</v>
      </c>
      <c r="C2770" t="s">
        <v>40</v>
      </c>
      <c r="D2770">
        <v>4.5231389999999996</v>
      </c>
      <c r="E2770">
        <v>0.50892979999999999</v>
      </c>
      <c r="F2770" t="s">
        <v>41</v>
      </c>
      <c r="G2770">
        <v>-437.00619999999998</v>
      </c>
      <c r="H2770">
        <v>1.0482499999999999</v>
      </c>
      <c r="I2770">
        <v>212.374</v>
      </c>
      <c r="J2770">
        <v>-437.53</v>
      </c>
      <c r="K2770">
        <v>1.1115330000000001</v>
      </c>
      <c r="L2770">
        <v>212.41669999999999</v>
      </c>
      <c r="M2770">
        <v>0.99993580000000004</v>
      </c>
      <c r="N2770">
        <v>0</v>
      </c>
      <c r="O2770">
        <v>-4.3369949999999997E-3</v>
      </c>
      <c r="P2770">
        <v>0.99645609999999996</v>
      </c>
      <c r="Q2770">
        <v>7.8520309999999996E-2</v>
      </c>
      <c r="R2770">
        <v>-3.0167200000000002E-2</v>
      </c>
      <c r="S2770">
        <v>3.0249630000000001</v>
      </c>
      <c r="T2770">
        <v>-0.2425851</v>
      </c>
      <c r="U2770">
        <v>-0.1607056</v>
      </c>
      <c r="V2770">
        <v>2.5512980000000001E-2</v>
      </c>
      <c r="W2770">
        <v>8.9045520000000003E-2</v>
      </c>
      <c r="X2770">
        <v>0.99570080000000005</v>
      </c>
      <c r="Y2770">
        <v>4.8578400000000001E-2</v>
      </c>
      <c r="Z2770">
        <v>-1.596362E-3</v>
      </c>
      <c r="AA2770">
        <v>0.99881810000000004</v>
      </c>
      <c r="AB2770">
        <v>27</v>
      </c>
      <c r="AC2770">
        <v>0.52379999999999405</v>
      </c>
      <c r="AD2770">
        <v>-6.3282999999999895E-2</v>
      </c>
      <c r="AE2770">
        <v>-4.2699999999967903E-2</v>
      </c>
      <c r="AF2770">
        <v>3.9849933740701497E-2</v>
      </c>
      <c r="AG2770">
        <v>-6.3282999999999895E-2</v>
      </c>
      <c r="AH2770">
        <v>0.51649117531780397</v>
      </c>
      <c r="AI2770">
        <v>96.964844214920205</v>
      </c>
      <c r="AJ2770">
        <v>85.588078534226796</v>
      </c>
      <c r="AK2770">
        <v>0.52187727435605402</v>
      </c>
      <c r="AL2770">
        <v>84.891301311255106</v>
      </c>
      <c r="AM2770">
        <v>88.532223441826901</v>
      </c>
      <c r="AN2770">
        <v>1.0000000499505901</v>
      </c>
    </row>
    <row r="2771" spans="1:40" x14ac:dyDescent="0.25">
      <c r="A2771" t="str">
        <f>"20190312151324964"</f>
        <v>20190312151324964</v>
      </c>
      <c r="B2771" t="str">
        <f>"1552374804962999"</f>
        <v>1552374804962999</v>
      </c>
      <c r="C2771" t="s">
        <v>40</v>
      </c>
      <c r="D2771">
        <v>4.5343070000000001</v>
      </c>
      <c r="E2771">
        <v>0.50918099999999999</v>
      </c>
      <c r="F2771" t="s">
        <v>41</v>
      </c>
      <c r="G2771">
        <v>-436.76170000000002</v>
      </c>
      <c r="H2771">
        <v>1.050251</v>
      </c>
      <c r="I2771">
        <v>212.37610000000001</v>
      </c>
      <c r="J2771">
        <v>-437.25900000000001</v>
      </c>
      <c r="K2771">
        <v>1.11161</v>
      </c>
      <c r="L2771">
        <v>212.4178</v>
      </c>
      <c r="M2771">
        <v>0.99994280000000002</v>
      </c>
      <c r="N2771">
        <v>0</v>
      </c>
      <c r="O2771">
        <v>-2.0940199999999998E-3</v>
      </c>
      <c r="P2771">
        <v>0.99653860000000005</v>
      </c>
      <c r="Q2771">
        <v>7.8099989999999994E-2</v>
      </c>
      <c r="R2771">
        <v>-2.8484079999999998E-2</v>
      </c>
      <c r="S2771">
        <v>3.024902</v>
      </c>
      <c r="T2771">
        <v>-0.24175730000000001</v>
      </c>
      <c r="U2771">
        <v>-0.15826419999999999</v>
      </c>
      <c r="V2771">
        <v>2.604944E-2</v>
      </c>
      <c r="W2771">
        <v>8.8647980000000001E-2</v>
      </c>
      <c r="X2771">
        <v>0.99572240000000001</v>
      </c>
      <c r="Y2771">
        <v>5.0005220000000003E-2</v>
      </c>
      <c r="Z2771">
        <v>-1.826743E-3</v>
      </c>
      <c r="AA2771">
        <v>0.9987473</v>
      </c>
      <c r="AB2771">
        <v>27</v>
      </c>
      <c r="AC2771">
        <v>0.49729999999999502</v>
      </c>
      <c r="AD2771">
        <v>-6.13589999999999E-2</v>
      </c>
      <c r="AE2771">
        <v>-4.1699999999991598E-2</v>
      </c>
      <c r="AF2771">
        <v>4.0052998550165898E-2</v>
      </c>
      <c r="AG2771">
        <v>-6.13589999999999E-2</v>
      </c>
      <c r="AH2771">
        <v>0.489979033520691</v>
      </c>
      <c r="AI2771">
        <v>97.114381900779094</v>
      </c>
      <c r="AJ2771">
        <v>85.326786501825097</v>
      </c>
      <c r="AK2771">
        <v>0.49542771709274602</v>
      </c>
      <c r="AL2771">
        <v>84.914169200432099</v>
      </c>
      <c r="AM2771">
        <v>88.501407010448801</v>
      </c>
      <c r="AN2771">
        <v>1.00000006777207</v>
      </c>
    </row>
    <row r="2772" spans="1:40" x14ac:dyDescent="0.25">
      <c r="A2772" t="str">
        <f>"20190312151324990"</f>
        <v>20190312151324990</v>
      </c>
      <c r="B2772" t="str">
        <f>"1552374804982519"</f>
        <v>1552374804982519</v>
      </c>
      <c r="C2772" t="s">
        <v>40</v>
      </c>
      <c r="D2772">
        <v>4.5432579999999998</v>
      </c>
      <c r="E2772">
        <v>0.50947549999999997</v>
      </c>
      <c r="F2772" t="s">
        <v>41</v>
      </c>
      <c r="G2772">
        <v>-436.51760000000002</v>
      </c>
      <c r="H2772">
        <v>1.051647</v>
      </c>
      <c r="I2772">
        <v>212.37979999999999</v>
      </c>
      <c r="J2772">
        <v>-436.96839999999997</v>
      </c>
      <c r="K2772">
        <v>1.111685</v>
      </c>
      <c r="L2772">
        <v>212.42</v>
      </c>
      <c r="M2772">
        <v>0.99994490000000003</v>
      </c>
      <c r="N2772">
        <v>0</v>
      </c>
      <c r="O2772">
        <v>4.1022330000000003E-4</v>
      </c>
      <c r="P2772">
        <v>0.99663970000000002</v>
      </c>
      <c r="Q2772">
        <v>7.7680650000000004E-2</v>
      </c>
      <c r="R2772">
        <v>-2.5984E-2</v>
      </c>
      <c r="S2772">
        <v>3.0252080000000001</v>
      </c>
      <c r="T2772">
        <v>-0.24475540000000001</v>
      </c>
      <c r="U2772">
        <v>-0.15492249999999999</v>
      </c>
      <c r="V2772">
        <v>2.603053E-2</v>
      </c>
      <c r="W2772">
        <v>8.8249480000000005E-2</v>
      </c>
      <c r="X2772">
        <v>0.99575820000000004</v>
      </c>
      <c r="Y2772">
        <v>5.138442E-2</v>
      </c>
      <c r="Z2772">
        <v>-2.107009E-3</v>
      </c>
      <c r="AA2772">
        <v>0.99867669999999997</v>
      </c>
      <c r="AB2772">
        <v>27</v>
      </c>
      <c r="AC2772">
        <v>0.45079999999995801</v>
      </c>
      <c r="AD2772">
        <v>-6.0038000000000001E-2</v>
      </c>
      <c r="AE2772">
        <v>-4.0199999999998598E-2</v>
      </c>
      <c r="AF2772">
        <v>3.9686561274435497E-2</v>
      </c>
      <c r="AG2772">
        <v>-6.0038000000000001E-2</v>
      </c>
      <c r="AH2772">
        <v>0.44298809962479402</v>
      </c>
      <c r="AI2772">
        <v>97.687826964129798</v>
      </c>
      <c r="AJ2772">
        <v>84.880634091903303</v>
      </c>
      <c r="AK2772">
        <v>0.44879621321817798</v>
      </c>
      <c r="AL2772">
        <v>84.937090939813004</v>
      </c>
      <c r="AM2772">
        <v>88.502548199057202</v>
      </c>
      <c r="AN2772">
        <v>0.99999997603979496</v>
      </c>
    </row>
    <row r="2773" spans="1:40" x14ac:dyDescent="0.25">
      <c r="A2773" t="str">
        <f>"20190312151325033"</f>
        <v>20190312151325033</v>
      </c>
      <c r="B2773" t="str">
        <f>"1552374805022535"</f>
        <v>1552374805022535</v>
      </c>
      <c r="C2773" t="s">
        <v>40</v>
      </c>
      <c r="D2773">
        <v>4.5911860000000004</v>
      </c>
      <c r="E2773">
        <v>0.50991620000000004</v>
      </c>
      <c r="F2773" t="s">
        <v>41</v>
      </c>
      <c r="G2773">
        <v>-436.0421</v>
      </c>
      <c r="H2773">
        <v>1.0357190000000001</v>
      </c>
      <c r="I2773">
        <v>212.37379999999999</v>
      </c>
      <c r="J2773">
        <v>-436.43439999999998</v>
      </c>
      <c r="K2773">
        <v>1.1117919999999999</v>
      </c>
      <c r="L2773">
        <v>212.42609999999999</v>
      </c>
      <c r="M2773">
        <v>0.99993100000000001</v>
      </c>
      <c r="N2773">
        <v>0</v>
      </c>
      <c r="O2773">
        <v>5.2111270000000003E-3</v>
      </c>
      <c r="P2773">
        <v>0.99676160000000003</v>
      </c>
      <c r="Q2773">
        <v>7.7282489999999995E-2</v>
      </c>
      <c r="R2773">
        <v>-2.2218559999999998E-2</v>
      </c>
      <c r="S2773">
        <v>3.0255429999999999</v>
      </c>
      <c r="T2773">
        <v>-0.24839710000000001</v>
      </c>
      <c r="U2773">
        <v>-0.14984129999999901</v>
      </c>
      <c r="V2773">
        <v>2.703036E-2</v>
      </c>
      <c r="W2773">
        <v>8.7887549999999995E-2</v>
      </c>
      <c r="X2773">
        <v>0.99576359999999997</v>
      </c>
      <c r="Y2773">
        <v>5.4468839999999998E-2</v>
      </c>
      <c r="Z2773">
        <v>-2.6577219999999999E-3</v>
      </c>
      <c r="AA2773">
        <v>0.99851190000000001</v>
      </c>
      <c r="AB2773">
        <v>27</v>
      </c>
      <c r="AC2773">
        <v>0.392299999999977</v>
      </c>
      <c r="AD2773">
        <v>-7.6073000000000002E-2</v>
      </c>
      <c r="AE2773">
        <v>-5.23000000000024E-2</v>
      </c>
      <c r="AF2773">
        <v>5.2407455553304297E-2</v>
      </c>
      <c r="AG2773">
        <v>-7.6073000000000002E-2</v>
      </c>
      <c r="AH2773">
        <v>0.37805432711952702</v>
      </c>
      <c r="AI2773">
        <v>101.272267592199</v>
      </c>
      <c r="AJ2773">
        <v>82.107719815474994</v>
      </c>
      <c r="AK2773">
        <v>0.38917697385684302</v>
      </c>
      <c r="AL2773">
        <v>84.957909035335206</v>
      </c>
      <c r="AM2773">
        <v>88.445067371984905</v>
      </c>
      <c r="AN2773">
        <v>1.0000000044458399</v>
      </c>
    </row>
    <row r="2774" spans="1:40" x14ac:dyDescent="0.25">
      <c r="A2774" t="str">
        <f>"20190312151325055"</f>
        <v>20190312151325055</v>
      </c>
      <c r="B2774" t="str">
        <f>"1552374805052790"</f>
        <v>1552374805052790</v>
      </c>
      <c r="C2774" t="s">
        <v>40</v>
      </c>
      <c r="D2774">
        <v>4.5490870000000001</v>
      </c>
      <c r="E2774">
        <v>0.51020149999999997</v>
      </c>
      <c r="F2774" t="s">
        <v>41</v>
      </c>
      <c r="G2774">
        <v>-435.55399999999997</v>
      </c>
      <c r="H2774">
        <v>1.03799</v>
      </c>
      <c r="I2774">
        <v>212.38489999999999</v>
      </c>
      <c r="J2774">
        <v>-436.15820000000002</v>
      </c>
      <c r="K2774">
        <v>1.1118189999999999</v>
      </c>
      <c r="L2774">
        <v>212.43029999999999</v>
      </c>
      <c r="M2774">
        <v>0.99991430000000003</v>
      </c>
      <c r="N2774">
        <v>0</v>
      </c>
      <c r="O2774">
        <v>7.7623999999999896E-3</v>
      </c>
      <c r="P2774">
        <v>0.99680789999999997</v>
      </c>
      <c r="Q2774">
        <v>7.7292529999999998E-2</v>
      </c>
      <c r="R2774">
        <v>-1.9993170000000001E-2</v>
      </c>
      <c r="S2774">
        <v>3.0262760000000002</v>
      </c>
      <c r="T2774">
        <v>-0.25375199999999998</v>
      </c>
      <c r="U2774">
        <v>-0.1412659</v>
      </c>
      <c r="V2774">
        <v>2.7341649999999999E-2</v>
      </c>
      <c r="W2774">
        <v>8.7911779999999995E-2</v>
      </c>
      <c r="X2774">
        <v>0.99575290000000005</v>
      </c>
      <c r="Y2774">
        <v>5.4165119999999997E-2</v>
      </c>
      <c r="Z2774">
        <v>-2.9150999999999999E-3</v>
      </c>
      <c r="AA2774">
        <v>0.99852779999999997</v>
      </c>
      <c r="AB2774">
        <v>27</v>
      </c>
      <c r="AC2774">
        <v>0.60419999999999097</v>
      </c>
      <c r="AD2774">
        <v>-7.3829000000000103E-2</v>
      </c>
      <c r="AE2774">
        <v>-4.5400000000000697E-2</v>
      </c>
      <c r="AF2774">
        <v>4.9356129730447201E-2</v>
      </c>
      <c r="AG2774">
        <v>-7.3829000000000103E-2</v>
      </c>
      <c r="AH2774">
        <v>0.59499529136164298</v>
      </c>
      <c r="AI2774">
        <v>97.049330498635399</v>
      </c>
      <c r="AJ2774">
        <v>85.258049420506097</v>
      </c>
      <c r="AK2774">
        <v>0.60158635749615796</v>
      </c>
      <c r="AL2774">
        <v>84.956515050292595</v>
      </c>
      <c r="AM2774">
        <v>88.427152337071504</v>
      </c>
      <c r="AN2774">
        <v>0.99999994237294798</v>
      </c>
    </row>
    <row r="2775" spans="1:40" x14ac:dyDescent="0.25">
      <c r="A2775" t="str">
        <f>"20190312151325079"</f>
        <v>20190312151325079</v>
      </c>
      <c r="B2775" t="str">
        <f>"1552374805073286"</f>
        <v>1552374805073286</v>
      </c>
      <c r="C2775" t="s">
        <v>40</v>
      </c>
      <c r="D2775">
        <v>4.524451</v>
      </c>
      <c r="E2775">
        <v>0.51031949999999904</v>
      </c>
      <c r="F2775" t="s">
        <v>41</v>
      </c>
      <c r="G2775">
        <v>-435.30930000000001</v>
      </c>
      <c r="H2775">
        <v>1.039903</v>
      </c>
      <c r="I2775">
        <v>212.39150000000001</v>
      </c>
      <c r="J2775">
        <v>-435.87509999999997</v>
      </c>
      <c r="K2775">
        <v>1.111829</v>
      </c>
      <c r="L2775">
        <v>212.43539999999999</v>
      </c>
      <c r="M2775">
        <v>0.99989039999999996</v>
      </c>
      <c r="N2775">
        <v>0</v>
      </c>
      <c r="O2775">
        <v>1.0402099999999999E-2</v>
      </c>
      <c r="P2775">
        <v>0.99690000000000001</v>
      </c>
      <c r="Q2775">
        <v>7.6684820000000001E-2</v>
      </c>
      <c r="R2775">
        <v>-1.7608970000000002E-2</v>
      </c>
      <c r="S2775">
        <v>3.026764</v>
      </c>
      <c r="T2775">
        <v>-0.25689459999999997</v>
      </c>
      <c r="U2775">
        <v>-0.13690189999999999</v>
      </c>
      <c r="V2775">
        <v>2.7587919999999998E-2</v>
      </c>
      <c r="W2775">
        <v>8.7317999999999896E-2</v>
      </c>
      <c r="X2775">
        <v>0.99579839999999997</v>
      </c>
      <c r="Y2775">
        <v>5.5337949999999997E-2</v>
      </c>
      <c r="Z2775">
        <v>-3.2239090000000001E-3</v>
      </c>
      <c r="AA2775">
        <v>0.99846250000000003</v>
      </c>
      <c r="AB2775">
        <v>27</v>
      </c>
      <c r="AC2775">
        <v>0.565799999999967</v>
      </c>
      <c r="AD2775">
        <v>-7.1926000000000101E-2</v>
      </c>
      <c r="AE2775">
        <v>-4.38999999999794E-2</v>
      </c>
      <c r="AF2775">
        <v>4.8996407253030401E-2</v>
      </c>
      <c r="AG2775">
        <v>-7.1926000000000101E-2</v>
      </c>
      <c r="AH2775">
        <v>0.55637538988717505</v>
      </c>
      <c r="AI2775">
        <v>97.338029478878099</v>
      </c>
      <c r="AJ2775">
        <v>84.967311709702798</v>
      </c>
      <c r="AK2775">
        <v>0.56314080998610905</v>
      </c>
      <c r="AL2775">
        <v>84.990667715515997</v>
      </c>
      <c r="AM2775">
        <v>88.4130651709077</v>
      </c>
      <c r="AN2775">
        <v>0.99999998994824302</v>
      </c>
    </row>
    <row r="2776" spans="1:40" x14ac:dyDescent="0.25">
      <c r="A2776" t="str">
        <f>"20190312151325121"</f>
        <v>20190312151325121</v>
      </c>
      <c r="B2776" t="str">
        <f>"1552374805113302"</f>
        <v>1552374805113302</v>
      </c>
      <c r="C2776" t="s">
        <v>40</v>
      </c>
      <c r="D2776">
        <v>4.5637559999999997</v>
      </c>
      <c r="E2776">
        <v>0.5106967</v>
      </c>
      <c r="F2776" t="s">
        <v>41</v>
      </c>
      <c r="G2776">
        <v>-435.06380000000001</v>
      </c>
      <c r="H2776">
        <v>1.04298</v>
      </c>
      <c r="I2776">
        <v>212.4</v>
      </c>
      <c r="J2776">
        <v>-435.36340000000001</v>
      </c>
      <c r="K2776">
        <v>1.1118410000000001</v>
      </c>
      <c r="L2776">
        <v>212.44640000000001</v>
      </c>
      <c r="M2776">
        <v>0.99982859999999996</v>
      </c>
      <c r="N2776">
        <v>0</v>
      </c>
      <c r="O2776">
        <v>1.519971E-2</v>
      </c>
      <c r="P2776">
        <v>0.99711309999999997</v>
      </c>
      <c r="Q2776">
        <v>7.4719499999999994E-2</v>
      </c>
      <c r="R2776">
        <v>-1.3505E-2</v>
      </c>
      <c r="S2776">
        <v>3.0268250000000001</v>
      </c>
      <c r="T2776">
        <v>-0.2572989</v>
      </c>
      <c r="U2776">
        <v>-0.13059999999999999</v>
      </c>
      <c r="V2776">
        <v>2.8274759999999999E-2</v>
      </c>
      <c r="W2776">
        <v>8.5375499999999993E-2</v>
      </c>
      <c r="X2776">
        <v>0.99594760000000004</v>
      </c>
      <c r="Y2776">
        <v>5.8025199999999902E-2</v>
      </c>
      <c r="Z2776">
        <v>-3.749961E-3</v>
      </c>
      <c r="AA2776">
        <v>0.99830810000000003</v>
      </c>
      <c r="AB2776">
        <v>27</v>
      </c>
      <c r="AC2776">
        <v>0.29959999999999798</v>
      </c>
      <c r="AD2776">
        <v>-6.8861000000000006E-2</v>
      </c>
      <c r="AE2776">
        <v>-4.6400000000005499E-2</v>
      </c>
      <c r="AF2776">
        <v>4.8449211124415498E-2</v>
      </c>
      <c r="AG2776">
        <v>-6.8861000000000006E-2</v>
      </c>
      <c r="AH2776">
        <v>0.28419817390711399</v>
      </c>
      <c r="AI2776">
        <v>103.43359284691</v>
      </c>
      <c r="AJ2776">
        <v>80.325402372802301</v>
      </c>
      <c r="AK2776">
        <v>0.29640810621795799</v>
      </c>
      <c r="AL2776">
        <v>85.102382219770902</v>
      </c>
      <c r="AM2776">
        <v>88.373820682204098</v>
      </c>
      <c r="AN2776">
        <v>1.00000002999953</v>
      </c>
    </row>
    <row r="2777" spans="1:40" x14ac:dyDescent="0.25">
      <c r="A2777" t="str">
        <f>"20190312151325143"</f>
        <v>20190312151325143</v>
      </c>
      <c r="B2777" t="str">
        <f>"1552374805132823"</f>
        <v>1552374805132823</v>
      </c>
      <c r="C2777" t="s">
        <v>40</v>
      </c>
      <c r="D2777">
        <v>4.5763530000000001</v>
      </c>
      <c r="E2777">
        <v>0.51089910000000005</v>
      </c>
      <c r="F2777" t="s">
        <v>41</v>
      </c>
      <c r="G2777">
        <v>-434.5754</v>
      </c>
      <c r="H2777">
        <v>1.0428459999999999</v>
      </c>
      <c r="I2777">
        <v>212.41470000000001</v>
      </c>
      <c r="J2777">
        <v>-435.09120000000001</v>
      </c>
      <c r="K2777">
        <v>1.1118509999999999</v>
      </c>
      <c r="L2777">
        <v>212.45330000000001</v>
      </c>
      <c r="M2777">
        <v>0.99978659999999997</v>
      </c>
      <c r="N2777">
        <v>0</v>
      </c>
      <c r="O2777">
        <v>1.7751510000000002E-2</v>
      </c>
      <c r="P2777">
        <v>0.99710180000000004</v>
      </c>
      <c r="Q2777">
        <v>7.5219960000000002E-2</v>
      </c>
      <c r="R2777">
        <v>-1.1413670000000001E-2</v>
      </c>
      <c r="S2777">
        <v>3.0269170000000001</v>
      </c>
      <c r="T2777">
        <v>-0.2652233</v>
      </c>
      <c r="U2777">
        <v>-0.1213226</v>
      </c>
      <c r="V2777">
        <v>2.872394E-2</v>
      </c>
      <c r="W2777">
        <v>8.5885740000000002E-2</v>
      </c>
      <c r="X2777">
        <v>0.99589090000000002</v>
      </c>
      <c r="Y2777">
        <v>5.7493179999999998E-2</v>
      </c>
      <c r="Z2777">
        <v>-4.0649889999999998E-3</v>
      </c>
      <c r="AA2777">
        <v>0.99833760000000005</v>
      </c>
      <c r="AB2777">
        <v>27</v>
      </c>
      <c r="AC2777">
        <v>0.51580000000001203</v>
      </c>
      <c r="AD2777">
        <v>-6.90049999999999E-2</v>
      </c>
      <c r="AE2777">
        <v>-3.8600000000002403E-2</v>
      </c>
      <c r="AF2777">
        <v>4.6915648830365898E-2</v>
      </c>
      <c r="AG2777">
        <v>-6.90049999999999E-2</v>
      </c>
      <c r="AH2777">
        <v>0.50602715989650604</v>
      </c>
      <c r="AI2777">
        <v>97.732551152014494</v>
      </c>
      <c r="AJ2777">
        <v>84.703039076765407</v>
      </c>
      <c r="AK2777">
        <v>0.51286085313961904</v>
      </c>
      <c r="AL2777">
        <v>85.073039968771496</v>
      </c>
      <c r="AM2777">
        <v>88.347906986389006</v>
      </c>
      <c r="AN2777">
        <v>1.0000000548836301</v>
      </c>
    </row>
    <row r="2778" spans="1:40" x14ac:dyDescent="0.25">
      <c r="A2778" t="str">
        <f>"20190312151325166"</f>
        <v>20190312151325166</v>
      </c>
      <c r="B2778" t="str">
        <f>"1552374805163078"</f>
        <v>1552374805163078</v>
      </c>
      <c r="C2778" t="s">
        <v>40</v>
      </c>
      <c r="D2778">
        <v>4.5738459999999996</v>
      </c>
      <c r="E2778">
        <v>0.5113645</v>
      </c>
      <c r="F2778" t="s">
        <v>41</v>
      </c>
      <c r="G2778">
        <v>-434.3295</v>
      </c>
      <c r="H2778">
        <v>1.045615</v>
      </c>
      <c r="I2778">
        <v>212.4238</v>
      </c>
      <c r="J2778">
        <v>-434.8159</v>
      </c>
      <c r="K2778">
        <v>1.111861</v>
      </c>
      <c r="L2778">
        <v>212.46100000000001</v>
      </c>
      <c r="M2778">
        <v>0.9997376</v>
      </c>
      <c r="N2778">
        <v>0</v>
      </c>
      <c r="O2778">
        <v>2.032722E-2</v>
      </c>
      <c r="P2778">
        <v>0.99710049999999995</v>
      </c>
      <c r="Q2778">
        <v>7.5538079999999994E-2</v>
      </c>
      <c r="R2778">
        <v>-9.2247330000000006E-3</v>
      </c>
      <c r="S2778">
        <v>3.0272519999999998</v>
      </c>
      <c r="T2778">
        <v>-0.26353789999999999</v>
      </c>
      <c r="U2778">
        <v>-0.116394</v>
      </c>
      <c r="V2778">
        <v>2.9100810000000001E-2</v>
      </c>
      <c r="W2778">
        <v>8.6214020000000002E-2</v>
      </c>
      <c r="X2778">
        <v>0.9958515</v>
      </c>
      <c r="Y2778">
        <v>5.8428279999999999E-2</v>
      </c>
      <c r="Z2778">
        <v>-4.3032879999999997E-3</v>
      </c>
      <c r="AA2778">
        <v>0.99828229999999996</v>
      </c>
      <c r="AB2778">
        <v>27</v>
      </c>
      <c r="AC2778">
        <v>0.486400000000003</v>
      </c>
      <c r="AD2778">
        <v>-6.6245999999999999E-2</v>
      </c>
      <c r="AE2778">
        <v>-3.7199999999984301E-2</v>
      </c>
      <c r="AF2778">
        <v>4.6227513452733099E-2</v>
      </c>
      <c r="AG2778">
        <v>-6.6245999999999999E-2</v>
      </c>
      <c r="AH2778">
        <v>0.47675120517454</v>
      </c>
      <c r="AI2778">
        <v>97.874301471983301</v>
      </c>
      <c r="AJ2778">
        <v>84.461708508761006</v>
      </c>
      <c r="AK2778">
        <v>0.48354650981203301</v>
      </c>
      <c r="AL2778">
        <v>85.0541604260561</v>
      </c>
      <c r="AM2778">
        <v>88.326176908161003</v>
      </c>
      <c r="AN2778">
        <v>0.99999996221973197</v>
      </c>
    </row>
    <row r="2779" spans="1:40" x14ac:dyDescent="0.25">
      <c r="A2779" t="str">
        <f>"20190312151325189"</f>
        <v>20190312151325189</v>
      </c>
      <c r="B2779" t="str">
        <f>"1552374805182598"</f>
        <v>1552374805182598</v>
      </c>
      <c r="C2779" t="s">
        <v>40</v>
      </c>
      <c r="D2779">
        <v>4.544098</v>
      </c>
      <c r="E2779">
        <v>0.51166140000000004</v>
      </c>
      <c r="F2779" t="s">
        <v>41</v>
      </c>
      <c r="G2779">
        <v>-434.08240000000001</v>
      </c>
      <c r="H2779">
        <v>1.0482800000000001</v>
      </c>
      <c r="I2779">
        <v>212.43340000000001</v>
      </c>
      <c r="J2779">
        <v>-434.5324</v>
      </c>
      <c r="K2779">
        <v>1.1118669999999999</v>
      </c>
      <c r="L2779">
        <v>212.46969999999999</v>
      </c>
      <c r="M2779">
        <v>0.99968000000000001</v>
      </c>
      <c r="N2779">
        <v>0</v>
      </c>
      <c r="O2779">
        <v>2.2974330000000001E-2</v>
      </c>
      <c r="P2779">
        <v>0.99702449999999998</v>
      </c>
      <c r="Q2779">
        <v>7.6755199999999996E-2</v>
      </c>
      <c r="R2779">
        <v>-7.1403609999999996E-3</v>
      </c>
      <c r="S2779">
        <v>3.0275569999999998</v>
      </c>
      <c r="T2779">
        <v>-0.26261950000000001</v>
      </c>
      <c r="U2779">
        <v>-0.11338810000000001</v>
      </c>
      <c r="V2779">
        <v>2.9647900000000001E-2</v>
      </c>
      <c r="W2779">
        <v>8.7440569999999995E-2</v>
      </c>
      <c r="X2779">
        <v>0.99572839999999996</v>
      </c>
      <c r="Y2779">
        <v>6.0063949999999998E-2</v>
      </c>
      <c r="Z2779">
        <v>-4.5879049999999998E-3</v>
      </c>
      <c r="AA2779">
        <v>0.99818399999999996</v>
      </c>
      <c r="AB2779">
        <v>27</v>
      </c>
      <c r="AC2779">
        <v>0.44999999999998802</v>
      </c>
      <c r="AD2779">
        <v>-6.3587000000000005E-2</v>
      </c>
      <c r="AE2779">
        <v>-3.6299999999982901E-2</v>
      </c>
      <c r="AF2779">
        <v>4.5722410900590399E-2</v>
      </c>
      <c r="AG2779">
        <v>-6.3587000000000005E-2</v>
      </c>
      <c r="AH2779">
        <v>0.44031234251961798</v>
      </c>
      <c r="AI2779">
        <v>98.174112996622796</v>
      </c>
      <c r="AJ2779">
        <v>84.071604715127904</v>
      </c>
      <c r="AK2779">
        <v>0.44722343901306899</v>
      </c>
      <c r="AL2779">
        <v>84.983617801041703</v>
      </c>
      <c r="AM2779">
        <v>88.294517048058793</v>
      </c>
      <c r="AN2779">
        <v>0.99999994891144595</v>
      </c>
    </row>
    <row r="2780" spans="1:40" x14ac:dyDescent="0.25">
      <c r="A2780" t="str">
        <f>"20190312151325210"</f>
        <v>20190312151325210</v>
      </c>
      <c r="B2780" t="str">
        <f>"1552374805203094"</f>
        <v>1552374805203094</v>
      </c>
      <c r="C2780" t="s">
        <v>40</v>
      </c>
      <c r="D2780">
        <v>4.5391450000000004</v>
      </c>
      <c r="E2780">
        <v>0.51192979999999999</v>
      </c>
      <c r="F2780" t="s">
        <v>41</v>
      </c>
      <c r="G2780">
        <v>-433.60120000000001</v>
      </c>
      <c r="H2780">
        <v>1.0319990000000001</v>
      </c>
      <c r="I2780">
        <v>212.4359</v>
      </c>
      <c r="J2780">
        <v>-434.26569999999998</v>
      </c>
      <c r="K2780">
        <v>1.1118809999999999</v>
      </c>
      <c r="L2780">
        <v>212.4785</v>
      </c>
      <c r="M2780">
        <v>0.99961979999999995</v>
      </c>
      <c r="N2780">
        <v>0</v>
      </c>
      <c r="O2780">
        <v>2.5462289999999999E-2</v>
      </c>
      <c r="P2780">
        <v>0.99703410000000003</v>
      </c>
      <c r="Q2780">
        <v>7.6817860000000002E-2</v>
      </c>
      <c r="R2780">
        <v>-4.7261389999999999E-3</v>
      </c>
      <c r="S2780">
        <v>3.0281980000000002</v>
      </c>
      <c r="T2780">
        <v>-0.25993080000000002</v>
      </c>
      <c r="U2780">
        <v>-0.1091766</v>
      </c>
      <c r="V2780">
        <v>2.971385E-2</v>
      </c>
      <c r="W2780">
        <v>8.7510870000000004E-2</v>
      </c>
      <c r="X2780">
        <v>0.9957203</v>
      </c>
      <c r="Y2780">
        <v>6.1147300000000002E-2</v>
      </c>
      <c r="Z2780">
        <v>-4.7997639999999998E-3</v>
      </c>
      <c r="AA2780">
        <v>0.99811719999999904</v>
      </c>
      <c r="AB2780">
        <v>28</v>
      </c>
      <c r="AC2780">
        <v>0.664499999999975</v>
      </c>
      <c r="AD2780">
        <v>-7.9881999999999995E-2</v>
      </c>
      <c r="AE2780">
        <v>-4.2599999999992998E-2</v>
      </c>
      <c r="AF2780">
        <v>5.8662543481703501E-2</v>
      </c>
      <c r="AG2780">
        <v>-7.9881999999999995E-2</v>
      </c>
      <c r="AH2780">
        <v>0.65379031038028701</v>
      </c>
      <c r="AI2780">
        <v>96.938436205565097</v>
      </c>
      <c r="AJ2780">
        <v>84.872760554938694</v>
      </c>
      <c r="AK2780">
        <v>0.66125955409271397</v>
      </c>
      <c r="AL2780">
        <v>84.979574617334805</v>
      </c>
      <c r="AM2780">
        <v>88.290711653721999</v>
      </c>
      <c r="AN2780">
        <v>0.99999999054103395</v>
      </c>
    </row>
    <row r="2781" spans="1:40" x14ac:dyDescent="0.25">
      <c r="A2781" t="str">
        <f>"20190312151325233"</f>
        <v>20190312151325233</v>
      </c>
      <c r="B2781" t="str">
        <f>"1552374805222614"</f>
        <v>1552374805222614</v>
      </c>
      <c r="C2781" t="s">
        <v>40</v>
      </c>
      <c r="D2781">
        <v>4.6263719999999999</v>
      </c>
      <c r="E2781">
        <v>0.51715889999999998</v>
      </c>
      <c r="F2781" t="s">
        <v>41</v>
      </c>
      <c r="G2781">
        <v>-433.35509999999999</v>
      </c>
      <c r="H2781">
        <v>1.0335939999999999</v>
      </c>
      <c r="I2781">
        <v>212.447</v>
      </c>
      <c r="J2781">
        <v>-433.99250000000001</v>
      </c>
      <c r="K2781">
        <v>1.11188</v>
      </c>
      <c r="L2781">
        <v>212.48830000000001</v>
      </c>
      <c r="M2781">
        <v>0.99955150000000004</v>
      </c>
      <c r="N2781">
        <v>0</v>
      </c>
      <c r="O2781">
        <v>2.8009019999999999E-2</v>
      </c>
      <c r="P2781">
        <v>0.99706570000000005</v>
      </c>
      <c r="Q2781">
        <v>7.6520589999999999E-2</v>
      </c>
      <c r="R2781">
        <v>-2.1252490000000001E-3</v>
      </c>
      <c r="S2781">
        <v>3.028473</v>
      </c>
      <c r="T2781">
        <v>-0.260650299999999</v>
      </c>
      <c r="U2781">
        <v>-0.10389710000000001</v>
      </c>
      <c r="V2781">
        <v>2.9654610000000001E-2</v>
      </c>
      <c r="W2781">
        <v>8.7220629999999993E-2</v>
      </c>
      <c r="X2781">
        <v>0.99574759999999995</v>
      </c>
      <c r="Y2781">
        <v>6.1935070000000002E-2</v>
      </c>
      <c r="Z2781">
        <v>-5.0652509999999998E-3</v>
      </c>
      <c r="AA2781">
        <v>0.99806729999999999</v>
      </c>
      <c r="AB2781">
        <v>28</v>
      </c>
      <c r="AC2781">
        <v>0.63740000000001296</v>
      </c>
      <c r="AD2781">
        <v>-7.82859999999998E-2</v>
      </c>
      <c r="AE2781">
        <v>-4.1300000000006699E-2</v>
      </c>
      <c r="AF2781">
        <v>5.8262533382209498E-2</v>
      </c>
      <c r="AG2781">
        <v>-7.82859999999998E-2</v>
      </c>
      <c r="AH2781">
        <v>0.62658063774123696</v>
      </c>
      <c r="AI2781">
        <v>97.091445301400796</v>
      </c>
      <c r="AJ2781">
        <v>84.687633523800301</v>
      </c>
      <c r="AK2781">
        <v>0.63413446222731695</v>
      </c>
      <c r="AL2781">
        <v>84.996268316108996</v>
      </c>
      <c r="AM2781">
        <v>88.294164159291</v>
      </c>
      <c r="AN2781">
        <v>1.0000000585488</v>
      </c>
    </row>
    <row r="2782" spans="1:40" x14ac:dyDescent="0.25">
      <c r="A2782" t="str">
        <f>"20190312151325256"</f>
        <v>20190312151325256</v>
      </c>
      <c r="B2782" t="str">
        <f>"1552374805252870"</f>
        <v>1552374805252870</v>
      </c>
      <c r="C2782" t="s">
        <v>40</v>
      </c>
      <c r="D2782">
        <v>4.5981489999999896</v>
      </c>
      <c r="E2782">
        <v>0.51668359999999902</v>
      </c>
      <c r="F2782" t="s">
        <v>41</v>
      </c>
      <c r="G2782">
        <v>-433.09460000000001</v>
      </c>
      <c r="H2782">
        <v>1.056527</v>
      </c>
      <c r="I2782">
        <v>212.44710000000001</v>
      </c>
      <c r="J2782">
        <v>-433.69740000000002</v>
      </c>
      <c r="K2782">
        <v>1.111872</v>
      </c>
      <c r="L2782">
        <v>212.49950000000001</v>
      </c>
      <c r="M2782">
        <v>0.99947050000000004</v>
      </c>
      <c r="N2782">
        <v>0</v>
      </c>
      <c r="O2782">
        <v>3.0757980000000001E-2</v>
      </c>
      <c r="P2782">
        <v>0.99714919999999996</v>
      </c>
      <c r="Q2782">
        <v>7.5440980000000005E-2</v>
      </c>
      <c r="R2782">
        <v>1.476415E-3</v>
      </c>
      <c r="S2782">
        <v>3.0228269999999999</v>
      </c>
      <c r="T2782">
        <v>-0.18628749999999999</v>
      </c>
      <c r="U2782">
        <v>-0.13865659999999999</v>
      </c>
      <c r="V2782">
        <v>2.880216E-2</v>
      </c>
      <c r="W2782">
        <v>8.6146089999999995E-2</v>
      </c>
      <c r="X2782">
        <v>0.99586609999999998</v>
      </c>
      <c r="Y2782">
        <v>7.6324600000000006E-2</v>
      </c>
      <c r="Z2782">
        <v>-4.2413119999999997E-3</v>
      </c>
      <c r="AA2782">
        <v>0.99707400000000002</v>
      </c>
      <c r="AB2782">
        <v>28</v>
      </c>
      <c r="AC2782">
        <v>0.602800000000002</v>
      </c>
      <c r="AD2782">
        <v>-5.5344999999999901E-2</v>
      </c>
      <c r="AE2782">
        <v>-5.2400000000005699E-2</v>
      </c>
      <c r="AF2782">
        <v>7.0328758010051506E-2</v>
      </c>
      <c r="AG2782">
        <v>-5.5344999999999901E-2</v>
      </c>
      <c r="AH2782">
        <v>0.59591724256652601</v>
      </c>
      <c r="AI2782">
        <v>95.269682828308007</v>
      </c>
      <c r="AJ2782">
        <v>83.269220141388402</v>
      </c>
      <c r="AK2782">
        <v>0.60259983672112705</v>
      </c>
      <c r="AL2782">
        <v>85.0580672558917</v>
      </c>
      <c r="AM2782">
        <v>88.343369338614906</v>
      </c>
      <c r="AN2782">
        <v>1.0000000011860799</v>
      </c>
    </row>
    <row r="2783" spans="1:40" x14ac:dyDescent="0.25">
      <c r="A2783" t="str">
        <f>"20190312151325279"</f>
        <v>20190312151325279</v>
      </c>
      <c r="B2783" t="str">
        <f>"1552374805273367"</f>
        <v>1552374805273367</v>
      </c>
      <c r="C2783" t="s">
        <v>40</v>
      </c>
      <c r="D2783">
        <v>4.5940180000000002</v>
      </c>
      <c r="E2783">
        <v>0.51666279999999998</v>
      </c>
      <c r="F2783" t="s">
        <v>55</v>
      </c>
      <c r="G2783">
        <v>-415.85480000000001</v>
      </c>
      <c r="H2783" s="1">
        <v>3.4934479999999999E-6</v>
      </c>
      <c r="I2783">
        <v>211.7663</v>
      </c>
      <c r="J2783">
        <v>-433.4205</v>
      </c>
      <c r="K2783">
        <v>1.1118760000000001</v>
      </c>
      <c r="L2783">
        <v>212.51089999999999</v>
      </c>
      <c r="M2783">
        <v>0.99938800000000005</v>
      </c>
      <c r="N2783">
        <v>0</v>
      </c>
      <c r="O2783">
        <v>3.3334559999999999E-2</v>
      </c>
      <c r="P2783">
        <v>0.9971392</v>
      </c>
      <c r="Q2783">
        <v>7.5461570000000006E-2</v>
      </c>
      <c r="R2783">
        <v>4.4032259999999997E-3</v>
      </c>
      <c r="S2783">
        <v>3.0230100000000002</v>
      </c>
      <c r="T2783">
        <v>-0.1883792</v>
      </c>
      <c r="U2783">
        <v>-0.1242371</v>
      </c>
      <c r="V2783">
        <v>2.8445669999999999E-2</v>
      </c>
      <c r="W2783">
        <v>8.6172219999999994E-2</v>
      </c>
      <c r="X2783">
        <v>0.99587409999999998</v>
      </c>
      <c r="Y2783">
        <v>7.413981E-2</v>
      </c>
      <c r="Z2783">
        <v>-4.38135E-3</v>
      </c>
      <c r="AA2783">
        <v>0.99723819999999996</v>
      </c>
      <c r="AB2783">
        <v>28</v>
      </c>
      <c r="AC2783">
        <v>17.5656999999999</v>
      </c>
      <c r="AD2783">
        <v>-1.1118725065520001</v>
      </c>
      <c r="AE2783">
        <v>-0.74459999999999105</v>
      </c>
      <c r="AF2783">
        <v>1.3244668138022599</v>
      </c>
      <c r="AG2783">
        <v>-1.1118725065520001</v>
      </c>
      <c r="AH2783">
        <v>17.461279068791999</v>
      </c>
      <c r="AI2783">
        <v>93.633065253164204</v>
      </c>
      <c r="AJ2783">
        <v>85.662326803776494</v>
      </c>
      <c r="AK2783">
        <v>17.546701670967298</v>
      </c>
      <c r="AL2783">
        <v>85.056564599287498</v>
      </c>
      <c r="AM2783">
        <v>88.363875703592797</v>
      </c>
      <c r="AN2783">
        <v>1.0000000153461399</v>
      </c>
    </row>
    <row r="2784" spans="1:40" x14ac:dyDescent="0.25">
      <c r="A2784" t="str">
        <f>"20190312151325300"</f>
        <v>20190312151325300</v>
      </c>
      <c r="B2784" t="str">
        <f>"1552374805292887"</f>
        <v>1552374805292887</v>
      </c>
      <c r="C2784" t="s">
        <v>40</v>
      </c>
      <c r="D2784">
        <v>4.6285920000000003</v>
      </c>
      <c r="E2784">
        <v>0.51766619999999997</v>
      </c>
      <c r="F2784" t="s">
        <v>41</v>
      </c>
      <c r="G2784">
        <v>-432.61750000000001</v>
      </c>
      <c r="H2784">
        <v>1.034608</v>
      </c>
      <c r="I2784">
        <v>212.4804</v>
      </c>
      <c r="J2784">
        <v>-433.16309999999999</v>
      </c>
      <c r="K2784">
        <v>1.111872</v>
      </c>
      <c r="L2784">
        <v>212.52209999999999</v>
      </c>
      <c r="M2784">
        <v>0.99930549999999996</v>
      </c>
      <c r="N2784">
        <v>0</v>
      </c>
      <c r="O2784">
        <v>3.5716680000000001E-2</v>
      </c>
      <c r="P2784">
        <v>0.99714400000000003</v>
      </c>
      <c r="Q2784">
        <v>7.5207640000000006E-2</v>
      </c>
      <c r="R2784">
        <v>6.931731E-3</v>
      </c>
      <c r="S2784">
        <v>3.03125</v>
      </c>
      <c r="T2784">
        <v>-0.29206720000000003</v>
      </c>
      <c r="U2784">
        <v>-0.11381529999999999</v>
      </c>
      <c r="V2784">
        <v>2.829653E-2</v>
      </c>
      <c r="W2784">
        <v>8.5923749999999993E-2</v>
      </c>
      <c r="X2784">
        <v>0.9958998</v>
      </c>
      <c r="Y2784">
        <v>7.2689019999999993E-2</v>
      </c>
      <c r="Z2784">
        <v>-6.9249979999999999E-3</v>
      </c>
      <c r="AA2784">
        <v>0.99733059999999996</v>
      </c>
      <c r="AB2784">
        <v>28</v>
      </c>
      <c r="AC2784">
        <v>0.54559999999997899</v>
      </c>
      <c r="AD2784">
        <v>-7.7263999999999999E-2</v>
      </c>
      <c r="AE2784">
        <v>-4.1699999999991598E-2</v>
      </c>
      <c r="AF2784">
        <v>5.9965925158290898E-2</v>
      </c>
      <c r="AG2784">
        <v>-7.7263999999999999E-2</v>
      </c>
      <c r="AH2784">
        <v>0.53313290456871198</v>
      </c>
      <c r="AI2784">
        <v>98.195179596177994</v>
      </c>
      <c r="AJ2784">
        <v>83.582436554554505</v>
      </c>
      <c r="AK2784">
        <v>0.54202982557232104</v>
      </c>
      <c r="AL2784">
        <v>85.070853794918804</v>
      </c>
      <c r="AM2784">
        <v>88.372491217766694</v>
      </c>
      <c r="AN2784">
        <v>0.99999999803207096</v>
      </c>
    </row>
    <row r="2785" spans="1:40" x14ac:dyDescent="0.25">
      <c r="A2785" t="str">
        <f>"20190312151325322"</f>
        <v>20190312151325322</v>
      </c>
      <c r="B2785" t="str">
        <f>"1552374805312407"</f>
        <v>1552374805312407</v>
      </c>
      <c r="C2785" t="s">
        <v>40</v>
      </c>
      <c r="D2785">
        <v>4.5687559999999996</v>
      </c>
      <c r="E2785">
        <v>0.51807429999999999</v>
      </c>
      <c r="F2785" t="s">
        <v>41</v>
      </c>
      <c r="G2785">
        <v>-432.37009999999998</v>
      </c>
      <c r="H2785">
        <v>1.0373790000000001</v>
      </c>
      <c r="I2785">
        <v>212.49199999999999</v>
      </c>
      <c r="J2785">
        <v>-432.89929999999998</v>
      </c>
      <c r="K2785">
        <v>1.111861</v>
      </c>
      <c r="L2785">
        <v>212.5341</v>
      </c>
      <c r="M2785">
        <v>0.99921599999999999</v>
      </c>
      <c r="N2785">
        <v>0</v>
      </c>
      <c r="O2785">
        <v>3.8138150000000003E-2</v>
      </c>
      <c r="P2785">
        <v>0.99714290000000005</v>
      </c>
      <c r="Q2785">
        <v>7.4910249999999998E-2</v>
      </c>
      <c r="R2785">
        <v>9.7326870000000003E-3</v>
      </c>
      <c r="S2785">
        <v>3.030853</v>
      </c>
      <c r="T2785">
        <v>-0.28492299999999998</v>
      </c>
      <c r="U2785">
        <v>-0.1142426</v>
      </c>
      <c r="V2785">
        <v>2.7916489999999999E-2</v>
      </c>
      <c r="W2785">
        <v>8.5627789999999995E-2</v>
      </c>
      <c r="X2785">
        <v>0.99593600000000004</v>
      </c>
      <c r="Y2785">
        <v>7.5252929999999996E-2</v>
      </c>
      <c r="Z2785">
        <v>-7.1044619999999998E-3</v>
      </c>
      <c r="AA2785">
        <v>0.9971392</v>
      </c>
      <c r="AB2785">
        <v>28</v>
      </c>
      <c r="AC2785">
        <v>0.529200000000003</v>
      </c>
      <c r="AD2785">
        <v>-7.4481999999999896E-2</v>
      </c>
      <c r="AE2785">
        <v>-4.2099999999976399E-2</v>
      </c>
      <c r="AF2785">
        <v>6.1051452186128403E-2</v>
      </c>
      <c r="AG2785">
        <v>-7.4481999999999896E-2</v>
      </c>
      <c r="AH2785">
        <v>0.517031763358759</v>
      </c>
      <c r="AI2785">
        <v>98.1416608320812</v>
      </c>
      <c r="AJ2785">
        <v>83.265660034044998</v>
      </c>
      <c r="AK2785">
        <v>0.52592460720135803</v>
      </c>
      <c r="AL2785">
        <v>85.0878737049877</v>
      </c>
      <c r="AM2785">
        <v>88.394396484338003</v>
      </c>
      <c r="AN2785">
        <v>0.99999998246510202</v>
      </c>
    </row>
    <row r="2786" spans="1:40" x14ac:dyDescent="0.25">
      <c r="A2786" t="str">
        <f>"20190312151325344"</f>
        <v>20190312151325344</v>
      </c>
      <c r="B2786" t="str">
        <f>"1552374805332903"</f>
        <v>1552374805332903</v>
      </c>
      <c r="C2786" t="s">
        <v>40</v>
      </c>
      <c r="D2786">
        <v>4.6472670000000003</v>
      </c>
      <c r="E2786">
        <v>0.51857229999999999</v>
      </c>
      <c r="F2786" t="s">
        <v>41</v>
      </c>
      <c r="G2786">
        <v>-432.12360000000001</v>
      </c>
      <c r="H2786">
        <v>1.0379069999999999</v>
      </c>
      <c r="I2786">
        <v>212.5061</v>
      </c>
      <c r="J2786">
        <v>-432.62490000000003</v>
      </c>
      <c r="K2786">
        <v>1.1118410000000001</v>
      </c>
      <c r="L2786">
        <v>212.54730000000001</v>
      </c>
      <c r="M2786">
        <v>0.99911819999999896</v>
      </c>
      <c r="N2786">
        <v>0</v>
      </c>
      <c r="O2786">
        <v>4.0621890000000001E-2</v>
      </c>
      <c r="P2786">
        <v>0.99712999999999996</v>
      </c>
      <c r="Q2786">
        <v>7.4741569999999993E-2</v>
      </c>
      <c r="R2786">
        <v>1.206845E-2</v>
      </c>
      <c r="S2786">
        <v>3.0314030000000001</v>
      </c>
      <c r="T2786">
        <v>-0.2892054</v>
      </c>
      <c r="U2786">
        <v>-0.108963</v>
      </c>
      <c r="V2786">
        <v>2.8065110000000001E-2</v>
      </c>
      <c r="W2786">
        <v>8.545722E-2</v>
      </c>
      <c r="X2786">
        <v>0.99594649999999996</v>
      </c>
      <c r="Y2786">
        <v>7.5961070000000006E-2</v>
      </c>
      <c r="Z2786">
        <v>-7.4796580000000001E-3</v>
      </c>
      <c r="AA2786">
        <v>0.99708269999999999</v>
      </c>
      <c r="AB2786">
        <v>28</v>
      </c>
      <c r="AC2786">
        <v>0.50130000000001396</v>
      </c>
      <c r="AD2786">
        <v>-7.3934000000000097E-2</v>
      </c>
      <c r="AE2786">
        <v>-4.1200000000003401E-2</v>
      </c>
      <c r="AF2786">
        <v>6.0229584736542503E-2</v>
      </c>
      <c r="AG2786">
        <v>-7.3934000000000097E-2</v>
      </c>
      <c r="AH2786">
        <v>0.488654707116355</v>
      </c>
      <c r="AI2786">
        <v>98.539997562665505</v>
      </c>
      <c r="AJ2786">
        <v>82.973395828649799</v>
      </c>
      <c r="AK2786">
        <v>0.49787273677166399</v>
      </c>
      <c r="AL2786">
        <v>85.097682730266897</v>
      </c>
      <c r="AM2786">
        <v>88.385870195017802</v>
      </c>
      <c r="AN2786">
        <v>1.0000000088558401</v>
      </c>
    </row>
    <row r="2787" spans="1:40" x14ac:dyDescent="0.25">
      <c r="A2787" t="str">
        <f>"20190312151325367"</f>
        <v>20190312151325367</v>
      </c>
      <c r="B2787" t="str">
        <f>"1552374805362689"</f>
        <v>1552374805362689</v>
      </c>
      <c r="C2787" t="s">
        <v>40</v>
      </c>
      <c r="D2787">
        <v>4.6305420000000002</v>
      </c>
      <c r="E2787">
        <v>0.51931759999999905</v>
      </c>
      <c r="F2787" t="s">
        <v>41</v>
      </c>
      <c r="G2787">
        <v>-431.87549999999999</v>
      </c>
      <c r="H2787">
        <v>1.041196</v>
      </c>
      <c r="I2787">
        <v>212.52070000000001</v>
      </c>
      <c r="J2787">
        <v>-432.34379999999999</v>
      </c>
      <c r="K2787">
        <v>1.1118110000000001</v>
      </c>
      <c r="L2787">
        <v>212.56139999999999</v>
      </c>
      <c r="M2787">
        <v>0.9990137</v>
      </c>
      <c r="N2787">
        <v>0</v>
      </c>
      <c r="O2787">
        <v>4.3114369999999999E-2</v>
      </c>
      <c r="P2787">
        <v>0.99714060000000004</v>
      </c>
      <c r="Q2787">
        <v>7.4403960000000005E-2</v>
      </c>
      <c r="R2787">
        <v>1.322128E-2</v>
      </c>
      <c r="S2787">
        <v>3.0313720000000002</v>
      </c>
      <c r="T2787">
        <v>-0.2861686</v>
      </c>
      <c r="U2787">
        <v>-0.1059113</v>
      </c>
      <c r="V2787">
        <v>2.9409109999999999E-2</v>
      </c>
      <c r="W2787">
        <v>8.5117999999999999E-2</v>
      </c>
      <c r="X2787">
        <v>0.99593679999999996</v>
      </c>
      <c r="Y2787">
        <v>7.7439670000000002E-2</v>
      </c>
      <c r="Z2787">
        <v>-7.7059149999999998E-3</v>
      </c>
      <c r="AA2787">
        <v>0.9969673</v>
      </c>
      <c r="AB2787">
        <v>28</v>
      </c>
      <c r="AC2787">
        <v>0.46829999999999899</v>
      </c>
      <c r="AD2787">
        <v>-7.0615000000000094E-2</v>
      </c>
      <c r="AE2787">
        <v>-4.0699999999986802E-2</v>
      </c>
      <c r="AF2787">
        <v>5.9510757859559303E-2</v>
      </c>
      <c r="AG2787">
        <v>-7.0615000000000094E-2</v>
      </c>
      <c r="AH2787">
        <v>0.455822999281569</v>
      </c>
      <c r="AI2787">
        <v>98.733164634932095</v>
      </c>
      <c r="AJ2787">
        <v>82.561722244367303</v>
      </c>
      <c r="AK2787">
        <v>0.46508344971635401</v>
      </c>
      <c r="AL2787">
        <v>85.117189831203106</v>
      </c>
      <c r="AM2787">
        <v>88.308599121812506</v>
      </c>
      <c r="AN2787">
        <v>1.00000003963461</v>
      </c>
    </row>
    <row r="2788" spans="1:40" x14ac:dyDescent="0.25">
      <c r="A2788" t="str">
        <f>"20190312151325390"</f>
        <v>20190312151325390</v>
      </c>
      <c r="B2788" t="str">
        <f>"1552374805383184"</f>
        <v>1552374805383184</v>
      </c>
      <c r="C2788" t="s">
        <v>40</v>
      </c>
      <c r="D2788">
        <v>4.5921729999999998</v>
      </c>
      <c r="E2788">
        <v>0.50421660000000001</v>
      </c>
      <c r="F2788" t="s">
        <v>41</v>
      </c>
      <c r="G2788">
        <v>-431.38990000000001</v>
      </c>
      <c r="H2788">
        <v>1.022999</v>
      </c>
      <c r="I2788">
        <v>212.52699999999999</v>
      </c>
      <c r="J2788">
        <v>-432.06029999999998</v>
      </c>
      <c r="K2788">
        <v>1.1117629999999901</v>
      </c>
      <c r="L2788">
        <v>212.57640000000001</v>
      </c>
      <c r="M2788">
        <v>0.99890540000000005</v>
      </c>
      <c r="N2788">
        <v>0</v>
      </c>
      <c r="O2788">
        <v>4.5555909999999998E-2</v>
      </c>
      <c r="P2788">
        <v>0.99713260000000004</v>
      </c>
      <c r="Q2788">
        <v>7.4192079999999994E-2</v>
      </c>
      <c r="R2788">
        <v>1.491025E-2</v>
      </c>
      <c r="S2788">
        <v>3.0311279999999998</v>
      </c>
      <c r="T2788">
        <v>-0.28252699999999997</v>
      </c>
      <c r="U2788">
        <v>-0.107910199999999</v>
      </c>
      <c r="V2788">
        <v>3.0168159999999999E-2</v>
      </c>
      <c r="W2788">
        <v>8.4900390000000006E-2</v>
      </c>
      <c r="X2788">
        <v>0.99593259999999995</v>
      </c>
      <c r="Y2788">
        <v>8.0524879999999993E-2</v>
      </c>
      <c r="Z2788">
        <v>-7.9791859999999992E-3</v>
      </c>
      <c r="AA2788">
        <v>0.99672070000000001</v>
      </c>
      <c r="AB2788">
        <v>28</v>
      </c>
      <c r="AC2788">
        <v>0.67039999999997202</v>
      </c>
      <c r="AD2788">
        <v>-8.8763999999999801E-2</v>
      </c>
      <c r="AE2788">
        <v>-4.9399999999991402E-2</v>
      </c>
      <c r="AF2788">
        <v>7.85219776876592E-2</v>
      </c>
      <c r="AG2788">
        <v>-8.8763999999999801E-2</v>
      </c>
      <c r="AH2788">
        <v>0.656014855366154</v>
      </c>
      <c r="AI2788">
        <v>97.651808509488205</v>
      </c>
      <c r="AJ2788">
        <v>83.174430277426097</v>
      </c>
      <c r="AK2788">
        <v>0.66663351186169495</v>
      </c>
      <c r="AL2788">
        <v>85.129702916615898</v>
      </c>
      <c r="AM2788">
        <v>88.264963050164994</v>
      </c>
      <c r="AN2788">
        <v>0.99999996892134801</v>
      </c>
    </row>
    <row r="2789" spans="1:40" x14ac:dyDescent="0.25">
      <c r="A2789" t="str">
        <f>"20190312151325411"</f>
        <v>20190312151325411</v>
      </c>
      <c r="B2789" t="str">
        <f>"1552374805402704"</f>
        <v>1552374805402704</v>
      </c>
      <c r="C2789" t="s">
        <v>40</v>
      </c>
      <c r="D2789">
        <v>4.6944670000000004</v>
      </c>
      <c r="E2789">
        <v>0.50140079999999998</v>
      </c>
      <c r="F2789" t="s">
        <v>41</v>
      </c>
      <c r="G2789">
        <v>-431.14010000000002</v>
      </c>
      <c r="H2789">
        <v>1.0319799999999999</v>
      </c>
      <c r="I2789">
        <v>212.58150000000001</v>
      </c>
      <c r="J2789">
        <v>-431.79629999999997</v>
      </c>
      <c r="K2789">
        <v>1.1117189999999999</v>
      </c>
      <c r="L2789">
        <v>212.5908</v>
      </c>
      <c r="M2789">
        <v>0.99880199999999997</v>
      </c>
      <c r="N2789">
        <v>0</v>
      </c>
      <c r="O2789">
        <v>4.7771920000000002E-2</v>
      </c>
      <c r="P2789">
        <v>0.99712489999999998</v>
      </c>
      <c r="Q2789">
        <v>7.4118470000000006E-2</v>
      </c>
      <c r="R2789">
        <v>1.5770670000000001E-2</v>
      </c>
      <c r="S2789">
        <v>3.027863</v>
      </c>
      <c r="T2789">
        <v>-0.26258749999999997</v>
      </c>
      <c r="U2789">
        <v>1.7028809999999998E-2</v>
      </c>
      <c r="V2789">
        <v>3.1529290000000001E-2</v>
      </c>
      <c r="W2789">
        <v>8.4822949999999994E-2</v>
      </c>
      <c r="X2789">
        <v>0.99589709999999998</v>
      </c>
      <c r="Y2789">
        <v>4.1820169999999997E-2</v>
      </c>
      <c r="Z2789">
        <v>-5.9440659999999996E-3</v>
      </c>
      <c r="AA2789">
        <v>0.99910750000000004</v>
      </c>
      <c r="AB2789">
        <v>28</v>
      </c>
      <c r="AC2789">
        <v>0.65619999999995504</v>
      </c>
      <c r="AD2789">
        <v>-7.9739000000000199E-2</v>
      </c>
      <c r="AE2789">
        <v>-9.2999999999960892E-3</v>
      </c>
      <c r="AF2789">
        <v>4.0047840484042897E-2</v>
      </c>
      <c r="AG2789">
        <v>-7.9739000000000199E-2</v>
      </c>
      <c r="AH2789">
        <v>0.64547707109434704</v>
      </c>
      <c r="AI2789">
        <v>97.028973477465996</v>
      </c>
      <c r="AJ2789">
        <v>86.449703860031207</v>
      </c>
      <c r="AK2789">
        <v>0.65161552080730301</v>
      </c>
      <c r="AL2789">
        <v>85.134156269869294</v>
      </c>
      <c r="AM2789">
        <v>88.186668021924604</v>
      </c>
      <c r="AN2789">
        <v>1.0000000313815001</v>
      </c>
    </row>
    <row r="2790" spans="1:40" x14ac:dyDescent="0.25">
      <c r="A2790" t="str">
        <f>"20190312151325432"</f>
        <v>20190312151325432</v>
      </c>
      <c r="B2790" t="str">
        <f>"1552374805423200"</f>
        <v>1552374805423200</v>
      </c>
      <c r="C2790" t="s">
        <v>40</v>
      </c>
      <c r="D2790">
        <v>4.6284739999999998</v>
      </c>
      <c r="E2790">
        <v>0.50047029999999904</v>
      </c>
      <c r="F2790" t="s">
        <v>41</v>
      </c>
      <c r="G2790">
        <v>-430.88819999999998</v>
      </c>
      <c r="H2790">
        <v>1.0419259999999999</v>
      </c>
      <c r="I2790">
        <v>212.60310000000001</v>
      </c>
      <c r="J2790">
        <v>-431.52159999999998</v>
      </c>
      <c r="K2790">
        <v>1.1116680000000001</v>
      </c>
      <c r="L2790">
        <v>212.60640000000001</v>
      </c>
      <c r="M2790">
        <v>0.99869280000000005</v>
      </c>
      <c r="N2790">
        <v>0</v>
      </c>
      <c r="O2790">
        <v>5.0003899999999997E-2</v>
      </c>
      <c r="P2790">
        <v>0.99709650000000005</v>
      </c>
      <c r="Q2790">
        <v>7.4191209999999994E-2</v>
      </c>
      <c r="R2790">
        <v>1.715769E-2</v>
      </c>
      <c r="S2790">
        <v>3.025299</v>
      </c>
      <c r="T2790">
        <v>-0.2328345</v>
      </c>
      <c r="U2790">
        <v>4.1870119999999997E-2</v>
      </c>
      <c r="V2790">
        <v>3.238005E-2</v>
      </c>
      <c r="W2790">
        <v>8.4889939999999997E-2</v>
      </c>
      <c r="X2790">
        <v>0.99586399999999997</v>
      </c>
      <c r="Y2790">
        <v>3.5926630000000001E-2</v>
      </c>
      <c r="Z2790">
        <v>-5.2216320000000004E-3</v>
      </c>
      <c r="AA2790">
        <v>0.99934080000000003</v>
      </c>
      <c r="AB2790">
        <v>28</v>
      </c>
      <c r="AC2790">
        <v>0.63339999999999397</v>
      </c>
      <c r="AD2790">
        <v>-6.9741999999999901E-2</v>
      </c>
      <c r="AE2790">
        <v>-3.2999999999958601E-3</v>
      </c>
      <c r="AF2790">
        <v>3.4551245004817203E-2</v>
      </c>
      <c r="AG2790">
        <v>-6.9741999999999901E-2</v>
      </c>
      <c r="AH2790">
        <v>0.62486706811466597</v>
      </c>
      <c r="AI2790">
        <v>96.358845355746794</v>
      </c>
      <c r="AJ2790">
        <v>86.835124152734593</v>
      </c>
      <c r="AK2790">
        <v>0.62969563116604299</v>
      </c>
      <c r="AL2790">
        <v>85.130303676057295</v>
      </c>
      <c r="AM2790">
        <v>88.137710735135698</v>
      </c>
      <c r="AN2790">
        <v>0.99999993802360099</v>
      </c>
    </row>
    <row r="2791" spans="1:40" x14ac:dyDescent="0.25">
      <c r="A2791" t="str">
        <f>"20190312151325457"</f>
        <v>20190312151325457</v>
      </c>
      <c r="B2791" t="str">
        <f>"1552374805452988"</f>
        <v>1552374805452988</v>
      </c>
      <c r="C2791" t="s">
        <v>40</v>
      </c>
      <c r="D2791">
        <v>4.6672710000000004</v>
      </c>
      <c r="E2791">
        <v>0.50068559999999995</v>
      </c>
      <c r="F2791" t="s">
        <v>41</v>
      </c>
      <c r="G2791">
        <v>-430.63889999999998</v>
      </c>
      <c r="H2791">
        <v>1.044486</v>
      </c>
      <c r="I2791">
        <v>212.62209999999999</v>
      </c>
      <c r="J2791">
        <v>-431.22050000000002</v>
      </c>
      <c r="K2791">
        <v>1.111594</v>
      </c>
      <c r="L2791">
        <v>212.6241</v>
      </c>
      <c r="M2791">
        <v>0.99857289999999999</v>
      </c>
      <c r="N2791">
        <v>0</v>
      </c>
      <c r="O2791">
        <v>5.2342760000000002E-2</v>
      </c>
      <c r="P2791">
        <v>0.99709499999999995</v>
      </c>
      <c r="Q2791">
        <v>7.3830880000000002E-2</v>
      </c>
      <c r="R2791">
        <v>1.8729610000000001E-2</v>
      </c>
      <c r="S2791">
        <v>3.0249630000000001</v>
      </c>
      <c r="T2791">
        <v>-0.23019539999999999</v>
      </c>
      <c r="U2791">
        <v>5.3451539999999999E-2</v>
      </c>
      <c r="V2791">
        <v>3.3159010000000003E-2</v>
      </c>
      <c r="W2791">
        <v>8.4522219999999995E-2</v>
      </c>
      <c r="X2791">
        <v>0.99586969999999997</v>
      </c>
      <c r="Y2791">
        <v>3.4443660000000001E-2</v>
      </c>
      <c r="Z2791">
        <v>-5.2841110000000002E-3</v>
      </c>
      <c r="AA2791">
        <v>0.99939270000000002</v>
      </c>
      <c r="AB2791">
        <v>28</v>
      </c>
      <c r="AC2791">
        <v>0.58160000000003698</v>
      </c>
      <c r="AD2791">
        <v>-6.7107999999999904E-2</v>
      </c>
      <c r="AE2791">
        <v>-2.0000000000095402E-3</v>
      </c>
      <c r="AF2791">
        <v>3.2015280452872399E-2</v>
      </c>
      <c r="AG2791">
        <v>-6.7107999999999904E-2</v>
      </c>
      <c r="AH2791">
        <v>0.57306836083438095</v>
      </c>
      <c r="AI2791">
        <v>96.668780923804803</v>
      </c>
      <c r="AJ2791">
        <v>86.802413498620695</v>
      </c>
      <c r="AK2791">
        <v>0.57787179204031103</v>
      </c>
      <c r="AL2791">
        <v>85.151448741094399</v>
      </c>
      <c r="AM2791">
        <v>88.092953637197496</v>
      </c>
      <c r="AN2791">
        <v>0.99999999249799898</v>
      </c>
    </row>
    <row r="2792" spans="1:40" x14ac:dyDescent="0.25">
      <c r="A2792" t="str">
        <f>"20190312151325501"</f>
        <v>20190312151325501</v>
      </c>
      <c r="B2792" t="str">
        <f>"1552374805493003"</f>
        <v>1552374805493003</v>
      </c>
      <c r="C2792" t="s">
        <v>40</v>
      </c>
      <c r="D2792">
        <v>4.7054919999999996</v>
      </c>
      <c r="E2792">
        <v>0.50136939999999997</v>
      </c>
      <c r="F2792" t="s">
        <v>41</v>
      </c>
      <c r="G2792">
        <v>-430.38639999999998</v>
      </c>
      <c r="H2792">
        <v>1.0498379999999901</v>
      </c>
      <c r="I2792">
        <v>212.63929999999999</v>
      </c>
      <c r="J2792">
        <v>-430.68419999999998</v>
      </c>
      <c r="K2792">
        <v>1.111426</v>
      </c>
      <c r="L2792">
        <v>212.65690000000001</v>
      </c>
      <c r="M2792">
        <v>0.99836570000000002</v>
      </c>
      <c r="N2792">
        <v>0</v>
      </c>
      <c r="O2792">
        <v>5.6162530000000002E-2</v>
      </c>
      <c r="P2792">
        <v>0.99710489999999996</v>
      </c>
      <c r="Q2792">
        <v>7.287014E-2</v>
      </c>
      <c r="R2792">
        <v>2.172205E-2</v>
      </c>
      <c r="S2792">
        <v>3.0243229999999999</v>
      </c>
      <c r="T2792">
        <v>-0.2242297</v>
      </c>
      <c r="U2792">
        <v>5.621338E-2</v>
      </c>
      <c r="V2792">
        <v>3.4020050000000003E-2</v>
      </c>
      <c r="W2792">
        <v>8.3535789999999999E-2</v>
      </c>
      <c r="X2792">
        <v>0.99592389999999997</v>
      </c>
      <c r="Y2792">
        <v>3.7345040000000003E-2</v>
      </c>
      <c r="Z2792">
        <v>-5.5383969999999996E-3</v>
      </c>
      <c r="AA2792">
        <v>0.99928709999999998</v>
      </c>
      <c r="AB2792">
        <v>28</v>
      </c>
      <c r="AC2792">
        <v>0.29779999999999501</v>
      </c>
      <c r="AD2792">
        <v>-6.1588000000000198E-2</v>
      </c>
      <c r="AE2792">
        <v>-1.7600000000015801E-2</v>
      </c>
      <c r="AF2792">
        <v>3.2896265758684901E-2</v>
      </c>
      <c r="AG2792">
        <v>-6.1588000000000198E-2</v>
      </c>
      <c r="AH2792">
        <v>0.284227210991983</v>
      </c>
      <c r="AI2792">
        <v>102.147510348121</v>
      </c>
      <c r="AJ2792">
        <v>83.397999771936</v>
      </c>
      <c r="AK2792">
        <v>0.292677900623104</v>
      </c>
      <c r="AL2792">
        <v>85.2081676686892</v>
      </c>
      <c r="AM2792">
        <v>88.043577760995504</v>
      </c>
      <c r="AN2792">
        <v>1.00000000330206</v>
      </c>
    </row>
    <row r="2793" spans="1:40" x14ac:dyDescent="0.25">
      <c r="A2793" t="str">
        <f>"20190312151325524"</f>
        <v>20190312151325524</v>
      </c>
      <c r="B2793" t="str">
        <f>"1552374805512523"</f>
        <v>1552374805512523</v>
      </c>
      <c r="C2793" t="s">
        <v>40</v>
      </c>
      <c r="D2793">
        <v>4.6911480000000001</v>
      </c>
      <c r="E2793">
        <v>0.50155660000000002</v>
      </c>
      <c r="F2793" t="s">
        <v>55</v>
      </c>
      <c r="G2793">
        <v>-415.37549999999999</v>
      </c>
      <c r="H2793" s="1">
        <v>3.3042620000000001E-6</v>
      </c>
      <c r="I2793">
        <v>212.9579</v>
      </c>
      <c r="J2793">
        <v>-430.40300000000002</v>
      </c>
      <c r="K2793">
        <v>1.1113219999999999</v>
      </c>
      <c r="L2793">
        <v>212.6747</v>
      </c>
      <c r="M2793">
        <v>0.99826130000000002</v>
      </c>
      <c r="N2793">
        <v>0</v>
      </c>
      <c r="O2793">
        <v>5.7987690000000001E-2</v>
      </c>
      <c r="P2793">
        <v>0.99712369999999995</v>
      </c>
      <c r="Q2793">
        <v>7.2173829999999994E-2</v>
      </c>
      <c r="R2793">
        <v>2.314167E-2</v>
      </c>
      <c r="S2793">
        <v>3.0234679999999998</v>
      </c>
      <c r="T2793">
        <v>-0.2195069</v>
      </c>
      <c r="U2793">
        <v>5.9448239999999999E-2</v>
      </c>
      <c r="V2793">
        <v>3.444705E-2</v>
      </c>
      <c r="W2793">
        <v>8.2821119999999998E-2</v>
      </c>
      <c r="X2793">
        <v>0.99596890000000005</v>
      </c>
      <c r="Y2793">
        <v>3.8101719999999999E-2</v>
      </c>
      <c r="Z2793">
        <v>-5.5830530000000001E-3</v>
      </c>
      <c r="AA2793">
        <v>0.99925830000000004</v>
      </c>
      <c r="AB2793">
        <v>28</v>
      </c>
      <c r="AC2793">
        <v>15.0275</v>
      </c>
      <c r="AD2793">
        <v>-1.1113186957379999</v>
      </c>
      <c r="AE2793">
        <v>0.28319999999999301</v>
      </c>
      <c r="AF2793">
        <v>0.58553420488716601</v>
      </c>
      <c r="AG2793">
        <v>-1.1113186957379999</v>
      </c>
      <c r="AH2793">
        <v>14.936972878948101</v>
      </c>
      <c r="AI2793">
        <v>94.251743303778895</v>
      </c>
      <c r="AJ2793">
        <v>87.755136167607603</v>
      </c>
      <c r="AK2793">
        <v>14.9896977399486</v>
      </c>
      <c r="AL2793">
        <v>85.249257587745603</v>
      </c>
      <c r="AM2793">
        <v>88.019130755998603</v>
      </c>
      <c r="AN2793">
        <v>0.99999999346948298</v>
      </c>
    </row>
    <row r="2794" spans="1:40" x14ac:dyDescent="0.25">
      <c r="A2794" t="str">
        <f>"20190312151325546"</f>
        <v>20190312151325546</v>
      </c>
      <c r="B2794" t="str">
        <f>"1552374805542780"</f>
        <v>1552374805542780</v>
      </c>
      <c r="C2794" t="s">
        <v>40</v>
      </c>
      <c r="D2794">
        <v>4.7073859999999996</v>
      </c>
      <c r="E2794">
        <v>0.50180670000000005</v>
      </c>
      <c r="F2794" t="s">
        <v>55</v>
      </c>
      <c r="G2794">
        <v>-415.18310000000002</v>
      </c>
      <c r="H2794" s="1">
        <v>3.267475E-6</v>
      </c>
      <c r="I2794">
        <v>212.98830000000001</v>
      </c>
      <c r="J2794">
        <v>-430.12380000000002</v>
      </c>
      <c r="K2794">
        <v>1.1112150000000001</v>
      </c>
      <c r="L2794">
        <v>212.69280000000001</v>
      </c>
      <c r="M2794">
        <v>0.99816349999999998</v>
      </c>
      <c r="N2794">
        <v>0</v>
      </c>
      <c r="O2794">
        <v>5.9650559999999998E-2</v>
      </c>
      <c r="P2794">
        <v>0.99710790000000005</v>
      </c>
      <c r="Q2794">
        <v>7.1916250000000001E-2</v>
      </c>
      <c r="R2794">
        <v>2.4580830000000001E-2</v>
      </c>
      <c r="S2794">
        <v>3.0231629999999998</v>
      </c>
      <c r="T2794">
        <v>-0.2207441</v>
      </c>
      <c r="U2794">
        <v>6.2271119999999999E-2</v>
      </c>
      <c r="V2794">
        <v>3.4691590000000001E-2</v>
      </c>
      <c r="W2794">
        <v>8.2542649999999995E-2</v>
      </c>
      <c r="X2794">
        <v>0.99598350000000002</v>
      </c>
      <c r="Y2794">
        <v>3.882244E-2</v>
      </c>
      <c r="Z2794">
        <v>-5.762255E-3</v>
      </c>
      <c r="AA2794">
        <v>0.99922949999999999</v>
      </c>
      <c r="AB2794">
        <v>28</v>
      </c>
      <c r="AC2794">
        <v>14.9406999999999</v>
      </c>
      <c r="AD2794">
        <v>-1.1112117325249999</v>
      </c>
      <c r="AE2794">
        <v>0.29550000000000398</v>
      </c>
      <c r="AF2794">
        <v>0.59301797063402495</v>
      </c>
      <c r="AG2794">
        <v>-1.1112117325249999</v>
      </c>
      <c r="AH2794">
        <v>14.8496099804722</v>
      </c>
      <c r="AI2794">
        <v>94.276130796733995</v>
      </c>
      <c r="AJ2794">
        <v>87.713112881308703</v>
      </c>
      <c r="AK2794">
        <v>14.9029318726261</v>
      </c>
      <c r="AL2794">
        <v>85.265267421496901</v>
      </c>
      <c r="AM2794">
        <v>88.005109084569796</v>
      </c>
      <c r="AN2794">
        <v>0.99999996387899903</v>
      </c>
    </row>
    <row r="2795" spans="1:40" x14ac:dyDescent="0.25">
      <c r="A2795" t="str">
        <f>"20190312151325567"</f>
        <v>20190312151325567</v>
      </c>
      <c r="B2795" t="str">
        <f>"1552374805563276"</f>
        <v>1552374805563276</v>
      </c>
      <c r="C2795" t="s">
        <v>40</v>
      </c>
      <c r="D2795">
        <v>4.7033940000000003</v>
      </c>
      <c r="E2795">
        <v>0.5020114</v>
      </c>
      <c r="F2795" t="s">
        <v>41</v>
      </c>
      <c r="G2795">
        <v>-429.15100000000001</v>
      </c>
      <c r="H2795">
        <v>1.039863</v>
      </c>
      <c r="I2795">
        <v>212.71379999999999</v>
      </c>
      <c r="J2795">
        <v>-429.8612</v>
      </c>
      <c r="K2795">
        <v>1.111102</v>
      </c>
      <c r="L2795">
        <v>212.71010000000001</v>
      </c>
      <c r="M2795">
        <v>0.99807920000000006</v>
      </c>
      <c r="N2795">
        <v>0</v>
      </c>
      <c r="O2795">
        <v>6.104743E-2</v>
      </c>
      <c r="P2795">
        <v>0.9971042</v>
      </c>
      <c r="Q2795">
        <v>7.1437360000000005E-2</v>
      </c>
      <c r="R2795">
        <v>2.6074119999999999E-2</v>
      </c>
      <c r="S2795">
        <v>3.0230709999999998</v>
      </c>
      <c r="T2795">
        <v>-0.2216545</v>
      </c>
      <c r="U2795">
        <v>6.4849850000000001E-2</v>
      </c>
      <c r="V2795">
        <v>3.4619570000000002E-2</v>
      </c>
      <c r="W2795">
        <v>8.204272E-2</v>
      </c>
      <c r="X2795">
        <v>0.99602740000000001</v>
      </c>
      <c r="Y2795">
        <v>3.9360890000000003E-2</v>
      </c>
      <c r="Z2795">
        <v>-5.9078639999999997E-3</v>
      </c>
      <c r="AA2795">
        <v>0.99920759999999997</v>
      </c>
      <c r="AB2795">
        <v>28</v>
      </c>
      <c r="AC2795">
        <v>0.71019999999998595</v>
      </c>
      <c r="AD2795">
        <v>-7.1238999999999997E-2</v>
      </c>
      <c r="AE2795">
        <v>3.69999999998071E-3</v>
      </c>
      <c r="AF2795">
        <v>3.92700799377632E-2</v>
      </c>
      <c r="AG2795">
        <v>-7.1238999999999997E-2</v>
      </c>
      <c r="AH2795">
        <v>0.70203757533775002</v>
      </c>
      <c r="AI2795">
        <v>95.785251734089002</v>
      </c>
      <c r="AJ2795">
        <v>86.798365827084893</v>
      </c>
      <c r="AK2795">
        <v>0.70673466837663002</v>
      </c>
      <c r="AL2795">
        <v>85.294009202546803</v>
      </c>
      <c r="AM2795">
        <v>88.009334829292996</v>
      </c>
      <c r="AN2795">
        <v>1.0000000520413701</v>
      </c>
    </row>
    <row r="2796" spans="1:40" x14ac:dyDescent="0.25">
      <c r="A2796" t="str">
        <f>"20190312151325612"</f>
        <v>20190312151325612</v>
      </c>
      <c r="B2796" t="str">
        <f>"1552374805603291"</f>
        <v>1552374805603291</v>
      </c>
      <c r="C2796" t="s">
        <v>40</v>
      </c>
      <c r="D2796">
        <v>4.6957969999999998</v>
      </c>
      <c r="E2796">
        <v>0.50236510000000001</v>
      </c>
      <c r="F2796" t="s">
        <v>41</v>
      </c>
      <c r="G2796">
        <v>-428.9015</v>
      </c>
      <c r="H2796">
        <v>1.0402340000000001</v>
      </c>
      <c r="I2796">
        <v>212.73089999999999</v>
      </c>
      <c r="J2796">
        <v>-429.30470000000003</v>
      </c>
      <c r="K2796">
        <v>1.110881</v>
      </c>
      <c r="L2796">
        <v>212.7473</v>
      </c>
      <c r="M2796">
        <v>0.99792110000000001</v>
      </c>
      <c r="N2796">
        <v>0</v>
      </c>
      <c r="O2796">
        <v>6.3582470000000002E-2</v>
      </c>
      <c r="P2796">
        <v>0.99703419999999998</v>
      </c>
      <c r="Q2796">
        <v>7.1353420000000001E-2</v>
      </c>
      <c r="R2796">
        <v>2.8838949999999999E-2</v>
      </c>
      <c r="S2796">
        <v>3.02298</v>
      </c>
      <c r="T2796">
        <v>-0.22360849999999999</v>
      </c>
      <c r="U2796">
        <v>6.7626950000000005E-2</v>
      </c>
      <c r="V2796">
        <v>3.4431820000000002E-2</v>
      </c>
      <c r="W2796">
        <v>8.1919629999999993E-2</v>
      </c>
      <c r="X2796">
        <v>0.99604400000000004</v>
      </c>
      <c r="Y2796">
        <v>4.0964769999999998E-2</v>
      </c>
      <c r="Z2796">
        <v>-6.2060300000000004E-3</v>
      </c>
      <c r="AA2796">
        <v>0.99914130000000001</v>
      </c>
      <c r="AB2796">
        <v>28</v>
      </c>
      <c r="AC2796">
        <v>0.40320000000002598</v>
      </c>
      <c r="AD2796">
        <v>-7.0646999999999904E-2</v>
      </c>
      <c r="AE2796">
        <v>-1.6400000000004401E-2</v>
      </c>
      <c r="AF2796">
        <v>4.0755532618545899E-2</v>
      </c>
      <c r="AG2796">
        <v>-7.0646999999999904E-2</v>
      </c>
      <c r="AH2796">
        <v>0.38940601962585902</v>
      </c>
      <c r="AI2796">
        <v>100.228219621973</v>
      </c>
      <c r="AJ2796">
        <v>84.025132404889703</v>
      </c>
      <c r="AK2796">
        <v>0.39785557702371899</v>
      </c>
      <c r="AL2796">
        <v>85.301085375565805</v>
      </c>
      <c r="AM2796">
        <v>88.020155025532901</v>
      </c>
      <c r="AN2796">
        <v>1.00000001297192</v>
      </c>
    </row>
    <row r="2797" spans="1:40" x14ac:dyDescent="0.25">
      <c r="A2797" t="str">
        <f>"20190312151325636"</f>
        <v>20190312151325636</v>
      </c>
      <c r="B2797" t="str">
        <f>"1552374805632572"</f>
        <v>1552374805632572</v>
      </c>
      <c r="C2797" t="s">
        <v>40</v>
      </c>
      <c r="D2797">
        <v>4.6678040000000003</v>
      </c>
      <c r="E2797">
        <v>0.50283659999999997</v>
      </c>
      <c r="F2797" t="s">
        <v>41</v>
      </c>
      <c r="G2797">
        <v>-428.40019999999998</v>
      </c>
      <c r="H2797">
        <v>1.044114</v>
      </c>
      <c r="I2797">
        <v>212.7688</v>
      </c>
      <c r="J2797">
        <v>-428.9982</v>
      </c>
      <c r="K2797">
        <v>1.1107629999999999</v>
      </c>
      <c r="L2797">
        <v>212.76820000000001</v>
      </c>
      <c r="M2797">
        <v>0.99784799999999996</v>
      </c>
      <c r="N2797">
        <v>0</v>
      </c>
      <c r="O2797">
        <v>6.4723050000000004E-2</v>
      </c>
      <c r="P2797">
        <v>0.99702630000000003</v>
      </c>
      <c r="Q2797">
        <v>7.1043690000000007E-2</v>
      </c>
      <c r="R2797">
        <v>2.986287E-2</v>
      </c>
      <c r="S2797">
        <v>3.0227970000000002</v>
      </c>
      <c r="T2797">
        <v>-0.22336230000000001</v>
      </c>
      <c r="U2797">
        <v>7.313538E-2</v>
      </c>
      <c r="V2797">
        <v>3.4572789999999999E-2</v>
      </c>
      <c r="W2797">
        <v>8.1591709999999998E-2</v>
      </c>
      <c r="X2797">
        <v>0.99606600000000001</v>
      </c>
      <c r="Y2797">
        <v>4.0285050000000003E-2</v>
      </c>
      <c r="Z2797">
        <v>-6.2583109999999999E-3</v>
      </c>
      <c r="AA2797">
        <v>0.99916859999999996</v>
      </c>
      <c r="AB2797">
        <v>28</v>
      </c>
      <c r="AC2797">
        <v>0.59800000000001297</v>
      </c>
      <c r="AD2797">
        <v>-6.6648999999999903E-2</v>
      </c>
      <c r="AE2797">
        <v>5.9999999999149601E-4</v>
      </c>
      <c r="AF2797">
        <v>3.7640217532823698E-2</v>
      </c>
      <c r="AG2797">
        <v>-6.6648999999999903E-2</v>
      </c>
      <c r="AH2797">
        <v>0.58946266387103696</v>
      </c>
      <c r="AI2797">
        <v>96.437885582786905</v>
      </c>
      <c r="AJ2797">
        <v>86.346330838295003</v>
      </c>
      <c r="AK2797">
        <v>0.59441156388049698</v>
      </c>
      <c r="AL2797">
        <v>85.319936763205803</v>
      </c>
      <c r="AM2797">
        <v>88.012099550599402</v>
      </c>
      <c r="AN2797">
        <v>0.99999998065255302</v>
      </c>
    </row>
    <row r="2798" spans="1:40" x14ac:dyDescent="0.25">
      <c r="A2798" t="str">
        <f>"20190312151325659"</f>
        <v>20190312151325659</v>
      </c>
      <c r="B2798" t="str">
        <f>"1552374805652567"</f>
        <v>1552374805652567</v>
      </c>
      <c r="C2798" t="s">
        <v>40</v>
      </c>
      <c r="D2798">
        <v>4.6712089999999904</v>
      </c>
      <c r="E2798">
        <v>0.50315670000000001</v>
      </c>
      <c r="F2798" t="s">
        <v>41</v>
      </c>
      <c r="G2798">
        <v>-428.1465</v>
      </c>
      <c r="H2798">
        <v>1.048181</v>
      </c>
      <c r="I2798">
        <v>212.7886</v>
      </c>
      <c r="J2798">
        <v>-428.71730000000002</v>
      </c>
      <c r="K2798">
        <v>1.110663</v>
      </c>
      <c r="L2798">
        <v>212.78739999999999</v>
      </c>
      <c r="M2798">
        <v>0.99779059999999997</v>
      </c>
      <c r="N2798">
        <v>0</v>
      </c>
      <c r="O2798">
        <v>6.5601770000000004E-2</v>
      </c>
      <c r="P2798">
        <v>0.99703299999999995</v>
      </c>
      <c r="Q2798">
        <v>7.0780889999999999E-2</v>
      </c>
      <c r="R2798">
        <v>3.0259500000000002E-2</v>
      </c>
      <c r="S2798">
        <v>3.022583</v>
      </c>
      <c r="T2798">
        <v>-0.22208639999999999</v>
      </c>
      <c r="U2798">
        <v>7.2631840000000003E-2</v>
      </c>
      <c r="V2798">
        <v>3.5077629999999999E-2</v>
      </c>
      <c r="W2798">
        <v>8.1314150000000002E-2</v>
      </c>
      <c r="X2798">
        <v>0.99607100000000004</v>
      </c>
      <c r="Y2798">
        <v>4.1327629999999997E-2</v>
      </c>
      <c r="Z2798">
        <v>-6.325705E-3</v>
      </c>
      <c r="AA2798">
        <v>0.99912559999999995</v>
      </c>
      <c r="AB2798">
        <v>28</v>
      </c>
      <c r="AC2798">
        <v>0.57080000000001896</v>
      </c>
      <c r="AD2798">
        <v>-6.2481999999999899E-2</v>
      </c>
      <c r="AE2798">
        <v>1.20000000001141E-3</v>
      </c>
      <c r="AF2798">
        <v>3.58209244503803E-2</v>
      </c>
      <c r="AG2798">
        <v>-6.2481999999999899E-2</v>
      </c>
      <c r="AH2798">
        <v>0.56290413784460502</v>
      </c>
      <c r="AI2798">
        <v>96.321184807076506</v>
      </c>
      <c r="AJ2798">
        <v>86.358839878957895</v>
      </c>
      <c r="AK2798">
        <v>0.56749291392497403</v>
      </c>
      <c r="AL2798">
        <v>85.335892581305899</v>
      </c>
      <c r="AM2798">
        <v>87.983105678964193</v>
      </c>
      <c r="AN2798">
        <v>0.99999993407881704</v>
      </c>
    </row>
    <row r="2799" spans="1:40" x14ac:dyDescent="0.25">
      <c r="A2799" t="str">
        <f>"20190312151325682"</f>
        <v>20190312151325682</v>
      </c>
      <c r="B2799" t="str">
        <f>"1552374805673063"</f>
        <v>1552374805673063</v>
      </c>
      <c r="C2799" t="s">
        <v>40</v>
      </c>
      <c r="D2799">
        <v>4.6792550000000004</v>
      </c>
      <c r="E2799">
        <v>0.50339129999999999</v>
      </c>
      <c r="F2799" t="s">
        <v>41</v>
      </c>
      <c r="G2799">
        <v>-427.89440000000002</v>
      </c>
      <c r="H2799">
        <v>1.0499810000000001</v>
      </c>
      <c r="I2799">
        <v>212.8065</v>
      </c>
      <c r="J2799">
        <v>-428.42599999999999</v>
      </c>
      <c r="K2799">
        <v>1.11054599999999</v>
      </c>
      <c r="L2799">
        <v>212.8075</v>
      </c>
      <c r="M2799">
        <v>0.99774180000000001</v>
      </c>
      <c r="N2799">
        <v>0</v>
      </c>
      <c r="O2799">
        <v>6.6341120000000003E-2</v>
      </c>
      <c r="P2799">
        <v>0.99700800000000001</v>
      </c>
      <c r="Q2799">
        <v>7.0928939999999996E-2</v>
      </c>
      <c r="R2799">
        <v>3.0730009999999999E-2</v>
      </c>
      <c r="S2799">
        <v>3.0226139999999999</v>
      </c>
      <c r="T2799">
        <v>-0.22307160000000001</v>
      </c>
      <c r="U2799">
        <v>7.1304320000000004E-2</v>
      </c>
      <c r="V2799">
        <v>3.5369520000000002E-2</v>
      </c>
      <c r="W2799">
        <v>8.1446279999999996E-2</v>
      </c>
      <c r="X2799">
        <v>0.99604990000000004</v>
      </c>
      <c r="Y2799">
        <v>4.2499040000000002E-2</v>
      </c>
      <c r="Z2799">
        <v>-6.4512119999999996E-3</v>
      </c>
      <c r="AA2799">
        <v>0.99907570000000001</v>
      </c>
      <c r="AB2799">
        <v>28</v>
      </c>
      <c r="AC2799">
        <v>0.53159999999996899</v>
      </c>
      <c r="AD2799">
        <v>-6.0564999999999702E-2</v>
      </c>
      <c r="AE2799">
        <v>-1.0000000000047701E-3</v>
      </c>
      <c r="AF2799">
        <v>3.5801972073521697E-2</v>
      </c>
      <c r="AG2799">
        <v>-6.0564999999999702E-2</v>
      </c>
      <c r="AH2799">
        <v>0.52356656072451402</v>
      </c>
      <c r="AI2799">
        <v>96.583280439342303</v>
      </c>
      <c r="AJ2799">
        <v>86.088150526519897</v>
      </c>
      <c r="AK2799">
        <v>0.52827250916383095</v>
      </c>
      <c r="AL2799">
        <v>85.328296976552394</v>
      </c>
      <c r="AM2799">
        <v>87.966293571504593</v>
      </c>
      <c r="AN2799">
        <v>0.99999995138043796</v>
      </c>
    </row>
    <row r="2800" spans="1:40" x14ac:dyDescent="0.25">
      <c r="A2800" t="str">
        <f>"20190312151325724"</f>
        <v>20190312151325724</v>
      </c>
      <c r="B2800" t="str">
        <f>"1552374805713079"</f>
        <v>1552374805713079</v>
      </c>
      <c r="C2800" t="s">
        <v>40</v>
      </c>
      <c r="D2800">
        <v>4.9954539999999996</v>
      </c>
      <c r="E2800">
        <v>0.50335509999999895</v>
      </c>
      <c r="F2800" t="s">
        <v>41</v>
      </c>
      <c r="G2800">
        <v>-427.63889999999998</v>
      </c>
      <c r="H2800">
        <v>1.052967</v>
      </c>
      <c r="I2800">
        <v>212.82579999999999</v>
      </c>
      <c r="J2800">
        <v>-427.88850000000002</v>
      </c>
      <c r="K2800">
        <v>1.110301</v>
      </c>
      <c r="L2800">
        <v>212.84450000000001</v>
      </c>
      <c r="M2800">
        <v>0.99768239999999997</v>
      </c>
      <c r="N2800">
        <v>0</v>
      </c>
      <c r="O2800">
        <v>6.7229079999999997E-2</v>
      </c>
      <c r="P2800">
        <v>0.997089</v>
      </c>
      <c r="Q2800">
        <v>6.9974179999999997E-2</v>
      </c>
      <c r="R2800">
        <v>3.0284439999999999E-2</v>
      </c>
      <c r="S2800">
        <v>3.0225520000000001</v>
      </c>
      <c r="T2800">
        <v>-0.2211312</v>
      </c>
      <c r="U2800">
        <v>7.0632929999999997E-2</v>
      </c>
      <c r="V2800">
        <v>3.675643E-2</v>
      </c>
      <c r="W2800">
        <v>8.0465809999999999E-2</v>
      </c>
      <c r="X2800">
        <v>0.99607939999999995</v>
      </c>
      <c r="Y2800">
        <v>4.360928E-2</v>
      </c>
      <c r="Z2800">
        <v>-6.5006899999999999E-3</v>
      </c>
      <c r="AA2800">
        <v>0.99902749999999996</v>
      </c>
      <c r="AB2800">
        <v>28</v>
      </c>
      <c r="AC2800">
        <v>0.24960000000004301</v>
      </c>
      <c r="AD2800">
        <v>-5.7334000000000003E-2</v>
      </c>
      <c r="AE2800">
        <v>-1.8700000000023899E-2</v>
      </c>
      <c r="AF2800">
        <v>3.3672234617888201E-2</v>
      </c>
      <c r="AG2800">
        <v>-5.7334000000000003E-2</v>
      </c>
      <c r="AH2800">
        <v>0.235425398754917</v>
      </c>
      <c r="AI2800">
        <v>103.554241369343</v>
      </c>
      <c r="AJ2800">
        <v>81.860349420340498</v>
      </c>
      <c r="AK2800">
        <v>0.24463467726198099</v>
      </c>
      <c r="AL2800">
        <v>85.384658888213096</v>
      </c>
      <c r="AM2800">
        <v>87.886681335783805</v>
      </c>
      <c r="AN2800">
        <v>0.99999997641482996</v>
      </c>
    </row>
    <row r="2801" spans="1:40" x14ac:dyDescent="0.25">
      <c r="A2801" t="str">
        <f>"20190312151325747"</f>
        <v>20190312151325747</v>
      </c>
      <c r="B2801" t="str">
        <f>"1552374805743336"</f>
        <v>1552374805743336</v>
      </c>
      <c r="C2801" t="s">
        <v>40</v>
      </c>
      <c r="D2801">
        <v>4.7476839999999996</v>
      </c>
      <c r="E2801">
        <v>0.50382119999999997</v>
      </c>
      <c r="F2801" t="s">
        <v>41</v>
      </c>
      <c r="G2801">
        <v>-427.13479999999998</v>
      </c>
      <c r="H2801">
        <v>1.0529980000000001</v>
      </c>
      <c r="I2801">
        <v>212.8614</v>
      </c>
      <c r="J2801">
        <v>-427.61779999999999</v>
      </c>
      <c r="K2801">
        <v>1.1101719999999999</v>
      </c>
      <c r="L2801">
        <v>212.863</v>
      </c>
      <c r="M2801">
        <v>0.99766639999999995</v>
      </c>
      <c r="N2801">
        <v>0</v>
      </c>
      <c r="O2801">
        <v>6.7466739999999997E-2</v>
      </c>
      <c r="P2801">
        <v>0.99718260000000003</v>
      </c>
      <c r="Q2801">
        <v>6.8892670000000003E-2</v>
      </c>
      <c r="R2801">
        <v>2.9677080000000002E-2</v>
      </c>
      <c r="S2801">
        <v>3.0227659999999998</v>
      </c>
      <c r="T2801">
        <v>-0.22991510000000001</v>
      </c>
      <c r="U2801">
        <v>6.8862919999999994E-2</v>
      </c>
      <c r="V2801">
        <v>3.7628870000000002E-2</v>
      </c>
      <c r="W2801">
        <v>7.9373529999999998E-2</v>
      </c>
      <c r="X2801">
        <v>0.99613450000000003</v>
      </c>
      <c r="Y2801">
        <v>4.4406699999999903E-2</v>
      </c>
      <c r="Z2801">
        <v>-6.8060689999999997E-3</v>
      </c>
      <c r="AA2801">
        <v>0.99899039999999995</v>
      </c>
      <c r="AB2801">
        <v>28</v>
      </c>
      <c r="AC2801">
        <v>0.48300000000000398</v>
      </c>
      <c r="AD2801">
        <v>-5.7174000000000003E-2</v>
      </c>
      <c r="AE2801">
        <v>-1.59999999999627E-3</v>
      </c>
      <c r="AF2801">
        <v>3.3712208460967202E-2</v>
      </c>
      <c r="AG2801">
        <v>-5.7174000000000003E-2</v>
      </c>
      <c r="AH2801">
        <v>0.47513387685507202</v>
      </c>
      <c r="AI2801">
        <v>96.844504166515904</v>
      </c>
      <c r="AJ2801">
        <v>85.941489915014998</v>
      </c>
      <c r="AK2801">
        <v>0.47974741292751799</v>
      </c>
      <c r="AL2801">
        <v>85.447442932021104</v>
      </c>
      <c r="AM2801">
        <v>87.836686881334103</v>
      </c>
      <c r="AN2801">
        <v>1.0000000156061899</v>
      </c>
    </row>
    <row r="2802" spans="1:40" x14ac:dyDescent="0.25">
      <c r="A2802" t="str">
        <f>"20190312151325770"</f>
        <v>20190312151325770</v>
      </c>
      <c r="B2802" t="str">
        <f>"1552374805762855"</f>
        <v>1552374805762855</v>
      </c>
      <c r="C2802" t="s">
        <v>40</v>
      </c>
      <c r="D2802">
        <v>4.7531759999999998</v>
      </c>
      <c r="E2802">
        <v>0.50398259999999995</v>
      </c>
      <c r="F2802" t="s">
        <v>41</v>
      </c>
      <c r="G2802">
        <v>-426.64710000000002</v>
      </c>
      <c r="H2802">
        <v>1.035361</v>
      </c>
      <c r="I2802">
        <v>212.88319999999999</v>
      </c>
      <c r="J2802">
        <v>-427.3116</v>
      </c>
      <c r="K2802">
        <v>1.110061</v>
      </c>
      <c r="L2802">
        <v>212.88390000000001</v>
      </c>
      <c r="M2802">
        <v>0.99765809999999999</v>
      </c>
      <c r="N2802">
        <v>0</v>
      </c>
      <c r="O2802">
        <v>6.7587659999999994E-2</v>
      </c>
      <c r="P2802">
        <v>0.99726440000000005</v>
      </c>
      <c r="Q2802">
        <v>6.8197399999999894E-2</v>
      </c>
      <c r="R2802">
        <v>2.851447E-2</v>
      </c>
      <c r="S2802">
        <v>3.022675</v>
      </c>
      <c r="T2802">
        <v>-0.2330025</v>
      </c>
      <c r="U2802">
        <v>6.3461299999999998E-2</v>
      </c>
      <c r="V2802">
        <v>3.8936180000000001E-2</v>
      </c>
      <c r="W2802">
        <v>7.8669080000000002E-2</v>
      </c>
      <c r="X2802">
        <v>0.99614009999999997</v>
      </c>
      <c r="Y2802">
        <v>4.6296669999999998E-2</v>
      </c>
      <c r="Z2802">
        <v>-6.9796329999999998E-3</v>
      </c>
      <c r="AA2802">
        <v>0.99890330000000005</v>
      </c>
      <c r="AB2802">
        <v>28</v>
      </c>
      <c r="AC2802">
        <v>0.664499999999975</v>
      </c>
      <c r="AD2802">
        <v>-7.4699999999999905E-2</v>
      </c>
      <c r="AE2802">
        <v>-7.0000000002323705E-4</v>
      </c>
      <c r="AF2802">
        <v>4.5043649157657101E-2</v>
      </c>
      <c r="AG2802">
        <v>-7.4699999999999905E-2</v>
      </c>
      <c r="AH2802">
        <v>0.65465996569999596</v>
      </c>
      <c r="AI2802">
        <v>96.494360374425895</v>
      </c>
      <c r="AJ2802">
        <v>86.063987312069898</v>
      </c>
      <c r="AK2802">
        <v>0.66044582746790004</v>
      </c>
      <c r="AL2802">
        <v>85.487931369327896</v>
      </c>
      <c r="AM2802">
        <v>87.761616348719102</v>
      </c>
      <c r="AN2802">
        <v>0.99999997454452405</v>
      </c>
    </row>
    <row r="2803" spans="1:40" x14ac:dyDescent="0.25">
      <c r="A2803" t="str">
        <f>"20190312151325792"</f>
        <v>20190312151325792</v>
      </c>
      <c r="B2803" t="str">
        <f>"1552374805782375"</f>
        <v>1552374805782375</v>
      </c>
      <c r="C2803" t="s">
        <v>40</v>
      </c>
      <c r="D2803">
        <v>4.755598</v>
      </c>
      <c r="E2803">
        <v>0.50389300000000004</v>
      </c>
      <c r="F2803" t="s">
        <v>41</v>
      </c>
      <c r="G2803">
        <v>-426.39339999999999</v>
      </c>
      <c r="H2803">
        <v>1.0387999999999999</v>
      </c>
      <c r="I2803">
        <v>212.9014</v>
      </c>
      <c r="J2803">
        <v>-427.04559999999998</v>
      </c>
      <c r="K2803">
        <v>1.109985</v>
      </c>
      <c r="L2803">
        <v>212.90190000000001</v>
      </c>
      <c r="M2803">
        <v>0.99765740000000003</v>
      </c>
      <c r="N2803">
        <v>0</v>
      </c>
      <c r="O2803">
        <v>6.7598950000000005E-2</v>
      </c>
      <c r="P2803">
        <v>0.99735039999999997</v>
      </c>
      <c r="Q2803">
        <v>6.7594050000000003E-2</v>
      </c>
      <c r="R2803">
        <v>2.690004E-2</v>
      </c>
      <c r="S2803">
        <v>3.022583</v>
      </c>
      <c r="T2803">
        <v>-0.2346866</v>
      </c>
      <c r="U2803">
        <v>5.8563230000000001E-2</v>
      </c>
      <c r="V2803">
        <v>4.0578070000000001E-2</v>
      </c>
      <c r="W2803">
        <v>7.8058699999999995E-2</v>
      </c>
      <c r="X2803">
        <v>0.99612259999999997</v>
      </c>
      <c r="Y2803">
        <v>4.7915510000000001E-2</v>
      </c>
      <c r="Z2803">
        <v>-7.0939459999999899E-3</v>
      </c>
      <c r="AA2803">
        <v>0.9988262</v>
      </c>
      <c r="AB2803">
        <v>28</v>
      </c>
      <c r="AC2803">
        <v>0.65219999999999301</v>
      </c>
      <c r="AD2803">
        <v>-7.1184999999999998E-2</v>
      </c>
      <c r="AE2803">
        <v>-5.0000000001659795E-4</v>
      </c>
      <c r="AF2803">
        <v>4.4064386692213901E-2</v>
      </c>
      <c r="AG2803">
        <v>-7.1184999999999998E-2</v>
      </c>
      <c r="AH2803">
        <v>0.64301405503116404</v>
      </c>
      <c r="AI2803">
        <v>96.302555466694898</v>
      </c>
      <c r="AJ2803">
        <v>86.079770882324297</v>
      </c>
      <c r="AK2803">
        <v>0.64844124588676699</v>
      </c>
      <c r="AL2803">
        <v>85.523011503474706</v>
      </c>
      <c r="AM2803">
        <v>87.6672877373652</v>
      </c>
      <c r="AN2803">
        <v>0.99999998732068696</v>
      </c>
    </row>
    <row r="2804" spans="1:40" x14ac:dyDescent="0.25">
      <c r="A2804" t="str">
        <f>"20190312151325815"</f>
        <v>20190312151325815</v>
      </c>
      <c r="B2804" t="str">
        <f>"1552374805812631"</f>
        <v>1552374805812631</v>
      </c>
      <c r="C2804" t="s">
        <v>40</v>
      </c>
      <c r="D2804">
        <v>4.6571150000000001</v>
      </c>
      <c r="E2804">
        <v>0.53431809999999902</v>
      </c>
      <c r="F2804" t="s">
        <v>41</v>
      </c>
      <c r="G2804">
        <v>-426.14120000000003</v>
      </c>
      <c r="H2804">
        <v>1.0385549999999999</v>
      </c>
      <c r="I2804">
        <v>212.91839999999999</v>
      </c>
      <c r="J2804">
        <v>-426.75380000000001</v>
      </c>
      <c r="K2804">
        <v>1.109915</v>
      </c>
      <c r="L2804">
        <v>212.92160000000001</v>
      </c>
      <c r="M2804">
        <v>0.99766370000000004</v>
      </c>
      <c r="N2804">
        <v>0</v>
      </c>
      <c r="O2804">
        <v>6.7506540000000004E-2</v>
      </c>
      <c r="P2804">
        <v>0.99744699999999997</v>
      </c>
      <c r="Q2804">
        <v>6.6775749999999995E-2</v>
      </c>
      <c r="R2804">
        <v>2.5310059999999999E-2</v>
      </c>
      <c r="S2804">
        <v>3.0226139999999999</v>
      </c>
      <c r="T2804">
        <v>-0.23866209999999999</v>
      </c>
      <c r="U2804">
        <v>5.4718019999999999E-2</v>
      </c>
      <c r="V2804">
        <v>4.2092270000000001E-2</v>
      </c>
      <c r="W2804">
        <v>7.7234819999999996E-2</v>
      </c>
      <c r="X2804">
        <v>0.99612400000000001</v>
      </c>
      <c r="Y2804">
        <v>4.9078169999999997E-2</v>
      </c>
      <c r="Z2804">
        <v>-7.2523709999999996E-3</v>
      </c>
      <c r="AA2804">
        <v>0.99876860000000001</v>
      </c>
      <c r="AB2804">
        <v>28</v>
      </c>
      <c r="AC2804">
        <v>0.61259999999998604</v>
      </c>
      <c r="AD2804">
        <v>-7.1360000000000007E-2</v>
      </c>
      <c r="AE2804">
        <v>-3.2000000000209599E-3</v>
      </c>
      <c r="AF2804">
        <v>4.3953086779385399E-2</v>
      </c>
      <c r="AG2804">
        <v>-7.1360000000000007E-2</v>
      </c>
      <c r="AH2804">
        <v>0.602806957178875</v>
      </c>
      <c r="AI2804">
        <v>96.733516740814594</v>
      </c>
      <c r="AJ2804">
        <v>85.829713536254104</v>
      </c>
      <c r="AK2804">
        <v>0.60860525060230097</v>
      </c>
      <c r="AL2804">
        <v>85.570359354692698</v>
      </c>
      <c r="AM2804">
        <v>87.580345892331394</v>
      </c>
      <c r="AN2804">
        <v>0.99999999999509204</v>
      </c>
    </row>
    <row r="2805" spans="1:40" x14ac:dyDescent="0.25">
      <c r="A2805" t="str">
        <f>"20190312151325838"</f>
        <v>20190312151325838</v>
      </c>
      <c r="B2805" t="str">
        <f>"1552374805833127"</f>
        <v>1552374805833127</v>
      </c>
      <c r="C2805" t="s">
        <v>40</v>
      </c>
      <c r="D2805">
        <v>4.6031890000000004</v>
      </c>
      <c r="E2805">
        <v>0.53959679999999999</v>
      </c>
      <c r="F2805" t="s">
        <v>55</v>
      </c>
      <c r="G2805">
        <v>-402.05290000000002</v>
      </c>
      <c r="H2805" s="1">
        <v>8.1692609999999998E-6</v>
      </c>
      <c r="I2805">
        <v>211.3381</v>
      </c>
      <c r="J2805">
        <v>-426.46120000000002</v>
      </c>
      <c r="K2805">
        <v>1.109839</v>
      </c>
      <c r="L2805">
        <v>212.94130000000001</v>
      </c>
      <c r="M2805">
        <v>0.99767740000000005</v>
      </c>
      <c r="N2805">
        <v>0</v>
      </c>
      <c r="O2805">
        <v>6.7303689999999999E-2</v>
      </c>
      <c r="P2805">
        <v>0.99749129999999997</v>
      </c>
      <c r="Q2805">
        <v>6.6739409999999999E-2</v>
      </c>
      <c r="R2805">
        <v>2.360346E-2</v>
      </c>
      <c r="S2805">
        <v>3.0216669999999999</v>
      </c>
      <c r="T2805">
        <v>-0.13577510000000001</v>
      </c>
      <c r="U2805">
        <v>-0.1937103</v>
      </c>
      <c r="V2805">
        <v>4.3609149999999999E-2</v>
      </c>
      <c r="W2805">
        <v>7.7191570000000001E-2</v>
      </c>
      <c r="X2805">
        <v>0.99606209999999995</v>
      </c>
      <c r="Y2805">
        <v>0.130801</v>
      </c>
      <c r="Z2805">
        <v>-5.9538799999999999E-3</v>
      </c>
      <c r="AA2805">
        <v>0.99139080000000002</v>
      </c>
      <c r="AB2805">
        <v>28</v>
      </c>
      <c r="AC2805">
        <v>24.408300000000001</v>
      </c>
      <c r="AD2805">
        <v>-1.1098308307389999</v>
      </c>
      <c r="AE2805">
        <v>-1.60320000000001</v>
      </c>
      <c r="AF2805">
        <v>3.2357623397309099</v>
      </c>
      <c r="AG2805">
        <v>-1.1098308307389999</v>
      </c>
      <c r="AH2805">
        <v>24.195233792419899</v>
      </c>
      <c r="AI2805">
        <v>92.603162176222696</v>
      </c>
      <c r="AJ2805">
        <v>82.382716346667095</v>
      </c>
      <c r="AK2805">
        <v>24.435859319081398</v>
      </c>
      <c r="AL2805">
        <v>85.572844825027403</v>
      </c>
      <c r="AM2805">
        <v>87.493102483923195</v>
      </c>
      <c r="AN2805">
        <v>1.00000000174959</v>
      </c>
    </row>
    <row r="2806" spans="1:40" x14ac:dyDescent="0.25">
      <c r="A2806" t="str">
        <f>"20190312151325861"</f>
        <v>20190312151325861</v>
      </c>
      <c r="B2806" t="str">
        <f>"1552374805852648"</f>
        <v>1552374805852648</v>
      </c>
      <c r="C2806" t="s">
        <v>40</v>
      </c>
      <c r="D2806">
        <v>5.1438139999999999</v>
      </c>
      <c r="E2806">
        <v>0.54040719999999898</v>
      </c>
      <c r="F2806" t="s">
        <v>55</v>
      </c>
      <c r="G2806">
        <v>-401.15530000000001</v>
      </c>
      <c r="H2806" s="1">
        <v>8.6529940000000003E-6</v>
      </c>
      <c r="I2806">
        <v>210.92349999999999</v>
      </c>
      <c r="J2806">
        <v>-426.1669</v>
      </c>
      <c r="K2806">
        <v>1.1097570000000001</v>
      </c>
      <c r="L2806">
        <v>212.96080000000001</v>
      </c>
      <c r="M2806">
        <v>0.99769839999999999</v>
      </c>
      <c r="N2806">
        <v>0</v>
      </c>
      <c r="O2806">
        <v>6.6990960000000002E-2</v>
      </c>
      <c r="P2806">
        <v>0.99756520000000004</v>
      </c>
      <c r="Q2806">
        <v>6.6260050000000001E-2</v>
      </c>
      <c r="R2806">
        <v>2.1768909999999999E-2</v>
      </c>
      <c r="S2806">
        <v>3.022125</v>
      </c>
      <c r="T2806">
        <v>-0.13253999999999999</v>
      </c>
      <c r="U2806">
        <v>-0.24096679999999901</v>
      </c>
      <c r="V2806">
        <v>4.5147569999999998E-2</v>
      </c>
      <c r="W2806">
        <v>7.6705209999999996E-2</v>
      </c>
      <c r="X2806">
        <v>0.99603109999999995</v>
      </c>
      <c r="Y2806">
        <v>0.1458826</v>
      </c>
      <c r="Z2806">
        <v>-6.1247619999999997E-3</v>
      </c>
      <c r="AA2806">
        <v>0.98928300000000002</v>
      </c>
      <c r="AB2806">
        <v>28</v>
      </c>
      <c r="AC2806">
        <v>25.011599999999898</v>
      </c>
      <c r="AD2806">
        <v>-1.1097483470059999</v>
      </c>
      <c r="AE2806">
        <v>-2.0373000000000099</v>
      </c>
      <c r="AF2806">
        <v>3.7011280613911302</v>
      </c>
      <c r="AG2806">
        <v>-1.1097483470059999</v>
      </c>
      <c r="AH2806">
        <v>24.770476393939301</v>
      </c>
      <c r="AI2806">
        <v>92.537080360710505</v>
      </c>
      <c r="AJ2806">
        <v>81.501910581343196</v>
      </c>
      <c r="AK2806">
        <v>25.070029738777801</v>
      </c>
      <c r="AL2806">
        <v>85.600793937866598</v>
      </c>
      <c r="AM2806">
        <v>87.404703703196901</v>
      </c>
      <c r="AN2806">
        <v>0.99999997224262904</v>
      </c>
    </row>
    <row r="2807" spans="1:40" x14ac:dyDescent="0.25">
      <c r="A2807" t="str">
        <f>"20190312151325903"</f>
        <v>20190312151325903</v>
      </c>
      <c r="B2807" t="str">
        <f>"1552374805892663"</f>
        <v>1552374805892663</v>
      </c>
      <c r="C2807" t="s">
        <v>40</v>
      </c>
      <c r="D2807">
        <v>4.7056950000000004</v>
      </c>
      <c r="E2807">
        <v>0.54203539999999995</v>
      </c>
      <c r="F2807" t="s">
        <v>54</v>
      </c>
      <c r="G2807">
        <v>-394.84390000000002</v>
      </c>
      <c r="H2807" s="1">
        <v>1.040874E-6</v>
      </c>
      <c r="I2807">
        <v>210.334</v>
      </c>
      <c r="J2807">
        <v>-425.63909999999998</v>
      </c>
      <c r="K2807">
        <v>1.1095809999999999</v>
      </c>
      <c r="L2807">
        <v>212.99529999999999</v>
      </c>
      <c r="M2807">
        <v>0.99775530000000001</v>
      </c>
      <c r="N2807">
        <v>0</v>
      </c>
      <c r="O2807">
        <v>6.6137100000000004E-2</v>
      </c>
      <c r="P2807">
        <v>0.99769660000000004</v>
      </c>
      <c r="Q2807">
        <v>6.5801879999999993E-2</v>
      </c>
      <c r="R2807">
        <v>1.6483060000000001E-2</v>
      </c>
      <c r="S2807">
        <v>3.0199889999999998</v>
      </c>
      <c r="T2807">
        <v>-0.1069963</v>
      </c>
      <c r="U2807">
        <v>-0.25326539999999997</v>
      </c>
      <c r="V2807">
        <v>4.9609500000000001E-2</v>
      </c>
      <c r="W2807">
        <v>7.6229290000000005E-2</v>
      </c>
      <c r="X2807">
        <v>0.99585539999999995</v>
      </c>
      <c r="Y2807">
        <v>0.14916179999999901</v>
      </c>
      <c r="Z2807">
        <v>-4.9757300000000003E-3</v>
      </c>
      <c r="AA2807">
        <v>0.98880029999999997</v>
      </c>
      <c r="AB2807">
        <v>28</v>
      </c>
      <c r="AC2807">
        <v>30.795199999999902</v>
      </c>
      <c r="AD2807">
        <v>-1.1095799591259901</v>
      </c>
      <c r="AE2807">
        <v>-2.6612999999999798</v>
      </c>
      <c r="AF2807">
        <v>4.6862513342682499</v>
      </c>
      <c r="AG2807">
        <v>-1.1095799591259901</v>
      </c>
      <c r="AH2807">
        <v>30.512429026420499</v>
      </c>
      <c r="AI2807">
        <v>92.058518932647999</v>
      </c>
      <c r="AJ2807">
        <v>81.268455501055101</v>
      </c>
      <c r="AK2807">
        <v>30.890135065194698</v>
      </c>
      <c r="AL2807">
        <v>85.628142307901598</v>
      </c>
      <c r="AM2807">
        <v>87.148112874716205</v>
      </c>
      <c r="AN2807">
        <v>0.99999999242665705</v>
      </c>
    </row>
    <row r="2808" spans="1:40" x14ac:dyDescent="0.25">
      <c r="A2808" t="str">
        <f>"20190312151325926"</f>
        <v>20190312151325926</v>
      </c>
      <c r="B2808" t="str">
        <f>"1552374805922919"</f>
        <v>1552374805922919</v>
      </c>
      <c r="C2808" t="s">
        <v>40</v>
      </c>
      <c r="D2808">
        <v>4.7452439999999996</v>
      </c>
      <c r="E2808">
        <v>0.5435934</v>
      </c>
      <c r="F2808" t="s">
        <v>54</v>
      </c>
      <c r="G2808">
        <v>-389.30220000000003</v>
      </c>
      <c r="H2808">
        <v>6.7190540000000007E-2</v>
      </c>
      <c r="I2808">
        <v>209.59909999999999</v>
      </c>
      <c r="J2808">
        <v>-425.34359999999998</v>
      </c>
      <c r="K2808">
        <v>1.1094900000000001</v>
      </c>
      <c r="L2808">
        <v>213.01419999999999</v>
      </c>
      <c r="M2808">
        <v>0.99779669999999998</v>
      </c>
      <c r="N2808">
        <v>0</v>
      </c>
      <c r="O2808">
        <v>6.5506819999999993E-2</v>
      </c>
      <c r="P2808">
        <v>0.99770939999999997</v>
      </c>
      <c r="Q2808">
        <v>6.6246459999999993E-2</v>
      </c>
      <c r="R2808">
        <v>1.3694329999999999E-2</v>
      </c>
      <c r="S2808">
        <v>3.017334</v>
      </c>
      <c r="T2808">
        <v>-8.6557750000000003E-2</v>
      </c>
      <c r="U2808">
        <v>-0.28201290000000001</v>
      </c>
      <c r="V2808">
        <v>5.1780670000000001E-2</v>
      </c>
      <c r="W2808">
        <v>7.6663839999999997E-2</v>
      </c>
      <c r="X2808">
        <v>0.99571149999999997</v>
      </c>
      <c r="Y2808">
        <v>0.15799369999999999</v>
      </c>
      <c r="Z2808">
        <v>-4.136023E-3</v>
      </c>
      <c r="AA2808">
        <v>0.98743150000000002</v>
      </c>
      <c r="AB2808">
        <v>28</v>
      </c>
      <c r="AC2808">
        <v>36.041399999999904</v>
      </c>
      <c r="AD2808">
        <v>-1.04229946</v>
      </c>
      <c r="AE2808">
        <v>-3.41509999999999</v>
      </c>
      <c r="AF2808">
        <v>5.7640742291274201</v>
      </c>
      <c r="AG2808">
        <v>-1.04229946</v>
      </c>
      <c r="AH2808">
        <v>35.710653766723901</v>
      </c>
      <c r="AI2808">
        <v>91.650487435932703</v>
      </c>
      <c r="AJ2808">
        <v>80.8309423998423</v>
      </c>
      <c r="AK2808">
        <v>36.187867197861202</v>
      </c>
      <c r="AL2808">
        <v>85.603171328242993</v>
      </c>
      <c r="AM2808">
        <v>87.023089805486507</v>
      </c>
      <c r="AN2808">
        <v>0.99999998669072199</v>
      </c>
    </row>
    <row r="2809" spans="1:40" x14ac:dyDescent="0.25">
      <c r="A2809" t="str">
        <f>"20190312151325947"</f>
        <v>20190312151325947</v>
      </c>
      <c r="B2809" t="str">
        <f>"1552374805943415"</f>
        <v>1552374805943415</v>
      </c>
      <c r="C2809" t="s">
        <v>40</v>
      </c>
      <c r="D2809">
        <v>4.809418</v>
      </c>
      <c r="E2809">
        <v>0.54412079999999996</v>
      </c>
      <c r="F2809" t="s">
        <v>54</v>
      </c>
      <c r="G2809">
        <v>-386.74310000000003</v>
      </c>
      <c r="H2809">
        <v>8.000119E-2</v>
      </c>
      <c r="I2809">
        <v>209.142</v>
      </c>
      <c r="J2809">
        <v>-425.07310000000001</v>
      </c>
      <c r="K2809">
        <v>1.1094139999999999</v>
      </c>
      <c r="L2809">
        <v>213.03129999999999</v>
      </c>
      <c r="M2809">
        <v>0.9978418</v>
      </c>
      <c r="N2809">
        <v>0</v>
      </c>
      <c r="O2809">
        <v>6.4815390000000001E-2</v>
      </c>
      <c r="P2809">
        <v>0.9977087</v>
      </c>
      <c r="Q2809">
        <v>6.6797869999999995E-2</v>
      </c>
      <c r="R2809">
        <v>1.0735140000000001E-2</v>
      </c>
      <c r="S2809">
        <v>3.0164490000000002</v>
      </c>
      <c r="T2809">
        <v>-8.0449820000000005E-2</v>
      </c>
      <c r="U2809">
        <v>-0.302597</v>
      </c>
      <c r="V2809">
        <v>5.4058879999999997E-2</v>
      </c>
      <c r="W2809">
        <v>7.7205350000000006E-2</v>
      </c>
      <c r="X2809">
        <v>0.99554860000000001</v>
      </c>
      <c r="Y2809">
        <v>0.16401940000000001</v>
      </c>
      <c r="Z2809">
        <v>-3.9059759999999998E-3</v>
      </c>
      <c r="AA2809">
        <v>0.98644940000000003</v>
      </c>
      <c r="AB2809">
        <v>28</v>
      </c>
      <c r="AC2809">
        <v>38.329999999999899</v>
      </c>
      <c r="AD2809">
        <v>-1.02941281</v>
      </c>
      <c r="AE2809">
        <v>-3.8892999999999902</v>
      </c>
      <c r="AF2809">
        <v>6.3610910373343099</v>
      </c>
      <c r="AG2809">
        <v>-1.02941281</v>
      </c>
      <c r="AH2809">
        <v>37.970185162837403</v>
      </c>
      <c r="AI2809">
        <v>91.531635972745093</v>
      </c>
      <c r="AJ2809">
        <v>80.489635467100001</v>
      </c>
      <c r="AK2809">
        <v>38.513090387799402</v>
      </c>
      <c r="AL2809">
        <v>85.572053014779598</v>
      </c>
      <c r="AM2809">
        <v>86.891857602203004</v>
      </c>
      <c r="AN2809">
        <v>1.0000000217687099</v>
      </c>
    </row>
    <row r="2810" spans="1:40" x14ac:dyDescent="0.25">
      <c r="A2810" t="str">
        <f>"20190312151326060"</f>
        <v>20190312151326060</v>
      </c>
      <c r="B2810" t="str">
        <f>"1552374806053703"</f>
        <v>1552374806053703</v>
      </c>
      <c r="C2810" t="s">
        <v>40</v>
      </c>
      <c r="D2810">
        <v>4.7624170000000001</v>
      </c>
      <c r="E2810">
        <v>0.54380640000000002</v>
      </c>
      <c r="F2810" t="s">
        <v>54</v>
      </c>
      <c r="G2810">
        <v>-385.03230000000002</v>
      </c>
      <c r="H2810">
        <v>8.0001699999999995E-2</v>
      </c>
      <c r="I2810">
        <v>208.84119999999999</v>
      </c>
      <c r="J2810">
        <v>-423.6343</v>
      </c>
      <c r="K2810">
        <v>1.1090719999999901</v>
      </c>
      <c r="L2810">
        <v>213.11670000000001</v>
      </c>
      <c r="M2810">
        <v>0.99815810000000005</v>
      </c>
      <c r="N2810">
        <v>0</v>
      </c>
      <c r="O2810">
        <v>5.9742469999999999E-2</v>
      </c>
      <c r="P2810">
        <v>0.99762329999999999</v>
      </c>
      <c r="Q2810">
        <v>6.8904880000000002E-2</v>
      </c>
      <c r="R2810">
        <v>-3.7328189999999997E-4</v>
      </c>
      <c r="S2810">
        <v>3.0154719999999999</v>
      </c>
      <c r="T2810">
        <v>-7.752502E-2</v>
      </c>
      <c r="U2810">
        <v>-0.31555179999999999</v>
      </c>
      <c r="V2810">
        <v>6.0146690000000003E-2</v>
      </c>
      <c r="W2810">
        <v>7.9277520000000004E-2</v>
      </c>
      <c r="X2810">
        <v>0.99503640000000004</v>
      </c>
      <c r="Y2810">
        <v>0.16323840000000001</v>
      </c>
      <c r="Z2810">
        <v>-3.6243849999999999E-3</v>
      </c>
      <c r="AA2810">
        <v>0.98658000000000001</v>
      </c>
      <c r="AB2810">
        <v>29</v>
      </c>
      <c r="AC2810">
        <v>38.601999999999897</v>
      </c>
      <c r="AD2810">
        <v>-1.0290703000000001</v>
      </c>
      <c r="AE2810">
        <v>-4.2755000000000196</v>
      </c>
      <c r="AF2810">
        <v>6.5695572306559002</v>
      </c>
      <c r="AG2810">
        <v>-1.0290703000000001</v>
      </c>
      <c r="AH2810">
        <v>38.250744816433198</v>
      </c>
      <c r="AI2810">
        <v>91.518844397660601</v>
      </c>
      <c r="AJ2810">
        <v>80.254543593267201</v>
      </c>
      <c r="AK2810">
        <v>38.824445223352498</v>
      </c>
      <c r="AL2810">
        <v>85.452961188227803</v>
      </c>
      <c r="AM2810">
        <v>86.540866770214194</v>
      </c>
      <c r="AN2810">
        <v>0.99999999341013301</v>
      </c>
    </row>
    <row r="2811" spans="1:40" x14ac:dyDescent="0.25">
      <c r="A2811" t="str">
        <f>"20190312151326083"</f>
        <v>20190312151326083</v>
      </c>
      <c r="B2811" t="str">
        <f>"1552374806073223"</f>
        <v>1552374806073223</v>
      </c>
      <c r="C2811" t="s">
        <v>40</v>
      </c>
      <c r="D2811">
        <v>4.6684190000000001</v>
      </c>
      <c r="E2811">
        <v>0.54299039999999998</v>
      </c>
      <c r="F2811" t="s">
        <v>54</v>
      </c>
      <c r="G2811">
        <v>-381.40710000000001</v>
      </c>
      <c r="H2811">
        <v>8.0001320000000001E-2</v>
      </c>
      <c r="I2811">
        <v>208.2679</v>
      </c>
      <c r="J2811">
        <v>-423.3304</v>
      </c>
      <c r="K2811">
        <v>1.1090150000000001</v>
      </c>
      <c r="L2811">
        <v>213.13339999999999</v>
      </c>
      <c r="M2811">
        <v>0.99823539999999999</v>
      </c>
      <c r="N2811">
        <v>0</v>
      </c>
      <c r="O2811">
        <v>5.8437639999999999E-2</v>
      </c>
      <c r="P2811">
        <v>0.99766359999999998</v>
      </c>
      <c r="Q2811">
        <v>6.8283570000000002E-2</v>
      </c>
      <c r="R2811">
        <v>-2.2675880000000001E-3</v>
      </c>
      <c r="S2811">
        <v>3.012146</v>
      </c>
      <c r="T2811">
        <v>-7.3405620000000005E-2</v>
      </c>
      <c r="U2811">
        <v>-0.34587099999999998</v>
      </c>
      <c r="V2811">
        <v>6.0747780000000001E-2</v>
      </c>
      <c r="W2811">
        <v>7.8653379999999995E-2</v>
      </c>
      <c r="X2811">
        <v>0.99504939999999997</v>
      </c>
      <c r="Y2811">
        <v>0.17187269999999999</v>
      </c>
      <c r="Z2811">
        <v>-3.5069989999999998E-3</v>
      </c>
      <c r="AA2811">
        <v>0.98511289999999996</v>
      </c>
      <c r="AB2811">
        <v>29</v>
      </c>
      <c r="AC2811">
        <v>41.923299999999898</v>
      </c>
      <c r="AD2811">
        <v>-1.02901367999999</v>
      </c>
      <c r="AE2811">
        <v>-4.8654999999999902</v>
      </c>
      <c r="AF2811">
        <v>7.30287783254209</v>
      </c>
      <c r="AG2811">
        <v>-1.02901367999999</v>
      </c>
      <c r="AH2811">
        <v>41.542608212028902</v>
      </c>
      <c r="AI2811">
        <v>91.397510192424306</v>
      </c>
      <c r="AJ2811">
        <v>80.029704290377197</v>
      </c>
      <c r="AK2811">
        <v>42.192169781237702</v>
      </c>
      <c r="AL2811">
        <v>85.488833723340903</v>
      </c>
      <c r="AM2811">
        <v>86.506427844232206</v>
      </c>
      <c r="AN2811">
        <v>0.99999997770035598</v>
      </c>
    </row>
    <row r="2812" spans="1:40" x14ac:dyDescent="0.25">
      <c r="A2812" t="str">
        <f>"20190312151326108"</f>
        <v>20190312151326108</v>
      </c>
      <c r="B2812" t="str">
        <f>"1552374806103480"</f>
        <v>1552374806103480</v>
      </c>
      <c r="C2812" t="s">
        <v>40</v>
      </c>
      <c r="D2812">
        <v>4.6339389999999998</v>
      </c>
      <c r="E2812">
        <v>0.54208429999999996</v>
      </c>
      <c r="F2812" t="s">
        <v>54</v>
      </c>
      <c r="G2812">
        <v>-386.9357</v>
      </c>
      <c r="H2812">
        <v>8.0001139999999998E-2</v>
      </c>
      <c r="I2812">
        <v>208.96860000000001</v>
      </c>
      <c r="J2812">
        <v>-423.04860000000002</v>
      </c>
      <c r="K2812">
        <v>1.1089739999999999</v>
      </c>
      <c r="L2812">
        <v>213.14859999999999</v>
      </c>
      <c r="M2812">
        <v>0.99830759999999996</v>
      </c>
      <c r="N2812">
        <v>0</v>
      </c>
      <c r="O2812">
        <v>5.7186380000000002E-2</v>
      </c>
      <c r="P2812">
        <v>0.99769830000000004</v>
      </c>
      <c r="Q2812">
        <v>6.7695569999999997E-2</v>
      </c>
      <c r="R2812">
        <v>-3.959639E-3</v>
      </c>
      <c r="S2812">
        <v>3.0121150000000001</v>
      </c>
      <c r="T2812">
        <v>-8.5163829999999996E-2</v>
      </c>
      <c r="U2812">
        <v>-0.344696</v>
      </c>
      <c r="V2812">
        <v>6.1196349999999997E-2</v>
      </c>
      <c r="W2812">
        <v>7.8065350000000006E-2</v>
      </c>
      <c r="X2812">
        <v>0.99506830000000002</v>
      </c>
      <c r="Y2812">
        <v>0.17023729999999901</v>
      </c>
      <c r="Z2812">
        <v>-4.0103630000000003E-3</v>
      </c>
      <c r="AA2812">
        <v>0.98539500000000002</v>
      </c>
      <c r="AB2812">
        <v>29</v>
      </c>
      <c r="AC2812">
        <v>36.112900000000003</v>
      </c>
      <c r="AD2812">
        <v>-1.0289728600000001</v>
      </c>
      <c r="AE2812">
        <v>-4.1799999999999704</v>
      </c>
      <c r="AF2812">
        <v>6.2334462690814902</v>
      </c>
      <c r="AG2812">
        <v>-1.0289728600000001</v>
      </c>
      <c r="AH2812">
        <v>35.786073627694797</v>
      </c>
      <c r="AI2812">
        <v>91.622579229043396</v>
      </c>
      <c r="AJ2812">
        <v>80.1189930476027</v>
      </c>
      <c r="AK2812">
        <v>36.3394785766518</v>
      </c>
      <c r="AL2812">
        <v>85.522629632448798</v>
      </c>
      <c r="AM2812">
        <v>86.480762101041904</v>
      </c>
      <c r="AN2812">
        <v>1.0000000568944101</v>
      </c>
    </row>
    <row r="2813" spans="1:40" x14ac:dyDescent="0.25">
      <c r="A2813" t="str">
        <f>"20190312151326126"</f>
        <v>20190312151326126</v>
      </c>
      <c r="B2813" t="str">
        <f>"1552374806123000"</f>
        <v>1552374806123000</v>
      </c>
      <c r="C2813" t="s">
        <v>40</v>
      </c>
      <c r="D2813">
        <v>4.7219009999999999</v>
      </c>
      <c r="E2813">
        <v>0.54128769999999904</v>
      </c>
      <c r="F2813" t="s">
        <v>54</v>
      </c>
      <c r="G2813">
        <v>-391.96890000000002</v>
      </c>
      <c r="H2813">
        <v>4.8785729999999999E-2</v>
      </c>
      <c r="I2813">
        <v>209.6163</v>
      </c>
      <c r="J2813">
        <v>-422.78550000000001</v>
      </c>
      <c r="K2813">
        <v>1.1089580000000001</v>
      </c>
      <c r="L2813">
        <v>213.16239999999999</v>
      </c>
      <c r="M2813">
        <v>0.99837509999999996</v>
      </c>
      <c r="N2813">
        <v>0</v>
      </c>
      <c r="O2813">
        <v>5.5994660000000002E-2</v>
      </c>
      <c r="P2813">
        <v>0.99772439999999996</v>
      </c>
      <c r="Q2813">
        <v>6.7143640000000004E-2</v>
      </c>
      <c r="R2813">
        <v>-6.1289839999999996E-3</v>
      </c>
      <c r="S2813">
        <v>3.0125120000000001</v>
      </c>
      <c r="T2813">
        <v>-0.10276250000000001</v>
      </c>
      <c r="U2813">
        <v>-0.34237669999999998</v>
      </c>
      <c r="V2813">
        <v>6.2177959999999997E-2</v>
      </c>
      <c r="W2813">
        <v>7.7512929999999994E-2</v>
      </c>
      <c r="X2813">
        <v>0.99505049999999995</v>
      </c>
      <c r="Y2813">
        <v>0.16825809999999999</v>
      </c>
      <c r="Z2813">
        <v>-4.7640449999999997E-3</v>
      </c>
      <c r="AA2813">
        <v>0.98573149999999998</v>
      </c>
      <c r="AB2813">
        <v>29</v>
      </c>
      <c r="AC2813">
        <v>30.816599999999902</v>
      </c>
      <c r="AD2813">
        <v>-1.06017226999999</v>
      </c>
      <c r="AE2813">
        <v>-3.5460999999999898</v>
      </c>
      <c r="AF2813">
        <v>5.2600531251234601</v>
      </c>
      <c r="AG2813">
        <v>-1.06017226999999</v>
      </c>
      <c r="AH2813">
        <v>30.534005697039198</v>
      </c>
      <c r="AI2813">
        <v>91.959726586474204</v>
      </c>
      <c r="AJ2813">
        <v>80.225667021068503</v>
      </c>
      <c r="AK2813">
        <v>31.001897168206</v>
      </c>
      <c r="AL2813">
        <v>85.554376579620893</v>
      </c>
      <c r="AM2813">
        <v>86.424393840911605</v>
      </c>
      <c r="AN2813">
        <v>0.99999992528859505</v>
      </c>
    </row>
    <row r="2814" spans="1:40" x14ac:dyDescent="0.25">
      <c r="A2814" t="str">
        <f>"20190312151326148"</f>
        <v>20190312151326148</v>
      </c>
      <c r="B2814" t="str">
        <f>"1552374806143496"</f>
        <v>1552374806143496</v>
      </c>
      <c r="C2814" t="s">
        <v>40</v>
      </c>
      <c r="D2814">
        <v>4.6808730000000001</v>
      </c>
      <c r="E2814">
        <v>0.54082209999999997</v>
      </c>
      <c r="F2814" t="s">
        <v>54</v>
      </c>
      <c r="G2814">
        <v>-393.79649999999998</v>
      </c>
      <c r="H2814" s="1">
        <v>4.8352920000000005E-7</v>
      </c>
      <c r="I2814">
        <v>209.87139999999999</v>
      </c>
      <c r="J2814">
        <v>-422.50049999999999</v>
      </c>
      <c r="K2814">
        <v>1.1089389999999999</v>
      </c>
      <c r="L2814">
        <v>213.17689999999999</v>
      </c>
      <c r="M2814">
        <v>0.99844759999999999</v>
      </c>
      <c r="N2814">
        <v>0</v>
      </c>
      <c r="O2814">
        <v>5.4689710000000002E-2</v>
      </c>
      <c r="P2814">
        <v>0.99770780000000003</v>
      </c>
      <c r="Q2814">
        <v>6.726124E-2</v>
      </c>
      <c r="R2814">
        <v>-7.4509279999999999E-3</v>
      </c>
      <c r="S2814">
        <v>3.0124819999999999</v>
      </c>
      <c r="T2814">
        <v>-0.1152407</v>
      </c>
      <c r="U2814">
        <v>-0.3419952</v>
      </c>
      <c r="V2814">
        <v>6.2197919999999997E-2</v>
      </c>
      <c r="W2814">
        <v>7.7634170000000002E-2</v>
      </c>
      <c r="X2814">
        <v>0.99503989999999998</v>
      </c>
      <c r="Y2814">
        <v>0.1668162</v>
      </c>
      <c r="Z2814">
        <v>-5.2649790000000004E-3</v>
      </c>
      <c r="AA2814">
        <v>0.98597400000000002</v>
      </c>
      <c r="AB2814">
        <v>29</v>
      </c>
      <c r="AC2814">
        <v>28.704000000000001</v>
      </c>
      <c r="AD2814">
        <v>-1.1089385164708001</v>
      </c>
      <c r="AE2814">
        <v>-3.3054999999999901</v>
      </c>
      <c r="AF2814">
        <v>4.8632896099411198</v>
      </c>
      <c r="AG2814">
        <v>-1.1089385164708001</v>
      </c>
      <c r="AH2814">
        <v>28.438359566163101</v>
      </c>
      <c r="AI2814">
        <v>92.201164243500699</v>
      </c>
      <c r="AJ2814">
        <v>80.295631243735798</v>
      </c>
      <c r="AK2814">
        <v>28.872506390645299</v>
      </c>
      <c r="AL2814">
        <v>85.547409483879704</v>
      </c>
      <c r="AM2814">
        <v>86.423210996636797</v>
      </c>
      <c r="AN2814">
        <v>1.0000000240979601</v>
      </c>
    </row>
    <row r="2815" spans="1:40" x14ac:dyDescent="0.25">
      <c r="A2815" t="str">
        <f>"20190312151326170"</f>
        <v>20190312151326170</v>
      </c>
      <c r="B2815" t="str">
        <f>"1552374806163016"</f>
        <v>1552374806163016</v>
      </c>
      <c r="C2815" t="s">
        <v>40</v>
      </c>
      <c r="D2815">
        <v>4.6658099999999996</v>
      </c>
      <c r="E2815">
        <v>0.54049709999999995</v>
      </c>
      <c r="F2815" t="s">
        <v>54</v>
      </c>
      <c r="G2815">
        <v>-394.7414</v>
      </c>
      <c r="H2815" s="1">
        <v>9.8635390000000005E-7</v>
      </c>
      <c r="I2815">
        <v>210.02010000000001</v>
      </c>
      <c r="J2815">
        <v>-422.21699999999998</v>
      </c>
      <c r="K2815">
        <v>1.108938</v>
      </c>
      <c r="L2815">
        <v>213.19110000000001</v>
      </c>
      <c r="M2815">
        <v>0.99851789999999996</v>
      </c>
      <c r="N2815">
        <v>0</v>
      </c>
      <c r="O2815">
        <v>5.338652E-2</v>
      </c>
      <c r="P2815">
        <v>0.99771319999999997</v>
      </c>
      <c r="Q2815">
        <v>6.7058000000000006E-2</v>
      </c>
      <c r="R2815">
        <v>-8.4662209999999995E-3</v>
      </c>
      <c r="S2815">
        <v>3.0124819999999999</v>
      </c>
      <c r="T2815">
        <v>-0.1203446</v>
      </c>
      <c r="U2815">
        <v>-0.34259030000000001</v>
      </c>
      <c r="V2815">
        <v>6.1913040000000003E-2</v>
      </c>
      <c r="W2815">
        <v>7.7436399999999905E-2</v>
      </c>
      <c r="X2815">
        <v>0.99507310000000004</v>
      </c>
      <c r="Y2815">
        <v>0.16570889999999999</v>
      </c>
      <c r="Z2815">
        <v>-5.4239900000000001E-3</v>
      </c>
      <c r="AA2815">
        <v>0.98615980000000003</v>
      </c>
      <c r="AB2815">
        <v>29</v>
      </c>
      <c r="AC2815">
        <v>27.475599999999901</v>
      </c>
      <c r="AD2815">
        <v>-1.1089370136461001</v>
      </c>
      <c r="AE2815">
        <v>-3.17099999999999</v>
      </c>
      <c r="AF2815">
        <v>4.6259495468883998</v>
      </c>
      <c r="AG2815">
        <v>-1.1089370136461001</v>
      </c>
      <c r="AH2815">
        <v>27.2233514209513</v>
      </c>
      <c r="AI2815">
        <v>92.299711492690903</v>
      </c>
      <c r="AJ2815">
        <v>80.356087122616898</v>
      </c>
      <c r="AK2815">
        <v>27.635846524020302</v>
      </c>
      <c r="AL2815">
        <v>85.558775188789596</v>
      </c>
      <c r="AM2815">
        <v>86.439669716010201</v>
      </c>
      <c r="AN2815">
        <v>1.0000000474552999</v>
      </c>
    </row>
    <row r="2816" spans="1:40" x14ac:dyDescent="0.25">
      <c r="A2816" t="str">
        <f>"20190312151326194"</f>
        <v>20190312151326194</v>
      </c>
      <c r="B2816" t="str">
        <f>"1552374806183512"</f>
        <v>1552374806183512</v>
      </c>
      <c r="C2816" t="s">
        <v>40</v>
      </c>
      <c r="D2816">
        <v>4.6886599999999996</v>
      </c>
      <c r="E2816">
        <v>0.53994069999999905</v>
      </c>
      <c r="F2816" t="s">
        <v>54</v>
      </c>
      <c r="G2816">
        <v>-395.84100000000001</v>
      </c>
      <c r="H2816" s="1">
        <v>1.5714999999999999E-6</v>
      </c>
      <c r="I2816">
        <v>210.18530000000001</v>
      </c>
      <c r="J2816">
        <v>-421.92020000000002</v>
      </c>
      <c r="K2816">
        <v>1.1089310000000001</v>
      </c>
      <c r="L2816">
        <v>213.2055</v>
      </c>
      <c r="M2816">
        <v>0.99858979999999997</v>
      </c>
      <c r="N2816">
        <v>0</v>
      </c>
      <c r="O2816">
        <v>5.2023949999999999E-2</v>
      </c>
      <c r="P2816">
        <v>0.99769419999999998</v>
      </c>
      <c r="Q2816">
        <v>6.7228670000000004E-2</v>
      </c>
      <c r="R2816">
        <v>-9.3001869999999997E-3</v>
      </c>
      <c r="S2816">
        <v>3.0124819999999999</v>
      </c>
      <c r="T2816">
        <v>-0.12665499999999999</v>
      </c>
      <c r="U2816">
        <v>-0.34330749999999999</v>
      </c>
      <c r="V2816">
        <v>6.1387329999999997E-2</v>
      </c>
      <c r="W2816">
        <v>7.7614199999999994E-2</v>
      </c>
      <c r="X2816">
        <v>0.99509179999999997</v>
      </c>
      <c r="Y2816">
        <v>0.16457859999999999</v>
      </c>
      <c r="Z2816">
        <v>-5.6273019999999998E-3</v>
      </c>
      <c r="AA2816">
        <v>0.98634790000000006</v>
      </c>
      <c r="AB2816">
        <v>29</v>
      </c>
      <c r="AC2816">
        <v>26.0792</v>
      </c>
      <c r="AD2816">
        <v>-1.1089294285</v>
      </c>
      <c r="AE2816">
        <v>-3.02019999999998</v>
      </c>
      <c r="AF2816">
        <v>4.3651405249212596</v>
      </c>
      <c r="AG2816">
        <v>-1.1089294285</v>
      </c>
      <c r="AH2816">
        <v>25.840645239026699</v>
      </c>
      <c r="AI2816">
        <v>92.423005948794</v>
      </c>
      <c r="AJ2816">
        <v>80.411807681239793</v>
      </c>
      <c r="AK2816">
        <v>26.230194864867801</v>
      </c>
      <c r="AL2816">
        <v>85.548557166957906</v>
      </c>
      <c r="AM2816">
        <v>86.469890242714698</v>
      </c>
      <c r="AN2816">
        <v>1.0000000293767</v>
      </c>
    </row>
    <row r="2817" spans="1:40" x14ac:dyDescent="0.25">
      <c r="A2817" t="str">
        <f>"20190312151326216"</f>
        <v>20190312151326216</v>
      </c>
      <c r="B2817" t="str">
        <f>"1552374806212792"</f>
        <v>1552374806212792</v>
      </c>
      <c r="C2817" t="s">
        <v>40</v>
      </c>
      <c r="D2817">
        <v>4.7483899999999997</v>
      </c>
      <c r="E2817">
        <v>0.53922650000000005</v>
      </c>
      <c r="F2817" t="s">
        <v>54</v>
      </c>
      <c r="G2817">
        <v>-396.15750000000003</v>
      </c>
      <c r="H2817" s="1">
        <v>1.739904E-6</v>
      </c>
      <c r="I2817">
        <v>210.2842</v>
      </c>
      <c r="J2817">
        <v>-421.62670000000003</v>
      </c>
      <c r="K2817">
        <v>1.108922</v>
      </c>
      <c r="L2817">
        <v>213.21940000000001</v>
      </c>
      <c r="M2817">
        <v>0.99865870000000001</v>
      </c>
      <c r="N2817">
        <v>0</v>
      </c>
      <c r="O2817">
        <v>5.0681070000000002E-2</v>
      </c>
      <c r="P2817">
        <v>0.99774399999999996</v>
      </c>
      <c r="Q2817">
        <v>6.6381040000000002E-2</v>
      </c>
      <c r="R2817">
        <v>-1.0039309999999999E-2</v>
      </c>
      <c r="S2817">
        <v>3.0124819999999999</v>
      </c>
      <c r="T2817">
        <v>-0.12966920000000001</v>
      </c>
      <c r="U2817">
        <v>-0.34159850000000003</v>
      </c>
      <c r="V2817">
        <v>6.0787199999999902E-2</v>
      </c>
      <c r="W2817">
        <v>7.6774609999999993E-2</v>
      </c>
      <c r="X2817">
        <v>0.99519369999999996</v>
      </c>
      <c r="Y2817">
        <v>0.16269330000000001</v>
      </c>
      <c r="Z2817">
        <v>-5.6632310000000003E-3</v>
      </c>
      <c r="AA2817">
        <v>0.98666039999999999</v>
      </c>
      <c r="AB2817">
        <v>29</v>
      </c>
      <c r="AC2817">
        <v>25.469200000000001</v>
      </c>
      <c r="AD2817">
        <v>-1.108920260096</v>
      </c>
      <c r="AE2817">
        <v>-2.9352</v>
      </c>
      <c r="AF2817">
        <v>4.2144216971915203</v>
      </c>
      <c r="AG2817">
        <v>-1.108920260096</v>
      </c>
      <c r="AH2817">
        <v>25.240476892624301</v>
      </c>
      <c r="AI2817">
        <v>92.481319683198805</v>
      </c>
      <c r="AJ2817">
        <v>80.520726069247203</v>
      </c>
      <c r="AK2817">
        <v>25.613916689021099</v>
      </c>
      <c r="AL2817">
        <v>85.596805807259301</v>
      </c>
      <c r="AM2817">
        <v>86.504672069755401</v>
      </c>
      <c r="AN2817">
        <v>0.99999996247209</v>
      </c>
    </row>
    <row r="2818" spans="1:40" x14ac:dyDescent="0.25">
      <c r="A2818" t="str">
        <f>"20190312151326237"</f>
        <v>20190312151326237</v>
      </c>
      <c r="B2818" t="str">
        <f>"1552374806233288"</f>
        <v>1552374806233288</v>
      </c>
      <c r="C2818" t="s">
        <v>40</v>
      </c>
      <c r="D2818">
        <v>4.7354520000000004</v>
      </c>
      <c r="E2818">
        <v>0.53865850000000004</v>
      </c>
      <c r="F2818" t="s">
        <v>54</v>
      </c>
      <c r="G2818">
        <v>-397.19220000000001</v>
      </c>
      <c r="H2818" s="1">
        <v>2.2905389999999999E-6</v>
      </c>
      <c r="I2818">
        <v>210.47839999999999</v>
      </c>
      <c r="J2818">
        <v>-421.35840000000002</v>
      </c>
      <c r="K2818">
        <v>1.1089180000000001</v>
      </c>
      <c r="L2818">
        <v>213.23169999999999</v>
      </c>
      <c r="M2818">
        <v>0.99872000000000005</v>
      </c>
      <c r="N2818">
        <v>0</v>
      </c>
      <c r="O2818">
        <v>4.94584E-2</v>
      </c>
      <c r="P2818">
        <v>0.99776399999999998</v>
      </c>
      <c r="Q2818">
        <v>6.6026290000000001E-2</v>
      </c>
      <c r="R2818">
        <v>-1.037017E-2</v>
      </c>
      <c r="S2818">
        <v>3.0125120000000001</v>
      </c>
      <c r="T2818">
        <v>-0.13671800000000001</v>
      </c>
      <c r="U2818">
        <v>-0.33793640000000003</v>
      </c>
      <c r="V2818">
        <v>5.9899109999999998E-2</v>
      </c>
      <c r="W2818">
        <v>7.6428029999999994E-2</v>
      </c>
      <c r="X2818">
        <v>0.9952742</v>
      </c>
      <c r="Y2818">
        <v>0.16028139999999999</v>
      </c>
      <c r="Z2818">
        <v>-5.8612589999999997E-3</v>
      </c>
      <c r="AA2818">
        <v>0.98705399999999999</v>
      </c>
      <c r="AB2818">
        <v>29</v>
      </c>
      <c r="AC2818">
        <v>24.1662</v>
      </c>
      <c r="AD2818">
        <v>-1.108915709461</v>
      </c>
      <c r="AE2818">
        <v>-2.7532999999999901</v>
      </c>
      <c r="AF2818">
        <v>3.9370350724437402</v>
      </c>
      <c r="AG2818">
        <v>-1.108915709461</v>
      </c>
      <c r="AH2818">
        <v>23.950655463740802</v>
      </c>
      <c r="AI2818">
        <v>92.615846037968296</v>
      </c>
      <c r="AJ2818">
        <v>80.665138910645496</v>
      </c>
      <c r="AK2818">
        <v>24.297403901552102</v>
      </c>
      <c r="AL2818">
        <v>85.616721798820606</v>
      </c>
      <c r="AM2818">
        <v>86.5558922463009</v>
      </c>
      <c r="AN2818">
        <v>0.99999994016705396</v>
      </c>
    </row>
    <row r="2819" spans="1:40" x14ac:dyDescent="0.25">
      <c r="A2819" t="str">
        <f>"20190312151326261"</f>
        <v>20190312151326261</v>
      </c>
      <c r="B2819" t="str">
        <f>"1552374806252807"</f>
        <v>1552374806252807</v>
      </c>
      <c r="C2819" t="s">
        <v>40</v>
      </c>
      <c r="D2819">
        <v>4.7179909999999996</v>
      </c>
      <c r="E2819">
        <v>0.53817709999999996</v>
      </c>
      <c r="F2819" t="s">
        <v>54</v>
      </c>
      <c r="G2819">
        <v>-396.9932</v>
      </c>
      <c r="H2819" s="1">
        <v>2.1846400000000001E-6</v>
      </c>
      <c r="I2819">
        <v>210.523</v>
      </c>
      <c r="J2819">
        <v>-421.05529999999999</v>
      </c>
      <c r="K2819">
        <v>1.108914</v>
      </c>
      <c r="L2819">
        <v>213.24520000000001</v>
      </c>
      <c r="M2819">
        <v>0.99878730000000004</v>
      </c>
      <c r="N2819">
        <v>0</v>
      </c>
      <c r="O2819">
        <v>4.8080169999999998E-2</v>
      </c>
      <c r="P2819">
        <v>0.99776640000000005</v>
      </c>
      <c r="Q2819">
        <v>6.5899920000000001E-2</v>
      </c>
      <c r="R2819">
        <v>-1.093919E-2</v>
      </c>
      <c r="S2819">
        <v>3.0123289999999998</v>
      </c>
      <c r="T2819">
        <v>-0.137098</v>
      </c>
      <c r="U2819">
        <v>-0.33488459999999998</v>
      </c>
      <c r="V2819">
        <v>5.9093329999999999E-2</v>
      </c>
      <c r="W2819">
        <v>7.6309639999999998E-2</v>
      </c>
      <c r="X2819">
        <v>0.99533150000000004</v>
      </c>
      <c r="Y2819">
        <v>0.15794040000000001</v>
      </c>
      <c r="Z2819">
        <v>-5.7625849999999998E-3</v>
      </c>
      <c r="AA2819">
        <v>0.98743179999999997</v>
      </c>
      <c r="AB2819">
        <v>29</v>
      </c>
      <c r="AC2819">
        <v>24.062099999999901</v>
      </c>
      <c r="AD2819">
        <v>-1.1089118153599999</v>
      </c>
      <c r="AE2819">
        <v>-2.7222000000000102</v>
      </c>
      <c r="AF2819">
        <v>3.8679150323457199</v>
      </c>
      <c r="AG2819">
        <v>-1.1089118153599999</v>
      </c>
      <c r="AH2819">
        <v>23.853356287866799</v>
      </c>
      <c r="AI2819">
        <v>92.627421225274006</v>
      </c>
      <c r="AJ2819">
        <v>80.789434056889505</v>
      </c>
      <c r="AK2819">
        <v>24.190350520561001</v>
      </c>
      <c r="AL2819">
        <v>85.623525127615096</v>
      </c>
      <c r="AM2819">
        <v>86.602309233031804</v>
      </c>
      <c r="AN2819">
        <v>0.99999998884983399</v>
      </c>
    </row>
    <row r="2820" spans="1:40" x14ac:dyDescent="0.25">
      <c r="A2820" t="str">
        <f>"20190312151326285"</f>
        <v>20190312151326285</v>
      </c>
      <c r="B2820" t="str">
        <f>"1552374806273304"</f>
        <v>1552374806273304</v>
      </c>
      <c r="C2820" t="s">
        <v>40</v>
      </c>
      <c r="D2820">
        <v>4.7438760000000002</v>
      </c>
      <c r="E2820">
        <v>0.53780360000000005</v>
      </c>
      <c r="F2820" t="s">
        <v>54</v>
      </c>
      <c r="G2820">
        <v>-396.928</v>
      </c>
      <c r="H2820" s="1">
        <v>2.1499529999999999E-6</v>
      </c>
      <c r="I2820">
        <v>210.5752</v>
      </c>
      <c r="J2820">
        <v>-420.73860000000002</v>
      </c>
      <c r="K2820">
        <v>1.1089070000000001</v>
      </c>
      <c r="L2820">
        <v>213.25890000000001</v>
      </c>
      <c r="M2820">
        <v>0.9988553</v>
      </c>
      <c r="N2820">
        <v>0</v>
      </c>
      <c r="O2820">
        <v>4.6642990000000002E-2</v>
      </c>
      <c r="P2820">
        <v>0.99778579999999994</v>
      </c>
      <c r="Q2820">
        <v>6.5396289999999996E-2</v>
      </c>
      <c r="R2820">
        <v>-1.2113250000000001E-2</v>
      </c>
      <c r="S2820">
        <v>3.0121769999999999</v>
      </c>
      <c r="T2820">
        <v>-0.1384425</v>
      </c>
      <c r="U2820">
        <v>-0.33334350000000001</v>
      </c>
      <c r="V2820">
        <v>5.8832959999999997E-2</v>
      </c>
      <c r="W2820">
        <v>7.5813259999999993E-2</v>
      </c>
      <c r="X2820">
        <v>0.99538490000000002</v>
      </c>
      <c r="Y2820">
        <v>0.1560251</v>
      </c>
      <c r="Z2820">
        <v>-5.7097809999999997E-3</v>
      </c>
      <c r="AA2820">
        <v>0.98773659999999996</v>
      </c>
      <c r="AB2820">
        <v>29</v>
      </c>
      <c r="AC2820">
        <v>23.810599999999901</v>
      </c>
      <c r="AD2820">
        <v>-1.10890485004699</v>
      </c>
      <c r="AE2820">
        <v>-2.6837000000000102</v>
      </c>
      <c r="AF2820">
        <v>3.7833359616235298</v>
      </c>
      <c r="AG2820">
        <v>-1.10890485004699</v>
      </c>
      <c r="AH2820">
        <v>23.608935289304799</v>
      </c>
      <c r="AI2820">
        <v>92.655360298355404</v>
      </c>
      <c r="AJ2820">
        <v>80.895747561938606</v>
      </c>
      <c r="AK2820">
        <v>23.935854412565899</v>
      </c>
      <c r="AL2820">
        <v>85.652048428849895</v>
      </c>
      <c r="AM2820">
        <v>86.617425947797202</v>
      </c>
      <c r="AN2820">
        <v>1.0000000333610899</v>
      </c>
    </row>
    <row r="2821" spans="1:40" x14ac:dyDescent="0.25">
      <c r="A2821" t="str">
        <f>"20190312151326327"</f>
        <v>20190312151326327</v>
      </c>
      <c r="B2821" t="str">
        <f>"1552374806323080"</f>
        <v>1552374806323080</v>
      </c>
      <c r="C2821" t="s">
        <v>40</v>
      </c>
      <c r="D2821">
        <v>4.766807</v>
      </c>
      <c r="E2821">
        <v>0.53693119999999905</v>
      </c>
      <c r="F2821" t="s">
        <v>54</v>
      </c>
      <c r="G2821">
        <v>-397.2509</v>
      </c>
      <c r="H2821" s="1">
        <v>2.3217550000000002E-6</v>
      </c>
      <c r="I2821">
        <v>210.65809999999999</v>
      </c>
      <c r="J2821">
        <v>-420.20080000000002</v>
      </c>
      <c r="K2821">
        <v>1.108895</v>
      </c>
      <c r="L2821">
        <v>213.28110000000001</v>
      </c>
      <c r="M2821">
        <v>0.99896609999999997</v>
      </c>
      <c r="N2821">
        <v>0</v>
      </c>
      <c r="O2821">
        <v>4.4203239999999998E-2</v>
      </c>
      <c r="P2821">
        <v>0.99787870000000001</v>
      </c>
      <c r="Q2821">
        <v>6.3788659999999997E-2</v>
      </c>
      <c r="R2821">
        <v>-1.300696E-2</v>
      </c>
      <c r="S2821">
        <v>3.0119630000000002</v>
      </c>
      <c r="T2821">
        <v>-0.1422012</v>
      </c>
      <c r="U2821">
        <v>-0.33352659999999901</v>
      </c>
      <c r="V2821">
        <v>5.7293429999999999E-2</v>
      </c>
      <c r="W2821">
        <v>7.4222270000000007E-2</v>
      </c>
      <c r="X2821">
        <v>0.9955946</v>
      </c>
      <c r="Y2821">
        <v>0.153672799999999</v>
      </c>
      <c r="Z2821">
        <v>-5.694864E-3</v>
      </c>
      <c r="AA2821">
        <v>0.98810540000000002</v>
      </c>
      <c r="AB2821">
        <v>29</v>
      </c>
      <c r="AC2821">
        <v>22.9499</v>
      </c>
      <c r="AD2821">
        <v>-1.1088926782449999</v>
      </c>
      <c r="AE2821">
        <v>-2.62300000000001</v>
      </c>
      <c r="AF2821">
        <v>3.6265954701031702</v>
      </c>
      <c r="AG2821">
        <v>-1.1088926782449999</v>
      </c>
      <c r="AH2821">
        <v>22.7590648651945</v>
      </c>
      <c r="AI2821">
        <v>92.7547237145819</v>
      </c>
      <c r="AJ2821">
        <v>80.946190441217098</v>
      </c>
      <c r="AK2821">
        <v>23.072860057083702</v>
      </c>
      <c r="AL2821">
        <v>85.743463085890397</v>
      </c>
      <c r="AM2821">
        <v>86.706435301873398</v>
      </c>
      <c r="AN2821">
        <v>1.00000004501713</v>
      </c>
    </row>
    <row r="2822" spans="1:40" x14ac:dyDescent="0.25">
      <c r="A2822" t="str">
        <f>"20190312151326349"</f>
        <v>20190312151326349</v>
      </c>
      <c r="B2822" t="str">
        <f>"1552374806342600"</f>
        <v>1552374806342600</v>
      </c>
      <c r="C2822" t="s">
        <v>40</v>
      </c>
      <c r="D2822">
        <v>4.766737</v>
      </c>
      <c r="E2822">
        <v>0.53660419999999998</v>
      </c>
      <c r="F2822" t="s">
        <v>54</v>
      </c>
      <c r="G2822">
        <v>-397.96859999999998</v>
      </c>
      <c r="H2822" s="1">
        <v>2.7036829999999998E-6</v>
      </c>
      <c r="I2822">
        <v>210.84690000000001</v>
      </c>
      <c r="J2822">
        <v>-419.90929999999997</v>
      </c>
      <c r="K2822">
        <v>1.108887</v>
      </c>
      <c r="L2822">
        <v>213.29259999999999</v>
      </c>
      <c r="M2822">
        <v>0.99902369999999996</v>
      </c>
      <c r="N2822">
        <v>0</v>
      </c>
      <c r="O2822">
        <v>4.288111E-2</v>
      </c>
      <c r="P2822">
        <v>0.99789240000000001</v>
      </c>
      <c r="Q2822">
        <v>6.3422729999999997E-2</v>
      </c>
      <c r="R2822">
        <v>-1.3723229999999999E-2</v>
      </c>
      <c r="S2822">
        <v>3.0116879999999999</v>
      </c>
      <c r="T2822">
        <v>-0.15021599999999999</v>
      </c>
      <c r="U2822">
        <v>-0.32975769999999999</v>
      </c>
      <c r="V2822">
        <v>5.6690520000000001E-2</v>
      </c>
      <c r="W2822">
        <v>7.3864189999999996E-2</v>
      </c>
      <c r="X2822">
        <v>0.99565570000000003</v>
      </c>
      <c r="Y2822">
        <v>0.15113219999999999</v>
      </c>
      <c r="Z2822">
        <v>-5.8875200000000003E-3</v>
      </c>
      <c r="AA2822">
        <v>0.98849600000000004</v>
      </c>
      <c r="AB2822">
        <v>29</v>
      </c>
      <c r="AC2822">
        <v>21.9407</v>
      </c>
      <c r="AD2822">
        <v>-1.108884296317</v>
      </c>
      <c r="AE2822">
        <v>-2.44569999999998</v>
      </c>
      <c r="AF2822">
        <v>3.37582776999959</v>
      </c>
      <c r="AG2822">
        <v>-1.108884296317</v>
      </c>
      <c r="AH2822">
        <v>21.760734792582799</v>
      </c>
      <c r="AI2822">
        <v>92.882733844236796</v>
      </c>
      <c r="AJ2822">
        <v>81.181774959137201</v>
      </c>
      <c r="AK2822">
        <v>22.0489323149318</v>
      </c>
      <c r="AL2822">
        <v>85.764035852752002</v>
      </c>
      <c r="AM2822">
        <v>86.741218587987504</v>
      </c>
      <c r="AN2822">
        <v>1.0000000032823499</v>
      </c>
    </row>
    <row r="2823" spans="1:40" x14ac:dyDescent="0.25">
      <c r="A2823" t="str">
        <f>"20190312151326371"</f>
        <v>20190312151326371</v>
      </c>
      <c r="B2823" t="str">
        <f>"1552374806363096"</f>
        <v>1552374806363096</v>
      </c>
      <c r="C2823" t="s">
        <v>40</v>
      </c>
      <c r="D2823">
        <v>5.6118949999999996</v>
      </c>
      <c r="E2823">
        <v>0.53628599999999904</v>
      </c>
      <c r="F2823" t="s">
        <v>54</v>
      </c>
      <c r="G2823">
        <v>-398.05239999999998</v>
      </c>
      <c r="H2823" s="1">
        <v>2.7483119999999999E-6</v>
      </c>
      <c r="I2823">
        <v>210.9025</v>
      </c>
      <c r="J2823">
        <v>-419.62630000000001</v>
      </c>
      <c r="K2823">
        <v>1.108887</v>
      </c>
      <c r="L2823">
        <v>213.30340000000001</v>
      </c>
      <c r="M2823">
        <v>0.99907789999999996</v>
      </c>
      <c r="N2823">
        <v>0</v>
      </c>
      <c r="O2823">
        <v>4.1597189999999999E-2</v>
      </c>
      <c r="P2823">
        <v>0.99789749999999999</v>
      </c>
      <c r="Q2823">
        <v>6.3168100000000005E-2</v>
      </c>
      <c r="R2823">
        <v>-1.450713E-2</v>
      </c>
      <c r="S2823">
        <v>3.0114749999999999</v>
      </c>
      <c r="T2823">
        <v>-0.15278359999999999</v>
      </c>
      <c r="U2823">
        <v>-0.32931519999999997</v>
      </c>
      <c r="V2823">
        <v>5.619292E-2</v>
      </c>
      <c r="W2823">
        <v>7.3617379999999996E-2</v>
      </c>
      <c r="X2823">
        <v>0.99570219999999998</v>
      </c>
      <c r="Y2823">
        <v>0.14972099999999999</v>
      </c>
      <c r="Z2823">
        <v>-5.8878899999999998E-3</v>
      </c>
      <c r="AA2823">
        <v>0.9887108</v>
      </c>
      <c r="AB2823">
        <v>29</v>
      </c>
      <c r="AC2823">
        <v>21.573899999999998</v>
      </c>
      <c r="AD2823">
        <v>-1.108884251688</v>
      </c>
      <c r="AE2823">
        <v>-2.4009</v>
      </c>
      <c r="AF2823">
        <v>3.2877065210665202</v>
      </c>
      <c r="AG2823">
        <v>-1.108884251688</v>
      </c>
      <c r="AH2823">
        <v>21.399504954135502</v>
      </c>
      <c r="AI2823">
        <v>92.931972529580406</v>
      </c>
      <c r="AJ2823">
        <v>81.265673408286005</v>
      </c>
      <c r="AK2823">
        <v>21.678963322409501</v>
      </c>
      <c r="AL2823">
        <v>85.778215687323495</v>
      </c>
      <c r="AM2823">
        <v>86.769912176435795</v>
      </c>
      <c r="AN2823">
        <v>1.0000000169905101</v>
      </c>
    </row>
    <row r="2824" spans="1:40" x14ac:dyDescent="0.25">
      <c r="A2824" t="str">
        <f>"20190312151326395"</f>
        <v>20190312151326395</v>
      </c>
      <c r="B2824" t="str">
        <f>"1552374806382619"</f>
        <v>1552374806382619</v>
      </c>
      <c r="C2824" t="s">
        <v>40</v>
      </c>
      <c r="D2824">
        <v>4.7800940000000001</v>
      </c>
      <c r="E2824">
        <v>0.53596069999999996</v>
      </c>
      <c r="F2824" t="s">
        <v>54</v>
      </c>
      <c r="G2824">
        <v>-397.7097</v>
      </c>
      <c r="H2824" s="1">
        <v>2.565943E-6</v>
      </c>
      <c r="I2824">
        <v>210.9075</v>
      </c>
      <c r="J2824">
        <v>-419.32100000000003</v>
      </c>
      <c r="K2824">
        <v>1.108884</v>
      </c>
      <c r="L2824">
        <v>213.31460000000001</v>
      </c>
      <c r="M2824">
        <v>0.99913470000000004</v>
      </c>
      <c r="N2824">
        <v>0</v>
      </c>
      <c r="O2824">
        <v>4.0212779999999997E-2</v>
      </c>
      <c r="P2824">
        <v>0.99791510000000005</v>
      </c>
      <c r="Q2824">
        <v>6.2763890000000003E-2</v>
      </c>
      <c r="R2824">
        <v>-1.5040619999999999E-2</v>
      </c>
      <c r="S2824">
        <v>3.0111690000000002</v>
      </c>
      <c r="T2824">
        <v>-0.1523526</v>
      </c>
      <c r="U2824">
        <v>-0.32917790000000002</v>
      </c>
      <c r="V2824">
        <v>5.5345360000000003E-2</v>
      </c>
      <c r="W2824">
        <v>7.3220300000000002E-2</v>
      </c>
      <c r="X2824">
        <v>0.99577890000000002</v>
      </c>
      <c r="Y2824">
        <v>0.14832200000000001</v>
      </c>
      <c r="Z2824">
        <v>-5.7668069999999997E-3</v>
      </c>
      <c r="AA2824">
        <v>0.98892230000000003</v>
      </c>
      <c r="AB2824">
        <v>29</v>
      </c>
      <c r="AC2824">
        <v>21.6112999999999</v>
      </c>
      <c r="AD2824">
        <v>-1.1088814340569999</v>
      </c>
      <c r="AE2824">
        <v>-2.40710000000001</v>
      </c>
      <c r="AF2824">
        <v>3.26575968677504</v>
      </c>
      <c r="AG2824">
        <v>-1.1088814340569999</v>
      </c>
      <c r="AH2824">
        <v>21.441258249987602</v>
      </c>
      <c r="AI2824">
        <v>92.926843141403495</v>
      </c>
      <c r="AJ2824">
        <v>81.339728871961498</v>
      </c>
      <c r="AK2824">
        <v>21.716868091629198</v>
      </c>
      <c r="AL2824">
        <v>85.801028061903807</v>
      </c>
      <c r="AM2824">
        <v>86.818775421187198</v>
      </c>
      <c r="AN2824">
        <v>0.99999996944541403</v>
      </c>
    </row>
    <row r="2825" spans="1:40" x14ac:dyDescent="0.25">
      <c r="A2825" t="str">
        <f>"20190312151326415"</f>
        <v>20190312151326415</v>
      </c>
      <c r="B2825" t="str">
        <f>"1552374806412871"</f>
        <v>1552374806412871</v>
      </c>
      <c r="C2825" t="s">
        <v>40</v>
      </c>
      <c r="D2825">
        <v>4.7233559999999999</v>
      </c>
      <c r="E2825">
        <v>0.53562889999999996</v>
      </c>
      <c r="F2825" t="s">
        <v>54</v>
      </c>
      <c r="G2825">
        <v>-397.49180000000001</v>
      </c>
      <c r="H2825" s="1">
        <v>2.4499469999999999E-6</v>
      </c>
      <c r="I2825">
        <v>210.9342</v>
      </c>
      <c r="J2825">
        <v>-419.04579999999999</v>
      </c>
      <c r="K2825">
        <v>1.108876</v>
      </c>
      <c r="L2825">
        <v>213.32429999999999</v>
      </c>
      <c r="M2825">
        <v>0.99918399999999996</v>
      </c>
      <c r="N2825">
        <v>0</v>
      </c>
      <c r="O2825">
        <v>3.8964609999999997E-2</v>
      </c>
      <c r="P2825">
        <v>0.99790509999999999</v>
      </c>
      <c r="Q2825">
        <v>6.2812750000000001E-2</v>
      </c>
      <c r="R2825">
        <v>-1.5497769999999999E-2</v>
      </c>
      <c r="S2825">
        <v>3.0108950000000001</v>
      </c>
      <c r="T2825">
        <v>-0.1529469</v>
      </c>
      <c r="U2825">
        <v>-0.32832339999999999</v>
      </c>
      <c r="V2825">
        <v>5.4557269999999998E-2</v>
      </c>
      <c r="W2825">
        <v>7.3272619999999997E-2</v>
      </c>
      <c r="X2825">
        <v>0.9958186</v>
      </c>
      <c r="Y2825">
        <v>0.14682039999999999</v>
      </c>
      <c r="Z2825">
        <v>-5.6886740000000003E-3</v>
      </c>
      <c r="AA2825">
        <v>0.98914679999999999</v>
      </c>
      <c r="AB2825">
        <v>29</v>
      </c>
      <c r="AC2825">
        <v>21.553999999999899</v>
      </c>
      <c r="AD2825">
        <v>-1.108873550053</v>
      </c>
      <c r="AE2825">
        <v>-2.3900999999999799</v>
      </c>
      <c r="AF2825">
        <v>3.21975714290557</v>
      </c>
      <c r="AG2825">
        <v>-1.108873550053</v>
      </c>
      <c r="AH2825">
        <v>21.388573303890301</v>
      </c>
      <c r="AI2825">
        <v>92.934789164212901</v>
      </c>
      <c r="AJ2825">
        <v>81.439183997561997</v>
      </c>
      <c r="AK2825">
        <v>21.657966307693499</v>
      </c>
      <c r="AL2825">
        <v>85.798022520558902</v>
      </c>
      <c r="AM2825">
        <v>86.864108159412197</v>
      </c>
      <c r="AN2825">
        <v>1.00000002832873</v>
      </c>
    </row>
    <row r="2826" spans="1:40" x14ac:dyDescent="0.25">
      <c r="A2826" t="str">
        <f>"20190312151326439"</f>
        <v>20190312151326439</v>
      </c>
      <c r="B2826" t="str">
        <f>"1552374806433368"</f>
        <v>1552374806433368</v>
      </c>
      <c r="C2826" t="s">
        <v>40</v>
      </c>
      <c r="D2826">
        <v>4.7887259999999996</v>
      </c>
      <c r="E2826">
        <v>0.53537179999999995</v>
      </c>
      <c r="F2826" t="s">
        <v>54</v>
      </c>
      <c r="G2826">
        <v>-397.38220000000001</v>
      </c>
      <c r="H2826" s="1">
        <v>2.391665E-6</v>
      </c>
      <c r="I2826">
        <v>210.96789999999999</v>
      </c>
      <c r="J2826">
        <v>-418.75200000000001</v>
      </c>
      <c r="K2826">
        <v>1.1088769999999999</v>
      </c>
      <c r="L2826">
        <v>213.33439999999999</v>
      </c>
      <c r="M2826">
        <v>0.99923519999999999</v>
      </c>
      <c r="N2826">
        <v>0</v>
      </c>
      <c r="O2826">
        <v>3.7632289999999999E-2</v>
      </c>
      <c r="P2826">
        <v>0.99789349999999999</v>
      </c>
      <c r="Q2826">
        <v>6.2874869999999999E-2</v>
      </c>
      <c r="R2826">
        <v>-1.5998689999999999E-2</v>
      </c>
      <c r="S2826">
        <v>3.0109560000000002</v>
      </c>
      <c r="T2826">
        <v>-0.1541188</v>
      </c>
      <c r="U2826">
        <v>-0.32751459999999999</v>
      </c>
      <c r="V2826">
        <v>5.3728980000000003E-2</v>
      </c>
      <c r="W2826">
        <v>7.3333960000000004E-2</v>
      </c>
      <c r="X2826">
        <v>0.9958591</v>
      </c>
      <c r="Y2826">
        <v>0.1452367</v>
      </c>
      <c r="Z2826">
        <v>-5.623795E-3</v>
      </c>
      <c r="AA2826">
        <v>0.98938099999999995</v>
      </c>
      <c r="AB2826">
        <v>29</v>
      </c>
      <c r="AC2826">
        <v>21.369799999999898</v>
      </c>
      <c r="AD2826">
        <v>-1.1088746083350001</v>
      </c>
      <c r="AE2826">
        <v>-2.3664999999999998</v>
      </c>
      <c r="AF2826">
        <v>3.16065626439118</v>
      </c>
      <c r="AG2826">
        <v>-1.1088746083350001</v>
      </c>
      <c r="AH2826">
        <v>21.209184278710701</v>
      </c>
      <c r="AI2826">
        <v>92.960225742788396</v>
      </c>
      <c r="AJ2826">
        <v>81.523988419946903</v>
      </c>
      <c r="AK2826">
        <v>21.472048078535799</v>
      </c>
      <c r="AL2826">
        <v>85.794498439749503</v>
      </c>
      <c r="AM2826">
        <v>86.911749840920905</v>
      </c>
      <c r="AN2826">
        <v>1.0000000100169599</v>
      </c>
    </row>
    <row r="2827" spans="1:40" x14ac:dyDescent="0.25">
      <c r="A2827" t="str">
        <f>"20190312151326460"</f>
        <v>20190312151326460</v>
      </c>
      <c r="B2827" t="str">
        <f>"1552374806452888"</f>
        <v>1552374806452888</v>
      </c>
      <c r="C2827" t="s">
        <v>40</v>
      </c>
      <c r="D2827">
        <v>4.6582759999999999</v>
      </c>
      <c r="E2827">
        <v>0.48837900000000001</v>
      </c>
      <c r="F2827" t="s">
        <v>54</v>
      </c>
      <c r="G2827">
        <v>-397.21530000000001</v>
      </c>
      <c r="H2827" s="1">
        <v>2.302854E-6</v>
      </c>
      <c r="I2827">
        <v>210.99449999999999</v>
      </c>
      <c r="J2827">
        <v>-418.4624</v>
      </c>
      <c r="K2827">
        <v>1.1088750000000001</v>
      </c>
      <c r="L2827">
        <v>213.34389999999999</v>
      </c>
      <c r="M2827">
        <v>0.99928380000000006</v>
      </c>
      <c r="N2827">
        <v>0</v>
      </c>
      <c r="O2827">
        <v>3.6319049999999999E-2</v>
      </c>
      <c r="P2827">
        <v>0.99786839999999999</v>
      </c>
      <c r="Q2827">
        <v>6.3331509999999994E-2</v>
      </c>
      <c r="R2827">
        <v>-1.5755559999999998E-2</v>
      </c>
      <c r="S2827">
        <v>3.0108640000000002</v>
      </c>
      <c r="T2827">
        <v>-0.15502299999999999</v>
      </c>
      <c r="U2827">
        <v>-0.32711790000000002</v>
      </c>
      <c r="V2827">
        <v>5.2176760000000003E-2</v>
      </c>
      <c r="W2827">
        <v>7.3791430000000005E-2</v>
      </c>
      <c r="X2827">
        <v>0.99590780000000001</v>
      </c>
      <c r="Y2827">
        <v>0.14381160000000001</v>
      </c>
      <c r="Z2827">
        <v>-5.552988E-3</v>
      </c>
      <c r="AA2827">
        <v>0.98958950000000001</v>
      </c>
      <c r="AB2827">
        <v>29</v>
      </c>
      <c r="AC2827">
        <v>21.2470999999999</v>
      </c>
      <c r="AD2827">
        <v>-1.1088726971459999</v>
      </c>
      <c r="AE2827">
        <v>-2.3494000000000002</v>
      </c>
      <c r="AF2827">
        <v>3.11119611813429</v>
      </c>
      <c r="AG2827">
        <v>-1.1088726971459999</v>
      </c>
      <c r="AH2827">
        <v>21.090995486144301</v>
      </c>
      <c r="AI2827">
        <v>92.977430266979894</v>
      </c>
      <c r="AJ2827">
        <v>81.608643734467194</v>
      </c>
      <c r="AK2827">
        <v>21.348049806493499</v>
      </c>
      <c r="AL2827">
        <v>85.768215950957398</v>
      </c>
      <c r="AM2827">
        <v>87.000949888282506</v>
      </c>
      <c r="AN2827">
        <v>0.99999996776319</v>
      </c>
    </row>
    <row r="2828" spans="1:40" x14ac:dyDescent="0.25">
      <c r="A2828" t="str">
        <f>"20190312151326485"</f>
        <v>20190312151326485</v>
      </c>
      <c r="B2828" t="str">
        <f>"1552374806473384"</f>
        <v>1552374806473384</v>
      </c>
      <c r="C2828" t="s">
        <v>40</v>
      </c>
      <c r="D2828">
        <v>4.6964930000000003</v>
      </c>
      <c r="E2828">
        <v>0.47993249999999998</v>
      </c>
      <c r="F2828" t="s">
        <v>55</v>
      </c>
      <c r="G2828">
        <v>-402.1053</v>
      </c>
      <c r="H2828" s="1">
        <v>7.6773159999999904E-6</v>
      </c>
      <c r="I2828">
        <v>213.60640000000001</v>
      </c>
      <c r="J2828">
        <v>-418.15440000000001</v>
      </c>
      <c r="K2828">
        <v>1.108873</v>
      </c>
      <c r="L2828">
        <v>213.3537</v>
      </c>
      <c r="M2828">
        <v>0.99933369999999999</v>
      </c>
      <c r="N2828">
        <v>0</v>
      </c>
      <c r="O2828">
        <v>3.4921859999999999E-2</v>
      </c>
      <c r="P2828">
        <v>0.99785950000000001</v>
      </c>
      <c r="Q2828">
        <v>6.3252310000000006E-2</v>
      </c>
      <c r="R2828">
        <v>-1.6611509999999999E-2</v>
      </c>
      <c r="S2828">
        <v>3.0202330000000002</v>
      </c>
      <c r="T2828">
        <v>-0.20474510000000001</v>
      </c>
      <c r="U2828">
        <v>4.8461909999999997E-2</v>
      </c>
      <c r="V2828">
        <v>5.1638419999999997E-2</v>
      </c>
      <c r="W2828">
        <v>7.3706309999999997E-2</v>
      </c>
      <c r="X2828">
        <v>0.9959422</v>
      </c>
      <c r="Y2828">
        <v>1.8762290000000001E-2</v>
      </c>
      <c r="Z2828">
        <v>-2.9993229999999999E-3</v>
      </c>
      <c r="AA2828">
        <v>0.99981949999999997</v>
      </c>
      <c r="AB2828">
        <v>29</v>
      </c>
      <c r="AC2828">
        <v>16.049099999999999</v>
      </c>
      <c r="AD2828">
        <v>-1.108865322684</v>
      </c>
      <c r="AE2828">
        <v>0.25270000000000398</v>
      </c>
      <c r="AF2828">
        <v>0.30648741834521998</v>
      </c>
      <c r="AG2828">
        <v>-1.108865322684</v>
      </c>
      <c r="AH2828">
        <v>15.971908534864401</v>
      </c>
      <c r="AI2828">
        <v>93.970714147921001</v>
      </c>
      <c r="AJ2828">
        <v>88.900677361531805</v>
      </c>
      <c r="AK2828">
        <v>16.013287578993001</v>
      </c>
      <c r="AL2828">
        <v>85.773106447551001</v>
      </c>
      <c r="AM2828">
        <v>87.031939667541806</v>
      </c>
      <c r="AN2828">
        <v>1.0000000061473699</v>
      </c>
    </row>
    <row r="2829" spans="1:40" x14ac:dyDescent="0.25">
      <c r="A2829" t="str">
        <f>"20190312151326508"</f>
        <v>20190312151326508</v>
      </c>
      <c r="B2829" t="str">
        <f>"1552374806502664"</f>
        <v>1552374806502664</v>
      </c>
      <c r="C2829" t="s">
        <v>40</v>
      </c>
      <c r="D2829">
        <v>4.6008839999999998</v>
      </c>
      <c r="E2829">
        <v>0.4763636</v>
      </c>
      <c r="F2829" t="s">
        <v>55</v>
      </c>
      <c r="G2829">
        <v>-402.73660000000001</v>
      </c>
      <c r="H2829" s="1">
        <v>7.3300269999999998E-6</v>
      </c>
      <c r="I2829">
        <v>213.93219999999999</v>
      </c>
      <c r="J2829">
        <v>-417.8546</v>
      </c>
      <c r="K2829">
        <v>1.108868</v>
      </c>
      <c r="L2829">
        <v>213.36269999999999</v>
      </c>
      <c r="M2829">
        <v>0.99938039999999995</v>
      </c>
      <c r="N2829">
        <v>0</v>
      </c>
      <c r="O2829">
        <v>3.356278E-2</v>
      </c>
      <c r="P2829">
        <v>0.99785089999999999</v>
      </c>
      <c r="Q2829">
        <v>6.3245529999999994E-2</v>
      </c>
      <c r="R2829">
        <v>-1.7146560000000002E-2</v>
      </c>
      <c r="S2829">
        <v>3.022125</v>
      </c>
      <c r="T2829">
        <v>-0.21735599999999999</v>
      </c>
      <c r="U2829">
        <v>0.1134033</v>
      </c>
      <c r="V2829">
        <v>5.081749E-2</v>
      </c>
      <c r="W2829">
        <v>7.3691099999999995E-2</v>
      </c>
      <c r="X2829">
        <v>0.99598560000000003</v>
      </c>
      <c r="Y2829">
        <v>-4.0119600000000002E-3</v>
      </c>
      <c r="Z2829">
        <v>-2.2653090000000001E-3</v>
      </c>
      <c r="AA2829">
        <v>0.99998940000000003</v>
      </c>
      <c r="AB2829">
        <v>29</v>
      </c>
      <c r="AC2829">
        <v>15.117999999999901</v>
      </c>
      <c r="AD2829">
        <v>-1.1088606699729999</v>
      </c>
      <c r="AE2829">
        <v>0.569500000000005</v>
      </c>
      <c r="AF2829">
        <v>-6.1418548122733001E-2</v>
      </c>
      <c r="AG2829">
        <v>-1.1088606699729999</v>
      </c>
      <c r="AH2829">
        <v>15.0477577545683</v>
      </c>
      <c r="AI2829">
        <v>94.214440901117499</v>
      </c>
      <c r="AJ2829">
        <v>90.233855708432401</v>
      </c>
      <c r="AK2829">
        <v>15.0886830990527</v>
      </c>
      <c r="AL2829">
        <v>85.773980501495302</v>
      </c>
      <c r="AM2829">
        <v>87.0791695674192</v>
      </c>
      <c r="AN2829">
        <v>1.00000005545823</v>
      </c>
    </row>
    <row r="2830" spans="1:40" x14ac:dyDescent="0.25">
      <c r="A2830" t="str">
        <f>"20190312151326551"</f>
        <v>20190312151326551</v>
      </c>
      <c r="B2830" t="str">
        <f>"1552374806542680"</f>
        <v>1552374806542680</v>
      </c>
      <c r="C2830" t="s">
        <v>40</v>
      </c>
      <c r="D2830">
        <v>4.732272</v>
      </c>
      <c r="E2830">
        <v>0.47532249999999998</v>
      </c>
      <c r="F2830" t="s">
        <v>41</v>
      </c>
      <c r="G2830">
        <v>-416.88350000000003</v>
      </c>
      <c r="H2830">
        <v>1.036478</v>
      </c>
      <c r="I2830">
        <v>213.4076</v>
      </c>
      <c r="J2830">
        <v>-417.29419999999999</v>
      </c>
      <c r="K2830">
        <v>1.1088610000000001</v>
      </c>
      <c r="L2830">
        <v>213.3784</v>
      </c>
      <c r="M2830">
        <v>0.99946250000000003</v>
      </c>
      <c r="N2830">
        <v>0</v>
      </c>
      <c r="O2830">
        <v>3.1022589999999999E-2</v>
      </c>
      <c r="P2830">
        <v>0.99781929999999996</v>
      </c>
      <c r="Q2830">
        <v>6.3336920000000005E-2</v>
      </c>
      <c r="R2830">
        <v>-1.857265E-2</v>
      </c>
      <c r="S2830">
        <v>3.0231629999999998</v>
      </c>
      <c r="T2830">
        <v>-0.22540089999999999</v>
      </c>
      <c r="U2830">
        <v>0.140152</v>
      </c>
      <c r="V2830">
        <v>4.9709570000000002E-2</v>
      </c>
      <c r="W2830">
        <v>7.3762910000000001E-2</v>
      </c>
      <c r="X2830">
        <v>0.99603609999999998</v>
      </c>
      <c r="Y2830">
        <v>-1.5339719999999999E-2</v>
      </c>
      <c r="Z2830">
        <v>-1.737227E-3</v>
      </c>
      <c r="AA2830">
        <v>0.99988089999999996</v>
      </c>
      <c r="AB2830">
        <v>29</v>
      </c>
      <c r="AC2830">
        <v>0.41069999999996298</v>
      </c>
      <c r="AD2830">
        <v>-7.2383000000000003E-2</v>
      </c>
      <c r="AE2830">
        <v>2.9200000000002901E-2</v>
      </c>
      <c r="AF2830">
        <v>-1.5951270812370699E-2</v>
      </c>
      <c r="AG2830">
        <v>-7.2383000000000003E-2</v>
      </c>
      <c r="AH2830">
        <v>0.39907466155585702</v>
      </c>
      <c r="AI2830">
        <v>100.272352786979</v>
      </c>
      <c r="AJ2830">
        <v>92.288930693269705</v>
      </c>
      <c r="AK2830">
        <v>0.405899405303151</v>
      </c>
      <c r="AL2830">
        <v>85.769854460752697</v>
      </c>
      <c r="AM2830">
        <v>87.142887274643499</v>
      </c>
      <c r="AN2830">
        <v>0.99999996037223005</v>
      </c>
    </row>
    <row r="2831" spans="1:40" x14ac:dyDescent="0.25">
      <c r="A2831" t="str">
        <f>"20190312151326571"</f>
        <v>20190312151326571</v>
      </c>
      <c r="B2831" t="str">
        <f>"1552374806563176"</f>
        <v>1552374806563176</v>
      </c>
      <c r="C2831" t="s">
        <v>40</v>
      </c>
      <c r="D2831">
        <v>4.531085</v>
      </c>
      <c r="E2831">
        <v>0.47437960000000001</v>
      </c>
      <c r="F2831" t="s">
        <v>41</v>
      </c>
      <c r="G2831">
        <v>-416.36700000000002</v>
      </c>
      <c r="H2831">
        <v>1.0342549999999999</v>
      </c>
      <c r="I2831">
        <v>213.42230000000001</v>
      </c>
      <c r="J2831">
        <v>-417.01100000000002</v>
      </c>
      <c r="K2831">
        <v>1.1088549999999999</v>
      </c>
      <c r="L2831">
        <v>213.38589999999999</v>
      </c>
      <c r="M2831">
        <v>0.9995018</v>
      </c>
      <c r="N2831">
        <v>0</v>
      </c>
      <c r="O2831">
        <v>2.9738959999999998E-2</v>
      </c>
      <c r="P2831">
        <v>0.99781390000000003</v>
      </c>
      <c r="Q2831">
        <v>6.3194100000000003E-2</v>
      </c>
      <c r="R2831">
        <v>-1.934638E-2</v>
      </c>
      <c r="S2831">
        <v>3.024689</v>
      </c>
      <c r="T2831">
        <v>-0.2434106</v>
      </c>
      <c r="U2831">
        <v>0.14329529999999999</v>
      </c>
      <c r="V2831">
        <v>4.9202339999999997E-2</v>
      </c>
      <c r="W2831">
        <v>7.3610729999999999E-2</v>
      </c>
      <c r="X2831">
        <v>0.99607259999999997</v>
      </c>
      <c r="Y2831">
        <v>-1.763292E-2</v>
      </c>
      <c r="Z2831">
        <v>-1.6795239999999999E-3</v>
      </c>
      <c r="AA2831">
        <v>0.99984309999999998</v>
      </c>
      <c r="AB2831">
        <v>29</v>
      </c>
      <c r="AC2831">
        <v>0.64400000000000501</v>
      </c>
      <c r="AD2831">
        <v>-7.46E-2</v>
      </c>
      <c r="AE2831">
        <v>3.6400000000014601E-2</v>
      </c>
      <c r="AF2831">
        <v>-1.7003502125161201E-2</v>
      </c>
      <c r="AG2831">
        <v>-7.46E-2</v>
      </c>
      <c r="AH2831">
        <v>0.63628682181499396</v>
      </c>
      <c r="AI2831">
        <v>96.684620530166001</v>
      </c>
      <c r="AJ2831">
        <v>91.530751650578907</v>
      </c>
      <c r="AK2831">
        <v>0.64087065676308297</v>
      </c>
      <c r="AL2831">
        <v>85.778597741518098</v>
      </c>
      <c r="AM2831">
        <v>87.172096773184506</v>
      </c>
      <c r="AN2831">
        <v>1.0000000171516801</v>
      </c>
    </row>
    <row r="2832" spans="1:40" x14ac:dyDescent="0.25">
      <c r="A2832" t="str">
        <f>"20190312151326595"</f>
        <v>20190312151326595</v>
      </c>
      <c r="B2832" t="str">
        <f>"1552374806582699"</f>
        <v>1552374806582699</v>
      </c>
      <c r="C2832" t="s">
        <v>40</v>
      </c>
      <c r="D2832">
        <v>4.4822730000000002</v>
      </c>
      <c r="E2832">
        <v>0.473856</v>
      </c>
      <c r="F2832" t="s">
        <v>41</v>
      </c>
      <c r="G2832">
        <v>-416.10579999999999</v>
      </c>
      <c r="H2832">
        <v>1.033247</v>
      </c>
      <c r="I2832">
        <v>213.43010000000001</v>
      </c>
      <c r="J2832">
        <v>-416.71140000000003</v>
      </c>
      <c r="K2832">
        <v>1.108851</v>
      </c>
      <c r="L2832">
        <v>213.39330000000001</v>
      </c>
      <c r="M2832">
        <v>0.99954129999999997</v>
      </c>
      <c r="N2832">
        <v>0</v>
      </c>
      <c r="O2832">
        <v>2.8381239999999999E-2</v>
      </c>
      <c r="P2832">
        <v>0.99782689999999996</v>
      </c>
      <c r="Q2832">
        <v>6.2887150000000003E-2</v>
      </c>
      <c r="R2832">
        <v>-1.967238E-2</v>
      </c>
      <c r="S2832">
        <v>3.0254819999999998</v>
      </c>
      <c r="T2832">
        <v>-0.25272359999999999</v>
      </c>
      <c r="U2832">
        <v>0.14846799999999999</v>
      </c>
      <c r="V2832">
        <v>4.8174149999999999E-2</v>
      </c>
      <c r="W2832">
        <v>7.3297349999999997E-2</v>
      </c>
      <c r="X2832">
        <v>0.99614599999999998</v>
      </c>
      <c r="Y2832">
        <v>-2.0671849999999999E-2</v>
      </c>
      <c r="Z2832">
        <v>-1.5033170000000001E-3</v>
      </c>
      <c r="AA2832">
        <v>0.99978520000000004</v>
      </c>
      <c r="AB2832">
        <v>29</v>
      </c>
      <c r="AC2832">
        <v>0.605600000000038</v>
      </c>
      <c r="AD2832">
        <v>-7.5603999999999894E-2</v>
      </c>
      <c r="AE2832">
        <v>3.67999999999995E-2</v>
      </c>
      <c r="AF2832">
        <v>-1.9296892097747102E-2</v>
      </c>
      <c r="AG2832">
        <v>-7.5603999999999894E-2</v>
      </c>
      <c r="AH2832">
        <v>0.59712826587854095</v>
      </c>
      <c r="AI2832">
        <v>97.212250152048696</v>
      </c>
      <c r="AJ2832">
        <v>91.8509353794026</v>
      </c>
      <c r="AK2832">
        <v>0.602204700057834</v>
      </c>
      <c r="AL2832">
        <v>85.796601874400693</v>
      </c>
      <c r="AM2832">
        <v>87.231302728171002</v>
      </c>
      <c r="AN2832">
        <v>1.00000005178062</v>
      </c>
    </row>
    <row r="2833" spans="1:40" x14ac:dyDescent="0.25">
      <c r="A2833" t="str">
        <f>"20190312151326616"</f>
        <v>20190312151326616</v>
      </c>
      <c r="B2833" t="str">
        <f>"1552374806612952"</f>
        <v>1552374806612952</v>
      </c>
      <c r="C2833" t="s">
        <v>40</v>
      </c>
      <c r="D2833">
        <v>4.4604369999999998</v>
      </c>
      <c r="E2833">
        <v>0.47289629999999999</v>
      </c>
      <c r="F2833" t="s">
        <v>55</v>
      </c>
      <c r="G2833">
        <v>-403.5582</v>
      </c>
      <c r="H2833" s="1">
        <v>6.9410750000000003E-6</v>
      </c>
      <c r="I2833">
        <v>214.0514</v>
      </c>
      <c r="J2833">
        <v>-416.42700000000002</v>
      </c>
      <c r="K2833">
        <v>1.1088450000000001</v>
      </c>
      <c r="L2833">
        <v>213.4</v>
      </c>
      <c r="M2833">
        <v>0.9995773</v>
      </c>
      <c r="N2833">
        <v>0</v>
      </c>
      <c r="O2833">
        <v>2.7092519999999998E-2</v>
      </c>
      <c r="P2833">
        <v>0.99781140000000001</v>
      </c>
      <c r="Q2833">
        <v>6.3016059999999999E-2</v>
      </c>
      <c r="R2833">
        <v>-2.0045429999999999E-2</v>
      </c>
      <c r="S2833">
        <v>3.025604</v>
      </c>
      <c r="T2833">
        <v>-0.25506529999999999</v>
      </c>
      <c r="U2833">
        <v>0.151382399999999</v>
      </c>
      <c r="V2833">
        <v>4.7262180000000001E-2</v>
      </c>
      <c r="W2833">
        <v>7.34205E-2</v>
      </c>
      <c r="X2833">
        <v>0.99618050000000002</v>
      </c>
      <c r="Y2833">
        <v>-2.290756E-2</v>
      </c>
      <c r="Z2833">
        <v>-1.314761E-3</v>
      </c>
      <c r="AA2833">
        <v>0.99973670000000003</v>
      </c>
      <c r="AB2833">
        <v>29</v>
      </c>
      <c r="AC2833">
        <v>12.868799999999901</v>
      </c>
      <c r="AD2833">
        <v>-1.108838058925</v>
      </c>
      <c r="AE2833">
        <v>0.65139999999999498</v>
      </c>
      <c r="AF2833">
        <v>-0.30026963526508799</v>
      </c>
      <c r="AG2833">
        <v>-1.108838058925</v>
      </c>
      <c r="AH2833">
        <v>12.7870316317626</v>
      </c>
      <c r="AI2833">
        <v>94.954694236396904</v>
      </c>
      <c r="AJ2833">
        <v>91.345192700556794</v>
      </c>
      <c r="AK2833">
        <v>12.838530353840399</v>
      </c>
      <c r="AL2833">
        <v>85.789526348317594</v>
      </c>
      <c r="AM2833">
        <v>87.283730758167806</v>
      </c>
      <c r="AN2833">
        <v>0.99999993602942405</v>
      </c>
    </row>
    <row r="2834" spans="1:40" x14ac:dyDescent="0.25">
      <c r="A2834" t="str">
        <f>"20190312151326639"</f>
        <v>20190312151326639</v>
      </c>
      <c r="B2834" t="str">
        <f>"1552374806633448"</f>
        <v>1552374806633448</v>
      </c>
      <c r="C2834" t="s">
        <v>40</v>
      </c>
      <c r="D2834">
        <v>4.4536930000000003</v>
      </c>
      <c r="E2834">
        <v>0.47269440000000001</v>
      </c>
      <c r="F2834" t="s">
        <v>55</v>
      </c>
      <c r="G2834">
        <v>-403.46559999999999</v>
      </c>
      <c r="H2834" s="1">
        <v>6.9770289999999996E-6</v>
      </c>
      <c r="I2834">
        <v>214.0761</v>
      </c>
      <c r="J2834">
        <v>-416.12740000000002</v>
      </c>
      <c r="K2834">
        <v>1.1088420000000001</v>
      </c>
      <c r="L2834">
        <v>213.4067</v>
      </c>
      <c r="M2834">
        <v>0.99961299999999997</v>
      </c>
      <c r="N2834">
        <v>0</v>
      </c>
      <c r="O2834">
        <v>2.5736019999999998E-2</v>
      </c>
      <c r="P2834">
        <v>0.99780150000000001</v>
      </c>
      <c r="Q2834">
        <v>6.2980049999999996E-2</v>
      </c>
      <c r="R2834">
        <v>-2.0631900000000002E-2</v>
      </c>
      <c r="S2834">
        <v>3.026062</v>
      </c>
      <c r="T2834">
        <v>-0.2588781</v>
      </c>
      <c r="U2834">
        <v>0.1578369</v>
      </c>
      <c r="V2834">
        <v>4.6495380000000003E-2</v>
      </c>
      <c r="W2834">
        <v>7.3380089999999995E-2</v>
      </c>
      <c r="X2834">
        <v>0.99621959999999998</v>
      </c>
      <c r="Y2834">
        <v>-2.6366299999999999E-2</v>
      </c>
      <c r="Z2834">
        <v>-1.0707819999999999E-3</v>
      </c>
      <c r="AA2834">
        <v>0.99965179999999998</v>
      </c>
      <c r="AB2834">
        <v>29</v>
      </c>
      <c r="AC2834">
        <v>12.661799999999999</v>
      </c>
      <c r="AD2834">
        <v>-1.108835022971</v>
      </c>
      <c r="AE2834">
        <v>0.669399999999996</v>
      </c>
      <c r="AF2834">
        <v>-0.340690248084701</v>
      </c>
      <c r="AG2834">
        <v>-1.108835022971</v>
      </c>
      <c r="AH2834">
        <v>12.5786366314237</v>
      </c>
      <c r="AI2834">
        <v>95.035891977230094</v>
      </c>
      <c r="AJ2834">
        <v>91.551467203277198</v>
      </c>
      <c r="AK2834">
        <v>12.632010309475699</v>
      </c>
      <c r="AL2834">
        <v>85.791848096264303</v>
      </c>
      <c r="AM2834">
        <v>87.327840890434402</v>
      </c>
      <c r="AN2834">
        <v>0.99999997469695501</v>
      </c>
    </row>
    <row r="2835" spans="1:40" x14ac:dyDescent="0.25">
      <c r="A2835" t="str">
        <f>"20190312151326661"</f>
        <v>20190312151326661</v>
      </c>
      <c r="B2835" t="str">
        <f>"1552374806652968"</f>
        <v>1552374806652968</v>
      </c>
      <c r="C2835" t="s">
        <v>40</v>
      </c>
      <c r="D2835">
        <v>4.549925</v>
      </c>
      <c r="E2835">
        <v>0.47230549999999999</v>
      </c>
      <c r="F2835" t="s">
        <v>55</v>
      </c>
      <c r="G2835">
        <v>-403.18669999999997</v>
      </c>
      <c r="H2835" s="1">
        <v>7.0997879999999999E-6</v>
      </c>
      <c r="I2835">
        <v>214.0805</v>
      </c>
      <c r="J2835">
        <v>-415.83429999999998</v>
      </c>
      <c r="K2835">
        <v>1.10884</v>
      </c>
      <c r="L2835">
        <v>213.41290000000001</v>
      </c>
      <c r="M2835">
        <v>0.99964640000000005</v>
      </c>
      <c r="N2835">
        <v>0</v>
      </c>
      <c r="O2835">
        <v>2.4408539999999999E-2</v>
      </c>
      <c r="P2835">
        <v>0.99776849999999995</v>
      </c>
      <c r="Q2835">
        <v>6.3340869999999994E-2</v>
      </c>
      <c r="R2835">
        <v>-2.1111959999999999E-2</v>
      </c>
      <c r="S2835">
        <v>3.0262150000000001</v>
      </c>
      <c r="T2835">
        <v>-0.25930310000000001</v>
      </c>
      <c r="U2835">
        <v>0.15757750000000001</v>
      </c>
      <c r="V2835">
        <v>4.5652249999999998E-2</v>
      </c>
      <c r="W2835">
        <v>7.373818E-2</v>
      </c>
      <c r="X2835">
        <v>0.99623220000000001</v>
      </c>
      <c r="Y2835">
        <v>-2.7596369999999999E-2</v>
      </c>
      <c r="Z2835">
        <v>-9.0651109999999996E-4</v>
      </c>
      <c r="AA2835">
        <v>0.99961869999999997</v>
      </c>
      <c r="AB2835">
        <v>29</v>
      </c>
      <c r="AC2835">
        <v>12.647600000000001</v>
      </c>
      <c r="AD2835">
        <v>-1.1088329002120001</v>
      </c>
      <c r="AE2835">
        <v>0.66759999999999298</v>
      </c>
      <c r="AF2835">
        <v>-0.35594614799044899</v>
      </c>
      <c r="AG2835">
        <v>-1.1088329002120001</v>
      </c>
      <c r="AH2835">
        <v>12.5638267720032</v>
      </c>
      <c r="AI2835">
        <v>95.041614896283903</v>
      </c>
      <c r="AJ2835">
        <v>91.622814334947606</v>
      </c>
      <c r="AK2835">
        <v>12.6176840671245</v>
      </c>
      <c r="AL2835">
        <v>85.771275514543305</v>
      </c>
      <c r="AM2835">
        <v>87.376261634026207</v>
      </c>
      <c r="AN2835">
        <v>1.0000000217183</v>
      </c>
    </row>
    <row r="2836" spans="1:40" x14ac:dyDescent="0.25">
      <c r="A2836" t="str">
        <f>"20190312151326687"</f>
        <v>20190312151326687</v>
      </c>
      <c r="B2836" t="str">
        <f>"1552374806683225"</f>
        <v>1552374806683225</v>
      </c>
      <c r="C2836" t="s">
        <v>40</v>
      </c>
      <c r="D2836">
        <v>4.4310890000000001</v>
      </c>
      <c r="E2836">
        <v>0.47196719999999998</v>
      </c>
      <c r="F2836" t="s">
        <v>55</v>
      </c>
      <c r="G2836">
        <v>-402.90609999999998</v>
      </c>
      <c r="H2836" s="1">
        <v>7.2213419999999997E-6</v>
      </c>
      <c r="I2836">
        <v>214.09440000000001</v>
      </c>
      <c r="J2836">
        <v>-415.51670000000001</v>
      </c>
      <c r="K2836">
        <v>1.1088370000000001</v>
      </c>
      <c r="L2836">
        <v>213.41909999999999</v>
      </c>
      <c r="M2836">
        <v>0.99968060000000003</v>
      </c>
      <c r="N2836">
        <v>0</v>
      </c>
      <c r="O2836">
        <v>2.2970190000000001E-2</v>
      </c>
      <c r="P2836">
        <v>0.9977509</v>
      </c>
      <c r="Q2836">
        <v>6.3312300000000002E-2</v>
      </c>
      <c r="R2836">
        <v>-2.2024169999999999E-2</v>
      </c>
      <c r="S2836">
        <v>3.0265810000000002</v>
      </c>
      <c r="T2836">
        <v>-0.25958629999999999</v>
      </c>
      <c r="U2836">
        <v>0.15956119999999999</v>
      </c>
      <c r="V2836">
        <v>4.5129320000000001E-2</v>
      </c>
      <c r="W2836">
        <v>7.3707739999999994E-2</v>
      </c>
      <c r="X2836">
        <v>0.99625830000000004</v>
      </c>
      <c r="Y2836">
        <v>-2.966881E-2</v>
      </c>
      <c r="Z2836">
        <v>-6.9572009999999997E-4</v>
      </c>
      <c r="AA2836">
        <v>0.99955950000000005</v>
      </c>
      <c r="AB2836">
        <v>29</v>
      </c>
      <c r="AC2836">
        <v>12.6106</v>
      </c>
      <c r="AD2836">
        <v>-1.1088297786579999</v>
      </c>
      <c r="AE2836">
        <v>0.67530000000002099</v>
      </c>
      <c r="AF2836">
        <v>-0.38248911540404301</v>
      </c>
      <c r="AG2836">
        <v>-1.1088297786579999</v>
      </c>
      <c r="AH2836">
        <v>12.5262166627483</v>
      </c>
      <c r="AI2836">
        <v>95.056333833155904</v>
      </c>
      <c r="AJ2836">
        <v>91.748988165870102</v>
      </c>
      <c r="AK2836">
        <v>12.5810136826709</v>
      </c>
      <c r="AL2836">
        <v>85.773024448822895</v>
      </c>
      <c r="AM2836">
        <v>87.406342185131294</v>
      </c>
      <c r="AN2836">
        <v>1.00000004338922</v>
      </c>
    </row>
    <row r="2837" spans="1:40" x14ac:dyDescent="0.25">
      <c r="A2837" t="str">
        <f>"20190312151326708"</f>
        <v>20190312151326708</v>
      </c>
      <c r="B2837" t="str">
        <f>"1552374806702744"</f>
        <v>1552374806702744</v>
      </c>
      <c r="C2837" t="s">
        <v>40</v>
      </c>
      <c r="D2837">
        <v>4.4216879999999996</v>
      </c>
      <c r="E2837">
        <v>0.47185009999999999</v>
      </c>
      <c r="F2837" t="s">
        <v>41</v>
      </c>
      <c r="G2837">
        <v>-414.5333</v>
      </c>
      <c r="H2837">
        <v>1.0258350000000001</v>
      </c>
      <c r="I2837">
        <v>213.47059999999999</v>
      </c>
      <c r="J2837">
        <v>-415.21980000000002</v>
      </c>
      <c r="K2837">
        <v>1.1088370000000001</v>
      </c>
      <c r="L2837">
        <v>213.42449999999999</v>
      </c>
      <c r="M2837">
        <v>0.9997106</v>
      </c>
      <c r="N2837">
        <v>0</v>
      </c>
      <c r="O2837">
        <v>2.1626659999999999E-2</v>
      </c>
      <c r="P2837">
        <v>0.99771829999999995</v>
      </c>
      <c r="Q2837">
        <v>6.3390249999999995E-2</v>
      </c>
      <c r="R2837">
        <v>-2.3235949999999998E-2</v>
      </c>
      <c r="S2837">
        <v>3.0264890000000002</v>
      </c>
      <c r="T2837">
        <v>-0.25545899999999999</v>
      </c>
      <c r="U2837">
        <v>0.15939329999999999</v>
      </c>
      <c r="V2837">
        <v>4.500084E-2</v>
      </c>
      <c r="W2837">
        <v>7.3783340000000003E-2</v>
      </c>
      <c r="X2837">
        <v>0.99625850000000005</v>
      </c>
      <c r="Y2837">
        <v>-3.0949910000000001E-2</v>
      </c>
      <c r="Z2837">
        <v>-5.177084E-4</v>
      </c>
      <c r="AA2837">
        <v>0.99952079999999999</v>
      </c>
      <c r="AB2837">
        <v>29</v>
      </c>
      <c r="AC2837">
        <v>0.68650000000002298</v>
      </c>
      <c r="AD2837">
        <v>-8.3002000000000006E-2</v>
      </c>
      <c r="AE2837">
        <v>4.6099999999995499E-2</v>
      </c>
      <c r="AF2837">
        <v>-3.0793562720685601E-2</v>
      </c>
      <c r="AG2837">
        <v>-8.3002000000000006E-2</v>
      </c>
      <c r="AH2837">
        <v>0.67747737586860901</v>
      </c>
      <c r="AI2837">
        <v>96.977722649643496</v>
      </c>
      <c r="AJ2837">
        <v>92.602489328723806</v>
      </c>
      <c r="AK2837">
        <v>0.68323727234603504</v>
      </c>
      <c r="AL2837">
        <v>85.768680995524903</v>
      </c>
      <c r="AM2837">
        <v>87.413716624712094</v>
      </c>
      <c r="AN2837">
        <v>1.0000000278422501</v>
      </c>
    </row>
    <row r="2838" spans="1:40" x14ac:dyDescent="0.25">
      <c r="A2838" t="str">
        <f>"20190312151326731"</f>
        <v>20190312151326731</v>
      </c>
      <c r="B2838" t="str">
        <f>"1552374806723241"</f>
        <v>1552374806723241</v>
      </c>
      <c r="C2838" t="s">
        <v>40</v>
      </c>
      <c r="D2838">
        <v>4.6342280000000002</v>
      </c>
      <c r="E2838">
        <v>0.47183330000000001</v>
      </c>
      <c r="F2838" t="s">
        <v>55</v>
      </c>
      <c r="G2838">
        <v>-401.9092</v>
      </c>
      <c r="H2838" s="1">
        <v>7.6592770000000001E-6</v>
      </c>
      <c r="I2838">
        <v>214.1146</v>
      </c>
      <c r="J2838">
        <v>-414.9228</v>
      </c>
      <c r="K2838">
        <v>1.108835</v>
      </c>
      <c r="L2838">
        <v>213.42939999999999</v>
      </c>
      <c r="M2838">
        <v>0.99973860000000003</v>
      </c>
      <c r="N2838">
        <v>0</v>
      </c>
      <c r="O2838">
        <v>2.0283539999999999E-2</v>
      </c>
      <c r="P2838">
        <v>0.99768380000000001</v>
      </c>
      <c r="Q2838">
        <v>6.3468280000000002E-2</v>
      </c>
      <c r="R2838">
        <v>-2.4468110000000001E-2</v>
      </c>
      <c r="S2838">
        <v>3.0265200000000001</v>
      </c>
      <c r="T2838">
        <v>-0.25212200000000001</v>
      </c>
      <c r="U2838">
        <v>0.15692139999999999</v>
      </c>
      <c r="V2838">
        <v>4.4893059999999999E-2</v>
      </c>
      <c r="W2838">
        <v>7.3860389999999998E-2</v>
      </c>
      <c r="X2838">
        <v>0.99625759999999997</v>
      </c>
      <c r="Y2838">
        <v>-3.1472470000000002E-2</v>
      </c>
      <c r="Z2838">
        <v>-3.7768859999999998E-4</v>
      </c>
      <c r="AA2838">
        <v>0.99950459999999997</v>
      </c>
      <c r="AB2838">
        <v>29</v>
      </c>
      <c r="AC2838">
        <v>13.013599999999901</v>
      </c>
      <c r="AD2838">
        <v>-1.108827340723</v>
      </c>
      <c r="AE2838">
        <v>0.68520000000000802</v>
      </c>
      <c r="AF2838">
        <v>-0.41805578005572702</v>
      </c>
      <c r="AG2838">
        <v>-1.108827340723</v>
      </c>
      <c r="AH2838">
        <v>12.931201257573299</v>
      </c>
      <c r="AI2838">
        <v>94.898475140098697</v>
      </c>
      <c r="AJ2838">
        <v>91.851683501846694</v>
      </c>
      <c r="AK2838">
        <v>12.985385426341301</v>
      </c>
      <c r="AL2838">
        <v>85.764254052212195</v>
      </c>
      <c r="AM2838">
        <v>87.419900236911204</v>
      </c>
      <c r="AN2838">
        <v>0.99999997480243696</v>
      </c>
    </row>
    <row r="2839" spans="1:40" x14ac:dyDescent="0.25">
      <c r="A2839" t="str">
        <f>"20190312151326752"</f>
        <v>20190312151326752</v>
      </c>
      <c r="B2839" t="str">
        <f>"1552374806742760"</f>
        <v>1552374806742760</v>
      </c>
      <c r="C2839" t="s">
        <v>40</v>
      </c>
      <c r="D2839">
        <v>4.4316009999999997</v>
      </c>
      <c r="E2839">
        <v>0.4718271</v>
      </c>
      <c r="F2839" t="s">
        <v>55</v>
      </c>
      <c r="G2839">
        <v>-401.23680000000002</v>
      </c>
      <c r="H2839" s="1">
        <v>7.9556239999999995E-6</v>
      </c>
      <c r="I2839">
        <v>214.12360000000001</v>
      </c>
      <c r="J2839">
        <v>-414.6422</v>
      </c>
      <c r="K2839">
        <v>1.108832</v>
      </c>
      <c r="L2839">
        <v>213.43379999999999</v>
      </c>
      <c r="M2839">
        <v>0.99976359999999997</v>
      </c>
      <c r="N2839">
        <v>0</v>
      </c>
      <c r="O2839">
        <v>1.901547E-2</v>
      </c>
      <c r="P2839">
        <v>0.99768539999999994</v>
      </c>
      <c r="Q2839">
        <v>6.3008410000000001E-2</v>
      </c>
      <c r="R2839">
        <v>-2.5569080000000001E-2</v>
      </c>
      <c r="S2839">
        <v>3.0263059999999999</v>
      </c>
      <c r="T2839">
        <v>-0.24518789999999999</v>
      </c>
      <c r="U2839">
        <v>0.15348819999999999</v>
      </c>
      <c r="V2839">
        <v>4.4728360000000002E-2</v>
      </c>
      <c r="W2839">
        <v>7.340149E-2</v>
      </c>
      <c r="X2839">
        <v>0.99629900000000005</v>
      </c>
      <c r="Y2839">
        <v>-3.161046E-2</v>
      </c>
      <c r="Z2839">
        <v>-2.5932940000000001E-4</v>
      </c>
      <c r="AA2839">
        <v>0.99950019999999995</v>
      </c>
      <c r="AB2839">
        <v>29</v>
      </c>
      <c r="AC2839">
        <v>13.405399999999901</v>
      </c>
      <c r="AD2839">
        <v>-1.108824044376</v>
      </c>
      <c r="AE2839">
        <v>0.68980000000001895</v>
      </c>
      <c r="AF2839">
        <v>-0.431804625563253</v>
      </c>
      <c r="AG2839">
        <v>-1.108824044376</v>
      </c>
      <c r="AH2839">
        <v>13.3251671008152</v>
      </c>
      <c r="AI2839">
        <v>94.754297270942601</v>
      </c>
      <c r="AJ2839">
        <v>91.856031364074198</v>
      </c>
      <c r="AK2839">
        <v>13.3781921148073</v>
      </c>
      <c r="AL2839">
        <v>85.790618973506994</v>
      </c>
      <c r="AM2839">
        <v>87.429459852487199</v>
      </c>
      <c r="AN2839">
        <v>1.0000000511617499</v>
      </c>
    </row>
    <row r="2840" spans="1:40" x14ac:dyDescent="0.25">
      <c r="A2840" t="str">
        <f>"20190312151326773"</f>
        <v>20190312151326773</v>
      </c>
      <c r="B2840" t="str">
        <f>"1552374806763256"</f>
        <v>1552374806763256</v>
      </c>
      <c r="C2840" t="s">
        <v>40</v>
      </c>
      <c r="D2840">
        <v>4.4564370000000002</v>
      </c>
      <c r="E2840">
        <v>0.47175879999999998</v>
      </c>
      <c r="F2840" t="s">
        <v>55</v>
      </c>
      <c r="G2840">
        <v>-400.70280000000002</v>
      </c>
      <c r="H2840" s="1">
        <v>8.1919819999999996E-6</v>
      </c>
      <c r="I2840">
        <v>214.12559999999999</v>
      </c>
      <c r="J2840">
        <v>-414.35419999999999</v>
      </c>
      <c r="K2840">
        <v>1.1088370000000001</v>
      </c>
      <c r="L2840">
        <v>213.43790000000001</v>
      </c>
      <c r="M2840">
        <v>0.99978739999999999</v>
      </c>
      <c r="N2840">
        <v>0</v>
      </c>
      <c r="O2840">
        <v>1.771754E-2</v>
      </c>
      <c r="P2840">
        <v>0.99765219999999999</v>
      </c>
      <c r="Q2840">
        <v>6.283917E-2</v>
      </c>
      <c r="R2840">
        <v>-2.722455E-2</v>
      </c>
      <c r="S2840">
        <v>3.02597</v>
      </c>
      <c r="T2840">
        <v>-0.24070369999999999</v>
      </c>
      <c r="U2840">
        <v>0.150192299999999</v>
      </c>
      <c r="V2840">
        <v>4.5088099999999999E-2</v>
      </c>
      <c r="W2840">
        <v>7.323172E-2</v>
      </c>
      <c r="X2840">
        <v>0.99629520000000005</v>
      </c>
      <c r="Y2840">
        <v>-3.1824409999999997E-2</v>
      </c>
      <c r="Z2840">
        <v>-1.431619E-4</v>
      </c>
      <c r="AA2840">
        <v>0.99949350000000003</v>
      </c>
      <c r="AB2840">
        <v>29</v>
      </c>
      <c r="AC2840">
        <v>13.651399999999899</v>
      </c>
      <c r="AD2840">
        <v>-1.108828808018</v>
      </c>
      <c r="AE2840">
        <v>0.687699999999978</v>
      </c>
      <c r="AF2840">
        <v>-0.442795445183914</v>
      </c>
      <c r="AG2840">
        <v>-1.108828808018</v>
      </c>
      <c r="AH2840">
        <v>13.572127489484901</v>
      </c>
      <c r="AI2840">
        <v>94.668159978990303</v>
      </c>
      <c r="AJ2840">
        <v>91.868632199290303</v>
      </c>
      <c r="AK2840">
        <v>13.624544532665899</v>
      </c>
      <c r="AL2840">
        <v>85.8003720000615</v>
      </c>
      <c r="AM2840">
        <v>87.408803780625405</v>
      </c>
      <c r="AN2840">
        <v>0.99999997355940295</v>
      </c>
    </row>
    <row r="2841" spans="1:40" x14ac:dyDescent="0.25">
      <c r="A2841" t="str">
        <f>"20190312151326797"</f>
        <v>20190312151326797</v>
      </c>
      <c r="B2841" t="str">
        <f>"1552374806793512"</f>
        <v>1552374806793512</v>
      </c>
      <c r="C2841" t="s">
        <v>40</v>
      </c>
      <c r="D2841">
        <v>4.6692640000000001</v>
      </c>
      <c r="E2841">
        <v>0.47178789999999998</v>
      </c>
      <c r="F2841" t="s">
        <v>55</v>
      </c>
      <c r="G2841">
        <v>-400.20249999999999</v>
      </c>
      <c r="H2841" s="1">
        <v>8.4152329999999904E-6</v>
      </c>
      <c r="I2841">
        <v>214.119</v>
      </c>
      <c r="J2841">
        <v>-414.04480000000001</v>
      </c>
      <c r="K2841">
        <v>1.10884</v>
      </c>
      <c r="L2841">
        <v>213.4418</v>
      </c>
      <c r="M2841">
        <v>0.99981109999999895</v>
      </c>
      <c r="N2841">
        <v>0</v>
      </c>
      <c r="O2841">
        <v>1.633049E-2</v>
      </c>
      <c r="P2841">
        <v>0.99758659999999999</v>
      </c>
      <c r="Q2841">
        <v>6.3136620000000004E-2</v>
      </c>
      <c r="R2841">
        <v>-2.8889270000000002E-2</v>
      </c>
      <c r="S2841">
        <v>3.0260009999999999</v>
      </c>
      <c r="T2841">
        <v>-0.23709479999999999</v>
      </c>
      <c r="U2841">
        <v>0.1456451</v>
      </c>
      <c r="V2841">
        <v>4.536871E-2</v>
      </c>
      <c r="W2841">
        <v>7.3529880000000006E-2</v>
      </c>
      <c r="X2841">
        <v>0.99626049999999999</v>
      </c>
      <c r="Y2841">
        <v>-3.1709639999999997E-2</v>
      </c>
      <c r="Z2841" s="1">
        <v>-3.7094809999999997E-5</v>
      </c>
      <c r="AA2841">
        <v>0.99949710000000003</v>
      </c>
      <c r="AB2841">
        <v>29</v>
      </c>
      <c r="AC2841">
        <v>13.8423</v>
      </c>
      <c r="AD2841">
        <v>-1.1088315847669901</v>
      </c>
      <c r="AE2841">
        <v>0.677200000000027</v>
      </c>
      <c r="AF2841">
        <v>-0.44817661915749502</v>
      </c>
      <c r="AG2841">
        <v>-1.1088315847669901</v>
      </c>
      <c r="AH2841">
        <v>13.7634081440006</v>
      </c>
      <c r="AI2841">
        <v>94.603584580865501</v>
      </c>
      <c r="AJ2841">
        <v>91.865058291027097</v>
      </c>
      <c r="AK2841">
        <v>13.815273196852701</v>
      </c>
      <c r="AL2841">
        <v>85.783242508391496</v>
      </c>
      <c r="AM2841">
        <v>87.392608726716801</v>
      </c>
      <c r="AN2841">
        <v>0.99999997348006298</v>
      </c>
    </row>
    <row r="2842" spans="1:40" x14ac:dyDescent="0.25">
      <c r="A2842" t="str">
        <f>"20190312151326819"</f>
        <v>20190312151326819</v>
      </c>
      <c r="B2842" t="str">
        <f>"1552374806813032"</f>
        <v>1552374806813032</v>
      </c>
      <c r="C2842" t="s">
        <v>40</v>
      </c>
      <c r="D2842">
        <v>4.6239270000000001</v>
      </c>
      <c r="E2842">
        <v>0.4719547</v>
      </c>
      <c r="F2842" t="s">
        <v>54</v>
      </c>
      <c r="G2842">
        <v>-399.45870000000002</v>
      </c>
      <c r="H2842" s="1">
        <v>3.4966839999999999E-6</v>
      </c>
      <c r="I2842">
        <v>214.1183</v>
      </c>
      <c r="J2842">
        <v>-413.75139999999999</v>
      </c>
      <c r="K2842">
        <v>1.108849</v>
      </c>
      <c r="L2842">
        <v>213.4453</v>
      </c>
      <c r="M2842">
        <v>0.99983160000000004</v>
      </c>
      <c r="N2842">
        <v>0</v>
      </c>
      <c r="O2842">
        <v>1.5029509999999999E-2</v>
      </c>
      <c r="P2842">
        <v>0.99755240000000001</v>
      </c>
      <c r="Q2842">
        <v>6.2944749999999994E-2</v>
      </c>
      <c r="R2842">
        <v>-3.0454180000000001E-2</v>
      </c>
      <c r="S2842">
        <v>3.0258790000000002</v>
      </c>
      <c r="T2842">
        <v>-0.23002829999999999</v>
      </c>
      <c r="U2842">
        <v>0.14033509999999999</v>
      </c>
      <c r="V2842">
        <v>4.5633739999999999E-2</v>
      </c>
      <c r="W2842">
        <v>7.3340619999999995E-2</v>
      </c>
      <c r="X2842">
        <v>0.99626239999999999</v>
      </c>
      <c r="Y2842">
        <v>-3.1262310000000001E-2</v>
      </c>
      <c r="Z2842" s="1">
        <v>4.5714550000000001E-5</v>
      </c>
      <c r="AA2842">
        <v>0.99951120000000004</v>
      </c>
      <c r="AB2842">
        <v>29</v>
      </c>
      <c r="AC2842">
        <v>14.2926999999999</v>
      </c>
      <c r="AD2842">
        <v>-1.1088455033159901</v>
      </c>
      <c r="AE2842">
        <v>0.67300000000000104</v>
      </c>
      <c r="AF2842">
        <v>-0.45536507747162702</v>
      </c>
      <c r="AG2842">
        <v>-1.1088455033159901</v>
      </c>
      <c r="AH2842">
        <v>14.215827245822799</v>
      </c>
      <c r="AI2842">
        <v>94.457807254597697</v>
      </c>
      <c r="AJ2842">
        <v>91.834685987250694</v>
      </c>
      <c r="AK2842">
        <v>14.2662763181947</v>
      </c>
      <c r="AL2842">
        <v>85.794115891986905</v>
      </c>
      <c r="AM2842">
        <v>87.3774033510024</v>
      </c>
      <c r="AN2842">
        <v>1.0000000272110601</v>
      </c>
    </row>
    <row r="2843" spans="1:40" x14ac:dyDescent="0.25">
      <c r="A2843" t="str">
        <f>"20190312151326842"</f>
        <v>20190312151326842</v>
      </c>
      <c r="B2843" t="str">
        <f>"1552374806833529"</f>
        <v>1552374806833529</v>
      </c>
      <c r="C2843" t="s">
        <v>40</v>
      </c>
      <c r="D2843">
        <v>4.4775489999999998</v>
      </c>
      <c r="E2843">
        <v>0.47184019999999999</v>
      </c>
      <c r="F2843" t="s">
        <v>54</v>
      </c>
      <c r="G2843">
        <v>-399.18419999999998</v>
      </c>
      <c r="H2843" s="1">
        <v>3.3506000000000002E-6</v>
      </c>
      <c r="I2843">
        <v>214.09030000000001</v>
      </c>
      <c r="J2843">
        <v>-413.45890000000003</v>
      </c>
      <c r="K2843">
        <v>1.1088559999999901</v>
      </c>
      <c r="L2843">
        <v>213.44829999999999</v>
      </c>
      <c r="M2843">
        <v>0.99984980000000001</v>
      </c>
      <c r="N2843">
        <v>0</v>
      </c>
      <c r="O2843">
        <v>1.3753899999999999E-2</v>
      </c>
      <c r="P2843">
        <v>0.99747989999999997</v>
      </c>
      <c r="Q2843">
        <v>6.3247499999999998E-2</v>
      </c>
      <c r="R2843">
        <v>-3.2155339999999998E-2</v>
      </c>
      <c r="S2843">
        <v>3.0260009999999999</v>
      </c>
      <c r="T2843">
        <v>-0.23033799999999999</v>
      </c>
      <c r="U2843">
        <v>0.1340027</v>
      </c>
      <c r="V2843">
        <v>4.6060139999999999E-2</v>
      </c>
      <c r="W2843">
        <v>7.3645909999999995E-2</v>
      </c>
      <c r="X2843">
        <v>0.9962202</v>
      </c>
      <c r="Y2843">
        <v>-3.0446830000000001E-2</v>
      </c>
      <c r="Z2843">
        <v>1.116889E-4</v>
      </c>
      <c r="AA2843">
        <v>0.99953639999999999</v>
      </c>
      <c r="AB2843">
        <v>30</v>
      </c>
      <c r="AC2843">
        <v>14.274699999999999</v>
      </c>
      <c r="AD2843">
        <v>-1.1088526493999999</v>
      </c>
      <c r="AE2843">
        <v>0.642000000000024</v>
      </c>
      <c r="AF2843">
        <v>-0.44292826715172601</v>
      </c>
      <c r="AG2843">
        <v>-1.1088526493999999</v>
      </c>
      <c r="AH2843">
        <v>14.196688561554501</v>
      </c>
      <c r="AI2843">
        <v>94.463938192328698</v>
      </c>
      <c r="AJ2843">
        <v>91.787014677120595</v>
      </c>
      <c r="AK2843">
        <v>14.2468138810647</v>
      </c>
      <c r="AL2843">
        <v>85.776576397906894</v>
      </c>
      <c r="AM2843">
        <v>87.352820627596302</v>
      </c>
      <c r="AN2843">
        <v>0.99999997172229305</v>
      </c>
    </row>
    <row r="2844" spans="1:40" x14ac:dyDescent="0.25">
      <c r="A2844" t="str">
        <f>"20190312151326866"</f>
        <v>20190312151326866</v>
      </c>
      <c r="B2844" t="str">
        <f>"1552374806862808"</f>
        <v>1552374806862808</v>
      </c>
      <c r="C2844" t="s">
        <v>40</v>
      </c>
      <c r="D2844">
        <v>4.4739050000000002</v>
      </c>
      <c r="E2844">
        <v>0.47171950000000001</v>
      </c>
      <c r="F2844" t="s">
        <v>54</v>
      </c>
      <c r="G2844">
        <v>-398.87540000000001</v>
      </c>
      <c r="H2844" s="1">
        <v>3.1862329999999902E-6</v>
      </c>
      <c r="I2844">
        <v>214.07570000000001</v>
      </c>
      <c r="J2844">
        <v>-413.13940000000002</v>
      </c>
      <c r="K2844">
        <v>1.108881</v>
      </c>
      <c r="L2844">
        <v>213.4512</v>
      </c>
      <c r="M2844">
        <v>0.99986759999999997</v>
      </c>
      <c r="N2844">
        <v>0</v>
      </c>
      <c r="O2844">
        <v>1.239318E-2</v>
      </c>
      <c r="P2844">
        <v>0.99740580000000001</v>
      </c>
      <c r="Q2844">
        <v>6.3538730000000002E-2</v>
      </c>
      <c r="R2844">
        <v>-3.3830829999999999E-2</v>
      </c>
      <c r="S2844">
        <v>3.0263369999999998</v>
      </c>
      <c r="T2844">
        <v>-0.2301067</v>
      </c>
      <c r="U2844">
        <v>0.13020319999999999</v>
      </c>
      <c r="V2844">
        <v>4.6374680000000001E-2</v>
      </c>
      <c r="W2844">
        <v>7.3941229999999997E-2</v>
      </c>
      <c r="X2844">
        <v>0.99618379999999995</v>
      </c>
      <c r="Y2844">
        <v>-3.0545619999999999E-2</v>
      </c>
      <c r="Z2844">
        <v>2.185639E-4</v>
      </c>
      <c r="AA2844">
        <v>0.99953340000000002</v>
      </c>
      <c r="AB2844">
        <v>30</v>
      </c>
      <c r="AC2844">
        <v>14.263999999999999</v>
      </c>
      <c r="AD2844">
        <v>-1.1088778137669999</v>
      </c>
      <c r="AE2844">
        <v>0.62450000000001105</v>
      </c>
      <c r="AF2844">
        <v>-0.444981806584345</v>
      </c>
      <c r="AG2844">
        <v>-1.1088778137669999</v>
      </c>
      <c r="AH2844">
        <v>14.185081614769199</v>
      </c>
      <c r="AI2844">
        <v>94.467653324176396</v>
      </c>
      <c r="AJ2844">
        <v>91.796762405626396</v>
      </c>
      <c r="AK2844">
        <v>14.2353138086843</v>
      </c>
      <c r="AL2844">
        <v>85.759609837956205</v>
      </c>
      <c r="AM2844">
        <v>87.334672042033901</v>
      </c>
      <c r="AN2844">
        <v>1.0000000399107201</v>
      </c>
    </row>
    <row r="2845" spans="1:40" x14ac:dyDescent="0.25">
      <c r="A2845" t="str">
        <f>"20190312151326888"</f>
        <v>20190312151326888</v>
      </c>
      <c r="B2845" t="str">
        <f>"1552374806883304"</f>
        <v>1552374806883304</v>
      </c>
      <c r="C2845" t="s">
        <v>40</v>
      </c>
      <c r="D2845">
        <v>4.5013269999999999</v>
      </c>
      <c r="E2845">
        <v>0.47163149999999998</v>
      </c>
      <c r="F2845" t="s">
        <v>54</v>
      </c>
      <c r="G2845">
        <v>-398.60890000000001</v>
      </c>
      <c r="H2845" s="1">
        <v>3.0444559999999999E-6</v>
      </c>
      <c r="I2845">
        <v>214.0573</v>
      </c>
      <c r="J2845">
        <v>-412.84750000000003</v>
      </c>
      <c r="K2845">
        <v>1.1089039999999999</v>
      </c>
      <c r="L2845">
        <v>213.45359999999999</v>
      </c>
      <c r="M2845">
        <v>0.99988169999999998</v>
      </c>
      <c r="N2845">
        <v>0</v>
      </c>
      <c r="O2845">
        <v>1.1190189999999999E-2</v>
      </c>
      <c r="P2845">
        <v>0.99732419999999999</v>
      </c>
      <c r="Q2845">
        <v>6.3833109999999998E-2</v>
      </c>
      <c r="R2845">
        <v>-3.5631940000000001E-2</v>
      </c>
      <c r="S2845">
        <v>3.0267940000000002</v>
      </c>
      <c r="T2845">
        <v>-0.23098669999999999</v>
      </c>
      <c r="U2845">
        <v>0.12625120000000001</v>
      </c>
      <c r="V2845">
        <v>4.6971430000000002E-2</v>
      </c>
      <c r="W2845">
        <v>7.4240329999999993E-2</v>
      </c>
      <c r="X2845">
        <v>0.99613359999999995</v>
      </c>
      <c r="Y2845">
        <v>-3.043541E-2</v>
      </c>
      <c r="Z2845">
        <v>3.067926E-4</v>
      </c>
      <c r="AA2845">
        <v>0.99953669999999994</v>
      </c>
      <c r="AB2845">
        <v>30</v>
      </c>
      <c r="AC2845">
        <v>14.2386</v>
      </c>
      <c r="AD2845">
        <v>-1.1089009555439999</v>
      </c>
      <c r="AE2845">
        <v>0.60370000000000301</v>
      </c>
      <c r="AF2845">
        <v>-0.44164677956991999</v>
      </c>
      <c r="AG2845">
        <v>-1.1089009555439999</v>
      </c>
      <c r="AH2845">
        <v>14.158741637123001</v>
      </c>
      <c r="AI2845">
        <v>94.476048621285202</v>
      </c>
      <c r="AJ2845">
        <v>91.786620243263499</v>
      </c>
      <c r="AK2845">
        <v>14.2089647038027</v>
      </c>
      <c r="AL2845">
        <v>85.742425463217899</v>
      </c>
      <c r="AM2845">
        <v>87.300289138286701</v>
      </c>
      <c r="AN2845">
        <v>1.0000000454418501</v>
      </c>
    </row>
    <row r="2846" spans="1:40" x14ac:dyDescent="0.25">
      <c r="A2846" t="str">
        <f>"20190312151326931"</f>
        <v>20190312151326931</v>
      </c>
      <c r="B2846" t="str">
        <f>"1552374806923320"</f>
        <v>1552374806923320</v>
      </c>
      <c r="C2846" t="s">
        <v>40</v>
      </c>
      <c r="D2846">
        <v>4.5049099999999997</v>
      </c>
      <c r="E2846">
        <v>0.47162029999999999</v>
      </c>
      <c r="F2846" t="s">
        <v>54</v>
      </c>
      <c r="G2846">
        <v>-398.23950000000002</v>
      </c>
      <c r="H2846" s="1">
        <v>2.847851E-6</v>
      </c>
      <c r="I2846">
        <v>214.04060000000001</v>
      </c>
      <c r="J2846">
        <v>-412.2842</v>
      </c>
      <c r="K2846">
        <v>1.1089580000000001</v>
      </c>
      <c r="L2846">
        <v>213.4572</v>
      </c>
      <c r="M2846">
        <v>0.99990400000000002</v>
      </c>
      <c r="N2846">
        <v>0</v>
      </c>
      <c r="O2846">
        <v>8.9638059999999995E-3</v>
      </c>
      <c r="P2846">
        <v>0.99729350000000005</v>
      </c>
      <c r="Q2846">
        <v>6.3100920000000005E-2</v>
      </c>
      <c r="R2846">
        <v>-3.7733320000000001E-2</v>
      </c>
      <c r="S2846">
        <v>3.0270999999999999</v>
      </c>
      <c r="T2846">
        <v>-0.22978789999999999</v>
      </c>
      <c r="U2846">
        <v>0.1216431</v>
      </c>
      <c r="V2846">
        <v>4.6841809999999998E-2</v>
      </c>
      <c r="W2846">
        <v>7.3522270000000001E-2</v>
      </c>
      <c r="X2846">
        <v>0.99619290000000005</v>
      </c>
      <c r="Y2846">
        <v>-3.112993E-2</v>
      </c>
      <c r="Z2846">
        <v>5.0017439999999996E-4</v>
      </c>
      <c r="AA2846">
        <v>0.99951520000000005</v>
      </c>
      <c r="AB2846">
        <v>30</v>
      </c>
      <c r="AC2846">
        <v>14.044699999999899</v>
      </c>
      <c r="AD2846">
        <v>-1.108955152149</v>
      </c>
      <c r="AE2846">
        <v>0.58340000000001102</v>
      </c>
      <c r="AF2846">
        <v>-0.454645947799307</v>
      </c>
      <c r="AG2846">
        <v>-1.108955152149</v>
      </c>
      <c r="AH2846">
        <v>13.9624661236265</v>
      </c>
      <c r="AI2846">
        <v>94.538732777149804</v>
      </c>
      <c r="AJ2846">
        <v>91.865006729466799</v>
      </c>
      <c r="AK2846">
        <v>14.0138126404182</v>
      </c>
      <c r="AL2846">
        <v>85.783679768425003</v>
      </c>
      <c r="AM2846">
        <v>87.307888174412696</v>
      </c>
      <c r="AN2846">
        <v>0.99999998668021906</v>
      </c>
    </row>
    <row r="2847" spans="1:40" x14ac:dyDescent="0.25">
      <c r="A2847" t="str">
        <f>"20190312151326952"</f>
        <v>20190312151326952</v>
      </c>
      <c r="B2847" t="str">
        <f>"1552374806942840"</f>
        <v>1552374806942840</v>
      </c>
      <c r="C2847" t="s">
        <v>40</v>
      </c>
      <c r="D2847">
        <v>4.513045</v>
      </c>
      <c r="E2847">
        <v>0.47159689999999999</v>
      </c>
      <c r="F2847" t="s">
        <v>54</v>
      </c>
      <c r="G2847">
        <v>-397.4271</v>
      </c>
      <c r="H2847" s="1">
        <v>2.415532E-6</v>
      </c>
      <c r="I2847">
        <v>214.0232</v>
      </c>
      <c r="J2847">
        <v>-411.98820000000001</v>
      </c>
      <c r="K2847">
        <v>1.1089899999999999</v>
      </c>
      <c r="L2847">
        <v>213.45859999999999</v>
      </c>
      <c r="M2847">
        <v>0.99991339999999995</v>
      </c>
      <c r="N2847">
        <v>0</v>
      </c>
      <c r="O2847">
        <v>7.8517380000000005E-3</v>
      </c>
      <c r="P2847">
        <v>0.99726970000000004</v>
      </c>
      <c r="Q2847">
        <v>6.2950300000000001E-2</v>
      </c>
      <c r="R2847">
        <v>-3.8605699999999903E-2</v>
      </c>
      <c r="S2847">
        <v>3.0268250000000001</v>
      </c>
      <c r="T2847">
        <v>-0.22592599999999999</v>
      </c>
      <c r="U2847">
        <v>0.1153259</v>
      </c>
      <c r="V2847">
        <v>4.6600030000000001E-2</v>
      </c>
      <c r="W2847">
        <v>7.3383889999999993E-2</v>
      </c>
      <c r="X2847">
        <v>0.99621440000000006</v>
      </c>
      <c r="Y2847">
        <v>-3.0164030000000001E-2</v>
      </c>
      <c r="Z2847">
        <v>5.3872659999999999E-4</v>
      </c>
      <c r="AA2847">
        <v>0.99954480000000001</v>
      </c>
      <c r="AB2847">
        <v>30</v>
      </c>
      <c r="AC2847">
        <v>14.5611</v>
      </c>
      <c r="AD2847">
        <v>-1.1089875844679999</v>
      </c>
      <c r="AE2847">
        <v>0.56460000000001198</v>
      </c>
      <c r="AF2847">
        <v>-0.447653561149085</v>
      </c>
      <c r="AG2847">
        <v>-1.1089875844679999</v>
      </c>
      <c r="AH2847">
        <v>14.4812123472419</v>
      </c>
      <c r="AI2847">
        <v>94.377145136885005</v>
      </c>
      <c r="AJ2847">
        <v>91.770604137741898</v>
      </c>
      <c r="AK2847">
        <v>14.530511285540699</v>
      </c>
      <c r="AL2847">
        <v>85.791629656132997</v>
      </c>
      <c r="AM2847">
        <v>87.321821286092003</v>
      </c>
      <c r="AN2847">
        <v>0.999999944437445</v>
      </c>
    </row>
    <row r="2848" spans="1:40" x14ac:dyDescent="0.25">
      <c r="A2848" t="str">
        <f>"20190312151326976"</f>
        <v>20190312151326976</v>
      </c>
      <c r="B2848" t="str">
        <f>"1552374806973096"</f>
        <v>1552374806973096</v>
      </c>
      <c r="C2848" t="s">
        <v>40</v>
      </c>
      <c r="D2848">
        <v>4.5938639999999999</v>
      </c>
      <c r="E2848">
        <v>0.4715589</v>
      </c>
      <c r="F2848" t="s">
        <v>54</v>
      </c>
      <c r="G2848">
        <v>-396.9812</v>
      </c>
      <c r="H2848" s="1">
        <v>2.1782420000000001E-6</v>
      </c>
      <c r="I2848">
        <v>214.0163</v>
      </c>
      <c r="J2848">
        <v>-411.68619999999999</v>
      </c>
      <c r="K2848">
        <v>1.1090180000000001</v>
      </c>
      <c r="L2848">
        <v>213.4598</v>
      </c>
      <c r="M2848">
        <v>0.99992130000000001</v>
      </c>
      <c r="N2848">
        <v>0</v>
      </c>
      <c r="O2848">
        <v>6.75759E-3</v>
      </c>
      <c r="P2848">
        <v>0.99726380000000003</v>
      </c>
      <c r="Q2848">
        <v>6.2713160000000004E-2</v>
      </c>
      <c r="R2848">
        <v>-3.9146680000000003E-2</v>
      </c>
      <c r="S2848">
        <v>3.0266419999999998</v>
      </c>
      <c r="T2848">
        <v>-0.22366259999999999</v>
      </c>
      <c r="U2848">
        <v>0.1124725</v>
      </c>
      <c r="V2848">
        <v>4.6044700000000001E-2</v>
      </c>
      <c r="W2848">
        <v>7.3163720000000002E-2</v>
      </c>
      <c r="X2848">
        <v>0.99625649999999999</v>
      </c>
      <c r="Y2848">
        <v>-3.0316900000000001E-2</v>
      </c>
      <c r="Z2848">
        <v>6.1973859999999998E-4</v>
      </c>
      <c r="AA2848">
        <v>0.99954019999999999</v>
      </c>
      <c r="AB2848">
        <v>30</v>
      </c>
      <c r="AC2848">
        <v>14.704999999999901</v>
      </c>
      <c r="AD2848">
        <v>-1.109015821758</v>
      </c>
      <c r="AE2848">
        <v>0.556499999999999</v>
      </c>
      <c r="AF2848">
        <v>-0.45452979560194801</v>
      </c>
      <c r="AG2848">
        <v>-1.109015821758</v>
      </c>
      <c r="AH2848">
        <v>14.625357661813201</v>
      </c>
      <c r="AI2848">
        <v>94.334257665558297</v>
      </c>
      <c r="AJ2848">
        <v>91.780076764035002</v>
      </c>
      <c r="AK2848">
        <v>14.674385853042001</v>
      </c>
      <c r="AL2848">
        <v>85.804278826078402</v>
      </c>
      <c r="AM2848">
        <v>87.353803021676299</v>
      </c>
      <c r="AN2848">
        <v>1.0000000290572799</v>
      </c>
    </row>
    <row r="2849" spans="1:40" x14ac:dyDescent="0.25">
      <c r="A2849" t="str">
        <f>"20190312151327000"</f>
        <v>20190312151327000</v>
      </c>
      <c r="B2849" t="str">
        <f>"1552374806992616"</f>
        <v>1552374806992616</v>
      </c>
      <c r="C2849" t="s">
        <v>40</v>
      </c>
      <c r="D2849">
        <v>4.5788460000000004</v>
      </c>
      <c r="E2849">
        <v>0.50029299999999999</v>
      </c>
      <c r="F2849" t="s">
        <v>54</v>
      </c>
      <c r="G2849">
        <v>-396.67149999999998</v>
      </c>
      <c r="H2849" s="1">
        <v>2.0134570000000002E-6</v>
      </c>
      <c r="I2849">
        <v>214.0119</v>
      </c>
      <c r="J2849">
        <v>-411.3596</v>
      </c>
      <c r="K2849">
        <v>1.109056</v>
      </c>
      <c r="L2849">
        <v>213.46080000000001</v>
      </c>
      <c r="M2849">
        <v>0.99992809999999999</v>
      </c>
      <c r="N2849">
        <v>0</v>
      </c>
      <c r="O2849">
        <v>5.6300369999999897E-3</v>
      </c>
      <c r="P2849">
        <v>0.99719279999999999</v>
      </c>
      <c r="Q2849">
        <v>6.3039719999999994E-2</v>
      </c>
      <c r="R2849">
        <v>-4.0407760000000001E-2</v>
      </c>
      <c r="S2849">
        <v>3.026672</v>
      </c>
      <c r="T2849">
        <v>-0.2235569</v>
      </c>
      <c r="U2849">
        <v>0.1112823</v>
      </c>
      <c r="V2849">
        <v>4.6175790000000001E-2</v>
      </c>
      <c r="W2849">
        <v>7.3508480000000001E-2</v>
      </c>
      <c r="X2849">
        <v>0.99622500000000003</v>
      </c>
      <c r="Y2849">
        <v>-3.1046130000000002E-2</v>
      </c>
      <c r="Z2849">
        <v>7.2947099999999998E-4</v>
      </c>
      <c r="AA2849">
        <v>0.99951769999999995</v>
      </c>
      <c r="AB2849">
        <v>30</v>
      </c>
      <c r="AC2849">
        <v>14.6881</v>
      </c>
      <c r="AD2849">
        <v>-1.109053986543</v>
      </c>
      <c r="AE2849">
        <v>0.55109999999999004</v>
      </c>
      <c r="AF2849">
        <v>-0.46574048809011898</v>
      </c>
      <c r="AG2849">
        <v>-1.109053986543</v>
      </c>
      <c r="AH2849">
        <v>14.607803634593999</v>
      </c>
      <c r="AI2849">
        <v>94.339485558015795</v>
      </c>
      <c r="AJ2849">
        <v>91.826142280838994</v>
      </c>
      <c r="AK2849">
        <v>14.657245374700199</v>
      </c>
      <c r="AL2849">
        <v>85.784471973448504</v>
      </c>
      <c r="AM2849">
        <v>87.346196221765396</v>
      </c>
      <c r="AN2849">
        <v>0.99999997541951702</v>
      </c>
    </row>
    <row r="2850" spans="1:40" x14ac:dyDescent="0.25">
      <c r="A2850" t="str">
        <f>"20190312151327019"</f>
        <v>20190312151327019</v>
      </c>
      <c r="B2850" t="str">
        <f>"1552374807013113"</f>
        <v>1552374807013113</v>
      </c>
      <c r="C2850" t="s">
        <v>40</v>
      </c>
      <c r="D2850">
        <v>4.5465749999999998</v>
      </c>
      <c r="E2850">
        <v>0.50361909999999999</v>
      </c>
      <c r="F2850" t="s">
        <v>54</v>
      </c>
      <c r="G2850">
        <v>-393.87599999999998</v>
      </c>
      <c r="H2850" s="1">
        <v>5.2583219999999897E-7</v>
      </c>
      <c r="I2850">
        <v>212.75579999999999</v>
      </c>
      <c r="J2850">
        <v>-411.09210000000002</v>
      </c>
      <c r="K2850">
        <v>1.109092</v>
      </c>
      <c r="L2850">
        <v>213.4614</v>
      </c>
      <c r="M2850">
        <v>0.9999323</v>
      </c>
      <c r="N2850">
        <v>0</v>
      </c>
      <c r="O2850">
        <v>4.7531029999999998E-3</v>
      </c>
      <c r="P2850">
        <v>0.99714610000000004</v>
      </c>
      <c r="Q2850">
        <v>6.3343029999999995E-2</v>
      </c>
      <c r="R2850">
        <v>-4.1078499999999997E-2</v>
      </c>
      <c r="S2850">
        <v>3.0155940000000001</v>
      </c>
      <c r="T2850">
        <v>-0.19129189999999999</v>
      </c>
      <c r="U2850">
        <v>-0.12159730000000001</v>
      </c>
      <c r="V2850">
        <v>4.596654E-2</v>
      </c>
      <c r="W2850">
        <v>7.3828530000000003E-2</v>
      </c>
      <c r="X2850">
        <v>0.99621110000000002</v>
      </c>
      <c r="Y2850">
        <v>4.4939420000000001E-2</v>
      </c>
      <c r="Z2850">
        <v>-1.7244490000000001E-3</v>
      </c>
      <c r="AA2850">
        <v>0.99898819999999999</v>
      </c>
      <c r="AB2850">
        <v>30</v>
      </c>
      <c r="AC2850">
        <v>17.216100000000001</v>
      </c>
      <c r="AD2850">
        <v>-1.1090914741678</v>
      </c>
      <c r="AE2850">
        <v>-0.705600000000004</v>
      </c>
      <c r="AF2850">
        <v>0.78417753367270904</v>
      </c>
      <c r="AG2850">
        <v>-1.1090914741678</v>
      </c>
      <c r="AH2850">
        <v>17.141530672783301</v>
      </c>
      <c r="AI2850">
        <v>93.698134886738202</v>
      </c>
      <c r="AJ2850">
        <v>87.3807030493615</v>
      </c>
      <c r="AK2850">
        <v>17.1952636533541</v>
      </c>
      <c r="AL2850">
        <v>85.766084876761497</v>
      </c>
      <c r="AM2850">
        <v>87.358168302670805</v>
      </c>
      <c r="AN2850">
        <v>1.00000006520236</v>
      </c>
    </row>
    <row r="2851" spans="1:40" x14ac:dyDescent="0.25">
      <c r="A2851" t="str">
        <f>"20190312151327042"</f>
        <v>20190312151327042</v>
      </c>
      <c r="B2851" t="str">
        <f>"1552374807032632"</f>
        <v>1552374807032632</v>
      </c>
      <c r="C2851" t="s">
        <v>40</v>
      </c>
      <c r="D2851">
        <v>4.6354600000000001</v>
      </c>
      <c r="E2851">
        <v>0.50406470000000003</v>
      </c>
      <c r="F2851" t="s">
        <v>54</v>
      </c>
      <c r="G2851">
        <v>-394.42180000000002</v>
      </c>
      <c r="H2851" s="1">
        <v>8.1625409999999996E-7</v>
      </c>
      <c r="I2851">
        <v>212.63079999999999</v>
      </c>
      <c r="J2851">
        <v>-410.79899999999998</v>
      </c>
      <c r="K2851">
        <v>1.109132</v>
      </c>
      <c r="L2851">
        <v>213.46180000000001</v>
      </c>
      <c r="M2851">
        <v>0.99993620000000005</v>
      </c>
      <c r="N2851">
        <v>0</v>
      </c>
      <c r="O2851">
        <v>3.8397370000000002E-3</v>
      </c>
      <c r="P2851">
        <v>0.99713099999999999</v>
      </c>
      <c r="Q2851">
        <v>6.3105990000000001E-2</v>
      </c>
      <c r="R2851">
        <v>-4.180271E-2</v>
      </c>
      <c r="S2851">
        <v>3.0151669999999999</v>
      </c>
      <c r="T2851">
        <v>-0.2006019</v>
      </c>
      <c r="U2851">
        <v>-0.15022279999999999</v>
      </c>
      <c r="V2851">
        <v>4.577258E-2</v>
      </c>
      <c r="W2851">
        <v>7.3610250000000002E-2</v>
      </c>
      <c r="X2851">
        <v>0.99623609999999896</v>
      </c>
      <c r="Y2851">
        <v>5.3469080000000002E-2</v>
      </c>
      <c r="Z2851">
        <v>-2.0306550000000001E-3</v>
      </c>
      <c r="AA2851">
        <v>0.99856750000000005</v>
      </c>
      <c r="AB2851">
        <v>30</v>
      </c>
      <c r="AC2851">
        <v>16.377199999999998</v>
      </c>
      <c r="AD2851">
        <v>-1.1091311837458999</v>
      </c>
      <c r="AE2851">
        <v>-0.83100000000001695</v>
      </c>
      <c r="AF2851">
        <v>0.88981087765228295</v>
      </c>
      <c r="AG2851">
        <v>-1.1091311837458999</v>
      </c>
      <c r="AH2851">
        <v>16.299322512346802</v>
      </c>
      <c r="AI2851">
        <v>93.887073856065498</v>
      </c>
      <c r="AJ2851">
        <v>86.875216685030693</v>
      </c>
      <c r="AK2851">
        <v>16.361230080352801</v>
      </c>
      <c r="AL2851">
        <v>85.778625171610798</v>
      </c>
      <c r="AM2851">
        <v>87.369365981901694</v>
      </c>
      <c r="AN2851">
        <v>0.99999998246406396</v>
      </c>
    </row>
    <row r="2852" spans="1:40" x14ac:dyDescent="0.25">
      <c r="A2852" t="str">
        <f>"20190312151327064"</f>
        <v>20190312151327064</v>
      </c>
      <c r="B2852" t="str">
        <f>"1552374807053128"</f>
        <v>1552374807053128</v>
      </c>
      <c r="C2852" t="s">
        <v>40</v>
      </c>
      <c r="D2852">
        <v>4.6511550000000002</v>
      </c>
      <c r="E2852">
        <v>0.50417979999999996</v>
      </c>
      <c r="F2852" t="s">
        <v>41</v>
      </c>
      <c r="G2852">
        <v>-410.01319999999998</v>
      </c>
      <c r="H2852">
        <v>1.0522689999999999</v>
      </c>
      <c r="I2852">
        <v>213.42089999999999</v>
      </c>
      <c r="J2852">
        <v>-410.49290000000002</v>
      </c>
      <c r="K2852">
        <v>1.1091799999999901</v>
      </c>
      <c r="L2852">
        <v>213.46199999999999</v>
      </c>
      <c r="M2852">
        <v>0.99993909999999997</v>
      </c>
      <c r="N2852">
        <v>0</v>
      </c>
      <c r="O2852">
        <v>2.9395799999999998E-3</v>
      </c>
      <c r="P2852">
        <v>0.99709300000000001</v>
      </c>
      <c r="Q2852">
        <v>6.3080559999999994E-2</v>
      </c>
      <c r="R2852">
        <v>-4.2741389999999997E-2</v>
      </c>
      <c r="S2852">
        <v>3.0158390000000002</v>
      </c>
      <c r="T2852">
        <v>-0.21823999999999999</v>
      </c>
      <c r="U2852">
        <v>-0.15628049999999999</v>
      </c>
      <c r="V2852">
        <v>4.5805690000000003E-2</v>
      </c>
      <c r="W2852">
        <v>7.3606439999999995E-2</v>
      </c>
      <c r="X2852">
        <v>0.99623490000000003</v>
      </c>
      <c r="Y2852">
        <v>5.4536170000000002E-2</v>
      </c>
      <c r="Z2852">
        <v>-2.1816700000000001E-3</v>
      </c>
      <c r="AA2852">
        <v>0.99850939999999999</v>
      </c>
      <c r="AB2852">
        <v>30</v>
      </c>
      <c r="AC2852">
        <v>0.47970000000003599</v>
      </c>
      <c r="AD2852">
        <v>-5.6910999999999698E-2</v>
      </c>
      <c r="AE2852">
        <v>-4.1100000000028503E-2</v>
      </c>
      <c r="AF2852">
        <v>4.1924229124657299E-2</v>
      </c>
      <c r="AG2852">
        <v>-5.6910999999999698E-2</v>
      </c>
      <c r="AH2852">
        <v>0.47296851380148802</v>
      </c>
      <c r="AI2852">
        <v>96.8347132851911</v>
      </c>
      <c r="AJ2852">
        <v>84.934504876323004</v>
      </c>
      <c r="AK2852">
        <v>0.478221411018249</v>
      </c>
      <c r="AL2852">
        <v>85.7788442321133</v>
      </c>
      <c r="AM2852">
        <v>87.367462599029906</v>
      </c>
      <c r="AN2852">
        <v>1.0000000226119199</v>
      </c>
    </row>
    <row r="2853" spans="1:40" x14ac:dyDescent="0.25">
      <c r="A2853" t="str">
        <f>"20190312151327089"</f>
        <v>20190312151327089</v>
      </c>
      <c r="B2853" t="str">
        <f>"1552374807083384"</f>
        <v>1552374807083384</v>
      </c>
      <c r="C2853" t="s">
        <v>40</v>
      </c>
      <c r="D2853">
        <v>4.5506409999999997</v>
      </c>
      <c r="E2853">
        <v>0.50457010000000002</v>
      </c>
      <c r="F2853" t="s">
        <v>41</v>
      </c>
      <c r="G2853">
        <v>-409.74579999999997</v>
      </c>
      <c r="H2853">
        <v>1.0527329999999999</v>
      </c>
      <c r="I2853">
        <v>213.42230000000001</v>
      </c>
      <c r="J2853">
        <v>-410.17790000000002</v>
      </c>
      <c r="K2853">
        <v>1.109219</v>
      </c>
      <c r="L2853">
        <v>213.46199999999999</v>
      </c>
      <c r="M2853">
        <v>0.99994110000000003</v>
      </c>
      <c r="N2853">
        <v>0</v>
      </c>
      <c r="O2853">
        <v>2.0758700000000001E-3</v>
      </c>
      <c r="P2853">
        <v>0.99710650000000001</v>
      </c>
      <c r="Q2853">
        <v>6.2403960000000001E-2</v>
      </c>
      <c r="R2853">
        <v>-4.34142E-2</v>
      </c>
      <c r="S2853">
        <v>3.016327</v>
      </c>
      <c r="T2853">
        <v>-0.22787579999999999</v>
      </c>
      <c r="U2853">
        <v>-0.15956119999999999</v>
      </c>
      <c r="V2853">
        <v>4.5608330000000002E-2</v>
      </c>
      <c r="W2853">
        <v>7.2956850000000004E-2</v>
      </c>
      <c r="X2853">
        <v>0.9962917</v>
      </c>
      <c r="Y2853">
        <v>5.473683E-2</v>
      </c>
      <c r="Z2853">
        <v>-2.2197419999999998E-3</v>
      </c>
      <c r="AA2853">
        <v>0.99849829999999995</v>
      </c>
      <c r="AB2853">
        <v>30</v>
      </c>
      <c r="AC2853">
        <v>0.432100000000048</v>
      </c>
      <c r="AD2853">
        <v>-5.6486000000000001E-2</v>
      </c>
      <c r="AE2853">
        <v>-3.9700000000010498E-2</v>
      </c>
      <c r="AF2853">
        <v>3.99204639839277E-2</v>
      </c>
      <c r="AG2853">
        <v>-5.6486000000000001E-2</v>
      </c>
      <c r="AH2853">
        <v>0.42481776884751699</v>
      </c>
      <c r="AI2853">
        <v>97.541083234066704</v>
      </c>
      <c r="AJ2853">
        <v>84.631634742531404</v>
      </c>
      <c r="AK2853">
        <v>0.43041195193590298</v>
      </c>
      <c r="AL2853">
        <v>85.816163186861701</v>
      </c>
      <c r="AM2853">
        <v>87.378938618477207</v>
      </c>
      <c r="AN2853">
        <v>0.99999998660809997</v>
      </c>
    </row>
    <row r="2854" spans="1:40" x14ac:dyDescent="0.25">
      <c r="A2854" t="str">
        <f>"20190312151327111"</f>
        <v>20190312151327111</v>
      </c>
      <c r="B2854" t="str">
        <f>"1552374807102904"</f>
        <v>1552374807102904</v>
      </c>
      <c r="C2854" t="s">
        <v>40</v>
      </c>
      <c r="D2854">
        <v>4.5576369999999997</v>
      </c>
      <c r="E2854">
        <v>0.50536939999999997</v>
      </c>
      <c r="F2854" t="s">
        <v>41</v>
      </c>
      <c r="G2854">
        <v>-409.22219999999999</v>
      </c>
      <c r="H2854">
        <v>1.038184</v>
      </c>
      <c r="I2854">
        <v>213.40979999999999</v>
      </c>
      <c r="J2854">
        <v>-409.87279999999998</v>
      </c>
      <c r="K2854">
        <v>1.1092610000000001</v>
      </c>
      <c r="L2854">
        <v>213.46180000000001</v>
      </c>
      <c r="M2854">
        <v>0.99994209999999994</v>
      </c>
      <c r="N2854">
        <v>0</v>
      </c>
      <c r="O2854">
        <v>1.2915839999999999E-3</v>
      </c>
      <c r="P2854">
        <v>0.99708799999999997</v>
      </c>
      <c r="Q2854">
        <v>6.2459309999999997E-2</v>
      </c>
      <c r="R2854">
        <v>-4.3749799999999998E-2</v>
      </c>
      <c r="S2854">
        <v>3.015625</v>
      </c>
      <c r="T2854">
        <v>-0.2241706</v>
      </c>
      <c r="U2854">
        <v>-0.1643829</v>
      </c>
      <c r="V2854">
        <v>4.515537E-2</v>
      </c>
      <c r="W2854">
        <v>7.3038640000000002E-2</v>
      </c>
      <c r="X2854">
        <v>0.99630640000000004</v>
      </c>
      <c r="Y2854">
        <v>5.5562889999999997E-2</v>
      </c>
      <c r="Z2854">
        <v>-2.1566179999999999E-3</v>
      </c>
      <c r="AA2854">
        <v>0.99845280000000003</v>
      </c>
      <c r="AB2854">
        <v>30</v>
      </c>
      <c r="AC2854">
        <v>0.65059999999999696</v>
      </c>
      <c r="AD2854">
        <v>-7.1077000000000001E-2</v>
      </c>
      <c r="AE2854">
        <v>-5.2000000000020898E-2</v>
      </c>
      <c r="AF2854">
        <v>5.2220996862184198E-2</v>
      </c>
      <c r="AG2854">
        <v>-7.1077000000000001E-2</v>
      </c>
      <c r="AH2854">
        <v>0.64290775908793396</v>
      </c>
      <c r="AI2854">
        <v>96.288201831371595</v>
      </c>
      <c r="AJ2854">
        <v>85.356272497906303</v>
      </c>
      <c r="AK2854">
        <v>0.64892939457058696</v>
      </c>
      <c r="AL2854">
        <v>85.811464680622606</v>
      </c>
      <c r="AM2854">
        <v>87.404972212428305</v>
      </c>
      <c r="AN2854">
        <v>1.0000000465269201</v>
      </c>
    </row>
    <row r="2855" spans="1:40" x14ac:dyDescent="0.25">
      <c r="A2855" t="str">
        <f>"20190312151327133"</f>
        <v>20190312151327133</v>
      </c>
      <c r="B2855" t="str">
        <f>"1552374807123400"</f>
        <v>1552374807123400</v>
      </c>
      <c r="C2855" t="s">
        <v>40</v>
      </c>
      <c r="D2855">
        <v>4.5851839999999999</v>
      </c>
      <c r="E2855">
        <v>0.50601569999999996</v>
      </c>
      <c r="F2855" t="s">
        <v>41</v>
      </c>
      <c r="G2855">
        <v>-408.95269999999999</v>
      </c>
      <c r="H2855">
        <v>1.0423770000000001</v>
      </c>
      <c r="I2855">
        <v>213.4091</v>
      </c>
      <c r="J2855">
        <v>-409.5847</v>
      </c>
      <c r="K2855">
        <v>1.1092959999999901</v>
      </c>
      <c r="L2855">
        <v>213.4614</v>
      </c>
      <c r="M2855">
        <v>0.99994249999999996</v>
      </c>
      <c r="N2855">
        <v>0</v>
      </c>
      <c r="O2855">
        <v>5.8740859999999997E-4</v>
      </c>
      <c r="P2855">
        <v>0.9970639</v>
      </c>
      <c r="Q2855">
        <v>6.2531610000000001E-2</v>
      </c>
      <c r="R2855">
        <v>-4.419849E-2</v>
      </c>
      <c r="S2855">
        <v>3.0149840000000001</v>
      </c>
      <c r="T2855">
        <v>-0.21926010000000001</v>
      </c>
      <c r="U2855">
        <v>-0.1720428</v>
      </c>
      <c r="V2855">
        <v>4.4896480000000002E-2</v>
      </c>
      <c r="W2855">
        <v>7.3135169999999999E-2</v>
      </c>
      <c r="X2855">
        <v>0.9963109</v>
      </c>
      <c r="Y2855">
        <v>5.7403759999999998E-2</v>
      </c>
      <c r="Z2855">
        <v>-2.1254899999999998E-3</v>
      </c>
      <c r="AA2855">
        <v>0.99834880000000004</v>
      </c>
      <c r="AB2855">
        <v>30</v>
      </c>
      <c r="AC2855">
        <v>0.632000000000005</v>
      </c>
      <c r="AD2855">
        <v>-6.6918999999999701E-2</v>
      </c>
      <c r="AE2855">
        <v>-5.23000000000024E-2</v>
      </c>
      <c r="AF2855">
        <v>5.20912048275897E-2</v>
      </c>
      <c r="AG2855">
        <v>-6.6918999999999701E-2</v>
      </c>
      <c r="AH2855">
        <v>0.62500951754937695</v>
      </c>
      <c r="AI2855">
        <v>96.0903501335615</v>
      </c>
      <c r="AJ2855">
        <v>85.235713898123194</v>
      </c>
      <c r="AK2855">
        <v>0.63073650854274699</v>
      </c>
      <c r="AL2855">
        <v>85.805918590994096</v>
      </c>
      <c r="AM2855">
        <v>87.419841800337906</v>
      </c>
      <c r="AN2855">
        <v>0.99999992823306205</v>
      </c>
    </row>
    <row r="2856" spans="1:40" x14ac:dyDescent="0.25">
      <c r="A2856" t="str">
        <f>"20190312151327154"</f>
        <v>20190312151327154</v>
      </c>
      <c r="B2856" t="str">
        <f>"1552374807143896"</f>
        <v>1552374807143896</v>
      </c>
      <c r="C2856" t="s">
        <v>40</v>
      </c>
      <c r="D2856">
        <v>4.5561790000000002</v>
      </c>
      <c r="E2856">
        <v>0.50650450000000002</v>
      </c>
      <c r="F2856" t="s">
        <v>41</v>
      </c>
      <c r="G2856">
        <v>-408.68369999999999</v>
      </c>
      <c r="H2856">
        <v>1.0450980000000001</v>
      </c>
      <c r="I2856">
        <v>213.40770000000001</v>
      </c>
      <c r="J2856">
        <v>-409.29689999999999</v>
      </c>
      <c r="K2856">
        <v>1.1093230000000001</v>
      </c>
      <c r="L2856">
        <v>213.46080000000001</v>
      </c>
      <c r="M2856">
        <v>0.99994249999999996</v>
      </c>
      <c r="N2856">
        <v>0</v>
      </c>
      <c r="O2856" s="1">
        <v>-8.12981E-5</v>
      </c>
      <c r="P2856">
        <v>0.99706430000000001</v>
      </c>
      <c r="Q2856">
        <v>6.2362540000000001E-2</v>
      </c>
      <c r="R2856">
        <v>-4.442923E-2</v>
      </c>
      <c r="S2856">
        <v>3.0144039999999999</v>
      </c>
      <c r="T2856">
        <v>-0.2149364</v>
      </c>
      <c r="U2856">
        <v>-0.1787262</v>
      </c>
      <c r="V2856">
        <v>4.4455450000000001E-2</v>
      </c>
      <c r="W2856">
        <v>7.2989180000000001E-2</v>
      </c>
      <c r="X2856">
        <v>0.99634149999999999</v>
      </c>
      <c r="Y2856">
        <v>5.8956670000000003E-2</v>
      </c>
      <c r="Z2856">
        <v>-2.091613E-3</v>
      </c>
      <c r="AA2856">
        <v>0.99825839999999999</v>
      </c>
      <c r="AB2856">
        <v>30</v>
      </c>
      <c r="AC2856">
        <v>0.61320000000000596</v>
      </c>
      <c r="AD2856">
        <v>-6.4225000000000199E-2</v>
      </c>
      <c r="AE2856">
        <v>-5.3100000000000501E-2</v>
      </c>
      <c r="AF2856">
        <v>5.2478741510838797E-2</v>
      </c>
      <c r="AG2856">
        <v>-6.4225000000000199E-2</v>
      </c>
      <c r="AH2856">
        <v>0.60659948753225001</v>
      </c>
      <c r="AI2856">
        <v>96.021469363034399</v>
      </c>
      <c r="AJ2856">
        <v>85.055481446551099</v>
      </c>
      <c r="AK2856">
        <v>0.61224325819885494</v>
      </c>
      <c r="AL2856">
        <v>85.814306111654105</v>
      </c>
      <c r="AM2856">
        <v>87.445231988829093</v>
      </c>
      <c r="AN2856">
        <v>1.00000004602701</v>
      </c>
    </row>
    <row r="2857" spans="1:40" x14ac:dyDescent="0.25">
      <c r="A2857" t="str">
        <f>"20190312151327177"</f>
        <v>20190312151327177</v>
      </c>
      <c r="B2857" t="str">
        <f>"1552374807172708"</f>
        <v>1552374807172708</v>
      </c>
      <c r="C2857" t="s">
        <v>40</v>
      </c>
      <c r="D2857">
        <v>4.5864880000000001</v>
      </c>
      <c r="E2857">
        <v>0.50700529999999999</v>
      </c>
      <c r="F2857" t="s">
        <v>41</v>
      </c>
      <c r="G2857">
        <v>-408.4144</v>
      </c>
      <c r="H2857">
        <v>1.0468850000000001</v>
      </c>
      <c r="I2857">
        <v>213.40690000000001</v>
      </c>
      <c r="J2857">
        <v>-408.99209999999999</v>
      </c>
      <c r="K2857">
        <v>1.1093470000000001</v>
      </c>
      <c r="L2857">
        <v>213.46010000000001</v>
      </c>
      <c r="M2857">
        <v>0.99994190000000005</v>
      </c>
      <c r="N2857">
        <v>0</v>
      </c>
      <c r="O2857">
        <v>-7.5167409999999995E-4</v>
      </c>
      <c r="P2857">
        <v>0.99708410000000003</v>
      </c>
      <c r="Q2857">
        <v>6.2001500000000001E-2</v>
      </c>
      <c r="R2857">
        <v>-4.4487159999999998E-2</v>
      </c>
      <c r="S2857">
        <v>3.014008</v>
      </c>
      <c r="T2857">
        <v>-0.21327950000000001</v>
      </c>
      <c r="U2857">
        <v>-0.18331910000000001</v>
      </c>
      <c r="V2857">
        <v>4.3839690000000001E-2</v>
      </c>
      <c r="W2857">
        <v>7.2653419999999996E-2</v>
      </c>
      <c r="X2857">
        <v>0.99639330000000004</v>
      </c>
      <c r="Y2857">
        <v>5.9812700000000003E-2</v>
      </c>
      <c r="Z2857">
        <v>-2.0585909999999998E-3</v>
      </c>
      <c r="AA2857">
        <v>0.99820750000000003</v>
      </c>
      <c r="AB2857">
        <v>30</v>
      </c>
      <c r="AC2857">
        <v>0.577699999999992</v>
      </c>
      <c r="AD2857">
        <v>-6.2461999999999802E-2</v>
      </c>
      <c r="AE2857">
        <v>-5.3200000000003897E-2</v>
      </c>
      <c r="AF2857">
        <v>5.2161065018987603E-2</v>
      </c>
      <c r="AG2857">
        <v>-6.2461999999999802E-2</v>
      </c>
      <c r="AH2857">
        <v>0.57111939408631596</v>
      </c>
      <c r="AI2857">
        <v>96.215832807898593</v>
      </c>
      <c r="AJ2857">
        <v>84.781580657106801</v>
      </c>
      <c r="AK2857">
        <v>0.57688789244482797</v>
      </c>
      <c r="AL2857">
        <v>85.8335948577583</v>
      </c>
      <c r="AM2857">
        <v>87.480703408463995</v>
      </c>
      <c r="AN2857">
        <v>1.00000002307094</v>
      </c>
    </row>
    <row r="2858" spans="1:40" x14ac:dyDescent="0.25">
      <c r="A2858" t="str">
        <f>"20190312151327198"</f>
        <v>20190312151327198</v>
      </c>
      <c r="B2858" t="str">
        <f>"1552374807193203"</f>
        <v>1552374807193203</v>
      </c>
      <c r="C2858" t="s">
        <v>40</v>
      </c>
      <c r="D2858">
        <v>4.5832369999999996</v>
      </c>
      <c r="E2858">
        <v>0.50712820000000003</v>
      </c>
      <c r="F2858" t="s">
        <v>41</v>
      </c>
      <c r="G2858">
        <v>-408.1438</v>
      </c>
      <c r="H2858">
        <v>1.049803</v>
      </c>
      <c r="I2858">
        <v>213.4068</v>
      </c>
      <c r="J2858">
        <v>-408.71460000000002</v>
      </c>
      <c r="K2858">
        <v>1.109372</v>
      </c>
      <c r="L2858">
        <v>213.45920000000001</v>
      </c>
      <c r="M2858">
        <v>0.99994110000000003</v>
      </c>
      <c r="N2858">
        <v>0</v>
      </c>
      <c r="O2858">
        <v>-1.3286070000000001E-3</v>
      </c>
      <c r="P2858">
        <v>0.99707449999999997</v>
      </c>
      <c r="Q2858">
        <v>6.1878629999999997E-2</v>
      </c>
      <c r="R2858">
        <v>-4.4872820000000001E-2</v>
      </c>
      <c r="S2858">
        <v>3.0135190000000001</v>
      </c>
      <c r="T2858">
        <v>-0.21161559999999999</v>
      </c>
      <c r="U2858">
        <v>-0.18771360000000001</v>
      </c>
      <c r="V2858">
        <v>4.3645179999999999E-2</v>
      </c>
      <c r="W2858">
        <v>7.2555449999999994E-2</v>
      </c>
      <c r="X2858">
        <v>0.99640890000000004</v>
      </c>
      <c r="Y2858">
        <v>6.0698200000000001E-2</v>
      </c>
      <c r="Z2858">
        <v>-2.0334049999999998E-3</v>
      </c>
      <c r="AA2858">
        <v>0.99815410000000004</v>
      </c>
      <c r="AB2858">
        <v>30</v>
      </c>
      <c r="AC2858">
        <v>0.57080000000001896</v>
      </c>
      <c r="AD2858">
        <v>-5.95689999999999E-2</v>
      </c>
      <c r="AE2858">
        <v>-5.2400000000005699E-2</v>
      </c>
      <c r="AF2858">
        <v>5.1089765948754702E-2</v>
      </c>
      <c r="AG2858">
        <v>-5.95689999999999E-2</v>
      </c>
      <c r="AH2858">
        <v>0.56476954785050004</v>
      </c>
      <c r="AI2858">
        <v>95.9966968053768</v>
      </c>
      <c r="AJ2858">
        <v>84.831020516310303</v>
      </c>
      <c r="AK2858">
        <v>0.57019581910511896</v>
      </c>
      <c r="AL2858">
        <v>85.839222655603393</v>
      </c>
      <c r="AM2858">
        <v>87.491906053956399</v>
      </c>
      <c r="AN2858">
        <v>0.99999994553057003</v>
      </c>
    </row>
    <row r="2859" spans="1:40" x14ac:dyDescent="0.25">
      <c r="A2859" t="str">
        <f>"20190312151327221"</f>
        <v>20190312151327221</v>
      </c>
      <c r="B2859" t="str">
        <f>"1552374807212723"</f>
        <v>1552374807212723</v>
      </c>
      <c r="C2859" t="s">
        <v>40</v>
      </c>
      <c r="D2859">
        <v>4.5918229999999998</v>
      </c>
      <c r="E2859">
        <v>0.50720220000000005</v>
      </c>
      <c r="F2859" t="s">
        <v>41</v>
      </c>
      <c r="G2859">
        <v>-407.87529999999998</v>
      </c>
      <c r="H2859">
        <v>1.0504070000000001</v>
      </c>
      <c r="I2859">
        <v>213.40629999999999</v>
      </c>
      <c r="J2859">
        <v>-408.40499999999997</v>
      </c>
      <c r="K2859">
        <v>1.109413</v>
      </c>
      <c r="L2859">
        <v>213.4581</v>
      </c>
      <c r="M2859">
        <v>0.99994000000000005</v>
      </c>
      <c r="N2859">
        <v>0</v>
      </c>
      <c r="O2859">
        <v>-1.933365E-3</v>
      </c>
      <c r="P2859">
        <v>0.99707579999999996</v>
      </c>
      <c r="Q2859">
        <v>6.1434910000000002E-2</v>
      </c>
      <c r="R2859">
        <v>-4.545275E-2</v>
      </c>
      <c r="S2859">
        <v>3.0133969999999999</v>
      </c>
      <c r="T2859">
        <v>-0.21179020000000001</v>
      </c>
      <c r="U2859">
        <v>-0.1899719</v>
      </c>
      <c r="V2859">
        <v>4.3615479999999998E-2</v>
      </c>
      <c r="W2859">
        <v>7.214168E-2</v>
      </c>
      <c r="X2859">
        <v>0.99644029999999995</v>
      </c>
      <c r="Y2859">
        <v>6.0843040000000001E-2</v>
      </c>
      <c r="Z2859">
        <v>-1.997782E-3</v>
      </c>
      <c r="AA2859">
        <v>0.99814530000000001</v>
      </c>
      <c r="AB2859">
        <v>30</v>
      </c>
      <c r="AC2859">
        <v>0.52969999999999096</v>
      </c>
      <c r="AD2859">
        <v>-5.90060000000001E-2</v>
      </c>
      <c r="AE2859">
        <v>-5.1800000000014203E-2</v>
      </c>
      <c r="AF2859">
        <v>5.0159216648032197E-2</v>
      </c>
      <c r="AG2859">
        <v>-5.90060000000001E-2</v>
      </c>
      <c r="AH2859">
        <v>0.52336629546590097</v>
      </c>
      <c r="AI2859">
        <v>96.403451537580906</v>
      </c>
      <c r="AJ2859">
        <v>84.525515987879203</v>
      </c>
      <c r="AK2859">
        <v>0.52906515126253095</v>
      </c>
      <c r="AL2859">
        <v>85.862992455174407</v>
      </c>
      <c r="AM2859">
        <v>87.493689484392803</v>
      </c>
      <c r="AN2859">
        <v>1.0000000017764701</v>
      </c>
    </row>
    <row r="2860" spans="1:40" x14ac:dyDescent="0.25">
      <c r="A2860" t="str">
        <f>"20190312151327242"</f>
        <v>20190312151327242</v>
      </c>
      <c r="B2860" t="str">
        <f>"1552374807233219"</f>
        <v>1552374807233219</v>
      </c>
      <c r="C2860" t="s">
        <v>40</v>
      </c>
      <c r="D2860">
        <v>4.6069839999999997</v>
      </c>
      <c r="E2860">
        <v>0.50740620000000003</v>
      </c>
      <c r="F2860" t="s">
        <v>41</v>
      </c>
      <c r="G2860">
        <v>-407.60419999999999</v>
      </c>
      <c r="H2860">
        <v>1.0536730000000001</v>
      </c>
      <c r="I2860">
        <v>213.40649999999999</v>
      </c>
      <c r="J2860">
        <v>-408.11579999999998</v>
      </c>
      <c r="K2860">
        <v>1.1094539999999999</v>
      </c>
      <c r="L2860">
        <v>213.45699999999999</v>
      </c>
      <c r="M2860">
        <v>0.99993849999999995</v>
      </c>
      <c r="N2860">
        <v>0</v>
      </c>
      <c r="O2860">
        <v>-2.4560739999999999E-3</v>
      </c>
      <c r="P2860">
        <v>0.99704610000000005</v>
      </c>
      <c r="Q2860">
        <v>6.145391E-2</v>
      </c>
      <c r="R2860">
        <v>-4.606996E-2</v>
      </c>
      <c r="S2860">
        <v>3.0129389999999998</v>
      </c>
      <c r="T2860">
        <v>-0.20996629999999999</v>
      </c>
      <c r="U2860">
        <v>-0.19233700000000001</v>
      </c>
      <c r="V2860">
        <v>4.3705720000000003E-2</v>
      </c>
      <c r="W2860">
        <v>7.2187829999999995E-2</v>
      </c>
      <c r="X2860">
        <v>0.99643300000000001</v>
      </c>
      <c r="Y2860">
        <v>6.111424E-2</v>
      </c>
      <c r="Z2860">
        <v>-1.9539510000000002E-3</v>
      </c>
      <c r="AA2860">
        <v>0.99812889999999999</v>
      </c>
      <c r="AB2860">
        <v>30</v>
      </c>
      <c r="AC2860">
        <v>0.51159999999998695</v>
      </c>
      <c r="AD2860">
        <v>-5.5781000000000303E-2</v>
      </c>
      <c r="AE2860">
        <v>-5.0499999999999497E-2</v>
      </c>
      <c r="AF2860">
        <v>4.8670234570450603E-2</v>
      </c>
      <c r="AG2860">
        <v>-5.5781000000000303E-2</v>
      </c>
      <c r="AH2860">
        <v>0.50576790856005804</v>
      </c>
      <c r="AI2860">
        <v>96.264989901671299</v>
      </c>
      <c r="AJ2860">
        <v>84.503330967790703</v>
      </c>
      <c r="AK2860">
        <v>0.51115701014791703</v>
      </c>
      <c r="AL2860">
        <v>85.860341327633094</v>
      </c>
      <c r="AM2860">
        <v>87.488492209515996</v>
      </c>
      <c r="AN2860">
        <v>0.99999999812491303</v>
      </c>
    </row>
    <row r="2861" spans="1:40" x14ac:dyDescent="0.25">
      <c r="A2861" t="str">
        <f>"20190312151327265"</f>
        <v>20190312151327265</v>
      </c>
      <c r="B2861" t="str">
        <f>"1552374807263005"</f>
        <v>1552374807263005</v>
      </c>
      <c r="C2861" t="s">
        <v>40</v>
      </c>
      <c r="D2861">
        <v>4.5831150000000003</v>
      </c>
      <c r="E2861">
        <v>0.50770539999999997</v>
      </c>
      <c r="F2861" t="s">
        <v>54</v>
      </c>
      <c r="G2861">
        <v>-392.08260000000001</v>
      </c>
      <c r="H2861" s="1">
        <v>-4.2850779999999998E-7</v>
      </c>
      <c r="I2861">
        <v>212.4145</v>
      </c>
      <c r="J2861">
        <v>-407.80560000000003</v>
      </c>
      <c r="K2861">
        <v>1.1094980000000001</v>
      </c>
      <c r="L2861">
        <v>213.45570000000001</v>
      </c>
      <c r="M2861">
        <v>0.99993690000000002</v>
      </c>
      <c r="N2861">
        <v>0</v>
      </c>
      <c r="O2861">
        <v>-2.9651E-3</v>
      </c>
      <c r="P2861">
        <v>0.99702349999999995</v>
      </c>
      <c r="Q2861">
        <v>6.1419939999999999E-2</v>
      </c>
      <c r="R2861">
        <v>-4.6605010000000002E-2</v>
      </c>
      <c r="S2861">
        <v>3.0127259999999998</v>
      </c>
      <c r="T2861">
        <v>-0.20847379999999999</v>
      </c>
      <c r="U2861">
        <v>-0.19589229999999999</v>
      </c>
      <c r="V2861">
        <v>4.3725729999999997E-2</v>
      </c>
      <c r="W2861">
        <v>7.21826E-2</v>
      </c>
      <c r="X2861">
        <v>0.99643250000000005</v>
      </c>
      <c r="Y2861">
        <v>6.178525E-2</v>
      </c>
      <c r="Z2861">
        <v>-1.928178E-3</v>
      </c>
      <c r="AA2861">
        <v>0.99808759999999996</v>
      </c>
      <c r="AB2861">
        <v>30</v>
      </c>
      <c r="AC2861">
        <v>15.723000000000001</v>
      </c>
      <c r="AD2861">
        <v>-1.10949842850779</v>
      </c>
      <c r="AE2861">
        <v>-1.0411999999999999</v>
      </c>
      <c r="AF2861">
        <v>0.98966592914010998</v>
      </c>
      <c r="AG2861">
        <v>-1.10949842850779</v>
      </c>
      <c r="AH2861">
        <v>15.6484377065287</v>
      </c>
      <c r="AI2861">
        <v>94.047513084170902</v>
      </c>
      <c r="AJ2861">
        <v>86.3812195031784</v>
      </c>
      <c r="AK2861">
        <v>15.718906707187699</v>
      </c>
      <c r="AL2861">
        <v>85.860641764217704</v>
      </c>
      <c r="AM2861">
        <v>87.487342567967204</v>
      </c>
      <c r="AN2861">
        <v>0.99999999713152099</v>
      </c>
    </row>
    <row r="2862" spans="1:40" x14ac:dyDescent="0.25">
      <c r="A2862" t="str">
        <f>"20190312151327288"</f>
        <v>20190312151327288</v>
      </c>
      <c r="B2862" t="str">
        <f>"1552374807283501"</f>
        <v>1552374807283501</v>
      </c>
      <c r="C2862" t="s">
        <v>40</v>
      </c>
      <c r="D2862">
        <v>4.6137949999999996</v>
      </c>
      <c r="E2862">
        <v>0.50782749999999999</v>
      </c>
      <c r="F2862" t="s">
        <v>41</v>
      </c>
      <c r="G2862">
        <v>-406.8091</v>
      </c>
      <c r="H2862">
        <v>1.0404739999999999</v>
      </c>
      <c r="I2862">
        <v>213.38929999999999</v>
      </c>
      <c r="J2862">
        <v>-407.4982</v>
      </c>
      <c r="K2862">
        <v>1.1095489999999999</v>
      </c>
      <c r="L2862">
        <v>213.45429999999999</v>
      </c>
      <c r="M2862">
        <v>0.99993520000000002</v>
      </c>
      <c r="N2862">
        <v>0</v>
      </c>
      <c r="O2862">
        <v>-3.4057520000000002E-3</v>
      </c>
      <c r="P2862">
        <v>0.99702389999999996</v>
      </c>
      <c r="Q2862">
        <v>6.128633E-2</v>
      </c>
      <c r="R2862">
        <v>-4.6771550000000002E-2</v>
      </c>
      <c r="S2862">
        <v>3.0124819999999999</v>
      </c>
      <c r="T2862">
        <v>-0.20878830000000001</v>
      </c>
      <c r="U2862">
        <v>-0.19998170000000001</v>
      </c>
      <c r="V2862">
        <v>4.3444629999999998E-2</v>
      </c>
      <c r="W2862">
        <v>7.2076050000000003E-2</v>
      </c>
      <c r="X2862">
        <v>0.99645249999999996</v>
      </c>
      <c r="Y2862">
        <v>6.2698110000000001E-2</v>
      </c>
      <c r="Z2862">
        <v>-1.9322409999999999E-3</v>
      </c>
      <c r="AA2862">
        <v>0.99803070000000005</v>
      </c>
      <c r="AB2862">
        <v>30</v>
      </c>
      <c r="AC2862">
        <v>0.68909999999999605</v>
      </c>
      <c r="AD2862">
        <v>-6.9074999999999998E-2</v>
      </c>
      <c r="AE2862">
        <v>-6.4999999999997699E-2</v>
      </c>
      <c r="AF2862">
        <v>6.2034755955963701E-2</v>
      </c>
      <c r="AG2862">
        <v>-6.9074999999999998E-2</v>
      </c>
      <c r="AH2862">
        <v>0.68251994594450305</v>
      </c>
      <c r="AI2862">
        <v>95.755426040832205</v>
      </c>
      <c r="AJ2862">
        <v>84.806612822622498</v>
      </c>
      <c r="AK2862">
        <v>0.68880559171917599</v>
      </c>
      <c r="AL2862">
        <v>85.866762538024702</v>
      </c>
      <c r="AM2862">
        <v>87.503525253152404</v>
      </c>
      <c r="AN2862">
        <v>0.99999998880784402</v>
      </c>
    </row>
    <row r="2863" spans="1:40" x14ac:dyDescent="0.25">
      <c r="A2863" t="str">
        <f>"20190312151327333"</f>
        <v>20190312151327333</v>
      </c>
      <c r="B2863" t="str">
        <f>"1552374807323518"</f>
        <v>1552374807323518</v>
      </c>
      <c r="C2863" t="s">
        <v>40</v>
      </c>
      <c r="D2863">
        <v>5.5949629999999999</v>
      </c>
      <c r="E2863">
        <v>0.50782640000000001</v>
      </c>
      <c r="F2863" t="s">
        <v>41</v>
      </c>
      <c r="G2863">
        <v>-406.53910000000002</v>
      </c>
      <c r="H2863">
        <v>1.0431870000000001</v>
      </c>
      <c r="I2863">
        <v>213.39</v>
      </c>
      <c r="J2863">
        <v>-406.90350000000001</v>
      </c>
      <c r="K2863">
        <v>1.1096360000000001</v>
      </c>
      <c r="L2863">
        <v>213.45140000000001</v>
      </c>
      <c r="M2863">
        <v>0.99993209999999999</v>
      </c>
      <c r="N2863">
        <v>0</v>
      </c>
      <c r="O2863">
        <v>-4.1163889999999998E-3</v>
      </c>
      <c r="P2863">
        <v>0.99705469999999896</v>
      </c>
      <c r="Q2863">
        <v>6.1045889999999998E-2</v>
      </c>
      <c r="R2863">
        <v>-4.642868E-2</v>
      </c>
      <c r="S2863">
        <v>3.0123289999999998</v>
      </c>
      <c r="T2863">
        <v>-0.2085032</v>
      </c>
      <c r="U2863">
        <v>-0.20150760000000001</v>
      </c>
      <c r="V2863">
        <v>4.2378600000000002E-2</v>
      </c>
      <c r="W2863">
        <v>7.1889170000000002E-2</v>
      </c>
      <c r="X2863">
        <v>0.99651190000000001</v>
      </c>
      <c r="Y2863">
        <v>6.2498020000000001E-2</v>
      </c>
      <c r="Z2863">
        <v>-1.8736919999999999E-3</v>
      </c>
      <c r="AA2863">
        <v>0.99804340000000002</v>
      </c>
      <c r="AB2863">
        <v>30</v>
      </c>
      <c r="AC2863">
        <v>0.36439999999998901</v>
      </c>
      <c r="AD2863">
        <v>-6.6448999999999897E-2</v>
      </c>
      <c r="AE2863">
        <v>-6.1400000000020299E-2</v>
      </c>
      <c r="AF2863">
        <v>5.8023244146096199E-2</v>
      </c>
      <c r="AG2863">
        <v>-6.6448999999999897E-2</v>
      </c>
      <c r="AH2863">
        <v>0.35322832376241098</v>
      </c>
      <c r="AI2863">
        <v>100.516189451524</v>
      </c>
      <c r="AJ2863">
        <v>80.671585442464405</v>
      </c>
      <c r="AK2863">
        <v>0.36407748511853899</v>
      </c>
      <c r="AL2863">
        <v>85.877497796632696</v>
      </c>
      <c r="AM2863">
        <v>87.564853237940696</v>
      </c>
      <c r="AN2863">
        <v>0.99999998267142898</v>
      </c>
    </row>
    <row r="2864" spans="1:40" x14ac:dyDescent="0.25">
      <c r="A2864" t="str">
        <f>"20190312151327355"</f>
        <v>20190312151327355</v>
      </c>
      <c r="B2864" t="str">
        <f>"1552374807353305"</f>
        <v>1552374807353305</v>
      </c>
      <c r="C2864" t="s">
        <v>40</v>
      </c>
      <c r="D2864">
        <v>4.735309</v>
      </c>
      <c r="E2864">
        <v>0.5080228</v>
      </c>
      <c r="F2864" t="s">
        <v>41</v>
      </c>
      <c r="G2864">
        <v>-405.99869999999999</v>
      </c>
      <c r="H2864">
        <v>1.046845</v>
      </c>
      <c r="I2864">
        <v>213.39089999999999</v>
      </c>
      <c r="J2864">
        <v>-406.6001</v>
      </c>
      <c r="K2864">
        <v>1.1096710000000001</v>
      </c>
      <c r="L2864">
        <v>213.44980000000001</v>
      </c>
      <c r="M2864">
        <v>0.99993050000000006</v>
      </c>
      <c r="N2864">
        <v>0</v>
      </c>
      <c r="O2864">
        <v>-4.4010029999999997E-3</v>
      </c>
      <c r="P2864">
        <v>0.99704930000000003</v>
      </c>
      <c r="Q2864">
        <v>6.095656E-2</v>
      </c>
      <c r="R2864">
        <v>-4.6658619999999998E-2</v>
      </c>
      <c r="S2864">
        <v>3.0123289999999998</v>
      </c>
      <c r="T2864">
        <v>-0.20909440000000001</v>
      </c>
      <c r="U2864">
        <v>-0.20077510000000001</v>
      </c>
      <c r="V2864">
        <v>4.2317929999999997E-2</v>
      </c>
      <c r="W2864">
        <v>7.1828749999999997E-2</v>
      </c>
      <c r="X2864">
        <v>0.99651889999999999</v>
      </c>
      <c r="Y2864">
        <v>6.1973510000000002E-2</v>
      </c>
      <c r="Z2864">
        <v>-1.8411339999999999E-3</v>
      </c>
      <c r="AA2864">
        <v>0.99807610000000002</v>
      </c>
      <c r="AB2864">
        <v>30</v>
      </c>
      <c r="AC2864">
        <v>0.60140000000001204</v>
      </c>
      <c r="AD2864">
        <v>-6.2825999999999799E-2</v>
      </c>
      <c r="AE2864">
        <v>-5.8900000000022601E-2</v>
      </c>
      <c r="AF2864">
        <v>5.5650948344318003E-2</v>
      </c>
      <c r="AG2864">
        <v>-6.2825999999999799E-2</v>
      </c>
      <c r="AH2864">
        <v>0.59521937811602299</v>
      </c>
      <c r="AI2864">
        <v>95.999343998670597</v>
      </c>
      <c r="AJ2864">
        <v>84.658571346343606</v>
      </c>
      <c r="AK2864">
        <v>0.60110751318915201</v>
      </c>
      <c r="AL2864">
        <v>85.880968846982299</v>
      </c>
      <c r="AM2864">
        <v>87.568352312690195</v>
      </c>
      <c r="AN2864">
        <v>1.00000004729162</v>
      </c>
    </row>
    <row r="2865" spans="1:40" x14ac:dyDescent="0.25">
      <c r="A2865" t="str">
        <f>"20190312151327377"</f>
        <v>20190312151327377</v>
      </c>
      <c r="B2865" t="str">
        <f>"1552374807372824"</f>
        <v>1552374807372824</v>
      </c>
      <c r="C2865" t="s">
        <v>40</v>
      </c>
      <c r="D2865">
        <v>4.6295440000000001</v>
      </c>
      <c r="E2865">
        <v>0.50928699999999905</v>
      </c>
      <c r="F2865" t="s">
        <v>54</v>
      </c>
      <c r="G2865">
        <v>-374.6497</v>
      </c>
      <c r="H2865" s="1">
        <v>9.3756209999999998E-7</v>
      </c>
      <c r="I2865">
        <v>211.29239999999999</v>
      </c>
      <c r="J2865">
        <v>-406.30509999999998</v>
      </c>
      <c r="K2865">
        <v>1.1097109999999999</v>
      </c>
      <c r="L2865">
        <v>213.44820000000001</v>
      </c>
      <c r="M2865">
        <v>0.99992939999999997</v>
      </c>
      <c r="N2865">
        <v>0</v>
      </c>
      <c r="O2865">
        <v>-4.6279390000000002E-3</v>
      </c>
      <c r="P2865">
        <v>0.99705560000000004</v>
      </c>
      <c r="Q2865">
        <v>6.0740229999999999E-2</v>
      </c>
      <c r="R2865">
        <v>-4.6809580000000003E-2</v>
      </c>
      <c r="S2865">
        <v>3.005798</v>
      </c>
      <c r="T2865">
        <v>-0.10439470000000001</v>
      </c>
      <c r="U2865">
        <v>-0.2029572</v>
      </c>
      <c r="V2865">
        <v>4.223582E-2</v>
      </c>
      <c r="W2865">
        <v>7.1642789999999998E-2</v>
      </c>
      <c r="X2865">
        <v>0.99653570000000002</v>
      </c>
      <c r="Y2865">
        <v>6.2715199999999999E-2</v>
      </c>
      <c r="Z2865">
        <v>-9.270131E-4</v>
      </c>
      <c r="AA2865">
        <v>0.998031</v>
      </c>
      <c r="AB2865">
        <v>30</v>
      </c>
      <c r="AC2865">
        <v>31.655399999999901</v>
      </c>
      <c r="AD2865">
        <v>-1.1097100624378999</v>
      </c>
      <c r="AE2865">
        <v>-2.1558000000000201</v>
      </c>
      <c r="AF2865">
        <v>2.0068140485183901</v>
      </c>
      <c r="AG2865">
        <v>-1.1097100624378999</v>
      </c>
      <c r="AH2865">
        <v>31.626351656381601</v>
      </c>
      <c r="AI2865">
        <v>92.0055480621877</v>
      </c>
      <c r="AJ2865">
        <v>86.369229451499706</v>
      </c>
      <c r="AK2865">
        <v>31.7093815477552</v>
      </c>
      <c r="AL2865">
        <v>85.891650803866</v>
      </c>
      <c r="AM2865">
        <v>87.573105686936998</v>
      </c>
      <c r="AN2865">
        <v>0.99999997761227299</v>
      </c>
    </row>
    <row r="2866" spans="1:40" x14ac:dyDescent="0.25">
      <c r="A2866" t="str">
        <f>"20190312151327400"</f>
        <v>20190312151327400</v>
      </c>
      <c r="B2866" t="str">
        <f>"1552374807393320"</f>
        <v>1552374807393320</v>
      </c>
      <c r="C2866" t="s">
        <v>40</v>
      </c>
      <c r="D2866">
        <v>4.644266</v>
      </c>
      <c r="E2866">
        <v>0.51042849999999995</v>
      </c>
      <c r="F2866" t="s">
        <v>54</v>
      </c>
      <c r="G2866">
        <v>-379.09699999999998</v>
      </c>
      <c r="H2866" s="1">
        <v>3.3041700000000001E-6</v>
      </c>
      <c r="I2866">
        <v>211.5155</v>
      </c>
      <c r="J2866">
        <v>-406.00150000000002</v>
      </c>
      <c r="K2866">
        <v>1.109758</v>
      </c>
      <c r="L2866">
        <v>213.44659999999999</v>
      </c>
      <c r="M2866">
        <v>0.99992809999999999</v>
      </c>
      <c r="N2866">
        <v>0</v>
      </c>
      <c r="O2866">
        <v>-4.8005679999999998E-3</v>
      </c>
      <c r="P2866">
        <v>0.99704669999999895</v>
      </c>
      <c r="Q2866">
        <v>6.0940439999999998E-2</v>
      </c>
      <c r="R2866">
        <v>-4.6736470000000002E-2</v>
      </c>
      <c r="S2866">
        <v>3.0063170000000001</v>
      </c>
      <c r="T2866">
        <v>-0.1226155</v>
      </c>
      <c r="U2866">
        <v>-0.21354680000000001</v>
      </c>
      <c r="V2866">
        <v>4.1982810000000002E-2</v>
      </c>
      <c r="W2866">
        <v>7.1876789999999996E-2</v>
      </c>
      <c r="X2866">
        <v>0.99652960000000002</v>
      </c>
      <c r="Y2866">
        <v>6.6013909999999995E-2</v>
      </c>
      <c r="Z2866">
        <v>-1.148498E-3</v>
      </c>
      <c r="AA2866">
        <v>0.99781810000000004</v>
      </c>
      <c r="AB2866">
        <v>30</v>
      </c>
      <c r="AC2866">
        <v>26.904499999999999</v>
      </c>
      <c r="AD2866">
        <v>-1.10975469583</v>
      </c>
      <c r="AE2866">
        <v>-1.9310999999999801</v>
      </c>
      <c r="AF2866">
        <v>1.7988681739480501</v>
      </c>
      <c r="AG2866">
        <v>-1.10975469583</v>
      </c>
      <c r="AH2866">
        <v>26.867982238196699</v>
      </c>
      <c r="AI2866">
        <v>92.359922150842806</v>
      </c>
      <c r="AJ2866">
        <v>86.1696429901193</v>
      </c>
      <c r="AK2866">
        <v>26.950991665321201</v>
      </c>
      <c r="AL2866">
        <v>85.878209180273899</v>
      </c>
      <c r="AM2866">
        <v>87.587611809573204</v>
      </c>
      <c r="AN2866">
        <v>1.0000000364761701</v>
      </c>
    </row>
    <row r="2867" spans="1:40" x14ac:dyDescent="0.25">
      <c r="A2867" t="str">
        <f>"20190312151327421"</f>
        <v>20190312151327421</v>
      </c>
      <c r="B2867" t="str">
        <f>"1552374807412840"</f>
        <v>1552374807412840</v>
      </c>
      <c r="C2867" t="s">
        <v>40</v>
      </c>
      <c r="D2867">
        <v>4.574751</v>
      </c>
      <c r="E2867">
        <v>0.51117239999999997</v>
      </c>
      <c r="F2867" t="s">
        <v>54</v>
      </c>
      <c r="G2867">
        <v>-375.10120000000001</v>
      </c>
      <c r="H2867" s="1">
        <v>1.177793E-6</v>
      </c>
      <c r="I2867">
        <v>211.1549</v>
      </c>
      <c r="J2867">
        <v>-405.70650000000001</v>
      </c>
      <c r="K2867">
        <v>1.109815</v>
      </c>
      <c r="L2867">
        <v>213.44499999999999</v>
      </c>
      <c r="M2867">
        <v>0.99992729999999996</v>
      </c>
      <c r="N2867">
        <v>0</v>
      </c>
      <c r="O2867">
        <v>-4.9114190000000002E-3</v>
      </c>
      <c r="P2867">
        <v>0.99706919999999999</v>
      </c>
      <c r="Q2867">
        <v>6.074653E-2</v>
      </c>
      <c r="R2867">
        <v>-4.6509750000000002E-2</v>
      </c>
      <c r="S2867">
        <v>3.0050349999999999</v>
      </c>
      <c r="T2867">
        <v>-0.10792300000000001</v>
      </c>
      <c r="U2867">
        <v>-0.22286990000000001</v>
      </c>
      <c r="V2867">
        <v>4.1637199999999902E-2</v>
      </c>
      <c r="W2867">
        <v>7.1717929999999999E-2</v>
      </c>
      <c r="X2867">
        <v>0.99655550000000004</v>
      </c>
      <c r="Y2867">
        <v>6.902208E-2</v>
      </c>
      <c r="Z2867">
        <v>-1.061242E-3</v>
      </c>
      <c r="AA2867">
        <v>0.99761460000000002</v>
      </c>
      <c r="AB2867">
        <v>30</v>
      </c>
      <c r="AC2867">
        <v>30.6053</v>
      </c>
      <c r="AD2867">
        <v>-1.109813822207</v>
      </c>
      <c r="AE2867">
        <v>-2.29009999999999</v>
      </c>
      <c r="AF2867">
        <v>2.1369534814947801</v>
      </c>
      <c r="AG2867">
        <v>-1.109813822207</v>
      </c>
      <c r="AH2867">
        <v>30.576197046206399</v>
      </c>
      <c r="AI2867">
        <v>92.073678986823893</v>
      </c>
      <c r="AJ2867">
        <v>86.002130481740707</v>
      </c>
      <c r="AK2867">
        <v>30.670867002914601</v>
      </c>
      <c r="AL2867">
        <v>85.887334552018402</v>
      </c>
      <c r="AM2867">
        <v>87.607509956079895</v>
      </c>
      <c r="AN2867">
        <v>0.99999999124378702</v>
      </c>
    </row>
    <row r="2868" spans="1:40" x14ac:dyDescent="0.25">
      <c r="A2868" t="str">
        <f>"20190312151327445"</f>
        <v>20190312151327445</v>
      </c>
      <c r="B2868" t="str">
        <f>"1552374807433336"</f>
        <v>1552374807433336</v>
      </c>
      <c r="C2868" t="s">
        <v>40</v>
      </c>
      <c r="D2868">
        <v>4.5132709999999996</v>
      </c>
      <c r="E2868">
        <v>0.511494</v>
      </c>
      <c r="F2868" t="s">
        <v>54</v>
      </c>
      <c r="G2868">
        <v>-370.89870000000002</v>
      </c>
      <c r="H2868" s="1">
        <v>-1.05855E-6</v>
      </c>
      <c r="I2868">
        <v>210.80269999999999</v>
      </c>
      <c r="J2868">
        <v>-405.39389999999997</v>
      </c>
      <c r="K2868">
        <v>1.109864</v>
      </c>
      <c r="L2868">
        <v>213.4434</v>
      </c>
      <c r="M2868">
        <v>0.99992669999999995</v>
      </c>
      <c r="N2868">
        <v>0</v>
      </c>
      <c r="O2868">
        <v>-4.9820000000000003E-3</v>
      </c>
      <c r="P2868">
        <v>0.99708609999999998</v>
      </c>
      <c r="Q2868">
        <v>6.0287350000000003E-2</v>
      </c>
      <c r="R2868">
        <v>-4.6744699999999903E-2</v>
      </c>
      <c r="S2868">
        <v>3.0040279999999999</v>
      </c>
      <c r="T2868">
        <v>-9.5780729999999994E-2</v>
      </c>
      <c r="U2868">
        <v>-0.22804260000000001</v>
      </c>
      <c r="V2868">
        <v>4.1793509999999999E-2</v>
      </c>
      <c r="W2868">
        <v>7.1294640000000006E-2</v>
      </c>
      <c r="X2868">
        <v>0.99657929999999995</v>
      </c>
      <c r="Y2868">
        <v>7.0692340000000006E-2</v>
      </c>
      <c r="Z2868">
        <v>-9.6649699999999997E-4</v>
      </c>
      <c r="AA2868">
        <v>0.99749770000000004</v>
      </c>
      <c r="AB2868">
        <v>30</v>
      </c>
      <c r="AC2868">
        <v>34.495199999999897</v>
      </c>
      <c r="AD2868">
        <v>-1.1098650585500001</v>
      </c>
      <c r="AE2868">
        <v>-2.6406999999999998</v>
      </c>
      <c r="AF2868">
        <v>2.4662634791159301</v>
      </c>
      <c r="AG2868">
        <v>-1.1098650585500001</v>
      </c>
      <c r="AH2868">
        <v>34.472450754969699</v>
      </c>
      <c r="AI2868">
        <v>91.839343371399096</v>
      </c>
      <c r="AJ2868">
        <v>85.907858733761103</v>
      </c>
      <c r="AK2868">
        <v>34.5783764374562</v>
      </c>
      <c r="AL2868">
        <v>85.911649406605406</v>
      </c>
      <c r="AM2868">
        <v>87.598596100803107</v>
      </c>
      <c r="AN2868">
        <v>0.99999996217966902</v>
      </c>
    </row>
    <row r="2869" spans="1:40" x14ac:dyDescent="0.25">
      <c r="A2869" t="str">
        <f>"20190312151327467"</f>
        <v>20190312151327467</v>
      </c>
      <c r="B2869" t="str">
        <f>"1552374807463123"</f>
        <v>1552374807463123</v>
      </c>
      <c r="C2869" t="s">
        <v>40</v>
      </c>
      <c r="D2869">
        <v>5.1205850000000002</v>
      </c>
      <c r="E2869">
        <v>0.51219999999999999</v>
      </c>
      <c r="F2869" t="s">
        <v>54</v>
      </c>
      <c r="G2869">
        <v>-366.17610000000002</v>
      </c>
      <c r="H2869" s="1">
        <v>1.7498419999999899E-6</v>
      </c>
      <c r="I2869">
        <v>210.4239</v>
      </c>
      <c r="J2869">
        <v>-405.10950000000003</v>
      </c>
      <c r="K2869">
        <v>1.109899</v>
      </c>
      <c r="L2869">
        <v>213.4419</v>
      </c>
      <c r="M2869">
        <v>0.99992610000000004</v>
      </c>
      <c r="N2869">
        <v>0</v>
      </c>
      <c r="O2869">
        <v>-5.0124760000000001E-3</v>
      </c>
      <c r="P2869">
        <v>0.9970772</v>
      </c>
      <c r="Q2869">
        <v>6.0344469999999997E-2</v>
      </c>
      <c r="R2869">
        <v>-4.6861300000000002E-2</v>
      </c>
      <c r="S2869">
        <v>3.003082</v>
      </c>
      <c r="T2869">
        <v>-8.4987160000000006E-2</v>
      </c>
      <c r="U2869">
        <v>-0.23121639999999999</v>
      </c>
      <c r="V2869">
        <v>4.1874050000000003E-2</v>
      </c>
      <c r="W2869">
        <v>7.1385009999999999E-2</v>
      </c>
      <c r="X2869">
        <v>0.9965695</v>
      </c>
      <c r="Y2869">
        <v>7.174034E-2</v>
      </c>
      <c r="Z2869">
        <v>-8.7180660000000002E-4</v>
      </c>
      <c r="AA2869">
        <v>0.9974229</v>
      </c>
      <c r="AB2869">
        <v>30</v>
      </c>
      <c r="AC2869">
        <v>38.933399999999999</v>
      </c>
      <c r="AD2869">
        <v>-1.109897250158</v>
      </c>
      <c r="AE2869">
        <v>-3.0179999999999998</v>
      </c>
      <c r="AF2869">
        <v>2.8205188827401102</v>
      </c>
      <c r="AG2869">
        <v>-1.109897250158</v>
      </c>
      <c r="AH2869">
        <v>38.916601485624803</v>
      </c>
      <c r="AI2869">
        <v>91.629355191868498</v>
      </c>
      <c r="AJ2869">
        <v>85.854680149102606</v>
      </c>
      <c r="AK2869">
        <v>39.034460030398002</v>
      </c>
      <c r="AL2869">
        <v>85.906458564767405</v>
      </c>
      <c r="AM2869">
        <v>87.593950171902904</v>
      </c>
      <c r="AN2869">
        <v>1.00000001202317</v>
      </c>
    </row>
    <row r="2870" spans="1:40" x14ac:dyDescent="0.25">
      <c r="A2870" t="str">
        <f>"20190312151327490"</f>
        <v>20190312151327490</v>
      </c>
      <c r="B2870" t="str">
        <f>"1552374807482644"</f>
        <v>1552374807482644</v>
      </c>
      <c r="C2870" t="s">
        <v>40</v>
      </c>
      <c r="D2870">
        <v>4.6952749999999996</v>
      </c>
      <c r="E2870">
        <v>0.51251789999999997</v>
      </c>
      <c r="F2870" t="s">
        <v>54</v>
      </c>
      <c r="G2870">
        <v>-359.38650000000001</v>
      </c>
      <c r="H2870" s="1">
        <v>3.6676019999999999E-6</v>
      </c>
      <c r="I2870">
        <v>209.8272</v>
      </c>
      <c r="J2870">
        <v>-404.78140000000002</v>
      </c>
      <c r="K2870">
        <v>1.1099319999999999</v>
      </c>
      <c r="L2870">
        <v>213.44030000000001</v>
      </c>
      <c r="M2870">
        <v>0.99992590000000003</v>
      </c>
      <c r="N2870">
        <v>0</v>
      </c>
      <c r="O2870">
        <v>-5.0044069999999998E-3</v>
      </c>
      <c r="P2870">
        <v>0.9970599</v>
      </c>
      <c r="Q2870">
        <v>6.030692E-2</v>
      </c>
      <c r="R2870">
        <v>-4.7275280000000003E-2</v>
      </c>
      <c r="S2870">
        <v>3.002075</v>
      </c>
      <c r="T2870">
        <v>-7.2873469999999996E-2</v>
      </c>
      <c r="U2870">
        <v>-0.2373352</v>
      </c>
      <c r="V2870">
        <v>4.2290840000000003E-2</v>
      </c>
      <c r="W2870">
        <v>7.1385950000000004E-2</v>
      </c>
      <c r="X2870">
        <v>0.99655179999999999</v>
      </c>
      <c r="Y2870">
        <v>7.3800870000000005E-2</v>
      </c>
      <c r="Z2870">
        <v>-7.7293529999999998E-4</v>
      </c>
      <c r="AA2870">
        <v>0.99727270000000001</v>
      </c>
      <c r="AB2870">
        <v>30</v>
      </c>
      <c r="AC2870">
        <v>45.3949</v>
      </c>
      <c r="AD2870">
        <v>-1.10992833239799</v>
      </c>
      <c r="AE2870">
        <v>-3.6131000000000002</v>
      </c>
      <c r="AF2870">
        <v>3.38385597906777</v>
      </c>
      <c r="AG2870">
        <v>-1.10992833239799</v>
      </c>
      <c r="AH2870">
        <v>45.385452166348898</v>
      </c>
      <c r="AI2870">
        <v>91.397047145610102</v>
      </c>
      <c r="AJ2870">
        <v>85.736021243388194</v>
      </c>
      <c r="AK2870">
        <v>45.524956787833197</v>
      </c>
      <c r="AL2870">
        <v>85.906404435799203</v>
      </c>
      <c r="AM2870">
        <v>87.569987205946006</v>
      </c>
      <c r="AN2870">
        <v>0.999999979544273</v>
      </c>
    </row>
    <row r="2871" spans="1:40" x14ac:dyDescent="0.25">
      <c r="A2871" t="str">
        <f>"20190312151327513"</f>
        <v>20190312151327513</v>
      </c>
      <c r="B2871" t="str">
        <f>"1552374807503139"</f>
        <v>1552374807503139</v>
      </c>
      <c r="C2871" t="s">
        <v>40</v>
      </c>
      <c r="D2871">
        <v>4.5643010000000004</v>
      </c>
      <c r="E2871">
        <v>0.51256559999999995</v>
      </c>
      <c r="F2871" t="s">
        <v>54</v>
      </c>
      <c r="G2871">
        <v>-356.94709999999998</v>
      </c>
      <c r="H2871">
        <v>6.397825E-2</v>
      </c>
      <c r="I2871">
        <v>209.60230000000001</v>
      </c>
      <c r="J2871">
        <v>-404.47019999999998</v>
      </c>
      <c r="K2871">
        <v>1.1099490000000001</v>
      </c>
      <c r="L2871">
        <v>213.43870000000001</v>
      </c>
      <c r="M2871">
        <v>0.99992559999999997</v>
      </c>
      <c r="N2871">
        <v>0</v>
      </c>
      <c r="O2871">
        <v>-4.9641099999999999E-3</v>
      </c>
      <c r="P2871">
        <v>0.99702639999999998</v>
      </c>
      <c r="Q2871">
        <v>6.0423989999999997E-2</v>
      </c>
      <c r="R2871">
        <v>-4.7829040000000003E-2</v>
      </c>
      <c r="S2871">
        <v>3.001404</v>
      </c>
      <c r="T2871">
        <v>-6.5629359999999998E-2</v>
      </c>
      <c r="U2871">
        <v>-0.24081420000000001</v>
      </c>
      <c r="V2871">
        <v>4.2880979999999999E-2</v>
      </c>
      <c r="W2871">
        <v>7.1539099999999994E-2</v>
      </c>
      <c r="X2871">
        <v>0.99651559999999995</v>
      </c>
      <c r="Y2871">
        <v>7.5010709999999994E-2</v>
      </c>
      <c r="Z2871">
        <v>-7.1032699999999996E-4</v>
      </c>
      <c r="AA2871">
        <v>0.99718249999999997</v>
      </c>
      <c r="AB2871">
        <v>30</v>
      </c>
      <c r="AC2871">
        <v>47.523099999999999</v>
      </c>
      <c r="AD2871">
        <v>-1.0459707499999999</v>
      </c>
      <c r="AE2871">
        <v>-3.83639999999999</v>
      </c>
      <c r="AF2871">
        <v>3.5986961600455398</v>
      </c>
      <c r="AG2871">
        <v>-1.0459707499999999</v>
      </c>
      <c r="AH2871">
        <v>47.518689518586498</v>
      </c>
      <c r="AI2871">
        <v>91.257378785483496</v>
      </c>
      <c r="AJ2871">
        <v>85.669130134021998</v>
      </c>
      <c r="AK2871">
        <v>47.666240909327101</v>
      </c>
      <c r="AL2871">
        <v>85.897607101322293</v>
      </c>
      <c r="AM2871">
        <v>87.5360301326224</v>
      </c>
      <c r="AN2871">
        <v>0.99999998115896405</v>
      </c>
    </row>
    <row r="2872" spans="1:40" x14ac:dyDescent="0.25">
      <c r="A2872" t="str">
        <f>"20190312151327556"</f>
        <v>20190312151327556</v>
      </c>
      <c r="B2872" t="str">
        <f>"1552374807553422"</f>
        <v>1552374807553422</v>
      </c>
      <c r="C2872" t="s">
        <v>40</v>
      </c>
      <c r="D2872">
        <v>4.6987160000000001</v>
      </c>
      <c r="E2872">
        <v>0.5130382</v>
      </c>
      <c r="F2872" t="s">
        <v>54</v>
      </c>
      <c r="G2872">
        <v>-357.03050000000002</v>
      </c>
      <c r="H2872">
        <v>7.0189479999999999E-2</v>
      </c>
      <c r="I2872">
        <v>209.59610000000001</v>
      </c>
      <c r="J2872">
        <v>-403.89269999999999</v>
      </c>
      <c r="K2872">
        <v>1.1100019999999999</v>
      </c>
      <c r="L2872">
        <v>213.43600000000001</v>
      </c>
      <c r="M2872">
        <v>0.99992559999999997</v>
      </c>
      <c r="N2872">
        <v>0</v>
      </c>
      <c r="O2872">
        <v>-4.807296E-3</v>
      </c>
      <c r="P2872">
        <v>0.99703019999999998</v>
      </c>
      <c r="Q2872">
        <v>5.9738630000000001E-2</v>
      </c>
      <c r="R2872">
        <v>-4.8598599999999999E-2</v>
      </c>
      <c r="S2872">
        <v>3.0012819999999998</v>
      </c>
      <c r="T2872">
        <v>-6.5780519999999995E-2</v>
      </c>
      <c r="U2872">
        <v>-0.24310300000000001</v>
      </c>
      <c r="V2872">
        <v>4.3799039999999997E-2</v>
      </c>
      <c r="W2872">
        <v>7.0916989999999999E-2</v>
      </c>
      <c r="X2872">
        <v>0.99652019999999997</v>
      </c>
      <c r="Y2872">
        <v>7.5925519999999996E-2</v>
      </c>
      <c r="Z2872">
        <v>-7.2540810000000001E-4</v>
      </c>
      <c r="AA2872">
        <v>0.99711320000000003</v>
      </c>
      <c r="AB2872">
        <v>30</v>
      </c>
      <c r="AC2872">
        <v>46.862199999999902</v>
      </c>
      <c r="AD2872">
        <v>-1.0398125199999999</v>
      </c>
      <c r="AE2872">
        <v>-3.8398999999999699</v>
      </c>
      <c r="AF2872">
        <v>3.61279414042568</v>
      </c>
      <c r="AG2872">
        <v>-1.0398125199999999</v>
      </c>
      <c r="AH2872">
        <v>46.857203336075102</v>
      </c>
      <c r="AI2872">
        <v>91.267486649595597</v>
      </c>
      <c r="AJ2872">
        <v>85.591091335735697</v>
      </c>
      <c r="AK2872">
        <v>47.007775910546201</v>
      </c>
      <c r="AL2872">
        <v>85.933342393562697</v>
      </c>
      <c r="AM2872">
        <v>87.483356506327596</v>
      </c>
      <c r="AN2872">
        <v>1.0000000421918001</v>
      </c>
    </row>
    <row r="2873" spans="1:40" x14ac:dyDescent="0.25">
      <c r="A2873" t="str">
        <f>"20190312151327577"</f>
        <v>20190312151327577</v>
      </c>
      <c r="B2873" t="str">
        <f>"1552374807572943"</f>
        <v>1552374807572943</v>
      </c>
      <c r="C2873" t="s">
        <v>40</v>
      </c>
      <c r="D2873">
        <v>4.6436380000000002</v>
      </c>
      <c r="E2873">
        <v>0.51436340000000003</v>
      </c>
      <c r="F2873" t="s">
        <v>54</v>
      </c>
      <c r="G2873">
        <v>-348.09559999999999</v>
      </c>
      <c r="H2873">
        <v>8.0000550000000004E-2</v>
      </c>
      <c r="I2873">
        <v>208.80119999999999</v>
      </c>
      <c r="J2873">
        <v>-403.59809999999999</v>
      </c>
      <c r="K2873">
        <v>1.110031</v>
      </c>
      <c r="L2873">
        <v>213.43469999999999</v>
      </c>
      <c r="M2873">
        <v>0.99992590000000003</v>
      </c>
      <c r="N2873">
        <v>0</v>
      </c>
      <c r="O2873">
        <v>-4.6934189999999999E-3</v>
      </c>
      <c r="P2873">
        <v>0.9970502</v>
      </c>
      <c r="Q2873">
        <v>5.9315859999999998E-2</v>
      </c>
      <c r="R2873">
        <v>-4.8708969999999997E-2</v>
      </c>
      <c r="S2873">
        <v>3.000092</v>
      </c>
      <c r="T2873">
        <v>-5.5380939999999997E-2</v>
      </c>
      <c r="U2873">
        <v>-0.2492065</v>
      </c>
      <c r="V2873">
        <v>4.40189E-2</v>
      </c>
      <c r="W2873">
        <v>7.0527909999999999E-2</v>
      </c>
      <c r="X2873">
        <v>0.99653809999999998</v>
      </c>
      <c r="Y2873">
        <v>7.8090279999999998E-2</v>
      </c>
      <c r="Z2873">
        <v>-6.3297940000000001E-4</v>
      </c>
      <c r="AA2873">
        <v>0.99694609999999995</v>
      </c>
      <c r="AB2873">
        <v>30</v>
      </c>
      <c r="AC2873">
        <v>55.502499999999998</v>
      </c>
      <c r="AD2873">
        <v>-1.0300304499999999</v>
      </c>
      <c r="AE2873">
        <v>-4.63349999999999</v>
      </c>
      <c r="AF2873">
        <v>4.3714408916840704</v>
      </c>
      <c r="AG2873">
        <v>-1.0300304499999999</v>
      </c>
      <c r="AH2873">
        <v>55.5046529194451</v>
      </c>
      <c r="AI2873">
        <v>91.059866086738793</v>
      </c>
      <c r="AJ2873">
        <v>85.496788929619399</v>
      </c>
      <c r="AK2873">
        <v>55.686057087079497</v>
      </c>
      <c r="AL2873">
        <v>85.955690893575394</v>
      </c>
      <c r="AM2873">
        <v>87.470785334889598</v>
      </c>
      <c r="AN2873">
        <v>1.0000000171988901</v>
      </c>
    </row>
    <row r="2874" spans="1:40" x14ac:dyDescent="0.25">
      <c r="A2874" t="str">
        <f>"20190312151327600"</f>
        <v>20190312151327600</v>
      </c>
      <c r="B2874" t="str">
        <f>"1552374807593439"</f>
        <v>1552374807593439</v>
      </c>
      <c r="C2874" t="s">
        <v>40</v>
      </c>
      <c r="D2874">
        <v>4.8037720000000004</v>
      </c>
      <c r="E2874">
        <v>0.51532879999999903</v>
      </c>
      <c r="F2874" t="s">
        <v>54</v>
      </c>
      <c r="G2874">
        <v>-357.03710000000001</v>
      </c>
      <c r="H2874">
        <v>8.0001089999999997E-2</v>
      </c>
      <c r="I2874">
        <v>209.39779999999999</v>
      </c>
      <c r="J2874">
        <v>-403.30020000000002</v>
      </c>
      <c r="K2874">
        <v>1.110055</v>
      </c>
      <c r="L2874">
        <v>213.43350000000001</v>
      </c>
      <c r="M2874">
        <v>0.99992610000000004</v>
      </c>
      <c r="N2874">
        <v>0</v>
      </c>
      <c r="O2874">
        <v>-4.5597930000000004E-3</v>
      </c>
      <c r="P2874">
        <v>0.99708830000000004</v>
      </c>
      <c r="Q2874">
        <v>5.8796760000000003E-2</v>
      </c>
      <c r="R2874">
        <v>-4.8560150000000003E-2</v>
      </c>
      <c r="S2874">
        <v>3.000092</v>
      </c>
      <c r="T2874">
        <v>-6.6368460000000004E-2</v>
      </c>
      <c r="U2874">
        <v>-0.26011659999999998</v>
      </c>
      <c r="V2874">
        <v>4.3999330000000003E-2</v>
      </c>
      <c r="W2874">
        <v>7.0042729999999997E-2</v>
      </c>
      <c r="X2874">
        <v>0.99657320000000005</v>
      </c>
      <c r="Y2874">
        <v>8.1816130000000001E-2</v>
      </c>
      <c r="Z2874">
        <v>-8.0249749999999995E-4</v>
      </c>
      <c r="AA2874">
        <v>0.99664710000000001</v>
      </c>
      <c r="AB2874">
        <v>30</v>
      </c>
      <c r="AC2874">
        <v>46.263100000000001</v>
      </c>
      <c r="AD2874">
        <v>-1.0300539099999999</v>
      </c>
      <c r="AE2874">
        <v>-4.0357000000000198</v>
      </c>
      <c r="AF2874">
        <v>3.8228136894260398</v>
      </c>
      <c r="AG2874">
        <v>-1.0300539099999999</v>
      </c>
      <c r="AH2874">
        <v>46.258263418348697</v>
      </c>
      <c r="AI2874">
        <v>91.271288220568493</v>
      </c>
      <c r="AJ2874">
        <v>85.275773783651303</v>
      </c>
      <c r="AK2874">
        <v>46.427382545679897</v>
      </c>
      <c r="AL2874">
        <v>85.9835586460852</v>
      </c>
      <c r="AM2874">
        <v>87.471997244025204</v>
      </c>
      <c r="AN2874">
        <v>1.0000000340122699</v>
      </c>
    </row>
    <row r="2875" spans="1:40" x14ac:dyDescent="0.25">
      <c r="A2875" t="str">
        <f>"20190312151327621"</f>
        <v>20190312151327621</v>
      </c>
      <c r="B2875" t="str">
        <f>"1552374807612959"</f>
        <v>1552374807612959</v>
      </c>
      <c r="C2875" t="s">
        <v>40</v>
      </c>
      <c r="D2875">
        <v>4.6361889999999999</v>
      </c>
      <c r="E2875">
        <v>0.51624609999999904</v>
      </c>
      <c r="F2875" t="s">
        <v>54</v>
      </c>
      <c r="G2875">
        <v>-359.36680000000001</v>
      </c>
      <c r="H2875">
        <v>8.0000399999999902E-2</v>
      </c>
      <c r="I2875">
        <v>209.5172</v>
      </c>
      <c r="J2875">
        <v>-403.0027</v>
      </c>
      <c r="K2875">
        <v>1.110077</v>
      </c>
      <c r="L2875">
        <v>213.4323</v>
      </c>
      <c r="M2875">
        <v>0.99992650000000005</v>
      </c>
      <c r="N2875">
        <v>0</v>
      </c>
      <c r="O2875">
        <v>-4.4095499999999999E-3</v>
      </c>
      <c r="P2875">
        <v>0.9971295</v>
      </c>
      <c r="Q2875">
        <v>5.8289029999999999E-2</v>
      </c>
      <c r="R2875">
        <v>-4.8326719999999997E-2</v>
      </c>
      <c r="S2875">
        <v>2.9998779999999998</v>
      </c>
      <c r="T2875">
        <v>-7.0334549999999996E-2</v>
      </c>
      <c r="U2875">
        <v>-0.26741029999999999</v>
      </c>
      <c r="V2875">
        <v>4.3912859999999998E-2</v>
      </c>
      <c r="W2875">
        <v>6.9570399999999893E-2</v>
      </c>
      <c r="X2875">
        <v>0.99661</v>
      </c>
      <c r="Y2875">
        <v>8.437327E-2</v>
      </c>
      <c r="Z2875">
        <v>-8.838397E-4</v>
      </c>
      <c r="AA2875">
        <v>0.99643389999999998</v>
      </c>
      <c r="AB2875">
        <v>30</v>
      </c>
      <c r="AC2875">
        <v>43.6358999999999</v>
      </c>
      <c r="AD2875">
        <v>-1.0300765999999999</v>
      </c>
      <c r="AE2875">
        <v>-3.91509999999999</v>
      </c>
      <c r="AF2875">
        <v>3.72057823619962</v>
      </c>
      <c r="AG2875">
        <v>-1.0300765999999999</v>
      </c>
      <c r="AH2875">
        <v>43.628622682488697</v>
      </c>
      <c r="AI2875">
        <v>91.347618883958702</v>
      </c>
      <c r="AJ2875">
        <v>85.125701902631405</v>
      </c>
      <c r="AK2875">
        <v>43.799092198178201</v>
      </c>
      <c r="AL2875">
        <v>86.010686948372495</v>
      </c>
      <c r="AM2875">
        <v>87.477052036599005</v>
      </c>
      <c r="AN2875">
        <v>0.99999993596476699</v>
      </c>
    </row>
    <row r="2876" spans="1:40" x14ac:dyDescent="0.25">
      <c r="A2876" t="str">
        <f>"20190312151327646"</f>
        <v>20190312151327646</v>
      </c>
      <c r="B2876" t="str">
        <f>"1552374807643215"</f>
        <v>1552374807643215</v>
      </c>
      <c r="C2876" t="s">
        <v>40</v>
      </c>
      <c r="D2876">
        <v>4.6510669999999896</v>
      </c>
      <c r="E2876">
        <v>0.51742659999999996</v>
      </c>
      <c r="F2876" t="s">
        <v>54</v>
      </c>
      <c r="G2876">
        <v>-360.22899999999998</v>
      </c>
      <c r="H2876">
        <v>8.0001399999999903E-2</v>
      </c>
      <c r="I2876">
        <v>209.52590000000001</v>
      </c>
      <c r="J2876">
        <v>-402.68099999999998</v>
      </c>
      <c r="K2876">
        <v>1.1100969999999999</v>
      </c>
      <c r="L2876">
        <v>213.43100000000001</v>
      </c>
      <c r="M2876">
        <v>0.99992669999999995</v>
      </c>
      <c r="N2876">
        <v>0</v>
      </c>
      <c r="O2876">
        <v>-4.2329239999999999E-3</v>
      </c>
      <c r="P2876">
        <v>0.99716930000000004</v>
      </c>
      <c r="Q2876">
        <v>5.815613E-2</v>
      </c>
      <c r="R2876">
        <v>-4.7657999999999999E-2</v>
      </c>
      <c r="S2876">
        <v>2.9995729999999998</v>
      </c>
      <c r="T2876">
        <v>-7.22357E-2</v>
      </c>
      <c r="U2876">
        <v>-0.27394099999999999</v>
      </c>
      <c r="V2876">
        <v>4.3418140000000001E-2</v>
      </c>
      <c r="W2876">
        <v>6.9476679999999999E-2</v>
      </c>
      <c r="X2876">
        <v>0.99663829999999998</v>
      </c>
      <c r="Y2876">
        <v>8.6708019999999997E-2</v>
      </c>
      <c r="Z2876">
        <v>-9.4002080000000002E-4</v>
      </c>
      <c r="AA2876">
        <v>0.99623329999999999</v>
      </c>
      <c r="AB2876">
        <v>30</v>
      </c>
      <c r="AC2876">
        <v>42.451999999999899</v>
      </c>
      <c r="AD2876">
        <v>-1.0300955999999999</v>
      </c>
      <c r="AE2876">
        <v>-3.9050999999999698</v>
      </c>
      <c r="AF2876">
        <v>3.7231835875136801</v>
      </c>
      <c r="AG2876">
        <v>-1.0300955999999999</v>
      </c>
      <c r="AH2876">
        <v>42.443370238510703</v>
      </c>
      <c r="AI2876">
        <v>91.384972501885798</v>
      </c>
      <c r="AJ2876">
        <v>84.986777822275201</v>
      </c>
      <c r="AK2876">
        <v>42.618808877944602</v>
      </c>
      <c r="AL2876">
        <v>86.016070079092103</v>
      </c>
      <c r="AM2876">
        <v>87.505510072220403</v>
      </c>
      <c r="AN2876">
        <v>1.00000002248588</v>
      </c>
    </row>
    <row r="2877" spans="1:40" x14ac:dyDescent="0.25">
      <c r="A2877" t="str">
        <f>"20190312151327666"</f>
        <v>20190312151327666</v>
      </c>
      <c r="B2877" t="str">
        <f>"1552374807662734"</f>
        <v>1552374807662734</v>
      </c>
      <c r="C2877" t="s">
        <v>40</v>
      </c>
      <c r="D2877">
        <v>4.7534109999999998</v>
      </c>
      <c r="E2877">
        <v>0.51827500000000004</v>
      </c>
      <c r="F2877" t="s">
        <v>54</v>
      </c>
      <c r="G2877">
        <v>-360.31049999999999</v>
      </c>
      <c r="H2877">
        <v>8.0001370000000002E-2</v>
      </c>
      <c r="I2877">
        <v>209.45519999999999</v>
      </c>
      <c r="J2877">
        <v>-402.40410000000003</v>
      </c>
      <c r="K2877">
        <v>1.110107</v>
      </c>
      <c r="L2877">
        <v>213.43</v>
      </c>
      <c r="M2877">
        <v>0.99992709999999996</v>
      </c>
      <c r="N2877">
        <v>0</v>
      </c>
      <c r="O2877">
        <v>-4.073157E-3</v>
      </c>
      <c r="P2877">
        <v>0.99717990000000001</v>
      </c>
      <c r="Q2877">
        <v>5.8562080000000002E-2</v>
      </c>
      <c r="R2877">
        <v>-4.6935650000000002E-2</v>
      </c>
      <c r="S2877">
        <v>2.99939</v>
      </c>
      <c r="T2877">
        <v>-7.2920200000000004E-2</v>
      </c>
      <c r="U2877">
        <v>-0.28144839999999999</v>
      </c>
      <c r="V2877">
        <v>4.2853719999999998E-2</v>
      </c>
      <c r="W2877">
        <v>6.9914799999999999E-2</v>
      </c>
      <c r="X2877">
        <v>0.99663199999999996</v>
      </c>
      <c r="Y2877">
        <v>8.9343469999999994E-2</v>
      </c>
      <c r="Z2877">
        <v>-9.8471049999999992E-4</v>
      </c>
      <c r="AA2877">
        <v>0.99600040000000001</v>
      </c>
      <c r="AB2877">
        <v>30</v>
      </c>
      <c r="AC2877">
        <v>42.093600000000002</v>
      </c>
      <c r="AD2877">
        <v>-1.03010563</v>
      </c>
      <c r="AE2877">
        <v>-3.9748000000000099</v>
      </c>
      <c r="AF2877">
        <v>3.8010458960687901</v>
      </c>
      <c r="AG2877">
        <v>-1.03010563</v>
      </c>
      <c r="AH2877">
        <v>42.084461490491101</v>
      </c>
      <c r="AI2877">
        <v>91.396472522471399</v>
      </c>
      <c r="AJ2877">
        <v>84.839079238778794</v>
      </c>
      <c r="AK2877">
        <v>42.2683210745069</v>
      </c>
      <c r="AL2877">
        <v>85.990906098691198</v>
      </c>
      <c r="AM2877">
        <v>87.537881820506797</v>
      </c>
      <c r="AN2877">
        <v>0.99999993200043602</v>
      </c>
    </row>
    <row r="2878" spans="1:40" x14ac:dyDescent="0.25">
      <c r="A2878" t="str">
        <f>"20190312151327692"</f>
        <v>20190312151327692</v>
      </c>
      <c r="B2878" t="str">
        <f>"1552374807683231"</f>
        <v>1552374807683231</v>
      </c>
      <c r="C2878" t="s">
        <v>40</v>
      </c>
      <c r="D2878">
        <v>4.5955899999999996</v>
      </c>
      <c r="E2878">
        <v>0.51898339999999998</v>
      </c>
      <c r="F2878" t="s">
        <v>54</v>
      </c>
      <c r="G2878">
        <v>-361.3229</v>
      </c>
      <c r="H2878">
        <v>8.0001080000000002E-2</v>
      </c>
      <c r="I2878">
        <v>209.51249999999999</v>
      </c>
      <c r="J2878">
        <v>-402.06709999999998</v>
      </c>
      <c r="K2878">
        <v>1.1101110000000001</v>
      </c>
      <c r="L2878">
        <v>213.4289</v>
      </c>
      <c r="M2878">
        <v>0.99992729999999996</v>
      </c>
      <c r="N2878">
        <v>0</v>
      </c>
      <c r="O2878">
        <v>-3.8746980000000002E-3</v>
      </c>
      <c r="P2878">
        <v>0.99719979999999997</v>
      </c>
      <c r="Q2878">
        <v>5.8559720000000003E-2</v>
      </c>
      <c r="R2878">
        <v>-4.6509469999999997E-2</v>
      </c>
      <c r="S2878">
        <v>2.9994510000000001</v>
      </c>
      <c r="T2878">
        <v>-7.5210929999999995E-2</v>
      </c>
      <c r="U2878">
        <v>-0.286026</v>
      </c>
      <c r="V2878">
        <v>4.2624769999999999E-2</v>
      </c>
      <c r="W2878">
        <v>6.9949990000000004E-2</v>
      </c>
      <c r="X2878">
        <v>0.99663939999999995</v>
      </c>
      <c r="Y2878">
        <v>9.1043509999999994E-2</v>
      </c>
      <c r="Z2878">
        <v>-1.041768E-3</v>
      </c>
      <c r="AA2878">
        <v>0.99584640000000002</v>
      </c>
      <c r="AB2878">
        <v>30</v>
      </c>
      <c r="AC2878">
        <v>40.7441999999999</v>
      </c>
      <c r="AD2878">
        <v>-1.0301099199999999</v>
      </c>
      <c r="AE2878">
        <v>-3.9163999999999999</v>
      </c>
      <c r="AF2878">
        <v>3.7561099150218902</v>
      </c>
      <c r="AG2878">
        <v>-1.0301099199999999</v>
      </c>
      <c r="AH2878">
        <v>40.733271689032897</v>
      </c>
      <c r="AI2878">
        <v>91.442535497417197</v>
      </c>
      <c r="AJ2878">
        <v>84.731521751517505</v>
      </c>
      <c r="AK2878">
        <v>40.919053149279797</v>
      </c>
      <c r="AL2878">
        <v>85.988885116066399</v>
      </c>
      <c r="AM2878">
        <v>87.551038019897106</v>
      </c>
      <c r="AN2878">
        <v>0.99999998287545599</v>
      </c>
    </row>
    <row r="2879" spans="1:40" x14ac:dyDescent="0.25">
      <c r="A2879" t="str">
        <f>"20190312151327714"</f>
        <v>20190312151327714</v>
      </c>
      <c r="B2879" t="str">
        <f>"1552374807702751"</f>
        <v>1552374807702751</v>
      </c>
      <c r="C2879" t="s">
        <v>40</v>
      </c>
      <c r="D2879">
        <v>4.5871729999999999</v>
      </c>
      <c r="E2879">
        <v>0.5196385</v>
      </c>
      <c r="F2879" t="s">
        <v>54</v>
      </c>
      <c r="G2879">
        <v>-362.69799999999998</v>
      </c>
      <c r="H2879">
        <v>3.9088169999999998E-2</v>
      </c>
      <c r="I2879">
        <v>209.6163</v>
      </c>
      <c r="J2879">
        <v>-401.75599999999997</v>
      </c>
      <c r="K2879">
        <v>1.11012</v>
      </c>
      <c r="L2879">
        <v>213.42789999999999</v>
      </c>
      <c r="M2879">
        <v>0.99992780000000003</v>
      </c>
      <c r="N2879">
        <v>0</v>
      </c>
      <c r="O2879">
        <v>-3.690418E-3</v>
      </c>
      <c r="P2879">
        <v>0.99721119999999996</v>
      </c>
      <c r="Q2879">
        <v>5.8425579999999998E-2</v>
      </c>
      <c r="R2879">
        <v>-4.6438439999999997E-2</v>
      </c>
      <c r="S2879">
        <v>2.9997250000000002</v>
      </c>
      <c r="T2879">
        <v>-8.1606509999999993E-2</v>
      </c>
      <c r="U2879">
        <v>-0.2904968</v>
      </c>
      <c r="V2879">
        <v>4.2737079999999997E-2</v>
      </c>
      <c r="W2879">
        <v>6.9847240000000005E-2</v>
      </c>
      <c r="X2879">
        <v>0.99664180000000002</v>
      </c>
      <c r="Y2879">
        <v>9.2683459999999995E-2</v>
      </c>
      <c r="Z2879">
        <v>-1.1573919999999999E-3</v>
      </c>
      <c r="AA2879">
        <v>0.99569490000000005</v>
      </c>
      <c r="AB2879">
        <v>30</v>
      </c>
      <c r="AC2879">
        <v>39.0579999999999</v>
      </c>
      <c r="AD2879">
        <v>-1.0710318299999999</v>
      </c>
      <c r="AE2879">
        <v>-3.8115999999999901</v>
      </c>
      <c r="AF2879">
        <v>3.66469462413174</v>
      </c>
      <c r="AG2879">
        <v>-1.0710318299999999</v>
      </c>
      <c r="AH2879">
        <v>39.042720374440798</v>
      </c>
      <c r="AI2879">
        <v>91.564487910646406</v>
      </c>
      <c r="AJ2879">
        <v>84.637716625017404</v>
      </c>
      <c r="AK2879">
        <v>39.228957545489102</v>
      </c>
      <c r="AL2879">
        <v>85.994786705613905</v>
      </c>
      <c r="AM2879">
        <v>87.544599157988003</v>
      </c>
      <c r="AN2879">
        <v>0.99999998622489195</v>
      </c>
    </row>
    <row r="2880" spans="1:40" x14ac:dyDescent="0.25">
      <c r="A2880" t="str">
        <f>"20190312151327735"</f>
        <v>20190312151327735</v>
      </c>
      <c r="B2880" t="str">
        <f>"1552374807733007"</f>
        <v>1552374807733007</v>
      </c>
      <c r="C2880" t="s">
        <v>40</v>
      </c>
      <c r="D2880">
        <v>4.6785019999999999</v>
      </c>
      <c r="E2880">
        <v>0.52040909999999996</v>
      </c>
      <c r="F2880" t="s">
        <v>54</v>
      </c>
      <c r="G2880">
        <v>-363.61869999999999</v>
      </c>
      <c r="H2880" s="1">
        <v>3.888756E-7</v>
      </c>
      <c r="I2880">
        <v>209.67250000000001</v>
      </c>
      <c r="J2880">
        <v>-401.46929999999998</v>
      </c>
      <c r="K2880">
        <v>1.1101270000000001</v>
      </c>
      <c r="L2880">
        <v>213.42699999999999</v>
      </c>
      <c r="M2880">
        <v>0.99992809999999999</v>
      </c>
      <c r="N2880">
        <v>0</v>
      </c>
      <c r="O2880">
        <v>-3.5176700000000001E-3</v>
      </c>
      <c r="P2880">
        <v>0.99720920000000002</v>
      </c>
      <c r="Q2880">
        <v>5.8280890000000002E-2</v>
      </c>
      <c r="R2880">
        <v>-4.665996E-2</v>
      </c>
      <c r="S2880">
        <v>2.9997560000000001</v>
      </c>
      <c r="T2880">
        <v>-8.7318300000000001E-2</v>
      </c>
      <c r="U2880">
        <v>-0.29537960000000002</v>
      </c>
      <c r="V2880">
        <v>4.3130170000000002E-2</v>
      </c>
      <c r="W2880">
        <v>6.9729280000000005E-2</v>
      </c>
      <c r="X2880">
        <v>0.99663310000000005</v>
      </c>
      <c r="Y2880">
        <v>9.4454270000000007E-2</v>
      </c>
      <c r="Z2880">
        <v>-1.268978E-3</v>
      </c>
      <c r="AA2880">
        <v>0.99552839999999998</v>
      </c>
      <c r="AB2880">
        <v>30</v>
      </c>
      <c r="AC2880">
        <v>37.850599999999901</v>
      </c>
      <c r="AD2880">
        <v>-1.1101266111243999</v>
      </c>
      <c r="AE2880">
        <v>-3.7545000000000002</v>
      </c>
      <c r="AF2880">
        <v>3.61824001248557</v>
      </c>
      <c r="AG2880">
        <v>-1.1101266111243999</v>
      </c>
      <c r="AH2880">
        <v>37.8313482889535</v>
      </c>
      <c r="AI2880">
        <v>91.6731796551759</v>
      </c>
      <c r="AJ2880">
        <v>84.536773545503294</v>
      </c>
      <c r="AK2880">
        <v>38.020191415099198</v>
      </c>
      <c r="AL2880">
        <v>86.001561729909</v>
      </c>
      <c r="AM2880">
        <v>87.522021125492103</v>
      </c>
      <c r="AN2880">
        <v>0.99999996003457703</v>
      </c>
    </row>
    <row r="2881" spans="1:40" x14ac:dyDescent="0.25">
      <c r="A2881" t="str">
        <f>"20190312151327757"</f>
        <v>20190312151327757</v>
      </c>
      <c r="B2881" t="str">
        <f>"1552374807752526"</f>
        <v>1552374807752526</v>
      </c>
      <c r="C2881" t="s">
        <v>40</v>
      </c>
      <c r="D2881">
        <v>4.6596840000000004</v>
      </c>
      <c r="E2881">
        <v>0.52072289999999999</v>
      </c>
      <c r="F2881" t="s">
        <v>54</v>
      </c>
      <c r="G2881">
        <v>-367.39699999999999</v>
      </c>
      <c r="H2881" s="1">
        <v>2.3995099999999999E-6</v>
      </c>
      <c r="I2881">
        <v>209.99510000000001</v>
      </c>
      <c r="J2881">
        <v>-401.17059999999998</v>
      </c>
      <c r="K2881">
        <v>1.1101399999999999</v>
      </c>
      <c r="L2881">
        <v>213.42609999999999</v>
      </c>
      <c r="M2881">
        <v>0.99992840000000005</v>
      </c>
      <c r="N2881">
        <v>0</v>
      </c>
      <c r="O2881">
        <v>-3.3304540000000001E-3</v>
      </c>
      <c r="P2881">
        <v>0.99722469999999996</v>
      </c>
      <c r="Q2881">
        <v>5.8030819999999997E-2</v>
      </c>
      <c r="R2881">
        <v>-4.6640309999999997E-2</v>
      </c>
      <c r="S2881">
        <v>2.9999389999999999</v>
      </c>
      <c r="T2881">
        <v>-9.7742200000000001E-2</v>
      </c>
      <c r="U2881">
        <v>-0.30216979999999999</v>
      </c>
      <c r="V2881">
        <v>4.3296170000000002E-2</v>
      </c>
      <c r="W2881">
        <v>6.9504750000000004E-2</v>
      </c>
      <c r="X2881">
        <v>0.99664160000000002</v>
      </c>
      <c r="Y2881">
        <v>9.6854620000000002E-2</v>
      </c>
      <c r="Z2881">
        <v>-1.465222E-3</v>
      </c>
      <c r="AA2881">
        <v>0.9952974</v>
      </c>
      <c r="AB2881">
        <v>30</v>
      </c>
      <c r="AC2881">
        <v>33.773599999999902</v>
      </c>
      <c r="AD2881">
        <v>-1.1101376004900001</v>
      </c>
      <c r="AE2881">
        <v>-3.4309999999999801</v>
      </c>
      <c r="AF2881">
        <v>3.3149471156267101</v>
      </c>
      <c r="AG2881">
        <v>-1.1101376004900001</v>
      </c>
      <c r="AH2881">
        <v>33.748749321525501</v>
      </c>
      <c r="AI2881">
        <v>91.875001820738504</v>
      </c>
      <c r="AJ2881">
        <v>84.390157532596206</v>
      </c>
      <c r="AK2881">
        <v>33.929328915240703</v>
      </c>
      <c r="AL2881">
        <v>86.014457694654098</v>
      </c>
      <c r="AM2881">
        <v>87.512516991161107</v>
      </c>
      <c r="AN2881">
        <v>0.99999997372989502</v>
      </c>
    </row>
    <row r="2882" spans="1:40" x14ac:dyDescent="0.25">
      <c r="A2882" t="str">
        <f>"20190312151327779"</f>
        <v>20190312151327779</v>
      </c>
      <c r="B2882" t="str">
        <f>"1552374807773023"</f>
        <v>1552374807773023</v>
      </c>
      <c r="C2882" t="s">
        <v>40</v>
      </c>
      <c r="D2882">
        <v>4.6683399999999997</v>
      </c>
      <c r="E2882">
        <v>0.52095040000000004</v>
      </c>
      <c r="F2882" t="s">
        <v>54</v>
      </c>
      <c r="G2882">
        <v>-369.80439999999999</v>
      </c>
      <c r="H2882" s="1">
        <v>3.6806419999999999E-6</v>
      </c>
      <c r="I2882">
        <v>210.23939999999999</v>
      </c>
      <c r="J2882">
        <v>-400.8766</v>
      </c>
      <c r="K2882">
        <v>1.11015</v>
      </c>
      <c r="L2882">
        <v>213.4254</v>
      </c>
      <c r="M2882">
        <v>0.99992879999999995</v>
      </c>
      <c r="N2882">
        <v>0</v>
      </c>
      <c r="O2882">
        <v>-3.1329119999999998E-3</v>
      </c>
      <c r="P2882">
        <v>0.9971991</v>
      </c>
      <c r="Q2882">
        <v>5.8155449999999997E-2</v>
      </c>
      <c r="R2882">
        <v>-4.7030170000000003E-2</v>
      </c>
      <c r="S2882">
        <v>3.0002749999999998</v>
      </c>
      <c r="T2882">
        <v>-0.10618809999999999</v>
      </c>
      <c r="U2882">
        <v>-0.30482480000000001</v>
      </c>
      <c r="V2882">
        <v>4.3881620000000003E-2</v>
      </c>
      <c r="W2882">
        <v>6.9651729999999995E-2</v>
      </c>
      <c r="X2882">
        <v>0.99660579999999999</v>
      </c>
      <c r="Y2882">
        <v>9.7902329999999996E-2</v>
      </c>
      <c r="Z2882">
        <v>-1.616967E-3</v>
      </c>
      <c r="AA2882">
        <v>0.99519469999999999</v>
      </c>
      <c r="AB2882">
        <v>30</v>
      </c>
      <c r="AC2882">
        <v>31.072199999999999</v>
      </c>
      <c r="AD2882">
        <v>-1.1101463193579999</v>
      </c>
      <c r="AE2882">
        <v>-3.1859999999999999</v>
      </c>
      <c r="AF2882">
        <v>3.0847347836773098</v>
      </c>
      <c r="AG2882">
        <v>-1.1101463193579999</v>
      </c>
      <c r="AH2882">
        <v>31.042816125806102</v>
      </c>
      <c r="AI2882">
        <v>92.038096855115</v>
      </c>
      <c r="AJ2882">
        <v>84.325129496817596</v>
      </c>
      <c r="AK2882">
        <v>31.21545204793</v>
      </c>
      <c r="AL2882">
        <v>86.006016168476805</v>
      </c>
      <c r="AM2882">
        <v>87.478833956325701</v>
      </c>
      <c r="AN2882">
        <v>1.00000004032972</v>
      </c>
    </row>
    <row r="2883" spans="1:40" x14ac:dyDescent="0.25">
      <c r="A2883" t="str">
        <f>"20190312151327802"</f>
        <v>20190312151327802</v>
      </c>
      <c r="B2883" t="str">
        <f>"1552374807792544"</f>
        <v>1552374807792544</v>
      </c>
      <c r="C2883" t="s">
        <v>40</v>
      </c>
      <c r="D2883">
        <v>4.6585179999999999</v>
      </c>
      <c r="E2883">
        <v>0.52106319999999995</v>
      </c>
      <c r="F2883" t="s">
        <v>54</v>
      </c>
      <c r="G2883">
        <v>-371.06349999999998</v>
      </c>
      <c r="H2883" s="1">
        <v>-9.708662000000001E-7</v>
      </c>
      <c r="I2883">
        <v>210.36840000000001</v>
      </c>
      <c r="J2883">
        <v>-400.56740000000002</v>
      </c>
      <c r="K2883">
        <v>1.1101719999999999</v>
      </c>
      <c r="L2883">
        <v>213.4246</v>
      </c>
      <c r="M2883">
        <v>0.99992930000000002</v>
      </c>
      <c r="N2883">
        <v>0</v>
      </c>
      <c r="O2883">
        <v>-2.9048910000000002E-3</v>
      </c>
      <c r="P2883">
        <v>0.99718169999999995</v>
      </c>
      <c r="Q2883">
        <v>5.8333469999999998E-2</v>
      </c>
      <c r="R2883">
        <v>-4.7186020000000002E-2</v>
      </c>
      <c r="S2883">
        <v>3.0004580000000001</v>
      </c>
      <c r="T2883">
        <v>-0.1117281</v>
      </c>
      <c r="U2883">
        <v>-0.30766300000000002</v>
      </c>
      <c r="V2883">
        <v>4.4261799999999997E-2</v>
      </c>
      <c r="W2883">
        <v>6.9851990000000003E-2</v>
      </c>
      <c r="X2883">
        <v>0.99657490000000004</v>
      </c>
      <c r="Y2883">
        <v>9.9047529999999995E-2</v>
      </c>
      <c r="Z2883">
        <v>-1.7308099999999999E-3</v>
      </c>
      <c r="AA2883">
        <v>0.9950812</v>
      </c>
      <c r="AB2883">
        <v>30</v>
      </c>
      <c r="AC2883">
        <v>29.503900000000002</v>
      </c>
      <c r="AD2883">
        <v>-1.11017297086619</v>
      </c>
      <c r="AE2883">
        <v>-3.0561999999999898</v>
      </c>
      <c r="AF2883">
        <v>2.9663204639169898</v>
      </c>
      <c r="AG2883">
        <v>-1.11017297086619</v>
      </c>
      <c r="AH2883">
        <v>29.471369468873199</v>
      </c>
      <c r="AI2883">
        <v>92.146450921624194</v>
      </c>
      <c r="AJ2883">
        <v>84.252483510111404</v>
      </c>
      <c r="AK2883">
        <v>29.641072171747201</v>
      </c>
      <c r="AL2883">
        <v>85.994513816710693</v>
      </c>
      <c r="AM2883">
        <v>87.456940975043494</v>
      </c>
      <c r="AN2883">
        <v>0.99999996937810398</v>
      </c>
    </row>
    <row r="2884" spans="1:40" x14ac:dyDescent="0.25">
      <c r="A2884" t="str">
        <f>"20190312151327824"</f>
        <v>20190312151327824</v>
      </c>
      <c r="B2884" t="str">
        <f>"1552374807813038"</f>
        <v>1552374807813038</v>
      </c>
      <c r="C2884" t="s">
        <v>40</v>
      </c>
      <c r="D2884">
        <v>4.6685679999999996</v>
      </c>
      <c r="E2884">
        <v>0.5213179</v>
      </c>
      <c r="F2884" t="s">
        <v>54</v>
      </c>
      <c r="G2884">
        <v>-371.70280000000002</v>
      </c>
      <c r="H2884" s="1">
        <v>-6.3062869999999997E-7</v>
      </c>
      <c r="I2884">
        <v>210.4521</v>
      </c>
      <c r="J2884">
        <v>-400.25920000000002</v>
      </c>
      <c r="K2884">
        <v>1.110193</v>
      </c>
      <c r="L2884">
        <v>213.42400000000001</v>
      </c>
      <c r="M2884">
        <v>0.99992979999999998</v>
      </c>
      <c r="N2884">
        <v>0</v>
      </c>
      <c r="O2884">
        <v>-2.649958E-3</v>
      </c>
      <c r="P2884">
        <v>0.99719480000000005</v>
      </c>
      <c r="Q2884">
        <v>5.8194419999999997E-2</v>
      </c>
      <c r="R2884">
        <v>-4.7077960000000002E-2</v>
      </c>
      <c r="S2884">
        <v>3.00061</v>
      </c>
      <c r="T2884">
        <v>-0.1154078</v>
      </c>
      <c r="U2884">
        <v>-0.30900569999999999</v>
      </c>
      <c r="V2884">
        <v>4.44045E-2</v>
      </c>
      <c r="W2884">
        <v>6.973356E-2</v>
      </c>
      <c r="X2884">
        <v>0.99657689999999999</v>
      </c>
      <c r="Y2884">
        <v>9.9731639999999996E-2</v>
      </c>
      <c r="Z2884">
        <v>-1.8105339999999999E-3</v>
      </c>
      <c r="AA2884">
        <v>0.99501269999999997</v>
      </c>
      <c r="AB2884">
        <v>30</v>
      </c>
      <c r="AC2884">
        <v>28.5564</v>
      </c>
      <c r="AD2884">
        <v>-1.1101936306286999</v>
      </c>
      <c r="AE2884">
        <v>-2.9719000000000002</v>
      </c>
      <c r="AF2884">
        <v>2.8918871793234802</v>
      </c>
      <c r="AG2884">
        <v>-1.1101936306286999</v>
      </c>
      <c r="AH2884">
        <v>28.521529010801199</v>
      </c>
      <c r="AI2884">
        <v>92.217739820906004</v>
      </c>
      <c r="AJ2884">
        <v>84.210387484247704</v>
      </c>
      <c r="AK2884">
        <v>28.689251619193499</v>
      </c>
      <c r="AL2884">
        <v>86.0013161590159</v>
      </c>
      <c r="AM2884">
        <v>87.448758084086705</v>
      </c>
      <c r="AN2884">
        <v>1.0000000233120601</v>
      </c>
    </row>
    <row r="2885" spans="1:40" x14ac:dyDescent="0.25">
      <c r="A2885" t="str">
        <f>"20190312151327848"</f>
        <v>20190312151327848</v>
      </c>
      <c r="B2885" t="str">
        <f>"1552374807843296"</f>
        <v>1552374807843296</v>
      </c>
      <c r="C2885" t="s">
        <v>40</v>
      </c>
      <c r="D2885">
        <v>5.1572329999999997</v>
      </c>
      <c r="E2885">
        <v>0.52175959999999999</v>
      </c>
      <c r="F2885" t="s">
        <v>54</v>
      </c>
      <c r="G2885">
        <v>-373.20260000000002</v>
      </c>
      <c r="H2885" s="1">
        <v>1.674951E-7</v>
      </c>
      <c r="I2885">
        <v>210.62039999999999</v>
      </c>
      <c r="J2885">
        <v>-399.95600000000002</v>
      </c>
      <c r="K2885">
        <v>1.110214</v>
      </c>
      <c r="L2885">
        <v>213.42349999999999</v>
      </c>
      <c r="M2885">
        <v>0.9999304</v>
      </c>
      <c r="N2885">
        <v>0</v>
      </c>
      <c r="O2885">
        <v>-2.3612049999999999E-3</v>
      </c>
      <c r="P2885">
        <v>0.99720240000000004</v>
      </c>
      <c r="Q2885">
        <v>5.8063749999999997E-2</v>
      </c>
      <c r="R2885">
        <v>-4.7080209999999997E-2</v>
      </c>
      <c r="S2885">
        <v>3.0009769999999998</v>
      </c>
      <c r="T2885">
        <v>-0.123136999999999</v>
      </c>
      <c r="U2885">
        <v>-0.31095889999999998</v>
      </c>
      <c r="V2885">
        <v>4.4690050000000002E-2</v>
      </c>
      <c r="W2885">
        <v>6.9622249999999997E-2</v>
      </c>
      <c r="X2885">
        <v>0.99657189999999995</v>
      </c>
      <c r="Y2885">
        <v>0.1006365</v>
      </c>
      <c r="Z2885">
        <v>-1.961712E-3</v>
      </c>
      <c r="AA2885">
        <v>0.99492130000000001</v>
      </c>
      <c r="AB2885">
        <v>30</v>
      </c>
      <c r="AC2885">
        <v>26.7533999999999</v>
      </c>
      <c r="AD2885">
        <v>-1.1102138325049</v>
      </c>
      <c r="AE2885">
        <v>-2.8031000000000001</v>
      </c>
      <c r="AF2885">
        <v>2.7352584951136398</v>
      </c>
      <c r="AG2885">
        <v>-1.1102138325049</v>
      </c>
      <c r="AH2885">
        <v>26.714439485268599</v>
      </c>
      <c r="AI2885">
        <v>92.367398385910505</v>
      </c>
      <c r="AJ2885">
        <v>84.153928054396502</v>
      </c>
      <c r="AK2885">
        <v>26.877043937179099</v>
      </c>
      <c r="AL2885">
        <v>86.0077092173713</v>
      </c>
      <c r="AM2885">
        <v>87.432360949916301</v>
      </c>
      <c r="AN2885">
        <v>1.0000000050668301</v>
      </c>
    </row>
    <row r="2886" spans="1:40" x14ac:dyDescent="0.25">
      <c r="A2886" t="str">
        <f>"20190312151327869"</f>
        <v>20190312151327869</v>
      </c>
      <c r="B2886" t="str">
        <f>"1552374807862815"</f>
        <v>1552374807862815</v>
      </c>
      <c r="C2886" t="s">
        <v>40</v>
      </c>
      <c r="D2886">
        <v>4.6761359999999996</v>
      </c>
      <c r="E2886">
        <v>0.52196030000000004</v>
      </c>
      <c r="F2886" t="s">
        <v>54</v>
      </c>
      <c r="G2886">
        <v>-374.26260000000002</v>
      </c>
      <c r="H2886" s="1">
        <v>7.3153419999999998E-7</v>
      </c>
      <c r="I2886">
        <v>210.73179999999999</v>
      </c>
      <c r="J2886">
        <v>-399.65699999999998</v>
      </c>
      <c r="K2886">
        <v>1.1102479999999999</v>
      </c>
      <c r="L2886">
        <v>213.42310000000001</v>
      </c>
      <c r="M2886">
        <v>0.99993089999999996</v>
      </c>
      <c r="N2886">
        <v>0</v>
      </c>
      <c r="O2886">
        <v>-2.038794E-3</v>
      </c>
      <c r="P2886">
        <v>0.99721000000000004</v>
      </c>
      <c r="Q2886">
        <v>5.7932150000000002E-2</v>
      </c>
      <c r="R2886">
        <v>-4.7077870000000001E-2</v>
      </c>
      <c r="S2886">
        <v>3.0011290000000002</v>
      </c>
      <c r="T2886">
        <v>-0.12967880000000001</v>
      </c>
      <c r="U2886">
        <v>-0.3144073</v>
      </c>
      <c r="V2886">
        <v>4.5004639999999999E-2</v>
      </c>
      <c r="W2886">
        <v>6.950808E-2</v>
      </c>
      <c r="X2886">
        <v>0.9965657</v>
      </c>
      <c r="Y2886">
        <v>0.10207239999999999</v>
      </c>
      <c r="Z2886">
        <v>-2.1104219999999998E-3</v>
      </c>
      <c r="AA2886">
        <v>0.99477479999999996</v>
      </c>
      <c r="AB2886">
        <v>30</v>
      </c>
      <c r="AC2886">
        <v>25.394399999999901</v>
      </c>
      <c r="AD2886">
        <v>-1.11024726846579</v>
      </c>
      <c r="AE2886">
        <v>-2.6913000000000098</v>
      </c>
      <c r="AF2886">
        <v>2.6345371252828098</v>
      </c>
      <c r="AG2886">
        <v>-1.11024726846579</v>
      </c>
      <c r="AH2886">
        <v>25.351913844061301</v>
      </c>
      <c r="AI2886">
        <v>92.4941623944828</v>
      </c>
      <c r="AJ2886">
        <v>84.067194039947097</v>
      </c>
      <c r="AK2886">
        <v>25.5126041481135</v>
      </c>
      <c r="AL2886">
        <v>86.0142665125272</v>
      </c>
      <c r="AM2886">
        <v>87.414294757279194</v>
      </c>
      <c r="AN2886">
        <v>0.99999999261165295</v>
      </c>
    </row>
    <row r="2887" spans="1:40" x14ac:dyDescent="0.25">
      <c r="A2887" t="str">
        <f>"20190312151327892"</f>
        <v>20190312151327892</v>
      </c>
      <c r="B2887" t="str">
        <f>"1552374807883311"</f>
        <v>1552374807883311</v>
      </c>
      <c r="C2887" t="s">
        <v>40</v>
      </c>
      <c r="D2887">
        <v>4.9989800000000004</v>
      </c>
      <c r="E2887">
        <v>0.52205809999999997</v>
      </c>
      <c r="F2887" t="s">
        <v>54</v>
      </c>
      <c r="G2887">
        <v>-374.29570000000001</v>
      </c>
      <c r="H2887" s="1">
        <v>7.491454E-7</v>
      </c>
      <c r="I2887">
        <v>210.756</v>
      </c>
      <c r="J2887">
        <v>-399.35160000000002</v>
      </c>
      <c r="K2887">
        <v>1.110276</v>
      </c>
      <c r="L2887">
        <v>213.4229</v>
      </c>
      <c r="M2887">
        <v>0.99993140000000003</v>
      </c>
      <c r="N2887">
        <v>0</v>
      </c>
      <c r="O2887">
        <v>-1.6773000000000001E-3</v>
      </c>
      <c r="P2887">
        <v>0.99723320000000004</v>
      </c>
      <c r="Q2887">
        <v>5.7605469999999999E-2</v>
      </c>
      <c r="R2887">
        <v>-4.6985789999999999E-2</v>
      </c>
      <c r="S2887">
        <v>3.0011290000000002</v>
      </c>
      <c r="T2887">
        <v>-0.13138069999999999</v>
      </c>
      <c r="U2887">
        <v>-0.31561280000000003</v>
      </c>
      <c r="V2887">
        <v>4.5268450000000002E-2</v>
      </c>
      <c r="W2887">
        <v>6.9196980000000005E-2</v>
      </c>
      <c r="X2887">
        <v>0.9965754</v>
      </c>
      <c r="Y2887">
        <v>0.10282380000000001</v>
      </c>
      <c r="Z2887">
        <v>-2.1702140000000002E-3</v>
      </c>
      <c r="AA2887">
        <v>0.99469719999999995</v>
      </c>
      <c r="AB2887">
        <v>30</v>
      </c>
      <c r="AC2887">
        <v>25.055900000000001</v>
      </c>
      <c r="AD2887">
        <v>-1.1102752508546001</v>
      </c>
      <c r="AE2887">
        <v>-2.66690000000002</v>
      </c>
      <c r="AF2887">
        <v>2.6197807248001199</v>
      </c>
      <c r="AG2887">
        <v>-1.1102752508546001</v>
      </c>
      <c r="AH2887">
        <v>25.011776599856901</v>
      </c>
      <c r="AI2887">
        <v>92.527886136507703</v>
      </c>
      <c r="AJ2887">
        <v>84.020534854471293</v>
      </c>
      <c r="AK2887">
        <v>25.173099349500902</v>
      </c>
      <c r="AL2887">
        <v>86.032134245992495</v>
      </c>
      <c r="AM2887">
        <v>87.399183798929101</v>
      </c>
      <c r="AN2887">
        <v>0.99999999124584105</v>
      </c>
    </row>
    <row r="2888" spans="1:40" x14ac:dyDescent="0.25">
      <c r="A2888" t="str">
        <f>"20190312151327914"</f>
        <v>20190312151327914</v>
      </c>
      <c r="B2888" t="str">
        <f>"1552374807902831"</f>
        <v>1552374807902831</v>
      </c>
      <c r="C2888" t="s">
        <v>40</v>
      </c>
      <c r="D2888">
        <v>4.7827510000000002</v>
      </c>
      <c r="E2888">
        <v>0.50507659999999999</v>
      </c>
      <c r="F2888" t="s">
        <v>54</v>
      </c>
      <c r="G2888">
        <v>-374.77530000000002</v>
      </c>
      <c r="H2888" s="1">
        <v>1.004374E-6</v>
      </c>
      <c r="I2888">
        <v>210.8347</v>
      </c>
      <c r="J2888">
        <v>-399.04450000000003</v>
      </c>
      <c r="K2888">
        <v>1.110304</v>
      </c>
      <c r="L2888">
        <v>213.4228</v>
      </c>
      <c r="M2888">
        <v>0.99993189999999998</v>
      </c>
      <c r="N2888">
        <v>0</v>
      </c>
      <c r="O2888">
        <v>-1.280427E-3</v>
      </c>
      <c r="P2888">
        <v>0.99728329999999998</v>
      </c>
      <c r="Q2888">
        <v>5.7366500000000001E-2</v>
      </c>
      <c r="R2888">
        <v>-4.6210460000000002E-2</v>
      </c>
      <c r="S2888">
        <v>3.0012819999999998</v>
      </c>
      <c r="T2888">
        <v>-0.1355876</v>
      </c>
      <c r="U2888">
        <v>-0.31607059999999998</v>
      </c>
      <c r="V2888">
        <v>4.4884760000000003E-2</v>
      </c>
      <c r="W2888">
        <v>6.8972450000000005E-2</v>
      </c>
      <c r="X2888">
        <v>0.9966083</v>
      </c>
      <c r="Y2888">
        <v>0.1033562</v>
      </c>
      <c r="Z2888">
        <v>-2.2693639999999998E-3</v>
      </c>
      <c r="AA2888">
        <v>0.99464180000000002</v>
      </c>
      <c r="AB2888">
        <v>30</v>
      </c>
      <c r="AC2888">
        <v>24.269200000000001</v>
      </c>
      <c r="AD2888">
        <v>-1.110302995626</v>
      </c>
      <c r="AE2888">
        <v>-2.5880999999999901</v>
      </c>
      <c r="AF2888">
        <v>2.5517400759202098</v>
      </c>
      <c r="AG2888">
        <v>-1.110302995626</v>
      </c>
      <c r="AH2888">
        <v>24.2223665210151</v>
      </c>
      <c r="AI2888">
        <v>92.610059548334604</v>
      </c>
      <c r="AJ2888">
        <v>83.986274675777295</v>
      </c>
      <c r="AK2888">
        <v>24.381697849730301</v>
      </c>
      <c r="AL2888">
        <v>86.045029601406597</v>
      </c>
      <c r="AM2888">
        <v>87.421283138333294</v>
      </c>
      <c r="AN2888">
        <v>0.99999997208407398</v>
      </c>
    </row>
    <row r="2889" spans="1:40" x14ac:dyDescent="0.25">
      <c r="A2889" t="str">
        <f>"20190312151327937"</f>
        <v>20190312151327937</v>
      </c>
      <c r="B2889" t="str">
        <f>"1552374807933086"</f>
        <v>1552374807933086</v>
      </c>
      <c r="C2889" t="s">
        <v>40</v>
      </c>
      <c r="D2889">
        <v>4.7093489999999996</v>
      </c>
      <c r="E2889">
        <v>0.50823960000000001</v>
      </c>
      <c r="F2889" t="s">
        <v>41</v>
      </c>
      <c r="G2889">
        <v>-398.16550000000001</v>
      </c>
      <c r="H2889">
        <v>1.0411999999999999</v>
      </c>
      <c r="I2889">
        <v>213.37020000000001</v>
      </c>
      <c r="J2889">
        <v>-398.72910000000002</v>
      </c>
      <c r="K2889">
        <v>1.1103289999999999</v>
      </c>
      <c r="L2889">
        <v>213.4229</v>
      </c>
      <c r="M2889">
        <v>0.99993220000000005</v>
      </c>
      <c r="N2889">
        <v>0</v>
      </c>
      <c r="O2889">
        <v>-8.3815379999999996E-4</v>
      </c>
      <c r="P2889">
        <v>0.99732969999999999</v>
      </c>
      <c r="Q2889">
        <v>5.7094939999999997E-2</v>
      </c>
      <c r="R2889">
        <v>-4.5539839999999998E-2</v>
      </c>
      <c r="S2889">
        <v>3.01355</v>
      </c>
      <c r="T2889">
        <v>-0.2371646</v>
      </c>
      <c r="U2889">
        <v>-0.1787415</v>
      </c>
      <c r="V2889">
        <v>4.465123E-2</v>
      </c>
      <c r="W2889">
        <v>6.8716050000000001E-2</v>
      </c>
      <c r="X2889">
        <v>0.99663650000000004</v>
      </c>
      <c r="Y2889">
        <v>5.8195049999999998E-2</v>
      </c>
      <c r="Z2889">
        <v>-2.2186179999999999E-3</v>
      </c>
      <c r="AA2889">
        <v>0.99830280000000005</v>
      </c>
      <c r="AB2889">
        <v>30</v>
      </c>
      <c r="AC2889">
        <v>0.56360000000000798</v>
      </c>
      <c r="AD2889">
        <v>-6.9129000000000204E-2</v>
      </c>
      <c r="AE2889">
        <v>-5.2699999999987299E-2</v>
      </c>
      <c r="AF2889">
        <v>5.14600838333042E-2</v>
      </c>
      <c r="AG2889">
        <v>-6.9129000000000204E-2</v>
      </c>
      <c r="AH2889">
        <v>0.55536124664419295</v>
      </c>
      <c r="AI2889">
        <v>97.065479119642703</v>
      </c>
      <c r="AJ2889">
        <v>84.706057705164596</v>
      </c>
      <c r="AK2889">
        <v>0.56200807213359805</v>
      </c>
      <c r="AL2889">
        <v>86.059755171082202</v>
      </c>
      <c r="AM2889">
        <v>87.434754410591694</v>
      </c>
      <c r="AN2889">
        <v>0.99999997050018197</v>
      </c>
    </row>
    <row r="2890" spans="1:40" x14ac:dyDescent="0.25">
      <c r="A2890" t="str">
        <f>"20190312151327957"</f>
        <v>20190312151327957</v>
      </c>
      <c r="B2890" t="str">
        <f>"1552374807952606"</f>
        <v>1552374807952606</v>
      </c>
      <c r="C2890" t="s">
        <v>40</v>
      </c>
      <c r="D2890">
        <v>4.6644899999999998</v>
      </c>
      <c r="E2890">
        <v>0.50926099999999996</v>
      </c>
      <c r="F2890" t="s">
        <v>41</v>
      </c>
      <c r="G2890">
        <v>-397.88670000000002</v>
      </c>
      <c r="H2890">
        <v>1.051779</v>
      </c>
      <c r="I2890">
        <v>213.36590000000001</v>
      </c>
      <c r="J2890">
        <v>-398.46510000000001</v>
      </c>
      <c r="K2890">
        <v>1.110344</v>
      </c>
      <c r="L2890">
        <v>213.423</v>
      </c>
      <c r="M2890">
        <v>0.9999323</v>
      </c>
      <c r="N2890">
        <v>0</v>
      </c>
      <c r="O2890">
        <v>-4.4386840000000001E-4</v>
      </c>
      <c r="P2890">
        <v>0.99736119999999995</v>
      </c>
      <c r="Q2890">
        <v>5.717531E-2</v>
      </c>
      <c r="R2890">
        <v>-4.4745519999999997E-2</v>
      </c>
      <c r="S2890">
        <v>3.010834</v>
      </c>
      <c r="T2890">
        <v>-0.20948729999999999</v>
      </c>
      <c r="U2890">
        <v>-0.2019958</v>
      </c>
      <c r="V2890">
        <v>4.4246920000000002E-2</v>
      </c>
      <c r="W2890">
        <v>6.8810720000000006E-2</v>
      </c>
      <c r="X2890">
        <v>0.99664799999999998</v>
      </c>
      <c r="Y2890">
        <v>6.6337699999999999E-2</v>
      </c>
      <c r="Z2890">
        <v>-2.2716390000000002E-3</v>
      </c>
      <c r="AA2890">
        <v>0.99779459999999998</v>
      </c>
      <c r="AB2890">
        <v>30</v>
      </c>
      <c r="AC2890">
        <v>0.57839999999998704</v>
      </c>
      <c r="AD2890">
        <v>-5.8564999999999902E-2</v>
      </c>
      <c r="AE2890">
        <v>-5.7099999999991199E-2</v>
      </c>
      <c r="AF2890">
        <v>5.6271897459466001E-2</v>
      </c>
      <c r="AG2890">
        <v>-5.8564999999999902E-2</v>
      </c>
      <c r="AH2890">
        <v>0.57261138810680301</v>
      </c>
      <c r="AI2890">
        <v>95.811933258715499</v>
      </c>
      <c r="AJ2890">
        <v>84.387427474094494</v>
      </c>
      <c r="AK2890">
        <v>0.57834262116697599</v>
      </c>
      <c r="AL2890">
        <v>86.054318109972897</v>
      </c>
      <c r="AM2890">
        <v>87.457980998352596</v>
      </c>
      <c r="AN2890">
        <v>0.99999997051020195</v>
      </c>
    </row>
    <row r="2891" spans="1:40" x14ac:dyDescent="0.25">
      <c r="A2891" t="str">
        <f>"20190312151327980"</f>
        <v>20190312151327980</v>
      </c>
      <c r="B2891" t="str">
        <f>"1552374807973103"</f>
        <v>1552374807973103</v>
      </c>
      <c r="C2891" t="s">
        <v>40</v>
      </c>
      <c r="D2891">
        <v>5.2652159999999997</v>
      </c>
      <c r="E2891">
        <v>0.50896220000000003</v>
      </c>
      <c r="F2891" t="s">
        <v>54</v>
      </c>
      <c r="G2891">
        <v>-380.08269999999999</v>
      </c>
      <c r="H2891" s="1">
        <v>-1.385143E-6</v>
      </c>
      <c r="I2891">
        <v>212.1534</v>
      </c>
      <c r="J2891">
        <v>-398.14729999999997</v>
      </c>
      <c r="K2891">
        <v>1.110368</v>
      </c>
      <c r="L2891">
        <v>213.42339999999999</v>
      </c>
      <c r="M2891">
        <v>0.99993220000000005</v>
      </c>
      <c r="N2891">
        <v>0</v>
      </c>
      <c r="O2891" s="1">
        <v>5.3235220000000003E-5</v>
      </c>
      <c r="P2891">
        <v>0.99742059999999999</v>
      </c>
      <c r="Q2891">
        <v>5.7112129999999997E-2</v>
      </c>
      <c r="R2891">
        <v>-4.348167E-2</v>
      </c>
      <c r="S2891">
        <v>3.009064</v>
      </c>
      <c r="T2891">
        <v>-0.18175450000000001</v>
      </c>
      <c r="U2891">
        <v>-0.20784</v>
      </c>
      <c r="V2891">
        <v>4.3475180000000002E-2</v>
      </c>
      <c r="W2891">
        <v>6.8766469999999996E-2</v>
      </c>
      <c r="X2891">
        <v>0.99668500000000004</v>
      </c>
      <c r="Y2891">
        <v>6.8835279999999999E-2</v>
      </c>
      <c r="Z2891">
        <v>-2.0777579999999999E-3</v>
      </c>
      <c r="AA2891">
        <v>0.99762589999999995</v>
      </c>
      <c r="AB2891">
        <v>30</v>
      </c>
      <c r="AC2891">
        <v>18.064599999999899</v>
      </c>
      <c r="AD2891">
        <v>-1.1103693851430001</v>
      </c>
      <c r="AE2891">
        <v>-1.26999999999998</v>
      </c>
      <c r="AF2891">
        <v>1.26620137625521</v>
      </c>
      <c r="AG2891">
        <v>-1.1103693851430001</v>
      </c>
      <c r="AH2891">
        <v>17.996872040006998</v>
      </c>
      <c r="AI2891">
        <v>93.521870524029893</v>
      </c>
      <c r="AJ2891">
        <v>85.975487125655505</v>
      </c>
      <c r="AK2891">
        <v>18.075496931511399</v>
      </c>
      <c r="AL2891">
        <v>86.056859402702699</v>
      </c>
      <c r="AM2891">
        <v>87.502354002455505</v>
      </c>
      <c r="AN2891">
        <v>0.99999995394864505</v>
      </c>
    </row>
    <row r="2892" spans="1:40" x14ac:dyDescent="0.25">
      <c r="A2892" t="str">
        <f>"20190312151328003"</f>
        <v>20190312151328003</v>
      </c>
      <c r="B2892" t="str">
        <f>"1552374807992623"</f>
        <v>1552374807992623</v>
      </c>
      <c r="C2892" t="s">
        <v>40</v>
      </c>
      <c r="D2892">
        <v>4.898072</v>
      </c>
      <c r="E2892">
        <v>0.50835969999999997</v>
      </c>
      <c r="F2892" t="s">
        <v>54</v>
      </c>
      <c r="G2892">
        <v>-380.315</v>
      </c>
      <c r="H2892" s="1">
        <v>-1.2648149999999999E-6</v>
      </c>
      <c r="I2892">
        <v>212.22890000000001</v>
      </c>
      <c r="J2892">
        <v>-397.8451</v>
      </c>
      <c r="K2892">
        <v>1.110385</v>
      </c>
      <c r="L2892">
        <v>213.42400000000001</v>
      </c>
      <c r="M2892">
        <v>0.99993180000000004</v>
      </c>
      <c r="N2892">
        <v>0</v>
      </c>
      <c r="O2892">
        <v>5.4282739999999999E-4</v>
      </c>
      <c r="P2892">
        <v>0.99748239999999999</v>
      </c>
      <c r="Q2892">
        <v>5.6957679999999997E-2</v>
      </c>
      <c r="R2892">
        <v>-4.2249219999999997E-2</v>
      </c>
      <c r="S2892">
        <v>3.009735</v>
      </c>
      <c r="T2892">
        <v>-0.18740809999999999</v>
      </c>
      <c r="U2892">
        <v>-0.2016144</v>
      </c>
      <c r="V2892">
        <v>4.2728330000000002E-2</v>
      </c>
      <c r="W2892">
        <v>6.862994E-2</v>
      </c>
      <c r="X2892">
        <v>0.99672680000000002</v>
      </c>
      <c r="Y2892">
        <v>6.7248559999999999E-2</v>
      </c>
      <c r="Z2892">
        <v>-2.1230659999999998E-3</v>
      </c>
      <c r="AA2892">
        <v>0.99773400000000001</v>
      </c>
      <c r="AB2892">
        <v>30</v>
      </c>
      <c r="AC2892">
        <v>17.530100000000001</v>
      </c>
      <c r="AD2892">
        <v>-1.110386264815</v>
      </c>
      <c r="AE2892">
        <v>-1.1950999999999901</v>
      </c>
      <c r="AF2892">
        <v>1.1998246592289701</v>
      </c>
      <c r="AG2892">
        <v>-1.110386264815</v>
      </c>
      <c r="AH2892">
        <v>17.459721334540198</v>
      </c>
      <c r="AI2892">
        <v>93.630401186133298</v>
      </c>
      <c r="AJ2892">
        <v>86.068838658421001</v>
      </c>
      <c r="AK2892">
        <v>17.5360886730702</v>
      </c>
      <c r="AL2892">
        <v>86.064700884760796</v>
      </c>
      <c r="AM2892">
        <v>87.545310357804098</v>
      </c>
      <c r="AN2892">
        <v>1.0000000463436101</v>
      </c>
    </row>
    <row r="2893" spans="1:40" x14ac:dyDescent="0.25">
      <c r="A2893" t="str">
        <f>"20190312151328024"</f>
        <v>20190312151328024</v>
      </c>
      <c r="B2893" t="str">
        <f>"1552374808013119"</f>
        <v>1552374808013119</v>
      </c>
      <c r="C2893" t="s">
        <v>40</v>
      </c>
      <c r="D2893">
        <v>4.99132</v>
      </c>
      <c r="E2893">
        <v>0.50727730000000004</v>
      </c>
      <c r="F2893" t="s">
        <v>54</v>
      </c>
      <c r="G2893">
        <v>-381.01710000000003</v>
      </c>
      <c r="H2893" s="1">
        <v>-8.9630279999999999E-7</v>
      </c>
      <c r="I2893">
        <v>212.3459</v>
      </c>
      <c r="J2893">
        <v>-397.54759999999999</v>
      </c>
      <c r="K2893">
        <v>1.1104050000000001</v>
      </c>
      <c r="L2893">
        <v>213.4247</v>
      </c>
      <c r="M2893">
        <v>0.99993140000000003</v>
      </c>
      <c r="N2893">
        <v>0</v>
      </c>
      <c r="O2893">
        <v>1.0359950000000001E-3</v>
      </c>
      <c r="P2893">
        <v>0.99753849999999999</v>
      </c>
      <c r="Q2893">
        <v>5.6937620000000001E-2</v>
      </c>
      <c r="R2893">
        <v>-4.093289E-2</v>
      </c>
      <c r="S2893">
        <v>3.0108030000000001</v>
      </c>
      <c r="T2893">
        <v>-0.1986665</v>
      </c>
      <c r="U2893">
        <v>-0.19288640000000001</v>
      </c>
      <c r="V2893">
        <v>4.1901969999999997E-2</v>
      </c>
      <c r="W2893">
        <v>6.8626129999999994E-2</v>
      </c>
      <c r="X2893">
        <v>0.99676209999999998</v>
      </c>
      <c r="Y2893">
        <v>6.4824960000000001E-2</v>
      </c>
      <c r="Z2893">
        <v>-2.20244E-3</v>
      </c>
      <c r="AA2893">
        <v>0.99789419999999995</v>
      </c>
      <c r="AB2893">
        <v>30</v>
      </c>
      <c r="AC2893">
        <v>16.5304999999999</v>
      </c>
      <c r="AD2893">
        <v>-1.1104058963027901</v>
      </c>
      <c r="AE2893">
        <v>-1.0788</v>
      </c>
      <c r="AF2893">
        <v>1.0910240252394099</v>
      </c>
      <c r="AG2893">
        <v>-1.1104058963027901</v>
      </c>
      <c r="AH2893">
        <v>16.455437542931801</v>
      </c>
      <c r="AI2893">
        <v>93.852010590530796</v>
      </c>
      <c r="AJ2893">
        <v>86.206742313429203</v>
      </c>
      <c r="AK2893">
        <v>16.528906781984201</v>
      </c>
      <c r="AL2893">
        <v>86.0649195243777</v>
      </c>
      <c r="AM2893">
        <v>87.592812470851598</v>
      </c>
      <c r="AN2893">
        <v>1.00000000240253</v>
      </c>
    </row>
    <row r="2894" spans="1:40" x14ac:dyDescent="0.25">
      <c r="A2894" t="str">
        <f>"20190312151328046"</f>
        <v>20190312151328046</v>
      </c>
      <c r="B2894" t="str">
        <f>"1552374808043375"</f>
        <v>1552374808043375</v>
      </c>
      <c r="C2894" t="s">
        <v>40</v>
      </c>
      <c r="D2894">
        <v>4.7934469999999996</v>
      </c>
      <c r="E2894">
        <v>0.50766319999999998</v>
      </c>
      <c r="F2894" t="s">
        <v>54</v>
      </c>
      <c r="G2894">
        <v>-381.49919999999997</v>
      </c>
      <c r="H2894" s="1">
        <v>-6.449245E-7</v>
      </c>
      <c r="I2894">
        <v>212.4649</v>
      </c>
      <c r="J2894">
        <v>-397.2602</v>
      </c>
      <c r="K2894">
        <v>1.1104149999999999</v>
      </c>
      <c r="L2894">
        <v>213.4255</v>
      </c>
      <c r="M2894">
        <v>0.9999306</v>
      </c>
      <c r="N2894">
        <v>0</v>
      </c>
      <c r="O2894">
        <v>1.5205220000000001E-3</v>
      </c>
      <c r="P2894">
        <v>0.9975446</v>
      </c>
      <c r="Q2894">
        <v>5.7196419999999998E-2</v>
      </c>
      <c r="R2894">
        <v>-4.0419679999999999E-2</v>
      </c>
      <c r="S2894">
        <v>3.0119020000000001</v>
      </c>
      <c r="T2894">
        <v>-0.2083972</v>
      </c>
      <c r="U2894">
        <v>-0.18012999999999901</v>
      </c>
      <c r="V2894">
        <v>4.1870629999999999E-2</v>
      </c>
      <c r="W2894">
        <v>6.8899680000000005E-2</v>
      </c>
      <c r="X2894">
        <v>0.99674459999999998</v>
      </c>
      <c r="Y2894">
        <v>6.1068129999999998E-2</v>
      </c>
      <c r="Z2894">
        <v>-2.2132860000000001E-3</v>
      </c>
      <c r="AA2894">
        <v>0.9981312</v>
      </c>
      <c r="AB2894">
        <v>30</v>
      </c>
      <c r="AC2894">
        <v>15.760999999999999</v>
      </c>
      <c r="AD2894">
        <v>-1.1104156449245</v>
      </c>
      <c r="AE2894">
        <v>-0.96059999999999901</v>
      </c>
      <c r="AF2894">
        <v>0.97972045283660802</v>
      </c>
      <c r="AG2894">
        <v>-1.1104156449245</v>
      </c>
      <c r="AH2894">
        <v>15.6819688987384</v>
      </c>
      <c r="AI2894">
        <v>94.042409317681901</v>
      </c>
      <c r="AJ2894">
        <v>86.425130858868101</v>
      </c>
      <c r="AK2894">
        <v>15.751730813189999</v>
      </c>
      <c r="AL2894">
        <v>86.049209292169607</v>
      </c>
      <c r="AM2894">
        <v>87.594568595822295</v>
      </c>
      <c r="AN2894">
        <v>1.0000000565949201</v>
      </c>
    </row>
    <row r="2895" spans="1:40" x14ac:dyDescent="0.25">
      <c r="A2895" t="str">
        <f>"20190312151328068"</f>
        <v>20190312151328068</v>
      </c>
      <c r="B2895" t="str">
        <f>"1552374808062895"</f>
        <v>1552374808062895</v>
      </c>
      <c r="C2895" t="s">
        <v>40</v>
      </c>
      <c r="D2895">
        <v>4.7846260000000003</v>
      </c>
      <c r="E2895">
        <v>0.50776449999999995</v>
      </c>
      <c r="F2895" t="s">
        <v>41</v>
      </c>
      <c r="G2895">
        <v>-396.2681</v>
      </c>
      <c r="H2895">
        <v>1.038853</v>
      </c>
      <c r="I2895">
        <v>213.36539999999999</v>
      </c>
      <c r="J2895">
        <v>-396.95409999999998</v>
      </c>
      <c r="K2895">
        <v>1.110422</v>
      </c>
      <c r="L2895">
        <v>213.4265</v>
      </c>
      <c r="M2895">
        <v>0.99992930000000002</v>
      </c>
      <c r="N2895">
        <v>0</v>
      </c>
      <c r="O2895">
        <v>2.040774E-3</v>
      </c>
      <c r="P2895">
        <v>0.99756080000000003</v>
      </c>
      <c r="Q2895">
        <v>5.7228569999999999E-2</v>
      </c>
      <c r="R2895">
        <v>-3.9964710000000001E-2</v>
      </c>
      <c r="S2895">
        <v>3.012451</v>
      </c>
      <c r="T2895">
        <v>-0.21743570000000001</v>
      </c>
      <c r="U2895">
        <v>-0.18179319999999999</v>
      </c>
      <c r="V2895">
        <v>4.1934159999999998E-2</v>
      </c>
      <c r="W2895">
        <v>6.8945800000000002E-2</v>
      </c>
      <c r="X2895">
        <v>0.99673869999999998</v>
      </c>
      <c r="Y2895">
        <v>6.2108480000000001E-2</v>
      </c>
      <c r="Z2895">
        <v>-2.3835150000000001E-3</v>
      </c>
      <c r="AA2895">
        <v>0.99806649999999997</v>
      </c>
      <c r="AB2895">
        <v>30</v>
      </c>
      <c r="AC2895">
        <v>0.68599999999997796</v>
      </c>
      <c r="AD2895">
        <v>-7.1568999999999994E-2</v>
      </c>
      <c r="AE2895">
        <v>-6.1100000000010299E-2</v>
      </c>
      <c r="AF2895">
        <v>6.1832234260374798E-2</v>
      </c>
      <c r="AG2895">
        <v>-7.1568999999999994E-2</v>
      </c>
      <c r="AH2895">
        <v>0.67854647604363005</v>
      </c>
      <c r="AI2895">
        <v>95.996290700838799</v>
      </c>
      <c r="AJ2895">
        <v>84.793328293301599</v>
      </c>
      <c r="AK2895">
        <v>0.68510631810388301</v>
      </c>
      <c r="AL2895">
        <v>86.046560353782695</v>
      </c>
      <c r="AM2895">
        <v>87.590908905924607</v>
      </c>
      <c r="AN2895">
        <v>1.00000001659511</v>
      </c>
    </row>
    <row r="2896" spans="1:40" x14ac:dyDescent="0.25">
      <c r="A2896" t="str">
        <f>"20190312151328093"</f>
        <v>20190312151328093</v>
      </c>
      <c r="B2896" t="str">
        <f>"1552374808083390"</f>
        <v>1552374808083390</v>
      </c>
      <c r="C2896" t="s">
        <v>40</v>
      </c>
      <c r="D2896">
        <v>4.9546469999999996</v>
      </c>
      <c r="E2896">
        <v>0.50705659999999997</v>
      </c>
      <c r="F2896" t="s">
        <v>41</v>
      </c>
      <c r="G2896">
        <v>-395.99630000000002</v>
      </c>
      <c r="H2896">
        <v>1.0396860000000001</v>
      </c>
      <c r="I2896">
        <v>213.3689</v>
      </c>
      <c r="J2896">
        <v>-396.62389999999999</v>
      </c>
      <c r="K2896">
        <v>1.110425</v>
      </c>
      <c r="L2896">
        <v>213.42779999999999</v>
      </c>
      <c r="M2896">
        <v>0.99992809999999999</v>
      </c>
      <c r="N2896">
        <v>0</v>
      </c>
      <c r="O2896">
        <v>2.603321E-3</v>
      </c>
      <c r="P2896">
        <v>0.99756900000000004</v>
      </c>
      <c r="Q2896">
        <v>5.7738299999999999E-2</v>
      </c>
      <c r="R2896">
        <v>-3.902535E-2</v>
      </c>
      <c r="S2896">
        <v>3.012848</v>
      </c>
      <c r="T2896">
        <v>-0.222551</v>
      </c>
      <c r="U2896">
        <v>-0.1809692</v>
      </c>
      <c r="V2896">
        <v>4.1554889999999997E-2</v>
      </c>
      <c r="W2896">
        <v>6.9468600000000005E-2</v>
      </c>
      <c r="X2896">
        <v>0.99671829999999995</v>
      </c>
      <c r="Y2896">
        <v>6.237997E-2</v>
      </c>
      <c r="Z2896">
        <v>-2.4906070000000002E-3</v>
      </c>
      <c r="AA2896">
        <v>0.99804939999999998</v>
      </c>
      <c r="AB2896">
        <v>30</v>
      </c>
      <c r="AC2896">
        <v>0.62759999999997196</v>
      </c>
      <c r="AD2896">
        <v>-7.0738999999999802E-2</v>
      </c>
      <c r="AE2896">
        <v>-5.8899999999994103E-2</v>
      </c>
      <c r="AF2896">
        <v>5.9780910699186902E-2</v>
      </c>
      <c r="AG2896">
        <v>-7.0738999999999802E-2</v>
      </c>
      <c r="AH2896">
        <v>0.61964112829217399</v>
      </c>
      <c r="AI2896">
        <v>96.482919009214996</v>
      </c>
      <c r="AJ2896">
        <v>84.489349185628797</v>
      </c>
      <c r="AK2896">
        <v>0.62652445385333699</v>
      </c>
      <c r="AL2896">
        <v>86.016534189845999</v>
      </c>
      <c r="AM2896">
        <v>87.612623598680699</v>
      </c>
      <c r="AN2896">
        <v>1.0000000324118801</v>
      </c>
    </row>
    <row r="2897" spans="1:40" x14ac:dyDescent="0.25">
      <c r="A2897" t="str">
        <f>"20190312151328116"</f>
        <v>20190312151328116</v>
      </c>
      <c r="B2897" t="str">
        <f>"1552374808112671"</f>
        <v>1552374808112671</v>
      </c>
      <c r="C2897" t="s">
        <v>40</v>
      </c>
      <c r="D2897">
        <v>4.7189249999999996</v>
      </c>
      <c r="E2897">
        <v>0.45645970000000002</v>
      </c>
      <c r="F2897" t="s">
        <v>41</v>
      </c>
      <c r="G2897">
        <v>-395.72219999999999</v>
      </c>
      <c r="H2897">
        <v>1.0449469999999901</v>
      </c>
      <c r="I2897">
        <v>213.37569999999999</v>
      </c>
      <c r="J2897">
        <v>-396.30990000000003</v>
      </c>
      <c r="K2897">
        <v>1.11043</v>
      </c>
      <c r="L2897">
        <v>213.42920000000001</v>
      </c>
      <c r="M2897">
        <v>0.99992630000000005</v>
      </c>
      <c r="N2897">
        <v>0</v>
      </c>
      <c r="O2897">
        <v>3.137735E-3</v>
      </c>
      <c r="P2897">
        <v>0.99759960000000003</v>
      </c>
      <c r="Q2897">
        <v>5.7925890000000001E-2</v>
      </c>
      <c r="R2897">
        <v>-3.7945020000000003E-2</v>
      </c>
      <c r="S2897">
        <v>3.013245</v>
      </c>
      <c r="T2897">
        <v>-0.21906500000000001</v>
      </c>
      <c r="U2897">
        <v>-0.17260739999999999</v>
      </c>
      <c r="V2897">
        <v>4.100753E-2</v>
      </c>
      <c r="W2897">
        <v>6.9667439999999997E-2</v>
      </c>
      <c r="X2897">
        <v>0.99672700000000003</v>
      </c>
      <c r="Y2897">
        <v>6.0155189999999997E-2</v>
      </c>
      <c r="Z2897">
        <v>-2.4096479999999999E-3</v>
      </c>
      <c r="AA2897">
        <v>0.99818609999999997</v>
      </c>
      <c r="AB2897">
        <v>30</v>
      </c>
      <c r="AC2897">
        <v>0.58770000000003997</v>
      </c>
      <c r="AD2897">
        <v>-6.5483000000000097E-2</v>
      </c>
      <c r="AE2897">
        <v>-5.35000000000138E-2</v>
      </c>
      <c r="AF2897">
        <v>5.46707528553151E-2</v>
      </c>
      <c r="AG2897">
        <v>-6.5483000000000097E-2</v>
      </c>
      <c r="AH2897">
        <v>0.58038300776546004</v>
      </c>
      <c r="AI2897">
        <v>96.409165443113196</v>
      </c>
      <c r="AJ2897">
        <v>84.618747360634302</v>
      </c>
      <c r="AK2897">
        <v>0.58661857301797804</v>
      </c>
      <c r="AL2897">
        <v>86.005113462976496</v>
      </c>
      <c r="AM2897">
        <v>87.644054933031299</v>
      </c>
      <c r="AN2897">
        <v>0.99999994112092505</v>
      </c>
    </row>
    <row r="2898" spans="1:40" x14ac:dyDescent="0.25">
      <c r="A2898" t="str">
        <f>"20190312151328138"</f>
        <v>20190312151328138</v>
      </c>
      <c r="B2898" t="str">
        <f>"1552374808133166"</f>
        <v>1552374808133166</v>
      </c>
      <c r="C2898" t="s">
        <v>40</v>
      </c>
      <c r="D2898">
        <v>4.6935060000000002</v>
      </c>
      <c r="E2898">
        <v>0.45329710000000001</v>
      </c>
      <c r="F2898" t="s">
        <v>54</v>
      </c>
      <c r="G2898">
        <v>-378.85399999999998</v>
      </c>
      <c r="H2898" s="1">
        <v>3.1748760000000001E-6</v>
      </c>
      <c r="I2898">
        <v>214.7782</v>
      </c>
      <c r="J2898">
        <v>-396.02089999999998</v>
      </c>
      <c r="K2898">
        <v>1.1104259999999999</v>
      </c>
      <c r="L2898">
        <v>213.4307</v>
      </c>
      <c r="M2898">
        <v>0.99992449999999999</v>
      </c>
      <c r="N2898">
        <v>0</v>
      </c>
      <c r="O2898">
        <v>3.6281109999999998E-3</v>
      </c>
      <c r="P2898">
        <v>0.9976235</v>
      </c>
      <c r="Q2898">
        <v>5.7861820000000001E-2</v>
      </c>
      <c r="R2898">
        <v>-3.7411840000000002E-2</v>
      </c>
      <c r="S2898">
        <v>3.0272830000000002</v>
      </c>
      <c r="T2898">
        <v>-0.192575</v>
      </c>
      <c r="U2898">
        <v>0.23393249999999999</v>
      </c>
      <c r="V2898">
        <v>4.0963260000000001E-2</v>
      </c>
      <c r="W2898">
        <v>6.9612720000000003E-2</v>
      </c>
      <c r="X2898">
        <v>0.99673270000000003</v>
      </c>
      <c r="Y2898">
        <v>-7.3287030000000003E-2</v>
      </c>
      <c r="Z2898">
        <v>2.094973E-3</v>
      </c>
      <c r="AA2898">
        <v>0.99730870000000005</v>
      </c>
      <c r="AB2898">
        <v>30</v>
      </c>
      <c r="AC2898">
        <v>17.166899999999899</v>
      </c>
      <c r="AD2898">
        <v>-1.11042282512399</v>
      </c>
      <c r="AE2898">
        <v>1.3474999999999899</v>
      </c>
      <c r="AF2898">
        <v>-1.27988117143173</v>
      </c>
      <c r="AG2898">
        <v>-1.11042282512399</v>
      </c>
      <c r="AH2898">
        <v>17.1005653670986</v>
      </c>
      <c r="AI2898">
        <v>93.704943954010304</v>
      </c>
      <c r="AJ2898">
        <v>94.280286593809606</v>
      </c>
      <c r="AK2898">
        <v>17.184308846676199</v>
      </c>
      <c r="AL2898">
        <v>86.008256543322702</v>
      </c>
      <c r="AM2898">
        <v>87.646608893968903</v>
      </c>
      <c r="AN2898">
        <v>0.99999999735245704</v>
      </c>
    </row>
    <row r="2899" spans="1:40" x14ac:dyDescent="0.25">
      <c r="A2899" t="str">
        <f>"20190312151328180"</f>
        <v>20190312151328180</v>
      </c>
      <c r="B2899" t="str">
        <f>"1552374808173184"</f>
        <v>1552374808173184</v>
      </c>
      <c r="C2899" t="s">
        <v>40</v>
      </c>
      <c r="D2899">
        <v>4.7022820000000003</v>
      </c>
      <c r="E2899">
        <v>0.45207370000000002</v>
      </c>
      <c r="F2899" t="s">
        <v>54</v>
      </c>
      <c r="G2899">
        <v>-378.78699999999998</v>
      </c>
      <c r="H2899" s="1">
        <v>3.1392259999999998E-6</v>
      </c>
      <c r="I2899">
        <v>214.9171</v>
      </c>
      <c r="J2899">
        <v>-395.43799999999999</v>
      </c>
      <c r="K2899">
        <v>1.1104160000000001</v>
      </c>
      <c r="L2899">
        <v>213.434</v>
      </c>
      <c r="M2899">
        <v>0.99992040000000004</v>
      </c>
      <c r="N2899">
        <v>0</v>
      </c>
      <c r="O2899">
        <v>4.6147109999999996E-3</v>
      </c>
      <c r="P2899">
        <v>0.99770840000000005</v>
      </c>
      <c r="Q2899">
        <v>5.6952450000000002E-2</v>
      </c>
      <c r="R2899">
        <v>-3.6531109999999999E-2</v>
      </c>
      <c r="S2899">
        <v>3.0282900000000001</v>
      </c>
      <c r="T2899">
        <v>-0.19512070000000001</v>
      </c>
      <c r="U2899">
        <v>0.26118469999999999</v>
      </c>
      <c r="V2899">
        <v>4.1067939999999997E-2</v>
      </c>
      <c r="W2899">
        <v>6.8719370000000002E-2</v>
      </c>
      <c r="X2899">
        <v>0.99679039999999997</v>
      </c>
      <c r="Y2899">
        <v>-8.1172820000000007E-2</v>
      </c>
      <c r="Z2899">
        <v>2.3110689999999998E-3</v>
      </c>
      <c r="AA2899">
        <v>0.99669739999999996</v>
      </c>
      <c r="AB2899">
        <v>30</v>
      </c>
      <c r="AC2899">
        <v>16.651</v>
      </c>
      <c r="AD2899">
        <v>-1.110412860774</v>
      </c>
      <c r="AE2899">
        <v>1.4830999999999701</v>
      </c>
      <c r="AF2899">
        <v>-1.4000619827540799</v>
      </c>
      <c r="AG2899">
        <v>-1.110412860774</v>
      </c>
      <c r="AH2899">
        <v>16.584492911164901</v>
      </c>
      <c r="AI2899">
        <v>93.816978513011506</v>
      </c>
      <c r="AJ2899">
        <v>94.825465013779507</v>
      </c>
      <c r="AK2899">
        <v>16.680485466478601</v>
      </c>
      <c r="AL2899">
        <v>86.059564672099398</v>
      </c>
      <c r="AM2899">
        <v>87.640738104654204</v>
      </c>
      <c r="AN2899">
        <v>1.0000000145206001</v>
      </c>
    </row>
    <row r="2900" spans="1:40" x14ac:dyDescent="0.25">
      <c r="A2900" t="str">
        <f>"20190312151328202"</f>
        <v>20190312151328202</v>
      </c>
      <c r="B2900" t="str">
        <f>"1552374808192703"</f>
        <v>1552374808192703</v>
      </c>
      <c r="C2900" t="s">
        <v>40</v>
      </c>
      <c r="D2900">
        <v>4.6899689999999996</v>
      </c>
      <c r="E2900">
        <v>0.45213639999999999</v>
      </c>
      <c r="F2900" t="s">
        <v>54</v>
      </c>
      <c r="G2900">
        <v>-379.00749999999999</v>
      </c>
      <c r="H2900" s="1">
        <v>3.2565730000000002E-6</v>
      </c>
      <c r="I2900">
        <v>214.9161</v>
      </c>
      <c r="J2900">
        <v>-395.13490000000002</v>
      </c>
      <c r="K2900">
        <v>1.110417</v>
      </c>
      <c r="L2900">
        <v>213.43600000000001</v>
      </c>
      <c r="M2900">
        <v>0.99991759999999996</v>
      </c>
      <c r="N2900">
        <v>0</v>
      </c>
      <c r="O2900">
        <v>5.1274429999999998E-3</v>
      </c>
      <c r="P2900">
        <v>0.99772950000000005</v>
      </c>
      <c r="Q2900">
        <v>5.656709E-2</v>
      </c>
      <c r="R2900">
        <v>-3.6550640000000002E-2</v>
      </c>
      <c r="S2900">
        <v>3.0285639999999998</v>
      </c>
      <c r="T2900">
        <v>-0.2046782</v>
      </c>
      <c r="U2900">
        <v>0.27319339999999998</v>
      </c>
      <c r="V2900">
        <v>4.159914E-2</v>
      </c>
      <c r="W2900">
        <v>6.8341650000000004E-2</v>
      </c>
      <c r="X2900">
        <v>0.99679430000000002</v>
      </c>
      <c r="Y2900">
        <v>-8.4552849999999999E-2</v>
      </c>
      <c r="Z2900">
        <v>2.5026969999999999E-3</v>
      </c>
      <c r="AA2900">
        <v>0.99641590000000002</v>
      </c>
      <c r="AB2900">
        <v>30</v>
      </c>
      <c r="AC2900">
        <v>16.127400000000002</v>
      </c>
      <c r="AD2900">
        <v>-1.1104137434270001</v>
      </c>
      <c r="AE2900">
        <v>1.48010000000002</v>
      </c>
      <c r="AF2900">
        <v>-1.3908440103517301</v>
      </c>
      <c r="AG2900">
        <v>-1.1104137434270001</v>
      </c>
      <c r="AH2900">
        <v>16.059281539591002</v>
      </c>
      <c r="AI2900">
        <v>93.940697540022299</v>
      </c>
      <c r="AJ2900">
        <v>94.949856557777807</v>
      </c>
      <c r="AK2900">
        <v>16.1575985007232</v>
      </c>
      <c r="AL2900">
        <v>86.081257270182505</v>
      </c>
      <c r="AM2900">
        <v>87.610266337741805</v>
      </c>
      <c r="AN2900">
        <v>0.99999997304297505</v>
      </c>
    </row>
    <row r="2901" spans="1:40" x14ac:dyDescent="0.25">
      <c r="A2901" t="str">
        <f>"20190312151328227"</f>
        <v>20190312151328227</v>
      </c>
      <c r="B2901" t="str">
        <f>"1552374808222958"</f>
        <v>1552374808222958</v>
      </c>
      <c r="C2901" t="s">
        <v>40</v>
      </c>
      <c r="D2901">
        <v>4.7084299999999999</v>
      </c>
      <c r="E2901">
        <v>0.45226450000000001</v>
      </c>
      <c r="F2901" t="s">
        <v>54</v>
      </c>
      <c r="G2901">
        <v>-379.15370000000001</v>
      </c>
      <c r="H2901" s="1">
        <v>3.3343629999999998E-6</v>
      </c>
      <c r="I2901">
        <v>214.87289999999999</v>
      </c>
      <c r="J2901">
        <v>-394.80829999999997</v>
      </c>
      <c r="K2901">
        <v>1.1104130000000001</v>
      </c>
      <c r="L2901">
        <v>213.43819999999999</v>
      </c>
      <c r="M2901">
        <v>0.99991470000000005</v>
      </c>
      <c r="N2901">
        <v>0</v>
      </c>
      <c r="O2901">
        <v>5.678888E-3</v>
      </c>
      <c r="P2901">
        <v>0.99777380000000004</v>
      </c>
      <c r="Q2901">
        <v>5.60420999999999E-2</v>
      </c>
      <c r="R2901">
        <v>-3.6149399999999998E-2</v>
      </c>
      <c r="S2901">
        <v>3.0287480000000002</v>
      </c>
      <c r="T2901">
        <v>-0.21044579999999999</v>
      </c>
      <c r="U2901">
        <v>0.2723236</v>
      </c>
      <c r="V2901">
        <v>4.1748939999999998E-2</v>
      </c>
      <c r="W2901">
        <v>6.781645E-2</v>
      </c>
      <c r="X2901">
        <v>0.99682389999999998</v>
      </c>
      <c r="Y2901">
        <v>-8.3707180000000006E-2</v>
      </c>
      <c r="Z2901">
        <v>2.5054560000000001E-3</v>
      </c>
      <c r="AA2901">
        <v>0.99648729999999996</v>
      </c>
      <c r="AB2901">
        <v>30</v>
      </c>
      <c r="AC2901">
        <v>15.654599999999901</v>
      </c>
      <c r="AD2901">
        <v>-1.1104096656369999</v>
      </c>
      <c r="AE2901">
        <v>1.4346999999999901</v>
      </c>
      <c r="AF2901">
        <v>-1.3390887167468399</v>
      </c>
      <c r="AG2901">
        <v>-1.1104096656369999</v>
      </c>
      <c r="AH2901">
        <v>15.5847368086848</v>
      </c>
      <c r="AI2901">
        <v>94.060515781528693</v>
      </c>
      <c r="AJ2901">
        <v>94.910968494705799</v>
      </c>
      <c r="AK2901">
        <v>15.6815238294253</v>
      </c>
      <c r="AL2901">
        <v>86.111418965583297</v>
      </c>
      <c r="AM2901">
        <v>87.601741985024702</v>
      </c>
      <c r="AN2901">
        <v>0.99999996624646703</v>
      </c>
    </row>
    <row r="2902" spans="1:40" x14ac:dyDescent="0.25">
      <c r="A2902" t="str">
        <f>"20190312151328248"</f>
        <v>20190312151328248</v>
      </c>
      <c r="B2902" t="str">
        <f>"1552374808243455"</f>
        <v>1552374808243455</v>
      </c>
      <c r="C2902" t="s">
        <v>40</v>
      </c>
      <c r="D2902">
        <v>4.7172269999999896</v>
      </c>
      <c r="E2902">
        <v>0.45221689999999998</v>
      </c>
      <c r="F2902" t="s">
        <v>54</v>
      </c>
      <c r="G2902">
        <v>-379.22230000000002</v>
      </c>
      <c r="H2902" s="1">
        <v>3.3708750000000001E-6</v>
      </c>
      <c r="I2902">
        <v>214.8408</v>
      </c>
      <c r="J2902">
        <v>-394.51979999999998</v>
      </c>
      <c r="K2902">
        <v>1.1104039999999999</v>
      </c>
      <c r="L2902">
        <v>213.44040000000001</v>
      </c>
      <c r="M2902">
        <v>0.99991209999999997</v>
      </c>
      <c r="N2902">
        <v>0</v>
      </c>
      <c r="O2902">
        <v>6.1656999999999997E-3</v>
      </c>
      <c r="P2902">
        <v>0.99780119999999894</v>
      </c>
      <c r="Q2902">
        <v>5.5919700000000003E-2</v>
      </c>
      <c r="R2902">
        <v>-3.5579329999999999E-2</v>
      </c>
      <c r="S2902">
        <v>3.0286870000000001</v>
      </c>
      <c r="T2902">
        <v>-0.21577679999999999</v>
      </c>
      <c r="U2902">
        <v>0.27255249999999998</v>
      </c>
      <c r="V2902">
        <v>4.1664880000000001E-2</v>
      </c>
      <c r="W2902">
        <v>6.7685620000000002E-2</v>
      </c>
      <c r="X2902">
        <v>0.99683639999999996</v>
      </c>
      <c r="Y2902">
        <v>-8.3291240000000002E-2</v>
      </c>
      <c r="Z2902">
        <v>2.5194760000000001E-3</v>
      </c>
      <c r="AA2902">
        <v>0.99652209999999997</v>
      </c>
      <c r="AB2902">
        <v>30</v>
      </c>
      <c r="AC2902">
        <v>15.2974999999999</v>
      </c>
      <c r="AD2902">
        <v>-1.1104006291249999</v>
      </c>
      <c r="AE2902">
        <v>1.4003999999999901</v>
      </c>
      <c r="AF2902">
        <v>-1.2992583367544499</v>
      </c>
      <c r="AG2902">
        <v>-1.1104006291249999</v>
      </c>
      <c r="AH2902">
        <v>15.226285454828099</v>
      </c>
      <c r="AI2902">
        <v>94.155950895457707</v>
      </c>
      <c r="AJ2902">
        <v>94.8772321297037</v>
      </c>
      <c r="AK2902">
        <v>15.321906883110101</v>
      </c>
      <c r="AL2902">
        <v>86.118932588492996</v>
      </c>
      <c r="AM2902">
        <v>87.606595148648694</v>
      </c>
      <c r="AN2902">
        <v>1.00000005687257</v>
      </c>
    </row>
    <row r="2903" spans="1:40" x14ac:dyDescent="0.25">
      <c r="A2903" t="str">
        <f>"20190312151328270"</f>
        <v>20190312151328270</v>
      </c>
      <c r="B2903" t="str">
        <f>"1552374808262975"</f>
        <v>1552374808262975</v>
      </c>
      <c r="C2903" t="s">
        <v>40</v>
      </c>
      <c r="D2903">
        <v>4.7271070000000002</v>
      </c>
      <c r="E2903">
        <v>0.44997710000000002</v>
      </c>
      <c r="F2903" t="s">
        <v>54</v>
      </c>
      <c r="G2903">
        <v>-379.05700000000002</v>
      </c>
      <c r="H2903" s="1">
        <v>3.282911E-6</v>
      </c>
      <c r="I2903">
        <v>214.8434</v>
      </c>
      <c r="J2903">
        <v>-394.21660000000003</v>
      </c>
      <c r="K2903">
        <v>1.110398</v>
      </c>
      <c r="L2903">
        <v>213.44290000000001</v>
      </c>
      <c r="M2903">
        <v>0.99990880000000004</v>
      </c>
      <c r="N2903">
        <v>0</v>
      </c>
      <c r="O2903">
        <v>6.6782869999999998E-3</v>
      </c>
      <c r="P2903">
        <v>0.99784229999999996</v>
      </c>
      <c r="Q2903">
        <v>5.5994830000000002E-2</v>
      </c>
      <c r="R2903">
        <v>-3.4290630000000002E-2</v>
      </c>
      <c r="S2903">
        <v>3.0285950000000001</v>
      </c>
      <c r="T2903">
        <v>-0.21748700000000001</v>
      </c>
      <c r="U2903">
        <v>0.27479550000000003</v>
      </c>
      <c r="V2903">
        <v>4.088775E-2</v>
      </c>
      <c r="W2903">
        <v>6.7746990000000007E-2</v>
      </c>
      <c r="X2903">
        <v>0.99686439999999998</v>
      </c>
      <c r="Y2903">
        <v>-8.3512820000000001E-2</v>
      </c>
      <c r="Z2903">
        <v>2.5106310000000001E-3</v>
      </c>
      <c r="AA2903">
        <v>0.99650349999999999</v>
      </c>
      <c r="AB2903">
        <v>30</v>
      </c>
      <c r="AC2903">
        <v>15.159599999999999</v>
      </c>
      <c r="AD2903">
        <v>-1.1103947170890001</v>
      </c>
      <c r="AE2903">
        <v>1.4004999999999901</v>
      </c>
      <c r="AF2903">
        <v>-1.29234671206459</v>
      </c>
      <c r="AG2903">
        <v>-1.1103947170890001</v>
      </c>
      <c r="AH2903">
        <v>15.0883497485601</v>
      </c>
      <c r="AI2903">
        <v>94.193672657690797</v>
      </c>
      <c r="AJ2903">
        <v>94.895547414851805</v>
      </c>
      <c r="AK2903">
        <v>15.1842495562605</v>
      </c>
      <c r="AL2903">
        <v>86.115408220045296</v>
      </c>
      <c r="AM2903">
        <v>87.651252171260595</v>
      </c>
      <c r="AN2903">
        <v>1.00000004737074</v>
      </c>
    </row>
    <row r="2904" spans="1:40" x14ac:dyDescent="0.25">
      <c r="A2904" t="str">
        <f>"20190312151328292"</f>
        <v>20190312151328292</v>
      </c>
      <c r="B2904" t="str">
        <f>"1552374808283471"</f>
        <v>1552374808283471</v>
      </c>
      <c r="C2904" t="s">
        <v>40</v>
      </c>
      <c r="D2904">
        <v>4.7213669999999999</v>
      </c>
      <c r="E2904">
        <v>0.4496965</v>
      </c>
      <c r="F2904" t="s">
        <v>54</v>
      </c>
      <c r="G2904">
        <v>-384.1499</v>
      </c>
      <c r="H2904" s="1">
        <v>6.798201E-7</v>
      </c>
      <c r="I2904">
        <v>214.4282</v>
      </c>
      <c r="J2904">
        <v>-393.91520000000003</v>
      </c>
      <c r="K2904">
        <v>1.1103879999999999</v>
      </c>
      <c r="L2904">
        <v>213.44540000000001</v>
      </c>
      <c r="M2904">
        <v>0.9999055</v>
      </c>
      <c r="N2904">
        <v>0</v>
      </c>
      <c r="O2904">
        <v>7.1873880000000003E-3</v>
      </c>
      <c r="P2904">
        <v>0.997892</v>
      </c>
      <c r="Q2904">
        <v>5.5953530000000001E-2</v>
      </c>
      <c r="R2904">
        <v>-3.2880470000000002E-2</v>
      </c>
      <c r="S2904">
        <v>3.0354610000000002</v>
      </c>
      <c r="T2904">
        <v>-0.33482499999999998</v>
      </c>
      <c r="U2904">
        <v>0.29710389999999998</v>
      </c>
      <c r="V2904">
        <v>3.9986059999999997E-2</v>
      </c>
      <c r="W2904">
        <v>6.7686090000000004E-2</v>
      </c>
      <c r="X2904">
        <v>0.99690509999999999</v>
      </c>
      <c r="Y2904">
        <v>-8.975996E-2</v>
      </c>
      <c r="Z2904">
        <v>4.1353199999999996E-3</v>
      </c>
      <c r="AA2904">
        <v>0.99595489999999998</v>
      </c>
      <c r="AB2904">
        <v>30</v>
      </c>
      <c r="AC2904">
        <v>9.7653000000000194</v>
      </c>
      <c r="AD2904">
        <v>-1.1103873201798999</v>
      </c>
      <c r="AE2904">
        <v>0.98279999999999701</v>
      </c>
      <c r="AF2904">
        <v>-0.90104959342179303</v>
      </c>
      <c r="AG2904">
        <v>-1.1103873201798999</v>
      </c>
      <c r="AH2904">
        <v>9.6486122827120209</v>
      </c>
      <c r="AI2904">
        <v>96.536673179771597</v>
      </c>
      <c r="AJ2904">
        <v>95.3351756212504</v>
      </c>
      <c r="AK2904">
        <v>9.7540027349146801</v>
      </c>
      <c r="AL2904">
        <v>86.118905512909294</v>
      </c>
      <c r="AM2904">
        <v>87.703086245298493</v>
      </c>
      <c r="AN2904">
        <v>1.0000000350899101</v>
      </c>
    </row>
    <row r="2905" spans="1:40" x14ac:dyDescent="0.25">
      <c r="A2905" t="str">
        <f>"20190312151328317"</f>
        <v>20190312151328317</v>
      </c>
      <c r="B2905" t="str">
        <f>"1552374808313726"</f>
        <v>1552374808313726</v>
      </c>
      <c r="C2905" t="s">
        <v>40</v>
      </c>
      <c r="D2905">
        <v>4.763668</v>
      </c>
      <c r="E2905">
        <v>0.4501946</v>
      </c>
      <c r="F2905" t="s">
        <v>54</v>
      </c>
      <c r="G2905">
        <v>-383.70690000000002</v>
      </c>
      <c r="H2905" s="1">
        <v>4.4239609999999998E-7</v>
      </c>
      <c r="I2905">
        <v>214.46700000000001</v>
      </c>
      <c r="J2905">
        <v>-393.58300000000003</v>
      </c>
      <c r="K2905">
        <v>1.110392</v>
      </c>
      <c r="L2905">
        <v>213.44839999999999</v>
      </c>
      <c r="M2905">
        <v>0.9999015</v>
      </c>
      <c r="N2905">
        <v>0</v>
      </c>
      <c r="O2905">
        <v>7.748151E-3</v>
      </c>
      <c r="P2905">
        <v>0.99793580000000004</v>
      </c>
      <c r="Q2905">
        <v>5.6059989999999997E-2</v>
      </c>
      <c r="R2905">
        <v>-3.1326119999999999E-2</v>
      </c>
      <c r="S2905">
        <v>3.0348510000000002</v>
      </c>
      <c r="T2905">
        <v>-0.33011210000000002</v>
      </c>
      <c r="U2905">
        <v>0.30369570000000001</v>
      </c>
      <c r="V2905">
        <v>3.8991720000000001E-2</v>
      </c>
      <c r="W2905">
        <v>6.7766010000000002E-2</v>
      </c>
      <c r="X2905">
        <v>0.99693900000000002</v>
      </c>
      <c r="Y2905">
        <v>-9.1370649999999998E-2</v>
      </c>
      <c r="Z2905">
        <v>4.1043039999999996E-3</v>
      </c>
      <c r="AA2905">
        <v>0.99580849999999999</v>
      </c>
      <c r="AB2905">
        <v>30</v>
      </c>
      <c r="AC2905">
        <v>9.8760999999999992</v>
      </c>
      <c r="AD2905">
        <v>-1.1103915576038901</v>
      </c>
      <c r="AE2905">
        <v>1.0186000000000199</v>
      </c>
      <c r="AF2905">
        <v>-0.93040520807937899</v>
      </c>
      <c r="AG2905">
        <v>-1.1103915576038901</v>
      </c>
      <c r="AH2905">
        <v>9.7615987695283195</v>
      </c>
      <c r="AI2905">
        <v>96.460527819262694</v>
      </c>
      <c r="AJ2905">
        <v>95.444573194521496</v>
      </c>
      <c r="AK2905">
        <v>9.8685071717902808</v>
      </c>
      <c r="AL2905">
        <v>86.114315674349896</v>
      </c>
      <c r="AM2905">
        <v>87.760221151827494</v>
      </c>
      <c r="AN2905">
        <v>0.99999997803043905</v>
      </c>
    </row>
    <row r="2906" spans="1:40" x14ac:dyDescent="0.25">
      <c r="A2906" t="str">
        <f>"20190312151328339"</f>
        <v>20190312151328339</v>
      </c>
      <c r="B2906" t="str">
        <f>"1552374808333247"</f>
        <v>1552374808333247</v>
      </c>
      <c r="C2906" t="s">
        <v>40</v>
      </c>
      <c r="D2906">
        <v>4.7538580000000001</v>
      </c>
      <c r="E2906">
        <v>0.44982179999999999</v>
      </c>
      <c r="F2906" t="s">
        <v>54</v>
      </c>
      <c r="G2906">
        <v>-383.14729999999997</v>
      </c>
      <c r="H2906" s="1">
        <v>1.4331090000000001E-7</v>
      </c>
      <c r="I2906">
        <v>214.49639999999999</v>
      </c>
      <c r="J2906">
        <v>-393.28680000000003</v>
      </c>
      <c r="K2906">
        <v>1.11039</v>
      </c>
      <c r="L2906">
        <v>213.4513</v>
      </c>
      <c r="M2906">
        <v>0.99989790000000001</v>
      </c>
      <c r="N2906">
        <v>0</v>
      </c>
      <c r="O2906">
        <v>8.2476649999999995E-3</v>
      </c>
      <c r="P2906">
        <v>0.99796399999999996</v>
      </c>
      <c r="Q2906">
        <v>5.6345289999999999E-2</v>
      </c>
      <c r="R2906">
        <v>-2.987712E-2</v>
      </c>
      <c r="S2906">
        <v>3.0339049999999999</v>
      </c>
      <c r="T2906">
        <v>-0.32281919999999997</v>
      </c>
      <c r="U2906">
        <v>0.3046722</v>
      </c>
      <c r="V2906">
        <v>3.8041180000000001E-2</v>
      </c>
      <c r="W2906">
        <v>6.8021010000000007E-2</v>
      </c>
      <c r="X2906">
        <v>0.99695840000000002</v>
      </c>
      <c r="Y2906">
        <v>-9.1245809999999997E-2</v>
      </c>
      <c r="Z2906">
        <v>3.9558509999999998E-3</v>
      </c>
      <c r="AA2906">
        <v>0.9958205</v>
      </c>
      <c r="AB2906">
        <v>30</v>
      </c>
      <c r="AC2906">
        <v>10.1395</v>
      </c>
      <c r="AD2906">
        <v>-1.1103898566891</v>
      </c>
      <c r="AE2906">
        <v>1.0450999999999899</v>
      </c>
      <c r="AF2906">
        <v>-0.95015637660681096</v>
      </c>
      <c r="AG2906">
        <v>-1.1103898566891</v>
      </c>
      <c r="AH2906">
        <v>10.0287673745415</v>
      </c>
      <c r="AI2906">
        <v>96.290141183078006</v>
      </c>
      <c r="AJ2906">
        <v>95.412223756980694</v>
      </c>
      <c r="AK2906">
        <v>10.1346898238926</v>
      </c>
      <c r="AL2906">
        <v>86.099671624703205</v>
      </c>
      <c r="AM2906">
        <v>87.814811359239002</v>
      </c>
      <c r="AN2906">
        <v>1.0000000202538799</v>
      </c>
    </row>
    <row r="2907" spans="1:40" x14ac:dyDescent="0.25">
      <c r="A2907" t="str">
        <f>"20190312151328360"</f>
        <v>20190312151328360</v>
      </c>
      <c r="B2907" t="str">
        <f>"1552374808352768"</f>
        <v>1552374808352768</v>
      </c>
      <c r="C2907" t="s">
        <v>40</v>
      </c>
      <c r="D2907">
        <v>4.7179440000000001</v>
      </c>
      <c r="E2907">
        <v>0.44993300000000003</v>
      </c>
      <c r="F2907" t="s">
        <v>54</v>
      </c>
      <c r="G2907">
        <v>-382.77569999999997</v>
      </c>
      <c r="H2907" s="1">
        <v>-5.606083E-8</v>
      </c>
      <c r="I2907">
        <v>214.53270000000001</v>
      </c>
      <c r="J2907">
        <v>-392.9948</v>
      </c>
      <c r="K2907">
        <v>1.110382</v>
      </c>
      <c r="L2907">
        <v>213.45419999999999</v>
      </c>
      <c r="M2907">
        <v>0.99989410000000001</v>
      </c>
      <c r="N2907">
        <v>0</v>
      </c>
      <c r="O2907">
        <v>8.7398149999999997E-3</v>
      </c>
      <c r="P2907">
        <v>0.99799439999999995</v>
      </c>
      <c r="Q2907">
        <v>5.660163E-2</v>
      </c>
      <c r="R2907">
        <v>-2.8346550000000002E-2</v>
      </c>
      <c r="S2907">
        <v>3.033569</v>
      </c>
      <c r="T2907">
        <v>-0.32046449999999999</v>
      </c>
      <c r="U2907">
        <v>0.31211850000000002</v>
      </c>
      <c r="V2907">
        <v>3.7001550000000001E-2</v>
      </c>
      <c r="W2907">
        <v>6.8242220000000006E-2</v>
      </c>
      <c r="X2907">
        <v>0.99698240000000005</v>
      </c>
      <c r="Y2907">
        <v>-9.3184639999999999E-2</v>
      </c>
      <c r="Z2907">
        <v>3.9772599999999998E-3</v>
      </c>
      <c r="AA2907">
        <v>0.99564090000000005</v>
      </c>
      <c r="AB2907">
        <v>30</v>
      </c>
      <c r="AC2907">
        <v>10.219099999999999</v>
      </c>
      <c r="AD2907">
        <v>-1.11038205606083</v>
      </c>
      <c r="AE2907">
        <v>1.07850000000001</v>
      </c>
      <c r="AF2907">
        <v>-0.97772342049050598</v>
      </c>
      <c r="AG2907">
        <v>-1.11038205606083</v>
      </c>
      <c r="AH2907">
        <v>10.1100867374931</v>
      </c>
      <c r="AI2907">
        <v>96.238750774047801</v>
      </c>
      <c r="AJ2907">
        <v>95.523766717007803</v>
      </c>
      <c r="AK2907">
        <v>10.217766156897101</v>
      </c>
      <c r="AL2907">
        <v>86.0869676681546</v>
      </c>
      <c r="AM2907">
        <v>87.874526104218006</v>
      </c>
      <c r="AN2907">
        <v>1.00000001060134</v>
      </c>
    </row>
    <row r="2908" spans="1:40" x14ac:dyDescent="0.25">
      <c r="A2908" t="str">
        <f>"20190312151328381"</f>
        <v>20190312151328381</v>
      </c>
      <c r="B2908" t="str">
        <f>"1552374808372741"</f>
        <v>1552374808372741</v>
      </c>
      <c r="C2908" t="s">
        <v>40</v>
      </c>
      <c r="D2908">
        <v>4.7403690000000003</v>
      </c>
      <c r="E2908">
        <v>0.4500189</v>
      </c>
      <c r="F2908" t="s">
        <v>54</v>
      </c>
      <c r="G2908">
        <v>-382.67700000000002</v>
      </c>
      <c r="H2908" s="1">
        <v>-1.083202E-7</v>
      </c>
      <c r="I2908">
        <v>214.5274</v>
      </c>
      <c r="J2908">
        <v>-392.7029</v>
      </c>
      <c r="K2908">
        <v>1.110371</v>
      </c>
      <c r="L2908">
        <v>213.4573</v>
      </c>
      <c r="M2908">
        <v>0.99989019999999995</v>
      </c>
      <c r="N2908">
        <v>0</v>
      </c>
      <c r="O2908">
        <v>9.2319289999999998E-3</v>
      </c>
      <c r="P2908">
        <v>0.99804320000000002</v>
      </c>
      <c r="Q2908">
        <v>5.6306899999999903E-2</v>
      </c>
      <c r="R2908">
        <v>-2.7189700000000001E-2</v>
      </c>
      <c r="S2908">
        <v>3.033569</v>
      </c>
      <c r="T2908">
        <v>-0.32646940000000002</v>
      </c>
      <c r="U2908">
        <v>0.3155365</v>
      </c>
      <c r="V2908">
        <v>3.6336599999999997E-2</v>
      </c>
      <c r="W2908">
        <v>6.7908259999999998E-2</v>
      </c>
      <c r="X2908">
        <v>0.99702970000000002</v>
      </c>
      <c r="Y2908">
        <v>-9.3786460000000002E-2</v>
      </c>
      <c r="Z2908">
        <v>4.0306819999999998E-3</v>
      </c>
      <c r="AA2908">
        <v>0.99558420000000003</v>
      </c>
      <c r="AB2908">
        <v>30</v>
      </c>
      <c r="AC2908">
        <v>10.0259</v>
      </c>
      <c r="AD2908">
        <v>-1.1103711083201999</v>
      </c>
      <c r="AE2908">
        <v>1.0700999999999901</v>
      </c>
      <c r="AF2908">
        <v>-0.96577734474640098</v>
      </c>
      <c r="AG2908">
        <v>-1.1103711083201999</v>
      </c>
      <c r="AH2908">
        <v>9.9151073205822904</v>
      </c>
      <c r="AI2908">
        <v>96.359954316105998</v>
      </c>
      <c r="AJ2908">
        <v>95.563324098323804</v>
      </c>
      <c r="AK2908">
        <v>10.023722016121599</v>
      </c>
      <c r="AL2908">
        <v>86.106146817595501</v>
      </c>
      <c r="AM2908">
        <v>87.912787557548995</v>
      </c>
      <c r="AN2908">
        <v>1.00000005147893</v>
      </c>
    </row>
    <row r="2909" spans="1:40" x14ac:dyDescent="0.25">
      <c r="A2909" t="str">
        <f>"20190312151328404"</f>
        <v>20190312151328404</v>
      </c>
      <c r="B2909" t="str">
        <f>"1552374808393240"</f>
        <v>1552374808393240</v>
      </c>
      <c r="C2909" t="s">
        <v>40</v>
      </c>
      <c r="D2909">
        <v>4.7299579999999999</v>
      </c>
      <c r="E2909">
        <v>0.45007819999999998</v>
      </c>
      <c r="F2909" t="s">
        <v>54</v>
      </c>
      <c r="G2909">
        <v>-382.58839999999998</v>
      </c>
      <c r="H2909" s="1">
        <v>-1.550899E-7</v>
      </c>
      <c r="I2909">
        <v>214.51859999999999</v>
      </c>
      <c r="J2909">
        <v>-392.3886</v>
      </c>
      <c r="K2909">
        <v>1.11036</v>
      </c>
      <c r="L2909">
        <v>213.4607</v>
      </c>
      <c r="M2909">
        <v>0.99988580000000005</v>
      </c>
      <c r="N2909">
        <v>0</v>
      </c>
      <c r="O2909">
        <v>9.7619830000000001E-3</v>
      </c>
      <c r="P2909">
        <v>0.99809720000000002</v>
      </c>
      <c r="Q2909">
        <v>5.5945380000000003E-2</v>
      </c>
      <c r="R2909">
        <v>-2.59327E-2</v>
      </c>
      <c r="S2909">
        <v>3.0332949999999999</v>
      </c>
      <c r="T2909">
        <v>-0.33299659999999998</v>
      </c>
      <c r="U2909">
        <v>0.31826779999999999</v>
      </c>
      <c r="V2909">
        <v>3.5609229999999999E-2</v>
      </c>
      <c r="W2909">
        <v>6.7501980000000003E-2</v>
      </c>
      <c r="X2909">
        <v>0.99708350000000001</v>
      </c>
      <c r="Y2909">
        <v>-9.4136380000000006E-2</v>
      </c>
      <c r="Z2909">
        <v>4.0722279999999998E-3</v>
      </c>
      <c r="AA2909">
        <v>0.99555099999999996</v>
      </c>
      <c r="AB2909">
        <v>30</v>
      </c>
      <c r="AC2909">
        <v>9.8002000000000091</v>
      </c>
      <c r="AD2909">
        <v>-1.1103601550898901</v>
      </c>
      <c r="AE2909">
        <v>1.0578999999999801</v>
      </c>
      <c r="AF2909">
        <v>-0.95011781235943304</v>
      </c>
      <c r="AG2909">
        <v>-1.1103601550898901</v>
      </c>
      <c r="AH2909">
        <v>9.6871409769752095</v>
      </c>
      <c r="AI2909">
        <v>96.507867045750203</v>
      </c>
      <c r="AJ2909">
        <v>95.601671573168403</v>
      </c>
      <c r="AK2909">
        <v>9.7967506776056208</v>
      </c>
      <c r="AL2909">
        <v>86.129478362277993</v>
      </c>
      <c r="AM2909">
        <v>87.954642875316296</v>
      </c>
      <c r="AN2909">
        <v>1.0000000202686801</v>
      </c>
    </row>
    <row r="2910" spans="1:40" x14ac:dyDescent="0.25">
      <c r="A2910" t="str">
        <f>"20190312151328426"</f>
        <v>20190312151328426</v>
      </c>
      <c r="B2910" t="str">
        <f>"1552374808423492"</f>
        <v>1552374808423492</v>
      </c>
      <c r="C2910" t="s">
        <v>40</v>
      </c>
      <c r="D2910">
        <v>4.7624849999999999</v>
      </c>
      <c r="E2910">
        <v>0.45042589999999999</v>
      </c>
      <c r="F2910" t="s">
        <v>54</v>
      </c>
      <c r="G2910">
        <v>-382.42860000000002</v>
      </c>
      <c r="H2910" s="1">
        <v>-2.4009809999999998E-7</v>
      </c>
      <c r="I2910">
        <v>214.51779999999999</v>
      </c>
      <c r="J2910">
        <v>-392.09050000000002</v>
      </c>
      <c r="K2910">
        <v>1.1103529999999999</v>
      </c>
      <c r="L2910">
        <v>213.46420000000001</v>
      </c>
      <c r="M2910">
        <v>0.99988129999999997</v>
      </c>
      <c r="N2910">
        <v>0</v>
      </c>
      <c r="O2910">
        <v>1.0264799999999999E-2</v>
      </c>
      <c r="P2910">
        <v>0.99814219999999998</v>
      </c>
      <c r="Q2910">
        <v>5.5642759999999999E-2</v>
      </c>
      <c r="R2910">
        <v>-2.482736E-2</v>
      </c>
      <c r="S2910">
        <v>3.0330810000000001</v>
      </c>
      <c r="T2910">
        <v>-0.33813379999999998</v>
      </c>
      <c r="U2910">
        <v>0.3218994</v>
      </c>
      <c r="V2910">
        <v>3.5006559999999999E-2</v>
      </c>
      <c r="W2910">
        <v>6.7153249999999998E-2</v>
      </c>
      <c r="X2910">
        <v>0.99712840000000003</v>
      </c>
      <c r="Y2910">
        <v>-9.4805340000000002E-2</v>
      </c>
      <c r="Z2910">
        <v>4.1160600000000004E-3</v>
      </c>
      <c r="AA2910">
        <v>0.99548729999999996</v>
      </c>
      <c r="AB2910">
        <v>31</v>
      </c>
      <c r="AC2910">
        <v>9.6618999999999993</v>
      </c>
      <c r="AD2910">
        <v>-1.1103532400981</v>
      </c>
      <c r="AE2910">
        <v>1.0535999999999801</v>
      </c>
      <c r="AF2910">
        <v>-0.94206501944737098</v>
      </c>
      <c r="AG2910">
        <v>-1.1103532400981</v>
      </c>
      <c r="AH2910">
        <v>9.5475953083215099</v>
      </c>
      <c r="AI2910">
        <v>96.6017339382459</v>
      </c>
      <c r="AJ2910">
        <v>95.635156873680103</v>
      </c>
      <c r="AK2910">
        <v>9.6579991193903894</v>
      </c>
      <c r="AL2910">
        <v>86.149504606020699</v>
      </c>
      <c r="AM2910">
        <v>87.989321421789398</v>
      </c>
      <c r="AN2910">
        <v>1.0000000321575699</v>
      </c>
    </row>
    <row r="2911" spans="1:40" x14ac:dyDescent="0.25">
      <c r="A2911" t="str">
        <f>"20190312151328449"</f>
        <v>20190312151328449</v>
      </c>
      <c r="B2911" t="str">
        <f>"1552374808443013"</f>
        <v>1552374808443013</v>
      </c>
      <c r="C2911" t="s">
        <v>40</v>
      </c>
      <c r="D2911">
        <v>4.7690260000000002</v>
      </c>
      <c r="E2911">
        <v>0.4507082</v>
      </c>
      <c r="F2911" t="s">
        <v>54</v>
      </c>
      <c r="G2911">
        <v>-382.21809999999999</v>
      </c>
      <c r="H2911" s="1">
        <v>-3.5191399999999998E-7</v>
      </c>
      <c r="I2911">
        <v>214.51300000000001</v>
      </c>
      <c r="J2911">
        <v>-391.77109999999999</v>
      </c>
      <c r="K2911">
        <v>1.1103479999999999</v>
      </c>
      <c r="L2911">
        <v>213.46809999999999</v>
      </c>
      <c r="M2911">
        <v>0.99987619999999999</v>
      </c>
      <c r="N2911">
        <v>0</v>
      </c>
      <c r="O2911">
        <v>1.080132E-2</v>
      </c>
      <c r="P2911">
        <v>0.99816850000000001</v>
      </c>
      <c r="Q2911">
        <v>5.543236E-2</v>
      </c>
      <c r="R2911">
        <v>-2.4233359999999999E-2</v>
      </c>
      <c r="S2911">
        <v>3.0326230000000001</v>
      </c>
      <c r="T2911">
        <v>-0.34108189999999999</v>
      </c>
      <c r="U2911">
        <v>0.32215880000000002</v>
      </c>
      <c r="V2911">
        <v>3.4948699999999999E-2</v>
      </c>
      <c r="W2911">
        <v>6.689254E-2</v>
      </c>
      <c r="X2911">
        <v>0.99714789999999998</v>
      </c>
      <c r="Y2911">
        <v>-9.4368090000000002E-2</v>
      </c>
      <c r="Z2911">
        <v>4.0679130000000003E-3</v>
      </c>
      <c r="AA2911">
        <v>0.99552909999999994</v>
      </c>
      <c r="AB2911">
        <v>31</v>
      </c>
      <c r="AC2911">
        <v>9.5529999999999902</v>
      </c>
      <c r="AD2911">
        <v>-1.1103483519139901</v>
      </c>
      <c r="AE2911">
        <v>1.0449000000000099</v>
      </c>
      <c r="AF2911">
        <v>-0.92924209844385597</v>
      </c>
      <c r="AG2911">
        <v>-1.1103483519139901</v>
      </c>
      <c r="AH2911">
        <v>9.4377379980690996</v>
      </c>
      <c r="AI2911">
        <v>96.677996066142896</v>
      </c>
      <c r="AJ2911">
        <v>95.623232522479398</v>
      </c>
      <c r="AK2911">
        <v>9.5481549453449794</v>
      </c>
      <c r="AL2911">
        <v>86.164475647870702</v>
      </c>
      <c r="AM2911">
        <v>87.992681240108496</v>
      </c>
      <c r="AN2911">
        <v>0.99999997900687498</v>
      </c>
    </row>
    <row r="2912" spans="1:40" x14ac:dyDescent="0.25">
      <c r="A2912" t="str">
        <f>"20190312151328471"</f>
        <v>20190312151328471</v>
      </c>
      <c r="B2912" t="str">
        <f>"1552374808463508"</f>
        <v>1552374808463508</v>
      </c>
      <c r="C2912" t="s">
        <v>40</v>
      </c>
      <c r="D2912">
        <v>4.7853979999999998</v>
      </c>
      <c r="E2912">
        <v>0.45099689999999998</v>
      </c>
      <c r="F2912" t="s">
        <v>54</v>
      </c>
      <c r="G2912">
        <v>-382.12900000000002</v>
      </c>
      <c r="H2912" s="1">
        <v>-3.9836859999999999E-7</v>
      </c>
      <c r="I2912">
        <v>214.49100000000001</v>
      </c>
      <c r="J2912">
        <v>-391.4864</v>
      </c>
      <c r="K2912">
        <v>1.1103400000000001</v>
      </c>
      <c r="L2912">
        <v>213.4716</v>
      </c>
      <c r="M2912">
        <v>0.99987139999999997</v>
      </c>
      <c r="N2912">
        <v>0</v>
      </c>
      <c r="O2912">
        <v>1.127735E-2</v>
      </c>
      <c r="P2912">
        <v>0.99818379999999995</v>
      </c>
      <c r="Q2912">
        <v>5.5390870000000002E-2</v>
      </c>
      <c r="R2912">
        <v>-2.3691259999999999E-2</v>
      </c>
      <c r="S2912">
        <v>3.032715</v>
      </c>
      <c r="T2912">
        <v>-0.34923389999999999</v>
      </c>
      <c r="U2912">
        <v>0.32173160000000001</v>
      </c>
      <c r="V2912">
        <v>3.4882049999999998E-2</v>
      </c>
      <c r="W2912">
        <v>6.6806900000000002E-2</v>
      </c>
      <c r="X2912">
        <v>0.99715600000000004</v>
      </c>
      <c r="Y2912">
        <v>-9.3734440000000002E-2</v>
      </c>
      <c r="Z2912">
        <v>4.0736840000000002E-3</v>
      </c>
      <c r="AA2912">
        <v>0.9955889</v>
      </c>
      <c r="AB2912">
        <v>31</v>
      </c>
      <c r="AC2912">
        <v>9.3573999999999806</v>
      </c>
      <c r="AD2912">
        <v>-1.1103403983686</v>
      </c>
      <c r="AE2912">
        <v>1.0193999999999901</v>
      </c>
      <c r="AF2912">
        <v>-0.90126073834317999</v>
      </c>
      <c r="AG2912">
        <v>-1.1103403983686</v>
      </c>
      <c r="AH2912">
        <v>9.2397324123032991</v>
      </c>
      <c r="AI2912">
        <v>96.820324126974199</v>
      </c>
      <c r="AJ2912">
        <v>95.571113209815195</v>
      </c>
      <c r="AK2912">
        <v>9.3497476848146199</v>
      </c>
      <c r="AL2912">
        <v>86.169393554587799</v>
      </c>
      <c r="AM2912">
        <v>87.996522498078804</v>
      </c>
      <c r="AN2912">
        <v>1.0000000038179</v>
      </c>
    </row>
    <row r="2913" spans="1:40" x14ac:dyDescent="0.25">
      <c r="A2913" t="str">
        <f>"20190312151328494"</f>
        <v>20190312151328494</v>
      </c>
      <c r="B2913" t="str">
        <f>"1552374808483028"</f>
        <v>1552374808483028</v>
      </c>
      <c r="C2913" t="s">
        <v>40</v>
      </c>
      <c r="D2913">
        <v>4.7606000000000002</v>
      </c>
      <c r="E2913">
        <v>0.45123809999999898</v>
      </c>
      <c r="F2913" t="s">
        <v>54</v>
      </c>
      <c r="G2913">
        <v>-381.86669999999998</v>
      </c>
      <c r="H2913" s="1">
        <v>-5.3789940000000001E-7</v>
      </c>
      <c r="I2913">
        <v>214.4897</v>
      </c>
      <c r="J2913">
        <v>-391.16140000000001</v>
      </c>
      <c r="K2913">
        <v>1.1103320000000001</v>
      </c>
      <c r="L2913">
        <v>213.4759</v>
      </c>
      <c r="M2913">
        <v>0.99986580000000003</v>
      </c>
      <c r="N2913">
        <v>0</v>
      </c>
      <c r="O2913">
        <v>1.1815920000000001E-2</v>
      </c>
      <c r="P2913">
        <v>0.9982067</v>
      </c>
      <c r="Q2913">
        <v>5.542714E-2</v>
      </c>
      <c r="R2913">
        <v>-2.2615529999999998E-2</v>
      </c>
      <c r="S2913">
        <v>3.032562</v>
      </c>
      <c r="T2913">
        <v>-0.35002800000000001</v>
      </c>
      <c r="U2913">
        <v>0.3209381</v>
      </c>
      <c r="V2913">
        <v>3.4344260000000001E-2</v>
      </c>
      <c r="W2913">
        <v>6.6791199999999995E-2</v>
      </c>
      <c r="X2913">
        <v>0.9971757</v>
      </c>
      <c r="Y2913">
        <v>-9.2951989999999998E-2</v>
      </c>
      <c r="Z2913">
        <v>3.9764930000000002E-3</v>
      </c>
      <c r="AA2913">
        <v>0.99566259999999995</v>
      </c>
      <c r="AB2913">
        <v>31</v>
      </c>
      <c r="AC2913">
        <v>9.2947000000000308</v>
      </c>
      <c r="AD2913">
        <v>-1.11033253789939</v>
      </c>
      <c r="AE2913">
        <v>1.0138</v>
      </c>
      <c r="AF2913">
        <v>-0.89132669220012695</v>
      </c>
      <c r="AG2913">
        <v>-1.11033253789939</v>
      </c>
      <c r="AH2913">
        <v>9.1766166682113095</v>
      </c>
      <c r="AI2913">
        <v>96.867008974892599</v>
      </c>
      <c r="AJ2913">
        <v>95.547748365694105</v>
      </c>
      <c r="AK2913">
        <v>9.2864199287045004</v>
      </c>
      <c r="AL2913">
        <v>86.170295038408895</v>
      </c>
      <c r="AM2913">
        <v>88.027425228529395</v>
      </c>
      <c r="AN2913">
        <v>0.99999998463143802</v>
      </c>
    </row>
    <row r="2914" spans="1:40" x14ac:dyDescent="0.25">
      <c r="A2914" t="str">
        <f>"20190312151328518"</f>
        <v>20190312151328518</v>
      </c>
      <c r="B2914" t="str">
        <f>"1552374808513284"</f>
        <v>1552374808513284</v>
      </c>
      <c r="C2914" t="s">
        <v>40</v>
      </c>
      <c r="D2914">
        <v>4.7541690000000001</v>
      </c>
      <c r="E2914">
        <v>0.45165100000000002</v>
      </c>
      <c r="F2914" t="s">
        <v>54</v>
      </c>
      <c r="G2914">
        <v>-381.5147</v>
      </c>
      <c r="H2914" s="1">
        <v>-7.256911E-7</v>
      </c>
      <c r="I2914">
        <v>214.50110000000001</v>
      </c>
      <c r="J2914">
        <v>-390.84230000000002</v>
      </c>
      <c r="K2914">
        <v>1.110314</v>
      </c>
      <c r="L2914">
        <v>213.4803</v>
      </c>
      <c r="M2914">
        <v>0.99985999999999997</v>
      </c>
      <c r="N2914">
        <v>0</v>
      </c>
      <c r="O2914">
        <v>1.2337239999999999E-2</v>
      </c>
      <c r="P2914">
        <v>0.99821780000000004</v>
      </c>
      <c r="Q2914">
        <v>5.5329999999999997E-2</v>
      </c>
      <c r="R2914">
        <v>-2.236484E-2</v>
      </c>
      <c r="S2914">
        <v>3.0320740000000002</v>
      </c>
      <c r="T2914">
        <v>-0.34899069999999999</v>
      </c>
      <c r="U2914">
        <v>0.322235099999999</v>
      </c>
      <c r="V2914">
        <v>3.4614930000000002E-2</v>
      </c>
      <c r="W2914">
        <v>6.6644179999999997E-2</v>
      </c>
      <c r="X2914">
        <v>0.99717619999999896</v>
      </c>
      <c r="Y2914">
        <v>-9.2877730000000006E-2</v>
      </c>
      <c r="Z2914">
        <v>3.9014610000000002E-3</v>
      </c>
      <c r="AA2914">
        <v>0.9956699</v>
      </c>
      <c r="AB2914">
        <v>31</v>
      </c>
      <c r="AC2914">
        <v>9.3276000000000092</v>
      </c>
      <c r="AD2914">
        <v>-1.1103147256910999</v>
      </c>
      <c r="AE2914">
        <v>1.0207999999999999</v>
      </c>
      <c r="AF2914">
        <v>-0.89313270195441397</v>
      </c>
      <c r="AG2914">
        <v>-1.1103147256910999</v>
      </c>
      <c r="AH2914">
        <v>9.2105214099876793</v>
      </c>
      <c r="AI2914">
        <v>96.841967454865497</v>
      </c>
      <c r="AJ2914">
        <v>95.538583497243295</v>
      </c>
      <c r="AK2914">
        <v>9.3200960004298405</v>
      </c>
      <c r="AL2914">
        <v>86.178737560218295</v>
      </c>
      <c r="AM2914">
        <v>88.011892623812102</v>
      </c>
      <c r="AN2914">
        <v>1.0000000069766</v>
      </c>
    </row>
    <row r="2915" spans="1:40" x14ac:dyDescent="0.25">
      <c r="A2915" t="str">
        <f>"20190312151328539"</f>
        <v>20190312151328539</v>
      </c>
      <c r="B2915" t="str">
        <f>"1552374808532804"</f>
        <v>1552374808532804</v>
      </c>
      <c r="C2915" t="s">
        <v>40</v>
      </c>
      <c r="D2915">
        <v>4.7278769999999897</v>
      </c>
      <c r="E2915">
        <v>0.45183449999999997</v>
      </c>
      <c r="F2915" t="s">
        <v>54</v>
      </c>
      <c r="G2915">
        <v>-381.23200000000003</v>
      </c>
      <c r="H2915" s="1">
        <v>-8.7573189999999897E-7</v>
      </c>
      <c r="I2915">
        <v>214.49170000000001</v>
      </c>
      <c r="J2915">
        <v>-390.5428</v>
      </c>
      <c r="K2915">
        <v>1.110309</v>
      </c>
      <c r="L2915">
        <v>213.4845</v>
      </c>
      <c r="M2915">
        <v>0.99985460000000004</v>
      </c>
      <c r="N2915">
        <v>0</v>
      </c>
      <c r="O2915">
        <v>1.281651E-2</v>
      </c>
      <c r="P2915">
        <v>0.99822120000000003</v>
      </c>
      <c r="Q2915">
        <v>5.5510660000000003E-2</v>
      </c>
      <c r="R2915">
        <v>-2.1756109999999999E-2</v>
      </c>
      <c r="S2915">
        <v>3.0319210000000001</v>
      </c>
      <c r="T2915">
        <v>-0.35029149999999998</v>
      </c>
      <c r="U2915">
        <v>0.31910709999999998</v>
      </c>
      <c r="V2915">
        <v>3.4485590000000003E-2</v>
      </c>
      <c r="W2915">
        <v>6.677408E-2</v>
      </c>
      <c r="X2915">
        <v>0.99717199999999995</v>
      </c>
      <c r="Y2915">
        <v>-9.139862E-2</v>
      </c>
      <c r="Z2915">
        <v>3.7763620000000001E-3</v>
      </c>
      <c r="AA2915">
        <v>0.9958072</v>
      </c>
      <c r="AB2915">
        <v>31</v>
      </c>
      <c r="AC2915">
        <v>9.3108000000000199</v>
      </c>
      <c r="AD2915">
        <v>-1.1103098757318901</v>
      </c>
      <c r="AE2915">
        <v>1.0072000000000101</v>
      </c>
      <c r="AF2915">
        <v>-0.87547211420634297</v>
      </c>
      <c r="AG2915">
        <v>-1.1103098757318901</v>
      </c>
      <c r="AH2915">
        <v>9.1937178449217303</v>
      </c>
      <c r="AI2915">
        <v>96.855451450751602</v>
      </c>
      <c r="AJ2915">
        <v>95.439590525565094</v>
      </c>
      <c r="AK2915">
        <v>9.3018109664157897</v>
      </c>
      <c r="AL2915">
        <v>86.1712782557547</v>
      </c>
      <c r="AM2915">
        <v>88.019306998617907</v>
      </c>
      <c r="AN2915">
        <v>1.00000001563074</v>
      </c>
    </row>
    <row r="2916" spans="1:40" x14ac:dyDescent="0.25">
      <c r="A2916" t="str">
        <f>"20190312151328562"</f>
        <v>20190312151328562</v>
      </c>
      <c r="B2916" t="str">
        <f>"1552374808553301"</f>
        <v>1552374808553301</v>
      </c>
      <c r="C2916" t="s">
        <v>40</v>
      </c>
      <c r="D2916">
        <v>4.7667159999999997</v>
      </c>
      <c r="E2916">
        <v>0.45202589999999998</v>
      </c>
      <c r="F2916" t="s">
        <v>54</v>
      </c>
      <c r="G2916">
        <v>-380.91449999999998</v>
      </c>
      <c r="H2916" s="1">
        <v>-1.045025E-6</v>
      </c>
      <c r="I2916">
        <v>214.49870000000001</v>
      </c>
      <c r="J2916">
        <v>-390.24180000000001</v>
      </c>
      <c r="K2916">
        <v>1.1102959999999999</v>
      </c>
      <c r="L2916">
        <v>213.4888</v>
      </c>
      <c r="M2916">
        <v>0.99984910000000005</v>
      </c>
      <c r="N2916">
        <v>0</v>
      </c>
      <c r="O2916">
        <v>1.328527E-2</v>
      </c>
      <c r="P2916">
        <v>0.99821329999999997</v>
      </c>
      <c r="Q2916">
        <v>5.5865150000000002E-2</v>
      </c>
      <c r="R2916">
        <v>-2.1208029999999999E-2</v>
      </c>
      <c r="S2916">
        <v>3.0316770000000002</v>
      </c>
      <c r="T2916">
        <v>-0.34960350000000001</v>
      </c>
      <c r="U2916">
        <v>0.3193512</v>
      </c>
      <c r="V2916">
        <v>3.4406329999999999E-2</v>
      </c>
      <c r="W2916">
        <v>6.7074750000000002E-2</v>
      </c>
      <c r="X2916">
        <v>0.99715450000000005</v>
      </c>
      <c r="Y2916">
        <v>-9.1026899999999994E-2</v>
      </c>
      <c r="Z2916">
        <v>3.6942640000000001E-3</v>
      </c>
      <c r="AA2916">
        <v>0.99584159999999999</v>
      </c>
      <c r="AB2916">
        <v>31</v>
      </c>
      <c r="AC2916">
        <v>9.3273000000000295</v>
      </c>
      <c r="AD2916">
        <v>-1.110297045025</v>
      </c>
      <c r="AE2916">
        <v>1.00990000000001</v>
      </c>
      <c r="AF2916">
        <v>-0.87365130338841701</v>
      </c>
      <c r="AG2916">
        <v>-1.110297045025</v>
      </c>
      <c r="AH2916">
        <v>9.2108894252063696</v>
      </c>
      <c r="AI2916">
        <v>96.842953537642799</v>
      </c>
      <c r="AJ2916">
        <v>95.418285273139205</v>
      </c>
      <c r="AK2916">
        <v>9.3186109550448499</v>
      </c>
      <c r="AL2916">
        <v>86.154012199905594</v>
      </c>
      <c r="AM2916">
        <v>88.023821059686497</v>
      </c>
      <c r="AN2916">
        <v>0.99999995725093904</v>
      </c>
    </row>
    <row r="2917" spans="1:40" x14ac:dyDescent="0.25">
      <c r="A2917" t="str">
        <f>"20190312151328582"</f>
        <v>20190312151328582</v>
      </c>
      <c r="B2917" t="str">
        <f>"1552374808572820"</f>
        <v>1552374808572820</v>
      </c>
      <c r="C2917" t="s">
        <v>40</v>
      </c>
      <c r="D2917">
        <v>4.7767589999999904</v>
      </c>
      <c r="E2917">
        <v>0.4520923</v>
      </c>
      <c r="F2917" t="s">
        <v>54</v>
      </c>
      <c r="G2917">
        <v>-380.57670000000002</v>
      </c>
      <c r="H2917" s="1">
        <v>-1.2251360000000001E-6</v>
      </c>
      <c r="I2917">
        <v>214.50700000000001</v>
      </c>
      <c r="J2917">
        <v>-389.95229999999998</v>
      </c>
      <c r="K2917">
        <v>1.110269</v>
      </c>
      <c r="L2917">
        <v>213.4931</v>
      </c>
      <c r="M2917">
        <v>0.99984379999999995</v>
      </c>
      <c r="N2917">
        <v>0</v>
      </c>
      <c r="O2917">
        <v>1.37211E-2</v>
      </c>
      <c r="P2917">
        <v>0.99820569999999997</v>
      </c>
      <c r="Q2917">
        <v>5.630951E-2</v>
      </c>
      <c r="R2917">
        <v>-2.0366700000000001E-2</v>
      </c>
      <c r="S2917">
        <v>3.0316160000000001</v>
      </c>
      <c r="T2917">
        <v>-0.34826220000000002</v>
      </c>
      <c r="U2917">
        <v>0.31938169999999999</v>
      </c>
      <c r="V2917">
        <v>3.4001400000000001E-2</v>
      </c>
      <c r="W2917">
        <v>6.7464860000000001E-2</v>
      </c>
      <c r="X2917">
        <v>0.99714210000000003</v>
      </c>
      <c r="Y2917">
        <v>-9.0614230000000004E-2</v>
      </c>
      <c r="Z2917">
        <v>3.6069439999999999E-3</v>
      </c>
      <c r="AA2917">
        <v>0.99587950000000003</v>
      </c>
      <c r="AB2917">
        <v>31</v>
      </c>
      <c r="AC2917">
        <v>9.3755999999999595</v>
      </c>
      <c r="AD2917">
        <v>-1.1102702251359999</v>
      </c>
      <c r="AE2917">
        <v>1.0139</v>
      </c>
      <c r="AF2917">
        <v>-0.87305122638717803</v>
      </c>
      <c r="AG2917">
        <v>-1.1102702251359999</v>
      </c>
      <c r="AH2917">
        <v>9.2602688985559194</v>
      </c>
      <c r="AI2917">
        <v>96.807005152809793</v>
      </c>
      <c r="AJ2917">
        <v>95.385883278965693</v>
      </c>
      <c r="AK2917">
        <v>9.3673634759350293</v>
      </c>
      <c r="AL2917">
        <v>86.131609904563703</v>
      </c>
      <c r="AM2917">
        <v>88.047036434978395</v>
      </c>
      <c r="AN2917">
        <v>0.99999998506459398</v>
      </c>
    </row>
    <row r="2918" spans="1:40" x14ac:dyDescent="0.25">
      <c r="A2918" t="str">
        <f>"20190312151328606"</f>
        <v>20190312151328606</v>
      </c>
      <c r="B2918" t="str">
        <f>"1552374808603077"</f>
        <v>1552374808603077</v>
      </c>
      <c r="C2918" t="s">
        <v>40</v>
      </c>
      <c r="D2918">
        <v>5.0879059999999896</v>
      </c>
      <c r="E2918">
        <v>0.45230480000000001</v>
      </c>
      <c r="F2918" t="s">
        <v>54</v>
      </c>
      <c r="G2918">
        <v>-380.24790000000002</v>
      </c>
      <c r="H2918" s="1">
        <v>-1.4006659999999999E-6</v>
      </c>
      <c r="I2918">
        <v>214.5205</v>
      </c>
      <c r="J2918">
        <v>-389.63440000000003</v>
      </c>
      <c r="K2918">
        <v>1.110249</v>
      </c>
      <c r="L2918">
        <v>213.49799999999999</v>
      </c>
      <c r="M2918">
        <v>0.99983789999999995</v>
      </c>
      <c r="N2918">
        <v>0</v>
      </c>
      <c r="O2918">
        <v>1.418107E-2</v>
      </c>
      <c r="P2918">
        <v>0.99822920000000004</v>
      </c>
      <c r="Q2918">
        <v>5.6160099999999998E-2</v>
      </c>
      <c r="R2918">
        <v>-1.9608259999999999E-2</v>
      </c>
      <c r="S2918">
        <v>3.0314640000000002</v>
      </c>
      <c r="T2918">
        <v>-0.34682639999999998</v>
      </c>
      <c r="U2918">
        <v>0.3209381</v>
      </c>
      <c r="V2918">
        <v>3.3705069999999997E-2</v>
      </c>
      <c r="W2918">
        <v>6.7253160000000006E-2</v>
      </c>
      <c r="X2918">
        <v>0.99716649999999996</v>
      </c>
      <c r="Y2918">
        <v>-9.0673660000000003E-2</v>
      </c>
      <c r="Z2918">
        <v>3.5433449999999998E-3</v>
      </c>
      <c r="AA2918">
        <v>0.99587429999999999</v>
      </c>
      <c r="AB2918">
        <v>31</v>
      </c>
      <c r="AC2918">
        <v>9.3865000000000105</v>
      </c>
      <c r="AD2918">
        <v>-1.1102504006659999</v>
      </c>
      <c r="AE2918">
        <v>1.0225</v>
      </c>
      <c r="AF2918">
        <v>-0.87715046802830698</v>
      </c>
      <c r="AG2918">
        <v>-1.1102504006659999</v>
      </c>
      <c r="AH2918">
        <v>9.2718599496876006</v>
      </c>
      <c r="AI2918">
        <v>96.798250524930296</v>
      </c>
      <c r="AJ2918">
        <v>95.404297476557204</v>
      </c>
      <c r="AK2918">
        <v>9.3792023020277302</v>
      </c>
      <c r="AL2918">
        <v>86.143767182890898</v>
      </c>
      <c r="AM2918">
        <v>88.064091287304095</v>
      </c>
      <c r="AN2918">
        <v>1.0000000239979701</v>
      </c>
    </row>
    <row r="2919" spans="1:40" x14ac:dyDescent="0.25">
      <c r="A2919" t="str">
        <f>"20190312151328628"</f>
        <v>20190312151328628</v>
      </c>
      <c r="B2919" t="str">
        <f>"1552374808623572"</f>
        <v>1552374808623572</v>
      </c>
      <c r="C2919" t="s">
        <v>40</v>
      </c>
      <c r="D2919">
        <v>4.9005619999999999</v>
      </c>
      <c r="E2919">
        <v>0.49545339999999999</v>
      </c>
      <c r="F2919" t="s">
        <v>54</v>
      </c>
      <c r="G2919">
        <v>-379.94229999999999</v>
      </c>
      <c r="H2919" s="1">
        <v>3.754018E-6</v>
      </c>
      <c r="I2919">
        <v>214.5258</v>
      </c>
      <c r="J2919">
        <v>-389.32310000000001</v>
      </c>
      <c r="K2919">
        <v>1.110225</v>
      </c>
      <c r="L2919">
        <v>213.50290000000001</v>
      </c>
      <c r="M2919">
        <v>0.99983259999999996</v>
      </c>
      <c r="N2919">
        <v>0</v>
      </c>
      <c r="O2919">
        <v>1.4606299999999999E-2</v>
      </c>
      <c r="P2919">
        <v>0.99825410000000003</v>
      </c>
      <c r="Q2919">
        <v>5.5881979999999998E-2</v>
      </c>
      <c r="R2919">
        <v>-1.9134660000000001E-2</v>
      </c>
      <c r="S2919">
        <v>3.031158</v>
      </c>
      <c r="T2919">
        <v>-0.3472247</v>
      </c>
      <c r="U2919">
        <v>0.32145689999999999</v>
      </c>
      <c r="V2919">
        <v>3.3659170000000002E-2</v>
      </c>
      <c r="W2919">
        <v>6.6908720000000005E-2</v>
      </c>
      <c r="X2919">
        <v>0.99719120000000006</v>
      </c>
      <c r="Y2919">
        <v>-9.0432289999999999E-2</v>
      </c>
      <c r="Z2919">
        <v>3.4855720000000001E-3</v>
      </c>
      <c r="AA2919">
        <v>0.99589649999999996</v>
      </c>
      <c r="AB2919">
        <v>31</v>
      </c>
      <c r="AC2919">
        <v>9.3808000000000202</v>
      </c>
      <c r="AD2919">
        <v>-1.110221245982</v>
      </c>
      <c r="AE2919">
        <v>1.0228999999999899</v>
      </c>
      <c r="AF2919">
        <v>-0.873670226136401</v>
      </c>
      <c r="AG2919">
        <v>-1.110221245982</v>
      </c>
      <c r="AH2919">
        <v>9.2664722392974408</v>
      </c>
      <c r="AI2919">
        <v>96.802191393132006</v>
      </c>
      <c r="AJ2919">
        <v>95.386092593357404</v>
      </c>
      <c r="AK2919">
        <v>9.3735478150344491</v>
      </c>
      <c r="AL2919">
        <v>86.163546612545801</v>
      </c>
      <c r="AM2919">
        <v>88.066773480923004</v>
      </c>
      <c r="AN2919">
        <v>1.00000000294728</v>
      </c>
    </row>
    <row r="2920" spans="1:40" x14ac:dyDescent="0.25">
      <c r="A2920" t="str">
        <f>"20190312151328649"</f>
        <v>20190312151328649</v>
      </c>
      <c r="B2920" t="str">
        <f>"1552374808643092"</f>
        <v>1552374808643092</v>
      </c>
      <c r="C2920" t="s">
        <v>40</v>
      </c>
      <c r="D2920">
        <v>4.8495619999999997</v>
      </c>
      <c r="E2920">
        <v>0.50422929999999999</v>
      </c>
      <c r="F2920" t="s">
        <v>41</v>
      </c>
      <c r="G2920">
        <v>-388.35989999999998</v>
      </c>
      <c r="H2920">
        <v>1.0401910000000001</v>
      </c>
      <c r="I2920">
        <v>213.49619999999999</v>
      </c>
      <c r="J2920">
        <v>-389.02730000000003</v>
      </c>
      <c r="K2920">
        <v>1.1102019999999999</v>
      </c>
      <c r="L2920">
        <v>213.5076</v>
      </c>
      <c r="M2920">
        <v>0.99982760000000004</v>
      </c>
      <c r="N2920">
        <v>0</v>
      </c>
      <c r="O2920">
        <v>1.499315E-2</v>
      </c>
      <c r="P2920">
        <v>0.99830249999999998</v>
      </c>
      <c r="Q2920">
        <v>5.5012779999999997E-2</v>
      </c>
      <c r="R2920">
        <v>-1.9134000000000002E-2</v>
      </c>
      <c r="S2920">
        <v>3.0171199999999998</v>
      </c>
      <c r="T2920">
        <v>-0.2193978</v>
      </c>
      <c r="U2920">
        <v>-2.0919799999999999E-2</v>
      </c>
      <c r="V2920">
        <v>3.4048299999999997E-2</v>
      </c>
      <c r="W2920">
        <v>6.5975699999999998E-2</v>
      </c>
      <c r="X2920">
        <v>0.99724009999999996</v>
      </c>
      <c r="Y2920">
        <v>2.1829210000000002E-2</v>
      </c>
      <c r="Z2920">
        <v>-1.881492E-3</v>
      </c>
      <c r="AA2920">
        <v>0.99975999999999998</v>
      </c>
      <c r="AB2920">
        <v>31</v>
      </c>
      <c r="AC2920">
        <v>0.66740000000004296</v>
      </c>
      <c r="AD2920">
        <v>-7.0011000000000004E-2</v>
      </c>
      <c r="AE2920">
        <v>-1.14000000000089E-2</v>
      </c>
      <c r="AF2920">
        <v>2.1172824139159999E-2</v>
      </c>
      <c r="AG2920">
        <v>-7.0011000000000004E-2</v>
      </c>
      <c r="AH2920">
        <v>0.659894519374712</v>
      </c>
      <c r="AI2920">
        <v>96.053005175860207</v>
      </c>
      <c r="AJ2920">
        <v>88.162285938356504</v>
      </c>
      <c r="AK2920">
        <v>0.66393569365098204</v>
      </c>
      <c r="AL2920">
        <v>86.217122905196305</v>
      </c>
      <c r="AM2920">
        <v>88.044536730748405</v>
      </c>
      <c r="AN2920">
        <v>0.99999994838569295</v>
      </c>
    </row>
    <row r="2921" spans="1:40" x14ac:dyDescent="0.25">
      <c r="A2921" t="str">
        <f>"20190312151328672"</f>
        <v>20190312151328672</v>
      </c>
      <c r="B2921" t="str">
        <f>"1552374808663589"</f>
        <v>1552374808663589</v>
      </c>
      <c r="C2921" t="s">
        <v>40</v>
      </c>
      <c r="D2921">
        <v>4.8372149999999996</v>
      </c>
      <c r="E2921">
        <v>0.50798089999999996</v>
      </c>
      <c r="F2921" t="s">
        <v>54</v>
      </c>
      <c r="G2921">
        <v>-369.53829999999999</v>
      </c>
      <c r="H2921" s="1">
        <v>3.5390419999999998E-6</v>
      </c>
      <c r="I2921">
        <v>212.91909999999999</v>
      </c>
      <c r="J2921">
        <v>-388.72660000000002</v>
      </c>
      <c r="K2921">
        <v>1.1101760000000001</v>
      </c>
      <c r="L2921">
        <v>213.51249999999999</v>
      </c>
      <c r="M2921">
        <v>0.99982249999999995</v>
      </c>
      <c r="N2921">
        <v>0</v>
      </c>
      <c r="O2921">
        <v>1.536822E-2</v>
      </c>
      <c r="P2921">
        <v>0.99830839999999998</v>
      </c>
      <c r="Q2921">
        <v>5.4937769999999997E-2</v>
      </c>
      <c r="R2921">
        <v>-1.9030729999999999E-2</v>
      </c>
      <c r="S2921">
        <v>3.012848</v>
      </c>
      <c r="T2921">
        <v>-0.171628</v>
      </c>
      <c r="U2921">
        <v>-9.0972899999999995E-2</v>
      </c>
      <c r="V2921">
        <v>3.4321999999999998E-2</v>
      </c>
      <c r="W2921">
        <v>6.5833909999999995E-2</v>
      </c>
      <c r="X2921">
        <v>0.99724009999999996</v>
      </c>
      <c r="Y2921">
        <v>4.5441299999999997E-2</v>
      </c>
      <c r="Z2921">
        <v>-2.1675729999999999E-3</v>
      </c>
      <c r="AA2921">
        <v>0.99896470000000004</v>
      </c>
      <c r="AB2921">
        <v>31</v>
      </c>
      <c r="AC2921">
        <v>19.188300000000002</v>
      </c>
      <c r="AD2921">
        <v>-1.1101724609579999</v>
      </c>
      <c r="AE2921">
        <v>-0.59340000000000204</v>
      </c>
      <c r="AF2921">
        <v>0.88527689761306005</v>
      </c>
      <c r="AG2921">
        <v>-1.1101724609579999</v>
      </c>
      <c r="AH2921">
        <v>19.112995829947501</v>
      </c>
      <c r="AI2921">
        <v>93.320720320477193</v>
      </c>
      <c r="AJ2921">
        <v>87.348065986571498</v>
      </c>
      <c r="AK2921">
        <v>19.165667420523299</v>
      </c>
      <c r="AL2921">
        <v>86.225264619615501</v>
      </c>
      <c r="AM2921">
        <v>88.028829932949805</v>
      </c>
      <c r="AN2921">
        <v>0.99999996021894799</v>
      </c>
    </row>
    <row r="2922" spans="1:40" x14ac:dyDescent="0.25">
      <c r="A2922" t="str">
        <f>"20190312151328696"</f>
        <v>20190312151328696</v>
      </c>
      <c r="B2922" t="str">
        <f>"1552374808692868"</f>
        <v>1552374808692868</v>
      </c>
      <c r="C2922" t="s">
        <v>40</v>
      </c>
      <c r="D2922">
        <v>4.8985300000000001</v>
      </c>
      <c r="E2922">
        <v>0.51124859999999905</v>
      </c>
      <c r="F2922" t="s">
        <v>54</v>
      </c>
      <c r="G2922">
        <v>-366.39339999999999</v>
      </c>
      <c r="H2922" s="1">
        <v>1.865469E-6</v>
      </c>
      <c r="I2922">
        <v>212.61680000000001</v>
      </c>
      <c r="J2922">
        <v>-388.399</v>
      </c>
      <c r="K2922">
        <v>1.1101510000000001</v>
      </c>
      <c r="L2922">
        <v>213.5179</v>
      </c>
      <c r="M2922">
        <v>0.99981739999999997</v>
      </c>
      <c r="N2922">
        <v>0</v>
      </c>
      <c r="O2922">
        <v>1.575327E-2</v>
      </c>
      <c r="P2922">
        <v>0.99830399999999997</v>
      </c>
      <c r="Q2922">
        <v>5.5016099999999901E-2</v>
      </c>
      <c r="R2922">
        <v>-1.9043819999999999E-2</v>
      </c>
      <c r="S2922">
        <v>3.0110169999999998</v>
      </c>
      <c r="T2922">
        <v>-0.149676799999999</v>
      </c>
      <c r="U2922">
        <v>-0.12075809999999999</v>
      </c>
      <c r="V2922">
        <v>3.4721689999999999E-2</v>
      </c>
      <c r="W2922">
        <v>6.5835329999999997E-2</v>
      </c>
      <c r="X2922">
        <v>0.99722619999999895</v>
      </c>
      <c r="Y2922">
        <v>5.5721640000000003E-2</v>
      </c>
      <c r="Z2922">
        <v>-2.1659209999999999E-3</v>
      </c>
      <c r="AA2922">
        <v>0.998444</v>
      </c>
      <c r="AB2922">
        <v>31</v>
      </c>
      <c r="AC2922">
        <v>22.005600000000001</v>
      </c>
      <c r="AD2922">
        <v>-1.1101491345309999</v>
      </c>
      <c r="AE2922">
        <v>-0.90109999999998502</v>
      </c>
      <c r="AF2922">
        <v>1.2445065802272</v>
      </c>
      <c r="AG2922">
        <v>-1.1101491345309999</v>
      </c>
      <c r="AH2922">
        <v>21.932945904704201</v>
      </c>
      <c r="AI2922">
        <v>92.892941874774493</v>
      </c>
      <c r="AJ2922">
        <v>86.752438173240705</v>
      </c>
      <c r="AK2922">
        <v>21.996257495033401</v>
      </c>
      <c r="AL2922">
        <v>86.225183196050295</v>
      </c>
      <c r="AM2922">
        <v>88.005865718449897</v>
      </c>
      <c r="AN2922">
        <v>0.99999999019955199</v>
      </c>
    </row>
    <row r="2923" spans="1:40" x14ac:dyDescent="0.25">
      <c r="A2923" t="str">
        <f>"20190312151328719"</f>
        <v>20190312151328719</v>
      </c>
      <c r="B2923" t="str">
        <f>"1552374808713364"</f>
        <v>1552374808713364</v>
      </c>
      <c r="C2923" t="s">
        <v>40</v>
      </c>
      <c r="D2923">
        <v>4.870247</v>
      </c>
      <c r="E2923">
        <v>0.512652</v>
      </c>
      <c r="F2923" t="s">
        <v>54</v>
      </c>
      <c r="G2923">
        <v>-366.36430000000001</v>
      </c>
      <c r="H2923" s="1">
        <v>1.8500010000000001E-6</v>
      </c>
      <c r="I2923">
        <v>212.4444</v>
      </c>
      <c r="J2923">
        <v>-388.08960000000002</v>
      </c>
      <c r="K2923">
        <v>1.1101190000000001</v>
      </c>
      <c r="L2923">
        <v>213.5232</v>
      </c>
      <c r="M2923">
        <v>0.99981279999999995</v>
      </c>
      <c r="N2923">
        <v>0</v>
      </c>
      <c r="O2923">
        <v>1.609379E-2</v>
      </c>
      <c r="P2923">
        <v>0.99828399999999995</v>
      </c>
      <c r="Q2923">
        <v>5.5401640000000002E-2</v>
      </c>
      <c r="R2923">
        <v>-1.8972389999999999E-2</v>
      </c>
      <c r="S2923">
        <v>3.0106510000000002</v>
      </c>
      <c r="T2923">
        <v>-0.15168209999999999</v>
      </c>
      <c r="U2923">
        <v>-0.1466827</v>
      </c>
      <c r="V2923">
        <v>3.4992219999999997E-2</v>
      </c>
      <c r="W2923">
        <v>6.6144620000000001E-2</v>
      </c>
      <c r="X2923">
        <v>0.99719630000000004</v>
      </c>
      <c r="Y2923">
        <v>6.4630750000000001E-2</v>
      </c>
      <c r="Z2923">
        <v>-2.4360559999999998E-3</v>
      </c>
      <c r="AA2923">
        <v>0.99790630000000002</v>
      </c>
      <c r="AB2923">
        <v>31</v>
      </c>
      <c r="AC2923">
        <v>21.725300000000001</v>
      </c>
      <c r="AD2923">
        <v>-1.1101171499989999</v>
      </c>
      <c r="AE2923">
        <v>-1.0788</v>
      </c>
      <c r="AF2923">
        <v>1.4246123422475201</v>
      </c>
      <c r="AG2923">
        <v>-1.1101171499989999</v>
      </c>
      <c r="AH2923">
        <v>21.6487372614206</v>
      </c>
      <c r="AI2923">
        <v>92.929152494638899</v>
      </c>
      <c r="AJ2923">
        <v>86.235034086879693</v>
      </c>
      <c r="AK2923">
        <v>21.723943137156901</v>
      </c>
      <c r="AL2923">
        <v>86.207423561443406</v>
      </c>
      <c r="AM2923">
        <v>87.990281136171404</v>
      </c>
      <c r="AN2923">
        <v>1.0000000134745799</v>
      </c>
    </row>
    <row r="2924" spans="1:40" x14ac:dyDescent="0.25">
      <c r="A2924" t="str">
        <f>"20190312151328741"</f>
        <v>20190312151328741</v>
      </c>
      <c r="B2924" t="str">
        <f>"1552374808732884"</f>
        <v>1552374808732884</v>
      </c>
      <c r="C2924" t="s">
        <v>40</v>
      </c>
      <c r="D2924">
        <v>4.9261650000000001</v>
      </c>
      <c r="E2924">
        <v>0.5135691</v>
      </c>
      <c r="F2924" t="s">
        <v>54</v>
      </c>
      <c r="G2924">
        <v>-366.37459999999999</v>
      </c>
      <c r="H2924" s="1">
        <v>1.855453E-6</v>
      </c>
      <c r="I2924">
        <v>212.38659999999999</v>
      </c>
      <c r="J2924">
        <v>-387.76679999999999</v>
      </c>
      <c r="K2924">
        <v>1.110088</v>
      </c>
      <c r="L2924">
        <v>213.52869999999999</v>
      </c>
      <c r="M2924">
        <v>0.99980840000000004</v>
      </c>
      <c r="N2924">
        <v>0</v>
      </c>
      <c r="O2924">
        <v>1.6424910000000001E-2</v>
      </c>
      <c r="P2924">
        <v>0.99828329999999998</v>
      </c>
      <c r="Q2924">
        <v>5.5480649999999999E-2</v>
      </c>
      <c r="R2924">
        <v>-1.8778130000000001E-2</v>
      </c>
      <c r="S2924">
        <v>3.0107119999999998</v>
      </c>
      <c r="T2924">
        <v>-0.153914</v>
      </c>
      <c r="U2924">
        <v>-0.15757750000000001</v>
      </c>
      <c r="V2924">
        <v>3.513136E-2</v>
      </c>
      <c r="W2924">
        <v>6.6139379999999998E-2</v>
      </c>
      <c r="X2924">
        <v>0.99719170000000001</v>
      </c>
      <c r="Y2924">
        <v>6.8553080000000002E-2</v>
      </c>
      <c r="Z2924">
        <v>-2.5886160000000002E-3</v>
      </c>
      <c r="AA2924">
        <v>0.99764410000000003</v>
      </c>
      <c r="AB2924">
        <v>31</v>
      </c>
      <c r="AC2924">
        <v>21.392199999999999</v>
      </c>
      <c r="AD2924">
        <v>-1.1100861445469901</v>
      </c>
      <c r="AE2924">
        <v>-1.1420999999999899</v>
      </c>
      <c r="AF2924">
        <v>1.48933173815058</v>
      </c>
      <c r="AG2924">
        <v>-1.1100861445469901</v>
      </c>
      <c r="AH2924">
        <v>21.313324773878499</v>
      </c>
      <c r="AI2924">
        <v>92.974267530949007</v>
      </c>
      <c r="AJ2924">
        <v>86.002785180037307</v>
      </c>
      <c r="AK2924">
        <v>21.394116321816199</v>
      </c>
      <c r="AL2924">
        <v>86.207724240643898</v>
      </c>
      <c r="AM2924">
        <v>87.982287158294696</v>
      </c>
      <c r="AN2924">
        <v>0.99999995829556099</v>
      </c>
    </row>
    <row r="2925" spans="1:40" x14ac:dyDescent="0.25">
      <c r="A2925" t="str">
        <f>"20190312151328784"</f>
        <v>20190312151328784</v>
      </c>
      <c r="B2925" t="str">
        <f>"1552374808772903"</f>
        <v>1552374808772903</v>
      </c>
      <c r="C2925" t="s">
        <v>40</v>
      </c>
      <c r="D2925">
        <v>4.8523059999999996</v>
      </c>
      <c r="E2925">
        <v>0.51493339999999999</v>
      </c>
      <c r="F2925" t="s">
        <v>54</v>
      </c>
      <c r="G2925">
        <v>-365.05619999999999</v>
      </c>
      <c r="H2925" s="1">
        <v>1.153889E-6</v>
      </c>
      <c r="I2925">
        <v>212.28970000000001</v>
      </c>
      <c r="J2925">
        <v>-387.17259999999999</v>
      </c>
      <c r="K2925">
        <v>1.110033</v>
      </c>
      <c r="L2925">
        <v>213.53909999999999</v>
      </c>
      <c r="M2925">
        <v>0.99980089999999999</v>
      </c>
      <c r="N2925">
        <v>0</v>
      </c>
      <c r="O2925">
        <v>1.6968790000000001E-2</v>
      </c>
      <c r="P2925">
        <v>0.99819959999999996</v>
      </c>
      <c r="Q2925">
        <v>5.6659510000000003E-2</v>
      </c>
      <c r="R2925">
        <v>-1.9674850000000001E-2</v>
      </c>
      <c r="S2925">
        <v>3.0102540000000002</v>
      </c>
      <c r="T2925">
        <v>-0.14714070000000001</v>
      </c>
      <c r="U2925">
        <v>-0.1642303</v>
      </c>
      <c r="V2925">
        <v>3.657436E-2</v>
      </c>
      <c r="W2925">
        <v>6.7148970000000002E-2</v>
      </c>
      <c r="X2925">
        <v>0.99707239999999997</v>
      </c>
      <c r="Y2925">
        <v>7.1307549999999997E-2</v>
      </c>
      <c r="Z2925">
        <v>-2.5688529999999998E-3</v>
      </c>
      <c r="AA2925">
        <v>0.99745110000000003</v>
      </c>
      <c r="AB2925">
        <v>31</v>
      </c>
      <c r="AC2925">
        <v>22.116399999999999</v>
      </c>
      <c r="AD2925">
        <v>-1.1100318461109999</v>
      </c>
      <c r="AE2925">
        <v>-1.2493999999999801</v>
      </c>
      <c r="AF2925">
        <v>1.62046023877773</v>
      </c>
      <c r="AG2925">
        <v>-1.1100318461109999</v>
      </c>
      <c r="AH2925">
        <v>22.036677783718201</v>
      </c>
      <c r="AI2925">
        <v>92.875914552352199</v>
      </c>
      <c r="AJ2925">
        <v>85.794342283402898</v>
      </c>
      <c r="AK2925">
        <v>22.124041896277902</v>
      </c>
      <c r="AL2925">
        <v>86.149750337572002</v>
      </c>
      <c r="AM2925">
        <v>87.899232461007301</v>
      </c>
      <c r="AN2925">
        <v>1.0000000194116101</v>
      </c>
    </row>
    <row r="2926" spans="1:40" x14ac:dyDescent="0.25">
      <c r="A2926" t="str">
        <f>"20190312151328808"</f>
        <v>20190312151328808</v>
      </c>
      <c r="B2926" t="str">
        <f>"1552374808803157"</f>
        <v>1552374808803157</v>
      </c>
      <c r="C2926" t="s">
        <v>40</v>
      </c>
      <c r="D2926">
        <v>4.8734339999999996</v>
      </c>
      <c r="E2926">
        <v>0.51561559999999995</v>
      </c>
      <c r="F2926" t="s">
        <v>54</v>
      </c>
      <c r="G2926">
        <v>-362.35050000000001</v>
      </c>
      <c r="H2926" s="1">
        <v>-2.8597000000000001E-7</v>
      </c>
      <c r="I2926">
        <v>212.0745</v>
      </c>
      <c r="J2926">
        <v>-386.85419999999999</v>
      </c>
      <c r="K2926">
        <v>1.1100019999999999</v>
      </c>
      <c r="L2926">
        <v>213.54480000000001</v>
      </c>
      <c r="M2926">
        <v>0.99979750000000001</v>
      </c>
      <c r="N2926">
        <v>0</v>
      </c>
      <c r="O2926">
        <v>1.7229479999999998E-2</v>
      </c>
      <c r="P2926">
        <v>0.99816890000000003</v>
      </c>
      <c r="Q2926">
        <v>5.6860580000000001E-2</v>
      </c>
      <c r="R2926">
        <v>-2.0638440000000001E-2</v>
      </c>
      <c r="S2926">
        <v>3.0095519999999998</v>
      </c>
      <c r="T2926">
        <v>-0.13458599999999901</v>
      </c>
      <c r="U2926">
        <v>-0.17758180000000001</v>
      </c>
      <c r="V2926">
        <v>3.7799960000000001E-2</v>
      </c>
      <c r="W2926">
        <v>6.7253640000000003E-2</v>
      </c>
      <c r="X2926">
        <v>0.99701960000000001</v>
      </c>
      <c r="Y2926">
        <v>7.6002479999999997E-2</v>
      </c>
      <c r="Z2926">
        <v>-2.4666309999999999E-3</v>
      </c>
      <c r="AA2926">
        <v>0.99710460000000001</v>
      </c>
      <c r="AB2926">
        <v>31</v>
      </c>
      <c r="AC2926">
        <v>24.503699999999899</v>
      </c>
      <c r="AD2926">
        <v>-1.1100022859699901</v>
      </c>
      <c r="AE2926">
        <v>-1.4702999999999999</v>
      </c>
      <c r="AF2926">
        <v>1.8884293400832699</v>
      </c>
      <c r="AG2926">
        <v>-1.1100022859699901</v>
      </c>
      <c r="AH2926">
        <v>24.424787766886599</v>
      </c>
      <c r="AI2926">
        <v>92.594326123576906</v>
      </c>
      <c r="AJ2926">
        <v>85.578909202073902</v>
      </c>
      <c r="AK2926">
        <v>24.5228164757802</v>
      </c>
      <c r="AL2926">
        <v>86.143739471474902</v>
      </c>
      <c r="AM2926">
        <v>87.828787541497604</v>
      </c>
      <c r="AN2926">
        <v>0.99999998592670503</v>
      </c>
    </row>
    <row r="2927" spans="1:40" x14ac:dyDescent="0.25">
      <c r="A2927" t="str">
        <f>"20190312151328830"</f>
        <v>20190312151328830</v>
      </c>
      <c r="B2927" t="str">
        <f>"1552374808823653"</f>
        <v>1552374808823653</v>
      </c>
      <c r="C2927" t="s">
        <v>40</v>
      </c>
      <c r="D2927">
        <v>4.8781290000000004</v>
      </c>
      <c r="E2927">
        <v>0.51590559999999996</v>
      </c>
      <c r="F2927" t="s">
        <v>54</v>
      </c>
      <c r="G2927">
        <v>-361.18220000000002</v>
      </c>
      <c r="H2927" s="1">
        <v>-9.0770389999999997E-7</v>
      </c>
      <c r="I2927">
        <v>211.95750000000001</v>
      </c>
      <c r="J2927">
        <v>-386.5419</v>
      </c>
      <c r="K2927">
        <v>1.1099760000000001</v>
      </c>
      <c r="L2927">
        <v>213.5504</v>
      </c>
      <c r="M2927">
        <v>0.99979439999999997</v>
      </c>
      <c r="N2927">
        <v>0</v>
      </c>
      <c r="O2927">
        <v>1.7467079999999999E-2</v>
      </c>
      <c r="P2927">
        <v>0.99810330000000003</v>
      </c>
      <c r="Q2927">
        <v>5.7387460000000001E-2</v>
      </c>
      <c r="R2927">
        <v>-2.2287689999999999E-2</v>
      </c>
      <c r="S2927">
        <v>3.009064</v>
      </c>
      <c r="T2927">
        <v>-0.1301051</v>
      </c>
      <c r="U2927">
        <v>-0.1860504</v>
      </c>
      <c r="V2927">
        <v>3.9687020000000003E-2</v>
      </c>
      <c r="W2927">
        <v>6.7684670000000002E-2</v>
      </c>
      <c r="X2927">
        <v>0.9969171</v>
      </c>
      <c r="Y2927">
        <v>7.9047610000000004E-2</v>
      </c>
      <c r="Z2927">
        <v>-2.4607740000000002E-3</v>
      </c>
      <c r="AA2927">
        <v>0.99686779999999997</v>
      </c>
      <c r="AB2927">
        <v>31</v>
      </c>
      <c r="AC2927">
        <v>25.359699999999901</v>
      </c>
      <c r="AD2927">
        <v>-1.1099769077038999</v>
      </c>
      <c r="AE2927">
        <v>-1.59289999999998</v>
      </c>
      <c r="AF2927">
        <v>2.0317632986333201</v>
      </c>
      <c r="AG2927">
        <v>-1.1099769077038999</v>
      </c>
      <c r="AH2927">
        <v>25.2797664171005</v>
      </c>
      <c r="AI2927">
        <v>92.506041706655395</v>
      </c>
      <c r="AJ2927">
        <v>85.404950619735402</v>
      </c>
      <c r="AK2927">
        <v>25.385560875042199</v>
      </c>
      <c r="AL2927">
        <v>86.118986881516506</v>
      </c>
      <c r="AM2927">
        <v>87.720273178934804</v>
      </c>
      <c r="AN2927">
        <v>0.99999998919094901</v>
      </c>
    </row>
    <row r="2928" spans="1:40" x14ac:dyDescent="0.25">
      <c r="A2928" t="str">
        <f>"20190312151328851"</f>
        <v>20190312151328851</v>
      </c>
      <c r="B2928" t="str">
        <f>"1552374808843174"</f>
        <v>1552374808843174</v>
      </c>
      <c r="C2928" t="s">
        <v>40</v>
      </c>
      <c r="D2928">
        <v>4.8890209999999996</v>
      </c>
      <c r="E2928">
        <v>0.51621260000000002</v>
      </c>
      <c r="F2928" t="s">
        <v>54</v>
      </c>
      <c r="G2928">
        <v>-361.1379</v>
      </c>
      <c r="H2928" s="1">
        <v>-9.3126140000000004E-7</v>
      </c>
      <c r="I2928">
        <v>211.9196</v>
      </c>
      <c r="J2928">
        <v>-386.23939999999999</v>
      </c>
      <c r="K2928">
        <v>1.1099570000000001</v>
      </c>
      <c r="L2928">
        <v>213.55590000000001</v>
      </c>
      <c r="M2928">
        <v>0.99979150000000006</v>
      </c>
      <c r="N2928">
        <v>0</v>
      </c>
      <c r="O2928">
        <v>1.768459E-2</v>
      </c>
      <c r="P2928">
        <v>0.99802040000000003</v>
      </c>
      <c r="Q2928">
        <v>5.7844130000000001E-2</v>
      </c>
      <c r="R2928">
        <v>-2.4695519999999999E-2</v>
      </c>
      <c r="S2928">
        <v>3.0089419999999998</v>
      </c>
      <c r="T2928">
        <v>-0.13146969999999999</v>
      </c>
      <c r="U2928">
        <v>-0.193161</v>
      </c>
      <c r="V2928">
        <v>4.2311410000000001E-2</v>
      </c>
      <c r="W2928">
        <v>6.8051459999999994E-2</v>
      </c>
      <c r="X2928">
        <v>0.99678420000000001</v>
      </c>
      <c r="Y2928">
        <v>8.160858E-2</v>
      </c>
      <c r="Z2928">
        <v>-2.5518339999999998E-3</v>
      </c>
      <c r="AA2928">
        <v>0.99666120000000002</v>
      </c>
      <c r="AB2928">
        <v>31</v>
      </c>
      <c r="AC2928">
        <v>25.101499999999898</v>
      </c>
      <c r="AD2928">
        <v>-1.1099579312614001</v>
      </c>
      <c r="AE2928">
        <v>-1.6363000000000001</v>
      </c>
      <c r="AF2928">
        <v>2.07593504636244</v>
      </c>
      <c r="AG2928">
        <v>-1.1099579312614001</v>
      </c>
      <c r="AH2928">
        <v>25.019920823640799</v>
      </c>
      <c r="AI2928">
        <v>92.5314580179096</v>
      </c>
      <c r="AJ2928">
        <v>85.256959558268406</v>
      </c>
      <c r="AK2928">
        <v>25.1304188374794</v>
      </c>
      <c r="AL2928">
        <v>86.097922833159402</v>
      </c>
      <c r="AM2928">
        <v>87.569372833038301</v>
      </c>
      <c r="AN2928">
        <v>0.999999998996979</v>
      </c>
    </row>
    <row r="2929" spans="1:40" x14ac:dyDescent="0.25">
      <c r="A2929" t="str">
        <f>"20190312151328874"</f>
        <v>20190312151328874</v>
      </c>
      <c r="B2929" t="str">
        <f>"1552374808863669"</f>
        <v>1552374808863669</v>
      </c>
      <c r="C2929" t="s">
        <v>40</v>
      </c>
      <c r="D2929">
        <v>4.8520050000000001</v>
      </c>
      <c r="E2929">
        <v>0.51646449999999999</v>
      </c>
      <c r="F2929" t="s">
        <v>54</v>
      </c>
      <c r="G2929">
        <v>-360.21499999999997</v>
      </c>
      <c r="H2929" s="1">
        <v>-1.4223839999999999E-6</v>
      </c>
      <c r="I2929">
        <v>211.80019999999999</v>
      </c>
      <c r="J2929">
        <v>-385.92059999999998</v>
      </c>
      <c r="K2929">
        <v>1.109945</v>
      </c>
      <c r="L2929">
        <v>213.56180000000001</v>
      </c>
      <c r="M2929">
        <v>0.99978849999999997</v>
      </c>
      <c r="N2929">
        <v>0</v>
      </c>
      <c r="O2929">
        <v>1.7903329999999999E-2</v>
      </c>
      <c r="P2929">
        <v>0.99793489999999996</v>
      </c>
      <c r="Q2929">
        <v>5.8081840000000003E-2</v>
      </c>
      <c r="R2929">
        <v>-2.7438779999999999E-2</v>
      </c>
      <c r="S2929">
        <v>3.008362</v>
      </c>
      <c r="T2929">
        <v>-0.1283088</v>
      </c>
      <c r="U2929">
        <v>-0.2029572</v>
      </c>
      <c r="V2929">
        <v>4.527229E-2</v>
      </c>
      <c r="W2929">
        <v>6.8196080000000006E-2</v>
      </c>
      <c r="X2929">
        <v>0.99664419999999998</v>
      </c>
      <c r="Y2929">
        <v>8.5070980000000004E-2</v>
      </c>
      <c r="Z2929">
        <v>-2.5737899999999998E-3</v>
      </c>
      <c r="AA2929">
        <v>0.99637160000000002</v>
      </c>
      <c r="AB2929">
        <v>31</v>
      </c>
      <c r="AC2929">
        <v>25.7056</v>
      </c>
      <c r="AD2929">
        <v>-1.1099464223839901</v>
      </c>
      <c r="AE2929">
        <v>-1.76160000000001</v>
      </c>
      <c r="AF2929">
        <v>2.2174420731319602</v>
      </c>
      <c r="AG2929">
        <v>-1.1099464223839901</v>
      </c>
      <c r="AH2929">
        <v>25.622391304792</v>
      </c>
      <c r="AI2929">
        <v>92.471241871351907</v>
      </c>
      <c r="AJ2929">
        <v>85.053767666188506</v>
      </c>
      <c r="AK2929">
        <v>25.7421049369344</v>
      </c>
      <c r="AL2929">
        <v>86.089617323094899</v>
      </c>
      <c r="AM2929">
        <v>87.399142789005197</v>
      </c>
      <c r="AN2929">
        <v>0.999999973481424</v>
      </c>
    </row>
    <row r="2930" spans="1:40" x14ac:dyDescent="0.25">
      <c r="A2930" t="str">
        <f>"20190312151328895"</f>
        <v>20190312151328895</v>
      </c>
      <c r="B2930" t="str">
        <f>"1552374808892949"</f>
        <v>1552374808892949</v>
      </c>
      <c r="C2930" t="s">
        <v>40</v>
      </c>
      <c r="D2930">
        <v>4.8629490000000004</v>
      </c>
      <c r="E2930">
        <v>0.51662929999999996</v>
      </c>
      <c r="F2930" t="s">
        <v>54</v>
      </c>
      <c r="G2930">
        <v>-360.17180000000002</v>
      </c>
      <c r="H2930" s="1">
        <v>-1.445377E-6</v>
      </c>
      <c r="I2930">
        <v>211.73400000000001</v>
      </c>
      <c r="J2930">
        <v>-385.6216</v>
      </c>
      <c r="K2930">
        <v>1.109928</v>
      </c>
      <c r="L2930">
        <v>213.56729999999999</v>
      </c>
      <c r="M2930">
        <v>0.99978579999999995</v>
      </c>
      <c r="N2930">
        <v>0</v>
      </c>
      <c r="O2930">
        <v>1.8101969999999998E-2</v>
      </c>
      <c r="P2930">
        <v>0.99780279999999999</v>
      </c>
      <c r="Q2930">
        <v>5.88855E-2</v>
      </c>
      <c r="R2930">
        <v>-3.0369190000000001E-2</v>
      </c>
      <c r="S2930">
        <v>3.0078740000000002</v>
      </c>
      <c r="T2930">
        <v>-0.12965930000000001</v>
      </c>
      <c r="U2930">
        <v>-0.21351619999999999</v>
      </c>
      <c r="V2930">
        <v>4.8398709999999998E-2</v>
      </c>
      <c r="W2930">
        <v>6.8914409999999995E-2</v>
      </c>
      <c r="X2930">
        <v>0.99644790000000005</v>
      </c>
      <c r="Y2930">
        <v>8.8754680000000002E-2</v>
      </c>
      <c r="Z2930">
        <v>-2.6887769999999998E-3</v>
      </c>
      <c r="AA2930">
        <v>0.99604990000000004</v>
      </c>
      <c r="AB2930">
        <v>31</v>
      </c>
      <c r="AC2930">
        <v>25.4497999999999</v>
      </c>
      <c r="AD2930">
        <v>-1.1099294453769999</v>
      </c>
      <c r="AE2930">
        <v>-1.8332999999999799</v>
      </c>
      <c r="AF2930">
        <v>2.2893822429994901</v>
      </c>
      <c r="AG2930">
        <v>-1.1099294453769999</v>
      </c>
      <c r="AH2930">
        <v>25.3644461183478</v>
      </c>
      <c r="AI2930">
        <v>92.495490948971707</v>
      </c>
      <c r="AJ2930">
        <v>84.842486952903499</v>
      </c>
      <c r="AK2930">
        <v>25.491730841958201</v>
      </c>
      <c r="AL2930">
        <v>86.048363186450302</v>
      </c>
      <c r="AM2930">
        <v>87.219258317072303</v>
      </c>
      <c r="AN2930">
        <v>1.0000000242248599</v>
      </c>
    </row>
    <row r="2931" spans="1:40" x14ac:dyDescent="0.25">
      <c r="A2931" t="str">
        <f>"20190312151328920"</f>
        <v>20190312151328920</v>
      </c>
      <c r="B2931" t="str">
        <f>"1552374808913445"</f>
        <v>1552374808913445</v>
      </c>
      <c r="C2931" t="s">
        <v>40</v>
      </c>
      <c r="D2931">
        <v>4.8921080000000003</v>
      </c>
      <c r="E2931">
        <v>0.51671350000000005</v>
      </c>
      <c r="F2931" t="s">
        <v>54</v>
      </c>
      <c r="G2931">
        <v>-360.83609999999999</v>
      </c>
      <c r="H2931" s="1">
        <v>-1.091844E-6</v>
      </c>
      <c r="I2931">
        <v>211.7261</v>
      </c>
      <c r="J2931">
        <v>-385.28879999999998</v>
      </c>
      <c r="K2931">
        <v>1.109915</v>
      </c>
      <c r="L2931">
        <v>213.5736</v>
      </c>
      <c r="M2931">
        <v>0.99978270000000002</v>
      </c>
      <c r="N2931">
        <v>0</v>
      </c>
      <c r="O2931">
        <v>1.831901E-2</v>
      </c>
      <c r="P2931">
        <v>0.99768100000000004</v>
      </c>
      <c r="Q2931">
        <v>5.9065960000000001E-2</v>
      </c>
      <c r="R2931">
        <v>-3.3822600000000001E-2</v>
      </c>
      <c r="S2931">
        <v>3.0077509999999998</v>
      </c>
      <c r="T2931">
        <v>-0.13469159999999999</v>
      </c>
      <c r="U2931">
        <v>-0.22343440000000001</v>
      </c>
      <c r="V2931">
        <v>5.2066420000000002E-2</v>
      </c>
      <c r="W2931">
        <v>6.9004800000000005E-2</v>
      </c>
      <c r="X2931">
        <v>0.9962567</v>
      </c>
      <c r="Y2931">
        <v>9.2229019999999995E-2</v>
      </c>
      <c r="Z2931">
        <v>-2.8801679999999998E-3</v>
      </c>
      <c r="AA2931">
        <v>0.99573370000000005</v>
      </c>
      <c r="AB2931">
        <v>31</v>
      </c>
      <c r="AC2931">
        <v>24.4527</v>
      </c>
      <c r="AD2931">
        <v>-1.1099160918440001</v>
      </c>
      <c r="AE2931">
        <v>-1.8474999999999899</v>
      </c>
      <c r="AF2931">
        <v>2.2904691420517702</v>
      </c>
      <c r="AG2931">
        <v>-1.1099160918440001</v>
      </c>
      <c r="AH2931">
        <v>24.364836703957099</v>
      </c>
      <c r="AI2931">
        <v>92.596816040280302</v>
      </c>
      <c r="AJ2931">
        <v>84.629569402820394</v>
      </c>
      <c r="AK2931">
        <v>24.497416807331401</v>
      </c>
      <c r="AL2931">
        <v>86.043171740730301</v>
      </c>
      <c r="AM2931">
        <v>87.008326720833395</v>
      </c>
      <c r="AN2931">
        <v>0.99999999340477297</v>
      </c>
    </row>
    <row r="2932" spans="1:40" x14ac:dyDescent="0.25">
      <c r="A2932" t="str">
        <f>"20190312151328942"</f>
        <v>20190312151328942</v>
      </c>
      <c r="B2932" t="str">
        <f>"1552374808932965"</f>
        <v>1552374808932965</v>
      </c>
      <c r="C2932" t="s">
        <v>40</v>
      </c>
      <c r="D2932">
        <v>4.8623710000000004</v>
      </c>
      <c r="E2932">
        <v>0.51686460000000001</v>
      </c>
      <c r="F2932" t="s">
        <v>54</v>
      </c>
      <c r="G2932">
        <v>-361.03829999999999</v>
      </c>
      <c r="H2932" s="1">
        <v>-9.8425650000000001E-7</v>
      </c>
      <c r="I2932">
        <v>211.68459999999999</v>
      </c>
      <c r="J2932">
        <v>-384.96910000000003</v>
      </c>
      <c r="K2932">
        <v>1.109901</v>
      </c>
      <c r="L2932">
        <v>213.5796</v>
      </c>
      <c r="M2932">
        <v>0.99977959999999999</v>
      </c>
      <c r="N2932">
        <v>0</v>
      </c>
      <c r="O2932">
        <v>1.8525280000000002E-2</v>
      </c>
      <c r="P2932">
        <v>0.99757510000000005</v>
      </c>
      <c r="Q2932">
        <v>5.924749E-2</v>
      </c>
      <c r="R2932">
        <v>-3.651894E-2</v>
      </c>
      <c r="S2932">
        <v>3.0071720000000002</v>
      </c>
      <c r="T2932">
        <v>-0.1376349</v>
      </c>
      <c r="U2932">
        <v>-0.23423769999999999</v>
      </c>
      <c r="V2932">
        <v>5.496653E-2</v>
      </c>
      <c r="W2932">
        <v>6.9107550000000004E-2</v>
      </c>
      <c r="X2932">
        <v>0.99609380000000003</v>
      </c>
      <c r="Y2932">
        <v>9.5995490000000003E-2</v>
      </c>
      <c r="Z2932">
        <v>-3.038654E-3</v>
      </c>
      <c r="AA2932">
        <v>0.99537710000000001</v>
      </c>
      <c r="AB2932">
        <v>31</v>
      </c>
      <c r="AC2932">
        <v>23.930800000000001</v>
      </c>
      <c r="AD2932">
        <v>-1.1099019842565001</v>
      </c>
      <c r="AE2932">
        <v>-1.89500000000001</v>
      </c>
      <c r="AF2932">
        <v>2.3330339206153901</v>
      </c>
      <c r="AG2932">
        <v>-1.1099019842565001</v>
      </c>
      <c r="AH2932">
        <v>23.840622457110101</v>
      </c>
      <c r="AI2932">
        <v>92.652830843371902</v>
      </c>
      <c r="AJ2932">
        <v>84.410853746704703</v>
      </c>
      <c r="AK2932">
        <v>23.9802045202259</v>
      </c>
      <c r="AL2932">
        <v>86.037270600034304</v>
      </c>
      <c r="AM2932">
        <v>86.841502923237499</v>
      </c>
      <c r="AN2932">
        <v>1.0000000156428399</v>
      </c>
    </row>
    <row r="2933" spans="1:40" x14ac:dyDescent="0.25">
      <c r="A2933" t="str">
        <f>"20190312151328964"</f>
        <v>20190312151328964</v>
      </c>
      <c r="B2933" t="str">
        <f>"1552374808953461"</f>
        <v>1552374808953461</v>
      </c>
      <c r="C2933" t="s">
        <v>40</v>
      </c>
      <c r="D2933">
        <v>4.8214360000000003</v>
      </c>
      <c r="E2933">
        <v>0.51684149999999995</v>
      </c>
      <c r="F2933" t="s">
        <v>54</v>
      </c>
      <c r="G2933">
        <v>-361.12860000000001</v>
      </c>
      <c r="H2933" s="1">
        <v>-9.3620669999999998E-7</v>
      </c>
      <c r="I2933">
        <v>211.64680000000001</v>
      </c>
      <c r="J2933">
        <v>-384.67219999999998</v>
      </c>
      <c r="K2933">
        <v>1.109893</v>
      </c>
      <c r="L2933">
        <v>213.58529999999999</v>
      </c>
      <c r="M2933">
        <v>0.99977680000000002</v>
      </c>
      <c r="N2933">
        <v>0</v>
      </c>
      <c r="O2933">
        <v>1.871577E-2</v>
      </c>
      <c r="P2933">
        <v>0.997417</v>
      </c>
      <c r="Q2933">
        <v>6.0038840000000003E-2</v>
      </c>
      <c r="R2933">
        <v>-3.9430779999999999E-2</v>
      </c>
      <c r="S2933">
        <v>3.0066830000000002</v>
      </c>
      <c r="T2933">
        <v>-0.13997709999999999</v>
      </c>
      <c r="U2933">
        <v>-0.24375920000000001</v>
      </c>
      <c r="V2933">
        <v>5.8064829999999998E-2</v>
      </c>
      <c r="W2933">
        <v>6.9833919999999994E-2</v>
      </c>
      <c r="X2933">
        <v>0.99586730000000001</v>
      </c>
      <c r="Y2933">
        <v>9.9321569999999998E-2</v>
      </c>
      <c r="Z2933">
        <v>-3.1765349999999999E-3</v>
      </c>
      <c r="AA2933">
        <v>0.99505030000000005</v>
      </c>
      <c r="AB2933">
        <v>31</v>
      </c>
      <c r="AC2933">
        <v>23.543599999999898</v>
      </c>
      <c r="AD2933">
        <v>-1.1098939362067</v>
      </c>
      <c r="AE2933">
        <v>-1.9384999999999699</v>
      </c>
      <c r="AF2933">
        <v>2.37357873825888</v>
      </c>
      <c r="AG2933">
        <v>-1.1098939362067</v>
      </c>
      <c r="AH2933">
        <v>23.4514266480586</v>
      </c>
      <c r="AI2933">
        <v>92.695883048401299</v>
      </c>
      <c r="AJ2933">
        <v>84.220628905121202</v>
      </c>
      <c r="AK2933">
        <v>23.597354775601701</v>
      </c>
      <c r="AL2933">
        <v>85.995551768819993</v>
      </c>
      <c r="AM2933">
        <v>86.663102204338003</v>
      </c>
      <c r="AN2933">
        <v>0.99999999003739204</v>
      </c>
    </row>
    <row r="2934" spans="1:40" x14ac:dyDescent="0.25">
      <c r="A2934" t="str">
        <f>"20190312151328987"</f>
        <v>20190312151328987</v>
      </c>
      <c r="B2934" t="str">
        <f>"1552374808982740"</f>
        <v>1552374808982740</v>
      </c>
      <c r="C2934" t="s">
        <v>40</v>
      </c>
      <c r="D2934">
        <v>4.7654759999999996</v>
      </c>
      <c r="E2934">
        <v>0.51671339999999999</v>
      </c>
      <c r="F2934" t="s">
        <v>54</v>
      </c>
      <c r="G2934">
        <v>-360.60289999999998</v>
      </c>
      <c r="H2934" s="1">
        <v>-1.2159460000000001E-6</v>
      </c>
      <c r="I2934">
        <v>211.5641</v>
      </c>
      <c r="J2934">
        <v>-384.34699999999998</v>
      </c>
      <c r="K2934">
        <v>1.1098870000000001</v>
      </c>
      <c r="L2934">
        <v>213.5916</v>
      </c>
      <c r="M2934">
        <v>0.99977360000000004</v>
      </c>
      <c r="N2934">
        <v>0</v>
      </c>
      <c r="O2934">
        <v>1.8924119999999999E-2</v>
      </c>
      <c r="P2934">
        <v>0.99728410000000001</v>
      </c>
      <c r="Q2934">
        <v>6.0284259999999999E-2</v>
      </c>
      <c r="R2934">
        <v>-4.2315159999999997E-2</v>
      </c>
      <c r="S2934">
        <v>3.0060730000000002</v>
      </c>
      <c r="T2934">
        <v>-0.138617299999999</v>
      </c>
      <c r="U2934">
        <v>-0.25242609999999999</v>
      </c>
      <c r="V2934">
        <v>6.1153909999999999E-2</v>
      </c>
      <c r="W2934">
        <v>7.0017049999999997E-2</v>
      </c>
      <c r="X2934">
        <v>0.99566949999999999</v>
      </c>
      <c r="Y2934">
        <v>0.1023932</v>
      </c>
      <c r="Z2934">
        <v>-3.2262250000000001E-3</v>
      </c>
      <c r="AA2934">
        <v>0.99473880000000003</v>
      </c>
      <c r="AB2934">
        <v>31</v>
      </c>
      <c r="AC2934">
        <v>23.7441</v>
      </c>
      <c r="AD2934">
        <v>-1.109888215946</v>
      </c>
      <c r="AE2934">
        <v>-2.0274999999999999</v>
      </c>
      <c r="AF2934">
        <v>2.47113405594154</v>
      </c>
      <c r="AG2934">
        <v>-1.109888215946</v>
      </c>
      <c r="AH2934">
        <v>23.6501760452098</v>
      </c>
      <c r="AI2934">
        <v>92.672357456705896</v>
      </c>
      <c r="AJ2934">
        <v>84.034985336836101</v>
      </c>
      <c r="AK2934">
        <v>23.804814268205099</v>
      </c>
      <c r="AL2934">
        <v>85.985033367921105</v>
      </c>
      <c r="AM2934">
        <v>86.485314757468998</v>
      </c>
      <c r="AN2934">
        <v>0.99999997061461898</v>
      </c>
    </row>
    <row r="2935" spans="1:40" x14ac:dyDescent="0.25">
      <c r="A2935" t="str">
        <f>"20190312151329029"</f>
        <v>20190312151329029</v>
      </c>
      <c r="B2935" t="str">
        <f>"1552374809022757"</f>
        <v>1552374809022757</v>
      </c>
      <c r="C2935" t="s">
        <v>40</v>
      </c>
      <c r="D2935">
        <v>4.6263120000000004</v>
      </c>
      <c r="E2935">
        <v>0.51655019999999996</v>
      </c>
      <c r="F2935" t="s">
        <v>54</v>
      </c>
      <c r="G2935">
        <v>-360.69110000000001</v>
      </c>
      <c r="H2935" s="1">
        <v>-1.1690369999999999E-6</v>
      </c>
      <c r="I2935">
        <v>211.54310000000001</v>
      </c>
      <c r="J2935">
        <v>-383.74689999999998</v>
      </c>
      <c r="K2935">
        <v>1.10988</v>
      </c>
      <c r="L2935">
        <v>213.60339999999999</v>
      </c>
      <c r="M2935">
        <v>0.99976710000000002</v>
      </c>
      <c r="N2935">
        <v>0</v>
      </c>
      <c r="O2935">
        <v>1.9309099999999999E-2</v>
      </c>
      <c r="P2935">
        <v>0.99699420000000005</v>
      </c>
      <c r="Q2935">
        <v>6.1161590000000002E-2</v>
      </c>
      <c r="R2935">
        <v>-4.7561109999999997E-2</v>
      </c>
      <c r="S2935">
        <v>3.005646</v>
      </c>
      <c r="T2935">
        <v>-0.14101859999999999</v>
      </c>
      <c r="U2935">
        <v>-0.26026919999999998</v>
      </c>
      <c r="V2935">
        <v>6.6776810000000006E-2</v>
      </c>
      <c r="W2935">
        <v>7.0803309999999994E-2</v>
      </c>
      <c r="X2935">
        <v>0.99525260000000004</v>
      </c>
      <c r="Y2935">
        <v>0.1053563</v>
      </c>
      <c r="Z2935">
        <v>-3.3695299999999999E-3</v>
      </c>
      <c r="AA2935">
        <v>0.9944288</v>
      </c>
      <c r="AB2935">
        <v>31</v>
      </c>
      <c r="AC2935">
        <v>23.055799999999898</v>
      </c>
      <c r="AD2935">
        <v>-1.1098811690369901</v>
      </c>
      <c r="AE2935">
        <v>-2.0602999999999798</v>
      </c>
      <c r="AF2935">
        <v>2.49937721576371</v>
      </c>
      <c r="AG2935">
        <v>-1.1098811690369901</v>
      </c>
      <c r="AH2935">
        <v>22.9589342269519</v>
      </c>
      <c r="AI2935">
        <v>92.751408450947196</v>
      </c>
      <c r="AJ2935">
        <v>83.787078966122706</v>
      </c>
      <c r="AK2935">
        <v>23.121232309580002</v>
      </c>
      <c r="AL2935">
        <v>85.939871997490002</v>
      </c>
      <c r="AM2935">
        <v>86.161473458573695</v>
      </c>
      <c r="AN2935">
        <v>0.99999999443374599</v>
      </c>
    </row>
    <row r="2936" spans="1:40" x14ac:dyDescent="0.25">
      <c r="A2936" t="str">
        <f>"20190312151329052"</f>
        <v>20190312151329052</v>
      </c>
      <c r="B2936" t="str">
        <f>"1552374809043253"</f>
        <v>1552374809043253</v>
      </c>
      <c r="C2936" t="s">
        <v>40</v>
      </c>
      <c r="D2936">
        <v>4.6083970000000001</v>
      </c>
      <c r="E2936">
        <v>0.51669030000000005</v>
      </c>
      <c r="F2936" t="s">
        <v>54</v>
      </c>
      <c r="G2936">
        <v>-360.1223</v>
      </c>
      <c r="H2936" s="1">
        <v>-1.4716919999999901E-6</v>
      </c>
      <c r="I2936">
        <v>211.4436</v>
      </c>
      <c r="J2936">
        <v>-383.4307</v>
      </c>
      <c r="K2936">
        <v>1.1098699999999999</v>
      </c>
      <c r="L2936">
        <v>213.6097</v>
      </c>
      <c r="M2936">
        <v>0.99976330000000002</v>
      </c>
      <c r="N2936">
        <v>0</v>
      </c>
      <c r="O2936">
        <v>1.951222E-2</v>
      </c>
      <c r="P2936">
        <v>0.9968475</v>
      </c>
      <c r="Q2936">
        <v>6.1622200000000002E-2</v>
      </c>
      <c r="R2936">
        <v>-4.997658E-2</v>
      </c>
      <c r="S2936">
        <v>3.004578</v>
      </c>
      <c r="T2936">
        <v>-0.14115459999999999</v>
      </c>
      <c r="U2936">
        <v>-0.27467350000000001</v>
      </c>
      <c r="V2936">
        <v>6.9391309999999998E-2</v>
      </c>
      <c r="W2936">
        <v>7.1226620000000004E-2</v>
      </c>
      <c r="X2936">
        <v>0.99504349999999997</v>
      </c>
      <c r="Y2936">
        <v>0.1103114</v>
      </c>
      <c r="Z2936">
        <v>-3.4988739999999999E-3</v>
      </c>
      <c r="AA2936">
        <v>0.99389090000000002</v>
      </c>
      <c r="AB2936">
        <v>32</v>
      </c>
      <c r="AC2936">
        <v>23.308399999999999</v>
      </c>
      <c r="AD2936">
        <v>-1.109871471692</v>
      </c>
      <c r="AE2936">
        <v>-2.1661000000000001</v>
      </c>
      <c r="AF2936">
        <v>2.61462972197435</v>
      </c>
      <c r="AG2936">
        <v>-1.109871471692</v>
      </c>
      <c r="AH2936">
        <v>23.209520980587001</v>
      </c>
      <c r="AI2936">
        <v>92.720596585144605</v>
      </c>
      <c r="AJ2936">
        <v>83.572538307300505</v>
      </c>
      <c r="AK2936">
        <v>23.382685205404002</v>
      </c>
      <c r="AL2936">
        <v>85.915556655753093</v>
      </c>
      <c r="AM2936">
        <v>86.010824856205105</v>
      </c>
      <c r="AN2936">
        <v>0.99999997609619495</v>
      </c>
    </row>
    <row r="2937" spans="1:40" x14ac:dyDescent="0.25">
      <c r="A2937" t="str">
        <f>"20190312151329074"</f>
        <v>20190312151329074</v>
      </c>
      <c r="B2937" t="str">
        <f>"1552374809063279"</f>
        <v>1552374809063279</v>
      </c>
      <c r="C2937" t="s">
        <v>40</v>
      </c>
      <c r="D2937">
        <v>4.5783189999999996</v>
      </c>
      <c r="E2937">
        <v>0.51678809999999997</v>
      </c>
      <c r="F2937" t="s">
        <v>54</v>
      </c>
      <c r="G2937">
        <v>-359.72059999999999</v>
      </c>
      <c r="H2937" s="1">
        <v>3.777752E-6</v>
      </c>
      <c r="I2937">
        <v>211.37370000000001</v>
      </c>
      <c r="J2937">
        <v>-383.11579999999998</v>
      </c>
      <c r="K2937">
        <v>1.109861</v>
      </c>
      <c r="L2937">
        <v>213.61600000000001</v>
      </c>
      <c r="M2937">
        <v>0.99975959999999997</v>
      </c>
      <c r="N2937">
        <v>0</v>
      </c>
      <c r="O2937">
        <v>1.971434E-2</v>
      </c>
      <c r="P2937">
        <v>0.99674240000000003</v>
      </c>
      <c r="Q2937">
        <v>6.15565E-2</v>
      </c>
      <c r="R2937">
        <v>-5.2108370000000001E-2</v>
      </c>
      <c r="S2937">
        <v>3.0039669999999998</v>
      </c>
      <c r="T2937">
        <v>-0.14061499999999999</v>
      </c>
      <c r="U2937">
        <v>-0.28327940000000001</v>
      </c>
      <c r="V2937">
        <v>7.1721869999999993E-2</v>
      </c>
      <c r="W2937">
        <v>7.1131490000000006E-2</v>
      </c>
      <c r="X2937">
        <v>0.99488509999999997</v>
      </c>
      <c r="Y2937">
        <v>0.1133507</v>
      </c>
      <c r="Z2937">
        <v>-3.5661389999999999E-3</v>
      </c>
      <c r="AA2937">
        <v>0.9935486</v>
      </c>
      <c r="AB2937">
        <v>32</v>
      </c>
      <c r="AC2937">
        <v>23.3951999999999</v>
      </c>
      <c r="AD2937">
        <v>-1.1098572222480001</v>
      </c>
      <c r="AE2937">
        <v>-2.24229999999997</v>
      </c>
      <c r="AF2937">
        <v>2.69709176391867</v>
      </c>
      <c r="AG2937">
        <v>-1.1098572222480001</v>
      </c>
      <c r="AH2937">
        <v>23.2944980310787</v>
      </c>
      <c r="AI2937">
        <v>92.7096973877279</v>
      </c>
      <c r="AJ2937">
        <v>83.395567164143998</v>
      </c>
      <c r="AK2937">
        <v>23.4763652543724</v>
      </c>
      <c r="AL2937">
        <v>85.921021319985996</v>
      </c>
      <c r="AM2937">
        <v>85.876645747479998</v>
      </c>
      <c r="AN2937">
        <v>1.00000003885396</v>
      </c>
    </row>
    <row r="2938" spans="1:40" x14ac:dyDescent="0.25">
      <c r="A2938" t="str">
        <f>"20190312151329096"</f>
        <v>20190312151329096</v>
      </c>
      <c r="B2938" t="str">
        <f>"1552374809093535"</f>
        <v>1552374809093535</v>
      </c>
      <c r="C2938" t="s">
        <v>40</v>
      </c>
      <c r="D2938">
        <v>4.5466230000000003</v>
      </c>
      <c r="E2938">
        <v>0.516791</v>
      </c>
      <c r="F2938" t="s">
        <v>54</v>
      </c>
      <c r="G2938">
        <v>-359.1585</v>
      </c>
      <c r="H2938" s="1">
        <v>3.481942E-6</v>
      </c>
      <c r="I2938">
        <v>211.29820000000001</v>
      </c>
      <c r="J2938">
        <v>-382.803</v>
      </c>
      <c r="K2938">
        <v>1.109861</v>
      </c>
      <c r="L2938">
        <v>213.6224</v>
      </c>
      <c r="M2938">
        <v>0.99975599999999998</v>
      </c>
      <c r="N2938">
        <v>0</v>
      </c>
      <c r="O2938">
        <v>1.9914879999999999E-2</v>
      </c>
      <c r="P2938">
        <v>0.99658420000000003</v>
      </c>
      <c r="Q2938">
        <v>6.2166140000000002E-2</v>
      </c>
      <c r="R2938">
        <v>-5.436353E-2</v>
      </c>
      <c r="S2938">
        <v>3.0032040000000002</v>
      </c>
      <c r="T2938">
        <v>-0.139128</v>
      </c>
      <c r="U2938">
        <v>-0.29054259999999998</v>
      </c>
      <c r="V2938">
        <v>7.4172890000000005E-2</v>
      </c>
      <c r="W2938">
        <v>7.1721270000000004E-2</v>
      </c>
      <c r="X2938">
        <v>0.99466299999999996</v>
      </c>
      <c r="Y2938">
        <v>0.1159543</v>
      </c>
      <c r="Z2938">
        <v>-3.5983629999999998E-3</v>
      </c>
      <c r="AA2938">
        <v>0.99324800000000002</v>
      </c>
      <c r="AB2938">
        <v>32</v>
      </c>
      <c r="AC2938">
        <v>23.644500000000001</v>
      </c>
      <c r="AD2938">
        <v>-1.1098575180579999</v>
      </c>
      <c r="AE2938">
        <v>-2.3241999999999901</v>
      </c>
      <c r="AF2938">
        <v>2.7885526788176902</v>
      </c>
      <c r="AG2938">
        <v>-1.1098575180579999</v>
      </c>
      <c r="AH2938">
        <v>23.542148013428701</v>
      </c>
      <c r="AI2938">
        <v>92.680410625684104</v>
      </c>
      <c r="AJ2938">
        <v>83.244825754484907</v>
      </c>
      <c r="AK2938">
        <v>23.732689330101501</v>
      </c>
      <c r="AL2938">
        <v>85.887142812116096</v>
      </c>
      <c r="AM2938">
        <v>85.735296988786104</v>
      </c>
      <c r="AN2938">
        <v>1.00000002087518</v>
      </c>
    </row>
    <row r="2939" spans="1:40" x14ac:dyDescent="0.25">
      <c r="A2939" t="str">
        <f>"20190312151329119"</f>
        <v>20190312151329119</v>
      </c>
      <c r="B2939" t="str">
        <f>"1552374809113056"</f>
        <v>1552374809113056</v>
      </c>
      <c r="C2939" t="s">
        <v>40</v>
      </c>
      <c r="D2939">
        <v>4.5420059999999998</v>
      </c>
      <c r="E2939">
        <v>0.51674019999999998</v>
      </c>
      <c r="F2939" t="s">
        <v>54</v>
      </c>
      <c r="G2939">
        <v>-358.20650000000001</v>
      </c>
      <c r="H2939" s="1">
        <v>2.9801259999999999E-6</v>
      </c>
      <c r="I2939">
        <v>211.1891</v>
      </c>
      <c r="J2939">
        <v>-382.45890000000003</v>
      </c>
      <c r="K2939">
        <v>1.1098730000000001</v>
      </c>
      <c r="L2939">
        <v>213.6294</v>
      </c>
      <c r="M2939">
        <v>0.99975159999999996</v>
      </c>
      <c r="N2939">
        <v>0</v>
      </c>
      <c r="O2939">
        <v>2.0135400000000001E-2</v>
      </c>
      <c r="P2939">
        <v>0.99644580000000005</v>
      </c>
      <c r="Q2939">
        <v>6.2654950000000001E-2</v>
      </c>
      <c r="R2939">
        <v>-5.6305809999999998E-2</v>
      </c>
      <c r="S2939">
        <v>3.0025330000000001</v>
      </c>
      <c r="T2939">
        <v>-0.13548209999999999</v>
      </c>
      <c r="U2939">
        <v>-0.2970276</v>
      </c>
      <c r="V2939">
        <v>7.6331339999999998E-2</v>
      </c>
      <c r="W2939">
        <v>7.2198289999999998E-2</v>
      </c>
      <c r="X2939">
        <v>0.99446520000000005</v>
      </c>
      <c r="Y2939">
        <v>0.1183241</v>
      </c>
      <c r="Z2939">
        <v>-3.5678139999999999E-3</v>
      </c>
      <c r="AA2939">
        <v>0.99296859999999998</v>
      </c>
      <c r="AB2939">
        <v>32</v>
      </c>
      <c r="AC2939">
        <v>24.252400000000002</v>
      </c>
      <c r="AD2939">
        <v>-1.1098700198739999</v>
      </c>
      <c r="AE2939">
        <v>-2.4403000000000001</v>
      </c>
      <c r="AF2939">
        <v>2.9221009238833999</v>
      </c>
      <c r="AG2939">
        <v>-1.1098700198739999</v>
      </c>
      <c r="AH2939">
        <v>24.148277654879401</v>
      </c>
      <c r="AI2939">
        <v>92.612467719692205</v>
      </c>
      <c r="AJ2939">
        <v>83.100378278078097</v>
      </c>
      <c r="AK2939">
        <v>24.349739197115099</v>
      </c>
      <c r="AL2939">
        <v>85.859740662187804</v>
      </c>
      <c r="AM2939">
        <v>85.610801572367393</v>
      </c>
      <c r="AN2939">
        <v>1.0000000502780699</v>
      </c>
    </row>
    <row r="2940" spans="1:40" x14ac:dyDescent="0.25">
      <c r="A2940" t="str">
        <f>"20190312151329143"</f>
        <v>20190312151329143</v>
      </c>
      <c r="B2940" t="str">
        <f>"1552374809133551"</f>
        <v>1552374809133551</v>
      </c>
      <c r="C2940" t="s">
        <v>40</v>
      </c>
      <c r="D2940">
        <v>4.5174919999999998</v>
      </c>
      <c r="E2940">
        <v>0.51665589999999995</v>
      </c>
      <c r="F2940" t="s">
        <v>54</v>
      </c>
      <c r="G2940">
        <v>-357.57389999999998</v>
      </c>
      <c r="H2940" s="1">
        <v>2.6463629999999998E-6</v>
      </c>
      <c r="I2940">
        <v>211.1234</v>
      </c>
      <c r="J2940">
        <v>-382.14159999999998</v>
      </c>
      <c r="K2940">
        <v>1.109874</v>
      </c>
      <c r="L2940">
        <v>213.636</v>
      </c>
      <c r="M2940">
        <v>0.99974750000000001</v>
      </c>
      <c r="N2940">
        <v>0</v>
      </c>
      <c r="O2940">
        <v>2.0338829999999999E-2</v>
      </c>
      <c r="P2940">
        <v>0.99627379999999999</v>
      </c>
      <c r="Q2940">
        <v>6.3281240000000002E-2</v>
      </c>
      <c r="R2940">
        <v>-5.8605329999999997E-2</v>
      </c>
      <c r="S2940">
        <v>3.0020449999999999</v>
      </c>
      <c r="T2940">
        <v>-0.13389110000000001</v>
      </c>
      <c r="U2940">
        <v>-0.30232239999999999</v>
      </c>
      <c r="V2940">
        <v>7.8828860000000001E-2</v>
      </c>
      <c r="W2940">
        <v>7.2823199999999894E-2</v>
      </c>
      <c r="X2940">
        <v>0.99422469999999996</v>
      </c>
      <c r="Y2940">
        <v>0.12027690000000001</v>
      </c>
      <c r="Z2940">
        <v>-3.5786899999999998E-3</v>
      </c>
      <c r="AA2940">
        <v>0.99273400000000001</v>
      </c>
      <c r="AB2940">
        <v>32</v>
      </c>
      <c r="AC2940">
        <v>24.567699999999999</v>
      </c>
      <c r="AD2940">
        <v>-1.109871353637</v>
      </c>
      <c r="AE2940">
        <v>-2.5125999999999902</v>
      </c>
      <c r="AF2940">
        <v>3.0057105060144802</v>
      </c>
      <c r="AG2940">
        <v>-1.109871353637</v>
      </c>
      <c r="AH2940">
        <v>24.4621045982834</v>
      </c>
      <c r="AI2940">
        <v>92.578423503900098</v>
      </c>
      <c r="AJ2940">
        <v>82.995058131385207</v>
      </c>
      <c r="AK2940">
        <v>24.671049257073602</v>
      </c>
      <c r="AL2940">
        <v>85.823841167462206</v>
      </c>
      <c r="AM2940">
        <v>85.466686524190706</v>
      </c>
      <c r="AN2940">
        <v>0.99999998085861397</v>
      </c>
    </row>
    <row r="2941" spans="1:40" x14ac:dyDescent="0.25">
      <c r="A2941" t="str">
        <f>"20190312151329163"</f>
        <v>20190312151329163</v>
      </c>
      <c r="B2941" t="str">
        <f>"1552374809153072"</f>
        <v>1552374809153072</v>
      </c>
      <c r="C2941" t="s">
        <v>40</v>
      </c>
      <c r="D2941">
        <v>4.4916559999999999</v>
      </c>
      <c r="E2941">
        <v>0.51657419999999998</v>
      </c>
      <c r="F2941" t="s">
        <v>54</v>
      </c>
      <c r="G2941">
        <v>-357.02289999999999</v>
      </c>
      <c r="H2941" s="1">
        <v>2.356214E-6</v>
      </c>
      <c r="I2941">
        <v>211.0522</v>
      </c>
      <c r="J2941">
        <v>-381.84449999999998</v>
      </c>
      <c r="K2941">
        <v>1.109877</v>
      </c>
      <c r="L2941">
        <v>213.6422</v>
      </c>
      <c r="M2941">
        <v>0.99974350000000001</v>
      </c>
      <c r="N2941">
        <v>0</v>
      </c>
      <c r="O2941">
        <v>2.0528999999999999E-2</v>
      </c>
      <c r="P2941">
        <v>0.99613969999999996</v>
      </c>
      <c r="Q2941">
        <v>6.3254939999999996E-2</v>
      </c>
      <c r="R2941">
        <v>-6.0867890000000001E-2</v>
      </c>
      <c r="S2941">
        <v>3.0014949999999998</v>
      </c>
      <c r="T2941">
        <v>-0.13262119999999999</v>
      </c>
      <c r="U2941">
        <v>-0.30874629999999997</v>
      </c>
      <c r="V2941">
        <v>8.1277479999999999E-2</v>
      </c>
      <c r="W2941">
        <v>7.2801809999999995E-2</v>
      </c>
      <c r="X2941">
        <v>0.9940291</v>
      </c>
      <c r="Y2941">
        <v>0.1225866</v>
      </c>
      <c r="Z2941">
        <v>-3.6042959999999999E-3</v>
      </c>
      <c r="AA2941">
        <v>0.99245130000000004</v>
      </c>
      <c r="AB2941">
        <v>32</v>
      </c>
      <c r="AC2941">
        <v>24.821599999999901</v>
      </c>
      <c r="AD2941">
        <v>-1.1098746437860001</v>
      </c>
      <c r="AE2941">
        <v>-2.59</v>
      </c>
      <c r="AF2941">
        <v>3.0929228421173698</v>
      </c>
      <c r="AG2941">
        <v>-1.1098746437860001</v>
      </c>
      <c r="AH2941">
        <v>24.7143157121012</v>
      </c>
      <c r="AI2941">
        <v>92.551445013657997</v>
      </c>
      <c r="AJ2941">
        <v>82.866690045224999</v>
      </c>
      <c r="AK2941">
        <v>24.931814906853901</v>
      </c>
      <c r="AL2941">
        <v>85.825070032401996</v>
      </c>
      <c r="AM2941">
        <v>85.325569441677999</v>
      </c>
      <c r="AN2941">
        <v>0.99999999197061795</v>
      </c>
    </row>
    <row r="2942" spans="1:40" x14ac:dyDescent="0.25">
      <c r="A2942" t="str">
        <f>"20190312151329186"</f>
        <v>20190312151329186</v>
      </c>
      <c r="B2942" t="str">
        <f>"1552374809182859"</f>
        <v>1552374809182859</v>
      </c>
      <c r="C2942" t="s">
        <v>40</v>
      </c>
      <c r="D2942">
        <v>4.5229160000000004</v>
      </c>
      <c r="E2942">
        <v>0.51638300000000004</v>
      </c>
      <c r="F2942" t="s">
        <v>54</v>
      </c>
      <c r="G2942">
        <v>-356.91449999999998</v>
      </c>
      <c r="H2942" s="1">
        <v>2.2996610000000002E-6</v>
      </c>
      <c r="I2942">
        <v>211.02680000000001</v>
      </c>
      <c r="J2942">
        <v>-381.52370000000002</v>
      </c>
      <c r="K2942">
        <v>1.109874</v>
      </c>
      <c r="L2942">
        <v>213.649</v>
      </c>
      <c r="M2942">
        <v>0.99973920000000005</v>
      </c>
      <c r="N2942">
        <v>0</v>
      </c>
      <c r="O2942">
        <v>2.0734470000000001E-2</v>
      </c>
      <c r="P2942">
        <v>0.99594340000000003</v>
      </c>
      <c r="Q2942">
        <v>6.3432810000000006E-2</v>
      </c>
      <c r="R2942">
        <v>-6.3820719999999997E-2</v>
      </c>
      <c r="S2942">
        <v>3.0009160000000001</v>
      </c>
      <c r="T2942">
        <v>-0.13359939999999901</v>
      </c>
      <c r="U2942">
        <v>-0.31483460000000002</v>
      </c>
      <c r="V2942">
        <v>8.4429999999999894E-2</v>
      </c>
      <c r="W2942">
        <v>7.2988699999999906E-2</v>
      </c>
      <c r="X2942">
        <v>0.99375259999999999</v>
      </c>
      <c r="Y2942">
        <v>0.1247973</v>
      </c>
      <c r="Z2942">
        <v>-3.689351E-3</v>
      </c>
      <c r="AA2942">
        <v>0.99217540000000004</v>
      </c>
      <c r="AB2942">
        <v>32</v>
      </c>
      <c r="AC2942">
        <v>24.609200000000001</v>
      </c>
      <c r="AD2942">
        <v>-1.109871700339</v>
      </c>
      <c r="AE2942">
        <v>-2.6221999999999901</v>
      </c>
      <c r="AF2942">
        <v>3.1256321568796599</v>
      </c>
      <c r="AG2942">
        <v>-1.109871700339</v>
      </c>
      <c r="AH2942">
        <v>24.500262508494998</v>
      </c>
      <c r="AI2942">
        <v>92.572923553589902</v>
      </c>
      <c r="AJ2942">
        <v>82.729737450488699</v>
      </c>
      <c r="AK2942">
        <v>24.7237589083153</v>
      </c>
      <c r="AL2942">
        <v>85.814333505155005</v>
      </c>
      <c r="AM2942">
        <v>85.1437678820391</v>
      </c>
      <c r="AN2942">
        <v>1.00000000261722</v>
      </c>
    </row>
    <row r="2943" spans="1:40" x14ac:dyDescent="0.25">
      <c r="A2943" t="str">
        <f>"20190312151329208"</f>
        <v>20190312151329208</v>
      </c>
      <c r="B2943" t="str">
        <f>"1552374809203355"</f>
        <v>1552374809203355</v>
      </c>
      <c r="C2943" t="s">
        <v>40</v>
      </c>
      <c r="D2943">
        <v>4.5055940000000003</v>
      </c>
      <c r="E2943">
        <v>0.51626519999999998</v>
      </c>
      <c r="F2943" t="s">
        <v>54</v>
      </c>
      <c r="G2943">
        <v>-356.7869</v>
      </c>
      <c r="H2943" s="1">
        <v>2.2333619999999999E-6</v>
      </c>
      <c r="I2943">
        <v>210.99019999999999</v>
      </c>
      <c r="J2943">
        <v>-381.2088</v>
      </c>
      <c r="K2943">
        <v>1.1098760000000001</v>
      </c>
      <c r="L2943">
        <v>213.6557</v>
      </c>
      <c r="M2943">
        <v>0.99973480000000003</v>
      </c>
      <c r="N2943">
        <v>0</v>
      </c>
      <c r="O2943">
        <v>2.0935929999999998E-2</v>
      </c>
      <c r="P2943">
        <v>0.99572559999999999</v>
      </c>
      <c r="Q2943">
        <v>6.3250929999999997E-2</v>
      </c>
      <c r="R2943">
        <v>-6.7307350000000002E-2</v>
      </c>
      <c r="S2943">
        <v>3.000092</v>
      </c>
      <c r="T2943">
        <v>-0.1346059</v>
      </c>
      <c r="U2943">
        <v>-0.32246399999999997</v>
      </c>
      <c r="V2943">
        <v>8.8111510000000004E-2</v>
      </c>
      <c r="W2943">
        <v>7.2818450000000007E-2</v>
      </c>
      <c r="X2943">
        <v>0.99344549999999998</v>
      </c>
      <c r="Y2943">
        <v>0.12751499999999999</v>
      </c>
      <c r="Z2943">
        <v>-3.787416E-3</v>
      </c>
      <c r="AA2943">
        <v>0.99182939999999997</v>
      </c>
      <c r="AB2943">
        <v>32</v>
      </c>
      <c r="AC2943">
        <v>24.421899999999901</v>
      </c>
      <c r="AD2943">
        <v>-1.1098737666380001</v>
      </c>
      <c r="AE2943">
        <v>-2.6655000000000002</v>
      </c>
      <c r="AF2943">
        <v>3.1697649092524101</v>
      </c>
      <c r="AG2943">
        <v>-1.1098737666380001</v>
      </c>
      <c r="AH2943">
        <v>24.311120145406601</v>
      </c>
      <c r="AI2943">
        <v>92.591996445479893</v>
      </c>
      <c r="AJ2943">
        <v>82.571490497185707</v>
      </c>
      <c r="AK2943">
        <v>24.5420005721252</v>
      </c>
      <c r="AL2943">
        <v>85.824114391205995</v>
      </c>
      <c r="AM2943">
        <v>84.931536636286793</v>
      </c>
      <c r="AN2943">
        <v>1.0000000631625601</v>
      </c>
    </row>
    <row r="2944" spans="1:40" x14ac:dyDescent="0.25">
      <c r="A2944" t="str">
        <f>"20190312151329230"</f>
        <v>20190312151329230</v>
      </c>
      <c r="B2944" t="str">
        <f>"1552374809222876"</f>
        <v>1552374809222876</v>
      </c>
      <c r="C2944" t="s">
        <v>40</v>
      </c>
      <c r="D2944">
        <v>4.4785259999999996</v>
      </c>
      <c r="E2944">
        <v>0.51610259999999997</v>
      </c>
      <c r="F2944" t="s">
        <v>54</v>
      </c>
      <c r="G2944">
        <v>-356.75450000000001</v>
      </c>
      <c r="H2944" s="1">
        <v>2.218033E-6</v>
      </c>
      <c r="I2944">
        <v>210.94630000000001</v>
      </c>
      <c r="J2944">
        <v>-380.89139999999998</v>
      </c>
      <c r="K2944">
        <v>1.1098730000000001</v>
      </c>
      <c r="L2944">
        <v>213.6626</v>
      </c>
      <c r="M2944">
        <v>0.99973040000000002</v>
      </c>
      <c r="N2944">
        <v>0</v>
      </c>
      <c r="O2944">
        <v>2.113905E-2</v>
      </c>
      <c r="P2944">
        <v>0.99544719999999998</v>
      </c>
      <c r="Q2944">
        <v>6.3702999999999996E-2</v>
      </c>
      <c r="R2944">
        <v>-7.0899840000000006E-2</v>
      </c>
      <c r="S2944">
        <v>2.9991150000000002</v>
      </c>
      <c r="T2944">
        <v>-0.13611670000000001</v>
      </c>
      <c r="U2944">
        <v>-0.33229059999999999</v>
      </c>
      <c r="V2944">
        <v>9.1899369999999994E-2</v>
      </c>
      <c r="W2944">
        <v>7.3282600000000003E-2</v>
      </c>
      <c r="X2944">
        <v>0.99306799999999995</v>
      </c>
      <c r="Y2944">
        <v>0.1309545</v>
      </c>
      <c r="Z2944">
        <v>-3.9174170000000003E-3</v>
      </c>
      <c r="AA2944">
        <v>0.99138059999999995</v>
      </c>
      <c r="AB2944">
        <v>32</v>
      </c>
      <c r="AC2944">
        <v>24.136899999999901</v>
      </c>
      <c r="AD2944">
        <v>-1.109870781967</v>
      </c>
      <c r="AE2944">
        <v>-2.71629999999998</v>
      </c>
      <c r="AF2944">
        <v>3.2192261274459399</v>
      </c>
      <c r="AG2944">
        <v>-1.109870781967</v>
      </c>
      <c r="AH2944">
        <v>24.023923046302802</v>
      </c>
      <c r="AI2944">
        <v>92.6217019905759</v>
      </c>
      <c r="AJ2944">
        <v>82.367782040989596</v>
      </c>
      <c r="AK2944">
        <v>24.2640497144845</v>
      </c>
      <c r="AL2944">
        <v>85.797448808656696</v>
      </c>
      <c r="AM2944">
        <v>84.712857486353698</v>
      </c>
      <c r="AN2944">
        <v>0.99999994314657603</v>
      </c>
    </row>
    <row r="2945" spans="1:40" x14ac:dyDescent="0.25">
      <c r="A2945" t="str">
        <f>"20190312151329253"</f>
        <v>20190312151329253</v>
      </c>
      <c r="B2945" t="str">
        <f>"1552374809243371"</f>
        <v>1552374809243371</v>
      </c>
      <c r="C2945" t="s">
        <v>40</v>
      </c>
      <c r="D2945">
        <v>4.4464430000000004</v>
      </c>
      <c r="E2945">
        <v>0.51596999999999904</v>
      </c>
      <c r="F2945" t="s">
        <v>54</v>
      </c>
      <c r="G2945">
        <v>-356.36680000000001</v>
      </c>
      <c r="H2945" s="1">
        <v>2.0151890000000001E-6</v>
      </c>
      <c r="I2945">
        <v>210.8664</v>
      </c>
      <c r="J2945">
        <v>-380.57089999999999</v>
      </c>
      <c r="K2945">
        <v>1.1098760000000001</v>
      </c>
      <c r="L2945">
        <v>213.6695</v>
      </c>
      <c r="M2945">
        <v>0.999726</v>
      </c>
      <c r="N2945">
        <v>0</v>
      </c>
      <c r="O2945">
        <v>2.134378E-2</v>
      </c>
      <c r="P2945">
        <v>0.99513439999999997</v>
      </c>
      <c r="Q2945">
        <v>6.424386E-2</v>
      </c>
      <c r="R2945">
        <v>-7.4703080000000005E-2</v>
      </c>
      <c r="S2945">
        <v>2.9980159999999998</v>
      </c>
      <c r="T2945">
        <v>-0.13567609999999999</v>
      </c>
      <c r="U2945">
        <v>-0.34181209999999901</v>
      </c>
      <c r="V2945">
        <v>9.5898259999999999E-2</v>
      </c>
      <c r="W2945">
        <v>7.3836600000000002E-2</v>
      </c>
      <c r="X2945">
        <v>0.9926488</v>
      </c>
      <c r="Y2945">
        <v>0.13430310000000001</v>
      </c>
      <c r="Z2945">
        <v>-3.9902119999999999E-3</v>
      </c>
      <c r="AA2945">
        <v>0.99093229999999999</v>
      </c>
      <c r="AB2945">
        <v>32</v>
      </c>
      <c r="AC2945">
        <v>24.204099999999901</v>
      </c>
      <c r="AD2945">
        <v>-1.109873984811</v>
      </c>
      <c r="AE2945">
        <v>-2.8031000000000001</v>
      </c>
      <c r="AF2945">
        <v>3.31221992218379</v>
      </c>
      <c r="AG2945">
        <v>-1.109873984811</v>
      </c>
      <c r="AH2945">
        <v>24.0887739703279</v>
      </c>
      <c r="AI2945">
        <v>92.613443544375798</v>
      </c>
      <c r="AJ2945">
        <v>82.170891972706301</v>
      </c>
      <c r="AK2945">
        <v>24.340740589978299</v>
      </c>
      <c r="AL2945">
        <v>85.765620872785604</v>
      </c>
      <c r="AM2945">
        <v>84.481868404810299</v>
      </c>
      <c r="AN2945">
        <v>0.99999997995601297</v>
      </c>
    </row>
    <row r="2946" spans="1:40" x14ac:dyDescent="0.25">
      <c r="A2946" t="str">
        <f>"20190312151329275"</f>
        <v>20190312151329275</v>
      </c>
      <c r="B2946" t="str">
        <f>"1552374809263397"</f>
        <v>1552374809263397</v>
      </c>
      <c r="C2946" t="s">
        <v>40</v>
      </c>
      <c r="D2946">
        <v>4.4794700000000001</v>
      </c>
      <c r="E2946">
        <v>0.51579909999999995</v>
      </c>
      <c r="F2946" t="s">
        <v>54</v>
      </c>
      <c r="G2946">
        <v>-355.90190000000001</v>
      </c>
      <c r="H2946" s="1">
        <v>1.772147E-6</v>
      </c>
      <c r="I2946">
        <v>210.7671</v>
      </c>
      <c r="J2946">
        <v>-380.24540000000002</v>
      </c>
      <c r="K2946">
        <v>1.109872</v>
      </c>
      <c r="L2946">
        <v>213.67660000000001</v>
      </c>
      <c r="M2946">
        <v>0.99972130000000003</v>
      </c>
      <c r="N2946">
        <v>0</v>
      </c>
      <c r="O2946">
        <v>2.1551669999999998E-2</v>
      </c>
      <c r="P2946">
        <v>0.99485310000000005</v>
      </c>
      <c r="Q2946">
        <v>6.4143030000000004E-2</v>
      </c>
      <c r="R2946">
        <v>-7.8441239999999995E-2</v>
      </c>
      <c r="S2946">
        <v>2.9968870000000001</v>
      </c>
      <c r="T2946">
        <v>-0.1348318</v>
      </c>
      <c r="U2946">
        <v>-0.35260010000000003</v>
      </c>
      <c r="V2946">
        <v>9.9835889999999997E-2</v>
      </c>
      <c r="W2946">
        <v>7.3749110000000007E-2</v>
      </c>
      <c r="X2946">
        <v>0.99226700000000001</v>
      </c>
      <c r="Y2946">
        <v>0.138068</v>
      </c>
      <c r="Z2946">
        <v>-4.0597580000000001E-3</v>
      </c>
      <c r="AA2946">
        <v>0.99041440000000003</v>
      </c>
      <c r="AB2946">
        <v>32</v>
      </c>
      <c r="AC2946">
        <v>24.343499999999999</v>
      </c>
      <c r="AD2946">
        <v>-1.1098702278529999</v>
      </c>
      <c r="AE2946">
        <v>-2.9095</v>
      </c>
      <c r="AF2946">
        <v>3.4264695273552599</v>
      </c>
      <c r="AG2946">
        <v>-1.1098702278529999</v>
      </c>
      <c r="AH2946">
        <v>24.225491076018098</v>
      </c>
      <c r="AI2946">
        <v>92.597307495095905</v>
      </c>
      <c r="AJ2946">
        <v>81.949448502779504</v>
      </c>
      <c r="AK2946">
        <v>24.491772561797202</v>
      </c>
      <c r="AL2946">
        <v>85.770647333137802</v>
      </c>
      <c r="AM2946">
        <v>84.254581229064698</v>
      </c>
      <c r="AN2946">
        <v>0.99999996772344102</v>
      </c>
    </row>
    <row r="2947" spans="1:40" x14ac:dyDescent="0.25">
      <c r="A2947" t="str">
        <f>"20190312151329296"</f>
        <v>20190312151329296</v>
      </c>
      <c r="B2947" t="str">
        <f>"1552374809293653"</f>
        <v>1552374809293653</v>
      </c>
      <c r="C2947" t="s">
        <v>40</v>
      </c>
      <c r="D2947">
        <v>4.4507430000000001</v>
      </c>
      <c r="E2947">
        <v>0.51557429999999904</v>
      </c>
      <c r="F2947" t="s">
        <v>54</v>
      </c>
      <c r="G2947">
        <v>-355.78820000000002</v>
      </c>
      <c r="H2947" s="1">
        <v>1.7138579999999999E-6</v>
      </c>
      <c r="I2947">
        <v>210.71700000000001</v>
      </c>
      <c r="J2947">
        <v>-379.93680000000001</v>
      </c>
      <c r="K2947">
        <v>1.1098669999999999</v>
      </c>
      <c r="L2947">
        <v>213.68350000000001</v>
      </c>
      <c r="M2947">
        <v>0.99971690000000002</v>
      </c>
      <c r="N2947">
        <v>0</v>
      </c>
      <c r="O2947">
        <v>2.1749009999999999E-2</v>
      </c>
      <c r="P2947">
        <v>0.99461310000000003</v>
      </c>
      <c r="Q2947">
        <v>6.3199450000000004E-2</v>
      </c>
      <c r="R2947">
        <v>-8.216358E-2</v>
      </c>
      <c r="S2947">
        <v>2.9956969999999998</v>
      </c>
      <c r="T2947">
        <v>-0.13594510000000001</v>
      </c>
      <c r="U2947">
        <v>-0.36251830000000002</v>
      </c>
      <c r="V2947">
        <v>0.1037483</v>
      </c>
      <c r="W2947">
        <v>7.2818930000000004E-2</v>
      </c>
      <c r="X2947">
        <v>0.99193430000000005</v>
      </c>
      <c r="Y2947">
        <v>0.14153489999999999</v>
      </c>
      <c r="Z2947">
        <v>-4.1813309999999999E-3</v>
      </c>
      <c r="AA2947">
        <v>0.98992440000000004</v>
      </c>
      <c r="AB2947">
        <v>32</v>
      </c>
      <c r="AC2947">
        <v>24.148599999999899</v>
      </c>
      <c r="AD2947">
        <v>-1.109865286142</v>
      </c>
      <c r="AE2947">
        <v>-2.9664999999999901</v>
      </c>
      <c r="AF2947">
        <v>3.48378142745623</v>
      </c>
      <c r="AG2947">
        <v>-1.109865286142</v>
      </c>
      <c r="AH2947">
        <v>24.028365274476901</v>
      </c>
      <c r="AI2947">
        <v>92.6172735418901</v>
      </c>
      <c r="AJ2947">
        <v>81.7503870462686</v>
      </c>
      <c r="AK2947">
        <v>24.3049557035466</v>
      </c>
      <c r="AL2947">
        <v>85.824086471970702</v>
      </c>
      <c r="AM2947">
        <v>84.029035064073</v>
      </c>
      <c r="AN2947">
        <v>0.99999998091786202</v>
      </c>
    </row>
    <row r="2948" spans="1:40" x14ac:dyDescent="0.25">
      <c r="A2948" t="str">
        <f>"20190312151329321"</f>
        <v>20190312151329321</v>
      </c>
      <c r="B2948" t="str">
        <f>"1552374809313174"</f>
        <v>1552374809313174</v>
      </c>
      <c r="C2948" t="s">
        <v>40</v>
      </c>
      <c r="D2948">
        <v>4.7899149999999997</v>
      </c>
      <c r="E2948">
        <v>0.51538729999999999</v>
      </c>
      <c r="F2948" t="s">
        <v>54</v>
      </c>
      <c r="G2948">
        <v>-356.18200000000002</v>
      </c>
      <c r="H2948" s="1">
        <v>1.9226239999999998E-6</v>
      </c>
      <c r="I2948">
        <v>210.7353</v>
      </c>
      <c r="J2948">
        <v>-379.5813</v>
      </c>
      <c r="K2948">
        <v>1.1098589999999999</v>
      </c>
      <c r="L2948">
        <v>213.69139999999999</v>
      </c>
      <c r="M2948">
        <v>0.99971180000000004</v>
      </c>
      <c r="N2948">
        <v>0</v>
      </c>
      <c r="O2948">
        <v>2.1975850000000002E-2</v>
      </c>
      <c r="P2948">
        <v>0.99444770000000005</v>
      </c>
      <c r="Q2948">
        <v>6.1877479999999999E-2</v>
      </c>
      <c r="R2948">
        <v>-8.5116990000000003E-2</v>
      </c>
      <c r="S2948">
        <v>2.994507</v>
      </c>
      <c r="T2948">
        <v>-0.1399089</v>
      </c>
      <c r="U2948">
        <v>-0.3716431</v>
      </c>
      <c r="V2948">
        <v>0.1069233</v>
      </c>
      <c r="W2948">
        <v>7.1510580000000004E-2</v>
      </c>
      <c r="X2948">
        <v>0.99169229999999997</v>
      </c>
      <c r="Y2948">
        <v>0.1447639</v>
      </c>
      <c r="Z2948">
        <v>-4.3896919999999997E-3</v>
      </c>
      <c r="AA2948">
        <v>0.98945649999999996</v>
      </c>
      <c r="AB2948">
        <v>32</v>
      </c>
      <c r="AC2948">
        <v>23.3993</v>
      </c>
      <c r="AD2948">
        <v>-1.1098570773759999</v>
      </c>
      <c r="AE2948">
        <v>-2.95609999999999</v>
      </c>
      <c r="AF2948">
        <v>3.4619634617994599</v>
      </c>
      <c r="AG2948">
        <v>-1.1098570773759999</v>
      </c>
      <c r="AH2948">
        <v>23.277138355681199</v>
      </c>
      <c r="AI2948">
        <v>92.700147410889102</v>
      </c>
      <c r="AJ2948">
        <v>81.540521207801604</v>
      </c>
      <c r="AK2948">
        <v>23.559332413558799</v>
      </c>
      <c r="AL2948">
        <v>85.899245394864096</v>
      </c>
      <c r="AM2948">
        <v>83.846197130152902</v>
      </c>
      <c r="AN2948">
        <v>0.99999998650705801</v>
      </c>
    </row>
    <row r="2949" spans="1:40" x14ac:dyDescent="0.25">
      <c r="A2949" t="str">
        <f>"20190312151329344"</f>
        <v>20190312151329344</v>
      </c>
      <c r="B2949" t="str">
        <f>"1552374809333670"</f>
        <v>1552374809333670</v>
      </c>
      <c r="C2949" t="s">
        <v>40</v>
      </c>
      <c r="D2949">
        <v>4.5038369999999999</v>
      </c>
      <c r="E2949">
        <v>0.5152099</v>
      </c>
      <c r="F2949" t="s">
        <v>54</v>
      </c>
      <c r="G2949">
        <v>-356.32260000000002</v>
      </c>
      <c r="H2949" s="1">
        <v>1.9970140000000001E-6</v>
      </c>
      <c r="I2949">
        <v>210.74520000000001</v>
      </c>
      <c r="J2949">
        <v>-379.25970000000001</v>
      </c>
      <c r="K2949">
        <v>1.1098429999999999</v>
      </c>
      <c r="L2949">
        <v>213.6987</v>
      </c>
      <c r="M2949">
        <v>0.99970720000000002</v>
      </c>
      <c r="N2949">
        <v>0</v>
      </c>
      <c r="O2949">
        <v>2.2181030000000001E-2</v>
      </c>
      <c r="P2949">
        <v>0.99431309999999995</v>
      </c>
      <c r="Q2949">
        <v>6.0367549999999999E-2</v>
      </c>
      <c r="R2949">
        <v>-8.773512E-2</v>
      </c>
      <c r="S2949">
        <v>2.9932249999999998</v>
      </c>
      <c r="T2949">
        <v>-0.1428306</v>
      </c>
      <c r="U2949">
        <v>-0.3791504</v>
      </c>
      <c r="V2949">
        <v>0.1097418</v>
      </c>
      <c r="W2949">
        <v>7.0006589999999994E-2</v>
      </c>
      <c r="X2949">
        <v>0.99149169999999998</v>
      </c>
      <c r="Y2949">
        <v>0.14745059999999999</v>
      </c>
      <c r="Z2949">
        <v>-4.5560349999999999E-3</v>
      </c>
      <c r="AA2949">
        <v>0.98905889999999996</v>
      </c>
      <c r="AB2949">
        <v>32</v>
      </c>
      <c r="AC2949">
        <v>22.937099999999901</v>
      </c>
      <c r="AD2949">
        <v>-1.109841002986</v>
      </c>
      <c r="AE2949">
        <v>-2.9534999999999898</v>
      </c>
      <c r="AF2949">
        <v>3.45361174910754</v>
      </c>
      <c r="AG2949">
        <v>-1.109841002986</v>
      </c>
      <c r="AH2949">
        <v>22.8134012084533</v>
      </c>
      <c r="AI2949">
        <v>92.753838432120304</v>
      </c>
      <c r="AJ2949">
        <v>81.391629444733098</v>
      </c>
      <c r="AK2949">
        <v>23.100009867169799</v>
      </c>
      <c r="AL2949">
        <v>85.985634226899094</v>
      </c>
      <c r="AM2949">
        <v>83.684009293582704</v>
      </c>
      <c r="AN2949">
        <v>0.99999998823977798</v>
      </c>
    </row>
    <row r="2950" spans="1:40" x14ac:dyDescent="0.25">
      <c r="A2950" t="str">
        <f>"20190312151329367"</f>
        <v>20190312151329367</v>
      </c>
      <c r="B2950" t="str">
        <f>"1552374809363455"</f>
        <v>1552374809363455</v>
      </c>
      <c r="C2950" t="s">
        <v>40</v>
      </c>
      <c r="D2950">
        <v>4.7303379999999997</v>
      </c>
      <c r="E2950">
        <v>0.51486869999999996</v>
      </c>
      <c r="F2950" t="s">
        <v>54</v>
      </c>
      <c r="G2950">
        <v>-356.55169999999998</v>
      </c>
      <c r="H2950" s="1">
        <v>2.1176439999999998E-6</v>
      </c>
      <c r="I2950">
        <v>210.77459999999999</v>
      </c>
      <c r="J2950">
        <v>-378.93380000000002</v>
      </c>
      <c r="K2950">
        <v>1.1098330000000001</v>
      </c>
      <c r="L2950">
        <v>213.70609999999999</v>
      </c>
      <c r="M2950">
        <v>0.99970250000000005</v>
      </c>
      <c r="N2950">
        <v>0</v>
      </c>
      <c r="O2950">
        <v>2.2389280000000001E-2</v>
      </c>
      <c r="P2950">
        <v>0.99420799999999998</v>
      </c>
      <c r="Q2950">
        <v>5.9076999999999998E-2</v>
      </c>
      <c r="R2950">
        <v>-8.9781819999999998E-2</v>
      </c>
      <c r="S2950">
        <v>2.9920650000000002</v>
      </c>
      <c r="T2950">
        <v>-0.14623559999999999</v>
      </c>
      <c r="U2950">
        <v>-0.38528440000000003</v>
      </c>
      <c r="V2950">
        <v>0.1119927</v>
      </c>
      <c r="W2950">
        <v>6.8716509999999995E-2</v>
      </c>
      <c r="X2950">
        <v>0.9913303</v>
      </c>
      <c r="Y2950">
        <v>0.14968699999999999</v>
      </c>
      <c r="Z2950">
        <v>-4.7302459999999996E-3</v>
      </c>
      <c r="AA2950">
        <v>0.98872210000000005</v>
      </c>
      <c r="AB2950">
        <v>32</v>
      </c>
      <c r="AC2950">
        <v>22.382100000000001</v>
      </c>
      <c r="AD2950">
        <v>-1.1098308823559999</v>
      </c>
      <c r="AE2950">
        <v>-2.9315000000000002</v>
      </c>
      <c r="AF2950">
        <v>3.4236318141705699</v>
      </c>
      <c r="AG2950">
        <v>-1.1098308823559999</v>
      </c>
      <c r="AH2950">
        <v>22.257050393388798</v>
      </c>
      <c r="AI2950">
        <v>92.821515387675603</v>
      </c>
      <c r="AJ2950">
        <v>81.255170021045899</v>
      </c>
      <c r="AK2950">
        <v>22.546158688350499</v>
      </c>
      <c r="AL2950">
        <v>86.059729041257199</v>
      </c>
      <c r="AM2950">
        <v>83.554501446981007</v>
      </c>
      <c r="AN2950">
        <v>1.00000004364897</v>
      </c>
    </row>
    <row r="2951" spans="1:40" x14ac:dyDescent="0.25">
      <c r="A2951" t="str">
        <f>"20190312151329386"</f>
        <v>20190312151329386</v>
      </c>
      <c r="B2951" t="str">
        <f>"1552374809382979"</f>
        <v>1552374809382979</v>
      </c>
      <c r="C2951" t="s">
        <v>40</v>
      </c>
      <c r="D2951">
        <v>4.5373229999999998</v>
      </c>
      <c r="E2951">
        <v>0.51463610000000004</v>
      </c>
      <c r="F2951" t="s">
        <v>54</v>
      </c>
      <c r="G2951">
        <v>-356.69529999999997</v>
      </c>
      <c r="H2951" s="1">
        <v>2.192154E-6</v>
      </c>
      <c r="I2951">
        <v>210.81819999999999</v>
      </c>
      <c r="J2951">
        <v>-378.64440000000002</v>
      </c>
      <c r="K2951">
        <v>1.1098220000000001</v>
      </c>
      <c r="L2951">
        <v>213.71270000000001</v>
      </c>
      <c r="M2951">
        <v>0.99969850000000005</v>
      </c>
      <c r="N2951">
        <v>0</v>
      </c>
      <c r="O2951">
        <v>2.257412E-2</v>
      </c>
      <c r="P2951">
        <v>0.9940618</v>
      </c>
      <c r="Q2951">
        <v>5.8506019999999999E-2</v>
      </c>
      <c r="R2951">
        <v>-9.1752959999999995E-2</v>
      </c>
      <c r="S2951">
        <v>2.991241</v>
      </c>
      <c r="T2951">
        <v>-0.14928079999999999</v>
      </c>
      <c r="U2951">
        <v>-0.38844299999999998</v>
      </c>
      <c r="V2951">
        <v>0.1141436</v>
      </c>
      <c r="W2951">
        <v>6.8143280000000001E-2</v>
      </c>
      <c r="X2951">
        <v>0.99112449999999996</v>
      </c>
      <c r="Y2951">
        <v>0.15092069999999999</v>
      </c>
      <c r="Z2951">
        <v>-4.8694489999999997E-3</v>
      </c>
      <c r="AA2951">
        <v>0.98853389999999997</v>
      </c>
      <c r="AB2951">
        <v>32</v>
      </c>
      <c r="AC2951">
        <v>21.949100000000001</v>
      </c>
      <c r="AD2951">
        <v>-1.10981980784599</v>
      </c>
      <c r="AE2951">
        <v>-2.8945000000000198</v>
      </c>
      <c r="AF2951">
        <v>3.3807713608553498</v>
      </c>
      <c r="AG2951">
        <v>-1.10981980784599</v>
      </c>
      <c r="AH2951">
        <v>21.823321485044499</v>
      </c>
      <c r="AI2951">
        <v>92.876996328360804</v>
      </c>
      <c r="AJ2951">
        <v>81.193993438139302</v>
      </c>
      <c r="AK2951">
        <v>22.1115055036936</v>
      </c>
      <c r="AL2951">
        <v>86.092649781177997</v>
      </c>
      <c r="AM2951">
        <v>83.430430749729993</v>
      </c>
      <c r="AN2951">
        <v>1.0000000212651801</v>
      </c>
    </row>
    <row r="2952" spans="1:40" x14ac:dyDescent="0.25">
      <c r="A2952" t="str">
        <f>"20190312151329409"</f>
        <v>20190312151329409</v>
      </c>
      <c r="B2952" t="str">
        <f>"1552374809403472"</f>
        <v>1552374809403472</v>
      </c>
      <c r="C2952" t="s">
        <v>40</v>
      </c>
      <c r="D2952">
        <v>4.8768260000000003</v>
      </c>
      <c r="E2952">
        <v>0.51442310000000002</v>
      </c>
      <c r="F2952" t="s">
        <v>54</v>
      </c>
      <c r="G2952">
        <v>-356.56029999999998</v>
      </c>
      <c r="H2952" s="1">
        <v>2.120451E-6</v>
      </c>
      <c r="I2952">
        <v>210.8142</v>
      </c>
      <c r="J2952">
        <v>-378.31700000000001</v>
      </c>
      <c r="K2952">
        <v>1.10981</v>
      </c>
      <c r="L2952">
        <v>213.72030000000001</v>
      </c>
      <c r="M2952">
        <v>0.99969379999999997</v>
      </c>
      <c r="N2952">
        <v>0</v>
      </c>
      <c r="O2952">
        <v>2.2783290000000001E-2</v>
      </c>
      <c r="P2952">
        <v>0.99403549999999996</v>
      </c>
      <c r="Q2952">
        <v>5.7589250000000002E-2</v>
      </c>
      <c r="R2952">
        <v>-9.2612739999999999E-2</v>
      </c>
      <c r="S2952">
        <v>2.9905089999999999</v>
      </c>
      <c r="T2952">
        <v>-0.15028549999999999</v>
      </c>
      <c r="U2952">
        <v>-0.39250180000000001</v>
      </c>
      <c r="V2952">
        <v>0.11521049999999999</v>
      </c>
      <c r="W2952">
        <v>6.7224140000000002E-2</v>
      </c>
      <c r="X2952">
        <v>0.99106380000000005</v>
      </c>
      <c r="Y2952">
        <v>0.15247239999999901</v>
      </c>
      <c r="Z2952">
        <v>-4.9522100000000003E-3</v>
      </c>
      <c r="AA2952">
        <v>0.98829529999999999</v>
      </c>
      <c r="AB2952">
        <v>32</v>
      </c>
      <c r="AC2952">
        <v>21.756699999999899</v>
      </c>
      <c r="AD2952">
        <v>-1.1098078795490001</v>
      </c>
      <c r="AE2952">
        <v>-2.9060999999999999</v>
      </c>
      <c r="AF2952">
        <v>3.3923855930470901</v>
      </c>
      <c r="AG2952">
        <v>-1.1098078795490001</v>
      </c>
      <c r="AH2952">
        <v>21.629544583669599</v>
      </c>
      <c r="AI2952">
        <v>92.901847332607701</v>
      </c>
      <c r="AJ2952">
        <v>81.086324730148206</v>
      </c>
      <c r="AK2952">
        <v>21.922069985254002</v>
      </c>
      <c r="AL2952">
        <v>86.145433585100406</v>
      </c>
      <c r="AM2952">
        <v>83.369166778260393</v>
      </c>
      <c r="AN2952">
        <v>0.99999999998971401</v>
      </c>
    </row>
    <row r="2953" spans="1:40" x14ac:dyDescent="0.25">
      <c r="A2953" t="str">
        <f>"20190312151329430"</f>
        <v>20190312151329430</v>
      </c>
      <c r="B2953" t="str">
        <f>"1552374809422992"</f>
        <v>1552374809422992</v>
      </c>
      <c r="C2953" t="s">
        <v>40</v>
      </c>
      <c r="D2953">
        <v>4.5815539999999997</v>
      </c>
      <c r="E2953">
        <v>0.51415940000000004</v>
      </c>
      <c r="F2953" t="s">
        <v>54</v>
      </c>
      <c r="G2953">
        <v>-356.49770000000001</v>
      </c>
      <c r="H2953" s="1">
        <v>2.0856279999999999E-6</v>
      </c>
      <c r="I2953">
        <v>210.8493</v>
      </c>
      <c r="J2953">
        <v>-378.0061</v>
      </c>
      <c r="K2953">
        <v>1.1097999999999999</v>
      </c>
      <c r="L2953">
        <v>213.7276</v>
      </c>
      <c r="M2953">
        <v>0.9996893</v>
      </c>
      <c r="N2953">
        <v>0</v>
      </c>
      <c r="O2953">
        <v>2.2981600000000001E-2</v>
      </c>
      <c r="P2953">
        <v>0.99390659999999997</v>
      </c>
      <c r="Q2953">
        <v>5.7371119999999998E-2</v>
      </c>
      <c r="R2953">
        <v>-9.4121490000000002E-2</v>
      </c>
      <c r="S2953">
        <v>2.9901430000000002</v>
      </c>
      <c r="T2953">
        <v>-0.15208940000000001</v>
      </c>
      <c r="U2953">
        <v>-0.39344790000000002</v>
      </c>
      <c r="V2953">
        <v>0.11691269999999999</v>
      </c>
      <c r="W2953">
        <v>6.7002919999999994E-2</v>
      </c>
      <c r="X2953">
        <v>0.99087939999999997</v>
      </c>
      <c r="Y2953">
        <v>0.15298519999999999</v>
      </c>
      <c r="Z2953">
        <v>-5.0351040000000003E-3</v>
      </c>
      <c r="AA2953">
        <v>0.98821559999999997</v>
      </c>
      <c r="AB2953">
        <v>32</v>
      </c>
      <c r="AC2953">
        <v>21.508399999999899</v>
      </c>
      <c r="AD2953">
        <v>-1.10979791437199</v>
      </c>
      <c r="AE2953">
        <v>-2.8782999999999901</v>
      </c>
      <c r="AF2953">
        <v>3.3630639452050501</v>
      </c>
      <c r="AG2953">
        <v>-1.10979791437199</v>
      </c>
      <c r="AH2953">
        <v>21.3806456934892</v>
      </c>
      <c r="AI2953">
        <v>92.935339484781906</v>
      </c>
      <c r="AJ2953">
        <v>81.060915368128803</v>
      </c>
      <c r="AK2953">
        <v>21.671960243152899</v>
      </c>
      <c r="AL2953">
        <v>86.1581371152309</v>
      </c>
      <c r="AM2953">
        <v>83.270849306096196</v>
      </c>
      <c r="AN2953">
        <v>0.99999997802708795</v>
      </c>
    </row>
    <row r="2954" spans="1:40" x14ac:dyDescent="0.25">
      <c r="A2954" t="str">
        <f>"20190312151329455"</f>
        <v>20190312151329455</v>
      </c>
      <c r="B2954" t="str">
        <f>"1552374809443487"</f>
        <v>1552374809443487</v>
      </c>
      <c r="C2954" t="s">
        <v>40</v>
      </c>
      <c r="D2954">
        <v>4.5542470000000002</v>
      </c>
      <c r="E2954">
        <v>0.51388509999999998</v>
      </c>
      <c r="F2954" t="s">
        <v>54</v>
      </c>
      <c r="G2954">
        <v>-356.32080000000002</v>
      </c>
      <c r="H2954" s="1">
        <v>1.9911459999999999E-6</v>
      </c>
      <c r="I2954">
        <v>210.85720000000001</v>
      </c>
      <c r="J2954">
        <v>-377.65289999999999</v>
      </c>
      <c r="K2954">
        <v>1.109801</v>
      </c>
      <c r="L2954">
        <v>213.73589999999999</v>
      </c>
      <c r="M2954">
        <v>0.99968360000000001</v>
      </c>
      <c r="N2954">
        <v>0</v>
      </c>
      <c r="O2954">
        <v>2.3206890000000001E-2</v>
      </c>
      <c r="P2954">
        <v>0.99385579999999996</v>
      </c>
      <c r="Q2954">
        <v>5.6695299999999997E-2</v>
      </c>
      <c r="R2954">
        <v>-9.5060939999999997E-2</v>
      </c>
      <c r="S2954">
        <v>2.989716</v>
      </c>
      <c r="T2954">
        <v>-0.153006</v>
      </c>
      <c r="U2954">
        <v>-0.3957367</v>
      </c>
      <c r="V2954">
        <v>0.11807429999999999</v>
      </c>
      <c r="W2954">
        <v>6.6356819999999997E-2</v>
      </c>
      <c r="X2954">
        <v>0.99078520000000003</v>
      </c>
      <c r="Y2954">
        <v>0.153965299999999</v>
      </c>
      <c r="Z2954">
        <v>-5.1023120000000003E-3</v>
      </c>
      <c r="AA2954">
        <v>0.98806309999999997</v>
      </c>
      <c r="AB2954">
        <v>32</v>
      </c>
      <c r="AC2954">
        <v>21.332099999999901</v>
      </c>
      <c r="AD2954">
        <v>-1.109799008854</v>
      </c>
      <c r="AE2954">
        <v>-2.8786999999999798</v>
      </c>
      <c r="AF2954">
        <v>3.3640573904460802</v>
      </c>
      <c r="AG2954">
        <v>-1.109799008854</v>
      </c>
      <c r="AH2954">
        <v>21.203183757579399</v>
      </c>
      <c r="AI2954">
        <v>92.959245686461202</v>
      </c>
      <c r="AJ2954">
        <v>80.984703381050196</v>
      </c>
      <c r="AK2954">
        <v>21.497058808682301</v>
      </c>
      <c r="AL2954">
        <v>86.195238728836102</v>
      </c>
      <c r="AM2954">
        <v>83.203973173655598</v>
      </c>
      <c r="AN2954">
        <v>1.00000004021002</v>
      </c>
    </row>
    <row r="2955" spans="1:40" x14ac:dyDescent="0.25">
      <c r="A2955" t="str">
        <f>"20190312151329476"</f>
        <v>20190312151329476</v>
      </c>
      <c r="B2955" t="str">
        <f>"1552374809473274"</f>
        <v>1552374809473274</v>
      </c>
      <c r="C2955" t="s">
        <v>40</v>
      </c>
      <c r="D2955">
        <v>4.6369179999999997</v>
      </c>
      <c r="E2955">
        <v>0.51354960000000005</v>
      </c>
      <c r="F2955" t="s">
        <v>54</v>
      </c>
      <c r="G2955">
        <v>-356.4144</v>
      </c>
      <c r="H2955" s="1">
        <v>2.0380650000000001E-6</v>
      </c>
      <c r="I2955">
        <v>210.92349999999999</v>
      </c>
      <c r="J2955">
        <v>-377.34390000000002</v>
      </c>
      <c r="K2955">
        <v>1.109834</v>
      </c>
      <c r="L2955">
        <v>213.7433</v>
      </c>
      <c r="M2955">
        <v>0.9996777</v>
      </c>
      <c r="N2955">
        <v>0</v>
      </c>
      <c r="O2955">
        <v>2.3403050000000002E-2</v>
      </c>
      <c r="P2955">
        <v>0.9938555</v>
      </c>
      <c r="Q2955">
        <v>5.60118E-2</v>
      </c>
      <c r="R2955">
        <v>-9.5466690000000007E-2</v>
      </c>
      <c r="S2955">
        <v>2.9895939999999999</v>
      </c>
      <c r="T2955">
        <v>-0.156219</v>
      </c>
      <c r="U2955">
        <v>-0.3958893</v>
      </c>
      <c r="V2955">
        <v>0.11867469999999999</v>
      </c>
      <c r="W2955">
        <v>6.5807740000000003E-2</v>
      </c>
      <c r="X2955">
        <v>0.99075009999999997</v>
      </c>
      <c r="Y2955">
        <v>0.154203799999999</v>
      </c>
      <c r="Z2955">
        <v>-5.2259150000000002E-3</v>
      </c>
      <c r="AA2955">
        <v>0.98802520000000005</v>
      </c>
      <c r="AB2955">
        <v>32</v>
      </c>
      <c r="AC2955">
        <v>20.929500000000001</v>
      </c>
      <c r="AD2955">
        <v>-1.1098319619350001</v>
      </c>
      <c r="AE2955">
        <v>-2.8198000000000101</v>
      </c>
      <c r="AF2955">
        <v>3.29975236712195</v>
      </c>
      <c r="AG2955">
        <v>-1.1098319619350001</v>
      </c>
      <c r="AH2955">
        <v>20.800326688578199</v>
      </c>
      <c r="AI2955">
        <v>93.016553096300498</v>
      </c>
      <c r="AJ2955">
        <v>80.985747189727704</v>
      </c>
      <c r="AK2955">
        <v>21.089658200635601</v>
      </c>
      <c r="AL2955">
        <v>86.226767655142098</v>
      </c>
      <c r="AM2955">
        <v>83.169501789738206</v>
      </c>
      <c r="AN2955">
        <v>1.000000051857</v>
      </c>
    </row>
    <row r="2956" spans="1:40" x14ac:dyDescent="0.25">
      <c r="A2956" t="str">
        <f>"20190312151329498"</f>
        <v>20190312151329498</v>
      </c>
      <c r="B2956" t="str">
        <f>"1552374809492794"</f>
        <v>1552374809492794</v>
      </c>
      <c r="C2956" t="s">
        <v>40</v>
      </c>
      <c r="D2956">
        <v>4.6161450000000004</v>
      </c>
      <c r="E2956">
        <v>0.51351990000000003</v>
      </c>
      <c r="F2956" t="s">
        <v>54</v>
      </c>
      <c r="G2956">
        <v>-356.41699999999997</v>
      </c>
      <c r="H2956" s="1">
        <v>2.0369349999999998E-6</v>
      </c>
      <c r="I2956">
        <v>210.98089999999999</v>
      </c>
      <c r="J2956">
        <v>-377.02719999999999</v>
      </c>
      <c r="K2956">
        <v>1.1098570000000001</v>
      </c>
      <c r="L2956">
        <v>213.7509</v>
      </c>
      <c r="M2956">
        <v>0.9996718</v>
      </c>
      <c r="N2956">
        <v>0</v>
      </c>
      <c r="O2956">
        <v>2.3600949999999999E-2</v>
      </c>
      <c r="P2956">
        <v>0.99387910000000002</v>
      </c>
      <c r="Q2956">
        <v>5.4935570000000003E-2</v>
      </c>
      <c r="R2956">
        <v>-9.5845159999999999E-2</v>
      </c>
      <c r="S2956">
        <v>2.989563</v>
      </c>
      <c r="T2956">
        <v>-0.15854779999999999</v>
      </c>
      <c r="U2956">
        <v>-0.3946228</v>
      </c>
      <c r="V2956">
        <v>0.1192502</v>
      </c>
      <c r="W2956">
        <v>6.4864190000000002E-2</v>
      </c>
      <c r="X2956">
        <v>0.99074320000000005</v>
      </c>
      <c r="Y2956">
        <v>0.15398220000000001</v>
      </c>
      <c r="Z2956">
        <v>-5.3085129999999999E-3</v>
      </c>
      <c r="AA2956">
        <v>0.98805929999999997</v>
      </c>
      <c r="AB2956">
        <v>32</v>
      </c>
      <c r="AC2956">
        <v>20.610199999999999</v>
      </c>
      <c r="AD2956">
        <v>-1.1098549630650001</v>
      </c>
      <c r="AE2956">
        <v>-2.7700000000000098</v>
      </c>
      <c r="AF2956">
        <v>3.2464258575173601</v>
      </c>
      <c r="AG2956">
        <v>-1.1098549630650001</v>
      </c>
      <c r="AH2956">
        <v>20.480744441666399</v>
      </c>
      <c r="AI2956">
        <v>93.0636585870771</v>
      </c>
      <c r="AJ2956">
        <v>80.992919227904807</v>
      </c>
      <c r="AK2956">
        <v>20.7661251024895</v>
      </c>
      <c r="AL2956">
        <v>86.280944768023005</v>
      </c>
      <c r="AM2956">
        <v>83.136645893975697</v>
      </c>
      <c r="AN2956">
        <v>1.0000000308453101</v>
      </c>
    </row>
    <row r="2957" spans="1:40" x14ac:dyDescent="0.25">
      <c r="A2957" t="str">
        <f>"20190312151329521"</f>
        <v>20190312151329521</v>
      </c>
      <c r="B2957" t="str">
        <f>"1552374809513290"</f>
        <v>1552374809513290</v>
      </c>
      <c r="C2957" t="s">
        <v>40</v>
      </c>
      <c r="D2957">
        <v>4.593</v>
      </c>
      <c r="E2957">
        <v>0.51351729999999995</v>
      </c>
      <c r="F2957" t="s">
        <v>54</v>
      </c>
      <c r="G2957">
        <v>-356.67669999999998</v>
      </c>
      <c r="H2957" s="1">
        <v>2.17172E-6</v>
      </c>
      <c r="I2957">
        <v>211.0591</v>
      </c>
      <c r="J2957">
        <v>-376.69560000000001</v>
      </c>
      <c r="K2957">
        <v>1.109866</v>
      </c>
      <c r="L2957">
        <v>213.75890000000001</v>
      </c>
      <c r="M2957">
        <v>0.99966600000000005</v>
      </c>
      <c r="N2957">
        <v>0</v>
      </c>
      <c r="O2957">
        <v>2.3807109999999999E-2</v>
      </c>
      <c r="P2957">
        <v>0.99374680000000004</v>
      </c>
      <c r="Q2957">
        <v>5.4493819999999998E-2</v>
      </c>
      <c r="R2957">
        <v>-9.7457379999999996E-2</v>
      </c>
      <c r="S2957">
        <v>2.9893489999999998</v>
      </c>
      <c r="T2957">
        <v>-0.1630306</v>
      </c>
      <c r="U2957">
        <v>-0.395401</v>
      </c>
      <c r="V2957">
        <v>0.1210629</v>
      </c>
      <c r="W2957">
        <v>6.4510639999999994E-2</v>
      </c>
      <c r="X2957">
        <v>0.99054640000000005</v>
      </c>
      <c r="Y2957">
        <v>0.15443289999999901</v>
      </c>
      <c r="Z2957">
        <v>-5.4821080000000003E-3</v>
      </c>
      <c r="AA2957">
        <v>0.98798810000000004</v>
      </c>
      <c r="AB2957">
        <v>32</v>
      </c>
      <c r="AC2957">
        <v>20.018899999999999</v>
      </c>
      <c r="AD2957">
        <v>-1.10986382828</v>
      </c>
      <c r="AE2957">
        <v>-2.69980000000001</v>
      </c>
      <c r="AF2957">
        <v>3.1660932405994902</v>
      </c>
      <c r="AG2957">
        <v>-1.10986382828</v>
      </c>
      <c r="AH2957">
        <v>19.888907618129</v>
      </c>
      <c r="AI2957">
        <v>93.154337344965398</v>
      </c>
      <c r="AJ2957">
        <v>80.955041648004894</v>
      </c>
      <c r="AK2957">
        <v>20.169893166994299</v>
      </c>
      <c r="AL2957">
        <v>86.301244126889202</v>
      </c>
      <c r="AM2957">
        <v>83.031964511421293</v>
      </c>
      <c r="AN2957">
        <v>1.00000000949128</v>
      </c>
    </row>
    <row r="2958" spans="1:40" x14ac:dyDescent="0.25">
      <c r="A2958" t="str">
        <f>"20190312151329545"</f>
        <v>20190312151329545</v>
      </c>
      <c r="B2958" t="str">
        <f>"1552374809533787"</f>
        <v>1552374809533787</v>
      </c>
      <c r="C2958" t="s">
        <v>40</v>
      </c>
      <c r="D2958">
        <v>4.6059460000000003</v>
      </c>
      <c r="E2958">
        <v>0.51350090000000004</v>
      </c>
      <c r="F2958" t="s">
        <v>54</v>
      </c>
      <c r="G2958">
        <v>-356.69279999999998</v>
      </c>
      <c r="H2958" s="1">
        <v>2.1792720000000001E-6</v>
      </c>
      <c r="I2958">
        <v>211.08179999999999</v>
      </c>
      <c r="J2958">
        <v>-376.35059999999999</v>
      </c>
      <c r="K2958">
        <v>1.1098870000000001</v>
      </c>
      <c r="L2958">
        <v>213.76730000000001</v>
      </c>
      <c r="M2958">
        <v>0.99965919999999997</v>
      </c>
      <c r="N2958">
        <v>0</v>
      </c>
      <c r="O2958">
        <v>2.4028850000000001E-2</v>
      </c>
      <c r="P2958">
        <v>0.9936315</v>
      </c>
      <c r="Q2958">
        <v>5.3546990000000003E-2</v>
      </c>
      <c r="R2958">
        <v>-9.914278E-2</v>
      </c>
      <c r="S2958">
        <v>2.9887389999999998</v>
      </c>
      <c r="T2958">
        <v>-0.16583110000000001</v>
      </c>
      <c r="U2958">
        <v>-0.39999390000000001</v>
      </c>
      <c r="V2958">
        <v>0.1229652</v>
      </c>
      <c r="W2958">
        <v>6.3715969999999997E-2</v>
      </c>
      <c r="X2958">
        <v>0.99036349999999995</v>
      </c>
      <c r="Y2958">
        <v>0.15615789999999999</v>
      </c>
      <c r="Z2958">
        <v>-5.636566E-3</v>
      </c>
      <c r="AA2958">
        <v>0.98771600000000004</v>
      </c>
      <c r="AB2958">
        <v>32</v>
      </c>
      <c r="AC2958">
        <v>19.657800000000002</v>
      </c>
      <c r="AD2958">
        <v>-1.1098848207279901</v>
      </c>
      <c r="AE2958">
        <v>-2.68550000000001</v>
      </c>
      <c r="AF2958">
        <v>3.1472545463014998</v>
      </c>
      <c r="AG2958">
        <v>-1.1098848207279901</v>
      </c>
      <c r="AH2958">
        <v>19.5264852922089</v>
      </c>
      <c r="AI2958">
        <v>93.211826494963702</v>
      </c>
      <c r="AJ2958">
        <v>80.843883459047902</v>
      </c>
      <c r="AK2958">
        <v>19.809610883643</v>
      </c>
      <c r="AL2958">
        <v>86.346869248053096</v>
      </c>
      <c r="AM2958">
        <v>82.922281531893105</v>
      </c>
      <c r="AN2958">
        <v>1.0000000136881599</v>
      </c>
    </row>
    <row r="2959" spans="1:40" x14ac:dyDescent="0.25">
      <c r="A2959" t="str">
        <f>"20190312151329568"</f>
        <v>20190312151329568</v>
      </c>
      <c r="B2959" t="str">
        <f>"1552374809563573"</f>
        <v>1552374809563573</v>
      </c>
      <c r="C2959" t="s">
        <v>40</v>
      </c>
      <c r="D2959">
        <v>4.7011010000000004</v>
      </c>
      <c r="E2959">
        <v>0.513432</v>
      </c>
      <c r="F2959" t="s">
        <v>54</v>
      </c>
      <c r="G2959">
        <v>-356.85250000000002</v>
      </c>
      <c r="H2959" s="1">
        <v>2.2624059999999999E-6</v>
      </c>
      <c r="I2959">
        <v>211.1249</v>
      </c>
      <c r="J2959">
        <v>-376.02289999999999</v>
      </c>
      <c r="K2959">
        <v>1.1099129999999999</v>
      </c>
      <c r="L2959">
        <v>213.77539999999999</v>
      </c>
      <c r="M2959">
        <v>0.99965219999999999</v>
      </c>
      <c r="N2959">
        <v>0</v>
      </c>
      <c r="O2959">
        <v>2.423759E-2</v>
      </c>
      <c r="P2959">
        <v>0.99358990000000003</v>
      </c>
      <c r="Q2959">
        <v>5.2453430000000002E-2</v>
      </c>
      <c r="R2959">
        <v>-0.1001403</v>
      </c>
      <c r="S2959">
        <v>2.9879760000000002</v>
      </c>
      <c r="T2959">
        <v>-0.1700845</v>
      </c>
      <c r="U2959">
        <v>-0.40493770000000001</v>
      </c>
      <c r="V2959">
        <v>0.1241686</v>
      </c>
      <c r="W2959">
        <v>6.2807970000000005E-2</v>
      </c>
      <c r="X2959">
        <v>0.99027129999999997</v>
      </c>
      <c r="Y2959">
        <v>0.15798480000000001</v>
      </c>
      <c r="Z2959">
        <v>-5.845289E-3</v>
      </c>
      <c r="AA2959">
        <v>0.98742430000000003</v>
      </c>
      <c r="AB2959">
        <v>32</v>
      </c>
      <c r="AC2959">
        <v>19.170399999999901</v>
      </c>
      <c r="AD2959">
        <v>-1.1099107375939901</v>
      </c>
      <c r="AE2959">
        <v>-2.6504999999999899</v>
      </c>
      <c r="AF2959">
        <v>3.10418039312919</v>
      </c>
      <c r="AG2959">
        <v>-1.1099107375939901</v>
      </c>
      <c r="AH2959">
        <v>19.037902973436299</v>
      </c>
      <c r="AI2959">
        <v>93.293178422278004</v>
      </c>
      <c r="AJ2959">
        <v>80.739266977424705</v>
      </c>
      <c r="AK2959">
        <v>19.321221167009401</v>
      </c>
      <c r="AL2959">
        <v>86.3989980579384</v>
      </c>
      <c r="AM2959">
        <v>82.853069616298797</v>
      </c>
      <c r="AN2959">
        <v>0.99999996496258403</v>
      </c>
    </row>
    <row r="2960" spans="1:40" x14ac:dyDescent="0.25">
      <c r="A2960" t="str">
        <f>"20190312151329609"</f>
        <v>20190312151329609</v>
      </c>
      <c r="B2960" t="str">
        <f>"1552374809603588"</f>
        <v>1552374809603588</v>
      </c>
      <c r="C2960" t="s">
        <v>40</v>
      </c>
      <c r="D2960">
        <v>4.8015600000000003</v>
      </c>
      <c r="E2960">
        <v>0.51342650000000001</v>
      </c>
      <c r="F2960" t="s">
        <v>54</v>
      </c>
      <c r="G2960">
        <v>-357.0455</v>
      </c>
      <c r="H2960" s="1">
        <v>2.3623799999999999E-6</v>
      </c>
      <c r="I2960">
        <v>211.1874</v>
      </c>
      <c r="J2960">
        <v>-375.40949999999998</v>
      </c>
      <c r="K2960">
        <v>1.10995</v>
      </c>
      <c r="L2960">
        <v>213.79079999999999</v>
      </c>
      <c r="M2960">
        <v>0.99963970000000002</v>
      </c>
      <c r="N2960">
        <v>0</v>
      </c>
      <c r="O2960">
        <v>2.4604640000000001E-2</v>
      </c>
      <c r="P2960">
        <v>0.99333559999999999</v>
      </c>
      <c r="Q2960">
        <v>5.091039E-2</v>
      </c>
      <c r="R2960">
        <v>-0.1034061</v>
      </c>
      <c r="S2960">
        <v>2.987457</v>
      </c>
      <c r="T2960">
        <v>-0.17472409999999999</v>
      </c>
      <c r="U2960">
        <v>-0.40740969999999999</v>
      </c>
      <c r="V2960">
        <v>0.12779160000000001</v>
      </c>
      <c r="W2960">
        <v>6.1585840000000003E-2</v>
      </c>
      <c r="X2960">
        <v>0.98988710000000002</v>
      </c>
      <c r="Y2960">
        <v>0.15915360000000001</v>
      </c>
      <c r="Z2960">
        <v>-6.060541E-3</v>
      </c>
      <c r="AA2960">
        <v>0.98723519999999998</v>
      </c>
      <c r="AB2960">
        <v>32</v>
      </c>
      <c r="AC2960">
        <v>18.363999999999901</v>
      </c>
      <c r="AD2960">
        <v>-1.1099476376199999</v>
      </c>
      <c r="AE2960">
        <v>-2.6033999999999899</v>
      </c>
      <c r="AF2960">
        <v>3.0435777046861401</v>
      </c>
      <c r="AG2960">
        <v>-1.1099476376199999</v>
      </c>
      <c r="AH2960">
        <v>18.2290983820454</v>
      </c>
      <c r="AI2960">
        <v>93.436909738036206</v>
      </c>
      <c r="AJ2960">
        <v>80.5211809840863</v>
      </c>
      <c r="AK2960">
        <v>18.514734046834501</v>
      </c>
      <c r="AL2960">
        <v>86.4691568778576</v>
      </c>
      <c r="AM2960">
        <v>82.643963720574504</v>
      </c>
      <c r="AN2960">
        <v>0.99999998973273696</v>
      </c>
    </row>
    <row r="2961" spans="1:40" x14ac:dyDescent="0.25">
      <c r="A2961" t="str">
        <f>"20190312151329631"</f>
        <v>20190312151329631</v>
      </c>
      <c r="B2961" t="str">
        <f>"1552374809623108"</f>
        <v>1552374809623108</v>
      </c>
      <c r="C2961" t="s">
        <v>40</v>
      </c>
      <c r="D2961">
        <v>4.7005860000000004</v>
      </c>
      <c r="E2961">
        <v>0.51342779999999999</v>
      </c>
      <c r="F2961" t="s">
        <v>54</v>
      </c>
      <c r="G2961">
        <v>-357.15429999999998</v>
      </c>
      <c r="H2961" s="1">
        <v>2.4179810000000001E-6</v>
      </c>
      <c r="I2961">
        <v>211.2397</v>
      </c>
      <c r="J2961">
        <v>-375.0849</v>
      </c>
      <c r="K2961">
        <v>1.109958</v>
      </c>
      <c r="L2961">
        <v>213.79900000000001</v>
      </c>
      <c r="M2961">
        <v>0.99963369999999996</v>
      </c>
      <c r="N2961">
        <v>0</v>
      </c>
      <c r="O2961">
        <v>2.4783090000000001E-2</v>
      </c>
      <c r="P2961">
        <v>0.99322069999999996</v>
      </c>
      <c r="Q2961">
        <v>5.0165120000000001E-2</v>
      </c>
      <c r="R2961">
        <v>-0.1048627</v>
      </c>
      <c r="S2961">
        <v>2.9860229999999999</v>
      </c>
      <c r="T2961">
        <v>-0.18155560000000001</v>
      </c>
      <c r="U2961">
        <v>-0.41728209999999999</v>
      </c>
      <c r="V2961">
        <v>0.12942300000000001</v>
      </c>
      <c r="W2961">
        <v>6.0989000000000002E-2</v>
      </c>
      <c r="X2961">
        <v>0.98971209999999998</v>
      </c>
      <c r="Y2961">
        <v>0.16256409999999999</v>
      </c>
      <c r="Z2961">
        <v>-6.4125569999999897E-3</v>
      </c>
      <c r="AA2961">
        <v>0.98667720000000003</v>
      </c>
      <c r="AB2961">
        <v>32</v>
      </c>
      <c r="AC2961">
        <v>17.930599999999998</v>
      </c>
      <c r="AD2961">
        <v>-1.1099555820189999</v>
      </c>
      <c r="AE2961">
        <v>-2.5592999999999999</v>
      </c>
      <c r="AF2961">
        <v>2.9916806519453201</v>
      </c>
      <c r="AG2961">
        <v>-1.1099555820189999</v>
      </c>
      <c r="AH2961">
        <v>17.794833181052802</v>
      </c>
      <c r="AI2961">
        <v>93.519938039679801</v>
      </c>
      <c r="AJ2961">
        <v>80.456635967890193</v>
      </c>
      <c r="AK2961">
        <v>18.078668160535901</v>
      </c>
      <c r="AL2961">
        <v>86.503417753495</v>
      </c>
      <c r="AM2961">
        <v>82.549801588394601</v>
      </c>
      <c r="AN2961">
        <v>1.0000000059681999</v>
      </c>
    </row>
    <row r="2962" spans="1:40" x14ac:dyDescent="0.25">
      <c r="A2962" t="str">
        <f>"20190312151329655"</f>
        <v>20190312151329655</v>
      </c>
      <c r="B2962" t="str">
        <f>"1552374809643608"</f>
        <v>1552374809643608</v>
      </c>
      <c r="C2962" t="s">
        <v>40</v>
      </c>
      <c r="D2962">
        <v>4.8047199999999997</v>
      </c>
      <c r="E2962">
        <v>0.51339939999999995</v>
      </c>
      <c r="F2962" t="s">
        <v>54</v>
      </c>
      <c r="G2962">
        <v>-357.0643</v>
      </c>
      <c r="H2962" s="1">
        <v>2.3695520000000001E-6</v>
      </c>
      <c r="I2962">
        <v>211.2516</v>
      </c>
      <c r="J2962">
        <v>-374.75459999999998</v>
      </c>
      <c r="K2962">
        <v>1.1099540000000001</v>
      </c>
      <c r="L2962">
        <v>213.8074</v>
      </c>
      <c r="M2962">
        <v>0.99962790000000001</v>
      </c>
      <c r="N2962">
        <v>0</v>
      </c>
      <c r="O2962">
        <v>2.495288E-2</v>
      </c>
      <c r="P2962">
        <v>0.99309610000000004</v>
      </c>
      <c r="Q2962">
        <v>4.9928750000000001E-2</v>
      </c>
      <c r="R2962">
        <v>-0.10614750000000001</v>
      </c>
      <c r="S2962">
        <v>2.9851380000000001</v>
      </c>
      <c r="T2962">
        <v>-0.18386569999999999</v>
      </c>
      <c r="U2962">
        <v>-0.42198180000000002</v>
      </c>
      <c r="V2962">
        <v>0.13087499999999999</v>
      </c>
      <c r="W2962">
        <v>6.0888110000000002E-2</v>
      </c>
      <c r="X2962">
        <v>0.9895273</v>
      </c>
      <c r="Y2962">
        <v>0.1642826</v>
      </c>
      <c r="Z2962">
        <v>-6.5582180000000002E-3</v>
      </c>
      <c r="AA2962">
        <v>0.98639149999999998</v>
      </c>
      <c r="AB2962">
        <v>32</v>
      </c>
      <c r="AC2962">
        <v>17.690299999999901</v>
      </c>
      <c r="AD2962">
        <v>-1.1099516304479999</v>
      </c>
      <c r="AE2962">
        <v>-2.5558000000000001</v>
      </c>
      <c r="AF2962">
        <v>2.9849441200526101</v>
      </c>
      <c r="AG2962">
        <v>-1.1099516304479999</v>
      </c>
      <c r="AH2962">
        <v>17.553322500249202</v>
      </c>
      <c r="AI2962">
        <v>93.567102230720906</v>
      </c>
      <c r="AJ2962">
        <v>80.349165217421799</v>
      </c>
      <c r="AK2962">
        <v>17.839871491115801</v>
      </c>
      <c r="AL2962">
        <v>86.509208900880196</v>
      </c>
      <c r="AM2962">
        <v>82.465781595702495</v>
      </c>
      <c r="AN2962">
        <v>0.99999995250482998</v>
      </c>
    </row>
    <row r="2963" spans="1:40" x14ac:dyDescent="0.25">
      <c r="A2963" t="str">
        <f>"20190312151329677"</f>
        <v>20190312151329677</v>
      </c>
      <c r="B2963" t="str">
        <f>"1552374809673394"</f>
        <v>1552374809673394</v>
      </c>
      <c r="C2963" t="s">
        <v>40</v>
      </c>
      <c r="D2963">
        <v>4.9992710000000002</v>
      </c>
      <c r="E2963">
        <v>0.51335439999999999</v>
      </c>
      <c r="F2963" t="s">
        <v>54</v>
      </c>
      <c r="G2963">
        <v>-356.83510000000001</v>
      </c>
      <c r="H2963" s="1">
        <v>2.2475110000000002E-6</v>
      </c>
      <c r="I2963">
        <v>211.2534</v>
      </c>
      <c r="J2963">
        <v>-374.43439999999998</v>
      </c>
      <c r="K2963">
        <v>1.1099410000000001</v>
      </c>
      <c r="L2963">
        <v>213.81559999999999</v>
      </c>
      <c r="M2963">
        <v>0.99962309999999999</v>
      </c>
      <c r="N2963">
        <v>0</v>
      </c>
      <c r="O2963">
        <v>2.5088699999999999E-2</v>
      </c>
      <c r="P2963">
        <v>0.99297029999999997</v>
      </c>
      <c r="Q2963">
        <v>5.0107470000000001E-2</v>
      </c>
      <c r="R2963">
        <v>-0.107235999999999</v>
      </c>
      <c r="S2963">
        <v>2.9846499999999998</v>
      </c>
      <c r="T2963">
        <v>-0.1848718</v>
      </c>
      <c r="U2963">
        <v>-0.4253845</v>
      </c>
      <c r="V2963">
        <v>0.13209799999999999</v>
      </c>
      <c r="W2963">
        <v>6.1181289999999999E-2</v>
      </c>
      <c r="X2963">
        <v>0.98934670000000002</v>
      </c>
      <c r="Y2963">
        <v>0.16553470000000001</v>
      </c>
      <c r="Z2963">
        <v>-6.641503E-3</v>
      </c>
      <c r="AA2963">
        <v>0.98618159999999999</v>
      </c>
      <c r="AB2963">
        <v>32</v>
      </c>
      <c r="AC2963">
        <v>17.5992999999999</v>
      </c>
      <c r="AD2963">
        <v>-1.1099387524889901</v>
      </c>
      <c r="AE2963">
        <v>-2.56219999999999</v>
      </c>
      <c r="AF2963">
        <v>2.9913134511826498</v>
      </c>
      <c r="AG2963">
        <v>-1.1099387524889901</v>
      </c>
      <c r="AH2963">
        <v>17.4614623072172</v>
      </c>
      <c r="AI2963">
        <v>93.585030593864303</v>
      </c>
      <c r="AJ2963">
        <v>80.279052053930798</v>
      </c>
      <c r="AK2963">
        <v>17.750565796725201</v>
      </c>
      <c r="AL2963">
        <v>86.492379581978199</v>
      </c>
      <c r="AM2963">
        <v>82.394824104696596</v>
      </c>
      <c r="AN2963">
        <v>0.99999996232547606</v>
      </c>
    </row>
    <row r="2964" spans="1:40" x14ac:dyDescent="0.25">
      <c r="A2964" t="str">
        <f>"20190312151329699"</f>
        <v>20190312151329699</v>
      </c>
      <c r="B2964" t="str">
        <f>"1552374809692914"</f>
        <v>1552374809692914</v>
      </c>
      <c r="C2964" t="s">
        <v>40</v>
      </c>
      <c r="D2964">
        <v>4.7884969999999996</v>
      </c>
      <c r="E2964">
        <v>0.51328720000000005</v>
      </c>
      <c r="F2964" t="s">
        <v>54</v>
      </c>
      <c r="G2964">
        <v>-356.55779999999999</v>
      </c>
      <c r="H2964" s="1">
        <v>2.1000869999999999E-6</v>
      </c>
      <c r="I2964">
        <v>211.24959999999999</v>
      </c>
      <c r="J2964">
        <v>-374.11020000000002</v>
      </c>
      <c r="K2964">
        <v>1.109917</v>
      </c>
      <c r="L2964">
        <v>213.82390000000001</v>
      </c>
      <c r="M2964">
        <v>0.99961940000000005</v>
      </c>
      <c r="N2964">
        <v>0</v>
      </c>
      <c r="O2964">
        <v>2.518596E-2</v>
      </c>
      <c r="P2964">
        <v>0.99289260000000001</v>
      </c>
      <c r="Q2964">
        <v>5.010473E-2</v>
      </c>
      <c r="R2964">
        <v>-0.1079542</v>
      </c>
      <c r="S2964">
        <v>2.984375</v>
      </c>
      <c r="T2964">
        <v>-0.18529670000000001</v>
      </c>
      <c r="U2964">
        <v>-0.42837520000000001</v>
      </c>
      <c r="V2964">
        <v>0.13291549999999999</v>
      </c>
      <c r="W2964">
        <v>6.127933E-2</v>
      </c>
      <c r="X2964">
        <v>0.98923119999999998</v>
      </c>
      <c r="Y2964">
        <v>0.1666079</v>
      </c>
      <c r="Z2964">
        <v>-6.6960029999999999E-3</v>
      </c>
      <c r="AA2964">
        <v>0.98600049999999995</v>
      </c>
      <c r="AB2964">
        <v>32</v>
      </c>
      <c r="AC2964">
        <v>17.552399999999999</v>
      </c>
      <c r="AD2964">
        <v>-1.109914899913</v>
      </c>
      <c r="AE2964">
        <v>-2.57430000000002</v>
      </c>
      <c r="AF2964">
        <v>3.0038272046935401</v>
      </c>
      <c r="AG2964">
        <v>-1.109914899913</v>
      </c>
      <c r="AH2964">
        <v>17.413826621227301</v>
      </c>
      <c r="AI2964">
        <v>93.594024100412298</v>
      </c>
      <c r="AJ2964">
        <v>80.212981295752698</v>
      </c>
      <c r="AK2964">
        <v>17.7058252153033</v>
      </c>
      <c r="AL2964">
        <v>86.486751970412499</v>
      </c>
      <c r="AM2964">
        <v>82.347431931648003</v>
      </c>
      <c r="AN2964">
        <v>1.00000002673946</v>
      </c>
    </row>
    <row r="2965" spans="1:40" x14ac:dyDescent="0.25">
      <c r="A2965" t="str">
        <f>"20190312151329722"</f>
        <v>20190312151329722</v>
      </c>
      <c r="B2965" t="str">
        <f>"1552374809713410"</f>
        <v>1552374809713410</v>
      </c>
      <c r="C2965" t="s">
        <v>40</v>
      </c>
      <c r="D2965">
        <v>4.812487</v>
      </c>
      <c r="E2965">
        <v>0.51323649999999998</v>
      </c>
      <c r="F2965" t="s">
        <v>54</v>
      </c>
      <c r="G2965">
        <v>-356.39670000000001</v>
      </c>
      <c r="H2965" s="1">
        <v>2.0134230000000001E-6</v>
      </c>
      <c r="I2965">
        <v>211.27109999999999</v>
      </c>
      <c r="J2965">
        <v>-373.786</v>
      </c>
      <c r="K2965">
        <v>1.1098760000000001</v>
      </c>
      <c r="L2965">
        <v>213.8321</v>
      </c>
      <c r="M2965">
        <v>0.99961690000000003</v>
      </c>
      <c r="N2965">
        <v>0</v>
      </c>
      <c r="O2965">
        <v>2.5241050000000001E-2</v>
      </c>
      <c r="P2965">
        <v>0.99284090000000003</v>
      </c>
      <c r="Q2965">
        <v>4.9552770000000003E-2</v>
      </c>
      <c r="R2965">
        <v>-0.1086819</v>
      </c>
      <c r="S2965">
        <v>2.9841609999999998</v>
      </c>
      <c r="T2965">
        <v>-0.1869847</v>
      </c>
      <c r="U2965">
        <v>-0.43005369999999998</v>
      </c>
      <c r="V2965">
        <v>0.1337015</v>
      </c>
      <c r="W2965">
        <v>6.0815279999999999E-2</v>
      </c>
      <c r="X2965">
        <v>0.98915390000000003</v>
      </c>
      <c r="Y2965">
        <v>0.16720760000000001</v>
      </c>
      <c r="Z2965">
        <v>-6.7792059999999899E-3</v>
      </c>
      <c r="AA2965">
        <v>0.98589839999999995</v>
      </c>
      <c r="AB2965">
        <v>32</v>
      </c>
      <c r="AC2965">
        <v>17.389299999999899</v>
      </c>
      <c r="AD2965">
        <v>-1.109873986577</v>
      </c>
      <c r="AE2965">
        <v>-2.5609999999999999</v>
      </c>
      <c r="AF2965">
        <v>2.9872258766814599</v>
      </c>
      <c r="AG2965">
        <v>-1.109873986577</v>
      </c>
      <c r="AH2965">
        <v>17.250332547084302</v>
      </c>
      <c r="AI2965">
        <v>93.627455057224097</v>
      </c>
      <c r="AJ2965">
        <v>80.175567456895195</v>
      </c>
      <c r="AK2965">
        <v>17.542215130632499</v>
      </c>
      <c r="AL2965">
        <v>86.513389713509994</v>
      </c>
      <c r="AM2965">
        <v>82.302124883921095</v>
      </c>
      <c r="AN2965">
        <v>1.00000001363446</v>
      </c>
    </row>
    <row r="2966" spans="1:40" x14ac:dyDescent="0.25">
      <c r="A2966" t="str">
        <f>"20190312151329747"</f>
        <v>20190312151329747</v>
      </c>
      <c r="B2966" t="str">
        <f>"1552374809742689"</f>
        <v>1552374809742689</v>
      </c>
      <c r="C2966" t="s">
        <v>40</v>
      </c>
      <c r="D2966">
        <v>4.8146139999999997</v>
      </c>
      <c r="E2966">
        <v>0.51320109999999997</v>
      </c>
      <c r="F2966" t="s">
        <v>54</v>
      </c>
      <c r="G2966">
        <v>-356.3997</v>
      </c>
      <c r="H2966" s="1">
        <v>2.012961E-6</v>
      </c>
      <c r="I2966">
        <v>211.31890000000001</v>
      </c>
      <c r="J2966">
        <v>-373.42959999999999</v>
      </c>
      <c r="K2966">
        <v>1.109845</v>
      </c>
      <c r="L2966">
        <v>213.84119999999999</v>
      </c>
      <c r="M2966">
        <v>0.99961529999999998</v>
      </c>
      <c r="N2966">
        <v>0</v>
      </c>
      <c r="O2966">
        <v>2.5260439999999999E-2</v>
      </c>
      <c r="P2966">
        <v>0.99287380000000003</v>
      </c>
      <c r="Q2966">
        <v>4.8809030000000003E-2</v>
      </c>
      <c r="R2966">
        <v>-0.1087161</v>
      </c>
      <c r="S2966">
        <v>2.9839169999999999</v>
      </c>
      <c r="T2966">
        <v>-0.1904815</v>
      </c>
      <c r="U2966">
        <v>-0.43133539999999998</v>
      </c>
      <c r="V2966">
        <v>0.1337612</v>
      </c>
      <c r="W2966">
        <v>6.0157500000000003E-2</v>
      </c>
      <c r="X2966">
        <v>0.98918600000000001</v>
      </c>
      <c r="Y2966">
        <v>0.16763810000000001</v>
      </c>
      <c r="Z2966">
        <v>-6.9209759999999997E-3</v>
      </c>
      <c r="AA2966">
        <v>0.98582429999999999</v>
      </c>
      <c r="AB2966">
        <v>32</v>
      </c>
      <c r="AC2966">
        <v>17.029899999999898</v>
      </c>
      <c r="AD2966">
        <v>-1.1098429870390001</v>
      </c>
      <c r="AE2966">
        <v>-2.5222999999999698</v>
      </c>
      <c r="AF2966">
        <v>2.93948951930467</v>
      </c>
      <c r="AG2966">
        <v>-1.1098429870390001</v>
      </c>
      <c r="AH2966">
        <v>16.890549504063198</v>
      </c>
      <c r="AI2966">
        <v>93.703869966448593</v>
      </c>
      <c r="AJ2966">
        <v>80.127599281144001</v>
      </c>
      <c r="AK2966">
        <v>17.1803088633234</v>
      </c>
      <c r="AL2966">
        <v>86.551146689246806</v>
      </c>
      <c r="AM2966">
        <v>82.298975807023496</v>
      </c>
      <c r="AN2966">
        <v>0.99999996301384397</v>
      </c>
    </row>
    <row r="2967" spans="1:40" x14ac:dyDescent="0.25">
      <c r="A2967" t="str">
        <f>"20190312151329768"</f>
        <v>20190312151329768</v>
      </c>
      <c r="B2967" t="str">
        <f>"1552374809763692"</f>
        <v>1552374809763692</v>
      </c>
      <c r="C2967" t="s">
        <v>40</v>
      </c>
      <c r="D2967">
        <v>4.8147169999999999</v>
      </c>
      <c r="E2967">
        <v>0.51317049999999997</v>
      </c>
      <c r="F2967" t="s">
        <v>54</v>
      </c>
      <c r="G2967">
        <v>-356.26510000000002</v>
      </c>
      <c r="H2967" s="1">
        <v>1.9395039999999999E-6</v>
      </c>
      <c r="I2967">
        <v>211.36099999999999</v>
      </c>
      <c r="J2967">
        <v>-373.11579999999998</v>
      </c>
      <c r="K2967">
        <v>1.1098319999999999</v>
      </c>
      <c r="L2967">
        <v>213.8492</v>
      </c>
      <c r="M2967">
        <v>0.99961469999999997</v>
      </c>
      <c r="N2967">
        <v>0</v>
      </c>
      <c r="O2967">
        <v>2.5249569999999999E-2</v>
      </c>
      <c r="P2967">
        <v>0.99286949999999996</v>
      </c>
      <c r="Q2967">
        <v>4.9443269999999997E-2</v>
      </c>
      <c r="R2967">
        <v>-0.1084705</v>
      </c>
      <c r="S2967">
        <v>2.983765</v>
      </c>
      <c r="T2967">
        <v>-0.19292819999999999</v>
      </c>
      <c r="U2967">
        <v>-0.4311371</v>
      </c>
      <c r="V2967">
        <v>0.1335075</v>
      </c>
      <c r="W2967">
        <v>6.0860499999999998E-2</v>
      </c>
      <c r="X2967">
        <v>0.98917730000000004</v>
      </c>
      <c r="Y2967">
        <v>0.1675605</v>
      </c>
      <c r="Z2967">
        <v>-7.0068860000000004E-3</v>
      </c>
      <c r="AA2967">
        <v>0.98583690000000002</v>
      </c>
      <c r="AB2967">
        <v>32</v>
      </c>
      <c r="AC2967">
        <v>16.8506999999999</v>
      </c>
      <c r="AD2967">
        <v>-1.1098300604960001</v>
      </c>
      <c r="AE2967">
        <v>-2.4882</v>
      </c>
      <c r="AF2967">
        <v>2.90059388752494</v>
      </c>
      <c r="AG2967">
        <v>-1.1098300604960001</v>
      </c>
      <c r="AH2967">
        <v>16.711551038573901</v>
      </c>
      <c r="AI2967">
        <v>93.743678495894898</v>
      </c>
      <c r="AJ2967">
        <v>80.153372013389102</v>
      </c>
      <c r="AK2967">
        <v>16.997679423332698</v>
      </c>
      <c r="AL2967">
        <v>86.5107939143941</v>
      </c>
      <c r="AM2967">
        <v>82.313340474758903</v>
      </c>
      <c r="AN2967">
        <v>0.99999999192589495</v>
      </c>
    </row>
    <row r="2968" spans="1:40" x14ac:dyDescent="0.25">
      <c r="A2968" t="str">
        <f>"20190312151329790"</f>
        <v>20190312151329790</v>
      </c>
      <c r="B2968" t="str">
        <f>"1552374809783212"</f>
        <v>1552374809783212</v>
      </c>
      <c r="C2968" t="s">
        <v>40</v>
      </c>
      <c r="D2968">
        <v>4.9595029999999998</v>
      </c>
      <c r="E2968">
        <v>0.51315639999999996</v>
      </c>
      <c r="F2968" t="s">
        <v>54</v>
      </c>
      <c r="G2968">
        <v>-355.77949999999998</v>
      </c>
      <c r="H2968" s="1">
        <v>1.6815609999999999E-6</v>
      </c>
      <c r="I2968">
        <v>211.35040000000001</v>
      </c>
      <c r="J2968">
        <v>-372.80329999999998</v>
      </c>
      <c r="K2968">
        <v>1.1097760000000001</v>
      </c>
      <c r="L2968">
        <v>213.857</v>
      </c>
      <c r="M2968">
        <v>0.99961630000000001</v>
      </c>
      <c r="N2968">
        <v>0</v>
      </c>
      <c r="O2968">
        <v>2.5232359999999999E-2</v>
      </c>
      <c r="P2968">
        <v>0.99286700000000006</v>
      </c>
      <c r="Q2968">
        <v>4.995931E-2</v>
      </c>
      <c r="R2968">
        <v>-0.108256199999999</v>
      </c>
      <c r="S2968">
        <v>2.98407</v>
      </c>
      <c r="T2968">
        <v>-0.19103410000000001</v>
      </c>
      <c r="U2968">
        <v>-0.43011470000000002</v>
      </c>
      <c r="V2968">
        <v>0.13327829999999999</v>
      </c>
      <c r="W2968">
        <v>6.1266000000000001E-2</v>
      </c>
      <c r="X2968">
        <v>0.98918320000000004</v>
      </c>
      <c r="Y2968">
        <v>0.16720689999999999</v>
      </c>
      <c r="Z2968">
        <v>-6.9253530000000004E-3</v>
      </c>
      <c r="AA2968">
        <v>0.98589749999999998</v>
      </c>
      <c r="AB2968">
        <v>32</v>
      </c>
      <c r="AC2968">
        <v>17.023799999999898</v>
      </c>
      <c r="AD2968">
        <v>-1.1097743184389901</v>
      </c>
      <c r="AE2968">
        <v>-2.5065999999999899</v>
      </c>
      <c r="AF2968">
        <v>2.9232213770111501</v>
      </c>
      <c r="AG2968">
        <v>-1.1097743184389901</v>
      </c>
      <c r="AH2968">
        <v>16.884894800777701</v>
      </c>
      <c r="AI2968">
        <v>93.705441882918194</v>
      </c>
      <c r="AJ2968">
        <v>80.1779459409194</v>
      </c>
      <c r="AK2968">
        <v>17.171968282355198</v>
      </c>
      <c r="AL2968">
        <v>86.487517121645396</v>
      </c>
      <c r="AM2968">
        <v>82.326424460279696</v>
      </c>
      <c r="AN2968">
        <v>1.0000000155845601</v>
      </c>
    </row>
    <row r="2969" spans="1:40" x14ac:dyDescent="0.25">
      <c r="A2969" t="str">
        <f>"20190312151329812"</f>
        <v>20190312151329812</v>
      </c>
      <c r="B2969" t="str">
        <f>"1552374809802732"</f>
        <v>1552374809802732</v>
      </c>
      <c r="C2969" t="s">
        <v>40</v>
      </c>
      <c r="D2969">
        <v>4.9566350000000003</v>
      </c>
      <c r="E2969">
        <v>0.51313330000000001</v>
      </c>
      <c r="F2969" t="s">
        <v>54</v>
      </c>
      <c r="G2969">
        <v>-355.33539999999999</v>
      </c>
      <c r="H2969" s="1">
        <v>1.445471E-6</v>
      </c>
      <c r="I2969">
        <v>211.34370000000001</v>
      </c>
      <c r="J2969">
        <v>-372.47239999999999</v>
      </c>
      <c r="K2969">
        <v>1.1094790000000001</v>
      </c>
      <c r="L2969">
        <v>213.86539999999999</v>
      </c>
      <c r="M2969">
        <v>0.99962839999999997</v>
      </c>
      <c r="N2969">
        <v>0</v>
      </c>
      <c r="O2969">
        <v>2.5214259999999999E-2</v>
      </c>
      <c r="P2969">
        <v>0.99274130000000005</v>
      </c>
      <c r="Q2969">
        <v>5.1646560000000001E-2</v>
      </c>
      <c r="R2969">
        <v>-0.10861759999999999</v>
      </c>
      <c r="S2969">
        <v>2.984283</v>
      </c>
      <c r="T2969">
        <v>-0.1895983</v>
      </c>
      <c r="U2969">
        <v>-0.42938229999999999</v>
      </c>
      <c r="V2969">
        <v>0.1336194</v>
      </c>
      <c r="W2969">
        <v>6.1898050000000003E-2</v>
      </c>
      <c r="X2969">
        <v>0.98909780000000003</v>
      </c>
      <c r="Y2969">
        <v>0.16694809999999999</v>
      </c>
      <c r="Z2969">
        <v>-6.8637059999999998E-3</v>
      </c>
      <c r="AA2969">
        <v>0.98594179999999998</v>
      </c>
      <c r="AB2969">
        <v>32</v>
      </c>
      <c r="AC2969">
        <v>17.137</v>
      </c>
      <c r="AD2969">
        <v>-1.1094775545290001</v>
      </c>
      <c r="AE2969">
        <v>-2.5216999999999801</v>
      </c>
      <c r="AF2969">
        <v>2.9409524610064102</v>
      </c>
      <c r="AG2969">
        <v>-1.1094775545290001</v>
      </c>
      <c r="AH2969">
        <v>16.998227128456001</v>
      </c>
      <c r="AI2969">
        <v>93.679891702788197</v>
      </c>
      <c r="AJ2969">
        <v>80.184130411629994</v>
      </c>
      <c r="AK2969">
        <v>17.286407010494699</v>
      </c>
      <c r="AL2969">
        <v>86.451234353025598</v>
      </c>
      <c r="AM2969">
        <v>82.306364051920397</v>
      </c>
      <c r="AN2969">
        <v>0.999999985307501</v>
      </c>
    </row>
    <row r="2970" spans="1:40" x14ac:dyDescent="0.25">
      <c r="A2970" t="str">
        <f>"20190312151329834"</f>
        <v>20190312151329834</v>
      </c>
      <c r="B2970" t="str">
        <f>"1552374809823227"</f>
        <v>1552374809823227</v>
      </c>
      <c r="C2970" t="s">
        <v>40</v>
      </c>
      <c r="D2970">
        <v>4.9234109999999998</v>
      </c>
      <c r="E2970">
        <v>0.51311579999999901</v>
      </c>
      <c r="F2970" t="s">
        <v>54</v>
      </c>
      <c r="G2970">
        <v>-354.56849999999997</v>
      </c>
      <c r="H2970" s="1">
        <v>1.039925E-6</v>
      </c>
      <c r="I2970">
        <v>211.2851</v>
      </c>
      <c r="J2970">
        <v>-372.13409999999999</v>
      </c>
      <c r="K2970">
        <v>1.109175</v>
      </c>
      <c r="L2970">
        <v>213.87389999999999</v>
      </c>
      <c r="M2970">
        <v>0.99964149999999996</v>
      </c>
      <c r="N2970">
        <v>0</v>
      </c>
      <c r="O2970">
        <v>2.5192920000000001E-2</v>
      </c>
      <c r="P2970">
        <v>0.99256109999999997</v>
      </c>
      <c r="Q2970">
        <v>5.3493569999999997E-2</v>
      </c>
      <c r="R2970">
        <v>-0.1093654</v>
      </c>
      <c r="S2970">
        <v>2.984467</v>
      </c>
      <c r="T2970">
        <v>-0.18494269999999999</v>
      </c>
      <c r="U2970">
        <v>-0.43011470000000002</v>
      </c>
      <c r="V2970">
        <v>0.13434199999999999</v>
      </c>
      <c r="W2970">
        <v>6.2451060000000003E-2</v>
      </c>
      <c r="X2970">
        <v>0.98896519999999999</v>
      </c>
      <c r="Y2970">
        <v>0.1671733</v>
      </c>
      <c r="Z2970">
        <v>-6.7005700000000003E-3</v>
      </c>
      <c r="AA2970">
        <v>0.98590480000000003</v>
      </c>
      <c r="AB2970">
        <v>33</v>
      </c>
      <c r="AC2970">
        <v>17.5656</v>
      </c>
      <c r="AD2970">
        <v>-1.1091739600749999</v>
      </c>
      <c r="AE2970">
        <v>-2.5887999999999902</v>
      </c>
      <c r="AF2970">
        <v>3.0187446051825102</v>
      </c>
      <c r="AG2970">
        <v>-1.1091739600749999</v>
      </c>
      <c r="AH2970">
        <v>17.426794449169702</v>
      </c>
      <c r="AI2970">
        <v>93.588528328474794</v>
      </c>
      <c r="AJ2970">
        <v>80.172500008493898</v>
      </c>
      <c r="AK2970">
        <v>17.721067988093701</v>
      </c>
      <c r="AL2970">
        <v>86.419487979285904</v>
      </c>
      <c r="AM2970">
        <v>82.264235469524706</v>
      </c>
      <c r="AN2970">
        <v>1.0000000373350799</v>
      </c>
    </row>
    <row r="2971" spans="1:40" x14ac:dyDescent="0.25">
      <c r="A2971" t="str">
        <f>"20190312151329857"</f>
        <v>20190312151329857</v>
      </c>
      <c r="B2971" t="str">
        <f>"1552374809853484"</f>
        <v>1552374809853484</v>
      </c>
      <c r="C2971" t="s">
        <v>40</v>
      </c>
      <c r="D2971">
        <v>4.9216040000000003</v>
      </c>
      <c r="E2971">
        <v>0.51305219999999996</v>
      </c>
      <c r="F2971" t="s">
        <v>54</v>
      </c>
      <c r="G2971">
        <v>-353.70260000000002</v>
      </c>
      <c r="H2971" s="1">
        <v>5.8273509999999905E-7</v>
      </c>
      <c r="I2971">
        <v>211.20359999999999</v>
      </c>
      <c r="J2971">
        <v>-371.80130000000003</v>
      </c>
      <c r="K2971">
        <v>1.1089230000000001</v>
      </c>
      <c r="L2971">
        <v>213.88229999999999</v>
      </c>
      <c r="M2971">
        <v>0.99965300000000001</v>
      </c>
      <c r="N2971">
        <v>0</v>
      </c>
      <c r="O2971">
        <v>2.516734E-2</v>
      </c>
      <c r="P2971">
        <v>0.99239710000000003</v>
      </c>
      <c r="Q2971">
        <v>5.5241980000000003E-2</v>
      </c>
      <c r="R2971">
        <v>-0.1099839</v>
      </c>
      <c r="S2971">
        <v>2.9845280000000001</v>
      </c>
      <c r="T2971">
        <v>-0.17960370000000001</v>
      </c>
      <c r="U2971">
        <v>-0.4323883</v>
      </c>
      <c r="V2971">
        <v>0.13493089999999999</v>
      </c>
      <c r="W2971">
        <v>6.2933619999999996E-2</v>
      </c>
      <c r="X2971">
        <v>0.98885440000000002</v>
      </c>
      <c r="Y2971">
        <v>0.16789999999999999</v>
      </c>
      <c r="Z2971">
        <v>-6.5271900000000004E-3</v>
      </c>
      <c r="AA2971">
        <v>0.98578239999999995</v>
      </c>
      <c r="AB2971">
        <v>33</v>
      </c>
      <c r="AC2971">
        <v>18.098700000000001</v>
      </c>
      <c r="AD2971">
        <v>-1.1089224172648999</v>
      </c>
      <c r="AE2971">
        <v>-2.6786999999999899</v>
      </c>
      <c r="AF2971">
        <v>3.12189267323842</v>
      </c>
      <c r="AG2971">
        <v>-1.1089224172648999</v>
      </c>
      <c r="AH2971">
        <v>17.959572102730601</v>
      </c>
      <c r="AI2971">
        <v>93.481197723808805</v>
      </c>
      <c r="AJ2971">
        <v>80.138872622232796</v>
      </c>
      <c r="AK2971">
        <v>18.2625888883234</v>
      </c>
      <c r="AL2971">
        <v>86.391784721896698</v>
      </c>
      <c r="AM2971">
        <v>82.229878425392499</v>
      </c>
      <c r="AN2971">
        <v>1.0000000063502299</v>
      </c>
    </row>
    <row r="2972" spans="1:40" x14ac:dyDescent="0.25">
      <c r="A2972" t="str">
        <f>"20190312151329880"</f>
        <v>20190312151329880</v>
      </c>
      <c r="B2972" t="str">
        <f>"1552374809873511"</f>
        <v>1552374809873511</v>
      </c>
      <c r="C2972" t="s">
        <v>40</v>
      </c>
      <c r="D2972">
        <v>4.8701879999999997</v>
      </c>
      <c r="E2972">
        <v>0.51303520000000002</v>
      </c>
      <c r="F2972" t="s">
        <v>54</v>
      </c>
      <c r="G2972">
        <v>-352.91969999999998</v>
      </c>
      <c r="H2972" s="1">
        <v>1.68940299999999E-7</v>
      </c>
      <c r="I2972">
        <v>211.13890000000001</v>
      </c>
      <c r="J2972">
        <v>-371.46570000000003</v>
      </c>
      <c r="K2972">
        <v>1.108711</v>
      </c>
      <c r="L2972">
        <v>213.89070000000001</v>
      </c>
      <c r="M2972">
        <v>0.99966279999999996</v>
      </c>
      <c r="N2972">
        <v>0</v>
      </c>
      <c r="O2972">
        <v>2.5135999999999999E-2</v>
      </c>
      <c r="P2972">
        <v>0.99217500000000003</v>
      </c>
      <c r="Q2972">
        <v>5.6954789999999998E-2</v>
      </c>
      <c r="R2972">
        <v>-0.1111091</v>
      </c>
      <c r="S2972">
        <v>2.9847109999999999</v>
      </c>
      <c r="T2972">
        <v>-0.17529339999999999</v>
      </c>
      <c r="U2972">
        <v>-0.43367</v>
      </c>
      <c r="V2972">
        <v>0.13601959999999999</v>
      </c>
      <c r="W2972">
        <v>6.340759E-2</v>
      </c>
      <c r="X2972">
        <v>0.98867490000000002</v>
      </c>
      <c r="Y2972">
        <v>0.16829050000000001</v>
      </c>
      <c r="Z2972">
        <v>-6.3797890000000003E-3</v>
      </c>
      <c r="AA2972">
        <v>0.98571679999999995</v>
      </c>
      <c r="AB2972">
        <v>33</v>
      </c>
      <c r="AC2972">
        <v>18.545999999999999</v>
      </c>
      <c r="AD2972">
        <v>-1.1087108310597</v>
      </c>
      <c r="AE2972">
        <v>-2.7517999999999998</v>
      </c>
      <c r="AF2972">
        <v>3.2059020646926801</v>
      </c>
      <c r="AG2972">
        <v>-1.1087108310597</v>
      </c>
      <c r="AH2972">
        <v>18.406603906189599</v>
      </c>
      <c r="AI2972">
        <v>93.396009538667599</v>
      </c>
      <c r="AJ2972">
        <v>80.119831282303807</v>
      </c>
      <c r="AK2972">
        <v>18.716573273830399</v>
      </c>
      <c r="AL2972">
        <v>86.364573710781599</v>
      </c>
      <c r="AM2972">
        <v>82.166555328984998</v>
      </c>
      <c r="AN2972">
        <v>0.99999995597188795</v>
      </c>
    </row>
    <row r="2973" spans="1:40" x14ac:dyDescent="0.25">
      <c r="A2973" t="str">
        <f>"20190312151329901"</f>
        <v>20190312151329901</v>
      </c>
      <c r="B2973" t="str">
        <f>"1552374809893032"</f>
        <v>1552374809893032</v>
      </c>
      <c r="C2973" t="s">
        <v>40</v>
      </c>
      <c r="D2973">
        <v>4.8552429999999998</v>
      </c>
      <c r="E2973">
        <v>0.51157799999999998</v>
      </c>
      <c r="F2973" t="s">
        <v>54</v>
      </c>
      <c r="G2973">
        <v>-352.05180000000001</v>
      </c>
      <c r="H2973" s="1">
        <v>-2.8887319999999998E-7</v>
      </c>
      <c r="I2973">
        <v>211.04679999999999</v>
      </c>
      <c r="J2973">
        <v>-371.13889999999998</v>
      </c>
      <c r="K2973">
        <v>1.1085469999999999</v>
      </c>
      <c r="L2973">
        <v>213.8989</v>
      </c>
      <c r="M2973">
        <v>0.99967059999999996</v>
      </c>
      <c r="N2973">
        <v>0</v>
      </c>
      <c r="O2973">
        <v>2.509958E-2</v>
      </c>
      <c r="P2973">
        <v>0.99194499999999997</v>
      </c>
      <c r="Q2973">
        <v>5.849389E-2</v>
      </c>
      <c r="R2973">
        <v>-0.112356399999999</v>
      </c>
      <c r="S2973">
        <v>2.9844970000000002</v>
      </c>
      <c r="T2973">
        <v>-0.17044210000000001</v>
      </c>
      <c r="U2973">
        <v>-0.43719479999999999</v>
      </c>
      <c r="V2973">
        <v>0.1372256</v>
      </c>
      <c r="W2973">
        <v>6.3813040000000001E-2</v>
      </c>
      <c r="X2973">
        <v>0.98848219999999998</v>
      </c>
      <c r="Y2973">
        <v>0.1694204</v>
      </c>
      <c r="Z2973">
        <v>-6.2334189999999996E-3</v>
      </c>
      <c r="AA2973">
        <v>0.98552419999999996</v>
      </c>
      <c r="AB2973">
        <v>34</v>
      </c>
      <c r="AC2973">
        <v>19.0870999999999</v>
      </c>
      <c r="AD2973">
        <v>-1.1085472888732</v>
      </c>
      <c r="AE2973">
        <v>-2.8521000000000001</v>
      </c>
      <c r="AF2973">
        <v>3.31933460934675</v>
      </c>
      <c r="AG2973">
        <v>-1.1085472888732</v>
      </c>
      <c r="AH2973">
        <v>18.946984848807102</v>
      </c>
      <c r="AI2973">
        <v>93.298315825836696</v>
      </c>
      <c r="AJ2973">
        <v>80.063155932768197</v>
      </c>
      <c r="AK2973">
        <v>19.267462059166</v>
      </c>
      <c r="AL2973">
        <v>86.341296208651798</v>
      </c>
      <c r="AM2973">
        <v>82.096453717750094</v>
      </c>
      <c r="AN2973">
        <v>1.00000001454312</v>
      </c>
    </row>
    <row r="2974" spans="1:40" x14ac:dyDescent="0.25">
      <c r="A2974" t="str">
        <f>"20190312151329923"</f>
        <v>20190312151329923</v>
      </c>
      <c r="B2974" t="str">
        <f>"1552374809913527"</f>
        <v>1552374809913527</v>
      </c>
      <c r="C2974" t="s">
        <v>40</v>
      </c>
      <c r="D2974">
        <v>4.8971739999999997</v>
      </c>
      <c r="E2974">
        <v>0.51157010000000003</v>
      </c>
      <c r="F2974" t="s">
        <v>41</v>
      </c>
      <c r="G2974">
        <v>-370.34539999999998</v>
      </c>
      <c r="H2974">
        <v>1.0291969999999999</v>
      </c>
      <c r="I2974">
        <v>213.78469999999999</v>
      </c>
      <c r="J2974">
        <v>-370.80189999999999</v>
      </c>
      <c r="K2974">
        <v>1.1084400000000001</v>
      </c>
      <c r="L2974">
        <v>213.9074</v>
      </c>
      <c r="M2974">
        <v>0.99967649999999997</v>
      </c>
      <c r="N2974">
        <v>0</v>
      </c>
      <c r="O2974">
        <v>2.5055620000000001E-2</v>
      </c>
      <c r="P2974">
        <v>0.99172340000000003</v>
      </c>
      <c r="Q2974">
        <v>5.9993570000000003E-2</v>
      </c>
      <c r="R2974">
        <v>-0.1135168</v>
      </c>
      <c r="S2974">
        <v>2.9933779999999999</v>
      </c>
      <c r="T2974">
        <v>-0.2994542</v>
      </c>
      <c r="U2974">
        <v>-0.42941279999999998</v>
      </c>
      <c r="V2974">
        <v>0.13833760000000001</v>
      </c>
      <c r="W2974">
        <v>6.4315559999999994E-2</v>
      </c>
      <c r="X2974">
        <v>0.98829460000000002</v>
      </c>
      <c r="Y2974">
        <v>0.16582349999999901</v>
      </c>
      <c r="Z2974">
        <v>-1.0720520000000001E-2</v>
      </c>
      <c r="AA2974">
        <v>0.98609720000000001</v>
      </c>
      <c r="AB2974">
        <v>34</v>
      </c>
      <c r="AC2974">
        <v>0.45650000000000501</v>
      </c>
      <c r="AD2974">
        <v>-7.9242999999999897E-2</v>
      </c>
      <c r="AE2974">
        <v>-0.122700000000008</v>
      </c>
      <c r="AF2974">
        <v>0.13043394764518301</v>
      </c>
      <c r="AG2974">
        <v>-7.9242999999999897E-2</v>
      </c>
      <c r="AH2974">
        <v>0.44089212163166103</v>
      </c>
      <c r="AI2974">
        <v>99.778819508080701</v>
      </c>
      <c r="AJ2974">
        <v>73.519625013094199</v>
      </c>
      <c r="AK2974">
        <v>0.46656010402109399</v>
      </c>
      <c r="AL2974">
        <v>86.312444610878998</v>
      </c>
      <c r="AM2974">
        <v>82.031734006473101</v>
      </c>
      <c r="AN2974">
        <v>0.999999999610516</v>
      </c>
    </row>
    <row r="2975" spans="1:40" x14ac:dyDescent="0.25">
      <c r="A2975" t="str">
        <f>"20190312151329947"</f>
        <v>20190312151329947</v>
      </c>
      <c r="B2975" t="str">
        <f>"1552374809942807"</f>
        <v>1552374809942807</v>
      </c>
      <c r="C2975" t="s">
        <v>40</v>
      </c>
      <c r="D2975">
        <v>4.9367219999999996</v>
      </c>
      <c r="E2975">
        <v>0.51141349999999997</v>
      </c>
      <c r="F2975" t="s">
        <v>41</v>
      </c>
      <c r="G2975">
        <v>-370.03590000000003</v>
      </c>
      <c r="H2975">
        <v>1.0355000000000001</v>
      </c>
      <c r="I2975">
        <v>213.7963</v>
      </c>
      <c r="J2975">
        <v>-370.44029999999998</v>
      </c>
      <c r="K2975">
        <v>1.1084309999999999</v>
      </c>
      <c r="L2975">
        <v>213.91640000000001</v>
      </c>
      <c r="M2975">
        <v>0.99968049999999997</v>
      </c>
      <c r="N2975">
        <v>0</v>
      </c>
      <c r="O2975">
        <v>2.50044E-2</v>
      </c>
      <c r="P2975">
        <v>0.99153219999999997</v>
      </c>
      <c r="Q2975">
        <v>6.1303669999999998E-2</v>
      </c>
      <c r="R2975">
        <v>-0.1144809</v>
      </c>
      <c r="S2975">
        <v>2.9927060000000001</v>
      </c>
      <c r="T2975">
        <v>-0.28503299999999998</v>
      </c>
      <c r="U2975">
        <v>-0.43305969999999999</v>
      </c>
      <c r="V2975">
        <v>0.1392477</v>
      </c>
      <c r="W2975">
        <v>6.4975539999999998E-2</v>
      </c>
      <c r="X2975">
        <v>0.98812359999999999</v>
      </c>
      <c r="Y2975">
        <v>0.167063299999999</v>
      </c>
      <c r="Z2975">
        <v>-1.026173E-2</v>
      </c>
      <c r="AA2975">
        <v>0.98589280000000001</v>
      </c>
      <c r="AB2975">
        <v>34</v>
      </c>
      <c r="AC2975">
        <v>0.40439999999995202</v>
      </c>
      <c r="AD2975">
        <v>-7.2930999999999802E-2</v>
      </c>
      <c r="AE2975">
        <v>-0.12010000000000701</v>
      </c>
      <c r="AF2975">
        <v>0.12639658387251401</v>
      </c>
      <c r="AG2975">
        <v>-7.2930999999999802E-2</v>
      </c>
      <c r="AH2975">
        <v>0.38962546820692201</v>
      </c>
      <c r="AI2975">
        <v>100.095597919935</v>
      </c>
      <c r="AJ2975">
        <v>72.026660108340906</v>
      </c>
      <c r="AK2975">
        <v>0.41605652578838997</v>
      </c>
      <c r="AL2975">
        <v>86.274551265539301</v>
      </c>
      <c r="AM2975">
        <v>81.978622150253599</v>
      </c>
      <c r="AN2975">
        <v>0.99999999581526999</v>
      </c>
    </row>
    <row r="2976" spans="1:40" x14ac:dyDescent="0.25">
      <c r="A2976" t="str">
        <f>"20190312151329970"</f>
        <v>20190312151329970</v>
      </c>
      <c r="B2976" t="str">
        <f>"1552374809963303"</f>
        <v>1552374809963303</v>
      </c>
      <c r="C2976" t="s">
        <v>40</v>
      </c>
      <c r="D2976">
        <v>4.9210000000000003</v>
      </c>
      <c r="E2976">
        <v>0.50945870000000004</v>
      </c>
      <c r="F2976" t="s">
        <v>41</v>
      </c>
      <c r="G2976">
        <v>-369.42</v>
      </c>
      <c r="H2976">
        <v>1.0239450000000001</v>
      </c>
      <c r="I2976">
        <v>213.76750000000001</v>
      </c>
      <c r="J2976">
        <v>-370.08690000000001</v>
      </c>
      <c r="K2976">
        <v>1.1085689999999999</v>
      </c>
      <c r="L2976">
        <v>213.92519999999999</v>
      </c>
      <c r="M2976">
        <v>0.99968179999999995</v>
      </c>
      <c r="N2976">
        <v>0</v>
      </c>
      <c r="O2976">
        <v>2.4951770000000002E-2</v>
      </c>
      <c r="P2976">
        <v>0.99134719999999998</v>
      </c>
      <c r="Q2976">
        <v>6.2022000000000001E-2</v>
      </c>
      <c r="R2976">
        <v>-0.115689899999999</v>
      </c>
      <c r="S2976">
        <v>2.9906619999999999</v>
      </c>
      <c r="T2976">
        <v>-0.2477589</v>
      </c>
      <c r="U2976">
        <v>-0.4351196</v>
      </c>
      <c r="V2976">
        <v>0.14040139999999901</v>
      </c>
      <c r="W2976">
        <v>6.5664520000000004E-2</v>
      </c>
      <c r="X2976">
        <v>0.98791479999999998</v>
      </c>
      <c r="Y2976">
        <v>0.16797619999999999</v>
      </c>
      <c r="Z2976">
        <v>-8.9634399999999996E-3</v>
      </c>
      <c r="AA2976">
        <v>0.98575029999999997</v>
      </c>
      <c r="AB2976">
        <v>35</v>
      </c>
      <c r="AC2976">
        <v>0.66689999999999805</v>
      </c>
      <c r="AD2976">
        <v>-8.4624000000000005E-2</v>
      </c>
      <c r="AE2976">
        <v>-0.157699999999977</v>
      </c>
      <c r="AF2976">
        <v>0.17167353259815099</v>
      </c>
      <c r="AG2976">
        <v>-8.4624000000000005E-2</v>
      </c>
      <c r="AH2976">
        <v>0.65280297163703305</v>
      </c>
      <c r="AI2976">
        <v>97.145837487529604</v>
      </c>
      <c r="AJ2976">
        <v>75.2660187254926</v>
      </c>
      <c r="AK2976">
        <v>0.68028284040454101</v>
      </c>
      <c r="AL2976">
        <v>86.234991213029005</v>
      </c>
      <c r="AM2976">
        <v>81.911352150804902</v>
      </c>
      <c r="AN2976">
        <v>1.0000000171839101</v>
      </c>
    </row>
    <row r="2977" spans="1:40" x14ac:dyDescent="0.25">
      <c r="A2977" t="str">
        <f>"20190312151329993"</f>
        <v>20190312151329993</v>
      </c>
      <c r="B2977" t="str">
        <f>"1552374809982823"</f>
        <v>1552374809982823</v>
      </c>
      <c r="C2977" t="s">
        <v>40</v>
      </c>
      <c r="D2977">
        <v>4.9193730000000002</v>
      </c>
      <c r="E2977">
        <v>0.50818999999999903</v>
      </c>
      <c r="F2977" t="s">
        <v>54</v>
      </c>
      <c r="G2977">
        <v>-355.3895</v>
      </c>
      <c r="H2977" s="1">
        <v>1.45245E-6</v>
      </c>
      <c r="I2977">
        <v>211.84289999999999</v>
      </c>
      <c r="J2977">
        <v>-369.71859999999998</v>
      </c>
      <c r="K2977">
        <v>1.108768</v>
      </c>
      <c r="L2977">
        <v>213.93430000000001</v>
      </c>
      <c r="M2977">
        <v>0.99968199999999996</v>
      </c>
      <c r="N2977">
        <v>0</v>
      </c>
      <c r="O2977">
        <v>2.4889209999999998E-2</v>
      </c>
      <c r="P2977">
        <v>0.9912782</v>
      </c>
      <c r="Q2977">
        <v>6.1774009999999997E-2</v>
      </c>
      <c r="R2977">
        <v>-0.1164124</v>
      </c>
      <c r="S2977">
        <v>2.9908450000000002</v>
      </c>
      <c r="T2977">
        <v>-0.2255865</v>
      </c>
      <c r="U2977">
        <v>-0.42373660000000002</v>
      </c>
      <c r="V2977">
        <v>0.1410612</v>
      </c>
      <c r="W2977">
        <v>6.5778240000000002E-2</v>
      </c>
      <c r="X2977">
        <v>0.98781319999999995</v>
      </c>
      <c r="Y2977">
        <v>0.16434949999999901</v>
      </c>
      <c r="Z2977">
        <v>-8.0247119999999998E-3</v>
      </c>
      <c r="AA2977">
        <v>0.98636959999999996</v>
      </c>
      <c r="AB2977">
        <v>35</v>
      </c>
      <c r="AC2977">
        <v>14.329099999999899</v>
      </c>
      <c r="AD2977">
        <v>-1.1087665475499999</v>
      </c>
      <c r="AE2977">
        <v>-2.0914000000000201</v>
      </c>
      <c r="AF2977">
        <v>2.4331306210005801</v>
      </c>
      <c r="AG2977">
        <v>-1.1087665475499999</v>
      </c>
      <c r="AH2977">
        <v>14.1894208314651</v>
      </c>
      <c r="AI2977">
        <v>94.404014570100202</v>
      </c>
      <c r="AJ2977">
        <v>80.269838491551894</v>
      </c>
      <c r="AK2977">
        <v>14.4391534172967</v>
      </c>
      <c r="AL2977">
        <v>86.228461273838093</v>
      </c>
      <c r="AM2977">
        <v>81.873022388739599</v>
      </c>
      <c r="AN2977">
        <v>0.99999997854858802</v>
      </c>
    </row>
    <row r="2978" spans="1:40" x14ac:dyDescent="0.25">
      <c r="A2978" t="str">
        <f>"20190312151330013"</f>
        <v>20190312151330013</v>
      </c>
      <c r="B2978" t="str">
        <f>"1552374810003319"</f>
        <v>1552374810003319</v>
      </c>
      <c r="C2978" t="s">
        <v>40</v>
      </c>
      <c r="D2978">
        <v>4.9376259999999998</v>
      </c>
      <c r="E2978">
        <v>0.50725540000000002</v>
      </c>
      <c r="F2978" t="s">
        <v>54</v>
      </c>
      <c r="G2978">
        <v>-354.0308</v>
      </c>
      <c r="H2978" s="1">
        <v>7.3330569999999996E-7</v>
      </c>
      <c r="I2978">
        <v>211.75380000000001</v>
      </c>
      <c r="J2978">
        <v>-369.41890000000001</v>
      </c>
      <c r="K2978">
        <v>1.108932</v>
      </c>
      <c r="L2978">
        <v>213.9417</v>
      </c>
      <c r="M2978">
        <v>0.99968159999999895</v>
      </c>
      <c r="N2978">
        <v>0</v>
      </c>
      <c r="O2978">
        <v>2.4830830000000002E-2</v>
      </c>
      <c r="P2978">
        <v>0.99119639999999998</v>
      </c>
      <c r="Q2978">
        <v>6.197138E-2</v>
      </c>
      <c r="R2978">
        <v>-0.11700199999999999</v>
      </c>
      <c r="S2978">
        <v>2.990723</v>
      </c>
      <c r="T2978">
        <v>-0.21137449999999999</v>
      </c>
      <c r="U2978">
        <v>-0.41567989999999999</v>
      </c>
      <c r="V2978">
        <v>0.14159160000000001</v>
      </c>
      <c r="W2978">
        <v>6.6391069999999996E-2</v>
      </c>
      <c r="X2978">
        <v>0.98769629999999997</v>
      </c>
      <c r="Y2978">
        <v>0.16176160000000001</v>
      </c>
      <c r="Z2978">
        <v>-7.4271149999999998E-3</v>
      </c>
      <c r="AA2978">
        <v>0.98680190000000001</v>
      </c>
      <c r="AB2978">
        <v>35</v>
      </c>
      <c r="AC2978">
        <v>15.3881</v>
      </c>
      <c r="AD2978">
        <v>-1.1089312666943001</v>
      </c>
      <c r="AE2978">
        <v>-2.18789999999998</v>
      </c>
      <c r="AF2978">
        <v>2.5563159925301302</v>
      </c>
      <c r="AG2978">
        <v>-1.1089312666943001</v>
      </c>
      <c r="AH2978">
        <v>15.251392462314399</v>
      </c>
      <c r="AI2978">
        <v>94.101650286924198</v>
      </c>
      <c r="AJ2978">
        <v>80.484987620235799</v>
      </c>
      <c r="AK2978">
        <v>15.5038528130094</v>
      </c>
      <c r="AL2978">
        <v>86.193271736971198</v>
      </c>
      <c r="AM2978">
        <v>81.841922424426699</v>
      </c>
      <c r="AN2978">
        <v>0.99999996819999604</v>
      </c>
    </row>
    <row r="2979" spans="1:40" x14ac:dyDescent="0.25">
      <c r="A2979" t="str">
        <f>"20190312151330034"</f>
        <v>20190312151330034</v>
      </c>
      <c r="B2979" t="str">
        <f>"1552374810022839"</f>
        <v>1552374810022839</v>
      </c>
      <c r="C2979" t="s">
        <v>40</v>
      </c>
      <c r="D2979">
        <v>5.1263480000000001</v>
      </c>
      <c r="E2979">
        <v>0.50704799999999906</v>
      </c>
      <c r="F2979" t="s">
        <v>54</v>
      </c>
      <c r="G2979">
        <v>-353.27769999999998</v>
      </c>
      <c r="H2979" s="1">
        <v>3.3372409999999899E-7</v>
      </c>
      <c r="I2979">
        <v>211.7278</v>
      </c>
      <c r="J2979">
        <v>-369.07760000000002</v>
      </c>
      <c r="K2979">
        <v>1.109092</v>
      </c>
      <c r="L2979">
        <v>213.95009999999999</v>
      </c>
      <c r="M2979">
        <v>0.99968089999999998</v>
      </c>
      <c r="N2979">
        <v>0</v>
      </c>
      <c r="O2979">
        <v>2.4761869999999998E-2</v>
      </c>
      <c r="P2979">
        <v>0.99111369999999999</v>
      </c>
      <c r="Q2979">
        <v>6.2227350000000001E-2</v>
      </c>
      <c r="R2979">
        <v>-0.1175662</v>
      </c>
      <c r="S2979">
        <v>2.991028</v>
      </c>
      <c r="T2979">
        <v>-0.20549020000000001</v>
      </c>
      <c r="U2979">
        <v>-0.4102325</v>
      </c>
      <c r="V2979">
        <v>0.1420862</v>
      </c>
      <c r="W2979">
        <v>6.7169439999999997E-2</v>
      </c>
      <c r="X2979">
        <v>0.98757269999999997</v>
      </c>
      <c r="Y2979">
        <v>0.15994539999999999</v>
      </c>
      <c r="Z2979">
        <v>-7.1542630000000001E-3</v>
      </c>
      <c r="AA2979">
        <v>0.98709990000000003</v>
      </c>
      <c r="AB2979">
        <v>35</v>
      </c>
      <c r="AC2979">
        <v>15.799899999999999</v>
      </c>
      <c r="AD2979">
        <v>-1.1090916662758901</v>
      </c>
      <c r="AE2979">
        <v>-2.22229999999999</v>
      </c>
      <c r="AF2979">
        <v>2.6002941535510198</v>
      </c>
      <c r="AG2979">
        <v>-1.1090916662758901</v>
      </c>
      <c r="AH2979">
        <v>15.664337704804799</v>
      </c>
      <c r="AI2979">
        <v>93.995493669306597</v>
      </c>
      <c r="AJ2979">
        <v>80.574796463553298</v>
      </c>
      <c r="AK2979">
        <v>15.9173832566589</v>
      </c>
      <c r="AL2979">
        <v>86.148574879267798</v>
      </c>
      <c r="AM2979">
        <v>81.812800002514805</v>
      </c>
      <c r="AN2979">
        <v>1.00000002984282</v>
      </c>
    </row>
    <row r="2980" spans="1:40" x14ac:dyDescent="0.25">
      <c r="A2980" t="str">
        <f>"20190312151330057"</f>
        <v>20190312151330057</v>
      </c>
      <c r="B2980" t="str">
        <f>"1552374810053094"</f>
        <v>1552374810053094</v>
      </c>
      <c r="C2980" t="s">
        <v>40</v>
      </c>
      <c r="D2980">
        <v>4.9226890000000001</v>
      </c>
      <c r="E2980">
        <v>0.50637069999999995</v>
      </c>
      <c r="F2980" t="s">
        <v>54</v>
      </c>
      <c r="G2980">
        <v>-352.63420000000002</v>
      </c>
      <c r="H2980" s="1">
        <v>-7.2696909999999999E-9</v>
      </c>
      <c r="I2980">
        <v>211.69460000000001</v>
      </c>
      <c r="J2980">
        <v>-368.72879999999998</v>
      </c>
      <c r="K2980">
        <v>1.109227</v>
      </c>
      <c r="L2980">
        <v>213.95859999999999</v>
      </c>
      <c r="M2980">
        <v>0.9996794</v>
      </c>
      <c r="N2980">
        <v>0</v>
      </c>
      <c r="O2980">
        <v>2.4691959999999999E-2</v>
      </c>
      <c r="P2980">
        <v>0.99110339999999997</v>
      </c>
      <c r="Q2980">
        <v>6.2257420000000001E-2</v>
      </c>
      <c r="R2980">
        <v>-0.11763510000000001</v>
      </c>
      <c r="S2980">
        <v>2.9909059999999998</v>
      </c>
      <c r="T2980">
        <v>-0.20173369999999999</v>
      </c>
      <c r="U2980">
        <v>-0.4102478</v>
      </c>
      <c r="V2980">
        <v>0.142086299999999</v>
      </c>
      <c r="W2980">
        <v>6.7755079999999995E-2</v>
      </c>
      <c r="X2980">
        <v>0.98753259999999998</v>
      </c>
      <c r="Y2980">
        <v>0.1599025</v>
      </c>
      <c r="Z2980">
        <v>-7.0179300000000003E-3</v>
      </c>
      <c r="AA2980">
        <v>0.98710790000000004</v>
      </c>
      <c r="AB2980">
        <v>35</v>
      </c>
      <c r="AC2980">
        <v>16.0945999999999</v>
      </c>
      <c r="AD2980">
        <v>-1.1092270072696899</v>
      </c>
      <c r="AE2980">
        <v>-2.2639999999999798</v>
      </c>
      <c r="AF2980">
        <v>2.6483877854443798</v>
      </c>
      <c r="AG2980">
        <v>-1.1092270072696899</v>
      </c>
      <c r="AH2980">
        <v>15.9594550125585</v>
      </c>
      <c r="AI2980">
        <v>93.922355502244201</v>
      </c>
      <c r="AJ2980">
        <v>80.5779273162198</v>
      </c>
      <c r="AK2980">
        <v>16.2156882898514</v>
      </c>
      <c r="AL2980">
        <v>86.114943257788696</v>
      </c>
      <c r="AM2980">
        <v>81.812466374032098</v>
      </c>
      <c r="AN2980">
        <v>0.99999995178812695</v>
      </c>
    </row>
    <row r="2981" spans="1:40" x14ac:dyDescent="0.25">
      <c r="A2981" t="str">
        <f>"20190312151330079"</f>
        <v>20190312151330079</v>
      </c>
      <c r="B2981" t="str">
        <f>"1552374810073591"</f>
        <v>1552374810073591</v>
      </c>
      <c r="C2981" t="s">
        <v>40</v>
      </c>
      <c r="D2981">
        <v>4.9113379999999998</v>
      </c>
      <c r="E2981">
        <v>0.50583919999999905</v>
      </c>
      <c r="F2981" t="s">
        <v>54</v>
      </c>
      <c r="G2981">
        <v>-352.23820000000001</v>
      </c>
      <c r="H2981" s="1">
        <v>-2.194151E-7</v>
      </c>
      <c r="I2981">
        <v>211.72620000000001</v>
      </c>
      <c r="J2981">
        <v>-368.38290000000001</v>
      </c>
      <c r="K2981">
        <v>1.10934</v>
      </c>
      <c r="L2981">
        <v>213.96709999999999</v>
      </c>
      <c r="M2981">
        <v>0.99967799999999996</v>
      </c>
      <c r="N2981">
        <v>0</v>
      </c>
      <c r="O2981">
        <v>2.4615950000000001E-2</v>
      </c>
      <c r="P2981">
        <v>0.99107230000000002</v>
      </c>
      <c r="Q2981">
        <v>6.2310459999999998E-2</v>
      </c>
      <c r="R2981">
        <v>-0.117869</v>
      </c>
      <c r="S2981">
        <v>2.9914860000000001</v>
      </c>
      <c r="T2981">
        <v>-0.20122000000000001</v>
      </c>
      <c r="U2981">
        <v>-0.4049683</v>
      </c>
      <c r="V2981">
        <v>0.14224400000000001</v>
      </c>
      <c r="W2981">
        <v>6.8364019999999998E-2</v>
      </c>
      <c r="X2981">
        <v>0.98746789999999995</v>
      </c>
      <c r="Y2981">
        <v>0.1580975</v>
      </c>
      <c r="Z2981">
        <v>-6.9341330000000003E-3</v>
      </c>
      <c r="AA2981">
        <v>0.98739920000000003</v>
      </c>
      <c r="AB2981">
        <v>35</v>
      </c>
      <c r="AC2981">
        <v>16.1447</v>
      </c>
      <c r="AD2981">
        <v>-1.1093402194151001</v>
      </c>
      <c r="AE2981">
        <v>-2.2408999999999799</v>
      </c>
      <c r="AF2981">
        <v>2.62548398719799</v>
      </c>
      <c r="AG2981">
        <v>-1.1093402194151001</v>
      </c>
      <c r="AH2981">
        <v>16.010481870442799</v>
      </c>
      <c r="AI2981">
        <v>93.911518096583194</v>
      </c>
      <c r="AJ2981">
        <v>80.687220184687604</v>
      </c>
      <c r="AK2981">
        <v>16.2622056195715</v>
      </c>
      <c r="AL2981">
        <v>86.079972366922803</v>
      </c>
      <c r="AM2981">
        <v>81.802972782791997</v>
      </c>
      <c r="AN2981">
        <v>0.99999992414848204</v>
      </c>
    </row>
    <row r="2982" spans="1:40" x14ac:dyDescent="0.25">
      <c r="A2982" t="str">
        <f>"20190312151330100"</f>
        <v>20190312151330100</v>
      </c>
      <c r="B2982" t="str">
        <f>"1552374810093111"</f>
        <v>1552374810093111</v>
      </c>
      <c r="C2982" t="s">
        <v>40</v>
      </c>
      <c r="D2982">
        <v>4.8520989999999999</v>
      </c>
      <c r="E2982">
        <v>0.50557079999999999</v>
      </c>
      <c r="F2982" t="s">
        <v>54</v>
      </c>
      <c r="G2982">
        <v>-351.98919999999998</v>
      </c>
      <c r="H2982" s="1">
        <v>-3.5374819999999998E-7</v>
      </c>
      <c r="I2982">
        <v>211.76849999999999</v>
      </c>
      <c r="J2982">
        <v>-368.0557</v>
      </c>
      <c r="K2982">
        <v>1.109423</v>
      </c>
      <c r="L2982">
        <v>213.9751</v>
      </c>
      <c r="M2982">
        <v>0.99967660000000003</v>
      </c>
      <c r="N2982">
        <v>0</v>
      </c>
      <c r="O2982">
        <v>2.4539620000000002E-2</v>
      </c>
      <c r="P2982">
        <v>0.9910544</v>
      </c>
      <c r="Q2982">
        <v>6.2227110000000002E-2</v>
      </c>
      <c r="R2982">
        <v>-0.1180645</v>
      </c>
      <c r="S2982">
        <v>2.992035</v>
      </c>
      <c r="T2982">
        <v>-0.2024668</v>
      </c>
      <c r="U2982">
        <v>-0.40126040000000002</v>
      </c>
      <c r="V2982">
        <v>0.142363299999999</v>
      </c>
      <c r="W2982">
        <v>6.8800260000000002E-2</v>
      </c>
      <c r="X2982">
        <v>0.98742050000000003</v>
      </c>
      <c r="Y2982">
        <v>0.15679419999999999</v>
      </c>
      <c r="Z2982">
        <v>-6.927318E-3</v>
      </c>
      <c r="AA2982">
        <v>0.98760700000000001</v>
      </c>
      <c r="AB2982">
        <v>35</v>
      </c>
      <c r="AC2982">
        <v>16.066500000000001</v>
      </c>
      <c r="AD2982">
        <v>-1.1094233537481999</v>
      </c>
      <c r="AE2982">
        <v>-2.2065999999999999</v>
      </c>
      <c r="AF2982">
        <v>2.5880980145122199</v>
      </c>
      <c r="AG2982">
        <v>-1.1094233537481999</v>
      </c>
      <c r="AH2982">
        <v>15.932946596908801</v>
      </c>
      <c r="AI2982">
        <v>93.931751729923803</v>
      </c>
      <c r="AJ2982">
        <v>80.773637679573795</v>
      </c>
      <c r="AK2982">
        <v>16.179859664734799</v>
      </c>
      <c r="AL2982">
        <v>86.054919020925595</v>
      </c>
      <c r="AM2982">
        <v>81.795803025120406</v>
      </c>
      <c r="AN2982">
        <v>1.0000000143915999</v>
      </c>
    </row>
    <row r="2983" spans="1:40" x14ac:dyDescent="0.25">
      <c r="A2983" t="str">
        <f>"20190312151330123"</f>
        <v>20190312151330123</v>
      </c>
      <c r="B2983" t="str">
        <f>"1552374810113619"</f>
        <v>1552374810113619</v>
      </c>
      <c r="C2983" t="s">
        <v>40</v>
      </c>
      <c r="D2983">
        <v>4.8218540000000001</v>
      </c>
      <c r="E2983">
        <v>0.50538839999999996</v>
      </c>
      <c r="F2983" t="s">
        <v>54</v>
      </c>
      <c r="G2983">
        <v>-352.06920000000002</v>
      </c>
      <c r="H2983" s="1">
        <v>-3.1432939999999998E-7</v>
      </c>
      <c r="I2983">
        <v>211.8398</v>
      </c>
      <c r="J2983">
        <v>-367.69979999999998</v>
      </c>
      <c r="K2983">
        <v>1.109488</v>
      </c>
      <c r="L2983">
        <v>213.9837</v>
      </c>
      <c r="M2983">
        <v>0.99967470000000003</v>
      </c>
      <c r="N2983">
        <v>0</v>
      </c>
      <c r="O2983">
        <v>2.445603E-2</v>
      </c>
      <c r="P2983">
        <v>0.99107440000000002</v>
      </c>
      <c r="Q2983">
        <v>6.1959640000000003E-2</v>
      </c>
      <c r="R2983">
        <v>-0.1180365</v>
      </c>
      <c r="S2983">
        <v>2.9925229999999998</v>
      </c>
      <c r="T2983">
        <v>-0.2076731</v>
      </c>
      <c r="U2983">
        <v>-0.39968870000000001</v>
      </c>
      <c r="V2983">
        <v>0.1422533</v>
      </c>
      <c r="W2983">
        <v>6.9074239999999995E-2</v>
      </c>
      <c r="X2983">
        <v>0.98741719999999999</v>
      </c>
      <c r="Y2983">
        <v>0.15616150000000001</v>
      </c>
      <c r="Z2983">
        <v>-7.0765289999999998E-3</v>
      </c>
      <c r="AA2983">
        <v>0.98770619999999998</v>
      </c>
      <c r="AB2983">
        <v>35</v>
      </c>
      <c r="AC2983">
        <v>15.6305999999999</v>
      </c>
      <c r="AD2983">
        <v>-1.1094883143293901</v>
      </c>
      <c r="AE2983">
        <v>-2.1438999999999999</v>
      </c>
      <c r="AF2983">
        <v>2.51310292786432</v>
      </c>
      <c r="AG2983">
        <v>-1.1094883143293901</v>
      </c>
      <c r="AH2983">
        <v>15.4968542512038</v>
      </c>
      <c r="AI2983">
        <v>94.042439062699401</v>
      </c>
      <c r="AJ2983">
        <v>80.7886148800782</v>
      </c>
      <c r="AK2983">
        <v>15.738460608608699</v>
      </c>
      <c r="AL2983">
        <v>86.039183589995602</v>
      </c>
      <c r="AM2983">
        <v>81.802028948463402</v>
      </c>
      <c r="AN2983">
        <v>0.99999998942415302</v>
      </c>
    </row>
    <row r="2984" spans="1:40" x14ac:dyDescent="0.25">
      <c r="A2984" t="str">
        <f>"20190312151330148"</f>
        <v>20190312151330148</v>
      </c>
      <c r="B2984" t="str">
        <f>"1552374810142887"</f>
        <v>1552374810142887</v>
      </c>
      <c r="C2984" t="s">
        <v>40</v>
      </c>
      <c r="D2984">
        <v>4.9152310000000003</v>
      </c>
      <c r="E2984">
        <v>0.50526289999999996</v>
      </c>
      <c r="F2984" t="s">
        <v>54</v>
      </c>
      <c r="G2984">
        <v>-351.98340000000002</v>
      </c>
      <c r="H2984" s="1">
        <v>-3.6228650000000001E-7</v>
      </c>
      <c r="I2984">
        <v>211.89250000000001</v>
      </c>
      <c r="J2984">
        <v>-367.33109999999999</v>
      </c>
      <c r="K2984">
        <v>1.1095269999999999</v>
      </c>
      <c r="L2984">
        <v>213.99270000000001</v>
      </c>
      <c r="M2984">
        <v>0.99967309999999998</v>
      </c>
      <c r="N2984">
        <v>0</v>
      </c>
      <c r="O2984">
        <v>2.437139E-2</v>
      </c>
      <c r="P2984">
        <v>0.9910312</v>
      </c>
      <c r="Q2984">
        <v>6.1791730000000003E-2</v>
      </c>
      <c r="R2984">
        <v>-0.1184871</v>
      </c>
      <c r="S2984">
        <v>2.9927980000000001</v>
      </c>
      <c r="T2984">
        <v>-0.2112743</v>
      </c>
      <c r="U2984">
        <v>-0.39820860000000002</v>
      </c>
      <c r="V2984">
        <v>0.14261960000000001</v>
      </c>
      <c r="W2984">
        <v>6.9424840000000002E-2</v>
      </c>
      <c r="X2984">
        <v>0.98733979999999999</v>
      </c>
      <c r="Y2984">
        <v>0.15557289999999999</v>
      </c>
      <c r="Z2984">
        <v>-7.1719219999999998E-3</v>
      </c>
      <c r="AA2984">
        <v>0.98779839999999997</v>
      </c>
      <c r="AB2984">
        <v>35</v>
      </c>
      <c r="AC2984">
        <v>15.3476999999999</v>
      </c>
      <c r="AD2984">
        <v>-1.1095273622865001</v>
      </c>
      <c r="AE2984">
        <v>-2.1002000000000001</v>
      </c>
      <c r="AF2984">
        <v>2.46100670464936</v>
      </c>
      <c r="AG2984">
        <v>-1.1095273622865001</v>
      </c>
      <c r="AH2984">
        <v>15.213904730363099</v>
      </c>
      <c r="AI2984">
        <v>94.117773269507097</v>
      </c>
      <c r="AJ2984">
        <v>80.811406579526405</v>
      </c>
      <c r="AK2984">
        <v>15.451553388334601</v>
      </c>
      <c r="AL2984">
        <v>86.019047470374701</v>
      </c>
      <c r="AM2984">
        <v>81.780571836955602</v>
      </c>
      <c r="AN2984">
        <v>1.0000000196886101</v>
      </c>
    </row>
    <row r="2985" spans="1:40" x14ac:dyDescent="0.25">
      <c r="A2985" t="str">
        <f>"20190312151330170"</f>
        <v>20190312151330170</v>
      </c>
      <c r="B2985" t="str">
        <f>"1552374810163383"</f>
        <v>1552374810163383</v>
      </c>
      <c r="C2985" t="s">
        <v>40</v>
      </c>
      <c r="D2985">
        <v>4.934876</v>
      </c>
      <c r="E2985">
        <v>0.50520739999999997</v>
      </c>
      <c r="F2985" t="s">
        <v>54</v>
      </c>
      <c r="G2985">
        <v>-351.3347</v>
      </c>
      <c r="H2985" s="1">
        <v>-7.0616379999999999E-7</v>
      </c>
      <c r="I2985">
        <v>211.86259999999999</v>
      </c>
      <c r="J2985">
        <v>-366.98059999999998</v>
      </c>
      <c r="K2985">
        <v>1.1095549999999901</v>
      </c>
      <c r="L2985">
        <v>214.00110000000001</v>
      </c>
      <c r="M2985">
        <v>0.99967119999999998</v>
      </c>
      <c r="N2985">
        <v>0</v>
      </c>
      <c r="O2985">
        <v>2.4292790000000002E-2</v>
      </c>
      <c r="P2985">
        <v>0.99095009999999994</v>
      </c>
      <c r="Q2985">
        <v>6.1652020000000002E-2</v>
      </c>
      <c r="R2985">
        <v>-0.11923549999999999</v>
      </c>
      <c r="S2985">
        <v>2.9924620000000002</v>
      </c>
      <c r="T2985">
        <v>-0.20756050000000001</v>
      </c>
      <c r="U2985">
        <v>-0.39846799999999999</v>
      </c>
      <c r="V2985">
        <v>0.14328869999999999</v>
      </c>
      <c r="W2985">
        <v>6.9736409999999999E-2</v>
      </c>
      <c r="X2985">
        <v>0.98722089999999996</v>
      </c>
      <c r="Y2985">
        <v>0.15560929999999901</v>
      </c>
      <c r="Z2985">
        <v>-7.0427349999999996E-3</v>
      </c>
      <c r="AA2985">
        <v>0.98779360000000005</v>
      </c>
      <c r="AB2985">
        <v>35</v>
      </c>
      <c r="AC2985">
        <v>15.6458999999999</v>
      </c>
      <c r="AD2985">
        <v>-1.1095557061637999</v>
      </c>
      <c r="AE2985">
        <v>-2.1385000000000201</v>
      </c>
      <c r="AF2985">
        <v>2.5055942312136601</v>
      </c>
      <c r="AG2985">
        <v>-1.1095557061637999</v>
      </c>
      <c r="AH2985">
        <v>15.5127448707831</v>
      </c>
      <c r="AI2985">
        <v>94.038969095160198</v>
      </c>
      <c r="AJ2985">
        <v>80.824915073076397</v>
      </c>
      <c r="AK2985">
        <v>15.752916229783599</v>
      </c>
      <c r="AL2985">
        <v>86.001152221621297</v>
      </c>
      <c r="AM2985">
        <v>81.741560109975296</v>
      </c>
      <c r="AN2985">
        <v>0.99999996191209295</v>
      </c>
    </row>
    <row r="2986" spans="1:40" x14ac:dyDescent="0.25">
      <c r="A2986" t="str">
        <f>"20190312151330192"</f>
        <v>20190312151330192</v>
      </c>
      <c r="B2986" t="str">
        <f>"1552374810182904"</f>
        <v>1552374810182904</v>
      </c>
      <c r="C2986" t="s">
        <v>40</v>
      </c>
      <c r="D2986">
        <v>4.985106</v>
      </c>
      <c r="E2986">
        <v>0.5049728</v>
      </c>
      <c r="F2986" t="s">
        <v>54</v>
      </c>
      <c r="G2986">
        <v>-350.84359999999998</v>
      </c>
      <c r="H2986" s="1">
        <v>-9.6657030000000003E-7</v>
      </c>
      <c r="I2986">
        <v>211.84119999999999</v>
      </c>
      <c r="J2986">
        <v>-366.63600000000002</v>
      </c>
      <c r="K2986">
        <v>1.1095710000000001</v>
      </c>
      <c r="L2986">
        <v>214.0094</v>
      </c>
      <c r="M2986">
        <v>0.99966960000000005</v>
      </c>
      <c r="N2986">
        <v>0</v>
      </c>
      <c r="O2986">
        <v>2.4215359999999998E-2</v>
      </c>
      <c r="P2986">
        <v>0.99087670000000005</v>
      </c>
      <c r="Q2986">
        <v>6.154548E-2</v>
      </c>
      <c r="R2986">
        <v>-0.1198987</v>
      </c>
      <c r="S2986">
        <v>2.9920040000000001</v>
      </c>
      <c r="T2986">
        <v>-0.2057253</v>
      </c>
      <c r="U2986">
        <v>-0.40046690000000001</v>
      </c>
      <c r="V2986">
        <v>0.1438739</v>
      </c>
      <c r="W2986">
        <v>7.0032750000000005E-2</v>
      </c>
      <c r="X2986">
        <v>0.98711479999999996</v>
      </c>
      <c r="Y2986">
        <v>0.15620719999999999</v>
      </c>
      <c r="Z2986">
        <v>-6.9965110000000004E-3</v>
      </c>
      <c r="AA2986">
        <v>0.98769949999999995</v>
      </c>
      <c r="AB2986">
        <v>35</v>
      </c>
      <c r="AC2986">
        <v>15.792399999999899</v>
      </c>
      <c r="AD2986">
        <v>-1.1095719665703001</v>
      </c>
      <c r="AE2986">
        <v>-2.1682000000000099</v>
      </c>
      <c r="AF2986">
        <v>2.5377015510938499</v>
      </c>
      <c r="AG2986">
        <v>-1.1095719665703001</v>
      </c>
      <c r="AH2986">
        <v>15.6593914390014</v>
      </c>
      <c r="AI2986">
        <v>94.000988831108799</v>
      </c>
      <c r="AJ2986">
        <v>80.794888896434202</v>
      </c>
      <c r="AK2986">
        <v>15.9024406727802</v>
      </c>
      <c r="AL2986">
        <v>85.984131554897999</v>
      </c>
      <c r="AM2986">
        <v>81.707421298192401</v>
      </c>
      <c r="AN2986">
        <v>0.99999995677640496</v>
      </c>
    </row>
    <row r="2987" spans="1:40" x14ac:dyDescent="0.25">
      <c r="A2987" t="str">
        <f>"20190312151330213"</f>
        <v>20190312151330213</v>
      </c>
      <c r="B2987" t="str">
        <f>"1552374810203400"</f>
        <v>1552374810203400</v>
      </c>
      <c r="C2987" t="s">
        <v>40</v>
      </c>
      <c r="D2987">
        <v>4.8892989999999896</v>
      </c>
      <c r="E2987">
        <v>0.50496960000000002</v>
      </c>
      <c r="F2987" t="s">
        <v>54</v>
      </c>
      <c r="G2987">
        <v>-350.67340000000002</v>
      </c>
      <c r="H2987" s="1">
        <v>-1.0585150000000001E-6</v>
      </c>
      <c r="I2987">
        <v>211.87260000000001</v>
      </c>
      <c r="J2987">
        <v>-366.30790000000002</v>
      </c>
      <c r="K2987">
        <v>1.109583</v>
      </c>
      <c r="L2987">
        <v>214.0172</v>
      </c>
      <c r="M2987">
        <v>0.99966840000000001</v>
      </c>
      <c r="N2987">
        <v>0</v>
      </c>
      <c r="O2987">
        <v>2.4137769999999999E-2</v>
      </c>
      <c r="P2987">
        <v>0.99069249999999998</v>
      </c>
      <c r="Q2987">
        <v>6.2028590000000002E-2</v>
      </c>
      <c r="R2987">
        <v>-0.12116490000000001</v>
      </c>
      <c r="S2987">
        <v>2.9920650000000002</v>
      </c>
      <c r="T2987">
        <v>-0.20798079999999999</v>
      </c>
      <c r="U2987">
        <v>-0.400528</v>
      </c>
      <c r="V2987">
        <v>0.14505970000000001</v>
      </c>
      <c r="W2987">
        <v>7.0859430000000001E-2</v>
      </c>
      <c r="X2987">
        <v>0.98688229999999999</v>
      </c>
      <c r="Y2987">
        <v>0.1561389</v>
      </c>
      <c r="Z2987">
        <v>-7.0651619999999998E-3</v>
      </c>
      <c r="AA2987">
        <v>0.98770979999999997</v>
      </c>
      <c r="AB2987">
        <v>35</v>
      </c>
      <c r="AC2987">
        <v>15.634499999999999</v>
      </c>
      <c r="AD2987">
        <v>-1.1095840585150001</v>
      </c>
      <c r="AE2987">
        <v>-2.1445999999999898</v>
      </c>
      <c r="AF2987">
        <v>2.50896853082231</v>
      </c>
      <c r="AG2987">
        <v>-1.1095840585150001</v>
      </c>
      <c r="AH2987">
        <v>15.501540666380199</v>
      </c>
      <c r="AI2987">
        <v>94.041769376177697</v>
      </c>
      <c r="AJ2987">
        <v>80.806242509588301</v>
      </c>
      <c r="AK2987">
        <v>15.7424223962834</v>
      </c>
      <c r="AL2987">
        <v>85.936648585049198</v>
      </c>
      <c r="AM2987">
        <v>81.638094744041794</v>
      </c>
      <c r="AN2987">
        <v>1.00000002471865</v>
      </c>
    </row>
    <row r="2988" spans="1:40" x14ac:dyDescent="0.25">
      <c r="A2988" t="str">
        <f>"20190312151330235"</f>
        <v>20190312151330235</v>
      </c>
      <c r="B2988" t="str">
        <f>"1552374810222919"</f>
        <v>1552374810222919</v>
      </c>
      <c r="C2988" t="s">
        <v>40</v>
      </c>
      <c r="D2988">
        <v>4.8303719999999997</v>
      </c>
      <c r="E2988">
        <v>0.50496289999999999</v>
      </c>
      <c r="F2988" t="s">
        <v>54</v>
      </c>
      <c r="G2988">
        <v>-350.35019999999997</v>
      </c>
      <c r="H2988" s="1">
        <v>-1.2299150000000001E-6</v>
      </c>
      <c r="I2988">
        <v>211.8595</v>
      </c>
      <c r="J2988">
        <v>-365.96679999999998</v>
      </c>
      <c r="K2988">
        <v>1.1095820000000001</v>
      </c>
      <c r="L2988">
        <v>214.02539999999999</v>
      </c>
      <c r="M2988">
        <v>0.99966750000000004</v>
      </c>
      <c r="N2988">
        <v>0</v>
      </c>
      <c r="O2988">
        <v>2.4048880000000002E-2</v>
      </c>
      <c r="P2988">
        <v>0.99054010000000003</v>
      </c>
      <c r="Q2988">
        <v>6.206354E-2</v>
      </c>
      <c r="R2988">
        <v>-0.12238640000000001</v>
      </c>
      <c r="S2988">
        <v>2.99173</v>
      </c>
      <c r="T2988">
        <v>-0.20802380000000001</v>
      </c>
      <c r="U2988">
        <v>-0.40454099999999998</v>
      </c>
      <c r="V2988">
        <v>0.1461904</v>
      </c>
      <c r="W2988">
        <v>7.1214260000000001E-2</v>
      </c>
      <c r="X2988">
        <v>0.98668990000000001</v>
      </c>
      <c r="Y2988">
        <v>0.157364</v>
      </c>
      <c r="Z2988">
        <v>-7.10299E-3</v>
      </c>
      <c r="AA2988">
        <v>0.98751520000000004</v>
      </c>
      <c r="AB2988">
        <v>35</v>
      </c>
      <c r="AC2988">
        <v>15.6166</v>
      </c>
      <c r="AD2988">
        <v>-1.1095832299149999</v>
      </c>
      <c r="AE2988">
        <v>-2.1658999999999899</v>
      </c>
      <c r="AF2988">
        <v>2.5283285991574198</v>
      </c>
      <c r="AG2988">
        <v>-1.1095832299149999</v>
      </c>
      <c r="AH2988">
        <v>15.4833038172636</v>
      </c>
      <c r="AI2988">
        <v>94.045590715937294</v>
      </c>
      <c r="AJ2988">
        <v>80.725804137571799</v>
      </c>
      <c r="AK2988">
        <v>15.727565531483799</v>
      </c>
      <c r="AL2988">
        <v>85.9162668604299</v>
      </c>
      <c r="AM2988">
        <v>81.572228743839403</v>
      </c>
      <c r="AN2988">
        <v>1.00000003132075</v>
      </c>
    </row>
    <row r="2989" spans="1:40" x14ac:dyDescent="0.25">
      <c r="A2989" t="str">
        <f>"20190312151330258"</f>
        <v>20190312151330258</v>
      </c>
      <c r="B2989" t="str">
        <f>"1552374810253176"</f>
        <v>1552374810253176</v>
      </c>
      <c r="C2989" t="s">
        <v>40</v>
      </c>
      <c r="D2989">
        <v>5.0238620000000003</v>
      </c>
      <c r="E2989">
        <v>0.50479839999999998</v>
      </c>
      <c r="F2989" t="s">
        <v>54</v>
      </c>
      <c r="G2989">
        <v>-350.2022</v>
      </c>
      <c r="H2989" s="1">
        <v>-1.3093530000000001E-6</v>
      </c>
      <c r="I2989">
        <v>211.87450000000001</v>
      </c>
      <c r="J2989">
        <v>-365.61930000000001</v>
      </c>
      <c r="K2989">
        <v>1.109577</v>
      </c>
      <c r="L2989">
        <v>214.03370000000001</v>
      </c>
      <c r="M2989">
        <v>0.99966719999999998</v>
      </c>
      <c r="N2989">
        <v>0</v>
      </c>
      <c r="O2989">
        <v>2.3946209999999999E-2</v>
      </c>
      <c r="P2989">
        <v>0.99035320000000004</v>
      </c>
      <c r="Q2989">
        <v>6.228504E-2</v>
      </c>
      <c r="R2989">
        <v>-0.12378069999999999</v>
      </c>
      <c r="S2989">
        <v>2.991425</v>
      </c>
      <c r="T2989">
        <v>-0.21055009999999999</v>
      </c>
      <c r="U2989">
        <v>-0.40814210000000001</v>
      </c>
      <c r="V2989">
        <v>0.147479799999999</v>
      </c>
      <c r="W2989">
        <v>7.1726970000000001E-2</v>
      </c>
      <c r="X2989">
        <v>0.98646080000000003</v>
      </c>
      <c r="Y2989">
        <v>0.1584303</v>
      </c>
      <c r="Z2989">
        <v>-7.2193169999999899E-3</v>
      </c>
      <c r="AA2989">
        <v>0.98734379999999999</v>
      </c>
      <c r="AB2989">
        <v>35</v>
      </c>
      <c r="AC2989">
        <v>15.4171</v>
      </c>
      <c r="AD2989">
        <v>-1.1095783093529901</v>
      </c>
      <c r="AE2989">
        <v>-2.15919999999999</v>
      </c>
      <c r="AF2989">
        <v>2.5150023705628102</v>
      </c>
      <c r="AG2989">
        <v>-1.1095783093529901</v>
      </c>
      <c r="AH2989">
        <v>15.283330435145301</v>
      </c>
      <c r="AI2989">
        <v>94.097503069919497</v>
      </c>
      <c r="AJ2989">
        <v>80.655240698808001</v>
      </c>
      <c r="AK2989">
        <v>15.5285733452356</v>
      </c>
      <c r="AL2989">
        <v>85.886815213586303</v>
      </c>
      <c r="AM2989">
        <v>81.497031780078302</v>
      </c>
      <c r="AN2989">
        <v>0.99999997978502997</v>
      </c>
    </row>
    <row r="2990" spans="1:40" x14ac:dyDescent="0.25">
      <c r="A2990" t="str">
        <f>"20190312151330279"</f>
        <v>20190312151330279</v>
      </c>
      <c r="B2990" t="str">
        <f>"1552374810272695"</f>
        <v>1552374810272695</v>
      </c>
      <c r="C2990" t="s">
        <v>40</v>
      </c>
      <c r="D2990">
        <v>4.877955</v>
      </c>
      <c r="E2990">
        <v>0.50486759999999997</v>
      </c>
      <c r="F2990" t="s">
        <v>54</v>
      </c>
      <c r="G2990">
        <v>-350.02839999999998</v>
      </c>
      <c r="H2990" s="1">
        <v>-1.4025549999999999E-6</v>
      </c>
      <c r="I2990">
        <v>211.8904</v>
      </c>
      <c r="J2990">
        <v>-365.27789999999999</v>
      </c>
      <c r="K2990">
        <v>1.1095759999999999</v>
      </c>
      <c r="L2990">
        <v>214.04169999999999</v>
      </c>
      <c r="M2990">
        <v>0.99966739999999998</v>
      </c>
      <c r="N2990">
        <v>0</v>
      </c>
      <c r="O2990">
        <v>2.3829619999999999E-2</v>
      </c>
      <c r="P2990">
        <v>0.99016740000000003</v>
      </c>
      <c r="Q2990">
        <v>6.2660279999999999E-2</v>
      </c>
      <c r="R2990">
        <v>-0.1250703</v>
      </c>
      <c r="S2990">
        <v>2.9912109999999998</v>
      </c>
      <c r="T2990">
        <v>-0.21287880000000001</v>
      </c>
      <c r="U2990">
        <v>-0.4111938</v>
      </c>
      <c r="V2990">
        <v>0.14865159999999999</v>
      </c>
      <c r="W2990">
        <v>7.2355230000000006E-2</v>
      </c>
      <c r="X2990">
        <v>0.98623899999999998</v>
      </c>
      <c r="Y2990">
        <v>0.15930169999999999</v>
      </c>
      <c r="Z2990">
        <v>-7.3215629999999997E-3</v>
      </c>
      <c r="AA2990">
        <v>0.98720280000000005</v>
      </c>
      <c r="AB2990">
        <v>35</v>
      </c>
      <c r="AC2990">
        <v>15.249499999999999</v>
      </c>
      <c r="AD2990">
        <v>-1.109577402555</v>
      </c>
      <c r="AE2990">
        <v>-2.1512999999999902</v>
      </c>
      <c r="AF2990">
        <v>2.5011133849584199</v>
      </c>
      <c r="AG2990">
        <v>-1.109577402555</v>
      </c>
      <c r="AH2990">
        <v>15.1154388145897</v>
      </c>
      <c r="AI2990">
        <v>94.142251513542703</v>
      </c>
      <c r="AJ2990">
        <v>80.604542798842104</v>
      </c>
      <c r="AK2990">
        <v>15.3610943859572</v>
      </c>
      <c r="AL2990">
        <v>85.850724755535197</v>
      </c>
      <c r="AM2990">
        <v>81.428572066434796</v>
      </c>
      <c r="AN2990">
        <v>0.99999997130595597</v>
      </c>
    </row>
    <row r="2991" spans="1:40" x14ac:dyDescent="0.25">
      <c r="A2991" t="str">
        <f>"20190312151330302"</f>
        <v>20190312151330302</v>
      </c>
      <c r="B2991" t="str">
        <f>"1552374810293191"</f>
        <v>1552374810293191</v>
      </c>
      <c r="C2991" t="s">
        <v>40</v>
      </c>
      <c r="D2991">
        <v>4.8290959999999998</v>
      </c>
      <c r="E2991">
        <v>0.50500540000000005</v>
      </c>
      <c r="F2991" t="s">
        <v>54</v>
      </c>
      <c r="G2991">
        <v>-349.7527</v>
      </c>
      <c r="H2991" s="1">
        <v>3.6531339999999999E-6</v>
      </c>
      <c r="I2991">
        <v>211.8827</v>
      </c>
      <c r="J2991">
        <v>-364.92219999999998</v>
      </c>
      <c r="K2991">
        <v>1.109569</v>
      </c>
      <c r="L2991">
        <v>214.05</v>
      </c>
      <c r="M2991">
        <v>0.99966820000000001</v>
      </c>
      <c r="N2991">
        <v>0</v>
      </c>
      <c r="O2991">
        <v>2.368671E-2</v>
      </c>
      <c r="P2991">
        <v>0.9899964</v>
      </c>
      <c r="Q2991">
        <v>6.252547E-2</v>
      </c>
      <c r="R2991">
        <v>-0.12648299999999901</v>
      </c>
      <c r="S2991">
        <v>2.9907530000000002</v>
      </c>
      <c r="T2991">
        <v>-0.2137471</v>
      </c>
      <c r="U2991">
        <v>-0.41590880000000002</v>
      </c>
      <c r="V2991">
        <v>0.14992179999999999</v>
      </c>
      <c r="W2991">
        <v>7.2450819999999999E-2</v>
      </c>
      <c r="X2991">
        <v>0.98603969999999996</v>
      </c>
      <c r="Y2991">
        <v>0.16070110000000001</v>
      </c>
      <c r="Z2991">
        <v>-7.3912350000000003E-3</v>
      </c>
      <c r="AA2991">
        <v>0.98697539999999995</v>
      </c>
      <c r="AB2991">
        <v>35</v>
      </c>
      <c r="AC2991">
        <v>15.1694999999999</v>
      </c>
      <c r="AD2991">
        <v>-1.1095653468660001</v>
      </c>
      <c r="AE2991">
        <v>-2.1673000000000102</v>
      </c>
      <c r="AF2991">
        <v>2.51285070304924</v>
      </c>
      <c r="AG2991">
        <v>-1.1095653468660001</v>
      </c>
      <c r="AH2991">
        <v>15.035074350950101</v>
      </c>
      <c r="AI2991">
        <v>94.163151636625898</v>
      </c>
      <c r="AJ2991">
        <v>80.5117066074897</v>
      </c>
      <c r="AK2991">
        <v>15.2839463049757</v>
      </c>
      <c r="AL2991">
        <v>85.845233470411301</v>
      </c>
      <c r="AM2991">
        <v>81.354711778608007</v>
      </c>
      <c r="AN2991">
        <v>0.99999997870500001</v>
      </c>
    </row>
    <row r="2992" spans="1:40" x14ac:dyDescent="0.25">
      <c r="A2992" t="str">
        <f>"20190312151330324"</f>
        <v>20190312151330324</v>
      </c>
      <c r="B2992" t="str">
        <f>"1552374810312711"</f>
        <v>1552374810312711</v>
      </c>
      <c r="C2992" t="s">
        <v>40</v>
      </c>
      <c r="D2992">
        <v>4.8173430000000002</v>
      </c>
      <c r="E2992">
        <v>0.50508549999999997</v>
      </c>
      <c r="F2992" t="s">
        <v>54</v>
      </c>
      <c r="G2992">
        <v>-349.54509999999999</v>
      </c>
      <c r="H2992" s="1">
        <v>3.5426289999999999E-6</v>
      </c>
      <c r="I2992">
        <v>211.88419999999999</v>
      </c>
      <c r="J2992">
        <v>-364.58300000000003</v>
      </c>
      <c r="K2992">
        <v>1.109553</v>
      </c>
      <c r="L2992">
        <v>214.05789999999999</v>
      </c>
      <c r="M2992">
        <v>0.99967010000000001</v>
      </c>
      <c r="N2992">
        <v>0</v>
      </c>
      <c r="O2992">
        <v>2.3524130000000001E-2</v>
      </c>
      <c r="P2992">
        <v>0.98977959999999998</v>
      </c>
      <c r="Q2992">
        <v>6.2404349999999997E-2</v>
      </c>
      <c r="R2992">
        <v>-0.12822729999999999</v>
      </c>
      <c r="S2992">
        <v>2.9902039999999999</v>
      </c>
      <c r="T2992">
        <v>-0.2157637</v>
      </c>
      <c r="U2992">
        <v>-0.42117310000000002</v>
      </c>
      <c r="V2992">
        <v>0.1515039</v>
      </c>
      <c r="W2992">
        <v>7.2518360000000004E-2</v>
      </c>
      <c r="X2992">
        <v>0.98579289999999997</v>
      </c>
      <c r="Y2992">
        <v>0.16225709999999999</v>
      </c>
      <c r="Z2992">
        <v>-7.5053749999999999E-3</v>
      </c>
      <c r="AA2992">
        <v>0.98672000000000004</v>
      </c>
      <c r="AB2992">
        <v>35</v>
      </c>
      <c r="AC2992">
        <v>15.0379</v>
      </c>
      <c r="AD2992">
        <v>-1.1095494573710001</v>
      </c>
      <c r="AE2992">
        <v>-2.17369999999999</v>
      </c>
      <c r="AF2992">
        <v>2.5134674334683602</v>
      </c>
      <c r="AG2992">
        <v>-1.1095494573710001</v>
      </c>
      <c r="AH2992">
        <v>14.9031287089337</v>
      </c>
      <c r="AI2992">
        <v>94.198779784171606</v>
      </c>
      <c r="AJ2992">
        <v>80.426943341412397</v>
      </c>
      <c r="AK2992">
        <v>15.154268832659101</v>
      </c>
      <c r="AL2992">
        <v>85.841353566695204</v>
      </c>
      <c r="AM2992">
        <v>81.262726274997604</v>
      </c>
      <c r="AN2992">
        <v>0.999999992971354</v>
      </c>
    </row>
    <row r="2993" spans="1:40" x14ac:dyDescent="0.25">
      <c r="A2993" t="str">
        <f>"20190312151330348"</f>
        <v>20190312151330348</v>
      </c>
      <c r="B2993" t="str">
        <f>"1552374810342967"</f>
        <v>1552374810342967</v>
      </c>
      <c r="C2993" t="s">
        <v>40</v>
      </c>
      <c r="D2993">
        <v>4.8851100000000001</v>
      </c>
      <c r="E2993">
        <v>0.53405440000000004</v>
      </c>
      <c r="F2993" t="s">
        <v>54</v>
      </c>
      <c r="G2993">
        <v>-349.3116</v>
      </c>
      <c r="H2993" s="1">
        <v>3.4183689999999999E-6</v>
      </c>
      <c r="I2993">
        <v>211.87530000000001</v>
      </c>
      <c r="J2993">
        <v>-364.21769999999998</v>
      </c>
      <c r="K2993">
        <v>1.109521</v>
      </c>
      <c r="L2993">
        <v>214.06630000000001</v>
      </c>
      <c r="M2993">
        <v>0.99967300000000003</v>
      </c>
      <c r="N2993">
        <v>0</v>
      </c>
      <c r="O2993">
        <v>2.3313650000000002E-2</v>
      </c>
      <c r="P2993">
        <v>0.98960060000000005</v>
      </c>
      <c r="Q2993">
        <v>6.2578289999999995E-2</v>
      </c>
      <c r="R2993">
        <v>-0.12951669999999901</v>
      </c>
      <c r="S2993">
        <v>2.9893489999999998</v>
      </c>
      <c r="T2993">
        <v>-0.21719189999999999</v>
      </c>
      <c r="U2993">
        <v>-0.42724609999999902</v>
      </c>
      <c r="V2993">
        <v>0.1525861</v>
      </c>
      <c r="W2993">
        <v>7.2865529999999998E-2</v>
      </c>
      <c r="X2993">
        <v>0.98560040000000004</v>
      </c>
      <c r="Y2993">
        <v>0.16404260000000001</v>
      </c>
      <c r="Z2993">
        <v>-7.605255E-3</v>
      </c>
      <c r="AA2993">
        <v>0.98642390000000002</v>
      </c>
      <c r="AB2993">
        <v>35</v>
      </c>
      <c r="AC2993">
        <v>14.906099999999901</v>
      </c>
      <c r="AD2993">
        <v>-1.1095175816309999</v>
      </c>
      <c r="AE2993">
        <v>-2.1909999999999998</v>
      </c>
      <c r="AF2993">
        <v>2.5242496351024699</v>
      </c>
      <c r="AG2993">
        <v>-1.1095175816309999</v>
      </c>
      <c r="AH2993">
        <v>14.7708594212221</v>
      </c>
      <c r="AI2993">
        <v>94.234561259872393</v>
      </c>
      <c r="AJ2993">
        <v>80.302184456500399</v>
      </c>
      <c r="AK2993">
        <v>15.0260158899746</v>
      </c>
      <c r="AL2993">
        <v>85.821409565239193</v>
      </c>
      <c r="AM2993">
        <v>81.199597102350594</v>
      </c>
      <c r="AN2993">
        <v>1.0000000259277699</v>
      </c>
    </row>
    <row r="2994" spans="1:40" x14ac:dyDescent="0.25">
      <c r="A2994" t="str">
        <f>"20190312151330371"</f>
        <v>20190312151330371</v>
      </c>
      <c r="B2994" t="str">
        <f>"1552374810363463"</f>
        <v>1552374810363463</v>
      </c>
      <c r="C2994" t="s">
        <v>40</v>
      </c>
      <c r="D2994">
        <v>4.888566</v>
      </c>
      <c r="E2994">
        <v>0.54288099999999995</v>
      </c>
      <c r="F2994" t="s">
        <v>54</v>
      </c>
      <c r="G2994">
        <v>-349.00130000000001</v>
      </c>
      <c r="H2994" s="1">
        <v>3.2532250000000001E-6</v>
      </c>
      <c r="I2994">
        <v>210.6695</v>
      </c>
      <c r="J2994">
        <v>-363.85610000000003</v>
      </c>
      <c r="K2994">
        <v>1.1094949999999999</v>
      </c>
      <c r="L2994">
        <v>214.0745</v>
      </c>
      <c r="M2994">
        <v>0.99967709999999999</v>
      </c>
      <c r="N2994">
        <v>0</v>
      </c>
      <c r="O2994">
        <v>2.306894E-2</v>
      </c>
      <c r="P2994">
        <v>0.98942269999999999</v>
      </c>
      <c r="Q2994">
        <v>6.2644069999999996E-2</v>
      </c>
      <c r="R2994">
        <v>-0.1308375</v>
      </c>
      <c r="S2994">
        <v>2.958771</v>
      </c>
      <c r="T2994">
        <v>-0.2157414</v>
      </c>
      <c r="U2994">
        <v>-0.66049190000000002</v>
      </c>
      <c r="V2994">
        <v>0.1536661</v>
      </c>
      <c r="W2994">
        <v>7.3077160000000002E-2</v>
      </c>
      <c r="X2994">
        <v>0.98541690000000004</v>
      </c>
      <c r="Y2994">
        <v>0.23966219999999999</v>
      </c>
      <c r="Z2994">
        <v>-1.0280890000000001E-2</v>
      </c>
      <c r="AA2994">
        <v>0.9708019</v>
      </c>
      <c r="AB2994">
        <v>35</v>
      </c>
      <c r="AC2994">
        <v>14.854799999999999</v>
      </c>
      <c r="AD2994">
        <v>-1.1094917467749901</v>
      </c>
      <c r="AE2994">
        <v>-3.4049999999999998</v>
      </c>
      <c r="AF2994">
        <v>3.7270443754589402</v>
      </c>
      <c r="AG2994">
        <v>-1.1094917467749901</v>
      </c>
      <c r="AH2994">
        <v>14.694411843363699</v>
      </c>
      <c r="AI2994">
        <v>94.185837825999101</v>
      </c>
      <c r="AJ2994">
        <v>75.767806085137494</v>
      </c>
      <c r="AK2994">
        <v>15.2002490484593</v>
      </c>
      <c r="AL2994">
        <v>85.809251555962305</v>
      </c>
      <c r="AM2994">
        <v>81.136669353523104</v>
      </c>
      <c r="AN2994">
        <v>1.0000000042042401</v>
      </c>
    </row>
    <row r="2995" spans="1:40" x14ac:dyDescent="0.25">
      <c r="A2995" t="str">
        <f>"20190312151330392"</f>
        <v>20190312151330392</v>
      </c>
      <c r="B2995" t="str">
        <f>"1552374810382984"</f>
        <v>1552374810382984</v>
      </c>
      <c r="C2995" t="s">
        <v>40</v>
      </c>
      <c r="D2995">
        <v>4.8551510000000002</v>
      </c>
      <c r="E2995">
        <v>0.5467147</v>
      </c>
      <c r="F2995" t="s">
        <v>54</v>
      </c>
      <c r="G2995">
        <v>-351.46480000000003</v>
      </c>
      <c r="H2995" s="1">
        <v>-5.9878279999999996E-7</v>
      </c>
      <c r="I2995">
        <v>210.99010000000001</v>
      </c>
      <c r="J2995">
        <v>-363.51639999999998</v>
      </c>
      <c r="K2995">
        <v>1.109472</v>
      </c>
      <c r="L2995">
        <v>214.0821</v>
      </c>
      <c r="M2995">
        <v>0.9996815</v>
      </c>
      <c r="N2995">
        <v>0</v>
      </c>
      <c r="O2995">
        <v>2.281275E-2</v>
      </c>
      <c r="P2995">
        <v>0.9891837</v>
      </c>
      <c r="Q2995">
        <v>6.2777570000000005E-2</v>
      </c>
      <c r="R2995">
        <v>-0.13257049999999901</v>
      </c>
      <c r="S2995">
        <v>2.9516909999999998</v>
      </c>
      <c r="T2995">
        <v>-0.26428950000000001</v>
      </c>
      <c r="U2995">
        <v>-0.73471070000000005</v>
      </c>
      <c r="V2995">
        <v>0.15514500000000001</v>
      </c>
      <c r="W2995">
        <v>7.3327790000000004E-2</v>
      </c>
      <c r="X2995">
        <v>0.98516649999999995</v>
      </c>
      <c r="Y2995">
        <v>0.26254080000000002</v>
      </c>
      <c r="Z2995">
        <v>-1.356449E-2</v>
      </c>
      <c r="AA2995">
        <v>0.96482559999999995</v>
      </c>
      <c r="AB2995">
        <v>35</v>
      </c>
      <c r="AC2995">
        <v>12.051599999999899</v>
      </c>
      <c r="AD2995">
        <v>-1.1094725987828</v>
      </c>
      <c r="AE2995">
        <v>-3.0919999999999801</v>
      </c>
      <c r="AF2995">
        <v>3.3395861199078798</v>
      </c>
      <c r="AG2995">
        <v>-1.1094725987828</v>
      </c>
      <c r="AH2995">
        <v>11.883429124710901</v>
      </c>
      <c r="AI2995">
        <v>95.136010139563794</v>
      </c>
      <c r="AJ2995">
        <v>74.303106333017197</v>
      </c>
      <c r="AK2995">
        <v>12.393532694988901</v>
      </c>
      <c r="AL2995">
        <v>85.794852800576706</v>
      </c>
      <c r="AM2995">
        <v>81.050503932812504</v>
      </c>
      <c r="AN2995">
        <v>0.99999998426676695</v>
      </c>
    </row>
    <row r="2996" spans="1:40" x14ac:dyDescent="0.25">
      <c r="A2996" t="str">
        <f>"20190312151330414"</f>
        <v>20190312151330414</v>
      </c>
      <c r="B2996" t="str">
        <f>"1552374810403479"</f>
        <v>1552374810403479</v>
      </c>
      <c r="C2996" t="s">
        <v>40</v>
      </c>
      <c r="D2996">
        <v>4.9013790000000004</v>
      </c>
      <c r="E2996">
        <v>0.5487358</v>
      </c>
      <c r="F2996" t="s">
        <v>54</v>
      </c>
      <c r="G2996">
        <v>-351.80149999999998</v>
      </c>
      <c r="H2996" s="1">
        <v>-4.209584E-7</v>
      </c>
      <c r="I2996">
        <v>211.0206</v>
      </c>
      <c r="J2996">
        <v>-363.18650000000002</v>
      </c>
      <c r="K2996">
        <v>1.1094580000000001</v>
      </c>
      <c r="L2996">
        <v>214.08930000000001</v>
      </c>
      <c r="M2996">
        <v>0.99968650000000003</v>
      </c>
      <c r="N2996">
        <v>0</v>
      </c>
      <c r="O2996">
        <v>2.253993E-2</v>
      </c>
      <c r="P2996">
        <v>0.98897900000000005</v>
      </c>
      <c r="Q2996">
        <v>6.3166169999999994E-2</v>
      </c>
      <c r="R2996">
        <v>-0.1339062</v>
      </c>
      <c r="S2996">
        <v>2.9472960000000001</v>
      </c>
      <c r="T2996">
        <v>-0.27912530000000002</v>
      </c>
      <c r="U2996">
        <v>-0.77020259999999996</v>
      </c>
      <c r="V2996">
        <v>0.15621079999999901</v>
      </c>
      <c r="W2996">
        <v>7.3817590000000002E-2</v>
      </c>
      <c r="X2996">
        <v>0.98496150000000005</v>
      </c>
      <c r="Y2996">
        <v>0.27333790000000002</v>
      </c>
      <c r="Z2996">
        <v>-1.479898E-2</v>
      </c>
      <c r="AA2996">
        <v>0.9618042</v>
      </c>
      <c r="AB2996">
        <v>35</v>
      </c>
      <c r="AC2996">
        <v>11.385</v>
      </c>
      <c r="AD2996">
        <v>-1.1094584209584</v>
      </c>
      <c r="AE2996">
        <v>-3.0687000000000002</v>
      </c>
      <c r="AF2996">
        <v>3.2953781848569998</v>
      </c>
      <c r="AG2996">
        <v>-1.1094584209584</v>
      </c>
      <c r="AH2996">
        <v>11.213658707295201</v>
      </c>
      <c r="AI2996">
        <v>95.422505064073803</v>
      </c>
      <c r="AJ2996">
        <v>73.623424485366002</v>
      </c>
      <c r="AK2996">
        <v>11.7403814662371</v>
      </c>
      <c r="AL2996">
        <v>85.766713146143601</v>
      </c>
      <c r="AM2996">
        <v>80.988184285345199</v>
      </c>
      <c r="AN2996">
        <v>1.00000000355614</v>
      </c>
    </row>
    <row r="2997" spans="1:40" x14ac:dyDescent="0.25">
      <c r="A2997" t="str">
        <f>"20190312151330436"</f>
        <v>20190312151330436</v>
      </c>
      <c r="B2997" t="str">
        <f>"1552374810432760"</f>
        <v>1552374810432760</v>
      </c>
      <c r="C2997" t="s">
        <v>40</v>
      </c>
      <c r="D2997">
        <v>4.8657110000000001</v>
      </c>
      <c r="E2997">
        <v>0.55085430000000002</v>
      </c>
      <c r="F2997" t="s">
        <v>54</v>
      </c>
      <c r="G2997">
        <v>-352.05990000000003</v>
      </c>
      <c r="H2997" s="1">
        <v>-2.8709340000000001E-7</v>
      </c>
      <c r="I2997">
        <v>211.10419999999999</v>
      </c>
      <c r="J2997">
        <v>-362.84199999999998</v>
      </c>
      <c r="K2997">
        <v>1.1094440000000001</v>
      </c>
      <c r="L2997">
        <v>214.0968</v>
      </c>
      <c r="M2997">
        <v>0.99969229999999998</v>
      </c>
      <c r="N2997">
        <v>0</v>
      </c>
      <c r="O2997">
        <v>2.223077E-2</v>
      </c>
      <c r="P2997">
        <v>0.98877660000000001</v>
      </c>
      <c r="Q2997">
        <v>6.3516009999999998E-2</v>
      </c>
      <c r="R2997">
        <v>-0.13523089999999999</v>
      </c>
      <c r="S2997">
        <v>2.9452210000000001</v>
      </c>
      <c r="T2997">
        <v>-0.29367399999999999</v>
      </c>
      <c r="U2997">
        <v>-0.79016109999999995</v>
      </c>
      <c r="V2997">
        <v>0.1572297</v>
      </c>
      <c r="W2997">
        <v>7.4267449999999999E-2</v>
      </c>
      <c r="X2997">
        <v>0.98476549999999996</v>
      </c>
      <c r="Y2997">
        <v>0.27913470000000001</v>
      </c>
      <c r="Z2997">
        <v>-1.581728E-2</v>
      </c>
      <c r="AA2997">
        <v>0.96012169999999997</v>
      </c>
      <c r="AB2997">
        <v>35</v>
      </c>
      <c r="AC2997">
        <v>10.7820999999999</v>
      </c>
      <c r="AD2997">
        <v>-1.10944428709339</v>
      </c>
      <c r="AE2997">
        <v>-2.9925999999999999</v>
      </c>
      <c r="AF2997">
        <v>3.2001106446843299</v>
      </c>
      <c r="AG2997">
        <v>-1.10944428709339</v>
      </c>
      <c r="AH2997">
        <v>10.608615543789</v>
      </c>
      <c r="AI2997">
        <v>95.7175936767851</v>
      </c>
      <c r="AJ2997">
        <v>73.213955308226005</v>
      </c>
      <c r="AK2997">
        <v>11.1361707296677</v>
      </c>
      <c r="AL2997">
        <v>85.740866941377703</v>
      </c>
      <c r="AM2997">
        <v>80.928602640231503</v>
      </c>
      <c r="AN2997">
        <v>0.99999996134091995</v>
      </c>
    </row>
    <row r="2998" spans="1:40" x14ac:dyDescent="0.25">
      <c r="A2998" t="str">
        <f>"20190312151330459"</f>
        <v>20190312151330459</v>
      </c>
      <c r="B2998" t="str">
        <f>"1552374810453255"</f>
        <v>1552374810453255</v>
      </c>
      <c r="C2998" t="s">
        <v>40</v>
      </c>
      <c r="D2998">
        <v>4.5658709999999996</v>
      </c>
      <c r="E2998">
        <v>0.55137709999999995</v>
      </c>
      <c r="F2998" t="s">
        <v>54</v>
      </c>
      <c r="G2998">
        <v>-352.01159999999999</v>
      </c>
      <c r="H2998" s="1">
        <v>-3.131246E-7</v>
      </c>
      <c r="I2998">
        <v>211.1113</v>
      </c>
      <c r="J2998">
        <v>-362.49279999999999</v>
      </c>
      <c r="K2998">
        <v>1.1094389999999901</v>
      </c>
      <c r="L2998">
        <v>214.10419999999999</v>
      </c>
      <c r="M2998">
        <v>0.99969830000000004</v>
      </c>
      <c r="N2998">
        <v>0</v>
      </c>
      <c r="O2998">
        <v>2.189787E-2</v>
      </c>
      <c r="P2998">
        <v>0.98857589999999995</v>
      </c>
      <c r="Q2998">
        <v>6.3391290000000003E-2</v>
      </c>
      <c r="R2998">
        <v>-0.13674620000000001</v>
      </c>
      <c r="S2998">
        <v>2.9424739999999998</v>
      </c>
      <c r="T2998">
        <v>-0.30142010000000002</v>
      </c>
      <c r="U2998">
        <v>-0.81109619999999905</v>
      </c>
      <c r="V2998">
        <v>0.158416</v>
      </c>
      <c r="W2998">
        <v>7.4245569999999997E-2</v>
      </c>
      <c r="X2998">
        <v>0.98457709999999998</v>
      </c>
      <c r="Y2998">
        <v>0.28529149999999998</v>
      </c>
      <c r="Z2998">
        <v>-1.6507640000000001E-2</v>
      </c>
      <c r="AA2998">
        <v>0.9582986</v>
      </c>
      <c r="AB2998">
        <v>35</v>
      </c>
      <c r="AC2998">
        <v>10.481199999999999</v>
      </c>
      <c r="AD2998">
        <v>-1.1094393131246001</v>
      </c>
      <c r="AE2998">
        <v>-2.9928999999999899</v>
      </c>
      <c r="AF2998">
        <v>3.1886789656184402</v>
      </c>
      <c r="AG2998">
        <v>-1.1094393131246001</v>
      </c>
      <c r="AH2998">
        <v>10.3063742907975</v>
      </c>
      <c r="AI2998">
        <v>95.871461263998398</v>
      </c>
      <c r="AJ2998">
        <v>72.808507102638103</v>
      </c>
      <c r="AK2998">
        <v>10.8452699439569</v>
      </c>
      <c r="AL2998">
        <v>85.742124420990805</v>
      </c>
      <c r="AM2998">
        <v>80.859590374308695</v>
      </c>
      <c r="AN2998">
        <v>1.0000000497825099</v>
      </c>
    </row>
    <row r="2999" spans="1:40" x14ac:dyDescent="0.25">
      <c r="A2999" t="str">
        <f>"20190312151330481"</f>
        <v>20190312151330481</v>
      </c>
      <c r="B2999" t="str">
        <f>"1552374810472776"</f>
        <v>1552374810472776</v>
      </c>
      <c r="C2999" t="s">
        <v>40</v>
      </c>
      <c r="D2999">
        <v>4.8316819999999998</v>
      </c>
      <c r="E2999">
        <v>0.55177969999999998</v>
      </c>
      <c r="F2999" t="s">
        <v>54</v>
      </c>
      <c r="G2999">
        <v>-351.50130000000001</v>
      </c>
      <c r="H2999" s="1">
        <v>-5.815468E-7</v>
      </c>
      <c r="I2999">
        <v>211.04</v>
      </c>
      <c r="J2999">
        <v>-362.14530000000002</v>
      </c>
      <c r="K2999">
        <v>1.1094310000000001</v>
      </c>
      <c r="L2999">
        <v>214.11150000000001</v>
      </c>
      <c r="M2999">
        <v>0.99970440000000005</v>
      </c>
      <c r="N2999">
        <v>0</v>
      </c>
      <c r="O2999">
        <v>2.1552399999999999E-2</v>
      </c>
      <c r="P2999">
        <v>0.98851129999999998</v>
      </c>
      <c r="Q2999">
        <v>6.2879550000000006E-2</v>
      </c>
      <c r="R2999">
        <v>-0.13744690000000001</v>
      </c>
      <c r="S2999">
        <v>2.940277</v>
      </c>
      <c r="T2999">
        <v>-0.29678090000000001</v>
      </c>
      <c r="U2999">
        <v>-0.81970209999999999</v>
      </c>
      <c r="V2999">
        <v>0.15877749999999999</v>
      </c>
      <c r="W2999">
        <v>7.3848499999999997E-2</v>
      </c>
      <c r="X2999">
        <v>0.98454870000000005</v>
      </c>
      <c r="Y2999">
        <v>0.28778239999999999</v>
      </c>
      <c r="Z2999">
        <v>-1.634915E-2</v>
      </c>
      <c r="AA2999">
        <v>0.95755619999999997</v>
      </c>
      <c r="AB2999">
        <v>35</v>
      </c>
      <c r="AC2999">
        <v>10.644</v>
      </c>
      <c r="AD2999">
        <v>-1.1094315815467899</v>
      </c>
      <c r="AE2999">
        <v>-3.0715000000000101</v>
      </c>
      <c r="AF2999">
        <v>3.26743586106921</v>
      </c>
      <c r="AG2999">
        <v>-1.1094315815467899</v>
      </c>
      <c r="AH2999">
        <v>10.4703188672261</v>
      </c>
      <c r="AI2999">
        <v>95.775758981219994</v>
      </c>
      <c r="AJ2999">
        <v>72.6686056242511</v>
      </c>
      <c r="AK2999">
        <v>11.0242710743942</v>
      </c>
      <c r="AL2999">
        <v>85.764937352403706</v>
      </c>
      <c r="AM2999">
        <v>80.838825769709501</v>
      </c>
      <c r="AN2999">
        <v>1.00000001906509</v>
      </c>
    </row>
    <row r="3000" spans="1:40" x14ac:dyDescent="0.25">
      <c r="A3000" t="str">
        <f>"20190312151330514"</f>
        <v>20190312151330514</v>
      </c>
      <c r="B3000" t="str">
        <f>"1552374810512791"</f>
        <v>1552374810512791</v>
      </c>
      <c r="C3000" t="s">
        <v>40</v>
      </c>
      <c r="D3000">
        <v>4.9474239999999998</v>
      </c>
      <c r="E3000">
        <v>0.55229629999999996</v>
      </c>
      <c r="F3000" t="s">
        <v>54</v>
      </c>
      <c r="G3000">
        <v>-350.76459999999997</v>
      </c>
      <c r="H3000" s="1">
        <v>-9.681927000000001E-7</v>
      </c>
      <c r="I3000">
        <v>210.9162</v>
      </c>
      <c r="J3000">
        <v>-361.61410000000001</v>
      </c>
      <c r="K3000">
        <v>1.1094580000000001</v>
      </c>
      <c r="L3000">
        <v>214.1223</v>
      </c>
      <c r="M3000">
        <v>0.99971299999999996</v>
      </c>
      <c r="N3000">
        <v>0</v>
      </c>
      <c r="O3000">
        <v>2.102391E-2</v>
      </c>
      <c r="P3000">
        <v>0.98839569999999999</v>
      </c>
      <c r="Q3000">
        <v>6.2979300000000002E-2</v>
      </c>
      <c r="R3000">
        <v>-0.1382312</v>
      </c>
      <c r="S3000">
        <v>2.9384160000000001</v>
      </c>
      <c r="T3000">
        <v>-0.2864466</v>
      </c>
      <c r="U3000">
        <v>-0.82499690000000003</v>
      </c>
      <c r="V3000">
        <v>0.159042299999999</v>
      </c>
      <c r="W3000">
        <v>7.4173290000000003E-2</v>
      </c>
      <c r="X3000">
        <v>0.98448150000000001</v>
      </c>
      <c r="Y3000">
        <v>0.28912850000000001</v>
      </c>
      <c r="Z3000">
        <v>-1.580202E-2</v>
      </c>
      <c r="AA3000">
        <v>0.95715989999999995</v>
      </c>
      <c r="AB3000">
        <v>35</v>
      </c>
      <c r="AC3000">
        <v>10.849500000000001</v>
      </c>
      <c r="AD3000">
        <v>-1.1094589681927001</v>
      </c>
      <c r="AE3000">
        <v>-3.20609999999999</v>
      </c>
      <c r="AF3000">
        <v>3.4007994132268098</v>
      </c>
      <c r="AG3000">
        <v>-1.1094589681927001</v>
      </c>
      <c r="AH3000">
        <v>10.677010605604201</v>
      </c>
      <c r="AI3000">
        <v>95.654421616454499</v>
      </c>
      <c r="AJ3000">
        <v>72.332487075489297</v>
      </c>
      <c r="AK3000">
        <v>11.2603237663618</v>
      </c>
      <c r="AL3000">
        <v>85.746276900094202</v>
      </c>
      <c r="AM3000">
        <v>80.823191295697796</v>
      </c>
      <c r="AN3000">
        <v>0.99999997699048104</v>
      </c>
    </row>
    <row r="3001" spans="1:40" x14ac:dyDescent="0.25">
      <c r="A3001" t="str">
        <f>"20190312151330536"</f>
        <v>20190312151330536</v>
      </c>
      <c r="B3001" t="str">
        <f>"1552374810533288"</f>
        <v>1552374810533288</v>
      </c>
      <c r="C3001" t="s">
        <v>40</v>
      </c>
      <c r="D3001">
        <v>4.9443640000000002</v>
      </c>
      <c r="E3001">
        <v>0.55241300000000004</v>
      </c>
      <c r="F3001" t="s">
        <v>54</v>
      </c>
      <c r="G3001">
        <v>-349.55470000000003</v>
      </c>
      <c r="H3001" s="1">
        <v>3.5477220000000001E-6</v>
      </c>
      <c r="I3001">
        <v>210.7073</v>
      </c>
      <c r="J3001">
        <v>-361.28210000000001</v>
      </c>
      <c r="K3001">
        <v>1.109486</v>
      </c>
      <c r="L3001">
        <v>214.12899999999999</v>
      </c>
      <c r="M3001">
        <v>0.99971779999999999</v>
      </c>
      <c r="N3001">
        <v>0</v>
      </c>
      <c r="O3001">
        <v>2.0695680000000001E-2</v>
      </c>
      <c r="P3001">
        <v>0.98833159999999998</v>
      </c>
      <c r="Q3001">
        <v>6.3787189999999994E-2</v>
      </c>
      <c r="R3001">
        <v>-0.13831779999999999</v>
      </c>
      <c r="S3001">
        <v>2.9361570000000001</v>
      </c>
      <c r="T3001">
        <v>-0.27012340000000001</v>
      </c>
      <c r="U3001">
        <v>-0.831466699999999</v>
      </c>
      <c r="V3001">
        <v>0.15880610000000001</v>
      </c>
      <c r="W3001">
        <v>7.5142360000000005E-2</v>
      </c>
      <c r="X3001">
        <v>0.98444620000000005</v>
      </c>
      <c r="Y3001">
        <v>0.29110249999999999</v>
      </c>
      <c r="Z3001">
        <v>-1.4971160000000001E-2</v>
      </c>
      <c r="AA3001">
        <v>0.9565747</v>
      </c>
      <c r="AB3001">
        <v>35</v>
      </c>
      <c r="AC3001">
        <v>11.7273999999999</v>
      </c>
      <c r="AD3001">
        <v>-1.109482452278</v>
      </c>
      <c r="AE3001">
        <v>-3.4217000000000102</v>
      </c>
      <c r="AF3001">
        <v>3.6337186649647402</v>
      </c>
      <c r="AG3001">
        <v>-1.109482452278</v>
      </c>
      <c r="AH3001">
        <v>11.5587306956992</v>
      </c>
      <c r="AI3001">
        <v>95.231889127047097</v>
      </c>
      <c r="AJ3001">
        <v>72.548414355880297</v>
      </c>
      <c r="AK3001">
        <v>12.1671326919585</v>
      </c>
      <c r="AL3001">
        <v>85.690598142670098</v>
      </c>
      <c r="AM3001">
        <v>80.836265750621394</v>
      </c>
      <c r="AN3001">
        <v>1.000000036179</v>
      </c>
    </row>
    <row r="3002" spans="1:40" x14ac:dyDescent="0.25">
      <c r="A3002" t="str">
        <f>"20190312151330561"</f>
        <v>20190312151330561</v>
      </c>
      <c r="B3002" t="str">
        <f>"1552374810552807"</f>
        <v>1552374810552807</v>
      </c>
      <c r="C3002" t="s">
        <v>40</v>
      </c>
      <c r="D3002">
        <v>5.0692560000000002</v>
      </c>
      <c r="E3002">
        <v>0.55300850000000001</v>
      </c>
      <c r="F3002" t="s">
        <v>54</v>
      </c>
      <c r="G3002">
        <v>-348.82199999999898</v>
      </c>
      <c r="H3002" s="1">
        <v>3.1578359999999998E-6</v>
      </c>
      <c r="I3002">
        <v>210.5941</v>
      </c>
      <c r="J3002">
        <v>-360.9042</v>
      </c>
      <c r="K3002">
        <v>1.1095280000000001</v>
      </c>
      <c r="L3002">
        <v>214.13640000000001</v>
      </c>
      <c r="M3002">
        <v>0.99972320000000003</v>
      </c>
      <c r="N3002">
        <v>0</v>
      </c>
      <c r="O3002">
        <v>2.031618E-2</v>
      </c>
      <c r="P3002">
        <v>0.98827860000000001</v>
      </c>
      <c r="Q3002">
        <v>6.4419279999999995E-2</v>
      </c>
      <c r="R3002">
        <v>-0.1384051</v>
      </c>
      <c r="S3002">
        <v>2.93573</v>
      </c>
      <c r="T3002">
        <v>-0.26140609999999997</v>
      </c>
      <c r="U3002">
        <v>-0.83285520000000002</v>
      </c>
      <c r="V3002">
        <v>0.15851860000000001</v>
      </c>
      <c r="W3002">
        <v>7.59716E-2</v>
      </c>
      <c r="X3002">
        <v>0.98442890000000005</v>
      </c>
      <c r="Y3002">
        <v>0.2912728</v>
      </c>
      <c r="Z3002">
        <v>-1.4465270000000001E-2</v>
      </c>
      <c r="AA3002">
        <v>0.95653060000000001</v>
      </c>
      <c r="AB3002">
        <v>35</v>
      </c>
      <c r="AC3002">
        <v>12.0822</v>
      </c>
      <c r="AD3002">
        <v>-1.109524842164</v>
      </c>
      <c r="AE3002">
        <v>-3.5423000000000102</v>
      </c>
      <c r="AF3002">
        <v>3.7578684747159299</v>
      </c>
      <c r="AG3002">
        <v>-1.109524842164</v>
      </c>
      <c r="AH3002">
        <v>11.9152072948272</v>
      </c>
      <c r="AI3002">
        <v>95.0749188628468</v>
      </c>
      <c r="AJ3002">
        <v>72.495547370667495</v>
      </c>
      <c r="AK3002">
        <v>12.5429177517572</v>
      </c>
      <c r="AL3002">
        <v>85.642950025747197</v>
      </c>
      <c r="AM3002">
        <v>80.852416871543497</v>
      </c>
      <c r="AN3002">
        <v>1.00000004485386</v>
      </c>
    </row>
    <row r="3003" spans="1:40" x14ac:dyDescent="0.25">
      <c r="A3003" t="str">
        <f>"20190312151330583"</f>
        <v>20190312151330583</v>
      </c>
      <c r="B3003" t="str">
        <f>"1552374810573304"</f>
        <v>1552374810573304</v>
      </c>
      <c r="C3003" t="s">
        <v>40</v>
      </c>
      <c r="D3003">
        <v>4.9212559999999996</v>
      </c>
      <c r="E3003">
        <v>0.55357000000000001</v>
      </c>
      <c r="F3003" t="s">
        <v>54</v>
      </c>
      <c r="G3003">
        <v>-348.49919999999997</v>
      </c>
      <c r="H3003" s="1">
        <v>2.9860840000000001E-6</v>
      </c>
      <c r="I3003">
        <v>210.59460000000001</v>
      </c>
      <c r="J3003">
        <v>-360.56049999999999</v>
      </c>
      <c r="K3003">
        <v>1.1095619999999999</v>
      </c>
      <c r="L3003">
        <v>214.143</v>
      </c>
      <c r="M3003">
        <v>0.99972799999999995</v>
      </c>
      <c r="N3003">
        <v>0</v>
      </c>
      <c r="O3003">
        <v>1.996641E-2</v>
      </c>
      <c r="P3003">
        <v>0.98830010000000001</v>
      </c>
      <c r="Q3003">
        <v>6.454733E-2</v>
      </c>
      <c r="R3003">
        <v>-0.13819020000000001</v>
      </c>
      <c r="S3003">
        <v>2.935333</v>
      </c>
      <c r="T3003">
        <v>-0.26254270000000002</v>
      </c>
      <c r="U3003">
        <v>-0.83807369999999903</v>
      </c>
      <c r="V3003">
        <v>0.15795909999999999</v>
      </c>
      <c r="W3003">
        <v>7.6295849999999998E-2</v>
      </c>
      <c r="X3003">
        <v>0.98449370000000003</v>
      </c>
      <c r="Y3003">
        <v>0.29253220000000002</v>
      </c>
      <c r="Z3003">
        <v>-1.4550830000000001E-2</v>
      </c>
      <c r="AA3003">
        <v>0.95614500000000002</v>
      </c>
      <c r="AB3003">
        <v>35</v>
      </c>
      <c r="AC3003">
        <v>12.061299999999999</v>
      </c>
      <c r="AD3003">
        <v>-1.1095590139159901</v>
      </c>
      <c r="AE3003">
        <v>-3.54839999999998</v>
      </c>
      <c r="AF3003">
        <v>3.7592513975672199</v>
      </c>
      <c r="AG3003">
        <v>-1.1095590139159901</v>
      </c>
      <c r="AH3003">
        <v>11.895392268662</v>
      </c>
      <c r="AI3003">
        <v>95.082552613917997</v>
      </c>
      <c r="AJ3003">
        <v>72.462117452603593</v>
      </c>
      <c r="AK3003">
        <v>12.524513942697199</v>
      </c>
      <c r="AL3003">
        <v>85.624317550160697</v>
      </c>
      <c r="AM3003">
        <v>80.884750659364499</v>
      </c>
      <c r="AN3003">
        <v>0.99999998966986103</v>
      </c>
    </row>
    <row r="3004" spans="1:40" x14ac:dyDescent="0.25">
      <c r="A3004" t="str">
        <f>"20190312151330604"</f>
        <v>20190312151330604</v>
      </c>
      <c r="B3004" t="str">
        <f>"1552374810592824"</f>
        <v>1552374810592824</v>
      </c>
      <c r="C3004" t="s">
        <v>40</v>
      </c>
      <c r="D3004">
        <v>4.9116379999999999</v>
      </c>
      <c r="E3004">
        <v>0.55389309999999903</v>
      </c>
      <c r="F3004" t="s">
        <v>54</v>
      </c>
      <c r="G3004">
        <v>-348.5154</v>
      </c>
      <c r="H3004" s="1">
        <v>2.9946800000000002E-6</v>
      </c>
      <c r="I3004">
        <v>210.6884</v>
      </c>
      <c r="J3004">
        <v>-360.22620000000001</v>
      </c>
      <c r="K3004">
        <v>1.109599</v>
      </c>
      <c r="L3004">
        <v>214.14940000000001</v>
      </c>
      <c r="M3004">
        <v>0.99973239999999997</v>
      </c>
      <c r="N3004">
        <v>0</v>
      </c>
      <c r="O3004">
        <v>1.9625839999999999E-2</v>
      </c>
      <c r="P3004">
        <v>0.98828640000000001</v>
      </c>
      <c r="Q3004">
        <v>6.4825770000000005E-2</v>
      </c>
      <c r="R3004">
        <v>-0.13815939999999999</v>
      </c>
      <c r="S3004">
        <v>2.9354550000000001</v>
      </c>
      <c r="T3004">
        <v>-0.27040619999999999</v>
      </c>
      <c r="U3004">
        <v>-0.84190370000000003</v>
      </c>
      <c r="V3004">
        <v>0.15759210000000001</v>
      </c>
      <c r="W3004">
        <v>7.6770820000000004E-2</v>
      </c>
      <c r="X3004">
        <v>0.98451560000000005</v>
      </c>
      <c r="Y3004">
        <v>0.29327799999999998</v>
      </c>
      <c r="Z3004">
        <v>-1.4984610000000001E-2</v>
      </c>
      <c r="AA3004">
        <v>0.95590980000000003</v>
      </c>
      <c r="AB3004">
        <v>35</v>
      </c>
      <c r="AC3004">
        <v>11.710800000000001</v>
      </c>
      <c r="AD3004">
        <v>-1.10959600532</v>
      </c>
      <c r="AE3004">
        <v>-3.4610000000000101</v>
      </c>
      <c r="AF3004">
        <v>3.6599667210753002</v>
      </c>
      <c r="AG3004">
        <v>-1.10959600532</v>
      </c>
      <c r="AH3004">
        <v>11.545291604429901</v>
      </c>
      <c r="AI3004">
        <v>95.234532706931404</v>
      </c>
      <c r="AJ3004">
        <v>72.410892101114001</v>
      </c>
      <c r="AK3004">
        <v>12.1622497066012</v>
      </c>
      <c r="AL3004">
        <v>85.597023756542299</v>
      </c>
      <c r="AM3004">
        <v>80.905773494532397</v>
      </c>
      <c r="AN3004">
        <v>0.999999997714621</v>
      </c>
    </row>
    <row r="3005" spans="1:40" x14ac:dyDescent="0.25">
      <c r="A3005" t="str">
        <f>"20190312151330627"</f>
        <v>20190312151330627</v>
      </c>
      <c r="B3005" t="str">
        <f>"1552374810623079"</f>
        <v>1552374810623079</v>
      </c>
      <c r="C3005" t="s">
        <v>40</v>
      </c>
      <c r="D3005">
        <v>4.9912359999999998</v>
      </c>
      <c r="E3005">
        <v>0.5545293</v>
      </c>
      <c r="F3005" t="s">
        <v>54</v>
      </c>
      <c r="G3005">
        <v>-348.52440000000001</v>
      </c>
      <c r="H3005" s="1">
        <v>2.9994489999999999E-6</v>
      </c>
      <c r="I3005">
        <v>210.78380000000001</v>
      </c>
      <c r="J3005">
        <v>-359.87630000000001</v>
      </c>
      <c r="K3005">
        <v>1.109631</v>
      </c>
      <c r="L3005">
        <v>214.1559</v>
      </c>
      <c r="M3005">
        <v>0.99973670000000003</v>
      </c>
      <c r="N3005">
        <v>0</v>
      </c>
      <c r="O3005">
        <v>1.9271949999999999E-2</v>
      </c>
      <c r="P3005">
        <v>0.98830560000000001</v>
      </c>
      <c r="Q3005">
        <v>6.4822249999999998E-2</v>
      </c>
      <c r="R3005">
        <v>-0.13802320000000001</v>
      </c>
      <c r="S3005">
        <v>2.9357600000000001</v>
      </c>
      <c r="T3005">
        <v>-0.27837499999999998</v>
      </c>
      <c r="U3005">
        <v>-0.84434509999999996</v>
      </c>
      <c r="V3005">
        <v>0.15710750000000001</v>
      </c>
      <c r="W3005">
        <v>7.6968590000000003E-2</v>
      </c>
      <c r="X3005">
        <v>0.98457760000000005</v>
      </c>
      <c r="Y3005">
        <v>0.29357549999999999</v>
      </c>
      <c r="Z3005">
        <v>-1.540205E-2</v>
      </c>
      <c r="AA3005">
        <v>0.95581179999999999</v>
      </c>
      <c r="AB3005">
        <v>35</v>
      </c>
      <c r="AC3005">
        <v>11.351900000000001</v>
      </c>
      <c r="AD3005">
        <v>-1.109628000551</v>
      </c>
      <c r="AE3005">
        <v>-3.3720999999999801</v>
      </c>
      <c r="AF3005">
        <v>3.5590157908604501</v>
      </c>
      <c r="AG3005">
        <v>-1.109628000551</v>
      </c>
      <c r="AH3005">
        <v>11.186581521740299</v>
      </c>
      <c r="AI3005">
        <v>95.399794025472005</v>
      </c>
      <c r="AJ3005">
        <v>72.351508549746001</v>
      </c>
      <c r="AK3005">
        <v>11.7914152603385</v>
      </c>
      <c r="AL3005">
        <v>85.585658710477105</v>
      </c>
      <c r="AM3005">
        <v>80.933834731309901</v>
      </c>
      <c r="AN3005">
        <v>0.99999999041229903</v>
      </c>
    </row>
    <row r="3006" spans="1:40" x14ac:dyDescent="0.25">
      <c r="A3006" t="str">
        <f>"20190312151330648"</f>
        <v>20190312151330648</v>
      </c>
      <c r="B3006" t="str">
        <f>"1552374810643576"</f>
        <v>1552374810643576</v>
      </c>
      <c r="C3006" t="s">
        <v>40</v>
      </c>
      <c r="D3006">
        <v>4.9718749999999998</v>
      </c>
      <c r="E3006">
        <v>0.55514059999999998</v>
      </c>
      <c r="F3006" t="s">
        <v>54</v>
      </c>
      <c r="G3006">
        <v>-348.57619999999997</v>
      </c>
      <c r="H3006" s="1">
        <v>3.0270590000000001E-6</v>
      </c>
      <c r="I3006">
        <v>210.88720000000001</v>
      </c>
      <c r="J3006">
        <v>-359.54820000000001</v>
      </c>
      <c r="K3006">
        <v>1.1096549999999901</v>
      </c>
      <c r="L3006">
        <v>214.1618</v>
      </c>
      <c r="M3006">
        <v>0.99974070000000004</v>
      </c>
      <c r="N3006">
        <v>0</v>
      </c>
      <c r="O3006">
        <v>1.894417E-2</v>
      </c>
      <c r="P3006">
        <v>0.98826579999999997</v>
      </c>
      <c r="Q3006">
        <v>6.4875730000000006E-2</v>
      </c>
      <c r="R3006">
        <v>-0.13828170000000001</v>
      </c>
      <c r="S3006">
        <v>2.9358219999999999</v>
      </c>
      <c r="T3006">
        <v>-0.28828819999999999</v>
      </c>
      <c r="U3006">
        <v>-0.84921259999999998</v>
      </c>
      <c r="V3006">
        <v>0.1570426</v>
      </c>
      <c r="W3006">
        <v>7.7195849999999996E-2</v>
      </c>
      <c r="X3006">
        <v>0.9845701</v>
      </c>
      <c r="Y3006">
        <v>0.29462359999999999</v>
      </c>
      <c r="Z3006">
        <v>-1.596303E-2</v>
      </c>
      <c r="AA3006">
        <v>0.95548</v>
      </c>
      <c r="AB3006">
        <v>35</v>
      </c>
      <c r="AC3006">
        <v>10.972</v>
      </c>
      <c r="AD3006">
        <v>-1.1096519729409999</v>
      </c>
      <c r="AE3006">
        <v>-3.2745999999999902</v>
      </c>
      <c r="AF3006">
        <v>3.4494876655381899</v>
      </c>
      <c r="AG3006">
        <v>-1.1096519729409999</v>
      </c>
      <c r="AH3006">
        <v>10.806499546929601</v>
      </c>
      <c r="AI3006">
        <v>95.586957590743197</v>
      </c>
      <c r="AJ3006">
        <v>72.296661896102805</v>
      </c>
      <c r="AK3006">
        <v>11.397838615875401</v>
      </c>
      <c r="AL3006">
        <v>85.572598545293502</v>
      </c>
      <c r="AM3006">
        <v>80.937449847451902</v>
      </c>
      <c r="AN3006">
        <v>0.999999929642993</v>
      </c>
    </row>
    <row r="3007" spans="1:40" x14ac:dyDescent="0.25">
      <c r="A3007" t="str">
        <f>"20190312151330670"</f>
        <v>20190312151330670</v>
      </c>
      <c r="B3007" t="str">
        <f>"1552374810663095"</f>
        <v>1552374810663095</v>
      </c>
      <c r="C3007" t="s">
        <v>40</v>
      </c>
      <c r="D3007">
        <v>4.9326939999999997</v>
      </c>
      <c r="E3007">
        <v>0.55554650000000005</v>
      </c>
      <c r="F3007" t="s">
        <v>54</v>
      </c>
      <c r="G3007">
        <v>-348.42469999999997</v>
      </c>
      <c r="H3007" s="1">
        <v>2.9464299999999998E-6</v>
      </c>
      <c r="I3007">
        <v>210.9222</v>
      </c>
      <c r="J3007">
        <v>-359.2004</v>
      </c>
      <c r="K3007">
        <v>1.109675</v>
      </c>
      <c r="L3007">
        <v>214.16810000000001</v>
      </c>
      <c r="M3007">
        <v>0.9997452</v>
      </c>
      <c r="N3007">
        <v>0</v>
      </c>
      <c r="O3007">
        <v>1.8599290000000001E-2</v>
      </c>
      <c r="P3007">
        <v>0.98831449999999998</v>
      </c>
      <c r="Q3007">
        <v>6.4316029999999996E-2</v>
      </c>
      <c r="R3007">
        <v>-0.1381965</v>
      </c>
      <c r="S3007">
        <v>2.9352109999999998</v>
      </c>
      <c r="T3007">
        <v>-0.29281089999999999</v>
      </c>
      <c r="U3007">
        <v>-0.85487369999999996</v>
      </c>
      <c r="V3007">
        <v>0.15661849999999999</v>
      </c>
      <c r="W3007">
        <v>7.680505E-2</v>
      </c>
      <c r="X3007">
        <v>0.98466830000000005</v>
      </c>
      <c r="Y3007">
        <v>0.29599809999999999</v>
      </c>
      <c r="Z3007">
        <v>-1.6244629999999999E-2</v>
      </c>
      <c r="AA3007">
        <v>0.95505039999999997</v>
      </c>
      <c r="AB3007">
        <v>35</v>
      </c>
      <c r="AC3007">
        <v>10.775700000000001</v>
      </c>
      <c r="AD3007">
        <v>-1.10967205357</v>
      </c>
      <c r="AE3007">
        <v>-3.2458999999999998</v>
      </c>
      <c r="AF3007">
        <v>3.4125961694299298</v>
      </c>
      <c r="AG3007">
        <v>-1.10967205357</v>
      </c>
      <c r="AH3007">
        <v>10.6103004979839</v>
      </c>
      <c r="AI3007">
        <v>95.685716058627193</v>
      </c>
      <c r="AJ3007">
        <v>72.170625864162602</v>
      </c>
      <c r="AK3007">
        <v>11.200699145124799</v>
      </c>
      <c r="AL3007">
        <v>85.595056793309695</v>
      </c>
      <c r="AM3007">
        <v>80.962405613459794</v>
      </c>
      <c r="AN3007">
        <v>1.00000001563632</v>
      </c>
    </row>
    <row r="3008" spans="1:40" x14ac:dyDescent="0.25">
      <c r="A3008" t="str">
        <f>"20190312151330694"</f>
        <v>20190312151330694</v>
      </c>
      <c r="B3008" t="str">
        <f>"1552374810683592"</f>
        <v>1552374810683592</v>
      </c>
      <c r="C3008" t="s">
        <v>40</v>
      </c>
      <c r="D3008">
        <v>4.9437290000000003</v>
      </c>
      <c r="E3008">
        <v>0.55604929999999997</v>
      </c>
      <c r="F3008" t="s">
        <v>54</v>
      </c>
      <c r="G3008">
        <v>-348.33150000000001</v>
      </c>
      <c r="H3008" s="1">
        <v>2.8967900000000001E-6</v>
      </c>
      <c r="I3008">
        <v>210.99189999999999</v>
      </c>
      <c r="J3008">
        <v>-358.84219999999999</v>
      </c>
      <c r="K3008">
        <v>1.109688</v>
      </c>
      <c r="L3008">
        <v>214.17439999999999</v>
      </c>
      <c r="M3008">
        <v>0.99974949999999996</v>
      </c>
      <c r="N3008">
        <v>0</v>
      </c>
      <c r="O3008">
        <v>1.8245250000000001E-2</v>
      </c>
      <c r="P3008">
        <v>0.98822100000000002</v>
      </c>
      <c r="Q3008">
        <v>6.4534140000000004E-2</v>
      </c>
      <c r="R3008">
        <v>-0.1387611</v>
      </c>
      <c r="S3008">
        <v>2.9349980000000002</v>
      </c>
      <c r="T3008">
        <v>-0.29965000000000003</v>
      </c>
      <c r="U3008">
        <v>-0.85769649999999997</v>
      </c>
      <c r="V3008">
        <v>0.156833</v>
      </c>
      <c r="W3008">
        <v>7.7176350000000005E-2</v>
      </c>
      <c r="X3008">
        <v>0.98460510000000001</v>
      </c>
      <c r="Y3008">
        <v>0.29645700000000003</v>
      </c>
      <c r="Z3008">
        <v>-1.660874E-2</v>
      </c>
      <c r="AA3008">
        <v>0.95490180000000002</v>
      </c>
      <c r="AB3008">
        <v>35</v>
      </c>
      <c r="AC3008">
        <v>10.5106999999999</v>
      </c>
      <c r="AD3008">
        <v>-1.1096851032099999</v>
      </c>
      <c r="AE3008">
        <v>-3.1825000000000001</v>
      </c>
      <c r="AF3008">
        <v>3.3396575229154299</v>
      </c>
      <c r="AG3008">
        <v>-1.1096851032099999</v>
      </c>
      <c r="AH3008">
        <v>10.3452510081694</v>
      </c>
      <c r="AI3008">
        <v>95.828452504357799</v>
      </c>
      <c r="AJ3008">
        <v>72.108864788606994</v>
      </c>
      <c r="AK3008">
        <v>10.9274393990853</v>
      </c>
      <c r="AL3008">
        <v>85.573719427945804</v>
      </c>
      <c r="AM3008">
        <v>80.949661421777094</v>
      </c>
      <c r="AN3008">
        <v>0.99999999091716596</v>
      </c>
    </row>
    <row r="3009" spans="1:40" x14ac:dyDescent="0.25">
      <c r="A3009" t="str">
        <f>"20190312151330714"</f>
        <v>20190312151330714</v>
      </c>
      <c r="B3009" t="str">
        <f>"1552374810703112"</f>
        <v>1552374810703112</v>
      </c>
      <c r="C3009" t="s">
        <v>40</v>
      </c>
      <c r="D3009">
        <v>4.9943269999999904</v>
      </c>
      <c r="E3009">
        <v>0.55624600000000002</v>
      </c>
      <c r="F3009" t="s">
        <v>54</v>
      </c>
      <c r="G3009">
        <v>-348.09249999999997</v>
      </c>
      <c r="H3009" s="1">
        <v>2.7696469999999999E-6</v>
      </c>
      <c r="I3009">
        <v>211.0119</v>
      </c>
      <c r="J3009">
        <v>-358.51639999999998</v>
      </c>
      <c r="K3009">
        <v>1.109704</v>
      </c>
      <c r="L3009">
        <v>214.18</v>
      </c>
      <c r="M3009">
        <v>0.99975369999999997</v>
      </c>
      <c r="N3009">
        <v>0</v>
      </c>
      <c r="O3009">
        <v>1.792206E-2</v>
      </c>
      <c r="P3009">
        <v>0.98825680000000005</v>
      </c>
      <c r="Q3009">
        <v>6.4299670000000003E-2</v>
      </c>
      <c r="R3009">
        <v>-0.13861599999999999</v>
      </c>
      <c r="S3009">
        <v>2.9342959999999998</v>
      </c>
      <c r="T3009">
        <v>-0.30290539999999999</v>
      </c>
      <c r="U3009">
        <v>-0.86325069999999904</v>
      </c>
      <c r="V3009">
        <v>0.15637010000000001</v>
      </c>
      <c r="W3009">
        <v>7.7069380000000007E-2</v>
      </c>
      <c r="X3009">
        <v>0.98468710000000004</v>
      </c>
      <c r="Y3009">
        <v>0.2978362</v>
      </c>
      <c r="Z3009">
        <v>-1.682469E-2</v>
      </c>
      <c r="AA3009">
        <v>0.95446869999999995</v>
      </c>
      <c r="AB3009">
        <v>35</v>
      </c>
      <c r="AC3009">
        <v>10.4239</v>
      </c>
      <c r="AD3009">
        <v>-1.1097012303530001</v>
      </c>
      <c r="AE3009">
        <v>-3.1680999999999999</v>
      </c>
      <c r="AF3009">
        <v>3.3199805789728498</v>
      </c>
      <c r="AG3009">
        <v>-1.1097012303530001</v>
      </c>
      <c r="AH3009">
        <v>10.2590062192692</v>
      </c>
      <c r="AI3009">
        <v>95.875834967735798</v>
      </c>
      <c r="AJ3009">
        <v>72.067579072236498</v>
      </c>
      <c r="AK3009">
        <v>10.839783967976899</v>
      </c>
      <c r="AL3009">
        <v>85.579866667780394</v>
      </c>
      <c r="AM3009">
        <v>80.976672836230804</v>
      </c>
      <c r="AN3009">
        <v>0.999999991207002</v>
      </c>
    </row>
    <row r="3010" spans="1:40" x14ac:dyDescent="0.25">
      <c r="A3010" t="str">
        <f>"20190312151330738"</f>
        <v>20190312151330738</v>
      </c>
      <c r="B3010" t="str">
        <f>"1552374810733368"</f>
        <v>1552374810733368</v>
      </c>
      <c r="C3010" t="s">
        <v>40</v>
      </c>
      <c r="D3010">
        <v>4.8725009999999997</v>
      </c>
      <c r="E3010">
        <v>0.51288489999999998</v>
      </c>
      <c r="F3010" t="s">
        <v>54</v>
      </c>
      <c r="G3010">
        <v>-347.87479999999999</v>
      </c>
      <c r="H3010" s="1">
        <v>2.6537609999999999E-6</v>
      </c>
      <c r="I3010">
        <v>211.04480000000001</v>
      </c>
      <c r="J3010">
        <v>-358.15890000000002</v>
      </c>
      <c r="K3010">
        <v>1.1097109999999999</v>
      </c>
      <c r="L3010">
        <v>214.18600000000001</v>
      </c>
      <c r="M3010">
        <v>0.99975829999999999</v>
      </c>
      <c r="N3010">
        <v>0</v>
      </c>
      <c r="O3010">
        <v>1.7565999999999998E-2</v>
      </c>
      <c r="P3010">
        <v>0.98829630000000002</v>
      </c>
      <c r="Q3010">
        <v>6.4137319999999998E-2</v>
      </c>
      <c r="R3010">
        <v>-0.13840810000000001</v>
      </c>
      <c r="S3010">
        <v>2.9342959999999998</v>
      </c>
      <c r="T3010">
        <v>-0.3059868</v>
      </c>
      <c r="U3010">
        <v>-0.86448670000000005</v>
      </c>
      <c r="V3010">
        <v>0.15581210000000001</v>
      </c>
      <c r="W3010">
        <v>7.7031820000000001E-2</v>
      </c>
      <c r="X3010">
        <v>0.9847785</v>
      </c>
      <c r="Y3010">
        <v>0.29783690000000002</v>
      </c>
      <c r="Z3010">
        <v>-1.6957730000000001E-2</v>
      </c>
      <c r="AA3010">
        <v>0.95446620000000004</v>
      </c>
      <c r="AB3010">
        <v>35</v>
      </c>
      <c r="AC3010">
        <v>10.2841</v>
      </c>
      <c r="AD3010">
        <v>-1.1097083462390001</v>
      </c>
      <c r="AE3010">
        <v>-3.14119999999996</v>
      </c>
      <c r="AF3010">
        <v>3.2863817212278299</v>
      </c>
      <c r="AG3010">
        <v>-1.1097083462390001</v>
      </c>
      <c r="AH3010">
        <v>10.119556986234601</v>
      </c>
      <c r="AI3010">
        <v>95.954288662459206</v>
      </c>
      <c r="AJ3010">
        <v>72.008510147754706</v>
      </c>
      <c r="AK3010">
        <v>10.6975320064481</v>
      </c>
      <c r="AL3010">
        <v>85.582025165839397</v>
      </c>
      <c r="AM3010">
        <v>81.009166103880702</v>
      </c>
      <c r="AN3010">
        <v>1.00000000293058</v>
      </c>
    </row>
    <row r="3011" spans="1:40" x14ac:dyDescent="0.25">
      <c r="A3011" t="str">
        <f>"20190312151330760"</f>
        <v>20190312151330760</v>
      </c>
      <c r="B3011" t="str">
        <f>"1552374810752888"</f>
        <v>1552374810752888</v>
      </c>
      <c r="C3011" t="s">
        <v>40</v>
      </c>
      <c r="D3011">
        <v>4.8745500000000002</v>
      </c>
      <c r="E3011">
        <v>0.50482640000000001</v>
      </c>
      <c r="F3011" t="s">
        <v>54</v>
      </c>
      <c r="G3011">
        <v>-344.77879999999999</v>
      </c>
      <c r="H3011" s="1">
        <v>1.006255E-6</v>
      </c>
      <c r="I3011">
        <v>211.846</v>
      </c>
      <c r="J3011">
        <v>-357.81810000000002</v>
      </c>
      <c r="K3011">
        <v>1.109721</v>
      </c>
      <c r="L3011">
        <v>214.1917</v>
      </c>
      <c r="M3011">
        <v>0.99976299999999996</v>
      </c>
      <c r="N3011">
        <v>0</v>
      </c>
      <c r="O3011">
        <v>1.7225170000000001E-2</v>
      </c>
      <c r="P3011">
        <v>0.98831690000000005</v>
      </c>
      <c r="Q3011">
        <v>6.3765299999999997E-2</v>
      </c>
      <c r="R3011">
        <v>-0.13843339999999901</v>
      </c>
      <c r="S3011">
        <v>2.9786380000000001</v>
      </c>
      <c r="T3011">
        <v>-0.24704100000000001</v>
      </c>
      <c r="U3011">
        <v>-0.52093509999999998</v>
      </c>
      <c r="V3011">
        <v>0.15550139999999901</v>
      </c>
      <c r="W3011">
        <v>7.676463E-2</v>
      </c>
      <c r="X3011">
        <v>0.98484839999999996</v>
      </c>
      <c r="Y3011">
        <v>0.18853310000000001</v>
      </c>
      <c r="Z3011">
        <v>-9.1624329999999993E-3</v>
      </c>
      <c r="AA3011">
        <v>0.98202409999999996</v>
      </c>
      <c r="AB3011">
        <v>35</v>
      </c>
      <c r="AC3011">
        <v>13.039300000000001</v>
      </c>
      <c r="AD3011">
        <v>-1.109719993745</v>
      </c>
      <c r="AE3011">
        <v>-2.3457000000000199</v>
      </c>
      <c r="AF3011">
        <v>2.5520707959054199</v>
      </c>
      <c r="AG3011">
        <v>-1.109719993745</v>
      </c>
      <c r="AH3011">
        <v>12.9064057855029</v>
      </c>
      <c r="AI3011">
        <v>94.821423605456701</v>
      </c>
      <c r="AJ3011">
        <v>78.814808543384004</v>
      </c>
      <c r="AK3011">
        <v>13.2030244304815</v>
      </c>
      <c r="AL3011">
        <v>85.597379179003894</v>
      </c>
      <c r="AM3011">
        <v>81.027428952255306</v>
      </c>
      <c r="AN3011">
        <v>0.99999993240177598</v>
      </c>
    </row>
    <row r="3012" spans="1:40" x14ac:dyDescent="0.25">
      <c r="A3012" t="str">
        <f>"20190312151330784"</f>
        <v>20190312151330784</v>
      </c>
      <c r="B3012" t="str">
        <f>"1552374810773384"</f>
        <v>1552374810773384</v>
      </c>
      <c r="C3012" t="s">
        <v>40</v>
      </c>
      <c r="D3012">
        <v>5.0073850000000002</v>
      </c>
      <c r="E3012">
        <v>0.50197979999999998</v>
      </c>
      <c r="F3012" t="s">
        <v>54</v>
      </c>
      <c r="G3012">
        <v>-343.97660000000002</v>
      </c>
      <c r="H3012" s="1">
        <v>5.7936349999999996E-7</v>
      </c>
      <c r="I3012">
        <v>212.0728</v>
      </c>
      <c r="J3012">
        <v>-357.45170000000002</v>
      </c>
      <c r="K3012">
        <v>1.109728</v>
      </c>
      <c r="L3012">
        <v>214.19759999999999</v>
      </c>
      <c r="M3012">
        <v>0.99976779999999998</v>
      </c>
      <c r="N3012">
        <v>0</v>
      </c>
      <c r="O3012">
        <v>1.685743E-2</v>
      </c>
      <c r="P3012">
        <v>0.98832989999999998</v>
      </c>
      <c r="Q3012">
        <v>6.3639420000000002E-2</v>
      </c>
      <c r="R3012">
        <v>-0.1383982</v>
      </c>
      <c r="S3012">
        <v>2.986847</v>
      </c>
      <c r="T3012">
        <v>-0.23946609999999999</v>
      </c>
      <c r="U3012">
        <v>-0.45722960000000001</v>
      </c>
      <c r="V3012">
        <v>0.15510380000000001</v>
      </c>
      <c r="W3012">
        <v>7.6737059999999996E-2</v>
      </c>
      <c r="X3012">
        <v>0.98491329999999999</v>
      </c>
      <c r="Y3012">
        <v>0.16738359999999999</v>
      </c>
      <c r="Z3012">
        <v>-8.0025909999999999E-3</v>
      </c>
      <c r="AA3012">
        <v>0.98585940000000005</v>
      </c>
      <c r="AB3012">
        <v>34</v>
      </c>
      <c r="AC3012">
        <v>13.4750999999999</v>
      </c>
      <c r="AD3012">
        <v>-1.1097274206365</v>
      </c>
      <c r="AE3012">
        <v>-2.1247999999999898</v>
      </c>
      <c r="AF3012">
        <v>2.3362138451650099</v>
      </c>
      <c r="AG3012">
        <v>-1.1097274206365</v>
      </c>
      <c r="AH3012">
        <v>13.3490241140751</v>
      </c>
      <c r="AI3012">
        <v>94.681342751985198</v>
      </c>
      <c r="AJ3012">
        <v>80.073193835293793</v>
      </c>
      <c r="AK3012">
        <v>13.5972730676636</v>
      </c>
      <c r="AL3012">
        <v>85.598963737041899</v>
      </c>
      <c r="AM3012">
        <v>81.050579193384493</v>
      </c>
      <c r="AN3012">
        <v>0.99999998683438596</v>
      </c>
    </row>
    <row r="3013" spans="1:40" x14ac:dyDescent="0.25">
      <c r="A3013" t="str">
        <f>"20190312151330806"</f>
        <v>20190312151330806</v>
      </c>
      <c r="B3013" t="str">
        <f>"1552374810803639"</f>
        <v>1552374810803639</v>
      </c>
      <c r="C3013" t="s">
        <v>40</v>
      </c>
      <c r="D3013">
        <v>4.858403</v>
      </c>
      <c r="E3013">
        <v>0.50020989999999999</v>
      </c>
      <c r="F3013" t="s">
        <v>54</v>
      </c>
      <c r="G3013">
        <v>-342.68</v>
      </c>
      <c r="H3013" s="1">
        <v>-1.1060679999999999E-7</v>
      </c>
      <c r="I3013">
        <v>212.0496</v>
      </c>
      <c r="J3013">
        <v>-357.11520000000002</v>
      </c>
      <c r="K3013">
        <v>1.1097330000000001</v>
      </c>
      <c r="L3013">
        <v>214.2029</v>
      </c>
      <c r="M3013">
        <v>0.99977240000000001</v>
      </c>
      <c r="N3013">
        <v>0</v>
      </c>
      <c r="O3013">
        <v>1.6517899999999999E-2</v>
      </c>
      <c r="P3013">
        <v>0.98832359999999997</v>
      </c>
      <c r="Q3013">
        <v>6.3722890000000004E-2</v>
      </c>
      <c r="R3013">
        <v>-0.13840620000000001</v>
      </c>
      <c r="S3013">
        <v>2.9890439999999998</v>
      </c>
      <c r="T3013">
        <v>-0.224553</v>
      </c>
      <c r="U3013">
        <v>-0.43464659999999999</v>
      </c>
      <c r="V3013">
        <v>0.15477669999999999</v>
      </c>
      <c r="W3013">
        <v>7.6897759999999996E-2</v>
      </c>
      <c r="X3013">
        <v>0.98495220000000006</v>
      </c>
      <c r="Y3013">
        <v>0.15974099999999999</v>
      </c>
      <c r="Z3013">
        <v>-7.1937930000000004E-3</v>
      </c>
      <c r="AA3013">
        <v>0.98713269999999997</v>
      </c>
      <c r="AB3013">
        <v>34</v>
      </c>
      <c r="AC3013">
        <v>14.4352</v>
      </c>
      <c r="AD3013">
        <v>-1.1097331106068</v>
      </c>
      <c r="AE3013">
        <v>-2.1533000000000002</v>
      </c>
      <c r="AF3013">
        <v>2.3777205269262298</v>
      </c>
      <c r="AG3013">
        <v>-1.1097331106068</v>
      </c>
      <c r="AH3013">
        <v>14.314898740360899</v>
      </c>
      <c r="AI3013">
        <v>94.373191938488503</v>
      </c>
      <c r="AJ3013">
        <v>80.569209075577703</v>
      </c>
      <c r="AK3013">
        <v>14.5533978310129</v>
      </c>
      <c r="AL3013">
        <v>85.5897289186954</v>
      </c>
      <c r="AM3013">
        <v>81.069495215709097</v>
      </c>
      <c r="AN3013">
        <v>0.99999996432037297</v>
      </c>
    </row>
    <row r="3014" spans="1:40" x14ac:dyDescent="0.25">
      <c r="A3014" t="str">
        <f>"20190312151330828"</f>
        <v>20190312151330828</v>
      </c>
      <c r="B3014" t="str">
        <f>"1552374810823159"</f>
        <v>1552374810823159</v>
      </c>
      <c r="C3014" t="s">
        <v>40</v>
      </c>
      <c r="D3014">
        <v>4.8656620000000004</v>
      </c>
      <c r="E3014">
        <v>0.49966660000000002</v>
      </c>
      <c r="F3014" t="s">
        <v>54</v>
      </c>
      <c r="G3014">
        <v>-340.95190000000002</v>
      </c>
      <c r="H3014" s="1">
        <v>-1.030228E-6</v>
      </c>
      <c r="I3014">
        <v>211.92939999999999</v>
      </c>
      <c r="J3014">
        <v>-356.786</v>
      </c>
      <c r="K3014">
        <v>1.1097349999999999</v>
      </c>
      <c r="L3014">
        <v>214.208</v>
      </c>
      <c r="M3014">
        <v>0.99977720000000003</v>
      </c>
      <c r="N3014">
        <v>0</v>
      </c>
      <c r="O3014">
        <v>1.6184560000000001E-2</v>
      </c>
      <c r="P3014">
        <v>0.98834299999999997</v>
      </c>
      <c r="Q3014">
        <v>6.3917639999999998E-2</v>
      </c>
      <c r="R3014">
        <v>-0.1381772</v>
      </c>
      <c r="S3014">
        <v>2.9897459999999998</v>
      </c>
      <c r="T3014">
        <v>-0.20526900000000001</v>
      </c>
      <c r="U3014">
        <v>-0.42054750000000002</v>
      </c>
      <c r="V3014">
        <v>0.1542201</v>
      </c>
      <c r="W3014">
        <v>7.7154479999999998E-2</v>
      </c>
      <c r="X3014">
        <v>0.98501939999999999</v>
      </c>
      <c r="Y3014">
        <v>0.15490680000000001</v>
      </c>
      <c r="Z3014">
        <v>-6.3904410000000002E-3</v>
      </c>
      <c r="AA3014">
        <v>0.98790840000000002</v>
      </c>
      <c r="AB3014">
        <v>34</v>
      </c>
      <c r="AC3014">
        <v>15.8340999999999</v>
      </c>
      <c r="AD3014">
        <v>-1.1097360302279999</v>
      </c>
      <c r="AE3014">
        <v>-2.2786000000000102</v>
      </c>
      <c r="AF3014">
        <v>2.52245421373678</v>
      </c>
      <c r="AG3014">
        <v>-1.1097360302279999</v>
      </c>
      <c r="AH3014">
        <v>15.7194975482907</v>
      </c>
      <c r="AI3014">
        <v>93.987320105421901</v>
      </c>
      <c r="AJ3014">
        <v>80.8836584765493</v>
      </c>
      <c r="AK3014">
        <v>15.959225936363699</v>
      </c>
      <c r="AL3014">
        <v>85.574975989254398</v>
      </c>
      <c r="AM3014">
        <v>81.101693129221104</v>
      </c>
      <c r="AN3014">
        <v>0.99999993570221801</v>
      </c>
    </row>
    <row r="3015" spans="1:40" x14ac:dyDescent="0.25">
      <c r="A3015" t="str">
        <f>"20190312151330850"</f>
        <v>20190312151330850</v>
      </c>
      <c r="B3015" t="str">
        <f>"1552374810843656"</f>
        <v>1552374810843656</v>
      </c>
      <c r="C3015" t="s">
        <v>40</v>
      </c>
      <c r="D3015">
        <v>4.883629</v>
      </c>
      <c r="E3015">
        <v>0.49917699999999998</v>
      </c>
      <c r="F3015" t="s">
        <v>54</v>
      </c>
      <c r="G3015">
        <v>-340.03019999999998</v>
      </c>
      <c r="H3015" s="1">
        <v>-1.520736E-6</v>
      </c>
      <c r="I3015">
        <v>211.87860000000001</v>
      </c>
      <c r="J3015">
        <v>-356.43020000000001</v>
      </c>
      <c r="K3015">
        <v>1.109745</v>
      </c>
      <c r="L3015">
        <v>214.21340000000001</v>
      </c>
      <c r="M3015">
        <v>0.99978210000000001</v>
      </c>
      <c r="N3015">
        <v>0</v>
      </c>
      <c r="O3015">
        <v>1.5824100000000001E-2</v>
      </c>
      <c r="P3015">
        <v>0.98832969999999998</v>
      </c>
      <c r="Q3015">
        <v>6.3701610000000006E-2</v>
      </c>
      <c r="R3015">
        <v>-0.1383712</v>
      </c>
      <c r="S3015">
        <v>2.9901119999999999</v>
      </c>
      <c r="T3015">
        <v>-0.19803490000000001</v>
      </c>
      <c r="U3015">
        <v>-0.41569519999999999</v>
      </c>
      <c r="V3015">
        <v>0.15405849999999999</v>
      </c>
      <c r="W3015">
        <v>7.6990459999999997E-2</v>
      </c>
      <c r="X3015">
        <v>0.98505759999999998</v>
      </c>
      <c r="Y3015">
        <v>0.1529935</v>
      </c>
      <c r="Z3015">
        <v>-6.0789249999999998E-3</v>
      </c>
      <c r="AA3015">
        <v>0.98820850000000005</v>
      </c>
      <c r="AB3015">
        <v>34</v>
      </c>
      <c r="AC3015">
        <v>16.399999999999999</v>
      </c>
      <c r="AD3015">
        <v>-1.109746520736</v>
      </c>
      <c r="AE3015">
        <v>-2.3348</v>
      </c>
      <c r="AF3015">
        <v>2.5824570281090198</v>
      </c>
      <c r="AG3015">
        <v>-1.109746520736</v>
      </c>
      <c r="AH3015">
        <v>16.287897793558699</v>
      </c>
      <c r="AI3015">
        <v>93.849779902070694</v>
      </c>
      <c r="AJ3015">
        <v>80.990709329425798</v>
      </c>
      <c r="AK3015">
        <v>16.528648951917699</v>
      </c>
      <c r="AL3015">
        <v>85.584402026099795</v>
      </c>
      <c r="AM3015">
        <v>81.111207480601195</v>
      </c>
      <c r="AN3015">
        <v>1.0000000138355101</v>
      </c>
    </row>
    <row r="3016" spans="1:40" x14ac:dyDescent="0.25">
      <c r="A3016" t="str">
        <f>"20190312151330872"</f>
        <v>20190312151330872</v>
      </c>
      <c r="B3016" t="str">
        <f>"1552374810863176"</f>
        <v>1552374810863176</v>
      </c>
      <c r="C3016" t="s">
        <v>40</v>
      </c>
      <c r="D3016">
        <v>4.8839610000000002</v>
      </c>
      <c r="E3016">
        <v>0.49893769999999998</v>
      </c>
      <c r="F3016" t="s">
        <v>54</v>
      </c>
      <c r="G3016">
        <v>-339.18770000000001</v>
      </c>
      <c r="H3016" s="1">
        <v>3.4740620000000001E-6</v>
      </c>
      <c r="I3016">
        <v>211.83449999999999</v>
      </c>
      <c r="J3016">
        <v>-356.09390000000002</v>
      </c>
      <c r="K3016">
        <v>1.1097440000000001</v>
      </c>
      <c r="L3016">
        <v>214.2184</v>
      </c>
      <c r="M3016">
        <v>0.99978699999999998</v>
      </c>
      <c r="N3016">
        <v>0</v>
      </c>
      <c r="O3016">
        <v>1.5482640000000001E-2</v>
      </c>
      <c r="P3016">
        <v>0.98835870000000003</v>
      </c>
      <c r="Q3016">
        <v>6.329456E-2</v>
      </c>
      <c r="R3016">
        <v>-0.13835</v>
      </c>
      <c r="S3016">
        <v>2.9900820000000001</v>
      </c>
      <c r="T3016">
        <v>-0.19244430000000001</v>
      </c>
      <c r="U3016">
        <v>-0.41253659999999998</v>
      </c>
      <c r="V3016">
        <v>0.153700799999999</v>
      </c>
      <c r="W3016">
        <v>7.6623910000000003E-2</v>
      </c>
      <c r="X3016">
        <v>0.98514210000000002</v>
      </c>
      <c r="Y3016">
        <v>0.1516565</v>
      </c>
      <c r="Z3016">
        <v>-5.8435120000000004E-3</v>
      </c>
      <c r="AA3016">
        <v>0.98841599999999996</v>
      </c>
      <c r="AB3016">
        <v>34</v>
      </c>
      <c r="AC3016">
        <v>16.906199999999998</v>
      </c>
      <c r="AD3016">
        <v>-1.109740525938</v>
      </c>
      <c r="AE3016">
        <v>-2.3839000000000099</v>
      </c>
      <c r="AF3016">
        <v>2.6342621058028599</v>
      </c>
      <c r="AG3016">
        <v>-1.109740525938</v>
      </c>
      <c r="AH3016">
        <v>16.796300601666701</v>
      </c>
      <c r="AI3016">
        <v>93.734548982128302</v>
      </c>
      <c r="AJ3016">
        <v>81.086576937921393</v>
      </c>
      <c r="AK3016">
        <v>17.0377984134843</v>
      </c>
      <c r="AL3016">
        <v>85.605466213674404</v>
      </c>
      <c r="AM3016">
        <v>81.132266045507507</v>
      </c>
      <c r="AN3016">
        <v>1.0000000583483599</v>
      </c>
    </row>
    <row r="3017" spans="1:40" x14ac:dyDescent="0.25">
      <c r="A3017" t="str">
        <f>"20190312151330895"</f>
        <v>20190312151330895</v>
      </c>
      <c r="B3017" t="str">
        <f>"1552374810883672"</f>
        <v>1552374810883672</v>
      </c>
      <c r="C3017" t="s">
        <v>40</v>
      </c>
      <c r="D3017">
        <v>4.8612289999999998</v>
      </c>
      <c r="E3017">
        <v>0.49888329999999997</v>
      </c>
      <c r="F3017" t="s">
        <v>54</v>
      </c>
      <c r="G3017">
        <v>-338.64229999999998</v>
      </c>
      <c r="H3017" s="1">
        <v>3.1843550000000002E-6</v>
      </c>
      <c r="I3017">
        <v>211.82239999999999</v>
      </c>
      <c r="J3017">
        <v>-355.74799999999999</v>
      </c>
      <c r="K3017">
        <v>1.1097440000000001</v>
      </c>
      <c r="L3017">
        <v>214.2234</v>
      </c>
      <c r="M3017">
        <v>0.99979200000000001</v>
      </c>
      <c r="N3017">
        <v>0</v>
      </c>
      <c r="O3017">
        <v>1.5129770000000001E-2</v>
      </c>
      <c r="P3017">
        <v>0.98832350000000002</v>
      </c>
      <c r="Q3017">
        <v>6.3675949999999995E-2</v>
      </c>
      <c r="R3017">
        <v>-0.13842850000000001</v>
      </c>
      <c r="S3017">
        <v>2.9900509999999998</v>
      </c>
      <c r="T3017">
        <v>-0.1901369</v>
      </c>
      <c r="U3017">
        <v>-0.41050720000000002</v>
      </c>
      <c r="V3017">
        <v>0.15343099999999901</v>
      </c>
      <c r="W3017">
        <v>7.7032310000000007E-2</v>
      </c>
      <c r="X3017">
        <v>0.98515220000000003</v>
      </c>
      <c r="Y3017">
        <v>0.150661299999999</v>
      </c>
      <c r="Z3017">
        <v>-5.7201229999999997E-3</v>
      </c>
      <c r="AA3017">
        <v>0.98856889999999997</v>
      </c>
      <c r="AB3017">
        <v>34</v>
      </c>
      <c r="AC3017">
        <v>17.105699999999999</v>
      </c>
      <c r="AD3017">
        <v>-1.1097408156449999</v>
      </c>
      <c r="AE3017">
        <v>-2.40100000000001</v>
      </c>
      <c r="AF3017">
        <v>2.6486224213463698</v>
      </c>
      <c r="AG3017">
        <v>-1.1097408156449999</v>
      </c>
      <c r="AH3017">
        <v>16.997255346329499</v>
      </c>
      <c r="AI3017">
        <v>93.691086885417803</v>
      </c>
      <c r="AJ3017">
        <v>81.143030137476501</v>
      </c>
      <c r="AK3017">
        <v>17.2381383773624</v>
      </c>
      <c r="AL3017">
        <v>85.581996785563405</v>
      </c>
      <c r="AM3017">
        <v>81.147674663079997</v>
      </c>
      <c r="AN3017">
        <v>0.99999995285488597</v>
      </c>
    </row>
    <row r="3018" spans="1:40" x14ac:dyDescent="0.25">
      <c r="A3018" t="str">
        <f>"20190312151330916"</f>
        <v>20190312151330916</v>
      </c>
      <c r="B3018" t="str">
        <f>"1552374810912952"</f>
        <v>1552374810912952</v>
      </c>
      <c r="C3018" t="s">
        <v>40</v>
      </c>
      <c r="D3018">
        <v>4.8331429999999997</v>
      </c>
      <c r="E3018">
        <v>0.49861309999999898</v>
      </c>
      <c r="F3018" t="s">
        <v>54</v>
      </c>
      <c r="G3018">
        <v>-337.98610000000002</v>
      </c>
      <c r="H3018" s="1">
        <v>2.8368140000000001E-6</v>
      </c>
      <c r="I3018">
        <v>211.7841</v>
      </c>
      <c r="J3018">
        <v>-355.42090000000002</v>
      </c>
      <c r="K3018">
        <v>1.1097410000000001</v>
      </c>
      <c r="L3018">
        <v>214.22800000000001</v>
      </c>
      <c r="M3018">
        <v>0.99979680000000004</v>
      </c>
      <c r="N3018">
        <v>0</v>
      </c>
      <c r="O3018">
        <v>1.4795239999999999E-2</v>
      </c>
      <c r="P3018">
        <v>0.98835059999999997</v>
      </c>
      <c r="Q3018">
        <v>6.3519870000000006E-2</v>
      </c>
      <c r="R3018">
        <v>-0.1383066</v>
      </c>
      <c r="S3018">
        <v>2.98996</v>
      </c>
      <c r="T3018">
        <v>-0.1868089</v>
      </c>
      <c r="U3018">
        <v>-0.41061399999999998</v>
      </c>
      <c r="V3018">
        <v>0.15297939999999999</v>
      </c>
      <c r="W3018">
        <v>7.6890150000000004E-2</v>
      </c>
      <c r="X3018">
        <v>0.98523360000000004</v>
      </c>
      <c r="Y3018">
        <v>0.15038180000000001</v>
      </c>
      <c r="Z3018">
        <v>-5.590879E-3</v>
      </c>
      <c r="AA3018">
        <v>0.98861220000000005</v>
      </c>
      <c r="AB3018">
        <v>34</v>
      </c>
      <c r="AC3018">
        <v>17.4347999999999</v>
      </c>
      <c r="AD3018">
        <v>-1.1097381631859999</v>
      </c>
      <c r="AE3018">
        <v>-2.4438999999999802</v>
      </c>
      <c r="AF3018">
        <v>2.6909167356379902</v>
      </c>
      <c r="AG3018">
        <v>-1.1097381631859999</v>
      </c>
      <c r="AH3018">
        <v>17.327880140416401</v>
      </c>
      <c r="AI3018">
        <v>93.621131649023695</v>
      </c>
      <c r="AJ3018">
        <v>81.172815031540097</v>
      </c>
      <c r="AK3018">
        <v>17.570656841154399</v>
      </c>
      <c r="AL3018">
        <v>85.590166477207006</v>
      </c>
      <c r="AM3018">
        <v>81.174036983499406</v>
      </c>
      <c r="AN3018">
        <v>1.0000000192801699</v>
      </c>
    </row>
    <row r="3019" spans="1:40" x14ac:dyDescent="0.25">
      <c r="A3019" t="str">
        <f>"20190312151330938"</f>
        <v>20190312151330938</v>
      </c>
      <c r="B3019" t="str">
        <f>"1552374810933448"</f>
        <v>1552374810933448</v>
      </c>
      <c r="C3019" t="s">
        <v>40</v>
      </c>
      <c r="D3019">
        <v>4.8854369999999996</v>
      </c>
      <c r="E3019">
        <v>0.49855329999999898</v>
      </c>
      <c r="F3019" t="s">
        <v>54</v>
      </c>
      <c r="G3019">
        <v>-337.35599999999999</v>
      </c>
      <c r="H3019" s="1">
        <v>2.502441E-6</v>
      </c>
      <c r="I3019">
        <v>211.76349999999999</v>
      </c>
      <c r="J3019">
        <v>-355.08150000000001</v>
      </c>
      <c r="K3019">
        <v>1.1097410000000001</v>
      </c>
      <c r="L3019">
        <v>214.23259999999999</v>
      </c>
      <c r="M3019">
        <v>0.99980179999999996</v>
      </c>
      <c r="N3019">
        <v>0</v>
      </c>
      <c r="O3019">
        <v>1.444814E-2</v>
      </c>
      <c r="P3019">
        <v>0.98836049999999998</v>
      </c>
      <c r="Q3019">
        <v>6.3544619999999996E-2</v>
      </c>
      <c r="R3019">
        <v>-0.13822379999999901</v>
      </c>
      <c r="S3019">
        <v>2.9900820000000001</v>
      </c>
      <c r="T3019">
        <v>-0.18368329999999999</v>
      </c>
      <c r="U3019">
        <v>-0.40791319999999998</v>
      </c>
      <c r="V3019">
        <v>0.15255460000000001</v>
      </c>
      <c r="W3019">
        <v>7.6919150000000006E-2</v>
      </c>
      <c r="X3019">
        <v>0.98529719999999998</v>
      </c>
      <c r="Y3019">
        <v>0.14916989999999999</v>
      </c>
      <c r="Z3019">
        <v>-5.4393849999999997E-3</v>
      </c>
      <c r="AA3019">
        <v>0.98879660000000003</v>
      </c>
      <c r="AB3019">
        <v>34</v>
      </c>
      <c r="AC3019">
        <v>17.7255</v>
      </c>
      <c r="AD3019">
        <v>-1.1097384975589999</v>
      </c>
      <c r="AE3019">
        <v>-2.4690999999999899</v>
      </c>
      <c r="AF3019">
        <v>2.7145293504286201</v>
      </c>
      <c r="AG3019">
        <v>-1.1097384975589999</v>
      </c>
      <c r="AH3019">
        <v>17.620222176761601</v>
      </c>
      <c r="AI3019">
        <v>93.561872931328196</v>
      </c>
      <c r="AJ3019">
        <v>81.242002588115</v>
      </c>
      <c r="AK3019">
        <v>17.862598318434699</v>
      </c>
      <c r="AL3019">
        <v>85.588499953976196</v>
      </c>
      <c r="AM3019">
        <v>81.198720271141596</v>
      </c>
      <c r="AN3019">
        <v>1.00000001697286</v>
      </c>
    </row>
    <row r="3020" spans="1:40" x14ac:dyDescent="0.25">
      <c r="A3020" t="str">
        <f>"20190312151330960"</f>
        <v>20190312151330960</v>
      </c>
      <c r="B3020" t="str">
        <f>"1552374810952968"</f>
        <v>1552374810952968</v>
      </c>
      <c r="C3020" t="s">
        <v>40</v>
      </c>
      <c r="D3020">
        <v>4.8791520000000004</v>
      </c>
      <c r="E3020">
        <v>0.49863540000000001</v>
      </c>
      <c r="F3020" t="s">
        <v>54</v>
      </c>
      <c r="G3020">
        <v>-336.9117</v>
      </c>
      <c r="H3020" s="1">
        <v>2.266216E-6</v>
      </c>
      <c r="I3020">
        <v>211.7586</v>
      </c>
      <c r="J3020">
        <v>-354.74329999999998</v>
      </c>
      <c r="K3020">
        <v>1.109742</v>
      </c>
      <c r="L3020">
        <v>214.2371</v>
      </c>
      <c r="M3020">
        <v>0.9998068</v>
      </c>
      <c r="N3020">
        <v>0</v>
      </c>
      <c r="O3020">
        <v>1.410236E-2</v>
      </c>
      <c r="P3020">
        <v>0.98835819999999996</v>
      </c>
      <c r="Q3020">
        <v>6.36766E-2</v>
      </c>
      <c r="R3020">
        <v>-0.13817889999999999</v>
      </c>
      <c r="S3020">
        <v>2.9901430000000002</v>
      </c>
      <c r="T3020">
        <v>-0.18262610000000001</v>
      </c>
      <c r="U3020">
        <v>-0.40713500000000002</v>
      </c>
      <c r="V3020">
        <v>0.15216879999999999</v>
      </c>
      <c r="W3020">
        <v>7.7047039999999997E-2</v>
      </c>
      <c r="X3020">
        <v>0.98534690000000003</v>
      </c>
      <c r="Y3020">
        <v>0.14857770000000001</v>
      </c>
      <c r="Z3020">
        <v>-5.3691249999999998E-3</v>
      </c>
      <c r="AA3020">
        <v>0.98888620000000005</v>
      </c>
      <c r="AB3020">
        <v>34</v>
      </c>
      <c r="AC3020">
        <v>17.831599999999899</v>
      </c>
      <c r="AD3020">
        <v>-1.109739733784</v>
      </c>
      <c r="AE3020">
        <v>-2.4784999999999902</v>
      </c>
      <c r="AF3020">
        <v>2.7194117072504098</v>
      </c>
      <c r="AG3020">
        <v>-1.109739733784</v>
      </c>
      <c r="AH3020">
        <v>17.727510929249298</v>
      </c>
      <c r="AI3020">
        <v>93.5407234636764</v>
      </c>
      <c r="AJ3020">
        <v>81.278774686209104</v>
      </c>
      <c r="AK3020">
        <v>17.969178224307399</v>
      </c>
      <c r="AL3020">
        <v>85.581150740631003</v>
      </c>
      <c r="AM3020">
        <v>81.221066829935907</v>
      </c>
      <c r="AN3020">
        <v>1.0000000517029</v>
      </c>
    </row>
    <row r="3021" spans="1:40" x14ac:dyDescent="0.25">
      <c r="A3021" t="str">
        <f>"20190312151330984"</f>
        <v>20190312151330984</v>
      </c>
      <c r="B3021" t="str">
        <f>"1552374810973464"</f>
        <v>1552374810973464</v>
      </c>
      <c r="C3021" t="s">
        <v>40</v>
      </c>
      <c r="D3021">
        <v>4.8732739999999897</v>
      </c>
      <c r="E3021">
        <v>0.49871720000000003</v>
      </c>
      <c r="F3021" t="s">
        <v>54</v>
      </c>
      <c r="G3021">
        <v>-336.9271</v>
      </c>
      <c r="H3021" s="1">
        <v>2.2721720000000001E-6</v>
      </c>
      <c r="I3021">
        <v>211.80869999999999</v>
      </c>
      <c r="J3021">
        <v>-354.38909999999998</v>
      </c>
      <c r="K3021">
        <v>1.1097429999999999</v>
      </c>
      <c r="L3021">
        <v>214.24180000000001</v>
      </c>
      <c r="M3021">
        <v>0.99981200000000003</v>
      </c>
      <c r="N3021">
        <v>0</v>
      </c>
      <c r="O3021">
        <v>1.3740230000000001E-2</v>
      </c>
      <c r="P3021">
        <v>0.98832620000000004</v>
      </c>
      <c r="Q3021">
        <v>6.3628760000000006E-2</v>
      </c>
      <c r="R3021">
        <v>-0.13843</v>
      </c>
      <c r="S3021">
        <v>2.990326</v>
      </c>
      <c r="T3021">
        <v>-0.18626190000000001</v>
      </c>
      <c r="U3021">
        <v>-0.40759279999999998</v>
      </c>
      <c r="V3021">
        <v>0.15206210000000001</v>
      </c>
      <c r="W3021">
        <v>7.6989989999999994E-2</v>
      </c>
      <c r="X3021">
        <v>0.98536780000000002</v>
      </c>
      <c r="Y3021">
        <v>0.14834929999999999</v>
      </c>
      <c r="Z3021">
        <v>-5.44591E-3</v>
      </c>
      <c r="AA3021">
        <v>0.98892000000000002</v>
      </c>
      <c r="AB3021">
        <v>34</v>
      </c>
      <c r="AC3021">
        <v>17.4619999999999</v>
      </c>
      <c r="AD3021">
        <v>-1.10974072782799</v>
      </c>
      <c r="AE3021">
        <v>-2.43310000000002</v>
      </c>
      <c r="AF3021">
        <v>2.66227693151294</v>
      </c>
      <c r="AG3021">
        <v>-1.10974072782799</v>
      </c>
      <c r="AH3021">
        <v>17.3581454307269</v>
      </c>
      <c r="AI3021">
        <v>93.615886997988497</v>
      </c>
      <c r="AJ3021">
        <v>81.280302875521201</v>
      </c>
      <c r="AK3021">
        <v>17.596148889382899</v>
      </c>
      <c r="AL3021">
        <v>85.584429067187997</v>
      </c>
      <c r="AM3021">
        <v>81.227309960730295</v>
      </c>
      <c r="AN3021">
        <v>1.0000000210467199</v>
      </c>
    </row>
    <row r="3022" spans="1:40" x14ac:dyDescent="0.25">
      <c r="A3022" t="str">
        <f>"20190312151331028"</f>
        <v>20190312151331028</v>
      </c>
      <c r="B3022" t="str">
        <f>"1552374811023240"</f>
        <v>1552374811023240</v>
      </c>
      <c r="C3022" t="s">
        <v>40</v>
      </c>
      <c r="D3022">
        <v>4.8849809999999998</v>
      </c>
      <c r="E3022">
        <v>0.49900670000000003</v>
      </c>
      <c r="F3022" t="s">
        <v>54</v>
      </c>
      <c r="G3022">
        <v>-336.88810000000001</v>
      </c>
      <c r="H3022" s="1">
        <v>2.249667E-6</v>
      </c>
      <c r="I3022">
        <v>211.84889999999999</v>
      </c>
      <c r="J3022">
        <v>-353.72809999999998</v>
      </c>
      <c r="K3022">
        <v>1.109745</v>
      </c>
      <c r="L3022">
        <v>214.25</v>
      </c>
      <c r="M3022">
        <v>0.99982170000000004</v>
      </c>
      <c r="N3022">
        <v>0</v>
      </c>
      <c r="O3022">
        <v>1.3063369999999999E-2</v>
      </c>
      <c r="P3022">
        <v>0.9882666</v>
      </c>
      <c r="Q3022">
        <v>6.3794329999999996E-2</v>
      </c>
      <c r="R3022">
        <v>-0.13877970000000001</v>
      </c>
      <c r="S3022">
        <v>2.9903870000000001</v>
      </c>
      <c r="T3022">
        <v>-0.18962090000000001</v>
      </c>
      <c r="U3022">
        <v>-0.40887449999999997</v>
      </c>
      <c r="V3022">
        <v>0.15174299999999999</v>
      </c>
      <c r="W3022">
        <v>7.7122159999999995E-2</v>
      </c>
      <c r="X3022">
        <v>0.98540660000000002</v>
      </c>
      <c r="Y3022">
        <v>0.14808389999999999</v>
      </c>
      <c r="Z3022">
        <v>-5.4925879999999996E-3</v>
      </c>
      <c r="AA3022">
        <v>0.98895960000000005</v>
      </c>
      <c r="AB3022">
        <v>34</v>
      </c>
      <c r="AC3022">
        <v>16.8399999999999</v>
      </c>
      <c r="AD3022">
        <v>-1.109742750333</v>
      </c>
      <c r="AE3022">
        <v>-2.4011000000000098</v>
      </c>
      <c r="AF3022">
        <v>2.60979492780594</v>
      </c>
      <c r="AG3022">
        <v>-1.109742750333</v>
      </c>
      <c r="AH3022">
        <v>16.735962170054499</v>
      </c>
      <c r="AI3022">
        <v>93.748493900322401</v>
      </c>
      <c r="AJ3022">
        <v>81.136716867939398</v>
      </c>
      <c r="AK3022">
        <v>16.974539413327602</v>
      </c>
      <c r="AL3022">
        <v>85.576833459430901</v>
      </c>
      <c r="AM3022">
        <v>81.245773196537698</v>
      </c>
      <c r="AN3022">
        <v>0.99999996646781197</v>
      </c>
    </row>
    <row r="3023" spans="1:40" x14ac:dyDescent="0.25">
      <c r="A3023" t="str">
        <f>"20190312151331049"</f>
        <v>20190312151331049</v>
      </c>
      <c r="B3023" t="str">
        <f>"1552374811043736"</f>
        <v>1552374811043736</v>
      </c>
      <c r="C3023" t="s">
        <v>40</v>
      </c>
      <c r="D3023">
        <v>5.1183439999999996</v>
      </c>
      <c r="E3023">
        <v>0.49903500000000001</v>
      </c>
      <c r="F3023" t="s">
        <v>54</v>
      </c>
      <c r="G3023">
        <v>-336.90069999999997</v>
      </c>
      <c r="H3023" s="1">
        <v>2.2528700000000001E-6</v>
      </c>
      <c r="I3023">
        <v>211.9289</v>
      </c>
      <c r="J3023">
        <v>-353.38659999999999</v>
      </c>
      <c r="K3023">
        <v>1.109745</v>
      </c>
      <c r="L3023">
        <v>214.25409999999999</v>
      </c>
      <c r="M3023">
        <v>0.99982649999999995</v>
      </c>
      <c r="N3023">
        <v>0</v>
      </c>
      <c r="O3023">
        <v>1.271397E-2</v>
      </c>
      <c r="P3023">
        <v>0.98828329999999998</v>
      </c>
      <c r="Q3023">
        <v>6.3442250000000006E-2</v>
      </c>
      <c r="R3023">
        <v>-0.1388209</v>
      </c>
      <c r="S3023">
        <v>2.9904169999999999</v>
      </c>
      <c r="T3023">
        <v>-0.19721359999999999</v>
      </c>
      <c r="U3023">
        <v>-0.41249079999999999</v>
      </c>
      <c r="V3023">
        <v>0.15143960000000001</v>
      </c>
      <c r="W3023">
        <v>7.6750380000000007E-2</v>
      </c>
      <c r="X3023">
        <v>0.98548230000000003</v>
      </c>
      <c r="Y3023">
        <v>0.14888390000000001</v>
      </c>
      <c r="Z3023">
        <v>-5.7148440000000002E-3</v>
      </c>
      <c r="AA3023">
        <v>0.9888382</v>
      </c>
      <c r="AB3023">
        <v>34</v>
      </c>
      <c r="AC3023">
        <v>16.485900000000001</v>
      </c>
      <c r="AD3023">
        <v>-1.1097427471300001</v>
      </c>
      <c r="AE3023">
        <v>-2.3251999999999899</v>
      </c>
      <c r="AF3023">
        <v>2.5234214278953502</v>
      </c>
      <c r="AG3023">
        <v>-1.1097427471300001</v>
      </c>
      <c r="AH3023">
        <v>16.382217741544601</v>
      </c>
      <c r="AI3023">
        <v>93.830298595508097</v>
      </c>
      <c r="AJ3023">
        <v>81.243314184737002</v>
      </c>
      <c r="AK3023">
        <v>16.612532702720198</v>
      </c>
      <c r="AL3023">
        <v>85.598198218758597</v>
      </c>
      <c r="AM3023">
        <v>81.263667124201106</v>
      </c>
      <c r="AN3023">
        <v>0.99999996844579597</v>
      </c>
    </row>
    <row r="3024" spans="1:40" x14ac:dyDescent="0.25">
      <c r="A3024" t="str">
        <f>"20190312151331072"</f>
        <v>20190312151331072</v>
      </c>
      <c r="B3024" t="str">
        <f>"1552374811063256"</f>
        <v>1552374811063256</v>
      </c>
      <c r="C3024" t="s">
        <v>40</v>
      </c>
      <c r="D3024">
        <v>4.8351110000000004</v>
      </c>
      <c r="E3024">
        <v>0.47897909999999999</v>
      </c>
      <c r="F3024" t="s">
        <v>54</v>
      </c>
      <c r="G3024">
        <v>-336.74849999999998</v>
      </c>
      <c r="H3024" s="1">
        <v>2.170593E-6</v>
      </c>
      <c r="I3024">
        <v>211.95830000000001</v>
      </c>
      <c r="J3024">
        <v>-353.04349999999999</v>
      </c>
      <c r="K3024">
        <v>1.1097410000000001</v>
      </c>
      <c r="L3024">
        <v>214.25810000000001</v>
      </c>
      <c r="M3024">
        <v>0.99983109999999997</v>
      </c>
      <c r="N3024">
        <v>0</v>
      </c>
      <c r="O3024">
        <v>1.23632E-2</v>
      </c>
      <c r="P3024">
        <v>0.98824190000000001</v>
      </c>
      <c r="Q3024">
        <v>6.3296939999999996E-2</v>
      </c>
      <c r="R3024">
        <v>-0.13918150000000001</v>
      </c>
      <c r="S3024">
        <v>2.9903870000000001</v>
      </c>
      <c r="T3024">
        <v>-0.1994554</v>
      </c>
      <c r="U3024">
        <v>-0.4126282</v>
      </c>
      <c r="V3024">
        <v>0.15145320000000001</v>
      </c>
      <c r="W3024">
        <v>7.6584440000000004E-2</v>
      </c>
      <c r="X3024">
        <v>0.98549310000000001</v>
      </c>
      <c r="Y3024">
        <v>0.1485765</v>
      </c>
      <c r="Z3024">
        <v>-5.746241E-3</v>
      </c>
      <c r="AA3024">
        <v>0.98888419999999999</v>
      </c>
      <c r="AB3024">
        <v>34</v>
      </c>
      <c r="AC3024">
        <v>16.295000000000002</v>
      </c>
      <c r="AD3024">
        <v>-1.1097388294069901</v>
      </c>
      <c r="AE3024">
        <v>-2.2997999999999998</v>
      </c>
      <c r="AF3024">
        <v>2.4897790503102901</v>
      </c>
      <c r="AG3024">
        <v>-1.1097388294069901</v>
      </c>
      <c r="AH3024">
        <v>16.191688123462299</v>
      </c>
      <c r="AI3024">
        <v>93.875374071983003</v>
      </c>
      <c r="AJ3024">
        <v>81.258158382067805</v>
      </c>
      <c r="AK3024">
        <v>16.4195397096364</v>
      </c>
      <c r="AL3024">
        <v>85.607733862291497</v>
      </c>
      <c r="AM3024">
        <v>81.262988937731606</v>
      </c>
      <c r="AN3024">
        <v>0.99999994919398005</v>
      </c>
    </row>
    <row r="3025" spans="1:40" x14ac:dyDescent="0.25">
      <c r="A3025" t="str">
        <f>"20190312151331095"</f>
        <v>20190312151331095</v>
      </c>
      <c r="B3025" t="str">
        <f>"1552374811083751"</f>
        <v>1552374811083751</v>
      </c>
      <c r="C3025" t="s">
        <v>40</v>
      </c>
      <c r="D3025">
        <v>4.8181279999999997</v>
      </c>
      <c r="E3025">
        <v>0.47607460000000001</v>
      </c>
      <c r="F3025" t="s">
        <v>41</v>
      </c>
      <c r="G3025">
        <v>-352.11149999999998</v>
      </c>
      <c r="H3025">
        <v>1.0314989999999999</v>
      </c>
      <c r="I3025">
        <v>214.1789</v>
      </c>
      <c r="J3025">
        <v>-352.69060000000002</v>
      </c>
      <c r="K3025">
        <v>1.1097410000000001</v>
      </c>
      <c r="L3025">
        <v>214.262</v>
      </c>
      <c r="M3025">
        <v>0.99983569999999999</v>
      </c>
      <c r="N3025">
        <v>0</v>
      </c>
      <c r="O3025">
        <v>1.200182E-2</v>
      </c>
      <c r="P3025">
        <v>0.98817149999999998</v>
      </c>
      <c r="Q3025">
        <v>6.3609609999999997E-2</v>
      </c>
      <c r="R3025">
        <v>-0.1395391</v>
      </c>
      <c r="S3025">
        <v>3.01593</v>
      </c>
      <c r="T3025">
        <v>-0.25328709999999999</v>
      </c>
      <c r="U3025">
        <v>-0.25559999999999999</v>
      </c>
      <c r="V3025">
        <v>0.15145330000000001</v>
      </c>
      <c r="W3025">
        <v>7.6877310000000004E-2</v>
      </c>
      <c r="X3025">
        <v>0.98547039999999997</v>
      </c>
      <c r="Y3025">
        <v>9.6023540000000004E-2</v>
      </c>
      <c r="Z3025">
        <v>-5.0225169999999998E-3</v>
      </c>
      <c r="AA3025">
        <v>0.99536639999999998</v>
      </c>
      <c r="AB3025">
        <v>34</v>
      </c>
      <c r="AC3025">
        <v>0.57910000000003903</v>
      </c>
      <c r="AD3025">
        <v>-7.8242000000000103E-2</v>
      </c>
      <c r="AE3025">
        <v>-8.31000000000017E-2</v>
      </c>
      <c r="AF3025">
        <v>8.8462639097368304E-2</v>
      </c>
      <c r="AG3025">
        <v>-7.8242000000000103E-2</v>
      </c>
      <c r="AH3025">
        <v>0.56790314984838797</v>
      </c>
      <c r="AI3025">
        <v>97.752125210634205</v>
      </c>
      <c r="AJ3025">
        <v>81.146153357814299</v>
      </c>
      <c r="AK3025">
        <v>0.58005296024396902</v>
      </c>
      <c r="AL3025">
        <v>85.590904545755293</v>
      </c>
      <c r="AM3025">
        <v>81.262785109021607</v>
      </c>
      <c r="AN3025">
        <v>1.00000006607494</v>
      </c>
    </row>
    <row r="3026" spans="1:40" x14ac:dyDescent="0.25">
      <c r="A3026" t="str">
        <f>"20190312151331116"</f>
        <v>20190312151331116</v>
      </c>
      <c r="B3026" t="str">
        <f>"1552374811113032"</f>
        <v>1552374811113032</v>
      </c>
      <c r="C3026" t="s">
        <v>40</v>
      </c>
      <c r="D3026">
        <v>4.8316660000000002</v>
      </c>
      <c r="E3026">
        <v>0.47447139999999999</v>
      </c>
      <c r="F3026" t="s">
        <v>41</v>
      </c>
      <c r="G3026">
        <v>-351.8057</v>
      </c>
      <c r="H3026">
        <v>1.0349250000000001</v>
      </c>
      <c r="I3026">
        <v>214.19319999999999</v>
      </c>
      <c r="J3026">
        <v>-352.36259999999999</v>
      </c>
      <c r="K3026">
        <v>1.1097429999999999</v>
      </c>
      <c r="L3026">
        <v>214.26560000000001</v>
      </c>
      <c r="M3026">
        <v>0.99983999999999995</v>
      </c>
      <c r="N3026">
        <v>0</v>
      </c>
      <c r="O3026">
        <v>1.166563E-2</v>
      </c>
      <c r="P3026">
        <v>0.98822239999999995</v>
      </c>
      <c r="Q3026">
        <v>6.3437389999999996E-2</v>
      </c>
      <c r="R3026">
        <v>-0.13925670000000001</v>
      </c>
      <c r="S3026">
        <v>3.0193789999999998</v>
      </c>
      <c r="T3026">
        <v>-0.25542199999999998</v>
      </c>
      <c r="U3026">
        <v>-0.2335052</v>
      </c>
      <c r="V3026">
        <v>0.15083949999999999</v>
      </c>
      <c r="W3026">
        <v>7.6690469999999997E-2</v>
      </c>
      <c r="X3026">
        <v>0.98557899999999998</v>
      </c>
      <c r="Y3026">
        <v>8.8376730000000001E-2</v>
      </c>
      <c r="Z3026">
        <v>-4.7096940000000004E-3</v>
      </c>
      <c r="AA3026">
        <v>0.99607599999999996</v>
      </c>
      <c r="AB3026">
        <v>34</v>
      </c>
      <c r="AC3026">
        <v>0.55689999999998396</v>
      </c>
      <c r="AD3026">
        <v>-7.4817999999999801E-2</v>
      </c>
      <c r="AE3026">
        <v>-7.2400000000015993E-2</v>
      </c>
      <c r="AF3026">
        <v>7.7516404762629706E-2</v>
      </c>
      <c r="AG3026">
        <v>-7.4817999999999801E-2</v>
      </c>
      <c r="AH3026">
        <v>0.54632067140948404</v>
      </c>
      <c r="AI3026">
        <v>97.721689676620002</v>
      </c>
      <c r="AJ3026">
        <v>81.924316358699798</v>
      </c>
      <c r="AK3026">
        <v>0.556841810697287</v>
      </c>
      <c r="AL3026">
        <v>85.601640980884696</v>
      </c>
      <c r="AM3026">
        <v>81.298595803150405</v>
      </c>
      <c r="AN3026">
        <v>0.99999997409503505</v>
      </c>
    </row>
    <row r="3027" spans="1:40" x14ac:dyDescent="0.25">
      <c r="A3027" t="str">
        <f>"20190312151331138"</f>
        <v>20190312151331138</v>
      </c>
      <c r="B3027" t="str">
        <f>"1552374811133528"</f>
        <v>1552374811133528</v>
      </c>
      <c r="C3027" t="s">
        <v>40</v>
      </c>
      <c r="D3027">
        <v>4.9466760000000001</v>
      </c>
      <c r="E3027">
        <v>0.47388150000000001</v>
      </c>
      <c r="F3027" t="s">
        <v>41</v>
      </c>
      <c r="G3027">
        <v>-351.50029999999998</v>
      </c>
      <c r="H3027">
        <v>1.037585</v>
      </c>
      <c r="I3027">
        <v>214.20249999999999</v>
      </c>
      <c r="J3027">
        <v>-352.03210000000001</v>
      </c>
      <c r="K3027">
        <v>1.1097440000000001</v>
      </c>
      <c r="L3027">
        <v>214.26910000000001</v>
      </c>
      <c r="M3027">
        <v>0.99984410000000001</v>
      </c>
      <c r="N3027">
        <v>0</v>
      </c>
      <c r="O3027">
        <v>1.1326869999999999E-2</v>
      </c>
      <c r="P3027">
        <v>0.98822840000000001</v>
      </c>
      <c r="Q3027">
        <v>6.2970440000000003E-2</v>
      </c>
      <c r="R3027">
        <v>-0.1394253</v>
      </c>
      <c r="S3027">
        <v>3.020966</v>
      </c>
      <c r="T3027">
        <v>-0.25291059999999999</v>
      </c>
      <c r="U3027">
        <v>-0.22016910000000001</v>
      </c>
      <c r="V3027">
        <v>0.15067349999999999</v>
      </c>
      <c r="W3027">
        <v>7.6207899999999995E-2</v>
      </c>
      <c r="X3027">
        <v>0.98564180000000001</v>
      </c>
      <c r="Y3027">
        <v>8.3650290000000002E-2</v>
      </c>
      <c r="Z3027">
        <v>-4.4363520000000002E-3</v>
      </c>
      <c r="AA3027">
        <v>0.99648530000000002</v>
      </c>
      <c r="AB3027">
        <v>34</v>
      </c>
      <c r="AC3027">
        <v>0.53180000000003202</v>
      </c>
      <c r="AD3027">
        <v>-7.2159000000000001E-2</v>
      </c>
      <c r="AE3027">
        <v>-6.6600000000022405E-2</v>
      </c>
      <c r="AF3027">
        <v>7.1326965361053998E-2</v>
      </c>
      <c r="AG3027">
        <v>-7.2159000000000001E-2</v>
      </c>
      <c r="AH3027">
        <v>0.52155717519539502</v>
      </c>
      <c r="AI3027">
        <v>97.8052935055604</v>
      </c>
      <c r="AJ3027">
        <v>82.212668535878606</v>
      </c>
      <c r="AK3027">
        <v>0.53133449376679598</v>
      </c>
      <c r="AL3027">
        <v>85.629371266338396</v>
      </c>
      <c r="AM3027">
        <v>81.308570789852496</v>
      </c>
      <c r="AN3027">
        <v>0.999999952765948</v>
      </c>
    </row>
    <row r="3028" spans="1:40" x14ac:dyDescent="0.25">
      <c r="A3028" t="str">
        <f>"20190312151331161"</f>
        <v>20190312151331161</v>
      </c>
      <c r="B3028" t="str">
        <f>"1552374811153048"</f>
        <v>1552374811153048</v>
      </c>
      <c r="C3028" t="s">
        <v>40</v>
      </c>
      <c r="D3028">
        <v>5.019374</v>
      </c>
      <c r="E3028">
        <v>0.47355219999999998</v>
      </c>
      <c r="F3028" t="s">
        <v>41</v>
      </c>
      <c r="G3028">
        <v>-351.19479999999999</v>
      </c>
      <c r="H3028">
        <v>1.040648</v>
      </c>
      <c r="I3028">
        <v>214.209</v>
      </c>
      <c r="J3028">
        <v>-351.67970000000003</v>
      </c>
      <c r="K3028">
        <v>1.1097459999999999</v>
      </c>
      <c r="L3028">
        <v>214.27269999999999</v>
      </c>
      <c r="M3028">
        <v>0.99984830000000002</v>
      </c>
      <c r="N3028">
        <v>0</v>
      </c>
      <c r="O3028">
        <v>1.0965569999999999E-2</v>
      </c>
      <c r="P3028">
        <v>0.98816479999999995</v>
      </c>
      <c r="Q3028">
        <v>6.2630499999999895E-2</v>
      </c>
      <c r="R3028">
        <v>-0.1400284</v>
      </c>
      <c r="S3028">
        <v>3.0211489999999999</v>
      </c>
      <c r="T3028">
        <v>-0.24942610000000001</v>
      </c>
      <c r="U3028">
        <v>-0.2158051</v>
      </c>
      <c r="V3028">
        <v>0.15091879999999999</v>
      </c>
      <c r="W3028">
        <v>7.5852249999999996E-2</v>
      </c>
      <c r="X3028">
        <v>0.98563179999999995</v>
      </c>
      <c r="Y3028">
        <v>8.1870020000000002E-2</v>
      </c>
      <c r="Z3028">
        <v>-4.2723789999999998E-3</v>
      </c>
      <c r="AA3028">
        <v>0.99663389999999996</v>
      </c>
      <c r="AB3028">
        <v>34</v>
      </c>
      <c r="AC3028">
        <v>0.48490000000003802</v>
      </c>
      <c r="AD3028">
        <v>-6.9097999999999798E-2</v>
      </c>
      <c r="AE3028">
        <v>-6.3699999999982895E-2</v>
      </c>
      <c r="AF3028">
        <v>6.7663194411235902E-2</v>
      </c>
      <c r="AG3028">
        <v>-6.9097999999999798E-2</v>
      </c>
      <c r="AH3028">
        <v>0.47469655848938702</v>
      </c>
      <c r="AI3028">
        <v>98.200206464355901</v>
      </c>
      <c r="AJ3028">
        <v>81.887712238176306</v>
      </c>
      <c r="AK3028">
        <v>0.48444779298042101</v>
      </c>
      <c r="AL3028">
        <v>85.649808073016303</v>
      </c>
      <c r="AM3028">
        <v>81.294550559573494</v>
      </c>
      <c r="AN3028">
        <v>1.00000004659737</v>
      </c>
    </row>
    <row r="3029" spans="1:40" x14ac:dyDescent="0.25">
      <c r="A3029" t="str">
        <f>"20190312151331185"</f>
        <v>20190312151331185</v>
      </c>
      <c r="B3029" t="str">
        <f>"1552374811173544"</f>
        <v>1552374811173544</v>
      </c>
      <c r="C3029" t="s">
        <v>40</v>
      </c>
      <c r="D3029">
        <v>4.8431689999999996</v>
      </c>
      <c r="E3029">
        <v>0.47307709999999997</v>
      </c>
      <c r="F3029" t="s">
        <v>41</v>
      </c>
      <c r="G3029">
        <v>-350.88830000000002</v>
      </c>
      <c r="H3029">
        <v>1.045123</v>
      </c>
      <c r="I3029">
        <v>214.21629999999999</v>
      </c>
      <c r="J3029">
        <v>-351.32470000000001</v>
      </c>
      <c r="K3029">
        <v>1.1097509999999999</v>
      </c>
      <c r="L3029">
        <v>214.27619999999999</v>
      </c>
      <c r="M3029">
        <v>0.99985250000000003</v>
      </c>
      <c r="N3029">
        <v>0</v>
      </c>
      <c r="O3029">
        <v>1.060199E-2</v>
      </c>
      <c r="P3029">
        <v>0.98824440000000002</v>
      </c>
      <c r="Q3029">
        <v>6.2507850000000004E-2</v>
      </c>
      <c r="R3029">
        <v>-0.1395219</v>
      </c>
      <c r="S3029">
        <v>3.0210880000000002</v>
      </c>
      <c r="T3029">
        <v>-0.2468071</v>
      </c>
      <c r="U3029">
        <v>-0.2146149</v>
      </c>
      <c r="V3029">
        <v>0.1500543</v>
      </c>
      <c r="W3029">
        <v>7.5718640000000004E-2</v>
      </c>
      <c r="X3029">
        <v>0.98577400000000004</v>
      </c>
      <c r="Y3029">
        <v>8.1128560000000002E-2</v>
      </c>
      <c r="Z3029">
        <v>-4.1679880000000001E-3</v>
      </c>
      <c r="AA3029">
        <v>0.99669490000000005</v>
      </c>
      <c r="AB3029">
        <v>34</v>
      </c>
      <c r="AC3029">
        <v>0.43639999999999102</v>
      </c>
      <c r="AD3029">
        <v>-6.4627999999999894E-2</v>
      </c>
      <c r="AE3029">
        <v>-5.9899999999998899E-2</v>
      </c>
      <c r="AF3029">
        <v>6.3164085564554606E-2</v>
      </c>
      <c r="AG3029">
        <v>-6.4627999999999894E-2</v>
      </c>
      <c r="AH3029">
        <v>0.426558205325484</v>
      </c>
      <c r="AI3029">
        <v>98.523823636719897</v>
      </c>
      <c r="AJ3029">
        <v>81.576937653088606</v>
      </c>
      <c r="AK3029">
        <v>0.43602566738634202</v>
      </c>
      <c r="AL3029">
        <v>85.657485204211298</v>
      </c>
      <c r="AM3029">
        <v>81.344889802061601</v>
      </c>
      <c r="AN3029">
        <v>0.99999999223396896</v>
      </c>
    </row>
    <row r="3030" spans="1:40" x14ac:dyDescent="0.25">
      <c r="A3030" t="str">
        <f>"20190312151331207"</f>
        <v>20190312151331207</v>
      </c>
      <c r="B3030" t="str">
        <f>"1552374811203800"</f>
        <v>1552374811203800</v>
      </c>
      <c r="C3030" t="s">
        <v>40</v>
      </c>
      <c r="D3030">
        <v>4.844557</v>
      </c>
      <c r="E3030">
        <v>0.47275430000000002</v>
      </c>
      <c r="F3030" t="s">
        <v>41</v>
      </c>
      <c r="G3030">
        <v>-350.5804</v>
      </c>
      <c r="H3030">
        <v>1.0497179999999999</v>
      </c>
      <c r="I3030">
        <v>214.2242</v>
      </c>
      <c r="J3030">
        <v>-350.98630000000003</v>
      </c>
      <c r="K3030">
        <v>1.1097509999999999</v>
      </c>
      <c r="L3030">
        <v>214.27940000000001</v>
      </c>
      <c r="M3030">
        <v>0.99985630000000003</v>
      </c>
      <c r="N3030">
        <v>0</v>
      </c>
      <c r="O3030">
        <v>1.025532E-2</v>
      </c>
      <c r="P3030">
        <v>0.98828039999999995</v>
      </c>
      <c r="Q3030">
        <v>6.2563069999999998E-2</v>
      </c>
      <c r="R3030">
        <v>-0.13923929999999901</v>
      </c>
      <c r="S3030">
        <v>3.0214840000000001</v>
      </c>
      <c r="T3030">
        <v>-0.24390229999999999</v>
      </c>
      <c r="U3030">
        <v>-0.2097321</v>
      </c>
      <c r="V3030">
        <v>0.14943010000000001</v>
      </c>
      <c r="W3030">
        <v>7.5763339999999998E-2</v>
      </c>
      <c r="X3030">
        <v>0.9858654</v>
      </c>
      <c r="Y3030">
        <v>7.9185359999999996E-2</v>
      </c>
      <c r="Z3030">
        <v>-4.012664E-3</v>
      </c>
      <c r="AA3030">
        <v>0.99685190000000001</v>
      </c>
      <c r="AB3030">
        <v>34</v>
      </c>
      <c r="AC3030">
        <v>0.40590000000003101</v>
      </c>
      <c r="AD3030">
        <v>-6.0033000000000003E-2</v>
      </c>
      <c r="AE3030">
        <v>-5.5200000000013398E-2</v>
      </c>
      <c r="AF3030">
        <v>5.8112010709726998E-2</v>
      </c>
      <c r="AG3030">
        <v>-6.0033000000000003E-2</v>
      </c>
      <c r="AH3030">
        <v>0.39679044635423899</v>
      </c>
      <c r="AI3030">
        <v>98.513928700802893</v>
      </c>
      <c r="AJ3030">
        <v>81.667971684143794</v>
      </c>
      <c r="AK3030">
        <v>0.40549183123180599</v>
      </c>
      <c r="AL3030">
        <v>85.654916793976597</v>
      </c>
      <c r="AM3030">
        <v>81.3811388099423</v>
      </c>
      <c r="AN3030">
        <v>1.0000000126955599</v>
      </c>
    </row>
    <row r="3031" spans="1:40" x14ac:dyDescent="0.25">
      <c r="A3031" t="str">
        <f>"20190312151331229"</f>
        <v>20190312151331229</v>
      </c>
      <c r="B3031" t="str">
        <f>"1552374811223320"</f>
        <v>1552374811223320</v>
      </c>
      <c r="C3031" t="s">
        <v>40</v>
      </c>
      <c r="D3031">
        <v>4.7859540000000003</v>
      </c>
      <c r="E3031">
        <v>0.47267920000000002</v>
      </c>
      <c r="F3031" t="s">
        <v>41</v>
      </c>
      <c r="G3031">
        <v>-349.98739999999998</v>
      </c>
      <c r="H3031">
        <v>1.026467</v>
      </c>
      <c r="I3031">
        <v>214.21080000000001</v>
      </c>
      <c r="J3031">
        <v>-350.654</v>
      </c>
      <c r="K3031">
        <v>1.1097509999999999</v>
      </c>
      <c r="L3031">
        <v>214.2824</v>
      </c>
      <c r="M3031">
        <v>0.99985990000000002</v>
      </c>
      <c r="N3031">
        <v>0</v>
      </c>
      <c r="O3031">
        <v>9.9148970000000006E-3</v>
      </c>
      <c r="P3031">
        <v>0.98831389999999997</v>
      </c>
      <c r="Q3031">
        <v>6.2760490000000002E-2</v>
      </c>
      <c r="R3031">
        <v>-0.1389135</v>
      </c>
      <c r="S3031">
        <v>3.0223689999999999</v>
      </c>
      <c r="T3031">
        <v>-0.25205549999999999</v>
      </c>
      <c r="U3031">
        <v>-0.2067871</v>
      </c>
      <c r="V3031">
        <v>0.1487685</v>
      </c>
      <c r="W3031">
        <v>7.595209E-2</v>
      </c>
      <c r="X3031">
        <v>0.98595089999999996</v>
      </c>
      <c r="Y3031">
        <v>7.7845319999999996E-2</v>
      </c>
      <c r="Z3031">
        <v>-4.0612440000000003E-3</v>
      </c>
      <c r="AA3031">
        <v>0.99695719999999999</v>
      </c>
      <c r="AB3031">
        <v>34</v>
      </c>
      <c r="AC3031">
        <v>0.66660000000001596</v>
      </c>
      <c r="AD3031">
        <v>-8.32839999999999E-2</v>
      </c>
      <c r="AE3031">
        <v>-7.1599999999989394E-2</v>
      </c>
      <c r="AF3031">
        <v>7.7017843469275094E-2</v>
      </c>
      <c r="AG3031">
        <v>-8.32839999999999E-2</v>
      </c>
      <c r="AH3031">
        <v>0.65573817302610804</v>
      </c>
      <c r="AI3031">
        <v>97.189372183211603</v>
      </c>
      <c r="AJ3031">
        <v>83.3011797122075</v>
      </c>
      <c r="AK3031">
        <v>0.66547766636625505</v>
      </c>
      <c r="AL3031">
        <v>85.644070830663395</v>
      </c>
      <c r="AM3031">
        <v>81.419462458249996</v>
      </c>
      <c r="AN3031">
        <v>0.99999998188921302</v>
      </c>
    </row>
    <row r="3032" spans="1:40" x14ac:dyDescent="0.25">
      <c r="A3032" t="str">
        <f>"20190312151331250"</f>
        <v>20190312151331250</v>
      </c>
      <c r="B3032" t="str">
        <f>"1552374811242840"</f>
        <v>1552374811242840</v>
      </c>
      <c r="C3032" t="s">
        <v>40</v>
      </c>
      <c r="D3032">
        <v>4.7321920000000004</v>
      </c>
      <c r="E3032">
        <v>0.472603</v>
      </c>
      <c r="F3032" t="s">
        <v>41</v>
      </c>
      <c r="G3032">
        <v>-349.68329999999997</v>
      </c>
      <c r="H3032">
        <v>1.0285</v>
      </c>
      <c r="I3032">
        <v>214.21639999999999</v>
      </c>
      <c r="J3032">
        <v>-350.32729999999998</v>
      </c>
      <c r="K3032">
        <v>1.1097520000000001</v>
      </c>
      <c r="L3032">
        <v>214.28530000000001</v>
      </c>
      <c r="M3032">
        <v>0.99986319999999995</v>
      </c>
      <c r="N3032">
        <v>0</v>
      </c>
      <c r="O3032">
        <v>9.5803099999999999E-3</v>
      </c>
      <c r="P3032">
        <v>0.98839650000000001</v>
      </c>
      <c r="Q3032">
        <v>6.2570819999999999E-2</v>
      </c>
      <c r="R3032">
        <v>-0.13841059999999999</v>
      </c>
      <c r="S3032">
        <v>3.0227050000000002</v>
      </c>
      <c r="T3032">
        <v>-0.25313140000000001</v>
      </c>
      <c r="U3032">
        <v>-0.20489499999999999</v>
      </c>
      <c r="V3032">
        <v>0.14793599999999901</v>
      </c>
      <c r="W3032">
        <v>7.5755740000000002E-2</v>
      </c>
      <c r="X3032">
        <v>0.9860913</v>
      </c>
      <c r="Y3032">
        <v>7.6884930000000004E-2</v>
      </c>
      <c r="Z3032">
        <v>-4.0101119999999997E-3</v>
      </c>
      <c r="AA3032">
        <v>0.99703189999999997</v>
      </c>
      <c r="AB3032">
        <v>34</v>
      </c>
      <c r="AC3032">
        <v>0.64400000000000501</v>
      </c>
      <c r="AD3032">
        <v>-8.1252000000000102E-2</v>
      </c>
      <c r="AE3032">
        <v>-6.8900000000013506E-2</v>
      </c>
      <c r="AF3032">
        <v>7.3904006042561796E-2</v>
      </c>
      <c r="AG3032">
        <v>-8.1252000000000102E-2</v>
      </c>
      <c r="AH3032">
        <v>0.63334265819741198</v>
      </c>
      <c r="AI3032">
        <v>97.261844286072602</v>
      </c>
      <c r="AJ3032">
        <v>83.344322833957506</v>
      </c>
      <c r="AK3032">
        <v>0.642795933641231</v>
      </c>
      <c r="AL3032">
        <v>85.655353537810996</v>
      </c>
      <c r="AM3032">
        <v>81.467966904624106</v>
      </c>
      <c r="AN3032">
        <v>1.00000002208731</v>
      </c>
    </row>
    <row r="3033" spans="1:40" x14ac:dyDescent="0.25">
      <c r="A3033" t="str">
        <f>"20190312151331273"</f>
        <v>20190312151331273</v>
      </c>
      <c r="B3033" t="str">
        <f>"1552374811263339"</f>
        <v>1552374811263339</v>
      </c>
      <c r="C3033" t="s">
        <v>40</v>
      </c>
      <c r="D3033">
        <v>4.7385970000000004</v>
      </c>
      <c r="E3033">
        <v>0.47249760000000002</v>
      </c>
      <c r="F3033" t="s">
        <v>41</v>
      </c>
      <c r="G3033">
        <v>-349.37959999999998</v>
      </c>
      <c r="H3033">
        <v>1.0300419999999999</v>
      </c>
      <c r="I3033">
        <v>214.22149999999999</v>
      </c>
      <c r="J3033">
        <v>-349.98880000000003</v>
      </c>
      <c r="K3033">
        <v>1.109747</v>
      </c>
      <c r="L3033">
        <v>214.28819999999999</v>
      </c>
      <c r="M3033">
        <v>0.99986649999999999</v>
      </c>
      <c r="N3033">
        <v>0</v>
      </c>
      <c r="O3033">
        <v>9.2334400000000007E-3</v>
      </c>
      <c r="P3033">
        <v>0.98849980000000004</v>
      </c>
      <c r="Q3033">
        <v>6.2014319999999998E-2</v>
      </c>
      <c r="R3033">
        <v>-0.1379213</v>
      </c>
      <c r="S3033">
        <v>3.02298</v>
      </c>
      <c r="T3033">
        <v>-0.25439270000000003</v>
      </c>
      <c r="U3033">
        <v>-0.2026367</v>
      </c>
      <c r="V3033">
        <v>0.14710479999999901</v>
      </c>
      <c r="W3033">
        <v>7.5193239999999995E-2</v>
      </c>
      <c r="X3033">
        <v>0.98625870000000004</v>
      </c>
      <c r="Y3033">
        <v>7.5793540000000006E-2</v>
      </c>
      <c r="Z3033">
        <v>-3.9548580000000003E-3</v>
      </c>
      <c r="AA3033">
        <v>0.99711570000000005</v>
      </c>
      <c r="AB3033">
        <v>34</v>
      </c>
      <c r="AC3033">
        <v>0.60920000000004304</v>
      </c>
      <c r="AD3033">
        <v>-7.9705000000000095E-2</v>
      </c>
      <c r="AE3033">
        <v>-6.6699999999997303E-2</v>
      </c>
      <c r="AF3033">
        <v>7.1119678082196505E-2</v>
      </c>
      <c r="AG3033">
        <v>-7.9705000000000095E-2</v>
      </c>
      <c r="AH3033">
        <v>0.59843546646922297</v>
      </c>
      <c r="AI3033">
        <v>97.534113562769704</v>
      </c>
      <c r="AJ3033">
        <v>83.222603433589398</v>
      </c>
      <c r="AK3033">
        <v>0.60789464807954396</v>
      </c>
      <c r="AL3033">
        <v>85.687674655116894</v>
      </c>
      <c r="AM3033">
        <v>81.516624847674393</v>
      </c>
      <c r="AN3033">
        <v>1.00000003442521</v>
      </c>
    </row>
    <row r="3034" spans="1:40" x14ac:dyDescent="0.25">
      <c r="A3034" t="str">
        <f>"20190312151331295"</f>
        <v>20190312151331295</v>
      </c>
      <c r="B3034" t="str">
        <f>"1552374811283832"</f>
        <v>1552374811283832</v>
      </c>
      <c r="C3034" t="s">
        <v>40</v>
      </c>
      <c r="D3034">
        <v>4.7180070000000001</v>
      </c>
      <c r="E3034">
        <v>0.47237089999999998</v>
      </c>
      <c r="F3034" t="s">
        <v>41</v>
      </c>
      <c r="G3034">
        <v>-349.07589999999999</v>
      </c>
      <c r="H3034">
        <v>1.0319910000000001</v>
      </c>
      <c r="I3034">
        <v>214.2277</v>
      </c>
      <c r="J3034">
        <v>-349.65449999999998</v>
      </c>
      <c r="K3034">
        <v>1.109747</v>
      </c>
      <c r="L3034">
        <v>214.29089999999999</v>
      </c>
      <c r="M3034">
        <v>0.99986989999999998</v>
      </c>
      <c r="N3034">
        <v>0</v>
      </c>
      <c r="O3034">
        <v>8.8906739999999995E-3</v>
      </c>
      <c r="P3034">
        <v>0.98855919999999997</v>
      </c>
      <c r="Q3034">
        <v>6.1861039999999999E-2</v>
      </c>
      <c r="R3034">
        <v>-0.13756559999999901</v>
      </c>
      <c r="S3034">
        <v>3.0231319999999999</v>
      </c>
      <c r="T3034">
        <v>-0.25753140000000002</v>
      </c>
      <c r="U3034">
        <v>-0.20030210000000001</v>
      </c>
      <c r="V3034">
        <v>0.14641089999999901</v>
      </c>
      <c r="W3034">
        <v>7.5033959999999997E-2</v>
      </c>
      <c r="X3034">
        <v>0.98637399999999997</v>
      </c>
      <c r="Y3034">
        <v>7.4679549999999997E-2</v>
      </c>
      <c r="Z3034">
        <v>-3.9269470000000001E-3</v>
      </c>
      <c r="AA3034">
        <v>0.99719979999999997</v>
      </c>
      <c r="AB3034">
        <v>34</v>
      </c>
      <c r="AC3034">
        <v>0.57859999999999401</v>
      </c>
      <c r="AD3034">
        <v>-7.7756000000000103E-2</v>
      </c>
      <c r="AE3034">
        <v>-6.3199999999994802E-2</v>
      </c>
      <c r="AF3034">
        <v>6.7143810318351205E-2</v>
      </c>
      <c r="AG3034">
        <v>-7.7756000000000103E-2</v>
      </c>
      <c r="AH3034">
        <v>0.56788034646854801</v>
      </c>
      <c r="AI3034">
        <v>97.7433635472822</v>
      </c>
      <c r="AJ3034">
        <v>83.256891281247405</v>
      </c>
      <c r="AK3034">
        <v>0.57709823661600701</v>
      </c>
      <c r="AL3034">
        <v>85.696826248554103</v>
      </c>
      <c r="AM3034">
        <v>81.557035878096798</v>
      </c>
      <c r="AN3034">
        <v>0.99999995733404401</v>
      </c>
    </row>
    <row r="3035" spans="1:40" x14ac:dyDescent="0.25">
      <c r="A3035" t="str">
        <f>"20190312151331317"</f>
        <v>20190312151331317</v>
      </c>
      <c r="B3035" t="str">
        <f>"1552374811313112"</f>
        <v>1552374811313112</v>
      </c>
      <c r="C3035" t="s">
        <v>40</v>
      </c>
      <c r="D3035">
        <v>4.7018129999999996</v>
      </c>
      <c r="E3035">
        <v>0.47215940000000001</v>
      </c>
      <c r="F3035" t="s">
        <v>41</v>
      </c>
      <c r="G3035">
        <v>-348.77229999999997</v>
      </c>
      <c r="H3035">
        <v>1.0341039999999999</v>
      </c>
      <c r="I3035">
        <v>214.23269999999999</v>
      </c>
      <c r="J3035">
        <v>-349.31110000000001</v>
      </c>
      <c r="K3035">
        <v>1.1097520000000001</v>
      </c>
      <c r="L3035">
        <v>214.2936</v>
      </c>
      <c r="M3035">
        <v>0.99987300000000001</v>
      </c>
      <c r="N3035">
        <v>0</v>
      </c>
      <c r="O3035">
        <v>8.5389630000000001E-3</v>
      </c>
      <c r="P3035">
        <v>0.98860179999999998</v>
      </c>
      <c r="Q3035">
        <v>6.1920259999999998E-2</v>
      </c>
      <c r="R3035">
        <v>-0.13723189999999999</v>
      </c>
      <c r="S3035">
        <v>3.0233460000000001</v>
      </c>
      <c r="T3035">
        <v>-0.25943680000000002</v>
      </c>
      <c r="U3035">
        <v>-0.19824220000000001</v>
      </c>
      <c r="V3035">
        <v>0.14573029999999901</v>
      </c>
      <c r="W3035">
        <v>7.5087210000000001E-2</v>
      </c>
      <c r="X3035">
        <v>0.98647079999999998</v>
      </c>
      <c r="Y3035">
        <v>7.3648210000000006E-2</v>
      </c>
      <c r="Z3035">
        <v>-3.8814840000000001E-3</v>
      </c>
      <c r="AA3035">
        <v>0.99727670000000002</v>
      </c>
      <c r="AB3035">
        <v>34</v>
      </c>
      <c r="AC3035">
        <v>0.53880000000003703</v>
      </c>
      <c r="AD3035">
        <v>-7.5647999999999896E-2</v>
      </c>
      <c r="AE3035">
        <v>-6.0900000000003701E-2</v>
      </c>
      <c r="AF3035">
        <v>6.4248472957766797E-2</v>
      </c>
      <c r="AG3035">
        <v>-7.5647999999999896E-2</v>
      </c>
      <c r="AH3035">
        <v>0.52798373955672795</v>
      </c>
      <c r="AI3035">
        <v>98.094771956283196</v>
      </c>
      <c r="AJ3035">
        <v>83.061990231287794</v>
      </c>
      <c r="AK3035">
        <v>0.53723115641008001</v>
      </c>
      <c r="AL3035">
        <v>85.693766905989904</v>
      </c>
      <c r="AM3035">
        <v>81.596534604887495</v>
      </c>
      <c r="AN3035">
        <v>1.0000000243481499</v>
      </c>
    </row>
    <row r="3036" spans="1:40" x14ac:dyDescent="0.25">
      <c r="A3036" t="str">
        <f>"20190312151331339"</f>
        <v>20190312151331339</v>
      </c>
      <c r="B3036" t="str">
        <f>"1552374811333608"</f>
        <v>1552374811333608</v>
      </c>
      <c r="C3036" t="s">
        <v>40</v>
      </c>
      <c r="D3036">
        <v>4.9351070000000004</v>
      </c>
      <c r="E3036">
        <v>0.4720377</v>
      </c>
      <c r="F3036" t="s">
        <v>41</v>
      </c>
      <c r="G3036">
        <v>-348.4683</v>
      </c>
      <c r="H3036">
        <v>1.0374639999999999</v>
      </c>
      <c r="I3036">
        <v>214.2389</v>
      </c>
      <c r="J3036">
        <v>-348.98160000000001</v>
      </c>
      <c r="K3036">
        <v>1.10975</v>
      </c>
      <c r="L3036">
        <v>214.29599999999999</v>
      </c>
      <c r="M3036">
        <v>0.99987599999999999</v>
      </c>
      <c r="N3036">
        <v>0</v>
      </c>
      <c r="O3036">
        <v>8.2008979999999999E-3</v>
      </c>
      <c r="P3036">
        <v>0.9886992</v>
      </c>
      <c r="Q3036">
        <v>6.1379209999999997E-2</v>
      </c>
      <c r="R3036">
        <v>-0.13677339999999999</v>
      </c>
      <c r="S3036">
        <v>3.023682</v>
      </c>
      <c r="T3036">
        <v>-0.25948539999999998</v>
      </c>
      <c r="U3036">
        <v>-0.19557189999999999</v>
      </c>
      <c r="V3036">
        <v>0.14493819999999999</v>
      </c>
      <c r="W3036">
        <v>7.4542289999999997E-2</v>
      </c>
      <c r="X3036">
        <v>0.98662879999999997</v>
      </c>
      <c r="Y3036">
        <v>7.2432380000000005E-2</v>
      </c>
      <c r="Z3036">
        <v>-3.8009350000000001E-3</v>
      </c>
      <c r="AA3036">
        <v>0.99736610000000003</v>
      </c>
      <c r="AB3036">
        <v>34</v>
      </c>
      <c r="AC3036">
        <v>0.51330000000001497</v>
      </c>
      <c r="AD3036">
        <v>-7.2286000000000003E-2</v>
      </c>
      <c r="AE3036">
        <v>-5.7099999999991199E-2</v>
      </c>
      <c r="AF3036">
        <v>6.0130059599129197E-2</v>
      </c>
      <c r="AG3036">
        <v>-7.2286000000000003E-2</v>
      </c>
      <c r="AH3036">
        <v>0.50296162614436002</v>
      </c>
      <c r="AI3036">
        <v>98.121531826637394</v>
      </c>
      <c r="AJ3036">
        <v>83.182533037031305</v>
      </c>
      <c r="AK3036">
        <v>0.51167498203173301</v>
      </c>
      <c r="AL3036">
        <v>85.725076214563501</v>
      </c>
      <c r="AM3036">
        <v>81.642883272078905</v>
      </c>
      <c r="AN3036">
        <v>1.0000000119035599</v>
      </c>
    </row>
    <row r="3037" spans="1:40" x14ac:dyDescent="0.25">
      <c r="A3037" t="str">
        <f>"20190312151331362"</f>
        <v>20190312151331362</v>
      </c>
      <c r="B3037" t="str">
        <f>"1552374811353128"</f>
        <v>1552374811353128</v>
      </c>
      <c r="C3037" t="s">
        <v>40</v>
      </c>
      <c r="D3037">
        <v>4.6844130000000002</v>
      </c>
      <c r="E3037">
        <v>0.47199400000000002</v>
      </c>
      <c r="F3037" t="s">
        <v>41</v>
      </c>
      <c r="G3037">
        <v>-348.16489999999999</v>
      </c>
      <c r="H3037">
        <v>1.0396399999999999</v>
      </c>
      <c r="I3037">
        <v>214.24369999999999</v>
      </c>
      <c r="J3037">
        <v>-348.62560000000002</v>
      </c>
      <c r="K3037">
        <v>1.109753</v>
      </c>
      <c r="L3037">
        <v>214.29859999999999</v>
      </c>
      <c r="M3037">
        <v>0.99987890000000001</v>
      </c>
      <c r="N3037">
        <v>0</v>
      </c>
      <c r="O3037">
        <v>7.8357730000000007E-3</v>
      </c>
      <c r="P3037">
        <v>0.98868290000000003</v>
      </c>
      <c r="Q3037">
        <v>6.155074E-2</v>
      </c>
      <c r="R3037">
        <v>-0.13681370000000001</v>
      </c>
      <c r="S3037">
        <v>3.0237729999999998</v>
      </c>
      <c r="T3037">
        <v>-0.25981969999999999</v>
      </c>
      <c r="U3037">
        <v>-0.19258120000000001</v>
      </c>
      <c r="V3037">
        <v>0.14461760000000001</v>
      </c>
      <c r="W3037">
        <v>7.4708720000000006E-2</v>
      </c>
      <c r="X3037">
        <v>0.98666319999999996</v>
      </c>
      <c r="Y3037">
        <v>7.1089239999999998E-2</v>
      </c>
      <c r="Z3037">
        <v>-3.7169870000000002E-3</v>
      </c>
      <c r="AA3037">
        <v>0.99746299999999999</v>
      </c>
      <c r="AB3037">
        <v>34</v>
      </c>
      <c r="AC3037">
        <v>0.46070000000003097</v>
      </c>
      <c r="AD3037">
        <v>-7.0112999999999995E-2</v>
      </c>
      <c r="AE3037">
        <v>-5.4900000000003502E-2</v>
      </c>
      <c r="AF3037">
        <v>5.7202260025711701E-2</v>
      </c>
      <c r="AG3037">
        <v>-7.0112999999999995E-2</v>
      </c>
      <c r="AH3037">
        <v>0.44997950266216502</v>
      </c>
      <c r="AI3037">
        <v>98.786663647134702</v>
      </c>
      <c r="AJ3037">
        <v>82.755308223993197</v>
      </c>
      <c r="AK3037">
        <v>0.45898745531565299</v>
      </c>
      <c r="AL3037">
        <v>85.715513577409794</v>
      </c>
      <c r="AM3037">
        <v>81.661395447306504</v>
      </c>
      <c r="AN3037">
        <v>0.99999995665401797</v>
      </c>
    </row>
    <row r="3038" spans="1:40" x14ac:dyDescent="0.25">
      <c r="A3038" t="str">
        <f>"20190312151331387"</f>
        <v>20190312151331387</v>
      </c>
      <c r="B3038" t="str">
        <f>"1552374811383384"</f>
        <v>1552374811383384</v>
      </c>
      <c r="C3038" t="s">
        <v>40</v>
      </c>
      <c r="D3038">
        <v>4.6878270000000004</v>
      </c>
      <c r="E3038">
        <v>0.47189110000000001</v>
      </c>
      <c r="F3038" t="s">
        <v>41</v>
      </c>
      <c r="G3038">
        <v>-347.86</v>
      </c>
      <c r="H3038">
        <v>1.0445340000000001</v>
      </c>
      <c r="I3038">
        <v>214.24959999999999</v>
      </c>
      <c r="J3038">
        <v>-348.28230000000002</v>
      </c>
      <c r="K3038">
        <v>1.1097649999999999</v>
      </c>
      <c r="L3038">
        <v>214.30090000000001</v>
      </c>
      <c r="M3038">
        <v>0.99988169999999998</v>
      </c>
      <c r="N3038">
        <v>0</v>
      </c>
      <c r="O3038">
        <v>7.4836900000000003E-3</v>
      </c>
      <c r="P3038">
        <v>0.98872119999999997</v>
      </c>
      <c r="Q3038">
        <v>6.2174880000000002E-2</v>
      </c>
      <c r="R3038">
        <v>-0.13625399999999999</v>
      </c>
      <c r="S3038">
        <v>3.0238040000000002</v>
      </c>
      <c r="T3038">
        <v>-0.25771159999999999</v>
      </c>
      <c r="U3038">
        <v>-0.1923523</v>
      </c>
      <c r="V3038">
        <v>0.14371099999999901</v>
      </c>
      <c r="W3038">
        <v>7.5329720000000003E-2</v>
      </c>
      <c r="X3038">
        <v>0.98674850000000003</v>
      </c>
      <c r="Y3038">
        <v>7.0669640000000006E-2</v>
      </c>
      <c r="Z3038">
        <v>-3.6391499999999999E-3</v>
      </c>
      <c r="AA3038">
        <v>0.99749310000000002</v>
      </c>
      <c r="AB3038">
        <v>34</v>
      </c>
      <c r="AC3038">
        <v>0.422300000000007</v>
      </c>
      <c r="AD3038">
        <v>-6.5230999999999803E-2</v>
      </c>
      <c r="AE3038">
        <v>-5.1300000000026102E-2</v>
      </c>
      <c r="AF3038">
        <v>5.32081397018173E-2</v>
      </c>
      <c r="AG3038">
        <v>-6.5230999999999803E-2</v>
      </c>
      <c r="AH3038">
        <v>0.41221197568069701</v>
      </c>
      <c r="AI3038">
        <v>98.919481140652394</v>
      </c>
      <c r="AJ3038">
        <v>82.644954940862405</v>
      </c>
      <c r="AK3038">
        <v>0.42071950559263599</v>
      </c>
      <c r="AL3038">
        <v>85.679832581595207</v>
      </c>
      <c r="AM3038">
        <v>81.713647908273103</v>
      </c>
      <c r="AN3038">
        <v>1.0000000102442601</v>
      </c>
    </row>
    <row r="3039" spans="1:40" x14ac:dyDescent="0.25">
      <c r="A3039" t="str">
        <f>"20190312151331408"</f>
        <v>20190312151331408</v>
      </c>
      <c r="B3039" t="str">
        <f>"1552374811402904"</f>
        <v>1552374811402904</v>
      </c>
      <c r="C3039" t="s">
        <v>40</v>
      </c>
      <c r="D3039">
        <v>5.0581779999999998</v>
      </c>
      <c r="E3039">
        <v>0.47188989999999997</v>
      </c>
      <c r="F3039" t="s">
        <v>41</v>
      </c>
      <c r="G3039">
        <v>-347.26710000000003</v>
      </c>
      <c r="H3039">
        <v>1.023874</v>
      </c>
      <c r="I3039">
        <v>214.23689999999999</v>
      </c>
      <c r="J3039">
        <v>-347.94779999999997</v>
      </c>
      <c r="K3039">
        <v>1.1097729999999999</v>
      </c>
      <c r="L3039">
        <v>214.303</v>
      </c>
      <c r="M3039">
        <v>0.99988440000000001</v>
      </c>
      <c r="N3039">
        <v>0</v>
      </c>
      <c r="O3039">
        <v>7.1407809999999997E-3</v>
      </c>
      <c r="P3039">
        <v>0.98870080000000005</v>
      </c>
      <c r="Q3039">
        <v>6.3293020000000005E-2</v>
      </c>
      <c r="R3039">
        <v>-0.13588649999999999</v>
      </c>
      <c r="S3039">
        <v>3.0241389999999999</v>
      </c>
      <c r="T3039">
        <v>-0.25594630000000002</v>
      </c>
      <c r="U3039">
        <v>-0.19007869999999999</v>
      </c>
      <c r="V3039">
        <v>0.14300539999999901</v>
      </c>
      <c r="W3039">
        <v>7.6443239999999996E-2</v>
      </c>
      <c r="X3039">
        <v>0.98676540000000001</v>
      </c>
      <c r="Y3039">
        <v>6.9582550000000007E-2</v>
      </c>
      <c r="Z3039">
        <v>-3.539174E-3</v>
      </c>
      <c r="AA3039">
        <v>0.99756990000000001</v>
      </c>
      <c r="AB3039">
        <v>34</v>
      </c>
      <c r="AC3039">
        <v>0.68069999999994402</v>
      </c>
      <c r="AD3039">
        <v>-8.5898999999999906E-2</v>
      </c>
      <c r="AE3039">
        <v>-6.6100000000005807E-2</v>
      </c>
      <c r="AF3039">
        <v>6.9857432021558794E-2</v>
      </c>
      <c r="AG3039">
        <v>-8.5898999999999906E-2</v>
      </c>
      <c r="AH3039">
        <v>0.66964645087560504</v>
      </c>
      <c r="AI3039">
        <v>97.2706772492798</v>
      </c>
      <c r="AJ3039">
        <v>84.044453290992607</v>
      </c>
      <c r="AK3039">
        <v>0.67873784937922899</v>
      </c>
      <c r="AL3039">
        <v>85.615848185215</v>
      </c>
      <c r="AM3039">
        <v>81.753911115322595</v>
      </c>
      <c r="AN3039">
        <v>1.0000000340040001</v>
      </c>
    </row>
    <row r="3040" spans="1:40" x14ac:dyDescent="0.25">
      <c r="A3040" t="str">
        <f>"20190312151331430"</f>
        <v>20190312151331430</v>
      </c>
      <c r="B3040" t="str">
        <f>"1552374811423400"</f>
        <v>1552374811423400</v>
      </c>
      <c r="C3040" t="s">
        <v>40</v>
      </c>
      <c r="D3040">
        <v>4.6680109999999999</v>
      </c>
      <c r="E3040">
        <v>0.47187240000000003</v>
      </c>
      <c r="F3040" t="s">
        <v>41</v>
      </c>
      <c r="G3040">
        <v>-346.96350000000001</v>
      </c>
      <c r="H3040">
        <v>1.0282180000000001</v>
      </c>
      <c r="I3040">
        <v>214.24119999999999</v>
      </c>
      <c r="J3040">
        <v>-347.62040000000002</v>
      </c>
      <c r="K3040">
        <v>1.109777</v>
      </c>
      <c r="L3040">
        <v>214.30500000000001</v>
      </c>
      <c r="M3040">
        <v>0.99988670000000002</v>
      </c>
      <c r="N3040">
        <v>0</v>
      </c>
      <c r="O3040">
        <v>6.8048469999999897E-3</v>
      </c>
      <c r="P3040">
        <v>0.98869649999999998</v>
      </c>
      <c r="Q3040">
        <v>6.3672850000000003E-2</v>
      </c>
      <c r="R3040">
        <v>-0.13573959999999999</v>
      </c>
      <c r="S3040">
        <v>3.024384</v>
      </c>
      <c r="T3040">
        <v>-0.2507993</v>
      </c>
      <c r="U3040">
        <v>-0.18867490000000001</v>
      </c>
      <c r="V3040">
        <v>0.14252699999999999</v>
      </c>
      <c r="W3040">
        <v>7.6819789999999999E-2</v>
      </c>
      <c r="X3040">
        <v>0.9868053</v>
      </c>
      <c r="Y3040">
        <v>6.879586E-2</v>
      </c>
      <c r="Z3040">
        <v>-3.4077000000000001E-3</v>
      </c>
      <c r="AA3040">
        <v>0.99762490000000004</v>
      </c>
      <c r="AB3040">
        <v>34</v>
      </c>
      <c r="AC3040">
        <v>0.65690000000000703</v>
      </c>
      <c r="AD3040">
        <v>-8.1558999999999895E-2</v>
      </c>
      <c r="AE3040">
        <v>-6.3800000000014706E-2</v>
      </c>
      <c r="AF3040">
        <v>6.7242173483521003E-2</v>
      </c>
      <c r="AG3040">
        <v>-8.1558999999999895E-2</v>
      </c>
      <c r="AH3040">
        <v>0.646576718478034</v>
      </c>
      <c r="AI3040">
        <v>97.151138470558195</v>
      </c>
      <c r="AJ3040">
        <v>84.062742158309803</v>
      </c>
      <c r="AK3040">
        <v>0.65516015847547604</v>
      </c>
      <c r="AL3040">
        <v>85.594209518575795</v>
      </c>
      <c r="AM3040">
        <v>81.781447281956105</v>
      </c>
      <c r="AN3040">
        <v>0.99999996298636595</v>
      </c>
    </row>
    <row r="3041" spans="1:40" x14ac:dyDescent="0.25">
      <c r="A3041" t="str">
        <f>"20190312151331451"</f>
        <v>20190312151331451</v>
      </c>
      <c r="B3041" t="str">
        <f>"1552374811443896"</f>
        <v>1552374811443896</v>
      </c>
      <c r="C3041" t="s">
        <v>40</v>
      </c>
      <c r="D3041">
        <v>4.6407429999999996</v>
      </c>
      <c r="E3041">
        <v>0.47190660000000001</v>
      </c>
      <c r="F3041" t="s">
        <v>41</v>
      </c>
      <c r="G3041">
        <v>-346.66059999999999</v>
      </c>
      <c r="H3041">
        <v>1.0314190000000001</v>
      </c>
      <c r="I3041">
        <v>214.24520000000001</v>
      </c>
      <c r="J3041">
        <v>-347.29390000000001</v>
      </c>
      <c r="K3041">
        <v>1.1097729999999999</v>
      </c>
      <c r="L3041">
        <v>214.30680000000001</v>
      </c>
      <c r="M3041">
        <v>0.99988909999999998</v>
      </c>
      <c r="N3041">
        <v>0</v>
      </c>
      <c r="O3041">
        <v>6.4693279999999999E-3</v>
      </c>
      <c r="P3041">
        <v>0.98861869999999996</v>
      </c>
      <c r="Q3041">
        <v>6.3560930000000002E-2</v>
      </c>
      <c r="R3041">
        <v>-0.13635649999999999</v>
      </c>
      <c r="S3041">
        <v>3.0243530000000001</v>
      </c>
      <c r="T3041">
        <v>-0.2469566</v>
      </c>
      <c r="U3041">
        <v>-0.18800349999999999</v>
      </c>
      <c r="V3041">
        <v>0.14281189999999999</v>
      </c>
      <c r="W3041">
        <v>7.6703789999999994E-2</v>
      </c>
      <c r="X3041">
        <v>0.98677320000000002</v>
      </c>
      <c r="Y3041">
        <v>6.8251850000000003E-2</v>
      </c>
      <c r="Z3041">
        <v>-3.3062349999999998E-3</v>
      </c>
      <c r="AA3041">
        <v>0.99766270000000001</v>
      </c>
      <c r="AB3041">
        <v>34</v>
      </c>
      <c r="AC3041">
        <v>0.63330000000001896</v>
      </c>
      <c r="AD3041">
        <v>-7.8353999999999799E-2</v>
      </c>
      <c r="AE3041">
        <v>-6.1599999999998503E-2</v>
      </c>
      <c r="AF3041">
        <v>6.4714770012801903E-2</v>
      </c>
      <c r="AG3041">
        <v>-7.8353999999999799E-2</v>
      </c>
      <c r="AH3041">
        <v>0.623434438745056</v>
      </c>
      <c r="AI3041">
        <v>97.125553527939601</v>
      </c>
      <c r="AJ3041">
        <v>84.073713797319002</v>
      </c>
      <c r="AK3041">
        <v>0.63166276618712702</v>
      </c>
      <c r="AL3041">
        <v>85.600875789381803</v>
      </c>
      <c r="AM3041">
        <v>81.764979931903397</v>
      </c>
      <c r="AN3041">
        <v>1.0000000292100999</v>
      </c>
    </row>
    <row r="3042" spans="1:40" x14ac:dyDescent="0.25">
      <c r="A3042" t="str">
        <f>"20190312151331474"</f>
        <v>20190312151331474</v>
      </c>
      <c r="B3042" t="str">
        <f>"1552374811463419"</f>
        <v>1552374811463419</v>
      </c>
      <c r="C3042" t="s">
        <v>40</v>
      </c>
      <c r="D3042">
        <v>4.7006949999999996</v>
      </c>
      <c r="E3042">
        <v>0.47200950000000003</v>
      </c>
      <c r="F3042" t="s">
        <v>41</v>
      </c>
      <c r="G3042">
        <v>-346.35820000000001</v>
      </c>
      <c r="H3042">
        <v>1.033855</v>
      </c>
      <c r="I3042">
        <v>214.24760000000001</v>
      </c>
      <c r="J3042">
        <v>-346.95429999999999</v>
      </c>
      <c r="K3042">
        <v>1.10978</v>
      </c>
      <c r="L3042">
        <v>214.30869999999999</v>
      </c>
      <c r="M3042">
        <v>0.99989119999999998</v>
      </c>
      <c r="N3042">
        <v>0</v>
      </c>
      <c r="O3042">
        <v>6.120871E-3</v>
      </c>
      <c r="P3042">
        <v>0.98853800000000003</v>
      </c>
      <c r="Q3042">
        <v>6.3792849999999998E-2</v>
      </c>
      <c r="R3042">
        <v>-0.13683399999999901</v>
      </c>
      <c r="S3042">
        <v>3.0241090000000002</v>
      </c>
      <c r="T3042">
        <v>-0.24554690000000001</v>
      </c>
      <c r="U3042">
        <v>-0.19003300000000001</v>
      </c>
      <c r="V3042">
        <v>0.1429446</v>
      </c>
      <c r="W3042">
        <v>7.6931040000000006E-2</v>
      </c>
      <c r="X3042">
        <v>0.98673630000000001</v>
      </c>
      <c r="Y3042">
        <v>6.8578929999999996E-2</v>
      </c>
      <c r="Z3042">
        <v>-3.2726410000000002E-3</v>
      </c>
      <c r="AA3042">
        <v>0.99764030000000004</v>
      </c>
      <c r="AB3042">
        <v>34</v>
      </c>
      <c r="AC3042">
        <v>0.59609999999997798</v>
      </c>
      <c r="AD3042">
        <v>-7.5925000000000006E-2</v>
      </c>
      <c r="AE3042">
        <v>-6.1099999999981898E-2</v>
      </c>
      <c r="AF3042">
        <v>6.3724776010530101E-2</v>
      </c>
      <c r="AG3042">
        <v>-7.5925000000000006E-2</v>
      </c>
      <c r="AH3042">
        <v>0.58630212036003804</v>
      </c>
      <c r="AI3042">
        <v>97.335901554415798</v>
      </c>
      <c r="AJ3042">
        <v>83.796910936119204</v>
      </c>
      <c r="AK3042">
        <v>0.59462225743850905</v>
      </c>
      <c r="AL3042">
        <v>85.587816760749305</v>
      </c>
      <c r="AM3042">
        <v>81.757129085545102</v>
      </c>
      <c r="AN3042">
        <v>1.0000000346611599</v>
      </c>
    </row>
    <row r="3043" spans="1:40" x14ac:dyDescent="0.25">
      <c r="A3043" t="str">
        <f>"20190312151331496"</f>
        <v>20190312151331496</v>
      </c>
      <c r="B3043" t="str">
        <f>"1552374811493385"</f>
        <v>1552374811493385</v>
      </c>
      <c r="C3043" t="s">
        <v>40</v>
      </c>
      <c r="D3043">
        <v>4.8785150000000002</v>
      </c>
      <c r="E3043">
        <v>0.49654769999999998</v>
      </c>
      <c r="F3043" t="s">
        <v>41</v>
      </c>
      <c r="G3043">
        <v>-346.05560000000003</v>
      </c>
      <c r="H3043">
        <v>1.037202</v>
      </c>
      <c r="I3043">
        <v>214.25139999999999</v>
      </c>
      <c r="J3043">
        <v>-346.61709999999999</v>
      </c>
      <c r="K3043">
        <v>1.109782</v>
      </c>
      <c r="L3043">
        <v>214.31030000000001</v>
      </c>
      <c r="M3043">
        <v>0.99989340000000004</v>
      </c>
      <c r="N3043">
        <v>0</v>
      </c>
      <c r="O3043">
        <v>5.7746759999999899E-3</v>
      </c>
      <c r="P3043">
        <v>0.98840360000000005</v>
      </c>
      <c r="Q3043">
        <v>6.3788910000000004E-2</v>
      </c>
      <c r="R3043">
        <v>-0.13780309999999901</v>
      </c>
      <c r="S3043">
        <v>3.0239560000000001</v>
      </c>
      <c r="T3043">
        <v>-0.2443253</v>
      </c>
      <c r="U3043">
        <v>-0.19242860000000001</v>
      </c>
      <c r="V3043">
        <v>0.143570899999999</v>
      </c>
      <c r="W3043">
        <v>7.6922009999999999E-2</v>
      </c>
      <c r="X3043">
        <v>0.98664609999999997</v>
      </c>
      <c r="Y3043">
        <v>6.9025959999999997E-2</v>
      </c>
      <c r="Z3043">
        <v>-3.2466029999999998E-3</v>
      </c>
      <c r="AA3043">
        <v>0.99760959999999999</v>
      </c>
      <c r="AB3043">
        <v>34</v>
      </c>
      <c r="AC3043">
        <v>0.56149999999996603</v>
      </c>
      <c r="AD3043">
        <v>-7.2580000000000006E-2</v>
      </c>
      <c r="AE3043">
        <v>-5.8900000000022601E-2</v>
      </c>
      <c r="AF3043">
        <v>6.1131498230162201E-2</v>
      </c>
      <c r="AG3043">
        <v>-7.2580000000000006E-2</v>
      </c>
      <c r="AH3043">
        <v>0.55202737861783202</v>
      </c>
      <c r="AI3043">
        <v>97.445230312400099</v>
      </c>
      <c r="AJ3043">
        <v>83.680814305458597</v>
      </c>
      <c r="AK3043">
        <v>0.56012422123984296</v>
      </c>
      <c r="AL3043">
        <v>85.588335803670901</v>
      </c>
      <c r="AM3043">
        <v>81.720766769207202</v>
      </c>
      <c r="AN3043">
        <v>1.0000000627972201</v>
      </c>
    </row>
    <row r="3044" spans="1:40" x14ac:dyDescent="0.25">
      <c r="A3044" t="str">
        <f>"20190312151331520"</f>
        <v>20190312151331520</v>
      </c>
      <c r="B3044" t="str">
        <f>"1552374811512905"</f>
        <v>1552374811512905</v>
      </c>
      <c r="C3044" t="s">
        <v>40</v>
      </c>
      <c r="D3044">
        <v>4.7821769999999999</v>
      </c>
      <c r="E3044">
        <v>0.49926989999999999</v>
      </c>
      <c r="F3044" t="s">
        <v>54</v>
      </c>
      <c r="G3044">
        <v>-330.31819999999999</v>
      </c>
      <c r="H3044" s="1">
        <v>-1.2615919999999999E-6</v>
      </c>
      <c r="I3044">
        <v>212.1943</v>
      </c>
      <c r="J3044">
        <v>-346.26150000000001</v>
      </c>
      <c r="K3044">
        <v>1.109782</v>
      </c>
      <c r="L3044">
        <v>214.31200000000001</v>
      </c>
      <c r="M3044">
        <v>0.99989539999999999</v>
      </c>
      <c r="N3044">
        <v>0</v>
      </c>
      <c r="O3044">
        <v>5.4100619999999898E-3</v>
      </c>
      <c r="P3044">
        <v>0.98826939999999996</v>
      </c>
      <c r="Q3044">
        <v>6.3821669999999997E-2</v>
      </c>
      <c r="R3044">
        <v>-0.1387457</v>
      </c>
      <c r="S3044">
        <v>2.994202</v>
      </c>
      <c r="T3044">
        <v>-0.2038739</v>
      </c>
      <c r="U3044">
        <v>-0.38873289999999999</v>
      </c>
      <c r="V3044">
        <v>0.14415259999999999</v>
      </c>
      <c r="W3044">
        <v>7.6949569999999995E-2</v>
      </c>
      <c r="X3044">
        <v>0.98655910000000002</v>
      </c>
      <c r="Y3044">
        <v>0.13379469999999999</v>
      </c>
      <c r="Z3044">
        <v>-4.8972690000000001E-3</v>
      </c>
      <c r="AA3044">
        <v>0.99099700000000002</v>
      </c>
      <c r="AB3044">
        <v>34</v>
      </c>
      <c r="AC3044">
        <v>15.943300000000001</v>
      </c>
      <c r="AD3044">
        <v>-1.109783261592</v>
      </c>
      <c r="AE3044">
        <v>-2.1177000000000099</v>
      </c>
      <c r="AF3044">
        <v>2.1934871806767999</v>
      </c>
      <c r="AG3044">
        <v>-1.109783261592</v>
      </c>
      <c r="AH3044">
        <v>15.8561131948524</v>
      </c>
      <c r="AI3044">
        <v>93.966005868890605</v>
      </c>
      <c r="AJ3044">
        <v>82.123861927775195</v>
      </c>
      <c r="AK3044">
        <v>16.0455392725666</v>
      </c>
      <c r="AL3044">
        <v>85.586751906569006</v>
      </c>
      <c r="AM3044">
        <v>81.686967160708903</v>
      </c>
      <c r="AN3044">
        <v>1.0000000331013701</v>
      </c>
    </row>
    <row r="3045" spans="1:40" x14ac:dyDescent="0.25">
      <c r="A3045" t="str">
        <f>"20190312151331541"</f>
        <v>20190312151331541</v>
      </c>
      <c r="B3045" t="str">
        <f>"1552374811533402"</f>
        <v>1552374811533402</v>
      </c>
      <c r="C3045" t="s">
        <v>40</v>
      </c>
      <c r="D3045">
        <v>4.7853629999999896</v>
      </c>
      <c r="E3045">
        <v>0.50049390000000005</v>
      </c>
      <c r="F3045" t="s">
        <v>54</v>
      </c>
      <c r="G3045">
        <v>-329.05360000000002</v>
      </c>
      <c r="H3045" s="1">
        <v>3.281101E-6</v>
      </c>
      <c r="I3045">
        <v>211.93459999999999</v>
      </c>
      <c r="J3045">
        <v>-345.94779999999997</v>
      </c>
      <c r="K3045">
        <v>1.109783</v>
      </c>
      <c r="L3045">
        <v>214.3133</v>
      </c>
      <c r="M3045">
        <v>0.99989709999999998</v>
      </c>
      <c r="N3045">
        <v>0</v>
      </c>
      <c r="O3045">
        <v>5.0881199999999998E-3</v>
      </c>
      <c r="P3045">
        <v>0.98812580000000005</v>
      </c>
      <c r="Q3045">
        <v>6.4584530000000001E-2</v>
      </c>
      <c r="R3045">
        <v>-0.1394147</v>
      </c>
      <c r="S3045">
        <v>2.9900509999999998</v>
      </c>
      <c r="T3045">
        <v>-0.19283549999999999</v>
      </c>
      <c r="U3045">
        <v>-0.41308590000000001</v>
      </c>
      <c r="V3045">
        <v>0.1445032</v>
      </c>
      <c r="W3045">
        <v>7.7707860000000004E-2</v>
      </c>
      <c r="X3045">
        <v>0.98644829999999994</v>
      </c>
      <c r="Y3045">
        <v>0.14159349999999901</v>
      </c>
      <c r="Z3045">
        <v>-4.8659350000000001E-3</v>
      </c>
      <c r="AA3045">
        <v>0.98991289999999998</v>
      </c>
      <c r="AB3045">
        <v>34</v>
      </c>
      <c r="AC3045">
        <v>16.894199999999898</v>
      </c>
      <c r="AD3045">
        <v>-1.109779718899</v>
      </c>
      <c r="AE3045">
        <v>-2.3786999999999998</v>
      </c>
      <c r="AF3045">
        <v>2.4542520004361998</v>
      </c>
      <c r="AG3045">
        <v>-1.109779718899</v>
      </c>
      <c r="AH3045">
        <v>16.8107459255367</v>
      </c>
      <c r="AI3045">
        <v>93.737456945771498</v>
      </c>
      <c r="AJ3045">
        <v>81.693894944007596</v>
      </c>
      <c r="AK3045">
        <v>17.025162039730301</v>
      </c>
      <c r="AL3045">
        <v>85.543174311476804</v>
      </c>
      <c r="AM3045">
        <v>81.666109398215298</v>
      </c>
      <c r="AN3045">
        <v>0.99999996744445396</v>
      </c>
    </row>
    <row r="3046" spans="1:40" x14ac:dyDescent="0.25">
      <c r="A3046" t="str">
        <f>"20190312151331563"</f>
        <v>20190312151331563</v>
      </c>
      <c r="B3046" t="str">
        <f>"1552374811552921"</f>
        <v>1552374811552921</v>
      </c>
      <c r="C3046" t="s">
        <v>40</v>
      </c>
      <c r="D3046">
        <v>4.66526</v>
      </c>
      <c r="E3046">
        <v>0.50095219999999996</v>
      </c>
      <c r="F3046" t="s">
        <v>54</v>
      </c>
      <c r="G3046">
        <v>-327.40600000000001</v>
      </c>
      <c r="H3046" s="1">
        <v>2.4043360000000001E-6</v>
      </c>
      <c r="I3046">
        <v>211.67760000000001</v>
      </c>
      <c r="J3046">
        <v>-345.61439999999999</v>
      </c>
      <c r="K3046">
        <v>1.109785</v>
      </c>
      <c r="L3046">
        <v>214.31469999999999</v>
      </c>
      <c r="M3046">
        <v>0.99989899999999998</v>
      </c>
      <c r="N3046">
        <v>0</v>
      </c>
      <c r="O3046">
        <v>4.7454400000000001E-3</v>
      </c>
      <c r="P3046">
        <v>0.98804219999999998</v>
      </c>
      <c r="Q3046">
        <v>6.5053020000000003E-2</v>
      </c>
      <c r="R3046">
        <v>-0.13978940000000001</v>
      </c>
      <c r="S3046">
        <v>2.9878230000000001</v>
      </c>
      <c r="T3046">
        <v>-0.178830399999999</v>
      </c>
      <c r="U3046">
        <v>-0.42472840000000001</v>
      </c>
      <c r="V3046">
        <v>0.14453959999999999</v>
      </c>
      <c r="W3046">
        <v>7.8172309999999995E-2</v>
      </c>
      <c r="X3046">
        <v>0.98640629999999996</v>
      </c>
      <c r="Y3046">
        <v>0.1451723</v>
      </c>
      <c r="Z3046">
        <v>-4.6013740000000001E-3</v>
      </c>
      <c r="AA3046">
        <v>0.98939569999999999</v>
      </c>
      <c r="AB3046">
        <v>34</v>
      </c>
      <c r="AC3046">
        <v>18.208399999999902</v>
      </c>
      <c r="AD3046">
        <v>-1.1097825956639999</v>
      </c>
      <c r="AE3046">
        <v>-2.63709999999997</v>
      </c>
      <c r="AF3046">
        <v>2.7136115732598101</v>
      </c>
      <c r="AG3046">
        <v>-1.1097825956639999</v>
      </c>
      <c r="AH3046">
        <v>18.129715469636501</v>
      </c>
      <c r="AI3046">
        <v>93.464405327566894</v>
      </c>
      <c r="AJ3046">
        <v>81.487303172364804</v>
      </c>
      <c r="AK3046">
        <v>18.365235859910602</v>
      </c>
      <c r="AL3046">
        <v>85.516482223374297</v>
      </c>
      <c r="AM3046">
        <v>81.663689659725407</v>
      </c>
      <c r="AN3046">
        <v>0.99999999734929301</v>
      </c>
    </row>
    <row r="3047" spans="1:40" x14ac:dyDescent="0.25">
      <c r="A3047" t="str">
        <f>"20190312151331587"</f>
        <v>20190312151331587</v>
      </c>
      <c r="B3047" t="str">
        <f>"1552374811583684"</f>
        <v>1552374811583684</v>
      </c>
      <c r="C3047" t="s">
        <v>40</v>
      </c>
      <c r="D3047">
        <v>4.6558270000000004</v>
      </c>
      <c r="E3047">
        <v>0.50136689999999995</v>
      </c>
      <c r="F3047" t="s">
        <v>54</v>
      </c>
      <c r="G3047">
        <v>-326.96379999999999</v>
      </c>
      <c r="H3047" s="1">
        <v>2.1690139999999999E-6</v>
      </c>
      <c r="I3047">
        <v>211.6345</v>
      </c>
      <c r="J3047">
        <v>-345.26130000000001</v>
      </c>
      <c r="K3047">
        <v>1.1097889999999999</v>
      </c>
      <c r="L3047">
        <v>214.3159</v>
      </c>
      <c r="M3047">
        <v>0.99990060000000003</v>
      </c>
      <c r="N3047">
        <v>0</v>
      </c>
      <c r="O3047">
        <v>4.3826730000000001E-3</v>
      </c>
      <c r="P3047">
        <v>0.98806329999999998</v>
      </c>
      <c r="Q3047">
        <v>6.4899189999999995E-2</v>
      </c>
      <c r="R3047">
        <v>-0.13971229999999901</v>
      </c>
      <c r="S3047">
        <v>2.987244</v>
      </c>
      <c r="T3047">
        <v>-0.17775239999999901</v>
      </c>
      <c r="U3047">
        <v>-0.42927549999999998</v>
      </c>
      <c r="V3047">
        <v>0.14410419999999999</v>
      </c>
      <c r="W3047">
        <v>7.8017329999999996E-2</v>
      </c>
      <c r="X3047">
        <v>0.98648230000000003</v>
      </c>
      <c r="Y3047">
        <v>0.14631759999999999</v>
      </c>
      <c r="Z3047">
        <v>-4.586484E-3</v>
      </c>
      <c r="AA3047">
        <v>0.98922710000000003</v>
      </c>
      <c r="AB3047">
        <v>34</v>
      </c>
      <c r="AC3047">
        <v>18.297499999999999</v>
      </c>
      <c r="AD3047">
        <v>-1.109786830986</v>
      </c>
      <c r="AE3047">
        <v>-2.6813999999999898</v>
      </c>
      <c r="AF3047">
        <v>2.7516636451197298</v>
      </c>
      <c r="AG3047">
        <v>-1.109786830986</v>
      </c>
      <c r="AH3047">
        <v>18.219954686976902</v>
      </c>
      <c r="AI3047">
        <v>93.446620441840395</v>
      </c>
      <c r="AJ3047">
        <v>81.411822585463895</v>
      </c>
      <c r="AK3047">
        <v>18.459957432821799</v>
      </c>
      <c r="AL3047">
        <v>85.525389255040096</v>
      </c>
      <c r="AM3047">
        <v>81.689081379884101</v>
      </c>
      <c r="AN3047">
        <v>1.0000000262256199</v>
      </c>
    </row>
    <row r="3048" spans="1:40" x14ac:dyDescent="0.25">
      <c r="A3048" t="str">
        <f>"20190312151331611"</f>
        <v>20190312151331611</v>
      </c>
      <c r="B3048" t="str">
        <f>"1552374811603205"</f>
        <v>1552374811603205</v>
      </c>
      <c r="C3048" t="s">
        <v>40</v>
      </c>
      <c r="D3048">
        <v>4.6271100000000001</v>
      </c>
      <c r="E3048">
        <v>0.50181759999999997</v>
      </c>
      <c r="F3048" t="s">
        <v>54</v>
      </c>
      <c r="G3048">
        <v>-327.25369999999998</v>
      </c>
      <c r="H3048" s="1">
        <v>2.3232800000000001E-6</v>
      </c>
      <c r="I3048">
        <v>211.7097</v>
      </c>
      <c r="J3048">
        <v>-344.91329999999999</v>
      </c>
      <c r="K3048">
        <v>1.1097889999999999</v>
      </c>
      <c r="L3048">
        <v>214.31710000000001</v>
      </c>
      <c r="M3048">
        <v>0.99990210000000002</v>
      </c>
      <c r="N3048">
        <v>0</v>
      </c>
      <c r="O3048">
        <v>4.0253859999999997E-3</v>
      </c>
      <c r="P3048">
        <v>0.9881067</v>
      </c>
      <c r="Q3048">
        <v>6.4198459999999999E-2</v>
      </c>
      <c r="R3048">
        <v>-0.1397282</v>
      </c>
      <c r="S3048">
        <v>2.987244</v>
      </c>
      <c r="T3048">
        <v>-0.18410029999999999</v>
      </c>
      <c r="U3048">
        <v>-0.43234250000000002</v>
      </c>
      <c r="V3048">
        <v>0.1437668</v>
      </c>
      <c r="W3048">
        <v>7.7315179999999997E-2</v>
      </c>
      <c r="X3048">
        <v>0.98658679999999999</v>
      </c>
      <c r="Y3048">
        <v>0.14693970000000001</v>
      </c>
      <c r="Z3048">
        <v>-4.746793E-3</v>
      </c>
      <c r="AA3048">
        <v>0.98913410000000002</v>
      </c>
      <c r="AB3048">
        <v>34</v>
      </c>
      <c r="AC3048">
        <v>17.659600000000001</v>
      </c>
      <c r="AD3048">
        <v>-1.10978667672</v>
      </c>
      <c r="AE3048">
        <v>-2.6074000000000099</v>
      </c>
      <c r="AF3048">
        <v>2.66815947910984</v>
      </c>
      <c r="AG3048">
        <v>-1.10978667672</v>
      </c>
      <c r="AH3048">
        <v>17.581009257477898</v>
      </c>
      <c r="AI3048">
        <v>93.571172068050203</v>
      </c>
      <c r="AJ3048">
        <v>81.370429656422004</v>
      </c>
      <c r="AK3048">
        <v>17.8169185883899</v>
      </c>
      <c r="AL3048">
        <v>85.565741354161005</v>
      </c>
      <c r="AM3048">
        <v>81.709135436916299</v>
      </c>
      <c r="AN3048">
        <v>1.0000000218874501</v>
      </c>
    </row>
    <row r="3049" spans="1:40" x14ac:dyDescent="0.25">
      <c r="A3049" t="str">
        <f>"20190312151331631"</f>
        <v>20190312151331631</v>
      </c>
      <c r="B3049" t="str">
        <f>"1552374811623700"</f>
        <v>1552374811623700</v>
      </c>
      <c r="C3049" t="s">
        <v>40</v>
      </c>
      <c r="D3049">
        <v>4.6567369999999997</v>
      </c>
      <c r="E3049">
        <v>0.50194129999999904</v>
      </c>
      <c r="F3049" t="s">
        <v>54</v>
      </c>
      <c r="G3049">
        <v>-326.67939999999999</v>
      </c>
      <c r="H3049" s="1">
        <v>2.0176559999999998E-6</v>
      </c>
      <c r="I3049">
        <v>211.65469999999999</v>
      </c>
      <c r="J3049">
        <v>-344.60059999999999</v>
      </c>
      <c r="K3049">
        <v>1.109785</v>
      </c>
      <c r="L3049">
        <v>214.31800000000001</v>
      </c>
      <c r="M3049">
        <v>0.9999034</v>
      </c>
      <c r="N3049">
        <v>0</v>
      </c>
      <c r="O3049">
        <v>3.7047529999999999E-3</v>
      </c>
      <c r="P3049">
        <v>0.98810390000000003</v>
      </c>
      <c r="Q3049">
        <v>6.4213699999999999E-2</v>
      </c>
      <c r="R3049">
        <v>-0.139741</v>
      </c>
      <c r="S3049">
        <v>2.9862980000000001</v>
      </c>
      <c r="T3049">
        <v>-0.1817578</v>
      </c>
      <c r="U3049">
        <v>-0.43603520000000001</v>
      </c>
      <c r="V3049">
        <v>0.1434627</v>
      </c>
      <c r="W3049">
        <v>7.7328960000000002E-2</v>
      </c>
      <c r="X3049">
        <v>0.98663000000000001</v>
      </c>
      <c r="Y3049">
        <v>0.14787049999999999</v>
      </c>
      <c r="Z3049">
        <v>-4.6963120000000002E-3</v>
      </c>
      <c r="AA3049">
        <v>0.98899559999999997</v>
      </c>
      <c r="AB3049">
        <v>34</v>
      </c>
      <c r="AC3049">
        <v>17.921199999999999</v>
      </c>
      <c r="AD3049">
        <v>-1.109782982344</v>
      </c>
      <c r="AE3049">
        <v>-2.6632999999999898</v>
      </c>
      <c r="AF3049">
        <v>2.7194780058371002</v>
      </c>
      <c r="AG3049">
        <v>-1.109782982344</v>
      </c>
      <c r="AH3049">
        <v>17.8442588240909</v>
      </c>
      <c r="AI3049">
        <v>93.518277276926</v>
      </c>
      <c r="AJ3049">
        <v>81.334757315996399</v>
      </c>
      <c r="AK3049">
        <v>18.0843786698155</v>
      </c>
      <c r="AL3049">
        <v>85.564949508540295</v>
      </c>
      <c r="AM3049">
        <v>81.726786756234503</v>
      </c>
      <c r="AN3049">
        <v>1.0000000356229799</v>
      </c>
    </row>
    <row r="3050" spans="1:40" x14ac:dyDescent="0.25">
      <c r="A3050" t="str">
        <f>"20190312151331653"</f>
        <v>20190312151331653</v>
      </c>
      <c r="B3050" t="str">
        <f>"1552374811643220"</f>
        <v>1552374811643220</v>
      </c>
      <c r="C3050" t="s">
        <v>40</v>
      </c>
      <c r="D3050">
        <v>4.8404420000000004</v>
      </c>
      <c r="E3050">
        <v>0.50220189999999998</v>
      </c>
      <c r="F3050" t="s">
        <v>54</v>
      </c>
      <c r="G3050">
        <v>-325.93819999999999</v>
      </c>
      <c r="H3050" s="1">
        <v>1.6232059999999999E-6</v>
      </c>
      <c r="I3050">
        <v>211.58510000000001</v>
      </c>
      <c r="J3050">
        <v>-344.26150000000001</v>
      </c>
      <c r="K3050">
        <v>1.109782</v>
      </c>
      <c r="L3050">
        <v>214.31890000000001</v>
      </c>
      <c r="M3050">
        <v>0.99990460000000003</v>
      </c>
      <c r="N3050">
        <v>0</v>
      </c>
      <c r="O3050">
        <v>3.3593410000000001E-3</v>
      </c>
      <c r="P3050">
        <v>0.9881489</v>
      </c>
      <c r="Q3050">
        <v>6.3897449999999995E-2</v>
      </c>
      <c r="R3050">
        <v>-0.13956789999999999</v>
      </c>
      <c r="S3050">
        <v>2.9858090000000002</v>
      </c>
      <c r="T3050">
        <v>-0.17755470000000001</v>
      </c>
      <c r="U3050">
        <v>-0.43724059999999998</v>
      </c>
      <c r="V3050">
        <v>0.1429482</v>
      </c>
      <c r="W3050">
        <v>7.7012810000000001E-2</v>
      </c>
      <c r="X3050">
        <v>0.98672939999999998</v>
      </c>
      <c r="Y3050">
        <v>0.1479559</v>
      </c>
      <c r="Z3050">
        <v>-4.5706150000000001E-3</v>
      </c>
      <c r="AA3050">
        <v>0.98898339999999996</v>
      </c>
      <c r="AB3050">
        <v>34</v>
      </c>
      <c r="AC3050">
        <v>18.3233</v>
      </c>
      <c r="AD3050">
        <v>-1.109780376794</v>
      </c>
      <c r="AE3050">
        <v>-2.7338</v>
      </c>
      <c r="AF3050">
        <v>2.7853492598603702</v>
      </c>
      <c r="AG3050">
        <v>-1.109780376794</v>
      </c>
      <c r="AH3050">
        <v>18.248528307733199</v>
      </c>
      <c r="AI3050">
        <v>93.4403968364619</v>
      </c>
      <c r="AJ3050">
        <v>81.321685154880797</v>
      </c>
      <c r="AK3050">
        <v>18.493203302355798</v>
      </c>
      <c r="AL3050">
        <v>85.583117744903504</v>
      </c>
      <c r="AM3050">
        <v>81.756867494907198</v>
      </c>
      <c r="AN3050">
        <v>1.00000003480584</v>
      </c>
    </row>
    <row r="3051" spans="1:40" x14ac:dyDescent="0.25">
      <c r="A3051" t="str">
        <f>"20190312151331675"</f>
        <v>20190312151331675</v>
      </c>
      <c r="B3051" t="str">
        <f>"1552374811663716"</f>
        <v>1552374811663716</v>
      </c>
      <c r="C3051" t="s">
        <v>40</v>
      </c>
      <c r="D3051">
        <v>4.830463</v>
      </c>
      <c r="E3051">
        <v>0.50246999999999997</v>
      </c>
      <c r="F3051" t="s">
        <v>54</v>
      </c>
      <c r="G3051">
        <v>-325.43779999999998</v>
      </c>
      <c r="H3051" s="1">
        <v>1.3569629999999999E-6</v>
      </c>
      <c r="I3051">
        <v>211.55029999999999</v>
      </c>
      <c r="J3051">
        <v>-343.93369999999999</v>
      </c>
      <c r="K3051">
        <v>1.1097809999999999</v>
      </c>
      <c r="L3051">
        <v>214.31960000000001</v>
      </c>
      <c r="M3051">
        <v>0.99990579999999996</v>
      </c>
      <c r="N3051">
        <v>0</v>
      </c>
      <c r="O3051">
        <v>3.026632E-3</v>
      </c>
      <c r="P3051">
        <v>0.98817980000000005</v>
      </c>
      <c r="Q3051">
        <v>6.3654409999999995E-2</v>
      </c>
      <c r="R3051">
        <v>-0.1394609</v>
      </c>
      <c r="S3051">
        <v>2.9853209999999999</v>
      </c>
      <c r="T3051">
        <v>-0.17600439999999901</v>
      </c>
      <c r="U3051">
        <v>-0.43907170000000001</v>
      </c>
      <c r="V3051">
        <v>0.142512</v>
      </c>
      <c r="W3051">
        <v>7.6768909999999996E-2</v>
      </c>
      <c r="X3051">
        <v>0.98681149999999995</v>
      </c>
      <c r="Y3051">
        <v>0.1482483</v>
      </c>
      <c r="Z3051">
        <v>-4.5203780000000002E-3</v>
      </c>
      <c r="AA3051">
        <v>0.98893980000000004</v>
      </c>
      <c r="AB3051">
        <v>33</v>
      </c>
      <c r="AC3051">
        <v>18.495899999999999</v>
      </c>
      <c r="AD3051">
        <v>-1.1097796430369999</v>
      </c>
      <c r="AE3051">
        <v>-2.7693000000000101</v>
      </c>
      <c r="AF3051">
        <v>2.81535909005005</v>
      </c>
      <c r="AG3051">
        <v>-1.1097796430369999</v>
      </c>
      <c r="AH3051">
        <v>18.422562805362102</v>
      </c>
      <c r="AI3051">
        <v>93.407875849932694</v>
      </c>
      <c r="AJ3051">
        <v>81.311211428628297</v>
      </c>
      <c r="AK3051">
        <v>18.669458427590701</v>
      </c>
      <c r="AL3051">
        <v>85.5971336847782</v>
      </c>
      <c r="AM3051">
        <v>81.782351340623904</v>
      </c>
      <c r="AN3051">
        <v>1.0000000361094099</v>
      </c>
    </row>
    <row r="3052" spans="1:40" x14ac:dyDescent="0.25">
      <c r="A3052" t="str">
        <f>"20190312151331697"</f>
        <v>20190312151331697</v>
      </c>
      <c r="B3052" t="str">
        <f>"1552374811692996"</f>
        <v>1552374811692996</v>
      </c>
      <c r="C3052" t="s">
        <v>40</v>
      </c>
      <c r="D3052">
        <v>4.6637069999999996</v>
      </c>
      <c r="E3052">
        <v>0.50276220000000005</v>
      </c>
      <c r="F3052" t="s">
        <v>54</v>
      </c>
      <c r="G3052">
        <v>-325.05860000000001</v>
      </c>
      <c r="H3052" s="1">
        <v>1.1551519999999999E-6</v>
      </c>
      <c r="I3052">
        <v>211.5301</v>
      </c>
      <c r="J3052">
        <v>-343.60770000000002</v>
      </c>
      <c r="K3052">
        <v>1.109785</v>
      </c>
      <c r="L3052">
        <v>214.3203</v>
      </c>
      <c r="M3052">
        <v>0.99990670000000004</v>
      </c>
      <c r="N3052">
        <v>0</v>
      </c>
      <c r="O3052">
        <v>2.6972599999999999E-3</v>
      </c>
      <c r="P3052">
        <v>0.98816669999999995</v>
      </c>
      <c r="Q3052">
        <v>6.3460509999999998E-2</v>
      </c>
      <c r="R3052">
        <v>-0.139641299999999</v>
      </c>
      <c r="S3052">
        <v>2.9849239999999999</v>
      </c>
      <c r="T3052">
        <v>-0.1755012</v>
      </c>
      <c r="U3052">
        <v>-0.44113160000000001</v>
      </c>
      <c r="V3052">
        <v>0.14236660000000001</v>
      </c>
      <c r="W3052">
        <v>7.657398E-2</v>
      </c>
      <c r="X3052">
        <v>0.98684760000000005</v>
      </c>
      <c r="Y3052">
        <v>0.14861079999999999</v>
      </c>
      <c r="Z3052">
        <v>-4.4991839999999998E-3</v>
      </c>
      <c r="AA3052">
        <v>0.98888549999999997</v>
      </c>
      <c r="AB3052">
        <v>33</v>
      </c>
      <c r="AC3052">
        <v>18.549099999999999</v>
      </c>
      <c r="AD3052">
        <v>-1.109783844848</v>
      </c>
      <c r="AE3052">
        <v>-2.7901999999999898</v>
      </c>
      <c r="AF3052">
        <v>2.8303189180888402</v>
      </c>
      <c r="AG3052">
        <v>-1.109783844848</v>
      </c>
      <c r="AH3052">
        <v>18.476830209364099</v>
      </c>
      <c r="AI3052">
        <v>93.397720209178701</v>
      </c>
      <c r="AJ3052">
        <v>81.2910114402261</v>
      </c>
      <c r="AK3052">
        <v>18.725265817767301</v>
      </c>
      <c r="AL3052">
        <v>85.608335184241497</v>
      </c>
      <c r="AM3052">
        <v>81.790917400197898</v>
      </c>
      <c r="AN3052">
        <v>1.00000000441718</v>
      </c>
    </row>
    <row r="3053" spans="1:40" x14ac:dyDescent="0.25">
      <c r="A3053" t="str">
        <f>"20190312151331719"</f>
        <v>20190312151331719</v>
      </c>
      <c r="B3053" t="str">
        <f>"1552374811713492"</f>
        <v>1552374811713492</v>
      </c>
      <c r="C3053" t="s">
        <v>40</v>
      </c>
      <c r="D3053">
        <v>4.8546069999999997</v>
      </c>
      <c r="E3053">
        <v>0.50289799999999996</v>
      </c>
      <c r="F3053" t="s">
        <v>54</v>
      </c>
      <c r="G3053">
        <v>-324.47039999999998</v>
      </c>
      <c r="H3053" s="1">
        <v>8.4212889999999996E-7</v>
      </c>
      <c r="I3053">
        <v>211.47280000000001</v>
      </c>
      <c r="J3053">
        <v>-343.27859999999998</v>
      </c>
      <c r="K3053">
        <v>1.109777</v>
      </c>
      <c r="L3053">
        <v>214.32079999999999</v>
      </c>
      <c r="M3053">
        <v>0.99990749999999995</v>
      </c>
      <c r="N3053">
        <v>0</v>
      </c>
      <c r="O3053">
        <v>2.3657959999999999E-3</v>
      </c>
      <c r="P3053">
        <v>0.98819599999999996</v>
      </c>
      <c r="Q3053">
        <v>6.3739340000000005E-2</v>
      </c>
      <c r="R3053">
        <v>-0.13930670000000001</v>
      </c>
      <c r="S3053">
        <v>2.9842219999999999</v>
      </c>
      <c r="T3053">
        <v>-0.17305680000000001</v>
      </c>
      <c r="U3053">
        <v>-0.4440308</v>
      </c>
      <c r="V3053">
        <v>0.14170450000000001</v>
      </c>
      <c r="W3053">
        <v>7.6852589999999998E-2</v>
      </c>
      <c r="X3053">
        <v>0.9869213</v>
      </c>
      <c r="Y3053">
        <v>0.14926310000000001</v>
      </c>
      <c r="Z3053">
        <v>-4.4370310000000001E-3</v>
      </c>
      <c r="AA3053">
        <v>0.98878750000000004</v>
      </c>
      <c r="AB3053">
        <v>33</v>
      </c>
      <c r="AC3053">
        <v>18.808199999999999</v>
      </c>
      <c r="AD3053">
        <v>-1.1097761578711001</v>
      </c>
      <c r="AE3053">
        <v>-2.8479999999999799</v>
      </c>
      <c r="AF3053">
        <v>2.88268106524936</v>
      </c>
      <c r="AG3053">
        <v>-1.1097761578711001</v>
      </c>
      <c r="AH3053">
        <v>18.737634682073299</v>
      </c>
      <c r="AI3053">
        <v>93.350181452560506</v>
      </c>
      <c r="AJ3053">
        <v>81.253933213150603</v>
      </c>
      <c r="AK3053">
        <v>18.990534661334902</v>
      </c>
      <c r="AL3053">
        <v>85.592325113610201</v>
      </c>
      <c r="AM3053">
        <v>81.829180339175394</v>
      </c>
      <c r="AN3053">
        <v>1.00000006915182</v>
      </c>
    </row>
    <row r="3054" spans="1:40" x14ac:dyDescent="0.25">
      <c r="A3054" t="str">
        <f>"20190312151331742"</f>
        <v>20190312151331742</v>
      </c>
      <c r="B3054" t="str">
        <f>"1552374811733012"</f>
        <v>1552374811733012</v>
      </c>
      <c r="C3054" t="s">
        <v>40</v>
      </c>
      <c r="D3054">
        <v>4.8081490000000002</v>
      </c>
      <c r="E3054">
        <v>0.50301340000000005</v>
      </c>
      <c r="F3054" t="s">
        <v>54</v>
      </c>
      <c r="G3054">
        <v>-323.88350000000003</v>
      </c>
      <c r="H3054" s="1">
        <v>5.2978580000000005E-7</v>
      </c>
      <c r="I3054">
        <v>211.43469999999999</v>
      </c>
      <c r="J3054">
        <v>-342.93299999999999</v>
      </c>
      <c r="K3054">
        <v>1.1097779999999999</v>
      </c>
      <c r="L3054">
        <v>214.3212</v>
      </c>
      <c r="M3054">
        <v>0.99990840000000003</v>
      </c>
      <c r="N3054">
        <v>0</v>
      </c>
      <c r="O3054">
        <v>2.0182329999999999E-3</v>
      </c>
      <c r="P3054">
        <v>0.98825629999999998</v>
      </c>
      <c r="Q3054">
        <v>6.4250280000000007E-2</v>
      </c>
      <c r="R3054">
        <v>-0.13864209999999999</v>
      </c>
      <c r="S3054">
        <v>2.9842529999999998</v>
      </c>
      <c r="T3054">
        <v>-0.17075650000000001</v>
      </c>
      <c r="U3054">
        <v>-0.44406129999999999</v>
      </c>
      <c r="V3054">
        <v>0.14069690000000001</v>
      </c>
      <c r="W3054">
        <v>7.7363669999999995E-2</v>
      </c>
      <c r="X3054">
        <v>0.98702540000000005</v>
      </c>
      <c r="Y3054">
        <v>0.1489355</v>
      </c>
      <c r="Z3054">
        <v>-4.3490200000000003E-3</v>
      </c>
      <c r="AA3054">
        <v>0.98883739999999998</v>
      </c>
      <c r="AB3054">
        <v>33</v>
      </c>
      <c r="AC3054">
        <v>19.049499999999998</v>
      </c>
      <c r="AD3054">
        <v>-1.1097774702142</v>
      </c>
      <c r="AE3054">
        <v>-2.8865000000000101</v>
      </c>
      <c r="AF3054">
        <v>2.9152717007558802</v>
      </c>
      <c r="AG3054">
        <v>-1.1097774702142</v>
      </c>
      <c r="AH3054">
        <v>18.980661629302499</v>
      </c>
      <c r="AI3054">
        <v>93.307510993449398</v>
      </c>
      <c r="AJ3054">
        <v>81.268081461912303</v>
      </c>
      <c r="AK3054">
        <v>19.235278292988099</v>
      </c>
      <c r="AL3054">
        <v>85.562954405509302</v>
      </c>
      <c r="AM3054">
        <v>81.887347567952403</v>
      </c>
      <c r="AN3054">
        <v>0.99999994767531797</v>
      </c>
    </row>
    <row r="3055" spans="1:40" x14ac:dyDescent="0.25">
      <c r="A3055" t="str">
        <f>"20190312151331764"</f>
        <v>20190312151331764</v>
      </c>
      <c r="B3055" t="str">
        <f>"1552374811753508"</f>
        <v>1552374811753508</v>
      </c>
      <c r="C3055" t="s">
        <v>40</v>
      </c>
      <c r="D3055">
        <v>4.7311649999999998</v>
      </c>
      <c r="E3055">
        <v>0.50290509999999999</v>
      </c>
      <c r="F3055" t="s">
        <v>54</v>
      </c>
      <c r="G3055">
        <v>-323.08859999999999</v>
      </c>
      <c r="H3055" s="1">
        <v>1.067917E-7</v>
      </c>
      <c r="I3055">
        <v>211.37610000000001</v>
      </c>
      <c r="J3055">
        <v>-342.60719999999998</v>
      </c>
      <c r="K3055">
        <v>1.1097809999999999</v>
      </c>
      <c r="L3055">
        <v>214.32149999999999</v>
      </c>
      <c r="M3055">
        <v>0.99990900000000005</v>
      </c>
      <c r="N3055">
        <v>0</v>
      </c>
      <c r="O3055">
        <v>1.6915229999999999E-3</v>
      </c>
      <c r="P3055">
        <v>0.98836670000000004</v>
      </c>
      <c r="Q3055">
        <v>6.4665780000000006E-2</v>
      </c>
      <c r="R3055">
        <v>-0.1376569</v>
      </c>
      <c r="S3055">
        <v>2.984375</v>
      </c>
      <c r="T3055">
        <v>-0.16689780000000001</v>
      </c>
      <c r="U3055">
        <v>-0.4429169</v>
      </c>
      <c r="V3055">
        <v>0.1393895</v>
      </c>
      <c r="W3055">
        <v>7.7780600000000005E-2</v>
      </c>
      <c r="X3055">
        <v>0.98717809999999995</v>
      </c>
      <c r="Y3055">
        <v>0.14824789999999999</v>
      </c>
      <c r="Z3055">
        <v>-4.213573E-3</v>
      </c>
      <c r="AA3055">
        <v>0.98894130000000002</v>
      </c>
      <c r="AB3055">
        <v>33</v>
      </c>
      <c r="AC3055">
        <v>19.5185999999999</v>
      </c>
      <c r="AD3055">
        <v>-1.1097808932083</v>
      </c>
      <c r="AE3055">
        <v>-2.94539999999997</v>
      </c>
      <c r="AF3055">
        <v>2.9690303595110001</v>
      </c>
      <c r="AG3055">
        <v>-1.1097808932083</v>
      </c>
      <c r="AH3055">
        <v>19.452104982536799</v>
      </c>
      <c r="AI3055">
        <v>93.2279933201809</v>
      </c>
      <c r="AJ3055">
        <v>81.321759550918003</v>
      </c>
      <c r="AK3055">
        <v>19.708656553866401</v>
      </c>
      <c r="AL3055">
        <v>85.538993786546101</v>
      </c>
      <c r="AM3055">
        <v>81.962970217667205</v>
      </c>
      <c r="AN3055">
        <v>0.99999992778310698</v>
      </c>
    </row>
    <row r="3056" spans="1:40" x14ac:dyDescent="0.25">
      <c r="A3056" t="str">
        <f>"20190312151331788"</f>
        <v>20190312151331788</v>
      </c>
      <c r="B3056" t="str">
        <f>"1552374811783766"</f>
        <v>1552374811783766</v>
      </c>
      <c r="C3056" t="s">
        <v>40</v>
      </c>
      <c r="D3056">
        <v>4.5776379999999897</v>
      </c>
      <c r="E3056">
        <v>0.45172000000000001</v>
      </c>
      <c r="F3056" t="s">
        <v>54</v>
      </c>
      <c r="G3056">
        <v>-322.78059999999999</v>
      </c>
      <c r="H3056" s="1">
        <v>-5.7085510000000002E-8</v>
      </c>
      <c r="I3056">
        <v>211.40799999999999</v>
      </c>
      <c r="J3056">
        <v>-342.2516</v>
      </c>
      <c r="K3056">
        <v>1.1097840000000001</v>
      </c>
      <c r="L3056">
        <v>214.32169999999999</v>
      </c>
      <c r="M3056">
        <v>0.99990950000000001</v>
      </c>
      <c r="N3056">
        <v>0</v>
      </c>
      <c r="O3056">
        <v>1.335314E-3</v>
      </c>
      <c r="P3056">
        <v>0.98844200000000004</v>
      </c>
      <c r="Q3056">
        <v>6.4545829999999998E-2</v>
      </c>
      <c r="R3056">
        <v>-0.1371715</v>
      </c>
      <c r="S3056">
        <v>2.9851070000000002</v>
      </c>
      <c r="T3056">
        <v>-0.16708970000000001</v>
      </c>
      <c r="U3056">
        <v>-0.43865969999999999</v>
      </c>
      <c r="V3056">
        <v>0.138551799999999</v>
      </c>
      <c r="W3056">
        <v>7.7659839999999994E-2</v>
      </c>
      <c r="X3056">
        <v>0.98730560000000001</v>
      </c>
      <c r="Y3056">
        <v>0.14648259999999999</v>
      </c>
      <c r="Z3056">
        <v>-4.148901E-3</v>
      </c>
      <c r="AA3056">
        <v>0.98920450000000004</v>
      </c>
      <c r="AB3056">
        <v>33</v>
      </c>
      <c r="AC3056">
        <v>19.471</v>
      </c>
      <c r="AD3056">
        <v>-1.10978405708551</v>
      </c>
      <c r="AE3056">
        <v>-2.9137</v>
      </c>
      <c r="AF3056">
        <v>2.93038838593101</v>
      </c>
      <c r="AG3056">
        <v>-1.10978405708551</v>
      </c>
      <c r="AH3056">
        <v>19.4054312523837</v>
      </c>
      <c r="AI3056">
        <v>93.236528328553405</v>
      </c>
      <c r="AJ3056">
        <v>81.412721892284395</v>
      </c>
      <c r="AK3056">
        <v>19.6567942156586</v>
      </c>
      <c r="AL3056">
        <v>85.545934139444597</v>
      </c>
      <c r="AM3056">
        <v>82.011663893832605</v>
      </c>
      <c r="AN3056">
        <v>0.99999999991171196</v>
      </c>
    </row>
    <row r="3057" spans="1:40" x14ac:dyDescent="0.25">
      <c r="A3057" t="str">
        <f>"20190312151331812"</f>
        <v>20190312151331812</v>
      </c>
      <c r="B3057" t="str">
        <f>"1552374811803284"</f>
        <v>1552374811803284</v>
      </c>
      <c r="C3057" t="s">
        <v>40</v>
      </c>
      <c r="D3057">
        <v>4.5766470000000004</v>
      </c>
      <c r="E3057">
        <v>0.44758419999999999</v>
      </c>
      <c r="F3057" t="s">
        <v>41</v>
      </c>
      <c r="G3057">
        <v>-341.2731</v>
      </c>
      <c r="H3057">
        <v>1.0186379999999999</v>
      </c>
      <c r="I3057">
        <v>214.3108</v>
      </c>
      <c r="J3057">
        <v>-341.90910000000002</v>
      </c>
      <c r="K3057">
        <v>1.109785</v>
      </c>
      <c r="L3057">
        <v>214.3218</v>
      </c>
      <c r="M3057">
        <v>0.99991010000000002</v>
      </c>
      <c r="N3057">
        <v>0</v>
      </c>
      <c r="O3057">
        <v>9.9171229999999995E-4</v>
      </c>
      <c r="P3057">
        <v>0.98843570000000003</v>
      </c>
      <c r="Q3057">
        <v>6.436335E-2</v>
      </c>
      <c r="R3057">
        <v>-0.1373045</v>
      </c>
      <c r="S3057">
        <v>3.0490110000000001</v>
      </c>
      <c r="T3057">
        <v>-0.28410950000000001</v>
      </c>
      <c r="U3057">
        <v>-3.3477779999999999E-2</v>
      </c>
      <c r="V3057">
        <v>0.13834489999999999</v>
      </c>
      <c r="W3057">
        <v>7.7470629999999999E-2</v>
      </c>
      <c r="X3057">
        <v>0.98734949999999999</v>
      </c>
      <c r="Y3057">
        <v>1.191505E-2</v>
      </c>
      <c r="Z3057">
        <v>-6.4612529999999999E-4</v>
      </c>
      <c r="AA3057">
        <v>0.99992879999999995</v>
      </c>
      <c r="AB3057">
        <v>33</v>
      </c>
      <c r="AC3057">
        <v>0.63600000000002399</v>
      </c>
      <c r="AD3057">
        <v>-9.1147000000000006E-2</v>
      </c>
      <c r="AE3057">
        <v>-1.09999999999956E-2</v>
      </c>
      <c r="AF3057">
        <v>1.13967763459315E-2</v>
      </c>
      <c r="AG3057">
        <v>-9.1147000000000006E-2</v>
      </c>
      <c r="AH3057">
        <v>0.62319310038643105</v>
      </c>
      <c r="AI3057">
        <v>98.319598942983802</v>
      </c>
      <c r="AJ3057">
        <v>88.952308034588896</v>
      </c>
      <c r="AK3057">
        <v>0.62992642625098005</v>
      </c>
      <c r="AL3057">
        <v>85.556807933918293</v>
      </c>
      <c r="AM3057">
        <v>82.023789353241298</v>
      </c>
      <c r="AN3057">
        <v>1.0000000225094201</v>
      </c>
    </row>
    <row r="3058" spans="1:40" x14ac:dyDescent="0.25">
      <c r="A3058" t="str">
        <f>"20190312151331834"</f>
        <v>20190312151331834</v>
      </c>
      <c r="B3058" t="str">
        <f>"1552374811822804"</f>
        <v>1552374811822804</v>
      </c>
      <c r="C3058" t="s">
        <v>40</v>
      </c>
      <c r="D3058">
        <v>4.5492910000000002</v>
      </c>
      <c r="E3058">
        <v>0.44600919999999999</v>
      </c>
      <c r="F3058" t="s">
        <v>41</v>
      </c>
      <c r="G3058">
        <v>-340.9742</v>
      </c>
      <c r="H3058">
        <v>1.0199180000000001</v>
      </c>
      <c r="I3058">
        <v>214.3212</v>
      </c>
      <c r="J3058">
        <v>-341.565</v>
      </c>
      <c r="K3058">
        <v>1.1097779999999999</v>
      </c>
      <c r="L3058">
        <v>214.32169999999999</v>
      </c>
      <c r="M3058">
        <v>0.99991059999999998</v>
      </c>
      <c r="N3058">
        <v>0</v>
      </c>
      <c r="O3058">
        <v>6.4699349999999996E-4</v>
      </c>
      <c r="P3058">
        <v>0.98844279999999995</v>
      </c>
      <c r="Q3058">
        <v>6.3635769999999994E-2</v>
      </c>
      <c r="R3058">
        <v>-0.137592299999999</v>
      </c>
      <c r="S3058">
        <v>3.0540769999999999</v>
      </c>
      <c r="T3058">
        <v>-0.29372490000000001</v>
      </c>
      <c r="U3058">
        <v>-1.3580319999999999E-3</v>
      </c>
      <c r="V3058">
        <v>0.13829159999999999</v>
      </c>
      <c r="W3058">
        <v>7.6731820000000006E-2</v>
      </c>
      <c r="X3058">
        <v>0.98741469999999998</v>
      </c>
      <c r="Y3058">
        <v>1.083727E-3</v>
      </c>
      <c r="Z3058">
        <v>-1.140803E-4</v>
      </c>
      <c r="AA3058">
        <v>0.99999939999999998</v>
      </c>
      <c r="AB3058">
        <v>33</v>
      </c>
      <c r="AC3058">
        <v>0.59080000000000099</v>
      </c>
      <c r="AD3058">
        <v>-8.9859999999999995E-2</v>
      </c>
      <c r="AE3058">
        <v>-4.9999999998817603E-4</v>
      </c>
      <c r="AF3058">
        <v>8.6232860348700504E-4</v>
      </c>
      <c r="AG3058">
        <v>-8.9859999999999995E-2</v>
      </c>
      <c r="AH3058">
        <v>0.57744100752462402</v>
      </c>
      <c r="AI3058">
        <v>98.845277293993306</v>
      </c>
      <c r="AJ3058">
        <v>89.914436709272707</v>
      </c>
      <c r="AK3058">
        <v>0.58439171826923897</v>
      </c>
      <c r="AL3058">
        <v>85.599265196349506</v>
      </c>
      <c r="AM3058">
        <v>82.027342520652496</v>
      </c>
      <c r="AN3058">
        <v>1.00000006430357</v>
      </c>
    </row>
    <row r="3059" spans="1:40" x14ac:dyDescent="0.25">
      <c r="A3059" t="str">
        <f>"20190312151331855"</f>
        <v>20190312151331855</v>
      </c>
      <c r="B3059" t="str">
        <f>"1552374811843300"</f>
        <v>1552374811843300</v>
      </c>
      <c r="C3059" t="s">
        <v>40</v>
      </c>
      <c r="D3059">
        <v>4.718807</v>
      </c>
      <c r="E3059">
        <v>0.44539060000000003</v>
      </c>
      <c r="F3059" t="s">
        <v>41</v>
      </c>
      <c r="G3059">
        <v>-340.67540000000002</v>
      </c>
      <c r="H3059">
        <v>1.0216529999999999</v>
      </c>
      <c r="I3059">
        <v>214.3246</v>
      </c>
      <c r="J3059">
        <v>-341.25959999999998</v>
      </c>
      <c r="K3059">
        <v>1.1097760000000001</v>
      </c>
      <c r="L3059">
        <v>214.32159999999999</v>
      </c>
      <c r="M3059">
        <v>0.99991079999999999</v>
      </c>
      <c r="N3059">
        <v>0</v>
      </c>
      <c r="O3059">
        <v>3.4167840000000002E-4</v>
      </c>
      <c r="P3059">
        <v>0.98844460000000001</v>
      </c>
      <c r="Q3059">
        <v>6.3039120000000004E-2</v>
      </c>
      <c r="R3059">
        <v>-0.13785210000000001</v>
      </c>
      <c r="S3059">
        <v>3.055939</v>
      </c>
      <c r="T3059">
        <v>-0.3027687</v>
      </c>
      <c r="U3059">
        <v>1.010132E-2</v>
      </c>
      <c r="V3059">
        <v>0.13824910000000001</v>
      </c>
      <c r="W3059">
        <v>7.6123280000000001E-2</v>
      </c>
      <c r="X3059">
        <v>0.98746769999999995</v>
      </c>
      <c r="Y3059">
        <v>-2.9509710000000001E-3</v>
      </c>
      <c r="Z3059">
        <v>1.120549E-4</v>
      </c>
      <c r="AA3059">
        <v>0.99999559999999998</v>
      </c>
      <c r="AB3059">
        <v>33</v>
      </c>
      <c r="AC3059">
        <v>0.58419999999995298</v>
      </c>
      <c r="AD3059">
        <v>-8.8122999999999896E-2</v>
      </c>
      <c r="AE3059">
        <v>3.0000000000143202E-3</v>
      </c>
      <c r="AF3059">
        <v>-2.7380733618436598E-3</v>
      </c>
      <c r="AG3059">
        <v>-8.8122999999999896E-2</v>
      </c>
      <c r="AH3059">
        <v>0.57120422207113797</v>
      </c>
      <c r="AI3059">
        <v>98.770110395026094</v>
      </c>
      <c r="AJ3059">
        <v>90.274645809681701</v>
      </c>
      <c r="AK3059">
        <v>0.57796835855142503</v>
      </c>
      <c r="AL3059">
        <v>85.634234023462795</v>
      </c>
      <c r="AM3059">
        <v>82.030183486627706</v>
      </c>
      <c r="AN3059">
        <v>1.00000001297602</v>
      </c>
    </row>
    <row r="3060" spans="1:40" x14ac:dyDescent="0.25">
      <c r="A3060" t="str">
        <f>"20190312151331877"</f>
        <v>20190312151331877</v>
      </c>
      <c r="B3060" t="str">
        <f>"1552374811873557"</f>
        <v>1552374811873557</v>
      </c>
      <c r="C3060" t="s">
        <v>40</v>
      </c>
      <c r="D3060">
        <v>4.543971</v>
      </c>
      <c r="E3060">
        <v>0.44480690000000001</v>
      </c>
      <c r="F3060" t="s">
        <v>41</v>
      </c>
      <c r="G3060">
        <v>-340.37729999999999</v>
      </c>
      <c r="H3060">
        <v>1.0225850000000001</v>
      </c>
      <c r="I3060">
        <v>214.3253</v>
      </c>
      <c r="J3060">
        <v>-340.92430000000002</v>
      </c>
      <c r="K3060">
        <v>1.1097699999999999</v>
      </c>
      <c r="L3060">
        <v>214.32140000000001</v>
      </c>
      <c r="M3060">
        <v>0.9999112</v>
      </c>
      <c r="N3060">
        <v>0</v>
      </c>
      <c r="O3060" s="1">
        <v>7.7621479999999994E-6</v>
      </c>
      <c r="P3060">
        <v>0.98833599999999999</v>
      </c>
      <c r="Q3060">
        <v>6.2895480000000004E-2</v>
      </c>
      <c r="R3060">
        <v>-0.1386966</v>
      </c>
      <c r="S3060">
        <v>3.0563349999999998</v>
      </c>
      <c r="T3060">
        <v>-0.3021761</v>
      </c>
      <c r="U3060">
        <v>1.4068600000000001E-2</v>
      </c>
      <c r="V3060">
        <v>0.138763</v>
      </c>
      <c r="W3060">
        <v>7.5958269999999994E-2</v>
      </c>
      <c r="X3060">
        <v>0.98740830000000002</v>
      </c>
      <c r="Y3060">
        <v>-4.573026E-3</v>
      </c>
      <c r="Z3060">
        <v>2.2474809999999999E-4</v>
      </c>
      <c r="AA3060">
        <v>0.99998949999999998</v>
      </c>
      <c r="AB3060">
        <v>33</v>
      </c>
      <c r="AC3060">
        <v>0.54700000000002502</v>
      </c>
      <c r="AD3060">
        <v>-8.7184999999999999E-2</v>
      </c>
      <c r="AE3060">
        <v>3.8999999999873498E-3</v>
      </c>
      <c r="AF3060">
        <v>-3.79924120212978E-3</v>
      </c>
      <c r="AG3060">
        <v>-8.7184999999999999E-2</v>
      </c>
      <c r="AH3060">
        <v>0.53344877466736595</v>
      </c>
      <c r="AI3060">
        <v>99.281924161652896</v>
      </c>
      <c r="AJ3060">
        <v>90.4080556862923</v>
      </c>
      <c r="AK3060">
        <v>0.54053977989859903</v>
      </c>
      <c r="AL3060">
        <v>85.643715751992602</v>
      </c>
      <c r="AM3060">
        <v>82.000465842820304</v>
      </c>
      <c r="AN3060">
        <v>0.99999998992964101</v>
      </c>
    </row>
    <row r="3061" spans="1:40" x14ac:dyDescent="0.25">
      <c r="A3061" t="str">
        <f>"20190312151331898"</f>
        <v>20190312151331898</v>
      </c>
      <c r="B3061" t="str">
        <f>"1552374811893076"</f>
        <v>1552374811893076</v>
      </c>
      <c r="C3061" t="s">
        <v>40</v>
      </c>
      <c r="D3061">
        <v>4.5378119999999997</v>
      </c>
      <c r="E3061">
        <v>0.4444591</v>
      </c>
      <c r="F3061" t="s">
        <v>41</v>
      </c>
      <c r="G3061">
        <v>-340.07709999999997</v>
      </c>
      <c r="H3061">
        <v>1.027854</v>
      </c>
      <c r="I3061">
        <v>214.32550000000001</v>
      </c>
      <c r="J3061">
        <v>-340.6078</v>
      </c>
      <c r="K3061">
        <v>1.1097709999999901</v>
      </c>
      <c r="L3061">
        <v>214.321</v>
      </c>
      <c r="M3061">
        <v>0.99991160000000001</v>
      </c>
      <c r="N3061">
        <v>0</v>
      </c>
      <c r="O3061">
        <v>-3.0223540000000001E-4</v>
      </c>
      <c r="P3061">
        <v>0.98820940000000002</v>
      </c>
      <c r="Q3061">
        <v>6.3737849999999999E-2</v>
      </c>
      <c r="R3061">
        <v>-0.13921159999999999</v>
      </c>
      <c r="S3061">
        <v>3.0564879999999999</v>
      </c>
      <c r="T3061">
        <v>-0.29574230000000001</v>
      </c>
      <c r="U3061">
        <v>1.5853880000000001E-2</v>
      </c>
      <c r="V3061">
        <v>0.13897229999999999</v>
      </c>
      <c r="W3061">
        <v>7.677225E-2</v>
      </c>
      <c r="X3061">
        <v>0.98731590000000002</v>
      </c>
      <c r="Y3061">
        <v>-5.4622269999999896E-3</v>
      </c>
      <c r="Z3061">
        <v>2.9282020000000002E-4</v>
      </c>
      <c r="AA3061">
        <v>0.99998500000000001</v>
      </c>
      <c r="AB3061">
        <v>33</v>
      </c>
      <c r="AC3061">
        <v>0.53070000000002404</v>
      </c>
      <c r="AD3061">
        <v>-8.1916999999999796E-2</v>
      </c>
      <c r="AE3061">
        <v>4.5000000000072699E-3</v>
      </c>
      <c r="AF3061">
        <v>-4.5519633217187896E-3</v>
      </c>
      <c r="AG3061">
        <v>-8.1916999999999796E-2</v>
      </c>
      <c r="AH3061">
        <v>0.51834934705451396</v>
      </c>
      <c r="AI3061">
        <v>98.980090274328106</v>
      </c>
      <c r="AJ3061">
        <v>90.503138634858999</v>
      </c>
      <c r="AK3061">
        <v>0.52480202062389503</v>
      </c>
      <c r="AL3061">
        <v>85.596941513776699</v>
      </c>
      <c r="AM3061">
        <v>81.987816437037907</v>
      </c>
      <c r="AN3061">
        <v>0.99999998246508104</v>
      </c>
    </row>
    <row r="3062" spans="1:40" x14ac:dyDescent="0.25">
      <c r="A3062" t="str">
        <f>"20190312151331921"</f>
        <v>20190312151331921</v>
      </c>
      <c r="B3062" t="str">
        <f>"1552374811913573"</f>
        <v>1552374811913573</v>
      </c>
      <c r="C3062" t="s">
        <v>40</v>
      </c>
      <c r="D3062">
        <v>4.6431180000000003</v>
      </c>
      <c r="E3062">
        <v>0.44394939999999999</v>
      </c>
      <c r="F3062" t="s">
        <v>41</v>
      </c>
      <c r="G3062">
        <v>-339.7774</v>
      </c>
      <c r="H3062">
        <v>1.0308649999999999</v>
      </c>
      <c r="I3062">
        <v>214.32550000000001</v>
      </c>
      <c r="J3062">
        <v>-340.26960000000003</v>
      </c>
      <c r="K3062">
        <v>1.1097649999999999</v>
      </c>
      <c r="L3062">
        <v>214.32050000000001</v>
      </c>
      <c r="M3062">
        <v>0.99991209999999997</v>
      </c>
      <c r="N3062">
        <v>0</v>
      </c>
      <c r="O3062">
        <v>-6.2419470000000003E-4</v>
      </c>
      <c r="P3062">
        <v>0.98812089999999997</v>
      </c>
      <c r="Q3062">
        <v>6.4750749999999996E-2</v>
      </c>
      <c r="R3062">
        <v>-0.1393722</v>
      </c>
      <c r="S3062">
        <v>3.0569760000000001</v>
      </c>
      <c r="T3062">
        <v>-0.29054140000000001</v>
      </c>
      <c r="U3062">
        <v>1.7364500000000001E-2</v>
      </c>
      <c r="V3062">
        <v>0.13881459999999901</v>
      </c>
      <c r="W3062">
        <v>7.7741599999999994E-2</v>
      </c>
      <c r="X3062">
        <v>0.98726219999999998</v>
      </c>
      <c r="Y3062">
        <v>-6.2733509999999999E-3</v>
      </c>
      <c r="Z3062">
        <v>3.5663969999999998E-4</v>
      </c>
      <c r="AA3062">
        <v>0.99998030000000004</v>
      </c>
      <c r="AB3062">
        <v>33</v>
      </c>
      <c r="AC3062">
        <v>0.49220000000002501</v>
      </c>
      <c r="AD3062">
        <v>-7.8899999999999901E-2</v>
      </c>
      <c r="AE3062">
        <v>4.9999999999954499E-3</v>
      </c>
      <c r="AF3062">
        <v>-5.1743077020974804E-3</v>
      </c>
      <c r="AG3062">
        <v>-7.8899999999999901E-2</v>
      </c>
      <c r="AH3062">
        <v>0.479867237204464</v>
      </c>
      <c r="AI3062">
        <v>99.336524692149098</v>
      </c>
      <c r="AJ3062">
        <v>90.617784422768807</v>
      </c>
      <c r="AK3062">
        <v>0.486337895708777</v>
      </c>
      <c r="AL3062">
        <v>85.541235210486605</v>
      </c>
      <c r="AM3062">
        <v>81.996360786776194</v>
      </c>
      <c r="AN3062">
        <v>0.99999995054627799</v>
      </c>
    </row>
    <row r="3063" spans="1:40" x14ac:dyDescent="0.25">
      <c r="A3063" t="str">
        <f>"20190312151331942"</f>
        <v>20190312151331942</v>
      </c>
      <c r="B3063" t="str">
        <f>"1552374811933092"</f>
        <v>1552374811933092</v>
      </c>
      <c r="C3063" t="s">
        <v>40</v>
      </c>
      <c r="D3063">
        <v>4.5461260000000001</v>
      </c>
      <c r="E3063">
        <v>0.44363530000000001</v>
      </c>
      <c r="F3063" t="s">
        <v>41</v>
      </c>
      <c r="G3063">
        <v>-339.47699999999998</v>
      </c>
      <c r="H3063">
        <v>1.034349</v>
      </c>
      <c r="I3063">
        <v>214.32579999999999</v>
      </c>
      <c r="J3063">
        <v>-339.94650000000001</v>
      </c>
      <c r="K3063">
        <v>1.109758</v>
      </c>
      <c r="L3063">
        <v>214.32</v>
      </c>
      <c r="M3063">
        <v>0.99991240000000003</v>
      </c>
      <c r="N3063">
        <v>0</v>
      </c>
      <c r="O3063">
        <v>-9.2325830000000004E-4</v>
      </c>
      <c r="P3063">
        <v>0.98810359999999997</v>
      </c>
      <c r="Q3063">
        <v>6.5066289999999999E-2</v>
      </c>
      <c r="R3063">
        <v>-0.13934739999999901</v>
      </c>
      <c r="S3063">
        <v>3.0580750000000001</v>
      </c>
      <c r="T3063">
        <v>-0.2910123</v>
      </c>
      <c r="U3063">
        <v>2.0721440000000001E-2</v>
      </c>
      <c r="V3063">
        <v>0.13849359999999999</v>
      </c>
      <c r="W3063">
        <v>7.8000699999999895E-2</v>
      </c>
      <c r="X3063">
        <v>0.98728689999999997</v>
      </c>
      <c r="Y3063">
        <v>-7.6603569999999996E-3</v>
      </c>
      <c r="Z3063">
        <v>4.5132929999999998E-4</v>
      </c>
      <c r="AA3063">
        <v>0.99997060000000004</v>
      </c>
      <c r="AB3063">
        <v>33</v>
      </c>
      <c r="AC3063">
        <v>0.469500000000039</v>
      </c>
      <c r="AD3063">
        <v>-7.5409000000000004E-2</v>
      </c>
      <c r="AE3063">
        <v>5.7999999999935803E-3</v>
      </c>
      <c r="AF3063">
        <v>-6.0767645611656904E-3</v>
      </c>
      <c r="AG3063">
        <v>-7.5409000000000004E-2</v>
      </c>
      <c r="AH3063">
        <v>0.45768907875001702</v>
      </c>
      <c r="AI3063">
        <v>99.355206050737394</v>
      </c>
      <c r="AJ3063">
        <v>90.760674707136502</v>
      </c>
      <c r="AK3063">
        <v>0.46389949035924999</v>
      </c>
      <c r="AL3063">
        <v>85.526344899703304</v>
      </c>
      <c r="AM3063">
        <v>82.014826888649594</v>
      </c>
      <c r="AN3063">
        <v>1.0000000046765201</v>
      </c>
    </row>
    <row r="3064" spans="1:40" x14ac:dyDescent="0.25">
      <c r="A3064" t="str">
        <f>"20190312151331965"</f>
        <v>20190312151331965</v>
      </c>
      <c r="B3064" t="str">
        <f>"1552374811953588"</f>
        <v>1552374811953588</v>
      </c>
      <c r="C3064" t="s">
        <v>40</v>
      </c>
      <c r="D3064">
        <v>4.603078</v>
      </c>
      <c r="E3064">
        <v>0.44341439999999999</v>
      </c>
      <c r="F3064" t="s">
        <v>41</v>
      </c>
      <c r="G3064">
        <v>-339.1782</v>
      </c>
      <c r="H3064">
        <v>1.036014</v>
      </c>
      <c r="I3064">
        <v>214.32550000000001</v>
      </c>
      <c r="J3064">
        <v>-339.61689999999999</v>
      </c>
      <c r="K3064">
        <v>1.1097549999999901</v>
      </c>
      <c r="L3064">
        <v>214.3193</v>
      </c>
      <c r="M3064">
        <v>0.99991319999999995</v>
      </c>
      <c r="N3064">
        <v>0</v>
      </c>
      <c r="O3064">
        <v>-1.2200900000000001E-3</v>
      </c>
      <c r="P3064">
        <v>0.98808830000000003</v>
      </c>
      <c r="Q3064">
        <v>6.5084230000000007E-2</v>
      </c>
      <c r="R3064">
        <v>-0.13944909999999999</v>
      </c>
      <c r="S3064">
        <v>3.0587460000000002</v>
      </c>
      <c r="T3064">
        <v>-0.29378399999999999</v>
      </c>
      <c r="U3064">
        <v>2.325439E-2</v>
      </c>
      <c r="V3064">
        <v>0.1382999</v>
      </c>
      <c r="W3064">
        <v>7.7949820000000003E-2</v>
      </c>
      <c r="X3064">
        <v>0.98731809999999998</v>
      </c>
      <c r="Y3064">
        <v>-8.7765220000000001E-3</v>
      </c>
      <c r="Z3064">
        <v>5.3743219999999997E-4</v>
      </c>
      <c r="AA3064">
        <v>0.99996130000000005</v>
      </c>
      <c r="AB3064">
        <v>33</v>
      </c>
      <c r="AC3064">
        <v>0.43869999999998199</v>
      </c>
      <c r="AD3064">
        <v>-7.3740999999999807E-2</v>
      </c>
      <c r="AE3064">
        <v>6.2000000000068597E-3</v>
      </c>
      <c r="AF3064">
        <v>-6.5502596459977198E-3</v>
      </c>
      <c r="AG3064">
        <v>-7.3740999999999807E-2</v>
      </c>
      <c r="AH3064">
        <v>0.42664014597311001</v>
      </c>
      <c r="AI3064">
        <v>99.8050545569007</v>
      </c>
      <c r="AJ3064">
        <v>90.879600177310806</v>
      </c>
      <c r="AK3064">
        <v>0.433015536832556</v>
      </c>
      <c r="AL3064">
        <v>85.529269141956107</v>
      </c>
      <c r="AM3064">
        <v>82.026100106193297</v>
      </c>
      <c r="AN3064">
        <v>1.0000000336828201</v>
      </c>
    </row>
    <row r="3065" spans="1:40" x14ac:dyDescent="0.25">
      <c r="A3065" t="str">
        <f>"20190312151331991"</f>
        <v>20190312151331991</v>
      </c>
      <c r="B3065" t="str">
        <f>"1552374811982868"</f>
        <v>1552374811982868</v>
      </c>
      <c r="C3065" t="s">
        <v>40</v>
      </c>
      <c r="D3065">
        <v>4.5974870000000001</v>
      </c>
      <c r="E3065">
        <v>0.44303999999999999</v>
      </c>
      <c r="F3065" t="s">
        <v>41</v>
      </c>
      <c r="G3065">
        <v>-338.87759999999997</v>
      </c>
      <c r="H3065">
        <v>1.038529</v>
      </c>
      <c r="I3065">
        <v>214.3253</v>
      </c>
      <c r="J3065">
        <v>-339.23970000000003</v>
      </c>
      <c r="K3065">
        <v>1.1097490000000001</v>
      </c>
      <c r="L3065">
        <v>214.3185</v>
      </c>
      <c r="M3065">
        <v>0.99991399999999997</v>
      </c>
      <c r="N3065">
        <v>0</v>
      </c>
      <c r="O3065">
        <v>-1.5451149999999999E-3</v>
      </c>
      <c r="P3065">
        <v>0.98805310000000002</v>
      </c>
      <c r="Q3065">
        <v>6.4510609999999996E-2</v>
      </c>
      <c r="R3065">
        <v>-0.1399629</v>
      </c>
      <c r="S3065">
        <v>3.0591430000000002</v>
      </c>
      <c r="T3065">
        <v>-0.29482069999999999</v>
      </c>
      <c r="U3065">
        <v>2.5177000000000001E-2</v>
      </c>
      <c r="V3065">
        <v>0.1384881</v>
      </c>
      <c r="W3065">
        <v>7.7287610000000007E-2</v>
      </c>
      <c r="X3065">
        <v>0.98734370000000005</v>
      </c>
      <c r="Y3065">
        <v>-9.7227849999999994E-3</v>
      </c>
      <c r="Z3065">
        <v>6.1599370000000003E-4</v>
      </c>
      <c r="AA3065">
        <v>0.99995259999999997</v>
      </c>
      <c r="AB3065">
        <v>33</v>
      </c>
      <c r="AC3065">
        <v>0.36210000000005399</v>
      </c>
      <c r="AD3065">
        <v>-7.1219999999999797E-2</v>
      </c>
      <c r="AE3065">
        <v>6.7999999999983603E-3</v>
      </c>
      <c r="AF3065">
        <v>-7.0855162073196398E-3</v>
      </c>
      <c r="AG3065">
        <v>-7.1219999999999797E-2</v>
      </c>
      <c r="AH3065">
        <v>0.348607788910553</v>
      </c>
      <c r="AI3065">
        <v>101.54422101382001</v>
      </c>
      <c r="AJ3065">
        <v>91.164386732796302</v>
      </c>
      <c r="AK3065">
        <v>0.35587902920659498</v>
      </c>
      <c r="AL3065">
        <v>85.567325443485899</v>
      </c>
      <c r="AM3065">
        <v>82.015593343599704</v>
      </c>
      <c r="AN3065">
        <v>0.99999995521540497</v>
      </c>
    </row>
    <row r="3066" spans="1:40" x14ac:dyDescent="0.25">
      <c r="A3066" t="str">
        <f>"20190312151332033"</f>
        <v>20190312151332033</v>
      </c>
      <c r="B3066" t="str">
        <f>"1552374812022888"</f>
        <v>1552374812022888</v>
      </c>
      <c r="C3066" t="s">
        <v>40</v>
      </c>
      <c r="D3066">
        <v>4.624625</v>
      </c>
      <c r="E3066">
        <v>0.4426195</v>
      </c>
      <c r="F3066" t="s">
        <v>41</v>
      </c>
      <c r="G3066">
        <v>-338.298</v>
      </c>
      <c r="H3066">
        <v>1.0175160000000001</v>
      </c>
      <c r="I3066">
        <v>214.32660000000001</v>
      </c>
      <c r="J3066">
        <v>-338.60239999999999</v>
      </c>
      <c r="K3066">
        <v>1.1097600000000001</v>
      </c>
      <c r="L3066">
        <v>214.3169</v>
      </c>
      <c r="M3066">
        <v>0.9999152</v>
      </c>
      <c r="N3066">
        <v>0</v>
      </c>
      <c r="O3066">
        <v>-2.0603409999999998E-3</v>
      </c>
      <c r="P3066">
        <v>0.98807880000000003</v>
      </c>
      <c r="Q3066">
        <v>6.5079529999999997E-2</v>
      </c>
      <c r="R3066">
        <v>-0.1395187</v>
      </c>
      <c r="S3066">
        <v>3.0596009999999998</v>
      </c>
      <c r="T3066">
        <v>-0.29973630000000001</v>
      </c>
      <c r="U3066">
        <v>2.676392E-2</v>
      </c>
      <c r="V3066">
        <v>0.1375294</v>
      </c>
      <c r="W3066">
        <v>7.7698340000000005E-2</v>
      </c>
      <c r="X3066">
        <v>0.98744549999999998</v>
      </c>
      <c r="Y3066">
        <v>-1.07463E-2</v>
      </c>
      <c r="Z3066">
        <v>7.2649209999999995E-4</v>
      </c>
      <c r="AA3066">
        <v>0.999942</v>
      </c>
      <c r="AB3066">
        <v>33</v>
      </c>
      <c r="AC3066">
        <v>0.30439999999998602</v>
      </c>
      <c r="AD3066">
        <v>-9.2244000000000007E-2</v>
      </c>
      <c r="AE3066">
        <v>9.7000000000093695E-3</v>
      </c>
      <c r="AF3066">
        <v>-9.4594172150674997E-3</v>
      </c>
      <c r="AG3066">
        <v>-9.2244000000000007E-2</v>
      </c>
      <c r="AH3066">
        <v>0.27880274257776799</v>
      </c>
      <c r="AI3066">
        <v>108.29736220141</v>
      </c>
      <c r="AJ3066">
        <v>91.943226424945706</v>
      </c>
      <c r="AK3066">
        <v>0.293818660705773</v>
      </c>
      <c r="AL3066">
        <v>85.543721529727407</v>
      </c>
      <c r="AM3066">
        <v>82.070967911699896</v>
      </c>
      <c r="AN3066">
        <v>0.99999999168668197</v>
      </c>
    </row>
    <row r="3067" spans="1:40" x14ac:dyDescent="0.25">
      <c r="A3067" t="str">
        <f>"20190312151332055"</f>
        <v>20190312151332055</v>
      </c>
      <c r="B3067" t="str">
        <f>"1552374812043384"</f>
        <v>1552374812043384</v>
      </c>
      <c r="C3067" t="s">
        <v>40</v>
      </c>
      <c r="D3067">
        <v>4.6249079999999996</v>
      </c>
      <c r="E3067">
        <v>0.4423185</v>
      </c>
      <c r="F3067" t="s">
        <v>41</v>
      </c>
      <c r="G3067">
        <v>-337.702</v>
      </c>
      <c r="H3067">
        <v>1.0204959999999901</v>
      </c>
      <c r="I3067">
        <v>214.32589999999999</v>
      </c>
      <c r="J3067">
        <v>-338.28519999999997</v>
      </c>
      <c r="K3067">
        <v>1.1097549999999901</v>
      </c>
      <c r="L3067">
        <v>214.316</v>
      </c>
      <c r="M3067">
        <v>0.99991580000000002</v>
      </c>
      <c r="N3067">
        <v>0</v>
      </c>
      <c r="O3067">
        <v>-2.3009219999999999E-3</v>
      </c>
      <c r="P3067">
        <v>0.98804939999999997</v>
      </c>
      <c r="Q3067">
        <v>6.4966339999999997E-2</v>
      </c>
      <c r="R3067">
        <v>-0.1397777</v>
      </c>
      <c r="S3067">
        <v>3.0605159999999998</v>
      </c>
      <c r="T3067">
        <v>-0.30343560000000003</v>
      </c>
      <c r="U3067">
        <v>3.092957E-2</v>
      </c>
      <c r="V3067">
        <v>0.13754930000000001</v>
      </c>
      <c r="W3067">
        <v>7.7503440000000007E-2</v>
      </c>
      <c r="X3067">
        <v>0.98745810000000001</v>
      </c>
      <c r="Y3067">
        <v>-1.2334700000000001E-2</v>
      </c>
      <c r="Z3067">
        <v>8.3753300000000001E-4</v>
      </c>
      <c r="AA3067">
        <v>0.99992360000000002</v>
      </c>
      <c r="AB3067">
        <v>33</v>
      </c>
      <c r="AC3067">
        <v>0.58319999999997596</v>
      </c>
      <c r="AD3067">
        <v>-8.9258999999999894E-2</v>
      </c>
      <c r="AE3067">
        <v>9.9000000000160002E-3</v>
      </c>
      <c r="AF3067">
        <v>-1.0984743725980999E-2</v>
      </c>
      <c r="AG3067">
        <v>-8.9258999999999894E-2</v>
      </c>
      <c r="AH3067">
        <v>0.56983154202499198</v>
      </c>
      <c r="AI3067">
        <v>98.900901109246206</v>
      </c>
      <c r="AJ3067">
        <v>91.104364122299501</v>
      </c>
      <c r="AK3067">
        <v>0.576884581144535</v>
      </c>
      <c r="AL3067">
        <v>85.5549224957972</v>
      </c>
      <c r="AM3067">
        <v>82.069935106899294</v>
      </c>
      <c r="AN3067">
        <v>1.00000004619896</v>
      </c>
    </row>
    <row r="3068" spans="1:40" x14ac:dyDescent="0.25">
      <c r="A3068" t="str">
        <f>"20190312151332077"</f>
        <v>20190312151332077</v>
      </c>
      <c r="B3068" t="str">
        <f>"1552374812073636"</f>
        <v>1552374812073636</v>
      </c>
      <c r="C3068" t="s">
        <v>40</v>
      </c>
      <c r="D3068">
        <v>4.6399850000000002</v>
      </c>
      <c r="E3068">
        <v>0.42598069999999999</v>
      </c>
      <c r="F3068" t="s">
        <v>41</v>
      </c>
      <c r="G3068">
        <v>-337.40410000000003</v>
      </c>
      <c r="H3068">
        <v>1.0216860000000001</v>
      </c>
      <c r="I3068">
        <v>214.3252</v>
      </c>
      <c r="J3068">
        <v>-337.95429999999999</v>
      </c>
      <c r="K3068">
        <v>1.1097440000000001</v>
      </c>
      <c r="L3068">
        <v>214.315</v>
      </c>
      <c r="M3068">
        <v>0.99991640000000004</v>
      </c>
      <c r="N3068">
        <v>0</v>
      </c>
      <c r="O3068">
        <v>-2.5438029999999999E-3</v>
      </c>
      <c r="P3068">
        <v>0.98813439999999997</v>
      </c>
      <c r="Q3068">
        <v>6.4536769999999993E-2</v>
      </c>
      <c r="R3068">
        <v>-0.13937539999999901</v>
      </c>
      <c r="S3068">
        <v>3.0610050000000002</v>
      </c>
      <c r="T3068">
        <v>-0.30604959999999998</v>
      </c>
      <c r="U3068">
        <v>3.2547E-2</v>
      </c>
      <c r="V3068">
        <v>0.13690559999999999</v>
      </c>
      <c r="W3068">
        <v>7.6988559999999998E-2</v>
      </c>
      <c r="X3068">
        <v>0.98758769999999996</v>
      </c>
      <c r="Y3068">
        <v>-1.309803E-2</v>
      </c>
      <c r="Z3068">
        <v>9.0686520000000004E-4</v>
      </c>
      <c r="AA3068">
        <v>0.99991379999999996</v>
      </c>
      <c r="AB3068">
        <v>33</v>
      </c>
      <c r="AC3068">
        <v>0.55019999999996105</v>
      </c>
      <c r="AD3068">
        <v>-8.80579999999999E-2</v>
      </c>
      <c r="AE3068">
        <v>1.0199999999997499E-2</v>
      </c>
      <c r="AF3068">
        <v>-1.13100705644032E-2</v>
      </c>
      <c r="AG3068">
        <v>-8.80579999999999E-2</v>
      </c>
      <c r="AH3068">
        <v>0.53643611399501101</v>
      </c>
      <c r="AI3068">
        <v>99.320142300403802</v>
      </c>
      <c r="AJ3068">
        <v>91.207829409916897</v>
      </c>
      <c r="AK3068">
        <v>0.54373323740437296</v>
      </c>
      <c r="AL3068">
        <v>85.584510812207398</v>
      </c>
      <c r="AM3068">
        <v>82.107599966040496</v>
      </c>
      <c r="AN3068">
        <v>0.99999992343675803</v>
      </c>
    </row>
    <row r="3069" spans="1:40" x14ac:dyDescent="0.25">
      <c r="A3069" t="str">
        <f>"20190312151332099"</f>
        <v>20190312151332099</v>
      </c>
      <c r="B3069" t="str">
        <f>"1552374812093157"</f>
        <v>1552374812093157</v>
      </c>
      <c r="C3069" t="s">
        <v>40</v>
      </c>
      <c r="D3069">
        <v>4.6469139999999998</v>
      </c>
      <c r="E3069">
        <v>0.42551339999999999</v>
      </c>
      <c r="F3069" t="s">
        <v>41</v>
      </c>
      <c r="G3069">
        <v>-337.10890000000001</v>
      </c>
      <c r="H3069">
        <v>1.010275</v>
      </c>
      <c r="I3069">
        <v>214.3596</v>
      </c>
      <c r="J3069">
        <v>-337.61880000000002</v>
      </c>
      <c r="K3069">
        <v>1.109731</v>
      </c>
      <c r="L3069">
        <v>214.31379999999999</v>
      </c>
      <c r="M3069">
        <v>0.9999171</v>
      </c>
      <c r="N3069">
        <v>0</v>
      </c>
      <c r="O3069">
        <v>-2.785718E-3</v>
      </c>
      <c r="P3069">
        <v>0.98815070000000005</v>
      </c>
      <c r="Q3069">
        <v>6.4065399999999995E-2</v>
      </c>
      <c r="R3069">
        <v>-0.13947870000000001</v>
      </c>
      <c r="S3069">
        <v>3.082611</v>
      </c>
      <c r="T3069">
        <v>-0.36270940000000002</v>
      </c>
      <c r="U3069">
        <v>0.16250609999999999</v>
      </c>
      <c r="V3069">
        <v>0.13676920000000001</v>
      </c>
      <c r="W3069">
        <v>7.6423270000000001E-2</v>
      </c>
      <c r="X3069">
        <v>0.98765060000000005</v>
      </c>
      <c r="Y3069">
        <v>-5.5028050000000002E-2</v>
      </c>
      <c r="Z3069">
        <v>3.5504970000000001E-3</v>
      </c>
      <c r="AA3069">
        <v>0.99847850000000005</v>
      </c>
      <c r="AB3069">
        <v>33</v>
      </c>
      <c r="AC3069">
        <v>0.50990000000001601</v>
      </c>
      <c r="AD3069">
        <v>-9.9456000000000003E-2</v>
      </c>
      <c r="AE3069">
        <v>4.5800000000014003E-2</v>
      </c>
      <c r="AF3069">
        <v>-4.5503084647381002E-2</v>
      </c>
      <c r="AG3069">
        <v>-9.9456000000000003E-2</v>
      </c>
      <c r="AH3069">
        <v>0.49123134292300202</v>
      </c>
      <c r="AI3069">
        <v>101.398030177715</v>
      </c>
      <c r="AJ3069">
        <v>95.292243890921</v>
      </c>
      <c r="AK3069">
        <v>0.50325963370646198</v>
      </c>
      <c r="AL3069">
        <v>85.616995672822497</v>
      </c>
      <c r="AM3069">
        <v>82.115860103308407</v>
      </c>
      <c r="AN3069">
        <v>1.0000000189732401</v>
      </c>
    </row>
    <row r="3070" spans="1:40" x14ac:dyDescent="0.25">
      <c r="A3070" t="str">
        <f>"20190312151332121"</f>
        <v>20190312151332121</v>
      </c>
      <c r="B3070" t="str">
        <f>"1552374812113652"</f>
        <v>1552374812113652</v>
      </c>
      <c r="C3070" t="s">
        <v>40</v>
      </c>
      <c r="D3070">
        <v>4.6573409999999997</v>
      </c>
      <c r="E3070">
        <v>0.42515950000000002</v>
      </c>
      <c r="F3070" t="s">
        <v>41</v>
      </c>
      <c r="G3070">
        <v>-336.80829999999997</v>
      </c>
      <c r="H3070">
        <v>1.014683</v>
      </c>
      <c r="I3070">
        <v>214.3571</v>
      </c>
      <c r="J3070">
        <v>-337.29070000000002</v>
      </c>
      <c r="K3070">
        <v>1.1097140000000001</v>
      </c>
      <c r="L3070">
        <v>214.31270000000001</v>
      </c>
      <c r="M3070">
        <v>0.99991739999999996</v>
      </c>
      <c r="N3070">
        <v>0</v>
      </c>
      <c r="O3070">
        <v>-3.0219280000000001E-3</v>
      </c>
      <c r="P3070">
        <v>0.9882206</v>
      </c>
      <c r="Q3070">
        <v>6.3335600000000006E-2</v>
      </c>
      <c r="R3070">
        <v>-0.1393162</v>
      </c>
      <c r="S3070">
        <v>3.0828549999999999</v>
      </c>
      <c r="T3070">
        <v>-0.36168600000000001</v>
      </c>
      <c r="U3070">
        <v>0.1658936</v>
      </c>
      <c r="V3070">
        <v>0.13637199999999999</v>
      </c>
      <c r="W3070">
        <v>7.5601199999999993E-2</v>
      </c>
      <c r="X3070">
        <v>0.9877688</v>
      </c>
      <c r="Y3070">
        <v>-5.6345439999999997E-2</v>
      </c>
      <c r="Z3070">
        <v>3.6447279999999999E-3</v>
      </c>
      <c r="AA3070">
        <v>0.99840469999999903</v>
      </c>
      <c r="AB3070">
        <v>33</v>
      </c>
      <c r="AC3070">
        <v>0.48240000000004102</v>
      </c>
      <c r="AD3070">
        <v>-9.5030999999999796E-2</v>
      </c>
      <c r="AE3070">
        <v>4.4399999999995998E-2</v>
      </c>
      <c r="AF3070">
        <v>-4.4158405606243498E-2</v>
      </c>
      <c r="AG3070">
        <v>-9.5030999999999796E-2</v>
      </c>
      <c r="AH3070">
        <v>0.46439305297537398</v>
      </c>
      <c r="AI3070">
        <v>101.51450413274399</v>
      </c>
      <c r="AJ3070">
        <v>95.431833718778805</v>
      </c>
      <c r="AK3070">
        <v>0.47606907418826699</v>
      </c>
      <c r="AL3070">
        <v>85.664233540255296</v>
      </c>
      <c r="AM3070">
        <v>82.139399200198497</v>
      </c>
      <c r="AN3070">
        <v>1.0000000330394301</v>
      </c>
    </row>
    <row r="3071" spans="1:40" x14ac:dyDescent="0.25">
      <c r="A3071" t="str">
        <f>"20190312151332144"</f>
        <v>20190312151332144</v>
      </c>
      <c r="B3071" t="str">
        <f>"1552374812133172"</f>
        <v>1552374812133172</v>
      </c>
      <c r="C3071" t="s">
        <v>40</v>
      </c>
      <c r="D3071">
        <v>4.6716179999999996</v>
      </c>
      <c r="E3071">
        <v>0.42514289999999999</v>
      </c>
      <c r="F3071" t="s">
        <v>41</v>
      </c>
      <c r="G3071">
        <v>-336.50240000000002</v>
      </c>
      <c r="H3071">
        <v>1.0170619999999999</v>
      </c>
      <c r="I3071">
        <v>214.35599999999999</v>
      </c>
      <c r="J3071">
        <v>-336.94510000000002</v>
      </c>
      <c r="K3071">
        <v>1.109699</v>
      </c>
      <c r="L3071">
        <v>214.31139999999999</v>
      </c>
      <c r="M3071">
        <v>0.99991799999999997</v>
      </c>
      <c r="N3071">
        <v>0</v>
      </c>
      <c r="O3071">
        <v>-3.2735009999999998E-3</v>
      </c>
      <c r="P3071">
        <v>0.98832509999999996</v>
      </c>
      <c r="Q3071">
        <v>6.3051280000000001E-2</v>
      </c>
      <c r="R3071">
        <v>-0.13870199999999999</v>
      </c>
      <c r="S3071">
        <v>3.0828859999999998</v>
      </c>
      <c r="T3071">
        <v>-0.3623943</v>
      </c>
      <c r="U3071">
        <v>0.1694946</v>
      </c>
      <c r="V3071">
        <v>0.135508399999999</v>
      </c>
      <c r="W3071">
        <v>7.5221780000000002E-2</v>
      </c>
      <c r="X3071">
        <v>0.98791660000000003</v>
      </c>
      <c r="Y3071">
        <v>-5.7745919999999999E-2</v>
      </c>
      <c r="Z3071">
        <v>3.7630889999999998E-3</v>
      </c>
      <c r="AA3071">
        <v>0.99832419999999999</v>
      </c>
      <c r="AB3071">
        <v>33</v>
      </c>
      <c r="AC3071">
        <v>0.44270000000000198</v>
      </c>
      <c r="AD3071">
        <v>-9.2636999999999803E-2</v>
      </c>
      <c r="AE3071">
        <v>4.4600000000002603E-2</v>
      </c>
      <c r="AF3071">
        <v>-4.4135870648775298E-2</v>
      </c>
      <c r="AG3071">
        <v>-9.2636999999999803E-2</v>
      </c>
      <c r="AH3071">
        <v>0.42416511463238299</v>
      </c>
      <c r="AI3071">
        <v>102.255709990493</v>
      </c>
      <c r="AJ3071">
        <v>95.940449394750203</v>
      </c>
      <c r="AK3071">
        <v>0.43640077144527201</v>
      </c>
      <c r="AL3071">
        <v>85.686034751253501</v>
      </c>
      <c r="AM3071">
        <v>82.189715618448602</v>
      </c>
      <c r="AN3071">
        <v>1.00000002560624</v>
      </c>
    </row>
    <row r="3072" spans="1:40" x14ac:dyDescent="0.25">
      <c r="A3072" t="str">
        <f>"20190312151332167"</f>
        <v>20190312151332167</v>
      </c>
      <c r="B3072" t="str">
        <f>"1552374812163428"</f>
        <v>1552374812163428</v>
      </c>
      <c r="C3072" t="s">
        <v>40</v>
      </c>
      <c r="D3072">
        <v>4.6617899999999999</v>
      </c>
      <c r="E3072">
        <v>0.42525829999999998</v>
      </c>
      <c r="F3072" t="s">
        <v>54</v>
      </c>
      <c r="G3072">
        <v>-327.69069999999999</v>
      </c>
      <c r="H3072" s="1">
        <v>2.5558019999999998E-6</v>
      </c>
      <c r="I3072">
        <v>214.8263</v>
      </c>
      <c r="J3072">
        <v>-336.62240000000003</v>
      </c>
      <c r="K3072">
        <v>1.1096870000000001</v>
      </c>
      <c r="L3072">
        <v>214.31010000000001</v>
      </c>
      <c r="M3072">
        <v>0.99991819999999998</v>
      </c>
      <c r="N3072">
        <v>0</v>
      </c>
      <c r="O3072">
        <v>-3.509865E-3</v>
      </c>
      <c r="P3072">
        <v>0.98842140000000001</v>
      </c>
      <c r="Q3072">
        <v>6.2761330000000004E-2</v>
      </c>
      <c r="R3072">
        <v>-0.1381462</v>
      </c>
      <c r="S3072">
        <v>3.0830989999999998</v>
      </c>
      <c r="T3072">
        <v>-0.36969360000000001</v>
      </c>
      <c r="U3072">
        <v>0.1715546</v>
      </c>
      <c r="V3072">
        <v>0.13471810000000001</v>
      </c>
      <c r="W3072">
        <v>7.4842820000000004E-2</v>
      </c>
      <c r="X3072">
        <v>0.98805339999999997</v>
      </c>
      <c r="Y3072">
        <v>-5.8618249999999997E-2</v>
      </c>
      <c r="Z3072">
        <v>3.9183150000000003E-3</v>
      </c>
      <c r="AA3072">
        <v>0.99827279999999996</v>
      </c>
      <c r="AB3072">
        <v>33</v>
      </c>
      <c r="AC3072">
        <v>8.9317000000000295</v>
      </c>
      <c r="AD3072">
        <v>-1.1096844441980001</v>
      </c>
      <c r="AE3072">
        <v>0.51619999999999699</v>
      </c>
      <c r="AF3072">
        <v>-0.53925214405769295</v>
      </c>
      <c r="AG3072">
        <v>-1.1096844441980001</v>
      </c>
      <c r="AH3072">
        <v>8.7945338037744794</v>
      </c>
      <c r="AI3072">
        <v>97.178172124204707</v>
      </c>
      <c r="AJ3072">
        <v>93.5087974329589</v>
      </c>
      <c r="AK3072">
        <v>8.8806541012640494</v>
      </c>
      <c r="AL3072">
        <v>85.7078086896461</v>
      </c>
      <c r="AM3072">
        <v>82.235770739801197</v>
      </c>
      <c r="AN3072">
        <v>0.99999996771235999</v>
      </c>
    </row>
    <row r="3073" spans="1:40" x14ac:dyDescent="0.25">
      <c r="A3073" t="str">
        <f>"20190312151332189"</f>
        <v>20190312151332189</v>
      </c>
      <c r="B3073" t="str">
        <f>"1552374812182948"</f>
        <v>1552374812182948</v>
      </c>
      <c r="C3073" t="s">
        <v>40</v>
      </c>
      <c r="D3073">
        <v>4.6326169999999998</v>
      </c>
      <c r="E3073">
        <v>0.42528680000000002</v>
      </c>
      <c r="F3073" t="s">
        <v>41</v>
      </c>
      <c r="G3073">
        <v>-335.63209999999998</v>
      </c>
      <c r="H3073">
        <v>0.99023329999999998</v>
      </c>
      <c r="I3073">
        <v>214.36510000000001</v>
      </c>
      <c r="J3073">
        <v>-336.28190000000001</v>
      </c>
      <c r="K3073">
        <v>1.1096729999999999</v>
      </c>
      <c r="L3073">
        <v>214.30860000000001</v>
      </c>
      <c r="M3073">
        <v>0.99991859999999999</v>
      </c>
      <c r="N3073">
        <v>0</v>
      </c>
      <c r="O3073">
        <v>-3.75983E-3</v>
      </c>
      <c r="P3073">
        <v>0.98859079999999999</v>
      </c>
      <c r="Q3073">
        <v>6.2207480000000002E-2</v>
      </c>
      <c r="R3073">
        <v>-0.13718239999999901</v>
      </c>
      <c r="S3073">
        <v>3.0828250000000001</v>
      </c>
      <c r="T3073">
        <v>-0.37191990000000003</v>
      </c>
      <c r="U3073">
        <v>0.17216489999999901</v>
      </c>
      <c r="V3073">
        <v>0.13350590000000001</v>
      </c>
      <c r="W3073">
        <v>7.4198479999999997E-2</v>
      </c>
      <c r="X3073">
        <v>0.98826650000000005</v>
      </c>
      <c r="Y3073">
        <v>-5.9059340000000002E-2</v>
      </c>
      <c r="Z3073">
        <v>3.9985849999999998E-3</v>
      </c>
      <c r="AA3073">
        <v>0.99824650000000004</v>
      </c>
      <c r="AB3073">
        <v>33</v>
      </c>
      <c r="AC3073">
        <v>0.64980000000002702</v>
      </c>
      <c r="AD3073">
        <v>-0.119439699999999</v>
      </c>
      <c r="AE3073">
        <v>5.6499999999999703E-2</v>
      </c>
      <c r="AF3073">
        <v>-5.7030538684942698E-2</v>
      </c>
      <c r="AG3073">
        <v>-0.119439699999999</v>
      </c>
      <c r="AH3073">
        <v>0.62850748329557404</v>
      </c>
      <c r="AI3073">
        <v>100.71701135718</v>
      </c>
      <c r="AJ3073">
        <v>95.184799149786997</v>
      </c>
      <c r="AK3073">
        <v>0.64229275321875001</v>
      </c>
      <c r="AL3073">
        <v>85.744829547792506</v>
      </c>
      <c r="AM3073">
        <v>82.306432253985307</v>
      </c>
      <c r="AN3073">
        <v>0.99999995739568404</v>
      </c>
    </row>
    <row r="3074" spans="1:40" x14ac:dyDescent="0.25">
      <c r="A3074" t="str">
        <f>"20190312151332212"</f>
        <v>20190312151332212</v>
      </c>
      <c r="B3074" t="str">
        <f>"1552374812203444"</f>
        <v>1552374812203444</v>
      </c>
      <c r="C3074" t="s">
        <v>40</v>
      </c>
      <c r="D3074">
        <v>4.6470120000000001</v>
      </c>
      <c r="E3074">
        <v>0.42538189999999998</v>
      </c>
      <c r="F3074" t="s">
        <v>41</v>
      </c>
      <c r="G3074">
        <v>-335.33229999999998</v>
      </c>
      <c r="H3074">
        <v>0.99382619999999999</v>
      </c>
      <c r="I3074">
        <v>214.36259999999999</v>
      </c>
      <c r="J3074">
        <v>-335.94729999999998</v>
      </c>
      <c r="K3074">
        <v>1.1096549999999901</v>
      </c>
      <c r="L3074">
        <v>214.30709999999999</v>
      </c>
      <c r="M3074">
        <v>0.99991870000000005</v>
      </c>
      <c r="N3074">
        <v>0</v>
      </c>
      <c r="O3074">
        <v>-4.0050870000000001E-3</v>
      </c>
      <c r="P3074">
        <v>0.98876399999999998</v>
      </c>
      <c r="Q3074">
        <v>6.1871500000000003E-2</v>
      </c>
      <c r="R3074">
        <v>-0.1360808</v>
      </c>
      <c r="S3074">
        <v>3.082611</v>
      </c>
      <c r="T3074">
        <v>-0.37605919999999998</v>
      </c>
      <c r="U3074">
        <v>0.17524719999999999</v>
      </c>
      <c r="V3074">
        <v>0.1321609</v>
      </c>
      <c r="W3074">
        <v>7.3779549999999999E-2</v>
      </c>
      <c r="X3074">
        <v>0.98847870000000004</v>
      </c>
      <c r="Y3074">
        <v>-6.0281960000000002E-2</v>
      </c>
      <c r="Z3074">
        <v>4.1469590000000004E-3</v>
      </c>
      <c r="AA3074">
        <v>0.99817279999999997</v>
      </c>
      <c r="AB3074">
        <v>33</v>
      </c>
      <c r="AC3074">
        <v>0.61500000000000898</v>
      </c>
      <c r="AD3074">
        <v>-0.115828799999999</v>
      </c>
      <c r="AE3074">
        <v>5.5499999999994998E-2</v>
      </c>
      <c r="AF3074">
        <v>-5.5992746450077999E-2</v>
      </c>
      <c r="AG3074">
        <v>-0.115828799999999</v>
      </c>
      <c r="AH3074">
        <v>0.59387706995261802</v>
      </c>
      <c r="AI3074">
        <v>100.988785842258</v>
      </c>
      <c r="AJ3074">
        <v>95.386118563759993</v>
      </c>
      <c r="AK3074">
        <v>0.60765242760970595</v>
      </c>
      <c r="AL3074">
        <v>85.768898761524994</v>
      </c>
      <c r="AM3074">
        <v>82.384642226522502</v>
      </c>
      <c r="AN3074">
        <v>1.00000003292035</v>
      </c>
    </row>
    <row r="3075" spans="1:40" x14ac:dyDescent="0.25">
      <c r="A3075" t="str">
        <f>"20190312151332235"</f>
        <v>20190312151332235</v>
      </c>
      <c r="B3075" t="str">
        <f>"1552374812222966"</f>
        <v>1552374812222966</v>
      </c>
      <c r="C3075" t="s">
        <v>40</v>
      </c>
      <c r="D3075">
        <v>4.6668310000000002</v>
      </c>
      <c r="E3075">
        <v>0.4252898</v>
      </c>
      <c r="F3075" t="s">
        <v>41</v>
      </c>
      <c r="G3075">
        <v>-335.03160000000003</v>
      </c>
      <c r="H3075">
        <v>0.99806870000000003</v>
      </c>
      <c r="I3075">
        <v>214.35980000000001</v>
      </c>
      <c r="J3075">
        <v>-335.60199999999998</v>
      </c>
      <c r="K3075">
        <v>1.109645</v>
      </c>
      <c r="L3075">
        <v>214.30549999999999</v>
      </c>
      <c r="M3075">
        <v>0.99991870000000005</v>
      </c>
      <c r="N3075">
        <v>0</v>
      </c>
      <c r="O3075">
        <v>-4.2579740000000003E-3</v>
      </c>
      <c r="P3075">
        <v>0.98890979999999995</v>
      </c>
      <c r="Q3075">
        <v>6.1706219999999999E-2</v>
      </c>
      <c r="R3075">
        <v>-0.13509379999999999</v>
      </c>
      <c r="S3075">
        <v>3.082001</v>
      </c>
      <c r="T3075">
        <v>-0.37559890000000001</v>
      </c>
      <c r="U3075">
        <v>0.1775513</v>
      </c>
      <c r="V3075">
        <v>0.13092300000000001</v>
      </c>
      <c r="W3075">
        <v>7.3530819999999997E-2</v>
      </c>
      <c r="X3075">
        <v>0.98866189999999998</v>
      </c>
      <c r="Y3075">
        <v>-6.1281130000000003E-2</v>
      </c>
      <c r="Z3075">
        <v>4.2339389999999999E-3</v>
      </c>
      <c r="AA3075">
        <v>0.99811150000000004</v>
      </c>
      <c r="AB3075">
        <v>33</v>
      </c>
      <c r="AC3075">
        <v>0.57039999999994895</v>
      </c>
      <c r="AD3075">
        <v>-0.111576299999999</v>
      </c>
      <c r="AE3075">
        <v>5.4300000000011998E-2</v>
      </c>
      <c r="AF3075">
        <v>-5.4655887192893202E-2</v>
      </c>
      <c r="AG3075">
        <v>-0.111576299999999</v>
      </c>
      <c r="AH3075">
        <v>0.54933296726394398</v>
      </c>
      <c r="AI3075">
        <v>101.42637193743001</v>
      </c>
      <c r="AJ3075">
        <v>95.681944191012093</v>
      </c>
      <c r="AK3075">
        <v>0.563207995015644</v>
      </c>
      <c r="AL3075">
        <v>85.783188544236396</v>
      </c>
      <c r="AM3075">
        <v>82.456528754843106</v>
      </c>
      <c r="AN3075">
        <v>0.99999998296524095</v>
      </c>
    </row>
    <row r="3076" spans="1:40" x14ac:dyDescent="0.25">
      <c r="A3076" t="str">
        <f>"20190312151332256"</f>
        <v>20190312151332256</v>
      </c>
      <c r="B3076" t="str">
        <f>"1552374812253220"</f>
        <v>1552374812253220</v>
      </c>
      <c r="C3076" t="s">
        <v>40</v>
      </c>
      <c r="D3076">
        <v>4.634703</v>
      </c>
      <c r="E3076">
        <v>0.42521029999999999</v>
      </c>
      <c r="F3076" t="s">
        <v>41</v>
      </c>
      <c r="G3076">
        <v>-334.73020000000002</v>
      </c>
      <c r="H3076">
        <v>1.002875</v>
      </c>
      <c r="I3076">
        <v>214.35669999999999</v>
      </c>
      <c r="J3076">
        <v>-335.28960000000001</v>
      </c>
      <c r="K3076">
        <v>1.1096299999999999</v>
      </c>
      <c r="L3076">
        <v>214.3039</v>
      </c>
      <c r="M3076">
        <v>0.99991859999999999</v>
      </c>
      <c r="N3076">
        <v>0</v>
      </c>
      <c r="O3076">
        <v>-4.4868369999999996E-3</v>
      </c>
      <c r="P3076">
        <v>0.98905529999999997</v>
      </c>
      <c r="Q3076">
        <v>6.1156080000000002E-2</v>
      </c>
      <c r="R3076">
        <v>-0.13427449999999999</v>
      </c>
      <c r="S3076">
        <v>3.082001</v>
      </c>
      <c r="T3076">
        <v>-0.37748009999999999</v>
      </c>
      <c r="U3076">
        <v>0.1815338</v>
      </c>
      <c r="V3076">
        <v>0.12987650000000001</v>
      </c>
      <c r="W3076">
        <v>7.2904999999999998E-2</v>
      </c>
      <c r="X3076">
        <v>0.98884620000000001</v>
      </c>
      <c r="Y3076">
        <v>-6.2777239999999998E-2</v>
      </c>
      <c r="Z3076">
        <v>4.3739390000000003E-3</v>
      </c>
      <c r="AA3076">
        <v>0.99801799999999996</v>
      </c>
      <c r="AB3076">
        <v>33</v>
      </c>
      <c r="AC3076">
        <v>0.55939999999998202</v>
      </c>
      <c r="AD3076">
        <v>-0.106754999999999</v>
      </c>
      <c r="AE3076">
        <v>5.2799999999990598E-2</v>
      </c>
      <c r="AF3076">
        <v>-5.33825949894704E-2</v>
      </c>
      <c r="AG3076">
        <v>-0.106754999999999</v>
      </c>
      <c r="AH3076">
        <v>0.53967636847800804</v>
      </c>
      <c r="AI3076">
        <v>101.136414815332</v>
      </c>
      <c r="AJ3076">
        <v>95.649089437002104</v>
      </c>
      <c r="AK3076">
        <v>0.55271775271509105</v>
      </c>
      <c r="AL3076">
        <v>85.819141650589003</v>
      </c>
      <c r="AM3076">
        <v>82.517518431674205</v>
      </c>
      <c r="AN3076">
        <v>0.99999992576584196</v>
      </c>
    </row>
    <row r="3077" spans="1:40" x14ac:dyDescent="0.25">
      <c r="A3077" t="str">
        <f>"20190312151332277"</f>
        <v>20190312151332277</v>
      </c>
      <c r="B3077" t="str">
        <f>"1552374812273717"</f>
        <v>1552374812273717</v>
      </c>
      <c r="C3077" t="s">
        <v>40</v>
      </c>
      <c r="D3077">
        <v>4.6512560000000001</v>
      </c>
      <c r="E3077">
        <v>0.42517549999999998</v>
      </c>
      <c r="F3077" t="s">
        <v>41</v>
      </c>
      <c r="G3077">
        <v>-334.4307</v>
      </c>
      <c r="H3077">
        <v>1.004265</v>
      </c>
      <c r="I3077">
        <v>214.3552</v>
      </c>
      <c r="J3077">
        <v>-334.96749999999997</v>
      </c>
      <c r="K3077">
        <v>1.109615</v>
      </c>
      <c r="L3077">
        <v>214.3022</v>
      </c>
      <c r="M3077">
        <v>0.99991850000000004</v>
      </c>
      <c r="N3077">
        <v>0</v>
      </c>
      <c r="O3077">
        <v>-4.7221299999999997E-3</v>
      </c>
      <c r="P3077">
        <v>0.98926530000000001</v>
      </c>
      <c r="Q3077">
        <v>6.0374249999999997E-2</v>
      </c>
      <c r="R3077">
        <v>-0.1330769</v>
      </c>
      <c r="S3077">
        <v>3.0816650000000001</v>
      </c>
      <c r="T3077">
        <v>-0.3780907</v>
      </c>
      <c r="U3077">
        <v>0.1847076</v>
      </c>
      <c r="V3077">
        <v>0.12844449999999999</v>
      </c>
      <c r="W3077">
        <v>7.2048479999999998E-2</v>
      </c>
      <c r="X3077">
        <v>0.98909599999999998</v>
      </c>
      <c r="Y3077">
        <v>-6.4029840000000005E-2</v>
      </c>
      <c r="Z3077">
        <v>4.4865259999999898E-3</v>
      </c>
      <c r="AA3077">
        <v>0.99793790000000004</v>
      </c>
      <c r="AB3077">
        <v>33</v>
      </c>
      <c r="AC3077">
        <v>0.53679999999997097</v>
      </c>
      <c r="AD3077">
        <v>-0.10535</v>
      </c>
      <c r="AE3077">
        <v>5.2999999999997202E-2</v>
      </c>
      <c r="AF3077">
        <v>-5.3493931997174803E-2</v>
      </c>
      <c r="AG3077">
        <v>-0.10535</v>
      </c>
      <c r="AH3077">
        <v>0.51682956252431</v>
      </c>
      <c r="AI3077">
        <v>101.46167355443799</v>
      </c>
      <c r="AJ3077">
        <v>95.909300591779498</v>
      </c>
      <c r="AK3077">
        <v>0.53016320124994298</v>
      </c>
      <c r="AL3077">
        <v>85.868346078101197</v>
      </c>
      <c r="AM3077">
        <v>82.600948003199207</v>
      </c>
      <c r="AN3077">
        <v>0.99999993513327801</v>
      </c>
    </row>
    <row r="3078" spans="1:40" x14ac:dyDescent="0.25">
      <c r="A3078" t="str">
        <f>"20190312151332301"</f>
        <v>20190312151332301</v>
      </c>
      <c r="B3078" t="str">
        <f>"1552374812293237"</f>
        <v>1552374812293237</v>
      </c>
      <c r="C3078" t="s">
        <v>40</v>
      </c>
      <c r="D3078">
        <v>4.656917</v>
      </c>
      <c r="E3078">
        <v>0.42515429999999999</v>
      </c>
      <c r="F3078" t="s">
        <v>41</v>
      </c>
      <c r="G3078">
        <v>-334.13069999999999</v>
      </c>
      <c r="H3078">
        <v>1.006167</v>
      </c>
      <c r="I3078">
        <v>214.3536</v>
      </c>
      <c r="J3078">
        <v>-334.61559999999997</v>
      </c>
      <c r="K3078">
        <v>1.109604</v>
      </c>
      <c r="L3078">
        <v>214.30029999999999</v>
      </c>
      <c r="M3078">
        <v>0.99991810000000003</v>
      </c>
      <c r="N3078">
        <v>0</v>
      </c>
      <c r="O3078">
        <v>-4.9736989999999998E-3</v>
      </c>
      <c r="P3078">
        <v>0.98965890000000001</v>
      </c>
      <c r="Q3078">
        <v>5.8851500000000001E-2</v>
      </c>
      <c r="R3078">
        <v>-0.13081279999999901</v>
      </c>
      <c r="S3078">
        <v>3.081207</v>
      </c>
      <c r="T3078">
        <v>-0.38085910000000001</v>
      </c>
      <c r="U3078">
        <v>0.18879699999999999</v>
      </c>
      <c r="V3078">
        <v>0.12592809999999999</v>
      </c>
      <c r="W3078">
        <v>7.0449910000000004E-2</v>
      </c>
      <c r="X3078">
        <v>0.98953469999999999</v>
      </c>
      <c r="Y3078">
        <v>-6.5587939999999997E-2</v>
      </c>
      <c r="Z3078">
        <v>4.6464119999999999E-3</v>
      </c>
      <c r="AA3078">
        <v>0.99783599999999995</v>
      </c>
      <c r="AB3078">
        <v>33</v>
      </c>
      <c r="AC3078">
        <v>0.48489999999998101</v>
      </c>
      <c r="AD3078">
        <v>-0.103436999999999</v>
      </c>
      <c r="AE3078">
        <v>5.3300000000007203E-2</v>
      </c>
      <c r="AF3078">
        <v>-5.3314218335247403E-2</v>
      </c>
      <c r="AG3078">
        <v>-0.103436999999999</v>
      </c>
      <c r="AH3078">
        <v>0.46377720596320299</v>
      </c>
      <c r="AI3078">
        <v>102.493324203995</v>
      </c>
      <c r="AJ3078">
        <v>96.557738255233801</v>
      </c>
      <c r="AK3078">
        <v>0.47815365272758698</v>
      </c>
      <c r="AL3078">
        <v>85.960171036312303</v>
      </c>
      <c r="AM3078">
        <v>82.747527879321098</v>
      </c>
      <c r="AN3078">
        <v>0.99999999934635397</v>
      </c>
    </row>
    <row r="3079" spans="1:40" x14ac:dyDescent="0.25">
      <c r="A3079" t="str">
        <f>"20190312151332322"</f>
        <v>20190312151332322</v>
      </c>
      <c r="B3079" t="str">
        <f>"1552374812313737"</f>
        <v>1552374812313737</v>
      </c>
      <c r="C3079" t="s">
        <v>40</v>
      </c>
      <c r="D3079">
        <v>4.6160399999999999</v>
      </c>
      <c r="E3079">
        <v>0.4253575</v>
      </c>
      <c r="F3079" t="s">
        <v>41</v>
      </c>
      <c r="G3079">
        <v>-333.82429999999999</v>
      </c>
      <c r="H3079">
        <v>1.010613</v>
      </c>
      <c r="I3079">
        <v>214.3503</v>
      </c>
      <c r="J3079">
        <v>-334.2937</v>
      </c>
      <c r="K3079">
        <v>1.1095889999999999</v>
      </c>
      <c r="L3079">
        <v>214.29849999999999</v>
      </c>
      <c r="M3079">
        <v>0.99991790000000003</v>
      </c>
      <c r="N3079">
        <v>0</v>
      </c>
      <c r="O3079">
        <v>-5.1938239999999997E-3</v>
      </c>
      <c r="P3079">
        <v>0.99007869999999998</v>
      </c>
      <c r="Q3079">
        <v>5.7041130000000002E-2</v>
      </c>
      <c r="R3079">
        <v>-0.12841659999999999</v>
      </c>
      <c r="S3079">
        <v>3.0801090000000002</v>
      </c>
      <c r="T3079">
        <v>-0.38539240000000002</v>
      </c>
      <c r="U3079">
        <v>0.19551089999999999</v>
      </c>
      <c r="V3079">
        <v>0.12330969999999999</v>
      </c>
      <c r="W3079">
        <v>6.8577620000000006E-2</v>
      </c>
      <c r="X3079">
        <v>0.98999590000000004</v>
      </c>
      <c r="Y3079">
        <v>-6.7962519999999998E-2</v>
      </c>
      <c r="Z3079">
        <v>4.8778850000000002E-3</v>
      </c>
      <c r="AA3079">
        <v>0.99767600000000001</v>
      </c>
      <c r="AB3079">
        <v>33</v>
      </c>
      <c r="AC3079">
        <v>0.46940000000000698</v>
      </c>
      <c r="AD3079">
        <v>-9.8975999999999897E-2</v>
      </c>
      <c r="AE3079">
        <v>5.1800000000014203E-2</v>
      </c>
      <c r="AF3079">
        <v>-5.1955287260336103E-2</v>
      </c>
      <c r="AG3079">
        <v>-9.8975999999999897E-2</v>
      </c>
      <c r="AH3079">
        <v>0.44938514006344699</v>
      </c>
      <c r="AI3079">
        <v>102.341286059585</v>
      </c>
      <c r="AJ3079">
        <v>96.594923677584305</v>
      </c>
      <c r="AK3079">
        <v>0.46307947974418801</v>
      </c>
      <c r="AL3079">
        <v>86.067705603149605</v>
      </c>
      <c r="AM3079">
        <v>82.9000460393151</v>
      </c>
      <c r="AN3079">
        <v>1.0000000270478799</v>
      </c>
    </row>
    <row r="3080" spans="1:40" x14ac:dyDescent="0.25">
      <c r="A3080" t="str">
        <f>"20190312151332344"</f>
        <v>20190312151332344</v>
      </c>
      <c r="B3080" t="str">
        <f>"1552374812333253"</f>
        <v>1552374812333253</v>
      </c>
      <c r="C3080" t="s">
        <v>40</v>
      </c>
      <c r="D3080">
        <v>4.669969</v>
      </c>
      <c r="E3080">
        <v>0.42535709999999999</v>
      </c>
      <c r="F3080" t="s">
        <v>54</v>
      </c>
      <c r="G3080">
        <v>-325.5591</v>
      </c>
      <c r="H3080" s="1">
        <v>1.4214540000000001E-6</v>
      </c>
      <c r="I3080">
        <v>214.86949999999999</v>
      </c>
      <c r="J3080">
        <v>-333.95800000000003</v>
      </c>
      <c r="K3080">
        <v>1.109569</v>
      </c>
      <c r="L3080">
        <v>214.29650000000001</v>
      </c>
      <c r="M3080">
        <v>0.99991759999999996</v>
      </c>
      <c r="N3080">
        <v>0</v>
      </c>
      <c r="O3080">
        <v>-5.4051899999999998E-3</v>
      </c>
      <c r="P3080">
        <v>0.99061220000000005</v>
      </c>
      <c r="Q3080">
        <v>5.3674230000000003E-2</v>
      </c>
      <c r="R3080">
        <v>-0.12572519999999901</v>
      </c>
      <c r="S3080">
        <v>3.0787049999999998</v>
      </c>
      <c r="T3080">
        <v>-0.39109460000000001</v>
      </c>
      <c r="U3080">
        <v>0.20124819999999999</v>
      </c>
      <c r="V3080">
        <v>0.1204023</v>
      </c>
      <c r="W3080">
        <v>6.5155879999999999E-2</v>
      </c>
      <c r="X3080">
        <v>0.99058469999999998</v>
      </c>
      <c r="Y3080">
        <v>-7.0018079999999996E-2</v>
      </c>
      <c r="Z3080">
        <v>5.1080509999999997E-3</v>
      </c>
      <c r="AA3080">
        <v>0.99753270000000005</v>
      </c>
      <c r="AB3080">
        <v>33</v>
      </c>
      <c r="AC3080">
        <v>8.3989000000000207</v>
      </c>
      <c r="AD3080">
        <v>-1.109567578546</v>
      </c>
      <c r="AE3080">
        <v>0.57299999999997897</v>
      </c>
      <c r="AF3080">
        <v>-0.60783317144454596</v>
      </c>
      <c r="AG3080">
        <v>-1.109567578546</v>
      </c>
      <c r="AH3080">
        <v>8.2523218329505301</v>
      </c>
      <c r="AI3080">
        <v>97.637345600371901</v>
      </c>
      <c r="AJ3080">
        <v>94.212571970663603</v>
      </c>
      <c r="AK3080">
        <v>8.3487374500735605</v>
      </c>
      <c r="AL3080">
        <v>86.264196712848204</v>
      </c>
      <c r="AM3080">
        <v>83.069881335489001</v>
      </c>
      <c r="AN3080">
        <v>1.00000002520897</v>
      </c>
    </row>
    <row r="3081" spans="1:40" x14ac:dyDescent="0.25">
      <c r="A3081" t="str">
        <f>"20190312151332367"</f>
        <v>20190312151332367</v>
      </c>
      <c r="B3081" t="str">
        <f>"1552374812363510"</f>
        <v>1552374812363510</v>
      </c>
      <c r="C3081" t="s">
        <v>40</v>
      </c>
      <c r="D3081">
        <v>4.6726089999999996</v>
      </c>
      <c r="E3081">
        <v>0.42554229999999998</v>
      </c>
      <c r="F3081" t="s">
        <v>54</v>
      </c>
      <c r="G3081">
        <v>-325.43200000000002</v>
      </c>
      <c r="H3081" s="1">
        <v>1.3538540000000001E-6</v>
      </c>
      <c r="I3081">
        <v>214.8784</v>
      </c>
      <c r="J3081">
        <v>-333.63099999999997</v>
      </c>
      <c r="K3081">
        <v>1.1095619999999999</v>
      </c>
      <c r="L3081">
        <v>214.2946</v>
      </c>
      <c r="M3081">
        <v>0.99991719999999895</v>
      </c>
      <c r="N3081">
        <v>0</v>
      </c>
      <c r="O3081">
        <v>-5.5818159999999999E-3</v>
      </c>
      <c r="P3081">
        <v>0.99125810000000003</v>
      </c>
      <c r="Q3081">
        <v>4.9635779999999997E-2</v>
      </c>
      <c r="R3081">
        <v>-0.1222452</v>
      </c>
      <c r="S3081">
        <v>3.0767820000000001</v>
      </c>
      <c r="T3081">
        <v>-0.40040890000000001</v>
      </c>
      <c r="U3081">
        <v>0.2099915</v>
      </c>
      <c r="V3081">
        <v>0.1167387</v>
      </c>
      <c r="W3081">
        <v>6.1075150000000002E-2</v>
      </c>
      <c r="X3081">
        <v>0.99128289999999997</v>
      </c>
      <c r="Y3081">
        <v>-7.3000449999999995E-2</v>
      </c>
      <c r="Z3081">
        <v>5.4473380000000004E-3</v>
      </c>
      <c r="AA3081">
        <v>0.99731700000000001</v>
      </c>
      <c r="AB3081">
        <v>33</v>
      </c>
      <c r="AC3081">
        <v>8.1989999999999501</v>
      </c>
      <c r="AD3081">
        <v>-1.1095606461459999</v>
      </c>
      <c r="AE3081">
        <v>0.58379999999999599</v>
      </c>
      <c r="AF3081">
        <v>-0.61829306580900201</v>
      </c>
      <c r="AG3081">
        <v>-1.1095606461459999</v>
      </c>
      <c r="AH3081">
        <v>8.0489494763699696</v>
      </c>
      <c r="AI3081">
        <v>97.826078419304807</v>
      </c>
      <c r="AJ3081">
        <v>94.392641458139707</v>
      </c>
      <c r="AK3081">
        <v>8.1485580820081207</v>
      </c>
      <c r="AL3081">
        <v>86.498472282199202</v>
      </c>
      <c r="AM3081">
        <v>83.283482653376197</v>
      </c>
      <c r="AN3081">
        <v>0.999999942928809</v>
      </c>
    </row>
    <row r="3082" spans="1:40" x14ac:dyDescent="0.25">
      <c r="A3082" t="str">
        <f>"20190312151332390"</f>
        <v>20190312151332390</v>
      </c>
      <c r="B3082" t="str">
        <f>"1552374812383029"</f>
        <v>1552374812383029</v>
      </c>
      <c r="C3082" t="s">
        <v>40</v>
      </c>
      <c r="D3082">
        <v>4.6586559999999997</v>
      </c>
      <c r="E3082">
        <v>0.42566530000000002</v>
      </c>
      <c r="F3082" t="s">
        <v>41</v>
      </c>
      <c r="G3082">
        <v>-332.64960000000002</v>
      </c>
      <c r="H3082">
        <v>0.978688</v>
      </c>
      <c r="I3082">
        <v>214.36439999999999</v>
      </c>
      <c r="J3082">
        <v>-333.27839999999998</v>
      </c>
      <c r="K3082">
        <v>1.109559</v>
      </c>
      <c r="L3082">
        <v>214.29249999999999</v>
      </c>
      <c r="M3082">
        <v>0.9999171</v>
      </c>
      <c r="N3082">
        <v>0</v>
      </c>
      <c r="O3082">
        <v>-5.7315069999999899E-3</v>
      </c>
      <c r="P3082">
        <v>0.99191770000000001</v>
      </c>
      <c r="Q3082">
        <v>4.5178080000000002E-2</v>
      </c>
      <c r="R3082">
        <v>-0.1185688</v>
      </c>
      <c r="S3082">
        <v>3.0740050000000001</v>
      </c>
      <c r="T3082">
        <v>-0.41001110000000002</v>
      </c>
      <c r="U3082">
        <v>0.219223</v>
      </c>
      <c r="V3082">
        <v>0.11290409999999999</v>
      </c>
      <c r="W3082">
        <v>5.6580650000000003E-2</v>
      </c>
      <c r="X3082">
        <v>0.99199360000000003</v>
      </c>
      <c r="Y3082">
        <v>-7.6129299999999997E-2</v>
      </c>
      <c r="Z3082">
        <v>5.8085899999999998E-3</v>
      </c>
      <c r="AA3082">
        <v>0.997081</v>
      </c>
      <c r="AB3082">
        <v>33</v>
      </c>
      <c r="AC3082">
        <v>0.62879999999995495</v>
      </c>
      <c r="AD3082">
        <v>-0.13087099999999999</v>
      </c>
      <c r="AE3082">
        <v>7.1899999999999395E-2</v>
      </c>
      <c r="AF3082">
        <v>-7.24070295389561E-2</v>
      </c>
      <c r="AG3082">
        <v>-0.13087099999999999</v>
      </c>
      <c r="AH3082">
        <v>0.60261093659267395</v>
      </c>
      <c r="AI3082">
        <v>102.167958955315</v>
      </c>
      <c r="AJ3082">
        <v>96.851557314034693</v>
      </c>
      <c r="AK3082">
        <v>0.62089446564513295</v>
      </c>
      <c r="AL3082">
        <v>86.756435352075997</v>
      </c>
      <c r="AM3082">
        <v>83.506802016762606</v>
      </c>
      <c r="AN3082">
        <v>1.0000000040960899</v>
      </c>
    </row>
    <row r="3083" spans="1:40" x14ac:dyDescent="0.25">
      <c r="A3083" t="str">
        <f>"20190312151332413"</f>
        <v>20190312151332413</v>
      </c>
      <c r="B3083" t="str">
        <f>"1552374812403525"</f>
        <v>1552374812403525</v>
      </c>
      <c r="C3083" t="s">
        <v>40</v>
      </c>
      <c r="D3083">
        <v>4.6652879999999897</v>
      </c>
      <c r="E3083">
        <v>0.42577700000000002</v>
      </c>
      <c r="F3083" t="s">
        <v>41</v>
      </c>
      <c r="G3083">
        <v>-332.34820000000002</v>
      </c>
      <c r="H3083">
        <v>0.98207270000000002</v>
      </c>
      <c r="I3083">
        <v>214.36170000000001</v>
      </c>
      <c r="J3083">
        <v>-332.9468</v>
      </c>
      <c r="K3083">
        <v>1.1095549999999901</v>
      </c>
      <c r="L3083">
        <v>214.29050000000001</v>
      </c>
      <c r="M3083">
        <v>0.9999169</v>
      </c>
      <c r="N3083">
        <v>0</v>
      </c>
      <c r="O3083">
        <v>-5.8375079999999999E-3</v>
      </c>
      <c r="P3083">
        <v>0.99251920000000005</v>
      </c>
      <c r="Q3083">
        <v>4.070182E-2</v>
      </c>
      <c r="R3083">
        <v>-0.1151049</v>
      </c>
      <c r="S3083">
        <v>3.0710449999999998</v>
      </c>
      <c r="T3083">
        <v>-0.42103289999999999</v>
      </c>
      <c r="U3083">
        <v>0.22970579999999999</v>
      </c>
      <c r="V3083">
        <v>0.10932600000000001</v>
      </c>
      <c r="W3083">
        <v>5.2075969999999999E-2</v>
      </c>
      <c r="X3083">
        <v>0.99264090000000005</v>
      </c>
      <c r="Y3083">
        <v>-7.9614309999999994E-2</v>
      </c>
      <c r="Z3083">
        <v>6.2201679999999999E-3</v>
      </c>
      <c r="AA3083">
        <v>0.99680630000000003</v>
      </c>
      <c r="AB3083">
        <v>33</v>
      </c>
      <c r="AC3083">
        <v>0.59859999999997604</v>
      </c>
      <c r="AD3083">
        <v>-0.12748229999999899</v>
      </c>
      <c r="AE3083">
        <v>7.1200000000004496E-2</v>
      </c>
      <c r="AF3083">
        <v>-7.1495882158010005E-2</v>
      </c>
      <c r="AG3083">
        <v>-0.12748229999999899</v>
      </c>
      <c r="AH3083">
        <v>0.57256754468581605</v>
      </c>
      <c r="AI3083">
        <v>102.45847782684</v>
      </c>
      <c r="AJ3083">
        <v>97.117620577899004</v>
      </c>
      <c r="AK3083">
        <v>0.59092892229640104</v>
      </c>
      <c r="AL3083">
        <v>87.014916511177006</v>
      </c>
      <c r="AM3083">
        <v>83.714973937756596</v>
      </c>
      <c r="AN3083">
        <v>1.0000000186401199</v>
      </c>
    </row>
    <row r="3084" spans="1:40" x14ac:dyDescent="0.25">
      <c r="A3084" t="str">
        <f>"20190312151332436"</f>
        <v>20190312151332436</v>
      </c>
      <c r="B3084" t="str">
        <f>"1552374812432804"</f>
        <v>1552374812432804</v>
      </c>
      <c r="C3084" t="s">
        <v>40</v>
      </c>
      <c r="D3084">
        <v>4.6529369999999997</v>
      </c>
      <c r="E3084">
        <v>0.43004599999999998</v>
      </c>
      <c r="F3084" t="s">
        <v>41</v>
      </c>
      <c r="G3084">
        <v>-332.0478</v>
      </c>
      <c r="H3084">
        <v>0.98296519999999998</v>
      </c>
      <c r="I3084">
        <v>214.36070000000001</v>
      </c>
      <c r="J3084">
        <v>-332.5976</v>
      </c>
      <c r="K3084">
        <v>1.109561</v>
      </c>
      <c r="L3084">
        <v>214.2884</v>
      </c>
      <c r="M3084">
        <v>0.9999171</v>
      </c>
      <c r="N3084">
        <v>0</v>
      </c>
      <c r="O3084">
        <v>-5.9106139999999998E-3</v>
      </c>
      <c r="P3084">
        <v>0.99300310000000003</v>
      </c>
      <c r="Q3084">
        <v>3.7646470000000001E-2</v>
      </c>
      <c r="R3084">
        <v>-0.1119279</v>
      </c>
      <c r="S3084">
        <v>3.0682070000000001</v>
      </c>
      <c r="T3084">
        <v>-0.4320427</v>
      </c>
      <c r="U3084">
        <v>0.24000550000000001</v>
      </c>
      <c r="V3084">
        <v>0.1060687</v>
      </c>
      <c r="W3084">
        <v>4.8993349999999998E-2</v>
      </c>
      <c r="X3084">
        <v>0.99315109999999995</v>
      </c>
      <c r="Y3084">
        <v>-8.3004809999999998E-2</v>
      </c>
      <c r="Z3084">
        <v>6.6337019999999896E-3</v>
      </c>
      <c r="AA3084">
        <v>0.9965271</v>
      </c>
      <c r="AB3084">
        <v>33</v>
      </c>
      <c r="AC3084">
        <v>0.54980000000000395</v>
      </c>
      <c r="AD3084">
        <v>-0.12659580000000001</v>
      </c>
      <c r="AE3084">
        <v>7.2300000000012604E-2</v>
      </c>
      <c r="AF3084">
        <v>-7.1806246952514197E-2</v>
      </c>
      <c r="AG3084">
        <v>-0.12659580000000001</v>
      </c>
      <c r="AH3084">
        <v>0.52214990998639799</v>
      </c>
      <c r="AI3084">
        <v>103.506051939472</v>
      </c>
      <c r="AJ3084">
        <v>97.830221764839195</v>
      </c>
      <c r="AK3084">
        <v>0.54205457490722198</v>
      </c>
      <c r="AL3084">
        <v>87.191763633170694</v>
      </c>
      <c r="AM3084">
        <v>83.903909186601595</v>
      </c>
      <c r="AN3084">
        <v>1.0000000124475601</v>
      </c>
    </row>
    <row r="3085" spans="1:40" x14ac:dyDescent="0.25">
      <c r="A3085" t="str">
        <f>"20190312151332457"</f>
        <v>20190312151332457</v>
      </c>
      <c r="B3085" t="str">
        <f>"1552374812453303"</f>
        <v>1552374812453303</v>
      </c>
      <c r="C3085" t="s">
        <v>40</v>
      </c>
      <c r="D3085">
        <v>4.6365369999999997</v>
      </c>
      <c r="E3085">
        <v>0.43061640000000001</v>
      </c>
      <c r="F3085" t="s">
        <v>54</v>
      </c>
      <c r="G3085">
        <v>-323.08999999999997</v>
      </c>
      <c r="H3085" s="1">
        <v>1.075643E-7</v>
      </c>
      <c r="I3085">
        <v>214.9615</v>
      </c>
      <c r="J3085">
        <v>-332.28109999999998</v>
      </c>
      <c r="K3085">
        <v>1.1095729999999999</v>
      </c>
      <c r="L3085">
        <v>214.28649999999999</v>
      </c>
      <c r="M3085">
        <v>0.9999171</v>
      </c>
      <c r="N3085">
        <v>0</v>
      </c>
      <c r="O3085">
        <v>-5.9479869999999897E-3</v>
      </c>
      <c r="P3085">
        <v>0.99336199999999997</v>
      </c>
      <c r="Q3085">
        <v>3.5847690000000001E-2</v>
      </c>
      <c r="R3085">
        <v>-0.1093017</v>
      </c>
      <c r="S3085">
        <v>3.0590820000000001</v>
      </c>
      <c r="T3085">
        <v>-0.3570024</v>
      </c>
      <c r="U3085">
        <v>0.21656800000000001</v>
      </c>
      <c r="V3085">
        <v>0.1034004</v>
      </c>
      <c r="W3085">
        <v>4.7172029999999997E-2</v>
      </c>
      <c r="X3085">
        <v>0.99352059999999998</v>
      </c>
      <c r="Y3085">
        <v>-7.5997200000000001E-2</v>
      </c>
      <c r="Z3085">
        <v>5.1050840000000002E-3</v>
      </c>
      <c r="AA3085">
        <v>0.99709499999999995</v>
      </c>
      <c r="AB3085">
        <v>33</v>
      </c>
      <c r="AC3085">
        <v>9.1911000000000005</v>
      </c>
      <c r="AD3085">
        <v>-1.1095728924357</v>
      </c>
      <c r="AE3085">
        <v>0.67500000000001104</v>
      </c>
      <c r="AF3085">
        <v>-0.71923432744581794</v>
      </c>
      <c r="AG3085">
        <v>-1.1095728924357</v>
      </c>
      <c r="AH3085">
        <v>9.0556537714215892</v>
      </c>
      <c r="AI3085">
        <v>96.963815422720401</v>
      </c>
      <c r="AJ3085">
        <v>94.541115207586003</v>
      </c>
      <c r="AK3085">
        <v>9.15168373848587</v>
      </c>
      <c r="AL3085">
        <v>87.296238436624094</v>
      </c>
      <c r="AM3085">
        <v>84.058347361440994</v>
      </c>
      <c r="AN3085">
        <v>1.00000001287942</v>
      </c>
    </row>
    <row r="3086" spans="1:40" x14ac:dyDescent="0.25">
      <c r="A3086" t="str">
        <f>"20190312151332478"</f>
        <v>20190312151332478</v>
      </c>
      <c r="B3086" t="str">
        <f>"1552374812472820"</f>
        <v>1552374812472820</v>
      </c>
      <c r="C3086" t="s">
        <v>40</v>
      </c>
      <c r="D3086">
        <v>4.6824770000000004</v>
      </c>
      <c r="E3086">
        <v>0.43032490000000001</v>
      </c>
      <c r="F3086" t="s">
        <v>54</v>
      </c>
      <c r="G3086">
        <v>-322.90449999999998</v>
      </c>
      <c r="H3086" s="1">
        <v>8.8553239999999996E-9</v>
      </c>
      <c r="I3086">
        <v>214.9623</v>
      </c>
      <c r="J3086">
        <v>-331.96269999999998</v>
      </c>
      <c r="K3086">
        <v>1.109585</v>
      </c>
      <c r="L3086">
        <v>214.28450000000001</v>
      </c>
      <c r="M3086">
        <v>0.99991739999999996</v>
      </c>
      <c r="N3086">
        <v>0</v>
      </c>
      <c r="O3086">
        <v>-5.9661509999999899E-3</v>
      </c>
      <c r="P3086">
        <v>0.99366960000000004</v>
      </c>
      <c r="Q3086">
        <v>3.5164559999999997E-2</v>
      </c>
      <c r="R3086">
        <v>-0.10669720000000001</v>
      </c>
      <c r="S3086">
        <v>3.0573429999999999</v>
      </c>
      <c r="T3086">
        <v>-0.36178959999999999</v>
      </c>
      <c r="U3086">
        <v>0.2203522</v>
      </c>
      <c r="V3086">
        <v>0.10077369999999999</v>
      </c>
      <c r="W3086">
        <v>4.6469000000000003E-2</v>
      </c>
      <c r="X3086">
        <v>0.99382360000000003</v>
      </c>
      <c r="Y3086">
        <v>-7.7258709999999994E-2</v>
      </c>
      <c r="Z3086">
        <v>5.2521869999999898E-3</v>
      </c>
      <c r="AA3086">
        <v>0.99699720000000003</v>
      </c>
      <c r="AB3086">
        <v>34</v>
      </c>
      <c r="AC3086">
        <v>9.0581999999999994</v>
      </c>
      <c r="AD3086">
        <v>-1.10958499114467</v>
      </c>
      <c r="AE3086">
        <v>0.67779999999998997</v>
      </c>
      <c r="AF3086">
        <v>-0.72107451379902598</v>
      </c>
      <c r="AG3086">
        <v>-1.10958499114467</v>
      </c>
      <c r="AH3086">
        <v>8.9208817176738204</v>
      </c>
      <c r="AI3086">
        <v>97.0672579017277</v>
      </c>
      <c r="AJ3086">
        <v>94.621168940990003</v>
      </c>
      <c r="AK3086">
        <v>9.0184953250390301</v>
      </c>
      <c r="AL3086">
        <v>87.336563350652995</v>
      </c>
      <c r="AM3086">
        <v>84.209998772251396</v>
      </c>
      <c r="AN3086">
        <v>1.00000002724482</v>
      </c>
    </row>
    <row r="3087" spans="1:40" x14ac:dyDescent="0.25">
      <c r="A3087" t="str">
        <f>"20190312151332501"</f>
        <v>20190312151332501</v>
      </c>
      <c r="B3087" t="str">
        <f>"1552374812493451"</f>
        <v>1552374812493451</v>
      </c>
      <c r="C3087" t="s">
        <v>40</v>
      </c>
      <c r="D3087">
        <v>4.694966</v>
      </c>
      <c r="E3087">
        <v>0.43043480000000001</v>
      </c>
      <c r="F3087" t="s">
        <v>54</v>
      </c>
      <c r="G3087">
        <v>-322.44220000000001</v>
      </c>
      <c r="H3087" s="1">
        <v>-2.3715740000000001E-7</v>
      </c>
      <c r="I3087">
        <v>215.0035</v>
      </c>
      <c r="J3087">
        <v>-331.62</v>
      </c>
      <c r="K3087">
        <v>1.1095900000000001</v>
      </c>
      <c r="L3087">
        <v>214.2825</v>
      </c>
      <c r="M3087">
        <v>0.99991770000000002</v>
      </c>
      <c r="N3087">
        <v>0</v>
      </c>
      <c r="O3087">
        <v>-5.9706859999999898E-3</v>
      </c>
      <c r="P3087">
        <v>0.99389890000000003</v>
      </c>
      <c r="Q3087">
        <v>3.4572239999999997E-2</v>
      </c>
      <c r="R3087">
        <v>-0.10473789999999999</v>
      </c>
      <c r="S3087">
        <v>3.0564879999999999</v>
      </c>
      <c r="T3087">
        <v>-0.35622500000000001</v>
      </c>
      <c r="U3087">
        <v>0.23081969999999999</v>
      </c>
      <c r="V3087">
        <v>9.8806699999999997E-2</v>
      </c>
      <c r="W3087">
        <v>4.5856429999999997E-2</v>
      </c>
      <c r="X3087">
        <v>0.99404950000000003</v>
      </c>
      <c r="Y3087">
        <v>-8.0673079999999994E-2</v>
      </c>
      <c r="Z3087">
        <v>5.3712819999999998E-3</v>
      </c>
      <c r="AA3087">
        <v>0.99672620000000001</v>
      </c>
      <c r="AB3087">
        <v>34</v>
      </c>
      <c r="AC3087">
        <v>9.1777999999999906</v>
      </c>
      <c r="AD3087">
        <v>-1.10959023715739</v>
      </c>
      <c r="AE3087">
        <v>0.72100000000000297</v>
      </c>
      <c r="AF3087">
        <v>-0.76467993374071397</v>
      </c>
      <c r="AG3087">
        <v>-1.10959023715739</v>
      </c>
      <c r="AH3087">
        <v>9.0419783915949399</v>
      </c>
      <c r="AI3087">
        <v>96.971458092838304</v>
      </c>
      <c r="AJ3087">
        <v>94.834000449317301</v>
      </c>
      <c r="AK3087">
        <v>9.1418433113639903</v>
      </c>
      <c r="AL3087">
        <v>87.371698390360507</v>
      </c>
      <c r="AM3087">
        <v>84.323549870710096</v>
      </c>
      <c r="AN3087">
        <v>0.99999999229374203</v>
      </c>
    </row>
    <row r="3088" spans="1:40" x14ac:dyDescent="0.25">
      <c r="A3088" t="str">
        <f>"20190312151332523"</f>
        <v>20190312151332523</v>
      </c>
      <c r="B3088" t="str">
        <f>"1552374812512984"</f>
        <v>1552374812512984</v>
      </c>
      <c r="C3088" t="s">
        <v>40</v>
      </c>
      <c r="D3088">
        <v>4.985341</v>
      </c>
      <c r="E3088">
        <v>0.45878989999999997</v>
      </c>
      <c r="F3088" t="s">
        <v>54</v>
      </c>
      <c r="G3088">
        <v>-322.05309999999997</v>
      </c>
      <c r="H3088" s="1">
        <v>-4.4425399999999998E-7</v>
      </c>
      <c r="I3088">
        <v>215.02189999999999</v>
      </c>
      <c r="J3088">
        <v>-331.28449999999998</v>
      </c>
      <c r="K3088">
        <v>1.1095980000000001</v>
      </c>
      <c r="L3088">
        <v>214.28049999999999</v>
      </c>
      <c r="M3088">
        <v>0.99991799999999997</v>
      </c>
      <c r="N3088">
        <v>0</v>
      </c>
      <c r="O3088">
        <v>-5.9669719999999897E-3</v>
      </c>
      <c r="P3088">
        <v>0.99402460000000004</v>
      </c>
      <c r="Q3088">
        <v>3.4079209999999999E-2</v>
      </c>
      <c r="R3088">
        <v>-0.1037001</v>
      </c>
      <c r="S3088">
        <v>3.0556030000000001</v>
      </c>
      <c r="T3088">
        <v>-0.35439540000000003</v>
      </c>
      <c r="U3088">
        <v>0.23614499999999999</v>
      </c>
      <c r="V3088">
        <v>9.7770979999999993E-2</v>
      </c>
      <c r="W3088">
        <v>4.534436E-2</v>
      </c>
      <c r="X3088">
        <v>0.99417540000000004</v>
      </c>
      <c r="Y3088">
        <v>-8.2412109999999997E-2</v>
      </c>
      <c r="Z3088">
        <v>5.4449969999999896E-3</v>
      </c>
      <c r="AA3088">
        <v>0.99658349999999996</v>
      </c>
      <c r="AB3088">
        <v>34</v>
      </c>
      <c r="AC3088">
        <v>9.2314000000000007</v>
      </c>
      <c r="AD3088">
        <v>-1.1095984442539999</v>
      </c>
      <c r="AE3088">
        <v>0.74139999999999795</v>
      </c>
      <c r="AF3088">
        <v>-0.78520223529690503</v>
      </c>
      <c r="AG3088">
        <v>-1.1095984442539999</v>
      </c>
      <c r="AH3088">
        <v>9.0962346684829392</v>
      </c>
      <c r="AI3088">
        <v>96.929312122660505</v>
      </c>
      <c r="AJ3088">
        <v>94.933637832725296</v>
      </c>
      <c r="AK3088">
        <v>9.1972406950083201</v>
      </c>
      <c r="AL3088">
        <v>87.401068414514199</v>
      </c>
      <c r="AM3088">
        <v>84.383376302603693</v>
      </c>
      <c r="AN3088">
        <v>1.00000000073956</v>
      </c>
    </row>
    <row r="3089" spans="1:40" x14ac:dyDescent="0.25">
      <c r="A3089" t="str">
        <f>"20190312151332546"</f>
        <v>20190312151332546</v>
      </c>
      <c r="B3089" t="str">
        <f>"1552374812543227"</f>
        <v>1552374812543227</v>
      </c>
      <c r="C3089" t="s">
        <v>40</v>
      </c>
      <c r="D3089">
        <v>4.7832470000000002</v>
      </c>
      <c r="E3089">
        <v>0.50652019999999998</v>
      </c>
      <c r="F3089" t="s">
        <v>55</v>
      </c>
      <c r="G3089">
        <v>-318.17910000000001</v>
      </c>
      <c r="H3089" s="1">
        <v>4.5327470000000001E-6</v>
      </c>
      <c r="I3089">
        <v>214.34350000000001</v>
      </c>
      <c r="J3089">
        <v>-330.95069999999998</v>
      </c>
      <c r="K3089">
        <v>1.1096090000000001</v>
      </c>
      <c r="L3089">
        <v>214.27850000000001</v>
      </c>
      <c r="M3089">
        <v>0.99991830000000004</v>
      </c>
      <c r="N3089">
        <v>0</v>
      </c>
      <c r="O3089">
        <v>-5.9603399999999997E-3</v>
      </c>
      <c r="P3089">
        <v>0.99404210000000004</v>
      </c>
      <c r="Q3089">
        <v>3.413774E-2</v>
      </c>
      <c r="R3089">
        <v>-0.1035123</v>
      </c>
      <c r="S3089">
        <v>3.0283199999999999</v>
      </c>
      <c r="T3089">
        <v>-0.25639810000000002</v>
      </c>
      <c r="U3089">
        <v>1.4556879999999999E-2</v>
      </c>
      <c r="V3089">
        <v>9.7589110000000007E-2</v>
      </c>
      <c r="W3089">
        <v>4.5385799999999997E-2</v>
      </c>
      <c r="X3089">
        <v>0.9941913</v>
      </c>
      <c r="Y3089">
        <v>-1.070779E-2</v>
      </c>
      <c r="Z3089">
        <v>9.5625560000000003E-4</v>
      </c>
      <c r="AA3089">
        <v>0.9999422</v>
      </c>
      <c r="AB3089">
        <v>34</v>
      </c>
      <c r="AC3089">
        <v>12.7715999999999</v>
      </c>
      <c r="AD3089">
        <v>-1.1096044672529899</v>
      </c>
      <c r="AE3089">
        <v>6.4999999999997699E-2</v>
      </c>
      <c r="AF3089">
        <v>-0.14006953960715099</v>
      </c>
      <c r="AG3089">
        <v>-1.1096044672529899</v>
      </c>
      <c r="AH3089">
        <v>12.675311827973999</v>
      </c>
      <c r="AI3089">
        <v>95.002649522762297</v>
      </c>
      <c r="AJ3089">
        <v>90.633125789426003</v>
      </c>
      <c r="AK3089">
        <v>12.7245578110224</v>
      </c>
      <c r="AL3089">
        <v>87.398691428386698</v>
      </c>
      <c r="AM3089">
        <v>84.393846609756594</v>
      </c>
      <c r="AN3089">
        <v>0.99999992311395802</v>
      </c>
    </row>
    <row r="3090" spans="1:40" x14ac:dyDescent="0.25">
      <c r="A3090" t="str">
        <f>"20190312151332568"</f>
        <v>20190312151332568</v>
      </c>
      <c r="B3090" t="str">
        <f>"1552374812563723"</f>
        <v>1552374812563723</v>
      </c>
      <c r="C3090" t="s">
        <v>40</v>
      </c>
      <c r="D3090">
        <v>4.7831979999999996</v>
      </c>
      <c r="E3090">
        <v>0.50784810000000002</v>
      </c>
      <c r="F3090" t="s">
        <v>55</v>
      </c>
      <c r="G3090">
        <v>-308.22930000000002</v>
      </c>
      <c r="H3090" s="1">
        <v>1.1935099999999999E-6</v>
      </c>
      <c r="I3090">
        <v>211.51429999999999</v>
      </c>
      <c r="J3090">
        <v>-330.62079999999997</v>
      </c>
      <c r="K3090">
        <v>1.109613</v>
      </c>
      <c r="L3090">
        <v>214.2766</v>
      </c>
      <c r="M3090">
        <v>0.99991850000000004</v>
      </c>
      <c r="N3090">
        <v>0</v>
      </c>
      <c r="O3090">
        <v>-5.9543449999999998E-3</v>
      </c>
      <c r="P3090">
        <v>0.99401839999999997</v>
      </c>
      <c r="Q3090">
        <v>3.4196209999999998E-2</v>
      </c>
      <c r="R3090">
        <v>-0.10372099999999999</v>
      </c>
      <c r="S3090">
        <v>2.9851679999999998</v>
      </c>
      <c r="T3090">
        <v>-0.1457822</v>
      </c>
      <c r="U3090">
        <v>-0.36317440000000001</v>
      </c>
      <c r="V3090">
        <v>9.7803269999999998E-2</v>
      </c>
      <c r="W3090">
        <v>4.5429150000000001E-2</v>
      </c>
      <c r="X3090">
        <v>0.9941683</v>
      </c>
      <c r="Y3090">
        <v>0.1147281</v>
      </c>
      <c r="Z3090">
        <v>-2.4999340000000001E-3</v>
      </c>
      <c r="AA3090">
        <v>0.99339379999999999</v>
      </c>
      <c r="AB3090">
        <v>34</v>
      </c>
      <c r="AC3090">
        <v>22.391499999999901</v>
      </c>
      <c r="AD3090">
        <v>-1.10961180648999</v>
      </c>
      <c r="AE3090">
        <v>-2.76230000000001</v>
      </c>
      <c r="AF3090">
        <v>2.6225720922434799</v>
      </c>
      <c r="AG3090">
        <v>-1.10961180648999</v>
      </c>
      <c r="AH3090">
        <v>22.353481124904999</v>
      </c>
      <c r="AI3090">
        <v>92.822464395193094</v>
      </c>
      <c r="AJ3090">
        <v>83.308491192924393</v>
      </c>
      <c r="AK3090">
        <v>22.534135020932101</v>
      </c>
      <c r="AL3090">
        <v>87.396205156483205</v>
      </c>
      <c r="AM3090">
        <v>84.381493345713807</v>
      </c>
      <c r="AN3090">
        <v>0.999999948008651</v>
      </c>
    </row>
    <row r="3091" spans="1:40" x14ac:dyDescent="0.25">
      <c r="A3091" t="str">
        <f>"20190312151332592"</f>
        <v>20190312151332592</v>
      </c>
      <c r="B3091" t="str">
        <f>"1552374812583244"</f>
        <v>1552374812583244</v>
      </c>
      <c r="C3091" t="s">
        <v>40</v>
      </c>
      <c r="D3091">
        <v>4.7784089999999999</v>
      </c>
      <c r="E3091">
        <v>0.50903770000000004</v>
      </c>
      <c r="F3091" t="s">
        <v>55</v>
      </c>
      <c r="G3091">
        <v>-306.29259999999999</v>
      </c>
      <c r="H3091" s="1">
        <v>1.5370550000000001E-6</v>
      </c>
      <c r="I3091">
        <v>211.2227</v>
      </c>
      <c r="J3091">
        <v>-330.26530000000002</v>
      </c>
      <c r="K3091">
        <v>1.1096140000000001</v>
      </c>
      <c r="L3091">
        <v>214.27449999999999</v>
      </c>
      <c r="M3091">
        <v>0.99991859999999999</v>
      </c>
      <c r="N3091">
        <v>0</v>
      </c>
      <c r="O3091">
        <v>-5.950154E-3</v>
      </c>
      <c r="P3091">
        <v>0.99390670000000003</v>
      </c>
      <c r="Q3091">
        <v>3.3838630000000001E-2</v>
      </c>
      <c r="R3091">
        <v>-0.1049027</v>
      </c>
      <c r="S3091">
        <v>2.9836429999999998</v>
      </c>
      <c r="T3091">
        <v>-0.13608399999999901</v>
      </c>
      <c r="U3091">
        <v>-0.374527</v>
      </c>
      <c r="V3091">
        <v>9.8989259999999996E-2</v>
      </c>
      <c r="W3091">
        <v>4.5056640000000002E-2</v>
      </c>
      <c r="X3091">
        <v>0.9940679</v>
      </c>
      <c r="Y3091">
        <v>0.1185277</v>
      </c>
      <c r="Z3091">
        <v>-2.4209000000000001E-3</v>
      </c>
      <c r="AA3091">
        <v>0.99294780000000005</v>
      </c>
      <c r="AB3091">
        <v>34</v>
      </c>
      <c r="AC3091">
        <v>23.9727</v>
      </c>
      <c r="AD3091">
        <v>-1.1096124629449999</v>
      </c>
      <c r="AE3091">
        <v>-3.0517999999999801</v>
      </c>
      <c r="AF3091">
        <v>2.9029753599037802</v>
      </c>
      <c r="AG3091">
        <v>-1.1096124629449999</v>
      </c>
      <c r="AH3091">
        <v>23.939963418767501</v>
      </c>
      <c r="AI3091">
        <v>92.634477827322499</v>
      </c>
      <c r="AJ3091">
        <v>83.086033052410997</v>
      </c>
      <c r="AK3091">
        <v>24.1408441080683</v>
      </c>
      <c r="AL3091">
        <v>87.417570374213895</v>
      </c>
      <c r="AM3091">
        <v>84.313235045684607</v>
      </c>
      <c r="AN3091">
        <v>0.99999998210692298</v>
      </c>
    </row>
    <row r="3092" spans="1:40" x14ac:dyDescent="0.25">
      <c r="A3092" t="str">
        <f>"20190312151332615"</f>
        <v>20190312151332615</v>
      </c>
      <c r="B3092" t="str">
        <f>"1552374812603739"</f>
        <v>1552374812603739</v>
      </c>
      <c r="C3092" t="s">
        <v>40</v>
      </c>
      <c r="D3092">
        <v>4.7827260000000003</v>
      </c>
      <c r="E3092">
        <v>0.50901160000000001</v>
      </c>
      <c r="F3092" t="s">
        <v>55</v>
      </c>
      <c r="G3092">
        <v>-304.79469999999998</v>
      </c>
      <c r="H3092" s="1">
        <v>1.802756E-6</v>
      </c>
      <c r="I3092">
        <v>210.96360000000001</v>
      </c>
      <c r="J3092">
        <v>-329.91489999999999</v>
      </c>
      <c r="K3092">
        <v>1.1096140000000001</v>
      </c>
      <c r="L3092">
        <v>214.2724</v>
      </c>
      <c r="M3092">
        <v>0.9999188</v>
      </c>
      <c r="N3092">
        <v>0</v>
      </c>
      <c r="O3092">
        <v>-5.9483729999999999E-3</v>
      </c>
      <c r="P3092">
        <v>0.99381580000000003</v>
      </c>
      <c r="Q3092">
        <v>3.293277E-2</v>
      </c>
      <c r="R3092">
        <v>-0.106047</v>
      </c>
      <c r="S3092">
        <v>2.9819339999999999</v>
      </c>
      <c r="T3092">
        <v>-0.1299062</v>
      </c>
      <c r="U3092">
        <v>-0.38761899999999999</v>
      </c>
      <c r="V3092">
        <v>0.1001353</v>
      </c>
      <c r="W3092">
        <v>4.4138219999999999E-2</v>
      </c>
      <c r="X3092">
        <v>0.99399439999999994</v>
      </c>
      <c r="Y3092">
        <v>0.1228942</v>
      </c>
      <c r="Z3092">
        <v>-2.4065240000000002E-3</v>
      </c>
      <c r="AA3092">
        <v>0.99241690000000005</v>
      </c>
      <c r="AB3092">
        <v>34</v>
      </c>
      <c r="AC3092">
        <v>25.120200000000001</v>
      </c>
      <c r="AD3092">
        <v>-1.1096121972439901</v>
      </c>
      <c r="AE3092">
        <v>-3.30879999999999</v>
      </c>
      <c r="AF3092">
        <v>3.15326000741516</v>
      </c>
      <c r="AG3092">
        <v>-1.1096121972439901</v>
      </c>
      <c r="AH3092">
        <v>25.091316116491701</v>
      </c>
      <c r="AI3092">
        <v>92.512402771469297</v>
      </c>
      <c r="AJ3092">
        <v>82.837112057332206</v>
      </c>
      <c r="AK3092">
        <v>25.313009152614701</v>
      </c>
      <c r="AL3092">
        <v>87.470244582691706</v>
      </c>
      <c r="AM3092">
        <v>84.247413504177899</v>
      </c>
      <c r="AN3092">
        <v>1.0000000640011</v>
      </c>
    </row>
    <row r="3093" spans="1:40" x14ac:dyDescent="0.25">
      <c r="A3093" t="str">
        <f>"20190312151332635"</f>
        <v>20190312151332635</v>
      </c>
      <c r="B3093" t="str">
        <f>"1552374812633019"</f>
        <v>1552374812633019</v>
      </c>
      <c r="C3093" t="s">
        <v>40</v>
      </c>
      <c r="D3093">
        <v>4.7599339999999897</v>
      </c>
      <c r="E3093">
        <v>0.50874160000000002</v>
      </c>
      <c r="F3093" t="s">
        <v>55</v>
      </c>
      <c r="G3093">
        <v>-307.19260000000003</v>
      </c>
      <c r="H3093" s="1">
        <v>1.3774109999999901E-6</v>
      </c>
      <c r="I3093">
        <v>211.29480000000001</v>
      </c>
      <c r="J3093">
        <v>-329.5967</v>
      </c>
      <c r="K3093">
        <v>1.109607</v>
      </c>
      <c r="L3093">
        <v>214.2705</v>
      </c>
      <c r="M3093">
        <v>0.99991909999999895</v>
      </c>
      <c r="N3093">
        <v>0</v>
      </c>
      <c r="O3093">
        <v>-5.9478150000000004E-3</v>
      </c>
      <c r="P3093">
        <v>0.99374200000000001</v>
      </c>
      <c r="Q3093">
        <v>3.2246900000000002E-2</v>
      </c>
      <c r="R3093">
        <v>-0.1069444</v>
      </c>
      <c r="S3093">
        <v>2.9818120000000001</v>
      </c>
      <c r="T3093">
        <v>-0.14561299999999999</v>
      </c>
      <c r="U3093">
        <v>-0.39074710000000001</v>
      </c>
      <c r="V3093">
        <v>0.1010337</v>
      </c>
      <c r="W3093">
        <v>4.3442229999999998E-2</v>
      </c>
      <c r="X3093">
        <v>0.99393410000000004</v>
      </c>
      <c r="Y3093">
        <v>0.1238944</v>
      </c>
      <c r="Z3093">
        <v>-2.7214280000000001E-3</v>
      </c>
      <c r="AA3093">
        <v>0.9922917</v>
      </c>
      <c r="AB3093">
        <v>34</v>
      </c>
      <c r="AC3093">
        <v>22.4040999999999</v>
      </c>
      <c r="AD3093">
        <v>-1.1096056225890001</v>
      </c>
      <c r="AE3093">
        <v>-2.9756999999999798</v>
      </c>
      <c r="AF3093">
        <v>2.8355487080350001</v>
      </c>
      <c r="AG3093">
        <v>-1.1096056225890001</v>
      </c>
      <c r="AH3093">
        <v>22.3674892695573</v>
      </c>
      <c r="AI3093">
        <v>92.817486109186902</v>
      </c>
      <c r="AJ3093">
        <v>82.7750964800654</v>
      </c>
      <c r="AK3093">
        <v>22.5737931535017</v>
      </c>
      <c r="AL3093">
        <v>87.510160038821596</v>
      </c>
      <c r="AM3093">
        <v>84.195803174017797</v>
      </c>
      <c r="AN3093">
        <v>1.0000000155129301</v>
      </c>
    </row>
    <row r="3094" spans="1:40" x14ac:dyDescent="0.25">
      <c r="A3094" t="str">
        <f>"20190312151332658"</f>
        <v>20190312151332658</v>
      </c>
      <c r="B3094" t="str">
        <f>"1552374812653514"</f>
        <v>1552374812653514</v>
      </c>
      <c r="C3094" t="s">
        <v>40</v>
      </c>
      <c r="D3094">
        <v>5.3120609999999999</v>
      </c>
      <c r="E3094">
        <v>0.50911329999999999</v>
      </c>
      <c r="F3094" t="s">
        <v>55</v>
      </c>
      <c r="G3094">
        <v>-308.84989999999999</v>
      </c>
      <c r="H3094" s="1">
        <v>1.083437E-6</v>
      </c>
      <c r="I3094">
        <v>211.54660000000001</v>
      </c>
      <c r="J3094">
        <v>-329.26029999999997</v>
      </c>
      <c r="K3094">
        <v>1.109604</v>
      </c>
      <c r="L3094">
        <v>214.26849999999999</v>
      </c>
      <c r="M3094">
        <v>0.99991909999999895</v>
      </c>
      <c r="N3094">
        <v>0</v>
      </c>
      <c r="O3094">
        <v>-5.9476279999999999E-3</v>
      </c>
      <c r="P3094">
        <v>0.99370040000000004</v>
      </c>
      <c r="Q3094">
        <v>3.2235220000000002E-2</v>
      </c>
      <c r="R3094">
        <v>-0.1073345</v>
      </c>
      <c r="S3094">
        <v>2.9819640000000001</v>
      </c>
      <c r="T3094">
        <v>-0.15948509999999999</v>
      </c>
      <c r="U3094">
        <v>-0.39151000000000002</v>
      </c>
      <c r="V3094">
        <v>0.101424</v>
      </c>
      <c r="W3094">
        <v>4.3422219999999997E-2</v>
      </c>
      <c r="X3094">
        <v>0.99389519999999998</v>
      </c>
      <c r="Y3094">
        <v>0.12410980000000001</v>
      </c>
      <c r="Z3094">
        <v>-2.9858829999999999E-3</v>
      </c>
      <c r="AA3094">
        <v>0.99226400000000003</v>
      </c>
      <c r="AB3094">
        <v>34</v>
      </c>
      <c r="AC3094">
        <v>20.4103999999999</v>
      </c>
      <c r="AD3094">
        <v>-1.1096029165629999</v>
      </c>
      <c r="AE3094">
        <v>-2.72189999999997</v>
      </c>
      <c r="AF3094">
        <v>2.5929212189564002</v>
      </c>
      <c r="AG3094">
        <v>-1.1096029165629999</v>
      </c>
      <c r="AH3094">
        <v>20.3670855684984</v>
      </c>
      <c r="AI3094">
        <v>93.093483538277596</v>
      </c>
      <c r="AJ3094">
        <v>82.744738319115598</v>
      </c>
      <c r="AK3094">
        <v>20.561435592747301</v>
      </c>
      <c r="AL3094">
        <v>87.511307553603203</v>
      </c>
      <c r="AM3094">
        <v>84.173308662625104</v>
      </c>
      <c r="AN3094">
        <v>0.99999999277438401</v>
      </c>
    </row>
    <row r="3095" spans="1:40" x14ac:dyDescent="0.25">
      <c r="A3095" t="str">
        <f>"20190312151332679"</f>
        <v>20190312151332679</v>
      </c>
      <c r="B3095" t="str">
        <f>"1552374812673035"</f>
        <v>1552374812673035</v>
      </c>
      <c r="C3095" t="s">
        <v>40</v>
      </c>
      <c r="D3095">
        <v>4.7518710000000004</v>
      </c>
      <c r="E3095">
        <v>0.50937089999999996</v>
      </c>
      <c r="F3095" t="s">
        <v>55</v>
      </c>
      <c r="G3095">
        <v>-307.92970000000003</v>
      </c>
      <c r="H3095" s="1">
        <v>1.246661E-6</v>
      </c>
      <c r="I3095">
        <v>211.4384</v>
      </c>
      <c r="J3095">
        <v>-328.94060000000002</v>
      </c>
      <c r="K3095">
        <v>1.109599</v>
      </c>
      <c r="L3095">
        <v>214.26660000000001</v>
      </c>
      <c r="M3095">
        <v>0.99991920000000001</v>
      </c>
      <c r="N3095">
        <v>0</v>
      </c>
      <c r="O3095">
        <v>-5.9473390000000003E-3</v>
      </c>
      <c r="P3095">
        <v>0.99369739999999995</v>
      </c>
      <c r="Q3095">
        <v>3.2306580000000001E-2</v>
      </c>
      <c r="R3095">
        <v>-0.10734100000000001</v>
      </c>
      <c r="S3095">
        <v>2.9813230000000002</v>
      </c>
      <c r="T3095">
        <v>-0.15508629999999901</v>
      </c>
      <c r="U3095">
        <v>-0.39555360000000001</v>
      </c>
      <c r="V3095">
        <v>0.1014306</v>
      </c>
      <c r="W3095">
        <v>4.348701E-2</v>
      </c>
      <c r="X3095">
        <v>0.99389170000000004</v>
      </c>
      <c r="Y3095">
        <v>0.12546740000000001</v>
      </c>
      <c r="Z3095">
        <v>-2.9391510000000001E-3</v>
      </c>
      <c r="AA3095">
        <v>0.99209340000000001</v>
      </c>
      <c r="AB3095">
        <v>34</v>
      </c>
      <c r="AC3095">
        <v>21.0108999999999</v>
      </c>
      <c r="AD3095">
        <v>-1.109597753339</v>
      </c>
      <c r="AE3095">
        <v>-2.8281999999999998</v>
      </c>
      <c r="AF3095">
        <v>2.6957984788216098</v>
      </c>
      <c r="AG3095">
        <v>-1.109597753339</v>
      </c>
      <c r="AH3095">
        <v>20.969906329274998</v>
      </c>
      <c r="AI3095">
        <v>93.004236318743907</v>
      </c>
      <c r="AJ3095">
        <v>82.674486609436002</v>
      </c>
      <c r="AK3095">
        <v>21.171573112813299</v>
      </c>
      <c r="AL3095">
        <v>87.507591865681903</v>
      </c>
      <c r="AM3095">
        <v>84.172911730406298</v>
      </c>
      <c r="AN3095">
        <v>0.99999999899199499</v>
      </c>
    </row>
    <row r="3096" spans="1:40" x14ac:dyDescent="0.25">
      <c r="A3096" t="str">
        <f>"20190312151332702"</f>
        <v>20190312151332702</v>
      </c>
      <c r="B3096" t="str">
        <f>"1552374812693534"</f>
        <v>1552374812693534</v>
      </c>
      <c r="C3096" t="s">
        <v>40</v>
      </c>
      <c r="D3096">
        <v>4.7548269999999997</v>
      </c>
      <c r="E3096">
        <v>0.50960000000000005</v>
      </c>
      <c r="F3096" t="s">
        <v>55</v>
      </c>
      <c r="G3096">
        <v>-307.084</v>
      </c>
      <c r="H3096" s="1">
        <v>1.3966840000000001E-6</v>
      </c>
      <c r="I3096">
        <v>211.3511</v>
      </c>
      <c r="J3096">
        <v>-328.6003</v>
      </c>
      <c r="K3096">
        <v>1.1095969999999999</v>
      </c>
      <c r="L3096">
        <v>214.2646</v>
      </c>
      <c r="M3096">
        <v>0.99991920000000001</v>
      </c>
      <c r="N3096">
        <v>0</v>
      </c>
      <c r="O3096">
        <v>-5.947178E-3</v>
      </c>
      <c r="P3096">
        <v>0.99379340000000005</v>
      </c>
      <c r="Q3096">
        <v>3.1943840000000001E-2</v>
      </c>
      <c r="R3096">
        <v>-0.1065569</v>
      </c>
      <c r="S3096">
        <v>2.980988</v>
      </c>
      <c r="T3096">
        <v>-0.15133569999999999</v>
      </c>
      <c r="U3096">
        <v>-0.397644</v>
      </c>
      <c r="V3096">
        <v>0.10064620000000001</v>
      </c>
      <c r="W3096">
        <v>4.3119230000000001E-2</v>
      </c>
      <c r="X3096">
        <v>0.99398739999999997</v>
      </c>
      <c r="Y3096">
        <v>0.12617249999999999</v>
      </c>
      <c r="Z3096">
        <v>-2.886165E-3</v>
      </c>
      <c r="AA3096">
        <v>0.99200410000000006</v>
      </c>
      <c r="AB3096">
        <v>34</v>
      </c>
      <c r="AC3096">
        <v>21.516300000000001</v>
      </c>
      <c r="AD3096">
        <v>-1.1095956033159999</v>
      </c>
      <c r="AE3096">
        <v>-2.9134999999999902</v>
      </c>
      <c r="AF3096">
        <v>2.7782235732671898</v>
      </c>
      <c r="AG3096">
        <v>-1.1095956033159999</v>
      </c>
      <c r="AH3096">
        <v>21.477158321868501</v>
      </c>
      <c r="AI3096">
        <v>92.933103671597607</v>
      </c>
      <c r="AJ3096">
        <v>82.629312404624301</v>
      </c>
      <c r="AK3096">
        <v>21.684511943056599</v>
      </c>
      <c r="AL3096">
        <v>87.528683742680499</v>
      </c>
      <c r="AM3096">
        <v>84.218221152087594</v>
      </c>
      <c r="AN3096">
        <v>0.99999993846449398</v>
      </c>
    </row>
    <row r="3097" spans="1:40" x14ac:dyDescent="0.25">
      <c r="A3097" t="str">
        <f>"20190312151332723"</f>
        <v>20190312151332723</v>
      </c>
      <c r="B3097" t="str">
        <f>"1552374812713051"</f>
        <v>1552374812713051</v>
      </c>
      <c r="C3097" t="s">
        <v>40</v>
      </c>
      <c r="D3097">
        <v>4.9424210000000004</v>
      </c>
      <c r="E3097">
        <v>0.50985630000000004</v>
      </c>
      <c r="F3097" t="s">
        <v>55</v>
      </c>
      <c r="G3097">
        <v>-306.74149999999997</v>
      </c>
      <c r="H3097" s="1">
        <v>1.4574330000000001E-6</v>
      </c>
      <c r="I3097">
        <v>211.3536</v>
      </c>
      <c r="J3097">
        <v>-328.26830000000001</v>
      </c>
      <c r="K3097">
        <v>1.109602</v>
      </c>
      <c r="L3097">
        <v>214.26259999999999</v>
      </c>
      <c r="M3097">
        <v>0.99991920000000001</v>
      </c>
      <c r="N3097">
        <v>0</v>
      </c>
      <c r="O3097">
        <v>-5.9467890000000001E-3</v>
      </c>
      <c r="P3097">
        <v>0.99384249999999996</v>
      </c>
      <c r="Q3097">
        <v>3.2726850000000002E-2</v>
      </c>
      <c r="R3097">
        <v>-0.1058587</v>
      </c>
      <c r="S3097">
        <v>2.9810180000000002</v>
      </c>
      <c r="T3097">
        <v>-0.1513224</v>
      </c>
      <c r="U3097">
        <v>-0.3969879</v>
      </c>
      <c r="V3097">
        <v>9.9948090000000003E-2</v>
      </c>
      <c r="W3097">
        <v>4.3898119999999999E-2</v>
      </c>
      <c r="X3097">
        <v>0.99402380000000001</v>
      </c>
      <c r="Y3097">
        <v>0.12595729999999999</v>
      </c>
      <c r="Z3097">
        <v>-2.8805079999999999E-3</v>
      </c>
      <c r="AA3097">
        <v>0.99203149999999996</v>
      </c>
      <c r="AB3097">
        <v>34</v>
      </c>
      <c r="AC3097">
        <v>21.526800000000001</v>
      </c>
      <c r="AD3097">
        <v>-1.1096005425669999</v>
      </c>
      <c r="AE3097">
        <v>-2.90899999999999</v>
      </c>
      <c r="AF3097">
        <v>2.77368790107607</v>
      </c>
      <c r="AG3097">
        <v>-1.1096005425669999</v>
      </c>
      <c r="AH3097">
        <v>21.487653016053098</v>
      </c>
      <c r="AI3097">
        <v>92.9317886699925</v>
      </c>
      <c r="AJ3097">
        <v>82.6447683499389</v>
      </c>
      <c r="AK3097">
        <v>21.694326218505601</v>
      </c>
      <c r="AL3097">
        <v>87.484014459854805</v>
      </c>
      <c r="AM3097">
        <v>84.258265132178906</v>
      </c>
      <c r="AN3097">
        <v>0.99999999030031095</v>
      </c>
    </row>
    <row r="3098" spans="1:40" x14ac:dyDescent="0.25">
      <c r="A3098" t="str">
        <f>"20190312151332747"</f>
        <v>20190312151332747</v>
      </c>
      <c r="B3098" t="str">
        <f>"1552374812743307"</f>
        <v>1552374812743307</v>
      </c>
      <c r="C3098" t="s">
        <v>40</v>
      </c>
      <c r="D3098">
        <v>4.7326759999999997</v>
      </c>
      <c r="E3098">
        <v>0.51033030000000001</v>
      </c>
      <c r="F3098" t="s">
        <v>55</v>
      </c>
      <c r="G3098">
        <v>-305.20740000000001</v>
      </c>
      <c r="H3098" s="1">
        <v>1.729558E-6</v>
      </c>
      <c r="I3098">
        <v>211.1918</v>
      </c>
      <c r="J3098">
        <v>-327.92149999999998</v>
      </c>
      <c r="K3098">
        <v>1.109612</v>
      </c>
      <c r="L3098">
        <v>214.26050000000001</v>
      </c>
      <c r="M3098">
        <v>0.99991940000000001</v>
      </c>
      <c r="N3098">
        <v>0</v>
      </c>
      <c r="O3098">
        <v>-5.9465250000000002E-3</v>
      </c>
      <c r="P3098">
        <v>0.99387040000000004</v>
      </c>
      <c r="Q3098">
        <v>3.3791990000000001E-2</v>
      </c>
      <c r="R3098">
        <v>-0.1052628</v>
      </c>
      <c r="S3098">
        <v>2.980988</v>
      </c>
      <c r="T3098">
        <v>-0.14343310000000001</v>
      </c>
      <c r="U3098">
        <v>-0.39694210000000002</v>
      </c>
      <c r="V3098">
        <v>9.9352129999999997E-2</v>
      </c>
      <c r="W3098">
        <v>4.4959949999999999E-2</v>
      </c>
      <c r="X3098">
        <v>0.99403609999999998</v>
      </c>
      <c r="Y3098">
        <v>0.1259593</v>
      </c>
      <c r="Z3098">
        <v>-2.7305989999999998E-3</v>
      </c>
      <c r="AA3098">
        <v>0.99203160000000001</v>
      </c>
      <c r="AB3098">
        <v>34</v>
      </c>
      <c r="AC3098">
        <v>22.714099999999899</v>
      </c>
      <c r="AD3098">
        <v>-1.1096102704419999</v>
      </c>
      <c r="AE3098">
        <v>-3.0687000000000002</v>
      </c>
      <c r="AF3098">
        <v>2.9267080675261599</v>
      </c>
      <c r="AG3098">
        <v>-1.1096102704419999</v>
      </c>
      <c r="AH3098">
        <v>22.678796226785099</v>
      </c>
      <c r="AI3098">
        <v>92.778087934296494</v>
      </c>
      <c r="AJ3098">
        <v>82.646597356738297</v>
      </c>
      <c r="AK3098">
        <v>22.8937688762867</v>
      </c>
      <c r="AL3098">
        <v>87.423115983270506</v>
      </c>
      <c r="AM3098">
        <v>84.292344781829897</v>
      </c>
      <c r="AN3098">
        <v>1.00000000547137</v>
      </c>
    </row>
    <row r="3099" spans="1:40" x14ac:dyDescent="0.25">
      <c r="A3099" t="str">
        <f>"20190312151332769"</f>
        <v>20190312151332769</v>
      </c>
      <c r="B3099" t="str">
        <f>"1552374812763804"</f>
        <v>1552374812763804</v>
      </c>
      <c r="C3099" t="s">
        <v>40</v>
      </c>
      <c r="D3099">
        <v>4.8075229999999998</v>
      </c>
      <c r="E3099">
        <v>0.51044489999999998</v>
      </c>
      <c r="F3099" t="s">
        <v>55</v>
      </c>
      <c r="G3099">
        <v>-303.06450000000001</v>
      </c>
      <c r="H3099" s="1">
        <v>2.1096600000000001E-6</v>
      </c>
      <c r="I3099">
        <v>210.93360000000001</v>
      </c>
      <c r="J3099">
        <v>-327.58870000000002</v>
      </c>
      <c r="K3099">
        <v>1.109615</v>
      </c>
      <c r="L3099">
        <v>214.2586</v>
      </c>
      <c r="M3099">
        <v>0.99991929999999996</v>
      </c>
      <c r="N3099">
        <v>0</v>
      </c>
      <c r="O3099">
        <v>-5.9463859999999997E-3</v>
      </c>
      <c r="P3099">
        <v>0.99397959999999996</v>
      </c>
      <c r="Q3099">
        <v>3.4593690000000003E-2</v>
      </c>
      <c r="R3099">
        <v>-0.1039611</v>
      </c>
      <c r="S3099">
        <v>2.9807429999999999</v>
      </c>
      <c r="T3099">
        <v>-0.1330597</v>
      </c>
      <c r="U3099">
        <v>-0.39895629999999999</v>
      </c>
      <c r="V3099">
        <v>9.8050029999999996E-2</v>
      </c>
      <c r="W3099">
        <v>4.5760210000000003E-2</v>
      </c>
      <c r="X3099">
        <v>0.99412889999999998</v>
      </c>
      <c r="Y3099">
        <v>0.12664700000000001</v>
      </c>
      <c r="Z3099">
        <v>-2.5486900000000002E-3</v>
      </c>
      <c r="AA3099">
        <v>0.99194459999999995</v>
      </c>
      <c r="AB3099">
        <v>34</v>
      </c>
      <c r="AC3099">
        <v>24.5242</v>
      </c>
      <c r="AD3099">
        <v>-1.10961289034</v>
      </c>
      <c r="AE3099">
        <v>-3.3249999999999802</v>
      </c>
      <c r="AF3099">
        <v>3.17272379899762</v>
      </c>
      <c r="AG3099">
        <v>-1.10961289034</v>
      </c>
      <c r="AH3099">
        <v>24.494300523336999</v>
      </c>
      <c r="AI3099">
        <v>92.572314917412498</v>
      </c>
      <c r="AJ3099">
        <v>82.619623732728897</v>
      </c>
      <c r="AK3099">
        <v>24.723838197146598</v>
      </c>
      <c r="AL3099">
        <v>87.377217302346693</v>
      </c>
      <c r="AM3099">
        <v>84.367186961236598</v>
      </c>
      <c r="AN3099">
        <v>1.0000000375087199</v>
      </c>
    </row>
    <row r="3100" spans="1:40" x14ac:dyDescent="0.25">
      <c r="A3100" t="str">
        <f>"20190312151332792"</f>
        <v>20190312151332792</v>
      </c>
      <c r="B3100" t="str">
        <f>"1552374812783323"</f>
        <v>1552374812783323</v>
      </c>
      <c r="C3100" t="s">
        <v>40</v>
      </c>
      <c r="D3100">
        <v>4.724062</v>
      </c>
      <c r="E3100">
        <v>0.51065660000000002</v>
      </c>
      <c r="F3100" t="s">
        <v>55</v>
      </c>
      <c r="G3100">
        <v>-301.48340000000002</v>
      </c>
      <c r="H3100" s="1">
        <v>2.390122E-6</v>
      </c>
      <c r="I3100">
        <v>210.7901</v>
      </c>
      <c r="J3100">
        <v>-327.25409999999999</v>
      </c>
      <c r="K3100">
        <v>1.109626</v>
      </c>
      <c r="L3100">
        <v>214.25659999999999</v>
      </c>
      <c r="M3100">
        <v>0.99991929999999996</v>
      </c>
      <c r="N3100">
        <v>0</v>
      </c>
      <c r="O3100">
        <v>-5.946252E-3</v>
      </c>
      <c r="P3100">
        <v>0.99407310000000004</v>
      </c>
      <c r="Q3100">
        <v>3.4965599999999999E-2</v>
      </c>
      <c r="R3100">
        <v>-0.102937899999999</v>
      </c>
      <c r="S3100">
        <v>2.9811399999999999</v>
      </c>
      <c r="T3100">
        <v>-0.1267141</v>
      </c>
      <c r="U3100">
        <v>-0.39608759999999998</v>
      </c>
      <c r="V3100">
        <v>9.7026580000000001E-2</v>
      </c>
      <c r="W3100">
        <v>4.6130329999999997E-2</v>
      </c>
      <c r="X3100">
        <v>0.99421219999999999</v>
      </c>
      <c r="Y3100">
        <v>0.1257037</v>
      </c>
      <c r="Z3100">
        <v>-2.407143E-3</v>
      </c>
      <c r="AA3100">
        <v>0.99206490000000003</v>
      </c>
      <c r="AB3100">
        <v>34</v>
      </c>
      <c r="AC3100">
        <v>25.770699999999898</v>
      </c>
      <c r="AD3100">
        <v>-1.1096236098779999</v>
      </c>
      <c r="AE3100">
        <v>-3.4664999999999901</v>
      </c>
      <c r="AF3100">
        <v>3.3071676045943699</v>
      </c>
      <c r="AG3100">
        <v>-1.1096236098779999</v>
      </c>
      <c r="AH3100">
        <v>25.743978406341199</v>
      </c>
      <c r="AI3100">
        <v>92.447958054627307</v>
      </c>
      <c r="AJ3100">
        <v>82.679663501419299</v>
      </c>
      <c r="AK3100">
        <v>25.979242604561001</v>
      </c>
      <c r="AL3100">
        <v>87.355988555053898</v>
      </c>
      <c r="AM3100">
        <v>84.426074333997704</v>
      </c>
      <c r="AN3100">
        <v>1.0000000316006199</v>
      </c>
    </row>
    <row r="3101" spans="1:40" x14ac:dyDescent="0.25">
      <c r="A3101" t="str">
        <f>"20190312151332817"</f>
        <v>20190312151332817</v>
      </c>
      <c r="B3101" t="str">
        <f>"1552374812813579"</f>
        <v>1552374812813579</v>
      </c>
      <c r="C3101" t="s">
        <v>40</v>
      </c>
      <c r="D3101">
        <v>4.8665419999999999</v>
      </c>
      <c r="E3101">
        <v>0.51088679999999997</v>
      </c>
      <c r="F3101" t="s">
        <v>55</v>
      </c>
      <c r="G3101">
        <v>-301.02980000000002</v>
      </c>
      <c r="H3101" s="1">
        <v>2.4705930000000001E-6</v>
      </c>
      <c r="I3101">
        <v>210.78479999999999</v>
      </c>
      <c r="J3101">
        <v>-326.86149999999998</v>
      </c>
      <c r="K3101">
        <v>1.109631</v>
      </c>
      <c r="L3101">
        <v>214.2542</v>
      </c>
      <c r="M3101">
        <v>0.99991929999999996</v>
      </c>
      <c r="N3101">
        <v>0</v>
      </c>
      <c r="O3101">
        <v>-5.9456419999999897E-3</v>
      </c>
      <c r="P3101">
        <v>0.99404939999999997</v>
      </c>
      <c r="Q3101">
        <v>3.5782729999999999E-2</v>
      </c>
      <c r="R3101">
        <v>-0.10288609999999999</v>
      </c>
      <c r="S3101">
        <v>2.9814759999999998</v>
      </c>
      <c r="T3101">
        <v>-0.1261545</v>
      </c>
      <c r="U3101">
        <v>-0.39471440000000002</v>
      </c>
      <c r="V3101">
        <v>9.6975320000000004E-2</v>
      </c>
      <c r="W3101">
        <v>4.6945309999999997E-2</v>
      </c>
      <c r="X3101">
        <v>0.99417900000000003</v>
      </c>
      <c r="Y3101">
        <v>0.12524199999999999</v>
      </c>
      <c r="Z3101">
        <v>-2.3866310000000002E-3</v>
      </c>
      <c r="AA3101">
        <v>0.99212339999999999</v>
      </c>
      <c r="AB3101">
        <v>34</v>
      </c>
      <c r="AC3101">
        <v>25.831699999999898</v>
      </c>
      <c r="AD3101">
        <v>-1.1096285294069901</v>
      </c>
      <c r="AE3101">
        <v>-3.4693999999999998</v>
      </c>
      <c r="AF3101">
        <v>3.3097439408810101</v>
      </c>
      <c r="AG3101">
        <v>-1.1096285294069901</v>
      </c>
      <c r="AH3101">
        <v>25.805099968296201</v>
      </c>
      <c r="AI3101">
        <v>92.442240675189097</v>
      </c>
      <c r="AJ3101">
        <v>82.691187120031302</v>
      </c>
      <c r="AK3101">
        <v>26.040139492737602</v>
      </c>
      <c r="AL3101">
        <v>87.309242852886797</v>
      </c>
      <c r="AM3101">
        <v>84.428815688671804</v>
      </c>
      <c r="AN3101">
        <v>0.99999997943054897</v>
      </c>
    </row>
    <row r="3102" spans="1:40" x14ac:dyDescent="0.25">
      <c r="A3102" t="str">
        <f>"20190312151332837"</f>
        <v>20190312151332837</v>
      </c>
      <c r="B3102" t="str">
        <f>"1552374812833100"</f>
        <v>1552374812833100</v>
      </c>
      <c r="C3102" t="s">
        <v>40</v>
      </c>
      <c r="D3102">
        <v>4.7297949999999904</v>
      </c>
      <c r="E3102">
        <v>0.51097239999999999</v>
      </c>
      <c r="F3102" t="s">
        <v>55</v>
      </c>
      <c r="G3102">
        <v>-299.09710000000001</v>
      </c>
      <c r="H3102" s="1">
        <v>2.5080910000000001E-6</v>
      </c>
      <c r="I3102">
        <v>210.5658</v>
      </c>
      <c r="J3102">
        <v>-326.55380000000002</v>
      </c>
      <c r="K3102">
        <v>1.109626</v>
      </c>
      <c r="L3102">
        <v>214.25239999999999</v>
      </c>
      <c r="M3102">
        <v>0.99991929999999996</v>
      </c>
      <c r="N3102">
        <v>0</v>
      </c>
      <c r="O3102">
        <v>-5.9455159999999996E-3</v>
      </c>
      <c r="P3102">
        <v>0.99399439999999994</v>
      </c>
      <c r="Q3102">
        <v>3.6145990000000003E-2</v>
      </c>
      <c r="R3102">
        <v>-0.1032902</v>
      </c>
      <c r="S3102">
        <v>2.981293</v>
      </c>
      <c r="T3102">
        <v>-0.1191499</v>
      </c>
      <c r="U3102">
        <v>-0.3960571</v>
      </c>
      <c r="V3102">
        <v>9.7380030000000006E-2</v>
      </c>
      <c r="W3102">
        <v>4.7306819999999999E-2</v>
      </c>
      <c r="X3102">
        <v>0.99412230000000001</v>
      </c>
      <c r="Y3102">
        <v>0.12570010000000001</v>
      </c>
      <c r="Z3102">
        <v>-2.26341E-3</v>
      </c>
      <c r="AA3102">
        <v>0.99206570000000005</v>
      </c>
      <c r="AB3102">
        <v>34</v>
      </c>
      <c r="AC3102">
        <v>27.456700000000001</v>
      </c>
      <c r="AD3102">
        <v>-1.109623491909</v>
      </c>
      <c r="AE3102">
        <v>-3.6865999999999901</v>
      </c>
      <c r="AF3102">
        <v>3.5176368301277599</v>
      </c>
      <c r="AG3102">
        <v>-1.109623491909</v>
      </c>
      <c r="AH3102">
        <v>27.434121280250999</v>
      </c>
      <c r="AI3102">
        <v>92.297382805292202</v>
      </c>
      <c r="AJ3102">
        <v>82.693332707970796</v>
      </c>
      <c r="AK3102">
        <v>27.680968978379099</v>
      </c>
      <c r="AL3102">
        <v>87.2885068081181</v>
      </c>
      <c r="AM3102">
        <v>84.405395435533293</v>
      </c>
      <c r="AN3102">
        <v>0.99999997640930105</v>
      </c>
    </row>
    <row r="3103" spans="1:40" x14ac:dyDescent="0.25">
      <c r="A3103" t="str">
        <f>"20190312151332859"</f>
        <v>20190312151332859</v>
      </c>
      <c r="B3103" t="str">
        <f>"1552374812853595"</f>
        <v>1552374812853595</v>
      </c>
      <c r="C3103" t="s">
        <v>40</v>
      </c>
      <c r="D3103">
        <v>5.0275600000000003</v>
      </c>
      <c r="E3103">
        <v>0.51114729999999997</v>
      </c>
      <c r="F3103" t="s">
        <v>55</v>
      </c>
      <c r="G3103">
        <v>-298.98169999999999</v>
      </c>
      <c r="H3103" s="1">
        <v>2.487605E-6</v>
      </c>
      <c r="I3103">
        <v>210.57040000000001</v>
      </c>
      <c r="J3103">
        <v>-326.22219999999999</v>
      </c>
      <c r="K3103">
        <v>1.1096269999999999</v>
      </c>
      <c r="L3103">
        <v>214.25040000000001</v>
      </c>
      <c r="M3103">
        <v>0.99991940000000001</v>
      </c>
      <c r="N3103">
        <v>0</v>
      </c>
      <c r="O3103">
        <v>-5.9451540000000002E-3</v>
      </c>
      <c r="P3103">
        <v>0.99395429999999996</v>
      </c>
      <c r="Q3103">
        <v>3.6652919999999999E-2</v>
      </c>
      <c r="R3103">
        <v>-0.1034973</v>
      </c>
      <c r="S3103">
        <v>2.9811100000000001</v>
      </c>
      <c r="T3103">
        <v>-0.1199727</v>
      </c>
      <c r="U3103">
        <v>-0.39810180000000001</v>
      </c>
      <c r="V3103">
        <v>9.7587670000000001E-2</v>
      </c>
      <c r="W3103">
        <v>4.7812649999999998E-2</v>
      </c>
      <c r="X3103">
        <v>0.99407769999999995</v>
      </c>
      <c r="Y3103">
        <v>0.12637509999999999</v>
      </c>
      <c r="Z3103">
        <v>-2.2925950000000001E-3</v>
      </c>
      <c r="AA3103">
        <v>0.99197990000000003</v>
      </c>
      <c r="AB3103">
        <v>34</v>
      </c>
      <c r="AC3103">
        <v>27.240500000000001</v>
      </c>
      <c r="AD3103">
        <v>-1.1096245123949999</v>
      </c>
      <c r="AE3103">
        <v>-3.68</v>
      </c>
      <c r="AF3103">
        <v>3.51225240968513</v>
      </c>
      <c r="AG3103">
        <v>-1.1096245123949999</v>
      </c>
      <c r="AH3103">
        <v>27.217545743880802</v>
      </c>
      <c r="AI3103">
        <v>92.315405132618395</v>
      </c>
      <c r="AJ3103">
        <v>82.646976626715102</v>
      </c>
      <c r="AK3103">
        <v>27.4656509092374</v>
      </c>
      <c r="AL3103">
        <v>87.259491945047699</v>
      </c>
      <c r="AM3103">
        <v>84.393292243678005</v>
      </c>
      <c r="AN3103">
        <v>0.999999938236668</v>
      </c>
    </row>
    <row r="3104" spans="1:40" x14ac:dyDescent="0.25">
      <c r="A3104" t="str">
        <f>"20190312151332881"</f>
        <v>20190312151332881</v>
      </c>
      <c r="B3104" t="str">
        <f>"1552374812873115"</f>
        <v>1552374812873115</v>
      </c>
      <c r="C3104" t="s">
        <v>40</v>
      </c>
      <c r="D3104">
        <v>4.6718710000000003</v>
      </c>
      <c r="E3104">
        <v>0.51131040000000005</v>
      </c>
      <c r="F3104" t="s">
        <v>55</v>
      </c>
      <c r="G3104">
        <v>-298.27780000000001</v>
      </c>
      <c r="H3104" s="1">
        <v>2.3627510000000002E-6</v>
      </c>
      <c r="I3104">
        <v>210.49930000000001</v>
      </c>
      <c r="J3104">
        <v>-325.89429999999999</v>
      </c>
      <c r="K3104">
        <v>1.109629</v>
      </c>
      <c r="L3104">
        <v>214.24850000000001</v>
      </c>
      <c r="M3104">
        <v>0.99991929999999996</v>
      </c>
      <c r="N3104">
        <v>0</v>
      </c>
      <c r="O3104">
        <v>-5.9447930000000003E-3</v>
      </c>
      <c r="P3104">
        <v>0.99390659999999997</v>
      </c>
      <c r="Q3104">
        <v>3.7044460000000001E-2</v>
      </c>
      <c r="R3104">
        <v>-0.10381460000000001</v>
      </c>
      <c r="S3104">
        <v>2.9809570000000001</v>
      </c>
      <c r="T3104">
        <v>-0.1183689</v>
      </c>
      <c r="U3104">
        <v>-0.40014650000000002</v>
      </c>
      <c r="V3104">
        <v>9.7905580000000006E-2</v>
      </c>
      <c r="W3104">
        <v>4.8203200000000002E-2</v>
      </c>
      <c r="X3104">
        <v>0.99402760000000001</v>
      </c>
      <c r="Y3104">
        <v>0.12705259999999999</v>
      </c>
      <c r="Z3104">
        <v>-2.2753830000000002E-3</v>
      </c>
      <c r="AA3104">
        <v>0.99189340000000004</v>
      </c>
      <c r="AB3104">
        <v>34</v>
      </c>
      <c r="AC3104">
        <v>27.616499999999899</v>
      </c>
      <c r="AD3104">
        <v>-1.109626637249</v>
      </c>
      <c r="AE3104">
        <v>-3.7492000000000001</v>
      </c>
      <c r="AF3104">
        <v>3.5792751379403498</v>
      </c>
      <c r="AG3104">
        <v>-1.109626637249</v>
      </c>
      <c r="AH3104">
        <v>27.5945585745404</v>
      </c>
      <c r="AI3104">
        <v>92.283615560479603</v>
      </c>
      <c r="AJ3104">
        <v>82.609458854699994</v>
      </c>
      <c r="AK3104">
        <v>27.8478391389873</v>
      </c>
      <c r="AL3104">
        <v>87.237089306576607</v>
      </c>
      <c r="AM3104">
        <v>84.374862610515606</v>
      </c>
      <c r="AN3104">
        <v>0.99999996032356697</v>
      </c>
    </row>
    <row r="3105" spans="1:40" x14ac:dyDescent="0.25">
      <c r="A3105" t="str">
        <f>"20190312151332903"</f>
        <v>20190312151332903</v>
      </c>
      <c r="B3105" t="str">
        <f>"1552374812893611"</f>
        <v>1552374812893611</v>
      </c>
      <c r="C3105" t="s">
        <v>40</v>
      </c>
      <c r="D3105">
        <v>4.7098319999999996</v>
      </c>
      <c r="E3105">
        <v>0.51143119999999997</v>
      </c>
      <c r="F3105" t="s">
        <v>55</v>
      </c>
      <c r="G3105">
        <v>-297.40769999999998</v>
      </c>
      <c r="H3105" s="1">
        <v>2.2084170000000002E-6</v>
      </c>
      <c r="I3105">
        <v>210.40360000000001</v>
      </c>
      <c r="J3105">
        <v>-325.55329999999998</v>
      </c>
      <c r="K3105">
        <v>1.109629</v>
      </c>
      <c r="L3105">
        <v>214.24639999999999</v>
      </c>
      <c r="M3105">
        <v>0.99991940000000001</v>
      </c>
      <c r="N3105">
        <v>0</v>
      </c>
      <c r="O3105">
        <v>-5.9446730000000001E-3</v>
      </c>
      <c r="P3105">
        <v>0.99381220000000003</v>
      </c>
      <c r="Q3105">
        <v>3.7553290000000003E-2</v>
      </c>
      <c r="R3105">
        <v>-0.104535</v>
      </c>
      <c r="S3105">
        <v>2.9807130000000002</v>
      </c>
      <c r="T3105">
        <v>-0.1161066</v>
      </c>
      <c r="U3105">
        <v>-0.40231319999999998</v>
      </c>
      <c r="V3105">
        <v>9.8626510000000001E-2</v>
      </c>
      <c r="W3105">
        <v>4.8710919999999998E-2</v>
      </c>
      <c r="X3105">
        <v>0.99393160000000003</v>
      </c>
      <c r="Y3105">
        <v>0.12777459999999999</v>
      </c>
      <c r="Z3105">
        <v>-2.2460010000000001E-3</v>
      </c>
      <c r="AA3105">
        <v>0.99180069999999998</v>
      </c>
      <c r="AB3105">
        <v>34</v>
      </c>
      <c r="AC3105">
        <v>28.145600000000002</v>
      </c>
      <c r="AD3105">
        <v>-1.109626791583</v>
      </c>
      <c r="AE3105">
        <v>-3.84279999999998</v>
      </c>
      <c r="AF3105">
        <v>3.6698056024022199</v>
      </c>
      <c r="AG3105">
        <v>-1.109626791583</v>
      </c>
      <c r="AH3105">
        <v>28.125033681166201</v>
      </c>
      <c r="AI3105">
        <v>92.240367046110507</v>
      </c>
      <c r="AJ3105">
        <v>82.565942044887194</v>
      </c>
      <c r="AK3105">
        <v>28.385141612166699</v>
      </c>
      <c r="AL3105">
        <v>87.207964944205003</v>
      </c>
      <c r="AM3105">
        <v>84.333166627789893</v>
      </c>
      <c r="AN3105">
        <v>0.99999998384029298</v>
      </c>
    </row>
    <row r="3106" spans="1:40" x14ac:dyDescent="0.25">
      <c r="A3106" t="str">
        <f>"20190312151332925"</f>
        <v>20190312151332925</v>
      </c>
      <c r="B3106" t="str">
        <f>"1552374812913131"</f>
        <v>1552374812913131</v>
      </c>
      <c r="C3106" t="s">
        <v>40</v>
      </c>
      <c r="D3106">
        <v>4.7003159999999999</v>
      </c>
      <c r="E3106">
        <v>0.51151530000000001</v>
      </c>
      <c r="F3106" t="s">
        <v>55</v>
      </c>
      <c r="G3106">
        <v>-296.5487</v>
      </c>
      <c r="H3106" s="1">
        <v>2.0560470000000001E-6</v>
      </c>
      <c r="I3106">
        <v>210.3006</v>
      </c>
      <c r="J3106">
        <v>-325.22300000000001</v>
      </c>
      <c r="K3106">
        <v>1.109631</v>
      </c>
      <c r="L3106">
        <v>214.24449999999999</v>
      </c>
      <c r="M3106">
        <v>0.99991940000000001</v>
      </c>
      <c r="N3106">
        <v>0</v>
      </c>
      <c r="O3106">
        <v>-5.9443169999999898E-3</v>
      </c>
      <c r="P3106">
        <v>0.99374629999999997</v>
      </c>
      <c r="Q3106">
        <v>3.8270270000000002E-2</v>
      </c>
      <c r="R3106">
        <v>-0.1048993</v>
      </c>
      <c r="S3106">
        <v>2.9803470000000001</v>
      </c>
      <c r="T3106">
        <v>-0.11401889999999899</v>
      </c>
      <c r="U3106">
        <v>-0.4054565</v>
      </c>
      <c r="V3106">
        <v>9.8991839999999998E-2</v>
      </c>
      <c r="W3106">
        <v>4.9427220000000001E-2</v>
      </c>
      <c r="X3106">
        <v>0.99385990000000002</v>
      </c>
      <c r="Y3106">
        <v>0.12882069999999901</v>
      </c>
      <c r="Z3106">
        <v>-2.225683E-3</v>
      </c>
      <c r="AA3106">
        <v>0.99166540000000003</v>
      </c>
      <c r="AB3106">
        <v>34</v>
      </c>
      <c r="AC3106">
        <v>28.674299999999999</v>
      </c>
      <c r="AD3106">
        <v>-1.109628943953</v>
      </c>
      <c r="AE3106">
        <v>-3.9438999999999802</v>
      </c>
      <c r="AF3106">
        <v>3.76783284447367</v>
      </c>
      <c r="AG3106">
        <v>-1.109628943953</v>
      </c>
      <c r="AH3106">
        <v>28.655123953635499</v>
      </c>
      <c r="AI3106">
        <v>92.198682991835994</v>
      </c>
      <c r="AJ3106">
        <v>82.509209790079893</v>
      </c>
      <c r="AK3106">
        <v>28.923069849781999</v>
      </c>
      <c r="AL3106">
        <v>87.166874431786695</v>
      </c>
      <c r="AM3106">
        <v>84.311905418871405</v>
      </c>
      <c r="AN3106">
        <v>0.99999996764576105</v>
      </c>
    </row>
    <row r="3107" spans="1:40" x14ac:dyDescent="0.25">
      <c r="A3107" t="str">
        <f>"20190312151332948"</f>
        <v>20190312151332948</v>
      </c>
      <c r="B3107" t="str">
        <f>"1552374812943387"</f>
        <v>1552374812943387</v>
      </c>
      <c r="C3107" t="s">
        <v>40</v>
      </c>
      <c r="D3107">
        <v>4.6737229999999998</v>
      </c>
      <c r="E3107">
        <v>0.5114879</v>
      </c>
      <c r="F3107" t="s">
        <v>55</v>
      </c>
      <c r="G3107">
        <v>-295.78269999999998</v>
      </c>
      <c r="H3107" s="1">
        <v>1.920167E-6</v>
      </c>
      <c r="I3107">
        <v>210.22309999999999</v>
      </c>
      <c r="J3107">
        <v>-324.89659999999998</v>
      </c>
      <c r="K3107">
        <v>1.1096360000000001</v>
      </c>
      <c r="L3107">
        <v>214.24250000000001</v>
      </c>
      <c r="M3107">
        <v>0.99991940000000001</v>
      </c>
      <c r="N3107">
        <v>0</v>
      </c>
      <c r="O3107">
        <v>-5.9438420000000004E-3</v>
      </c>
      <c r="P3107">
        <v>0.99371830000000005</v>
      </c>
      <c r="Q3107">
        <v>3.8535809999999997E-2</v>
      </c>
      <c r="R3107">
        <v>-0.1050672</v>
      </c>
      <c r="S3107">
        <v>2.980194</v>
      </c>
      <c r="T3107">
        <v>-0.11232590000000001</v>
      </c>
      <c r="U3107">
        <v>-0.40707399999999999</v>
      </c>
      <c r="V3107">
        <v>9.9160399999999996E-2</v>
      </c>
      <c r="W3107">
        <v>4.9693439999999998E-2</v>
      </c>
      <c r="X3107">
        <v>0.99382979999999999</v>
      </c>
      <c r="Y3107">
        <v>0.12935849999999999</v>
      </c>
      <c r="Z3107">
        <v>-2.2027919999999999E-3</v>
      </c>
      <c r="AA3107">
        <v>0.99159540000000002</v>
      </c>
      <c r="AB3107">
        <v>34</v>
      </c>
      <c r="AC3107">
        <v>29.113900000000001</v>
      </c>
      <c r="AD3107">
        <v>-1.109634079833</v>
      </c>
      <c r="AE3107">
        <v>-4.0194000000000099</v>
      </c>
      <c r="AF3107">
        <v>3.8407947261858602</v>
      </c>
      <c r="AG3107">
        <v>-1.109634079833</v>
      </c>
      <c r="AH3107">
        <v>29.095802538724701</v>
      </c>
      <c r="AI3107">
        <v>92.165279589668799</v>
      </c>
      <c r="AJ3107">
        <v>82.480141691775202</v>
      </c>
      <c r="AK3107">
        <v>29.369179717729399</v>
      </c>
      <c r="AL3107">
        <v>87.151602323023795</v>
      </c>
      <c r="AM3107">
        <v>84.302112164865505</v>
      </c>
      <c r="AN3107">
        <v>0.99999994713761498</v>
      </c>
    </row>
    <row r="3108" spans="1:40" x14ac:dyDescent="0.25">
      <c r="A3108" t="str">
        <f>"20190312151332969"</f>
        <v>20190312151332969</v>
      </c>
      <c r="B3108" t="str">
        <f>"1552374812963884"</f>
        <v>1552374812963884</v>
      </c>
      <c r="C3108" t="s">
        <v>40</v>
      </c>
      <c r="D3108">
        <v>4.6931289999999999</v>
      </c>
      <c r="E3108">
        <v>0.51148660000000001</v>
      </c>
      <c r="F3108" t="s">
        <v>55</v>
      </c>
      <c r="G3108">
        <v>-295.24790000000002</v>
      </c>
      <c r="H3108" s="1">
        <v>1.8252929999999999E-6</v>
      </c>
      <c r="I3108">
        <v>210.19030000000001</v>
      </c>
      <c r="J3108">
        <v>-324.55279999999999</v>
      </c>
      <c r="K3108">
        <v>1.109634</v>
      </c>
      <c r="L3108">
        <v>214.2405</v>
      </c>
      <c r="M3108">
        <v>0.99991929999999996</v>
      </c>
      <c r="N3108">
        <v>0</v>
      </c>
      <c r="O3108">
        <v>-5.9432499999999997E-3</v>
      </c>
      <c r="P3108">
        <v>0.99371390000000004</v>
      </c>
      <c r="Q3108">
        <v>3.876425E-2</v>
      </c>
      <c r="R3108">
        <v>-0.10502549999999999</v>
      </c>
      <c r="S3108">
        <v>2.9802249999999999</v>
      </c>
      <c r="T3108">
        <v>-0.1115379</v>
      </c>
      <c r="U3108">
        <v>-0.40731810000000002</v>
      </c>
      <c r="V3108">
        <v>9.9119120000000005E-2</v>
      </c>
      <c r="W3108">
        <v>4.9922040000000001E-2</v>
      </c>
      <c r="X3108">
        <v>0.99382250000000005</v>
      </c>
      <c r="Y3108">
        <v>0.12943859999999999</v>
      </c>
      <c r="Z3108">
        <v>-2.1888290000000002E-3</v>
      </c>
      <c r="AA3108">
        <v>0.99158500000000005</v>
      </c>
      <c r="AB3108">
        <v>34</v>
      </c>
      <c r="AC3108">
        <v>29.3048999999999</v>
      </c>
      <c r="AD3108">
        <v>-1.1096321747069999</v>
      </c>
      <c r="AE3108">
        <v>-4.0501999999999896</v>
      </c>
      <c r="AF3108">
        <v>3.8705057578582598</v>
      </c>
      <c r="AG3108">
        <v>-1.1096321747069999</v>
      </c>
      <c r="AH3108">
        <v>29.287251308569498</v>
      </c>
      <c r="AI3108">
        <v>92.151092671846797</v>
      </c>
      <c r="AJ3108">
        <v>82.471606761695</v>
      </c>
      <c r="AK3108">
        <v>29.5627330873867</v>
      </c>
      <c r="AL3108">
        <v>87.138488340840198</v>
      </c>
      <c r="AM3108">
        <v>84.304427009202101</v>
      </c>
      <c r="AN3108">
        <v>0.99999998576679205</v>
      </c>
    </row>
    <row r="3109" spans="1:40" x14ac:dyDescent="0.25">
      <c r="A3109" t="str">
        <f>"20190312151332995"</f>
        <v>20190312151332995</v>
      </c>
      <c r="B3109" t="str">
        <f>"1552374812983403"</f>
        <v>1552374812983403</v>
      </c>
      <c r="C3109" t="s">
        <v>40</v>
      </c>
      <c r="D3109">
        <v>4.922993</v>
      </c>
      <c r="E3109">
        <v>0.51160810000000001</v>
      </c>
      <c r="F3109" t="s">
        <v>55</v>
      </c>
      <c r="G3109">
        <v>-294.846</v>
      </c>
      <c r="H3109" s="1">
        <v>1.7540099999999999E-6</v>
      </c>
      <c r="I3109">
        <v>210.18029999999999</v>
      </c>
      <c r="J3109">
        <v>-324.17439999999999</v>
      </c>
      <c r="K3109">
        <v>1.1096360000000001</v>
      </c>
      <c r="L3109">
        <v>214.23830000000001</v>
      </c>
      <c r="M3109">
        <v>0.99991929999999996</v>
      </c>
      <c r="N3109">
        <v>0</v>
      </c>
      <c r="O3109">
        <v>-5.9430169999999897E-3</v>
      </c>
      <c r="P3109">
        <v>0.99371900000000002</v>
      </c>
      <c r="Q3109">
        <v>3.8886549999999999E-2</v>
      </c>
      <c r="R3109">
        <v>-0.1049306</v>
      </c>
      <c r="S3109">
        <v>2.9803160000000002</v>
      </c>
      <c r="T3109">
        <v>-0.1113234</v>
      </c>
      <c r="U3109">
        <v>-0.40733340000000001</v>
      </c>
      <c r="V3109">
        <v>9.9024609999999999E-2</v>
      </c>
      <c r="W3109">
        <v>5.0045390000000002E-2</v>
      </c>
      <c r="X3109">
        <v>0.99382570000000003</v>
      </c>
      <c r="Y3109">
        <v>0.1294401</v>
      </c>
      <c r="Z3109">
        <v>-2.1845910000000001E-3</v>
      </c>
      <c r="AA3109">
        <v>0.99158480000000004</v>
      </c>
      <c r="AB3109">
        <v>34</v>
      </c>
      <c r="AC3109">
        <v>29.328399999999899</v>
      </c>
      <c r="AD3109">
        <v>-1.1096342459899999</v>
      </c>
      <c r="AE3109">
        <v>-4.0580000000000203</v>
      </c>
      <c r="AF3109">
        <v>3.87817094948617</v>
      </c>
      <c r="AG3109">
        <v>-1.1096342459899999</v>
      </c>
      <c r="AH3109">
        <v>29.310830813254601</v>
      </c>
      <c r="AI3109">
        <v>92.1493245160638</v>
      </c>
      <c r="AJ3109">
        <v>82.462867348054104</v>
      </c>
      <c r="AK3109">
        <v>29.587096867326299</v>
      </c>
      <c r="AL3109">
        <v>87.131412010819105</v>
      </c>
      <c r="AM3109">
        <v>84.309840279795907</v>
      </c>
      <c r="AN3109">
        <v>0.99999996821319603</v>
      </c>
    </row>
    <row r="3110" spans="1:40" x14ac:dyDescent="0.25">
      <c r="A3110" t="str">
        <f>"20190312151333017"</f>
        <v>20190312151333017</v>
      </c>
      <c r="B3110" t="str">
        <f>"1552374813013660"</f>
        <v>1552374813013660</v>
      </c>
      <c r="C3110" t="s">
        <v>40</v>
      </c>
      <c r="D3110">
        <v>4.6692689999999999</v>
      </c>
      <c r="E3110">
        <v>0.51175590000000004</v>
      </c>
      <c r="F3110" t="s">
        <v>55</v>
      </c>
      <c r="G3110">
        <v>-294.41969999999998</v>
      </c>
      <c r="H3110" s="1">
        <v>1.6783920000000001E-6</v>
      </c>
      <c r="I3110">
        <v>210.1653</v>
      </c>
      <c r="J3110">
        <v>-323.83069999999998</v>
      </c>
      <c r="K3110">
        <v>1.1096360000000001</v>
      </c>
      <c r="L3110">
        <v>214.2362</v>
      </c>
      <c r="M3110">
        <v>0.99991940000000001</v>
      </c>
      <c r="N3110">
        <v>0</v>
      </c>
      <c r="O3110">
        <v>-5.9426660000000001E-3</v>
      </c>
      <c r="P3110">
        <v>0.99374450000000003</v>
      </c>
      <c r="Q3110">
        <v>3.9237090000000002E-2</v>
      </c>
      <c r="R3110">
        <v>-0.1045601</v>
      </c>
      <c r="S3110">
        <v>2.9802249999999999</v>
      </c>
      <c r="T3110">
        <v>-0.1111408</v>
      </c>
      <c r="U3110">
        <v>-0.40794370000000002</v>
      </c>
      <c r="V3110">
        <v>9.8654179999999994E-2</v>
      </c>
      <c r="W3110">
        <v>5.0397320000000002E-2</v>
      </c>
      <c r="X3110">
        <v>0.99384479999999997</v>
      </c>
      <c r="Y3110">
        <v>0.12964400000000001</v>
      </c>
      <c r="Z3110">
        <v>-2.1848449999999999E-3</v>
      </c>
      <c r="AA3110">
        <v>0.99155819999999995</v>
      </c>
      <c r="AB3110">
        <v>34</v>
      </c>
      <c r="AC3110">
        <v>29.410999999999898</v>
      </c>
      <c r="AD3110">
        <v>-1.109634321608</v>
      </c>
      <c r="AE3110">
        <v>-4.0708999999999902</v>
      </c>
      <c r="AF3110">
        <v>3.8906034093566602</v>
      </c>
      <c r="AG3110">
        <v>-1.109634321608</v>
      </c>
      <c r="AH3110">
        <v>29.393620495618698</v>
      </c>
      <c r="AI3110">
        <v>92.143262549508194</v>
      </c>
      <c r="AJ3110">
        <v>82.460035160264695</v>
      </c>
      <c r="AK3110">
        <v>29.6707433182427</v>
      </c>
      <c r="AL3110">
        <v>87.111222555381104</v>
      </c>
      <c r="AM3110">
        <v>84.331095289741597</v>
      </c>
      <c r="AN3110">
        <v>1.0000000117908401</v>
      </c>
    </row>
    <row r="3111" spans="1:40" x14ac:dyDescent="0.25">
      <c r="A3111" t="str">
        <f>"20190312151333039"</f>
        <v>20190312151333039</v>
      </c>
      <c r="B3111" t="str">
        <f>"1552374813033181"</f>
        <v>1552374813033181</v>
      </c>
      <c r="C3111" t="s">
        <v>40</v>
      </c>
      <c r="D3111">
        <v>4.77989</v>
      </c>
      <c r="E3111">
        <v>0.51173709999999994</v>
      </c>
      <c r="F3111" t="s">
        <v>55</v>
      </c>
      <c r="G3111">
        <v>-293.29239999999999</v>
      </c>
      <c r="H3111" s="1">
        <v>1.47842E-6</v>
      </c>
      <c r="I3111">
        <v>210.05600000000001</v>
      </c>
      <c r="J3111">
        <v>-323.50790000000001</v>
      </c>
      <c r="K3111">
        <v>1.1096410000000001</v>
      </c>
      <c r="L3111">
        <v>214.23429999999999</v>
      </c>
      <c r="M3111">
        <v>0.99991929999999996</v>
      </c>
      <c r="N3111">
        <v>0</v>
      </c>
      <c r="O3111">
        <v>-5.9423139999999998E-3</v>
      </c>
      <c r="P3111">
        <v>0.9937376</v>
      </c>
      <c r="Q3111">
        <v>4.0115119999999997E-2</v>
      </c>
      <c r="R3111">
        <v>-0.1042898</v>
      </c>
      <c r="S3111">
        <v>2.9802249999999999</v>
      </c>
      <c r="T3111">
        <v>-0.108289</v>
      </c>
      <c r="U3111">
        <v>-0.40794370000000002</v>
      </c>
      <c r="V3111">
        <v>9.8384369999999999E-2</v>
      </c>
      <c r="W3111">
        <v>5.1276420000000003E-2</v>
      </c>
      <c r="X3111">
        <v>0.9938266</v>
      </c>
      <c r="Y3111">
        <v>0.1296486</v>
      </c>
      <c r="Z3111">
        <v>-2.128914E-3</v>
      </c>
      <c r="AA3111">
        <v>0.99155769999999999</v>
      </c>
      <c r="AB3111">
        <v>34</v>
      </c>
      <c r="AC3111">
        <v>30.215499999999999</v>
      </c>
      <c r="AD3111">
        <v>-1.1096395215799999</v>
      </c>
      <c r="AE3111">
        <v>-4.1783000000000001</v>
      </c>
      <c r="AF3111">
        <v>3.9933802318769298</v>
      </c>
      <c r="AG3111">
        <v>-1.1096395215799999</v>
      </c>
      <c r="AH3111">
        <v>30.199831547135201</v>
      </c>
      <c r="AI3111">
        <v>92.086142594289896</v>
      </c>
      <c r="AJ3111">
        <v>82.467372351033404</v>
      </c>
      <c r="AK3111">
        <v>30.482916707879902</v>
      </c>
      <c r="AL3111">
        <v>87.060788684942906</v>
      </c>
      <c r="AM3111">
        <v>84.346395780873706</v>
      </c>
      <c r="AN3111">
        <v>1.00000003318793</v>
      </c>
    </row>
    <row r="3112" spans="1:40" x14ac:dyDescent="0.25">
      <c r="A3112" t="str">
        <f>"20190312151333059"</f>
        <v>20190312151333059</v>
      </c>
      <c r="B3112" t="str">
        <f>"1552374813053676"</f>
        <v>1552374813053676</v>
      </c>
      <c r="C3112" t="s">
        <v>40</v>
      </c>
      <c r="D3112">
        <v>4.6565659999999998</v>
      </c>
      <c r="E3112">
        <v>0.49145820000000001</v>
      </c>
      <c r="F3112" t="s">
        <v>55</v>
      </c>
      <c r="G3112">
        <v>-292.09429999999998</v>
      </c>
      <c r="H3112" s="1">
        <v>1.2659E-6</v>
      </c>
      <c r="I3112">
        <v>209.94319999999999</v>
      </c>
      <c r="J3112">
        <v>-323.1893</v>
      </c>
      <c r="K3112">
        <v>1.109648</v>
      </c>
      <c r="L3112">
        <v>214.23240000000001</v>
      </c>
      <c r="M3112">
        <v>0.99991940000000001</v>
      </c>
      <c r="N3112">
        <v>0</v>
      </c>
      <c r="O3112">
        <v>-5.9422009999999898E-3</v>
      </c>
      <c r="P3112">
        <v>0.99372059999999995</v>
      </c>
      <c r="Q3112">
        <v>4.1134450000000003E-2</v>
      </c>
      <c r="R3112">
        <v>-0.1040568</v>
      </c>
      <c r="S3112">
        <v>2.9803769999999998</v>
      </c>
      <c r="T3112">
        <v>-0.1052773</v>
      </c>
      <c r="U3112">
        <v>-0.40711979999999998</v>
      </c>
      <c r="V3112">
        <v>9.8151619999999995E-2</v>
      </c>
      <c r="W3112">
        <v>5.229644E-2</v>
      </c>
      <c r="X3112">
        <v>0.99379640000000002</v>
      </c>
      <c r="Y3112">
        <v>0.129377399999999</v>
      </c>
      <c r="Z3112">
        <v>-2.0649129999999998E-3</v>
      </c>
      <c r="AA3112">
        <v>0.99159330000000001</v>
      </c>
      <c r="AB3112">
        <v>34</v>
      </c>
      <c r="AC3112">
        <v>31.094999999999999</v>
      </c>
      <c r="AD3112">
        <v>-1.1096467341</v>
      </c>
      <c r="AE3112">
        <v>-4.2892000000000197</v>
      </c>
      <c r="AF3112">
        <v>4.09921713858422</v>
      </c>
      <c r="AG3112">
        <v>-1.1096467341</v>
      </c>
      <c r="AH3112">
        <v>31.081098071897799</v>
      </c>
      <c r="AI3112">
        <v>92.027146257254103</v>
      </c>
      <c r="AJ3112">
        <v>82.486749179713797</v>
      </c>
      <c r="AK3112">
        <v>31.369882919429202</v>
      </c>
      <c r="AL3112">
        <v>87.002267132924203</v>
      </c>
      <c r="AM3112">
        <v>84.359513994290396</v>
      </c>
      <c r="AN3112">
        <v>0.999999971399128</v>
      </c>
    </row>
    <row r="3113" spans="1:40" x14ac:dyDescent="0.25">
      <c r="A3113" t="str">
        <f>"20190312151333082"</f>
        <v>20190312151333082</v>
      </c>
      <c r="B3113" t="str">
        <f>"1552374813073195"</f>
        <v>1552374813073195</v>
      </c>
      <c r="C3113" t="s">
        <v>40</v>
      </c>
      <c r="D3113">
        <v>4.679888</v>
      </c>
      <c r="E3113">
        <v>0.49066860000000001</v>
      </c>
      <c r="F3113" t="s">
        <v>55</v>
      </c>
      <c r="G3113">
        <v>-299.85140000000001</v>
      </c>
      <c r="H3113" s="1">
        <v>2.6418939999999999E-6</v>
      </c>
      <c r="I3113">
        <v>212.31970000000001</v>
      </c>
      <c r="J3113">
        <v>-322.8329</v>
      </c>
      <c r="K3113">
        <v>1.1096429999999999</v>
      </c>
      <c r="L3113">
        <v>214.2303</v>
      </c>
      <c r="M3113">
        <v>0.99991940000000001</v>
      </c>
      <c r="N3113">
        <v>0</v>
      </c>
      <c r="O3113">
        <v>-5.9418519999999897E-3</v>
      </c>
      <c r="P3113">
        <v>0.99372490000000002</v>
      </c>
      <c r="Q3113">
        <v>4.2280850000000002E-2</v>
      </c>
      <c r="R3113">
        <v>-0.1035532</v>
      </c>
      <c r="S3113">
        <v>2.9991460000000001</v>
      </c>
      <c r="T3113">
        <v>-0.14260049999999999</v>
      </c>
      <c r="U3113">
        <v>-0.24580379999999999</v>
      </c>
      <c r="V3113">
        <v>9.7648550000000001E-2</v>
      </c>
      <c r="W3113">
        <v>5.3444489999999997E-2</v>
      </c>
      <c r="X3113">
        <v>0.99378489999999997</v>
      </c>
      <c r="Y3113">
        <v>7.5682009999999994E-2</v>
      </c>
      <c r="Z3113">
        <v>-1.5133220000000001E-3</v>
      </c>
      <c r="AA3113">
        <v>0.99713090000000004</v>
      </c>
      <c r="AB3113">
        <v>34</v>
      </c>
      <c r="AC3113">
        <v>22.981499999999901</v>
      </c>
      <c r="AD3113">
        <v>-1.1096403581059999</v>
      </c>
      <c r="AE3113">
        <v>-1.9105999999999801</v>
      </c>
      <c r="AF3113">
        <v>1.76990704864524</v>
      </c>
      <c r="AG3113">
        <v>-1.1096403581059999</v>
      </c>
      <c r="AH3113">
        <v>22.939334919550099</v>
      </c>
      <c r="AI3113">
        <v>92.7612059647808</v>
      </c>
      <c r="AJ3113">
        <v>85.588028561582902</v>
      </c>
      <c r="AK3113">
        <v>23.034256211922099</v>
      </c>
      <c r="AL3113">
        <v>86.9363966372634</v>
      </c>
      <c r="AM3113">
        <v>84.388174424485797</v>
      </c>
      <c r="AN3113">
        <v>0.99999999014823604</v>
      </c>
    </row>
    <row r="3114" spans="1:40" x14ac:dyDescent="0.25">
      <c r="A3114" t="str">
        <f>"20190312151333104"</f>
        <v>20190312151333104</v>
      </c>
      <c r="B3114" t="str">
        <f>"1552374813093691"</f>
        <v>1552374813093691</v>
      </c>
      <c r="C3114" t="s">
        <v>40</v>
      </c>
      <c r="D3114">
        <v>4.6486960000000002</v>
      </c>
      <c r="E3114">
        <v>0.49106680000000003</v>
      </c>
      <c r="F3114" t="s">
        <v>55</v>
      </c>
      <c r="G3114">
        <v>-299.41660000000002</v>
      </c>
      <c r="H3114" s="1">
        <v>2.5647519999999999E-6</v>
      </c>
      <c r="I3114">
        <v>212.37299999999999</v>
      </c>
      <c r="J3114">
        <v>-322.51029999999997</v>
      </c>
      <c r="K3114">
        <v>1.1096410000000001</v>
      </c>
      <c r="L3114">
        <v>214.22839999999999</v>
      </c>
      <c r="M3114">
        <v>0.99991920000000001</v>
      </c>
      <c r="N3114">
        <v>0</v>
      </c>
      <c r="O3114">
        <v>-5.9412629999999996E-3</v>
      </c>
      <c r="P3114">
        <v>0.99374010000000002</v>
      </c>
      <c r="Q3114">
        <v>4.2529549999999999E-2</v>
      </c>
      <c r="R3114">
        <v>-0.10330499999999999</v>
      </c>
      <c r="S3114">
        <v>3.0002140000000002</v>
      </c>
      <c r="T3114">
        <v>-0.14217279999999999</v>
      </c>
      <c r="U3114">
        <v>-0.2379608</v>
      </c>
      <c r="V3114">
        <v>9.7400520000000004E-2</v>
      </c>
      <c r="W3114">
        <v>5.3694470000000001E-2</v>
      </c>
      <c r="X3114">
        <v>0.99379580000000001</v>
      </c>
      <c r="Y3114">
        <v>7.3067049999999995E-2</v>
      </c>
      <c r="Z3114">
        <v>-1.44661299999999E-3</v>
      </c>
      <c r="AA3114">
        <v>0.99732600000000005</v>
      </c>
      <c r="AB3114">
        <v>34</v>
      </c>
      <c r="AC3114">
        <v>23.093699999999899</v>
      </c>
      <c r="AD3114">
        <v>-1.109638435248</v>
      </c>
      <c r="AE3114">
        <v>-1.8553999999999999</v>
      </c>
      <c r="AF3114">
        <v>1.7142205234850301</v>
      </c>
      <c r="AG3114">
        <v>-1.109638435248</v>
      </c>
      <c r="AH3114">
        <v>23.051437908494499</v>
      </c>
      <c r="AI3114">
        <v>92.748370502379402</v>
      </c>
      <c r="AJ3114">
        <v>85.747026842322299</v>
      </c>
      <c r="AK3114">
        <v>23.141707782903499</v>
      </c>
      <c r="AL3114">
        <v>86.922053349402105</v>
      </c>
      <c r="AM3114">
        <v>84.402398977509606</v>
      </c>
      <c r="AN3114">
        <v>1.0000000247512399</v>
      </c>
    </row>
    <row r="3115" spans="1:40" x14ac:dyDescent="0.25">
      <c r="A3115" t="str">
        <f>"20190312151333128"</f>
        <v>20190312151333128</v>
      </c>
      <c r="B3115" t="str">
        <f>"1552374813122971"</f>
        <v>1552374813122971</v>
      </c>
      <c r="C3115" t="s">
        <v>40</v>
      </c>
      <c r="D3115">
        <v>4.6065180000000003</v>
      </c>
      <c r="E3115">
        <v>0.49058010000000002</v>
      </c>
      <c r="F3115" t="s">
        <v>55</v>
      </c>
      <c r="G3115">
        <v>-299.55889999999999</v>
      </c>
      <c r="H3115" s="1">
        <v>2.5900030000000001E-6</v>
      </c>
      <c r="I3115">
        <v>212.3913</v>
      </c>
      <c r="J3115">
        <v>-322.14010000000002</v>
      </c>
      <c r="K3115">
        <v>1.109642</v>
      </c>
      <c r="L3115">
        <v>214.22620000000001</v>
      </c>
      <c r="M3115">
        <v>0.99991920000000001</v>
      </c>
      <c r="N3115">
        <v>0</v>
      </c>
      <c r="O3115">
        <v>-5.9407959999999999E-3</v>
      </c>
      <c r="P3115">
        <v>0.99372830000000001</v>
      </c>
      <c r="Q3115">
        <v>4.2724770000000002E-2</v>
      </c>
      <c r="R3115">
        <v>-0.1033361</v>
      </c>
      <c r="S3115">
        <v>3.0001530000000001</v>
      </c>
      <c r="T3115">
        <v>-0.14504929999999999</v>
      </c>
      <c r="U3115">
        <v>-0.24014279999999999</v>
      </c>
      <c r="V3115">
        <v>9.7432459999999999E-2</v>
      </c>
      <c r="W3115">
        <v>5.3891120000000001E-2</v>
      </c>
      <c r="X3115">
        <v>0.99378200000000005</v>
      </c>
      <c r="Y3115">
        <v>7.3785980000000001E-2</v>
      </c>
      <c r="Z3115">
        <v>-1.4931979999999901E-3</v>
      </c>
      <c r="AA3115">
        <v>0.99727299999999997</v>
      </c>
      <c r="AB3115">
        <v>34</v>
      </c>
      <c r="AC3115">
        <v>22.581199999999999</v>
      </c>
      <c r="AD3115">
        <v>-1.1096394099969999</v>
      </c>
      <c r="AE3115">
        <v>-1.8349</v>
      </c>
      <c r="AF3115">
        <v>1.6966387796639399</v>
      </c>
      <c r="AG3115">
        <v>-1.1096394099969999</v>
      </c>
      <c r="AH3115">
        <v>22.537637455701201</v>
      </c>
      <c r="AI3115">
        <v>92.810738303831698</v>
      </c>
      <c r="AJ3115">
        <v>85.694880190997395</v>
      </c>
      <c r="AK3115">
        <v>22.6286319704374</v>
      </c>
      <c r="AL3115">
        <v>86.910769721778394</v>
      </c>
      <c r="AM3115">
        <v>84.400497789981799</v>
      </c>
      <c r="AN3115">
        <v>1.00000000030025</v>
      </c>
    </row>
    <row r="3116" spans="1:40" x14ac:dyDescent="0.25">
      <c r="A3116" t="str">
        <f>"20190312151333149"</f>
        <v>20190312151333149</v>
      </c>
      <c r="B3116" t="str">
        <f>"1552374813143467"</f>
        <v>1552374813143467</v>
      </c>
      <c r="C3116" t="s">
        <v>40</v>
      </c>
      <c r="D3116">
        <v>4.9427130000000004</v>
      </c>
      <c r="E3116">
        <v>0.49021609999999999</v>
      </c>
      <c r="F3116" t="s">
        <v>55</v>
      </c>
      <c r="G3116">
        <v>-299.57479999999998</v>
      </c>
      <c r="H3116" s="1">
        <v>2.5928279999999999E-6</v>
      </c>
      <c r="I3116">
        <v>212.4479</v>
      </c>
      <c r="J3116">
        <v>-321.8202</v>
      </c>
      <c r="K3116">
        <v>1.109645</v>
      </c>
      <c r="L3116">
        <v>214.2243</v>
      </c>
      <c r="M3116">
        <v>0.99991920000000001</v>
      </c>
      <c r="N3116">
        <v>0</v>
      </c>
      <c r="O3116">
        <v>-5.9403269999999996E-3</v>
      </c>
      <c r="P3116">
        <v>0.99372079999999996</v>
      </c>
      <c r="Q3116">
        <v>4.3060870000000001E-2</v>
      </c>
      <c r="R3116">
        <v>-0.10327160000000001</v>
      </c>
      <c r="S3116">
        <v>3.0006710000000001</v>
      </c>
      <c r="T3116">
        <v>-0.14755699999999999</v>
      </c>
      <c r="U3116">
        <v>-0.2364655</v>
      </c>
      <c r="V3116">
        <v>9.7368289999999996E-2</v>
      </c>
      <c r="W3116">
        <v>5.4228220000000001E-2</v>
      </c>
      <c r="X3116">
        <v>0.99376989999999998</v>
      </c>
      <c r="Y3116">
        <v>7.2556910000000002E-2</v>
      </c>
      <c r="Z3116">
        <v>-1.4886630000000001E-3</v>
      </c>
      <c r="AA3116">
        <v>0.99736320000000001</v>
      </c>
      <c r="AB3116">
        <v>34</v>
      </c>
      <c r="AC3116">
        <v>22.2454</v>
      </c>
      <c r="AD3116">
        <v>-1.1096424071719999</v>
      </c>
      <c r="AE3116">
        <v>-1.77639999999999</v>
      </c>
      <c r="AF3116">
        <v>1.64016016609835</v>
      </c>
      <c r="AG3116">
        <v>-1.1096424071719999</v>
      </c>
      <c r="AH3116">
        <v>22.200670781955001</v>
      </c>
      <c r="AI3116">
        <v>92.853634119560596</v>
      </c>
      <c r="AJ3116">
        <v>85.774729478586707</v>
      </c>
      <c r="AK3116">
        <v>22.288813669888299</v>
      </c>
      <c r="AL3116">
        <v>86.891426869930797</v>
      </c>
      <c r="AM3116">
        <v>84.404094562414002</v>
      </c>
      <c r="AN3116">
        <v>0.99999994894394995</v>
      </c>
    </row>
    <row r="3117" spans="1:40" x14ac:dyDescent="0.25">
      <c r="A3117" t="str">
        <f>"20190312151333171"</f>
        <v>20190312151333171</v>
      </c>
      <c r="B3117" t="str">
        <f>"1552374813162988"</f>
        <v>1552374813162988</v>
      </c>
      <c r="C3117" t="s">
        <v>40</v>
      </c>
      <c r="D3117">
        <v>4.8565480000000001</v>
      </c>
      <c r="E3117">
        <v>0.49014940000000001</v>
      </c>
      <c r="F3117" t="s">
        <v>55</v>
      </c>
      <c r="G3117">
        <v>-298.99459999999999</v>
      </c>
      <c r="H3117" s="1">
        <v>2.4899099999999999E-6</v>
      </c>
      <c r="I3117">
        <v>212.4469</v>
      </c>
      <c r="J3117">
        <v>-321.4896</v>
      </c>
      <c r="K3117">
        <v>1.1096469999999901</v>
      </c>
      <c r="L3117">
        <v>214.22229999999999</v>
      </c>
      <c r="M3117">
        <v>0.99991920000000001</v>
      </c>
      <c r="N3117">
        <v>0</v>
      </c>
      <c r="O3117">
        <v>-5.9399780000000003E-3</v>
      </c>
      <c r="P3117">
        <v>0.99368460000000003</v>
      </c>
      <c r="Q3117">
        <v>4.3153709999999998E-2</v>
      </c>
      <c r="R3117">
        <v>-0.1035798</v>
      </c>
      <c r="S3117">
        <v>3.001007</v>
      </c>
      <c r="T3117">
        <v>-0.145891299999999</v>
      </c>
      <c r="U3117">
        <v>-0.23368839999999999</v>
      </c>
      <c r="V3117">
        <v>9.7677230000000004E-2</v>
      </c>
      <c r="W3117">
        <v>5.4322500000000003E-2</v>
      </c>
      <c r="X3117">
        <v>0.99373449999999997</v>
      </c>
      <c r="Y3117">
        <v>7.1634050000000005E-2</v>
      </c>
      <c r="Z3117">
        <v>-1.4493990000000001E-3</v>
      </c>
      <c r="AA3117">
        <v>0.99742989999999998</v>
      </c>
      <c r="AB3117">
        <v>34</v>
      </c>
      <c r="AC3117">
        <v>22.495000000000001</v>
      </c>
      <c r="AD3117">
        <v>-1.1096445100900001</v>
      </c>
      <c r="AE3117">
        <v>-1.7753999999999901</v>
      </c>
      <c r="AF3117">
        <v>1.6377798897948299</v>
      </c>
      <c r="AG3117">
        <v>-1.1096445100900001</v>
      </c>
      <c r="AH3117">
        <v>22.450858099534901</v>
      </c>
      <c r="AI3117">
        <v>92.822082077427396</v>
      </c>
      <c r="AJ3117">
        <v>85.827689636039096</v>
      </c>
      <c r="AK3117">
        <v>22.537849571590499</v>
      </c>
      <c r="AL3117">
        <v>86.886017258157096</v>
      </c>
      <c r="AM3117">
        <v>84.386253837365899</v>
      </c>
      <c r="AN3117">
        <v>1.0000000158784801</v>
      </c>
    </row>
    <row r="3118" spans="1:40" x14ac:dyDescent="0.25">
      <c r="A3118" t="str">
        <f>"20190312151333193"</f>
        <v>20190312151333193</v>
      </c>
      <c r="B3118" t="str">
        <f>"1552374813183483"</f>
        <v>1552374813183483</v>
      </c>
      <c r="C3118" t="s">
        <v>40</v>
      </c>
      <c r="D3118">
        <v>4.644952</v>
      </c>
      <c r="E3118">
        <v>0.49007240000000002</v>
      </c>
      <c r="F3118" t="s">
        <v>55</v>
      </c>
      <c r="G3118">
        <v>-298.90050000000002</v>
      </c>
      <c r="H3118" s="1">
        <v>2.4732069999999999E-6</v>
      </c>
      <c r="I3118">
        <v>212.46109999999999</v>
      </c>
      <c r="J3118">
        <v>-321.15260000000001</v>
      </c>
      <c r="K3118">
        <v>1.1096469999999901</v>
      </c>
      <c r="L3118">
        <v>214.22030000000001</v>
      </c>
      <c r="M3118">
        <v>0.99991920000000001</v>
      </c>
      <c r="N3118">
        <v>0</v>
      </c>
      <c r="O3118">
        <v>-5.9398669999999997E-3</v>
      </c>
      <c r="P3118">
        <v>0.99369589999999997</v>
      </c>
      <c r="Q3118">
        <v>4.3814400000000003E-2</v>
      </c>
      <c r="R3118">
        <v>-0.1031947</v>
      </c>
      <c r="S3118">
        <v>3.0010680000000001</v>
      </c>
      <c r="T3118">
        <v>-0.14742160000000001</v>
      </c>
      <c r="U3118">
        <v>-0.2339783</v>
      </c>
      <c r="V3118">
        <v>9.7292039999999996E-2</v>
      </c>
      <c r="W3118">
        <v>5.4985270000000003E-2</v>
      </c>
      <c r="X3118">
        <v>0.99373579999999995</v>
      </c>
      <c r="Y3118">
        <v>7.172663E-2</v>
      </c>
      <c r="Z3118">
        <v>-1.4668229999999999E-3</v>
      </c>
      <c r="AA3118">
        <v>0.99742319999999995</v>
      </c>
      <c r="AB3118">
        <v>34</v>
      </c>
      <c r="AC3118">
        <v>22.252099999999899</v>
      </c>
      <c r="AD3118">
        <v>-1.10964452679299</v>
      </c>
      <c r="AE3118">
        <v>-1.7592000000000201</v>
      </c>
      <c r="AF3118">
        <v>1.62297529242556</v>
      </c>
      <c r="AG3118">
        <v>-1.10964452679299</v>
      </c>
      <c r="AH3118">
        <v>22.207277343454798</v>
      </c>
      <c r="AI3118">
        <v>92.852957678495997</v>
      </c>
      <c r="AJ3118">
        <v>85.820081632462703</v>
      </c>
      <c r="AK3118">
        <v>22.2941366010166</v>
      </c>
      <c r="AL3118">
        <v>86.847986380581105</v>
      </c>
      <c r="AM3118">
        <v>84.408258327525601</v>
      </c>
      <c r="AN3118">
        <v>0.999999980582987</v>
      </c>
    </row>
    <row r="3119" spans="1:40" x14ac:dyDescent="0.25">
      <c r="A3119" t="str">
        <f>"20190312151333216"</f>
        <v>20190312151333216</v>
      </c>
      <c r="B3119" t="str">
        <f>"1552374813203004"</f>
        <v>1552374813203004</v>
      </c>
      <c r="C3119" t="s">
        <v>40</v>
      </c>
      <c r="D3119">
        <v>4.6500919999999999</v>
      </c>
      <c r="E3119">
        <v>0.48999130000000002</v>
      </c>
      <c r="F3119" t="s">
        <v>55</v>
      </c>
      <c r="G3119">
        <v>-298.4128</v>
      </c>
      <c r="H3119" s="1">
        <v>2.3866940000000002E-6</v>
      </c>
      <c r="I3119">
        <v>212.46039999999999</v>
      </c>
      <c r="J3119">
        <v>-320.80340000000001</v>
      </c>
      <c r="K3119">
        <v>1.109648</v>
      </c>
      <c r="L3119">
        <v>214.2182</v>
      </c>
      <c r="M3119">
        <v>0.99991920000000001</v>
      </c>
      <c r="N3119">
        <v>0</v>
      </c>
      <c r="O3119">
        <v>-5.9395200000000002E-3</v>
      </c>
      <c r="P3119">
        <v>0.99370020000000003</v>
      </c>
      <c r="Q3119">
        <v>4.4183510000000002E-2</v>
      </c>
      <c r="R3119">
        <v>-0.1029948</v>
      </c>
      <c r="S3119">
        <v>3.001404</v>
      </c>
      <c r="T3119">
        <v>-0.14646029999999999</v>
      </c>
      <c r="U3119">
        <v>-0.2322845</v>
      </c>
      <c r="V3119">
        <v>9.7092639999999994E-2</v>
      </c>
      <c r="W3119">
        <v>5.5355679999999997E-2</v>
      </c>
      <c r="X3119">
        <v>0.99373480000000003</v>
      </c>
      <c r="Y3119">
        <v>7.1160539999999994E-2</v>
      </c>
      <c r="Z3119">
        <v>-1.443373E-3</v>
      </c>
      <c r="AA3119">
        <v>0.99746380000000001</v>
      </c>
      <c r="AB3119">
        <v>34</v>
      </c>
      <c r="AC3119">
        <v>22.390599999999999</v>
      </c>
      <c r="AD3119">
        <v>-1.109645613306</v>
      </c>
      <c r="AE3119">
        <v>-1.7578</v>
      </c>
      <c r="AF3119">
        <v>1.6208147562175199</v>
      </c>
      <c r="AG3119">
        <v>-1.109645613306</v>
      </c>
      <c r="AH3119">
        <v>22.346099203686101</v>
      </c>
      <c r="AI3119">
        <v>92.835378778367399</v>
      </c>
      <c r="AJ3119">
        <v>85.851468199198393</v>
      </c>
      <c r="AK3119">
        <v>22.432264787178401</v>
      </c>
      <c r="AL3119">
        <v>86.826731273788894</v>
      </c>
      <c r="AM3119">
        <v>84.419640609824299</v>
      </c>
      <c r="AN3119">
        <v>1.00000004239073</v>
      </c>
    </row>
    <row r="3120" spans="1:40" x14ac:dyDescent="0.25">
      <c r="A3120" t="str">
        <f>"20190312151333240"</f>
        <v>20190312151333240</v>
      </c>
      <c r="B3120" t="str">
        <f>"1552374813233259"</f>
        <v>1552374813233259</v>
      </c>
      <c r="C3120" t="s">
        <v>40</v>
      </c>
      <c r="D3120">
        <v>5.2481679999999997</v>
      </c>
      <c r="E3120">
        <v>0.48989179999999999</v>
      </c>
      <c r="F3120" t="s">
        <v>55</v>
      </c>
      <c r="G3120">
        <v>-298.03910000000002</v>
      </c>
      <c r="H3120" s="1">
        <v>2.3204050000000002E-6</v>
      </c>
      <c r="I3120">
        <v>212.46629999999999</v>
      </c>
      <c r="J3120">
        <v>-320.44819999999999</v>
      </c>
      <c r="K3120">
        <v>1.1096520000000001</v>
      </c>
      <c r="L3120">
        <v>214.21610000000001</v>
      </c>
      <c r="M3120">
        <v>0.99991920000000001</v>
      </c>
      <c r="N3120">
        <v>0</v>
      </c>
      <c r="O3120">
        <v>-5.9391720000000004E-3</v>
      </c>
      <c r="P3120">
        <v>0.99363650000000003</v>
      </c>
      <c r="Q3120">
        <v>4.5080090000000003E-2</v>
      </c>
      <c r="R3120">
        <v>-0.1032204</v>
      </c>
      <c r="S3120">
        <v>3.0015260000000001</v>
      </c>
      <c r="T3120">
        <v>-0.1463091</v>
      </c>
      <c r="U3120">
        <v>-0.23098750000000001</v>
      </c>
      <c r="V3120">
        <v>9.7318859999999993E-2</v>
      </c>
      <c r="W3120">
        <v>5.6253589999999999E-2</v>
      </c>
      <c r="X3120">
        <v>0.99366220000000005</v>
      </c>
      <c r="Y3120">
        <v>7.0730000000000001E-2</v>
      </c>
      <c r="Z3120">
        <v>-1.4313959999999999E-3</v>
      </c>
      <c r="AA3120">
        <v>0.99749449999999995</v>
      </c>
      <c r="AB3120">
        <v>34</v>
      </c>
      <c r="AC3120">
        <v>22.409099999999899</v>
      </c>
      <c r="AD3120">
        <v>-1.1096496795949999</v>
      </c>
      <c r="AE3120">
        <v>-1.74980000000002</v>
      </c>
      <c r="AF3120">
        <v>1.6127387355360101</v>
      </c>
      <c r="AG3120">
        <v>-1.1096496795949999</v>
      </c>
      <c r="AH3120">
        <v>22.3645917780823</v>
      </c>
      <c r="AI3120">
        <v>92.833134167570805</v>
      </c>
      <c r="AJ3120">
        <v>85.875468894364303</v>
      </c>
      <c r="AK3120">
        <v>22.450104989527102</v>
      </c>
      <c r="AL3120">
        <v>86.775204381538003</v>
      </c>
      <c r="AM3120">
        <v>84.406314990608806</v>
      </c>
      <c r="AN3120">
        <v>0.99999999730421296</v>
      </c>
    </row>
    <row r="3121" spans="1:40" x14ac:dyDescent="0.25">
      <c r="A3121" t="str">
        <f>"20190312151333261"</f>
        <v>20190312151333261</v>
      </c>
      <c r="B3121" t="str">
        <f>"1552374813253756"</f>
        <v>1552374813253756</v>
      </c>
      <c r="C3121" t="s">
        <v>40</v>
      </c>
      <c r="D3121">
        <v>4.6573669999999998</v>
      </c>
      <c r="E3121">
        <v>0.48987619999999998</v>
      </c>
      <c r="F3121" t="s">
        <v>55</v>
      </c>
      <c r="G3121">
        <v>-297.33539999999999</v>
      </c>
      <c r="H3121" s="1">
        <v>2.1955840000000002E-6</v>
      </c>
      <c r="I3121">
        <v>212.4391</v>
      </c>
      <c r="J3121">
        <v>-320.12020000000001</v>
      </c>
      <c r="K3121">
        <v>1.109659</v>
      </c>
      <c r="L3121">
        <v>214.2141</v>
      </c>
      <c r="M3121">
        <v>0.99991920000000001</v>
      </c>
      <c r="N3121">
        <v>0</v>
      </c>
      <c r="O3121">
        <v>-5.9390600000000003E-3</v>
      </c>
      <c r="P3121">
        <v>0.99361089999999996</v>
      </c>
      <c r="Q3121">
        <v>4.570461E-2</v>
      </c>
      <c r="R3121">
        <v>-0.1031946</v>
      </c>
      <c r="S3121">
        <v>3.00177</v>
      </c>
      <c r="T3121">
        <v>-0.14411570000000001</v>
      </c>
      <c r="U3121">
        <v>-0.2307892</v>
      </c>
      <c r="V3121">
        <v>9.7293260000000006E-2</v>
      </c>
      <c r="W3121">
        <v>5.6879150000000003E-2</v>
      </c>
      <c r="X3121">
        <v>0.99362910000000004</v>
      </c>
      <c r="Y3121">
        <v>7.0660719999999996E-2</v>
      </c>
      <c r="Z3121">
        <v>-1.408196E-3</v>
      </c>
      <c r="AA3121">
        <v>0.99749940000000004</v>
      </c>
      <c r="AB3121">
        <v>34</v>
      </c>
      <c r="AC3121">
        <v>22.784800000000001</v>
      </c>
      <c r="AD3121">
        <v>-1.109656804416</v>
      </c>
      <c r="AE3121">
        <v>-1.7749999999999999</v>
      </c>
      <c r="AF3121">
        <v>1.6357834233223101</v>
      </c>
      <c r="AG3121">
        <v>-1.109656804416</v>
      </c>
      <c r="AH3121">
        <v>22.7413269991102</v>
      </c>
      <c r="AI3121">
        <v>92.786328740494</v>
      </c>
      <c r="AJ3121">
        <v>85.885800907098201</v>
      </c>
      <c r="AK3121">
        <v>22.8270690039712</v>
      </c>
      <c r="AL3121">
        <v>86.739304968489407</v>
      </c>
      <c r="AM3121">
        <v>84.407591988388305</v>
      </c>
      <c r="AN3121">
        <v>1.0000000022564799</v>
      </c>
    </row>
    <row r="3122" spans="1:40" x14ac:dyDescent="0.25">
      <c r="A3122" t="str">
        <f>"20190312151333284"</f>
        <v>20190312151333284</v>
      </c>
      <c r="B3122" t="str">
        <f>"1552374813273275"</f>
        <v>1552374813273275</v>
      </c>
      <c r="C3122" t="s">
        <v>40</v>
      </c>
      <c r="D3122">
        <v>4.6280359999999998</v>
      </c>
      <c r="E3122">
        <v>0.48990939999999999</v>
      </c>
      <c r="F3122" t="s">
        <v>55</v>
      </c>
      <c r="G3122">
        <v>-296.52159999999998</v>
      </c>
      <c r="H3122" s="1">
        <v>2.0512279999999999E-6</v>
      </c>
      <c r="I3122">
        <v>212.40260000000001</v>
      </c>
      <c r="J3122">
        <v>-319.77359999999999</v>
      </c>
      <c r="K3122">
        <v>1.1096569999999999</v>
      </c>
      <c r="L3122">
        <v>214.21209999999999</v>
      </c>
      <c r="M3122">
        <v>0.99991920000000001</v>
      </c>
      <c r="N3122">
        <v>0</v>
      </c>
      <c r="O3122">
        <v>-5.9384719999999898E-3</v>
      </c>
      <c r="P3122">
        <v>0.99351429999999996</v>
      </c>
      <c r="Q3122">
        <v>4.6589119999999998E-2</v>
      </c>
      <c r="R3122">
        <v>-0.1037276</v>
      </c>
      <c r="S3122">
        <v>3.0018310000000001</v>
      </c>
      <c r="T3122">
        <v>-0.1411521</v>
      </c>
      <c r="U3122">
        <v>-0.23043820000000001</v>
      </c>
      <c r="V3122">
        <v>9.7827369999999997E-2</v>
      </c>
      <c r="W3122">
        <v>5.7763660000000001E-2</v>
      </c>
      <c r="X3122">
        <v>0.99352560000000001</v>
      </c>
      <c r="Y3122">
        <v>7.0546960000000006E-2</v>
      </c>
      <c r="Z3122">
        <v>-1.376607E-3</v>
      </c>
      <c r="AA3122">
        <v>0.99750749999999999</v>
      </c>
      <c r="AB3122">
        <v>34</v>
      </c>
      <c r="AC3122">
        <v>23.251999999999999</v>
      </c>
      <c r="AD3122">
        <v>-1.109654948772</v>
      </c>
      <c r="AE3122">
        <v>-1.8094999999999799</v>
      </c>
      <c r="AF3122">
        <v>1.66760293961591</v>
      </c>
      <c r="AG3122">
        <v>-1.109654948772</v>
      </c>
      <c r="AH3122">
        <v>23.209794563758301</v>
      </c>
      <c r="AI3122">
        <v>92.730186530145801</v>
      </c>
      <c r="AJ3122">
        <v>85.890411514041304</v>
      </c>
      <c r="AK3122">
        <v>23.2960682811803</v>
      </c>
      <c r="AL3122">
        <v>86.688542726603998</v>
      </c>
      <c r="AM3122">
        <v>84.376505593188696</v>
      </c>
      <c r="AN3122">
        <v>0.99999997629653603</v>
      </c>
    </row>
    <row r="3123" spans="1:40" x14ac:dyDescent="0.25">
      <c r="A3123" t="str">
        <f>"20190312151333305"</f>
        <v>20190312151333305</v>
      </c>
      <c r="B3123" t="str">
        <f>"1552374813293772"</f>
        <v>1552374813293772</v>
      </c>
      <c r="C3123" t="s">
        <v>40</v>
      </c>
      <c r="D3123">
        <v>4.650512</v>
      </c>
      <c r="E3123">
        <v>0.48991790000000002</v>
      </c>
      <c r="F3123" t="s">
        <v>55</v>
      </c>
      <c r="G3123">
        <v>-295.7457</v>
      </c>
      <c r="H3123" s="1">
        <v>1.9136019999999998E-6</v>
      </c>
      <c r="I3123">
        <v>212.35169999999999</v>
      </c>
      <c r="J3123">
        <v>-319.4434</v>
      </c>
      <c r="K3123">
        <v>1.109669</v>
      </c>
      <c r="L3123">
        <v>214.21010000000001</v>
      </c>
      <c r="M3123">
        <v>0.99991920000000001</v>
      </c>
      <c r="N3123">
        <v>0</v>
      </c>
      <c r="O3123">
        <v>-5.9382410000000004E-3</v>
      </c>
      <c r="P3123">
        <v>0.99343040000000005</v>
      </c>
      <c r="Q3123">
        <v>4.7726329999999997E-2</v>
      </c>
      <c r="R3123">
        <v>-0.1040126</v>
      </c>
      <c r="S3123">
        <v>3.0018310000000001</v>
      </c>
      <c r="T3123">
        <v>-0.13863029999999901</v>
      </c>
      <c r="U3123">
        <v>-0.23242189999999999</v>
      </c>
      <c r="V3123">
        <v>9.8113270000000002E-2</v>
      </c>
      <c r="W3123">
        <v>5.8901839999999997E-2</v>
      </c>
      <c r="X3123">
        <v>0.99343060000000005</v>
      </c>
      <c r="Y3123">
        <v>7.120427E-2</v>
      </c>
      <c r="Z3123">
        <v>-1.3671620000000001E-3</v>
      </c>
      <c r="AA3123">
        <v>0.99746080000000004</v>
      </c>
      <c r="AB3123">
        <v>34</v>
      </c>
      <c r="AC3123">
        <v>23.697700000000001</v>
      </c>
      <c r="AD3123">
        <v>-1.109667086398</v>
      </c>
      <c r="AE3123">
        <v>-1.85840000000001</v>
      </c>
      <c r="AF3123">
        <v>1.71390063985978</v>
      </c>
      <c r="AG3123">
        <v>-1.109667086398</v>
      </c>
      <c r="AH3123">
        <v>23.656764052265899</v>
      </c>
      <c r="AI3123">
        <v>92.678592559029795</v>
      </c>
      <c r="AJ3123">
        <v>85.856237889029202</v>
      </c>
      <c r="AK3123">
        <v>23.7447110294172</v>
      </c>
      <c r="AL3123">
        <v>86.623218652839</v>
      </c>
      <c r="AM3123">
        <v>84.359640910239506</v>
      </c>
      <c r="AN3123">
        <v>0.99999999876091905</v>
      </c>
    </row>
    <row r="3124" spans="1:40" x14ac:dyDescent="0.25">
      <c r="A3124" t="str">
        <f>"20190312151333327"</f>
        <v>20190312151333327</v>
      </c>
      <c r="B3124" t="str">
        <f>"1552374813323051"</f>
        <v>1552374813323051</v>
      </c>
      <c r="C3124" t="s">
        <v>40</v>
      </c>
      <c r="D3124">
        <v>4.6269030000000004</v>
      </c>
      <c r="E3124">
        <v>0.49002590000000001</v>
      </c>
      <c r="F3124" t="s">
        <v>55</v>
      </c>
      <c r="G3124">
        <v>-295.10820000000001</v>
      </c>
      <c r="H3124" s="1">
        <v>1.800523E-6</v>
      </c>
      <c r="I3124">
        <v>212.31809999999999</v>
      </c>
      <c r="J3124">
        <v>-319.10820000000001</v>
      </c>
      <c r="K3124">
        <v>1.1096790000000001</v>
      </c>
      <c r="L3124">
        <v>214.2081</v>
      </c>
      <c r="M3124">
        <v>0.99991909999999895</v>
      </c>
      <c r="N3124">
        <v>0</v>
      </c>
      <c r="O3124">
        <v>-5.9378919999999898E-3</v>
      </c>
      <c r="P3124">
        <v>0.993309</v>
      </c>
      <c r="Q3124">
        <v>4.9290300000000002E-2</v>
      </c>
      <c r="R3124">
        <v>-0.10444000000000001</v>
      </c>
      <c r="S3124">
        <v>3.002014</v>
      </c>
      <c r="T3124">
        <v>-0.1368896</v>
      </c>
      <c r="U3124">
        <v>-0.23339840000000001</v>
      </c>
      <c r="V3124">
        <v>9.8542019999999994E-2</v>
      </c>
      <c r="W3124">
        <v>6.0465459999999999E-2</v>
      </c>
      <c r="X3124">
        <v>0.99329420000000002</v>
      </c>
      <c r="Y3124">
        <v>7.1523859999999995E-2</v>
      </c>
      <c r="Z3124">
        <v>-1.357203E-3</v>
      </c>
      <c r="AA3124">
        <v>0.99743800000000005</v>
      </c>
      <c r="AB3124">
        <v>34</v>
      </c>
      <c r="AC3124">
        <v>24</v>
      </c>
      <c r="AD3124">
        <v>-1.1096771994769901</v>
      </c>
      <c r="AE3124">
        <v>-1.8900000000000099</v>
      </c>
      <c r="AF3124">
        <v>1.74374341979374</v>
      </c>
      <c r="AG3124">
        <v>-1.1096771994769901</v>
      </c>
      <c r="AH3124">
        <v>23.9598939581388</v>
      </c>
      <c r="AI3124">
        <v>92.644713942148499</v>
      </c>
      <c r="AJ3124">
        <v>85.837489725533004</v>
      </c>
      <c r="AK3124">
        <v>24.048878208481302</v>
      </c>
      <c r="AL3124">
        <v>86.533469776290602</v>
      </c>
      <c r="AM3124">
        <v>84.334379956644099</v>
      </c>
      <c r="AN3124">
        <v>0.99999998465616502</v>
      </c>
    </row>
    <row r="3125" spans="1:40" x14ac:dyDescent="0.25">
      <c r="A3125" t="str">
        <f>"20190312151333349"</f>
        <v>20190312151333349</v>
      </c>
      <c r="B3125" t="str">
        <f>"1552374813343548"</f>
        <v>1552374813343548</v>
      </c>
      <c r="C3125" t="s">
        <v>40</v>
      </c>
      <c r="D3125">
        <v>4.6450089999999999</v>
      </c>
      <c r="E3125">
        <v>0.49031239999999998</v>
      </c>
      <c r="F3125" t="s">
        <v>55</v>
      </c>
      <c r="G3125">
        <v>-294.79300000000001</v>
      </c>
      <c r="H3125" s="1">
        <v>1.7446030000000001E-6</v>
      </c>
      <c r="I3125">
        <v>212.2997</v>
      </c>
      <c r="J3125">
        <v>-318.77030000000002</v>
      </c>
      <c r="K3125">
        <v>1.109686</v>
      </c>
      <c r="L3125">
        <v>214.20609999999999</v>
      </c>
      <c r="M3125">
        <v>0.99991909999999895</v>
      </c>
      <c r="N3125">
        <v>0</v>
      </c>
      <c r="O3125">
        <v>-5.9375419999999996E-3</v>
      </c>
      <c r="P3125">
        <v>0.99323810000000001</v>
      </c>
      <c r="Q3125">
        <v>5.0405360000000003E-2</v>
      </c>
      <c r="R3125">
        <v>-0.1045837</v>
      </c>
      <c r="S3125">
        <v>3.0022280000000001</v>
      </c>
      <c r="T3125">
        <v>-0.13701279999999999</v>
      </c>
      <c r="U3125">
        <v>-0.23562620000000001</v>
      </c>
      <c r="V3125">
        <v>9.8686289999999996E-2</v>
      </c>
      <c r="W3125">
        <v>6.1581080000000003E-2</v>
      </c>
      <c r="X3125">
        <v>0.99321130000000002</v>
      </c>
      <c r="Y3125">
        <v>7.2253499999999998E-2</v>
      </c>
      <c r="Z3125">
        <v>-1.3749189999999901E-3</v>
      </c>
      <c r="AA3125">
        <v>0.99738539999999998</v>
      </c>
      <c r="AB3125">
        <v>34</v>
      </c>
      <c r="AC3125">
        <v>23.9773</v>
      </c>
      <c r="AD3125">
        <v>-1.1096842553970001</v>
      </c>
      <c r="AE3125">
        <v>-1.9063999999999901</v>
      </c>
      <c r="AF3125">
        <v>1.7602445811538701</v>
      </c>
      <c r="AG3125">
        <v>-1.1096842553970001</v>
      </c>
      <c r="AH3125">
        <v>23.937248329648899</v>
      </c>
      <c r="AI3125">
        <v>92.647083360325396</v>
      </c>
      <c r="AJ3125">
        <v>85.794279244361803</v>
      </c>
      <c r="AK3125">
        <v>24.027520007845901</v>
      </c>
      <c r="AL3125">
        <v>86.469429983414898</v>
      </c>
      <c r="AM3125">
        <v>84.325668826036804</v>
      </c>
      <c r="AN3125">
        <v>0.99999994984780805</v>
      </c>
    </row>
    <row r="3126" spans="1:40" x14ac:dyDescent="0.25">
      <c r="A3126" t="str">
        <f>"20190312151333372"</f>
        <v>20190312151333372</v>
      </c>
      <c r="B3126" t="str">
        <f>"1552374813363068"</f>
        <v>1552374813363068</v>
      </c>
      <c r="C3126" t="s">
        <v>40</v>
      </c>
      <c r="D3126">
        <v>4.6477199999999996</v>
      </c>
      <c r="E3126">
        <v>0.4896237</v>
      </c>
      <c r="F3126" t="s">
        <v>41</v>
      </c>
      <c r="G3126">
        <v>-317.786</v>
      </c>
      <c r="H3126">
        <v>1.049336</v>
      </c>
      <c r="I3126">
        <v>214.12780000000001</v>
      </c>
      <c r="J3126">
        <v>-318.42090000000002</v>
      </c>
      <c r="K3126">
        <v>1.109696</v>
      </c>
      <c r="L3126">
        <v>214.20400000000001</v>
      </c>
      <c r="M3126">
        <v>0.99991909999999895</v>
      </c>
      <c r="N3126">
        <v>0</v>
      </c>
      <c r="O3126">
        <v>-5.9371939999999998E-3</v>
      </c>
      <c r="P3126">
        <v>0.99313370000000001</v>
      </c>
      <c r="Q3126">
        <v>5.180597E-2</v>
      </c>
      <c r="R3126">
        <v>-0.1048881</v>
      </c>
      <c r="S3126">
        <v>3.0046689999999998</v>
      </c>
      <c r="T3126">
        <v>-0.1843081</v>
      </c>
      <c r="U3126">
        <v>-0.2385864</v>
      </c>
      <c r="V3126">
        <v>9.8991860000000001E-2</v>
      </c>
      <c r="W3126">
        <v>6.2982159999999995E-2</v>
      </c>
      <c r="X3126">
        <v>0.99309309999999995</v>
      </c>
      <c r="Y3126">
        <v>7.3110289999999994E-2</v>
      </c>
      <c r="Z3126">
        <v>-1.873418E-3</v>
      </c>
      <c r="AA3126">
        <v>0.99732209999999999</v>
      </c>
      <c r="AB3126">
        <v>34</v>
      </c>
      <c r="AC3126">
        <v>0.63490000000001601</v>
      </c>
      <c r="AD3126">
        <v>-6.03599999999999E-2</v>
      </c>
      <c r="AE3126">
        <v>-7.6200000000000004E-2</v>
      </c>
      <c r="AF3126">
        <v>7.1789253129145497E-2</v>
      </c>
      <c r="AG3126">
        <v>-6.03599999999999E-2</v>
      </c>
      <c r="AH3126">
        <v>0.629730367459156</v>
      </c>
      <c r="AI3126">
        <v>95.440083362413802</v>
      </c>
      <c r="AJ3126">
        <v>83.496358719928494</v>
      </c>
      <c r="AK3126">
        <v>0.63667681139262799</v>
      </c>
      <c r="AL3126">
        <v>86.388998116914706</v>
      </c>
      <c r="AM3126">
        <v>84.307541144142306</v>
      </c>
      <c r="AN3126">
        <v>1.0000000230460599</v>
      </c>
    </row>
    <row r="3127" spans="1:40" x14ac:dyDescent="0.25">
      <c r="A3127" t="str">
        <f>"20190312151333394"</f>
        <v>20190312151333394</v>
      </c>
      <c r="B3127" t="str">
        <f>"1552374813383565"</f>
        <v>1552374813383565</v>
      </c>
      <c r="C3127" t="s">
        <v>40</v>
      </c>
      <c r="D3127">
        <v>4.6398720000000004</v>
      </c>
      <c r="E3127">
        <v>0.48948930000000002</v>
      </c>
      <c r="F3127" t="s">
        <v>41</v>
      </c>
      <c r="G3127">
        <v>-317.47550000000001</v>
      </c>
      <c r="H3127">
        <v>1.054327</v>
      </c>
      <c r="I3127">
        <v>214.13030000000001</v>
      </c>
      <c r="J3127">
        <v>-318.08240000000001</v>
      </c>
      <c r="K3127">
        <v>1.109704</v>
      </c>
      <c r="L3127">
        <v>214.202</v>
      </c>
      <c r="M3127">
        <v>0.99991909999999895</v>
      </c>
      <c r="N3127">
        <v>0</v>
      </c>
      <c r="O3127">
        <v>-5.9370849999999999E-3</v>
      </c>
      <c r="P3127">
        <v>0.99300469999999996</v>
      </c>
      <c r="Q3127">
        <v>5.3677559999999999E-2</v>
      </c>
      <c r="R3127">
        <v>-0.1051705</v>
      </c>
      <c r="S3127">
        <v>3.005188</v>
      </c>
      <c r="T3127">
        <v>-0.1760912</v>
      </c>
      <c r="U3127">
        <v>-0.23384089999999999</v>
      </c>
      <c r="V3127">
        <v>9.9275119999999994E-2</v>
      </c>
      <c r="W3127">
        <v>6.4854199999999904E-2</v>
      </c>
      <c r="X3127">
        <v>0.9929443</v>
      </c>
      <c r="Y3127">
        <v>7.1545139999999993E-2</v>
      </c>
      <c r="Z3127">
        <v>-1.744104E-3</v>
      </c>
      <c r="AA3127">
        <v>0.99743579999999998</v>
      </c>
      <c r="AB3127">
        <v>34</v>
      </c>
      <c r="AC3127">
        <v>0.606899999999996</v>
      </c>
      <c r="AD3127">
        <v>-5.5377000000000003E-2</v>
      </c>
      <c r="AE3127">
        <v>-7.16999999999927E-2</v>
      </c>
      <c r="AF3127">
        <v>6.7540703284300299E-2</v>
      </c>
      <c r="AG3127">
        <v>-5.5377000000000003E-2</v>
      </c>
      <c r="AH3127">
        <v>0.60236886696977299</v>
      </c>
      <c r="AI3127">
        <v>95.220025567901303</v>
      </c>
      <c r="AJ3127">
        <v>83.602422700438495</v>
      </c>
      <c r="AK3127">
        <v>0.60866789846646796</v>
      </c>
      <c r="AL3127">
        <v>86.281518245001294</v>
      </c>
      <c r="AM3127">
        <v>84.290510075781398</v>
      </c>
      <c r="AN3127">
        <v>0.99999999980557197</v>
      </c>
    </row>
    <row r="3128" spans="1:40" x14ac:dyDescent="0.25">
      <c r="A3128" t="str">
        <f>"20190312151333417"</f>
        <v>20190312151333417</v>
      </c>
      <c r="B3128" t="str">
        <f>"1552374813413820"</f>
        <v>1552374813413820</v>
      </c>
      <c r="C3128" t="s">
        <v>40</v>
      </c>
      <c r="D3128">
        <v>4.6917629999999999</v>
      </c>
      <c r="E3128">
        <v>0.4794717</v>
      </c>
      <c r="F3128" t="s">
        <v>41</v>
      </c>
      <c r="G3128">
        <v>-317.16980000000001</v>
      </c>
      <c r="H3128">
        <v>1.053447</v>
      </c>
      <c r="I3128">
        <v>214.1309</v>
      </c>
      <c r="J3128">
        <v>-317.72890000000001</v>
      </c>
      <c r="K3128">
        <v>1.109702</v>
      </c>
      <c r="L3128">
        <v>214.19990000000001</v>
      </c>
      <c r="M3128">
        <v>0.999919</v>
      </c>
      <c r="N3128">
        <v>0</v>
      </c>
      <c r="O3128">
        <v>-5.9365119999999997E-3</v>
      </c>
      <c r="P3128">
        <v>0.99288399999999999</v>
      </c>
      <c r="Q3128">
        <v>5.5136959999999999E-2</v>
      </c>
      <c r="R3128">
        <v>-0.1055526</v>
      </c>
      <c r="S3128">
        <v>3.0064090000000001</v>
      </c>
      <c r="T3128">
        <v>-0.18541469999999999</v>
      </c>
      <c r="U3128">
        <v>-0.2339783</v>
      </c>
      <c r="V3128">
        <v>9.9658410000000003E-2</v>
      </c>
      <c r="W3128">
        <v>6.6316369999999999E-2</v>
      </c>
      <c r="X3128">
        <v>0.99280930000000001</v>
      </c>
      <c r="Y3128">
        <v>7.1547620000000006E-2</v>
      </c>
      <c r="Z3128">
        <v>-1.8356449999999999E-3</v>
      </c>
      <c r="AA3128">
        <v>0.99743550000000003</v>
      </c>
      <c r="AB3128">
        <v>34</v>
      </c>
      <c r="AC3128">
        <v>0.55910000000000004</v>
      </c>
      <c r="AD3128">
        <v>-5.6254999999999902E-2</v>
      </c>
      <c r="AE3128">
        <v>-6.9000000000016798E-2</v>
      </c>
      <c r="AF3128">
        <v>6.5030986322266296E-2</v>
      </c>
      <c r="AG3128">
        <v>-5.6254999999999902E-2</v>
      </c>
      <c r="AH3128">
        <v>0.55397559479860403</v>
      </c>
      <c r="AI3128">
        <v>95.759106819214594</v>
      </c>
      <c r="AJ3128">
        <v>83.304712237777196</v>
      </c>
      <c r="AK3128">
        <v>0.56060914534059603</v>
      </c>
      <c r="AL3128">
        <v>86.197561241021305</v>
      </c>
      <c r="AM3128">
        <v>84.267838707343003</v>
      </c>
      <c r="AN3128">
        <v>0.99999998289009695</v>
      </c>
    </row>
    <row r="3129" spans="1:40" x14ac:dyDescent="0.25">
      <c r="A3129" t="str">
        <f>"20190312151333441"</f>
        <v>20190312151333441</v>
      </c>
      <c r="B3129" t="str">
        <f>"1552374813433340"</f>
        <v>1552374813433340</v>
      </c>
      <c r="C3129" t="s">
        <v>40</v>
      </c>
      <c r="D3129">
        <v>5.6492879999999897</v>
      </c>
      <c r="E3129">
        <v>0.4794717</v>
      </c>
      <c r="F3129" t="s">
        <v>54</v>
      </c>
      <c r="G3129">
        <v>-269.18200000000002</v>
      </c>
      <c r="H3129" s="1">
        <v>3.4768490000000002E-6</v>
      </c>
      <c r="I3129">
        <v>211.70050000000001</v>
      </c>
      <c r="J3129">
        <v>-317.3639</v>
      </c>
      <c r="K3129">
        <v>1.1097109999999999</v>
      </c>
      <c r="L3129">
        <v>214.1977</v>
      </c>
      <c r="M3129">
        <v>0.999919</v>
      </c>
      <c r="N3129">
        <v>0</v>
      </c>
      <c r="O3129">
        <v>-5.9364459999999997E-3</v>
      </c>
      <c r="P3129">
        <v>0.99282139999999997</v>
      </c>
      <c r="Q3129">
        <v>5.6009469999999999E-2</v>
      </c>
      <c r="R3129">
        <v>-0.1056827</v>
      </c>
      <c r="S3129">
        <v>3.0088499999999998</v>
      </c>
      <c r="T3129">
        <v>-6.8777080000000004E-2</v>
      </c>
      <c r="U3129">
        <v>-0.15490719999999999</v>
      </c>
      <c r="V3129">
        <v>9.9789219999999998E-2</v>
      </c>
      <c r="W3129">
        <v>6.7197489999999999E-2</v>
      </c>
      <c r="X3129">
        <v>0.99273690000000003</v>
      </c>
      <c r="Y3129">
        <v>4.5475590000000003E-2</v>
      </c>
      <c r="Z3129">
        <v>-3.8374269999999998E-4</v>
      </c>
      <c r="AA3129">
        <v>0.9989654</v>
      </c>
      <c r="AB3129">
        <v>34</v>
      </c>
      <c r="AC3129">
        <v>48.181899999999899</v>
      </c>
      <c r="AD3129">
        <v>-1.1097075231510001</v>
      </c>
      <c r="AE3129">
        <v>-2.4971999999999901</v>
      </c>
      <c r="AF3129">
        <v>2.2099394802650698</v>
      </c>
      <c r="AG3129">
        <v>-1.1097075231510001</v>
      </c>
      <c r="AH3129">
        <v>48.170392508600699</v>
      </c>
      <c r="AI3129">
        <v>91.318310673527293</v>
      </c>
      <c r="AJ3129">
        <v>87.373251990988294</v>
      </c>
      <c r="AK3129">
        <v>48.233826281210803</v>
      </c>
      <c r="AL3129">
        <v>86.146963869590607</v>
      </c>
      <c r="AM3129">
        <v>84.259949173729794</v>
      </c>
      <c r="AN3129">
        <v>0.99999997185605805</v>
      </c>
    </row>
    <row r="3130" spans="1:40" x14ac:dyDescent="0.25">
      <c r="A3130" t="str">
        <f>"20190312151333506"</f>
        <v>20190312151333506</v>
      </c>
      <c r="B3130" t="str">
        <f>"1552374813503613"</f>
        <v>1552374813503613</v>
      </c>
      <c r="C3130" t="s">
        <v>40</v>
      </c>
      <c r="D3130">
        <v>4.4926469999999998</v>
      </c>
      <c r="E3130">
        <v>0.4701301</v>
      </c>
      <c r="F3130" t="s">
        <v>54</v>
      </c>
      <c r="G3130">
        <v>-266.83640000000003</v>
      </c>
      <c r="H3130" s="1">
        <v>2.233557E-6</v>
      </c>
      <c r="I3130">
        <v>211.5882</v>
      </c>
      <c r="J3130">
        <v>-316.3673</v>
      </c>
      <c r="K3130">
        <v>1.109747</v>
      </c>
      <c r="L3130">
        <v>214.1918</v>
      </c>
      <c r="M3130">
        <v>0.99991850000000004</v>
      </c>
      <c r="N3130">
        <v>0</v>
      </c>
      <c r="O3130">
        <v>-5.9354990000000003E-3</v>
      </c>
      <c r="P3130">
        <v>0.99245729999999999</v>
      </c>
      <c r="Q3130">
        <v>6.0529260000000001E-2</v>
      </c>
      <c r="R3130">
        <v>-0.1066073</v>
      </c>
      <c r="S3130">
        <v>3.0088499999999998</v>
      </c>
      <c r="T3130">
        <v>-6.6081760000000003E-2</v>
      </c>
      <c r="U3130">
        <v>-0.15539549999999999</v>
      </c>
      <c r="V3130">
        <v>0.1007169</v>
      </c>
      <c r="W3130">
        <v>7.1755990000000006E-2</v>
      </c>
      <c r="X3130">
        <v>0.99232410000000004</v>
      </c>
      <c r="Y3130">
        <v>4.5638970000000001E-2</v>
      </c>
      <c r="Z3130">
        <v>-3.705197E-4</v>
      </c>
      <c r="AA3130">
        <v>0.99895789999999995</v>
      </c>
      <c r="AB3130">
        <v>34</v>
      </c>
      <c r="AC3130">
        <v>49.530899999999903</v>
      </c>
      <c r="AD3130">
        <v>-1.109744766443</v>
      </c>
      <c r="AE3130">
        <v>-2.6036000000000001</v>
      </c>
      <c r="AF3130">
        <v>2.3083891495116999</v>
      </c>
      <c r="AG3130">
        <v>-1.109744766443</v>
      </c>
      <c r="AH3130">
        <v>49.520691722893197</v>
      </c>
      <c r="AI3130">
        <v>91.282375393263607</v>
      </c>
      <c r="AJ3130">
        <v>87.331109922865394</v>
      </c>
      <c r="AK3130">
        <v>49.586884381114899</v>
      </c>
      <c r="AL3130">
        <v>85.885148144922894</v>
      </c>
      <c r="AM3130">
        <v>84.204555199716594</v>
      </c>
      <c r="AN3130">
        <v>0.99999996774364897</v>
      </c>
    </row>
    <row r="3131" spans="1:40" x14ac:dyDescent="0.25">
      <c r="A3131" t="str">
        <f>"20190312151333528"</f>
        <v>20190312151333528</v>
      </c>
      <c r="B3131" t="str">
        <f>"1552374813523132"</f>
        <v>1552374813523132</v>
      </c>
      <c r="C3131" t="s">
        <v>40</v>
      </c>
      <c r="D3131">
        <v>4.5794090000000001</v>
      </c>
      <c r="E3131">
        <v>0.46796300000000002</v>
      </c>
      <c r="F3131" t="s">
        <v>54</v>
      </c>
      <c r="G3131">
        <v>-269.95170000000002</v>
      </c>
      <c r="H3131" s="1">
        <v>3.8340780000000001E-6</v>
      </c>
      <c r="I3131">
        <v>212.89840000000001</v>
      </c>
      <c r="J3131">
        <v>-316.03269999999998</v>
      </c>
      <c r="K3131">
        <v>1.1097619999999999</v>
      </c>
      <c r="L3131">
        <v>214.18979999999999</v>
      </c>
      <c r="M3131">
        <v>0.99991819999999998</v>
      </c>
      <c r="N3131">
        <v>0</v>
      </c>
      <c r="O3131">
        <v>-5.9335719999999998E-3</v>
      </c>
      <c r="P3131">
        <v>0.99228300000000003</v>
      </c>
      <c r="Q3131">
        <v>6.39348E-2</v>
      </c>
      <c r="R3131">
        <v>-0.1062418</v>
      </c>
      <c r="S3131">
        <v>3.0181879999999999</v>
      </c>
      <c r="T3131">
        <v>-7.2161320000000001E-2</v>
      </c>
      <c r="U3131">
        <v>-8.4106449999999999E-2</v>
      </c>
      <c r="V3131">
        <v>0.1003541</v>
      </c>
      <c r="W3131">
        <v>7.5178510000000004E-2</v>
      </c>
      <c r="X3131">
        <v>0.99210750000000003</v>
      </c>
      <c r="Y3131">
        <v>2.1919020000000001E-2</v>
      </c>
      <c r="Z3131">
        <v>-1.201182E-4</v>
      </c>
      <c r="AA3131">
        <v>0.99975970000000003</v>
      </c>
      <c r="AB3131">
        <v>34</v>
      </c>
      <c r="AC3131">
        <v>46.080999999999896</v>
      </c>
      <c r="AD3131">
        <v>-1.1097581659219999</v>
      </c>
      <c r="AE3131">
        <v>-1.2913999999999799</v>
      </c>
      <c r="AF3131">
        <v>1.0173452018665801</v>
      </c>
      <c r="AG3131">
        <v>-1.1097581659219999</v>
      </c>
      <c r="AH3131">
        <v>46.061158222923403</v>
      </c>
      <c r="AI3131">
        <v>91.379832124873602</v>
      </c>
      <c r="AJ3131">
        <v>88.734723290502302</v>
      </c>
      <c r="AK3131">
        <v>46.085755405371998</v>
      </c>
      <c r="AL3131">
        <v>85.688520966672499</v>
      </c>
      <c r="AM3131">
        <v>84.224037841346799</v>
      </c>
      <c r="AN3131">
        <v>1.0000000226544301</v>
      </c>
    </row>
    <row r="3132" spans="1:40" x14ac:dyDescent="0.25">
      <c r="A3132" t="str">
        <f>"20190312151333551"</f>
        <v>20190312151333551</v>
      </c>
      <c r="B3132" t="str">
        <f>"1552374813543628"</f>
        <v>1552374813543628</v>
      </c>
      <c r="C3132" t="s">
        <v>40</v>
      </c>
      <c r="D3132">
        <v>4.5305049999999998</v>
      </c>
      <c r="E3132">
        <v>0.46575369999999999</v>
      </c>
      <c r="F3132" t="s">
        <v>54</v>
      </c>
      <c r="G3132">
        <v>-234.9881</v>
      </c>
      <c r="H3132" s="1">
        <v>1.213211E-6</v>
      </c>
      <c r="I3132">
        <v>212.42930000000001</v>
      </c>
      <c r="J3132">
        <v>-315.67180000000002</v>
      </c>
      <c r="K3132">
        <v>1.109775</v>
      </c>
      <c r="L3132">
        <v>214.18770000000001</v>
      </c>
      <c r="M3132">
        <v>0.99991819999999998</v>
      </c>
      <c r="N3132">
        <v>0</v>
      </c>
      <c r="O3132">
        <v>-5.9305679999999998E-3</v>
      </c>
      <c r="P3132">
        <v>0.99215969999999998</v>
      </c>
      <c r="Q3132">
        <v>6.6602709999999996E-2</v>
      </c>
      <c r="R3132">
        <v>-0.105751</v>
      </c>
      <c r="S3132">
        <v>3.019012</v>
      </c>
      <c r="T3132">
        <v>-4.133999E-2</v>
      </c>
      <c r="U3132">
        <v>-6.5582280000000007E-2</v>
      </c>
      <c r="V3132">
        <v>9.986739E-2</v>
      </c>
      <c r="W3132">
        <v>7.7864260000000005E-2</v>
      </c>
      <c r="X3132">
        <v>0.99194939999999998</v>
      </c>
      <c r="Y3132">
        <v>1.578711E-2</v>
      </c>
      <c r="Z3132" s="1">
        <v>-2.6871630000000001E-5</v>
      </c>
      <c r="AA3132">
        <v>0.99987539999999997</v>
      </c>
      <c r="AB3132">
        <v>34</v>
      </c>
      <c r="AC3132">
        <v>80.683700000000002</v>
      </c>
      <c r="AD3132">
        <v>-1.1097737867889901</v>
      </c>
      <c r="AE3132">
        <v>-1.75839999999999</v>
      </c>
      <c r="AF3132">
        <v>1.27959620426048</v>
      </c>
      <c r="AG3132">
        <v>-1.1097737867889901</v>
      </c>
      <c r="AH3132">
        <v>80.677453805861902</v>
      </c>
      <c r="AI3132">
        <v>90.787993998233006</v>
      </c>
      <c r="AJ3132">
        <v>89.091328348756306</v>
      </c>
      <c r="AK3132">
        <v>80.695232305885199</v>
      </c>
      <c r="AL3132">
        <v>85.534186052839999</v>
      </c>
      <c r="AM3132">
        <v>84.2509527738125</v>
      </c>
      <c r="AN3132">
        <v>0.99999997536555896</v>
      </c>
    </row>
    <row r="3133" spans="1:40" x14ac:dyDescent="0.25">
      <c r="A3133" t="str">
        <f>"20190312151333572"</f>
        <v>20190312151333572</v>
      </c>
      <c r="B3133" t="str">
        <f>"1552374813563148"</f>
        <v>1552374813563148</v>
      </c>
      <c r="C3133" t="s">
        <v>40</v>
      </c>
      <c r="D3133">
        <v>4.472353</v>
      </c>
      <c r="E3133">
        <v>0.46487279999999997</v>
      </c>
      <c r="F3133" t="s">
        <v>54</v>
      </c>
      <c r="G3133">
        <v>-262.43470000000002</v>
      </c>
      <c r="H3133" s="1">
        <v>-1.86586E-7</v>
      </c>
      <c r="I3133">
        <v>213.36760000000001</v>
      </c>
      <c r="J3133">
        <v>-315.33240000000001</v>
      </c>
      <c r="K3133">
        <v>1.1097969999999999</v>
      </c>
      <c r="L3133">
        <v>214.1857</v>
      </c>
      <c r="M3133">
        <v>0.99991790000000003</v>
      </c>
      <c r="N3133">
        <v>0</v>
      </c>
      <c r="O3133">
        <v>-5.9256380000000004E-3</v>
      </c>
      <c r="P3133">
        <v>0.99211959999999999</v>
      </c>
      <c r="Q3133">
        <v>6.9364149999999999E-2</v>
      </c>
      <c r="R3133">
        <v>-0.1043433</v>
      </c>
      <c r="S3133">
        <v>3.0229490000000001</v>
      </c>
      <c r="T3133">
        <v>-6.3016059999999999E-2</v>
      </c>
      <c r="U3133">
        <v>-4.6569819999999998E-2</v>
      </c>
      <c r="V3133">
        <v>9.8464679999999999E-2</v>
      </c>
      <c r="W3133">
        <v>8.0642610000000003E-2</v>
      </c>
      <c r="X3133">
        <v>0.99186770000000002</v>
      </c>
      <c r="Y3133">
        <v>9.4772410000000008E-3</v>
      </c>
      <c r="Z3133" s="1">
        <v>2.4746269999999998E-5</v>
      </c>
      <c r="AA3133">
        <v>0.99995509999999999</v>
      </c>
      <c r="AB3133">
        <v>34</v>
      </c>
      <c r="AC3133">
        <v>52.897699999999901</v>
      </c>
      <c r="AD3133">
        <v>-1.1097971865859999</v>
      </c>
      <c r="AE3133">
        <v>-0.81809999999998695</v>
      </c>
      <c r="AF3133">
        <v>0.50439082038456995</v>
      </c>
      <c r="AG3133">
        <v>-1.1097971865859999</v>
      </c>
      <c r="AH3133">
        <v>52.878349711840002</v>
      </c>
      <c r="AI3133">
        <v>91.202277871365993</v>
      </c>
      <c r="AJ3133">
        <v>89.453489207809895</v>
      </c>
      <c r="AK3133">
        <v>52.892399530959899</v>
      </c>
      <c r="AL3133">
        <v>85.374496210873801</v>
      </c>
      <c r="AM3133">
        <v>84.3307087663608</v>
      </c>
      <c r="AN3133">
        <v>1.0000000290291999</v>
      </c>
    </row>
    <row r="3134" spans="1:40" x14ac:dyDescent="0.25">
      <c r="A3134" t="str">
        <f>"20190312151333595"</f>
        <v>20190312151333595</v>
      </c>
      <c r="B3134" t="str">
        <f>"1552374813583644"</f>
        <v>1552374813583644</v>
      </c>
      <c r="C3134" t="s">
        <v>40</v>
      </c>
      <c r="D3134">
        <v>4.4802239999999998</v>
      </c>
      <c r="E3134">
        <v>0.464196</v>
      </c>
      <c r="F3134" t="s">
        <v>54</v>
      </c>
      <c r="G3134">
        <v>-271.54599999999999</v>
      </c>
      <c r="H3134" s="1">
        <v>-6.7285619999999998E-7</v>
      </c>
      <c r="I3134">
        <v>213.6729</v>
      </c>
      <c r="J3134">
        <v>-314.9973</v>
      </c>
      <c r="K3134">
        <v>1.1098220000000001</v>
      </c>
      <c r="L3134">
        <v>214.18369999999999</v>
      </c>
      <c r="M3134">
        <v>0.99991779999999997</v>
      </c>
      <c r="N3134">
        <v>0</v>
      </c>
      <c r="O3134">
        <v>-5.9153180000000001E-3</v>
      </c>
      <c r="P3134">
        <v>0.99199009999999999</v>
      </c>
      <c r="Q3134">
        <v>7.3135539999999999E-2</v>
      </c>
      <c r="R3134">
        <v>-0.1029912</v>
      </c>
      <c r="S3134">
        <v>3.0254819999999998</v>
      </c>
      <c r="T3134">
        <v>-7.6683039999999994E-2</v>
      </c>
      <c r="U3134">
        <v>-3.5430910000000003E-2</v>
      </c>
      <c r="V3134">
        <v>9.7122890000000003E-2</v>
      </c>
      <c r="W3134">
        <v>8.443051E-2</v>
      </c>
      <c r="X3134">
        <v>0.99168469999999997</v>
      </c>
      <c r="Y3134">
        <v>5.7945669999999996E-3</v>
      </c>
      <c r="Z3134" s="1">
        <v>7.6487149999999998E-5</v>
      </c>
      <c r="AA3134">
        <v>0.99998319999999996</v>
      </c>
      <c r="AB3134">
        <v>34</v>
      </c>
      <c r="AC3134">
        <v>43.451300000000003</v>
      </c>
      <c r="AD3134">
        <v>-1.1098226728562</v>
      </c>
      <c r="AE3134">
        <v>-0.51079999999998904</v>
      </c>
      <c r="AF3134">
        <v>0.25358076488051401</v>
      </c>
      <c r="AG3134">
        <v>-1.1098226728562</v>
      </c>
      <c r="AH3134">
        <v>43.425235527225098</v>
      </c>
      <c r="AI3134">
        <v>91.463969783239193</v>
      </c>
      <c r="AJ3134">
        <v>89.665426283239597</v>
      </c>
      <c r="AK3134">
        <v>43.440155273254703</v>
      </c>
      <c r="AL3134">
        <v>85.156722007463898</v>
      </c>
      <c r="AM3134">
        <v>84.406446297335094</v>
      </c>
      <c r="AN3134">
        <v>0.99999995549745002</v>
      </c>
    </row>
    <row r="3135" spans="1:40" x14ac:dyDescent="0.25">
      <c r="A3135" t="str">
        <f>"20190312151333618"</f>
        <v>20190312151333618</v>
      </c>
      <c r="B3135" t="str">
        <f>"1552374813613900"</f>
        <v>1552374813613900</v>
      </c>
      <c r="C3135" t="s">
        <v>40</v>
      </c>
      <c r="D3135">
        <v>4.4712759999999996</v>
      </c>
      <c r="E3135">
        <v>0.4639469</v>
      </c>
      <c r="F3135" t="s">
        <v>54</v>
      </c>
      <c r="G3135">
        <v>-272.23360000000002</v>
      </c>
      <c r="H3135" s="1">
        <v>-3.1333179999999998E-7</v>
      </c>
      <c r="I3135">
        <v>213.8184</v>
      </c>
      <c r="J3135">
        <v>-314.637</v>
      </c>
      <c r="K3135">
        <v>1.1098520000000001</v>
      </c>
      <c r="L3135">
        <v>214.1816</v>
      </c>
      <c r="M3135">
        <v>0.99991759999999996</v>
      </c>
      <c r="N3135">
        <v>0</v>
      </c>
      <c r="O3135">
        <v>-5.8910150000000003E-3</v>
      </c>
      <c r="P3135">
        <v>0.99181220000000003</v>
      </c>
      <c r="Q3135">
        <v>7.7801239999999994E-2</v>
      </c>
      <c r="R3135">
        <v>-0.1012702</v>
      </c>
      <c r="S3135">
        <v>3.0273439999999998</v>
      </c>
      <c r="T3135">
        <v>-7.8566910000000004E-2</v>
      </c>
      <c r="U3135">
        <v>-2.5863649999999998E-2</v>
      </c>
      <c r="V3135">
        <v>9.5425389999999999E-2</v>
      </c>
      <c r="W3135">
        <v>8.9117710000000003E-2</v>
      </c>
      <c r="X3135">
        <v>0.99143939999999997</v>
      </c>
      <c r="Y3135">
        <v>2.652794E-3</v>
      </c>
      <c r="Z3135">
        <v>1.184492E-4</v>
      </c>
      <c r="AA3135">
        <v>0.99999649999999995</v>
      </c>
      <c r="AB3135">
        <v>34</v>
      </c>
      <c r="AC3135">
        <v>42.403399999999898</v>
      </c>
      <c r="AD3135">
        <v>-1.1098523133317999</v>
      </c>
      <c r="AE3135">
        <v>-0.36320000000000602</v>
      </c>
      <c r="AF3135">
        <v>0.113300769552947</v>
      </c>
      <c r="AG3135">
        <v>-1.1098523133317999</v>
      </c>
      <c r="AH3135">
        <v>42.375776021696403</v>
      </c>
      <c r="AI3135">
        <v>91.500269690437094</v>
      </c>
      <c r="AJ3135">
        <v>89.846807750762395</v>
      </c>
      <c r="AK3135">
        <v>42.390458863555303</v>
      </c>
      <c r="AL3135">
        <v>84.887148504736601</v>
      </c>
      <c r="AM3135">
        <v>84.502254100314403</v>
      </c>
      <c r="AN3135">
        <v>1.00000002758232</v>
      </c>
    </row>
    <row r="3136" spans="1:40" x14ac:dyDescent="0.25">
      <c r="A3136" t="str">
        <f>"20190312151333641"</f>
        <v>20190312151333641</v>
      </c>
      <c r="B3136" t="str">
        <f>"1552374813633421"</f>
        <v>1552374813633421</v>
      </c>
      <c r="C3136" t="s">
        <v>40</v>
      </c>
      <c r="D3136">
        <v>4.8118720000000001</v>
      </c>
      <c r="E3136">
        <v>0.46417389999999997</v>
      </c>
      <c r="F3136" t="s">
        <v>54</v>
      </c>
      <c r="G3136">
        <v>-272.84440000000001</v>
      </c>
      <c r="H3136" s="1">
        <v>7.0535680000000003E-9</v>
      </c>
      <c r="I3136">
        <v>213.9256</v>
      </c>
      <c r="J3136">
        <v>-314.29160000000002</v>
      </c>
      <c r="K3136">
        <v>1.10989</v>
      </c>
      <c r="L3136">
        <v>214.17959999999999</v>
      </c>
      <c r="M3136">
        <v>0.99991759999999996</v>
      </c>
      <c r="N3136">
        <v>0</v>
      </c>
      <c r="O3136">
        <v>-5.8475609999999898E-3</v>
      </c>
      <c r="P3136">
        <v>0.99164050000000004</v>
      </c>
      <c r="Q3136">
        <v>8.2588079999999994E-2</v>
      </c>
      <c r="R3136">
        <v>-9.9138130000000005E-2</v>
      </c>
      <c r="S3136">
        <v>3.029175</v>
      </c>
      <c r="T3136">
        <v>-8.0443260000000003E-2</v>
      </c>
      <c r="U3136">
        <v>-1.8554689999999999E-2</v>
      </c>
      <c r="V3136">
        <v>9.3334490000000006E-2</v>
      </c>
      <c r="W3136">
        <v>9.3927789999999997E-2</v>
      </c>
      <c r="X3136">
        <v>0.99119440000000003</v>
      </c>
      <c r="Y3136">
        <v>2.7923839999999999E-4</v>
      </c>
      <c r="Z3136">
        <v>1.515617E-4</v>
      </c>
      <c r="AA3136">
        <v>0.99999990000000005</v>
      </c>
      <c r="AB3136">
        <v>34</v>
      </c>
      <c r="AC3136">
        <v>41.447200000000002</v>
      </c>
      <c r="AD3136">
        <v>-1.1098899929464301</v>
      </c>
      <c r="AE3136">
        <v>-0.25399999999999001</v>
      </c>
      <c r="AF3136">
        <v>1.16064760923745E-2</v>
      </c>
      <c r="AG3136">
        <v>-1.1098899929464301</v>
      </c>
      <c r="AH3136">
        <v>41.4182774259735</v>
      </c>
      <c r="AI3136">
        <v>91.534993699453494</v>
      </c>
      <c r="AJ3136">
        <v>89.983944236239793</v>
      </c>
      <c r="AK3136">
        <v>41.433147303115099</v>
      </c>
      <c r="AL3136">
        <v>84.610389501206996</v>
      </c>
      <c r="AM3136">
        <v>84.620681525737098</v>
      </c>
      <c r="AN3136">
        <v>1.0000000476746</v>
      </c>
    </row>
    <row r="3137" spans="1:40" x14ac:dyDescent="0.25">
      <c r="A3137" t="str">
        <f>"20190312151333662"</f>
        <v>20190312151333662</v>
      </c>
      <c r="B3137" t="str">
        <f>"1552374813652940"</f>
        <v>1552374813652940</v>
      </c>
      <c r="C3137" t="s">
        <v>40</v>
      </c>
      <c r="D3137">
        <v>4.4991779999999997</v>
      </c>
      <c r="E3137">
        <v>0.4645879</v>
      </c>
      <c r="F3137" t="s">
        <v>54</v>
      </c>
      <c r="G3137">
        <v>-269.97460000000001</v>
      </c>
      <c r="H3137" s="1">
        <v>-1.522176E-6</v>
      </c>
      <c r="I3137">
        <v>213.9734</v>
      </c>
      <c r="J3137">
        <v>-313.95940000000002</v>
      </c>
      <c r="K3137">
        <v>1.1099270000000001</v>
      </c>
      <c r="L3137">
        <v>214.17769999999999</v>
      </c>
      <c r="M3137">
        <v>0.99991779999999997</v>
      </c>
      <c r="N3137">
        <v>0</v>
      </c>
      <c r="O3137">
        <v>-5.779101E-3</v>
      </c>
      <c r="P3137">
        <v>0.99159739999999996</v>
      </c>
      <c r="Q3137">
        <v>8.6371719999999999E-2</v>
      </c>
      <c r="R3137">
        <v>-9.6303849999999996E-2</v>
      </c>
      <c r="S3137">
        <v>3.0302120000000001</v>
      </c>
      <c r="T3137">
        <v>-7.5889830000000005E-2</v>
      </c>
      <c r="U3137">
        <v>-1.409912E-2</v>
      </c>
      <c r="V3137">
        <v>9.0563599999999994E-2</v>
      </c>
      <c r="W3137">
        <v>9.7735359999999993E-2</v>
      </c>
      <c r="X3137">
        <v>0.9910833</v>
      </c>
      <c r="Y3137">
        <v>-1.124531E-3</v>
      </c>
      <c r="Z3137">
        <v>1.587983E-4</v>
      </c>
      <c r="AA3137">
        <v>0.99999930000000004</v>
      </c>
      <c r="AB3137">
        <v>34</v>
      </c>
      <c r="AC3137">
        <v>43.9848</v>
      </c>
      <c r="AD3137">
        <v>-1.109928522176</v>
      </c>
      <c r="AE3137">
        <v>-0.20429999999998899</v>
      </c>
      <c r="AF3137">
        <v>-4.9880902255709798E-2</v>
      </c>
      <c r="AG3137">
        <v>-1.109928522176</v>
      </c>
      <c r="AH3137">
        <v>43.957255944057501</v>
      </c>
      <c r="AI3137">
        <v>91.446420334460697</v>
      </c>
      <c r="AJ3137">
        <v>90.065016887188705</v>
      </c>
      <c r="AK3137">
        <v>43.971294949775199</v>
      </c>
      <c r="AL3137">
        <v>84.391222923114</v>
      </c>
      <c r="AM3137">
        <v>84.778903554255393</v>
      </c>
      <c r="AN3137">
        <v>1.00000003688908</v>
      </c>
    </row>
    <row r="3138" spans="1:40" x14ac:dyDescent="0.25">
      <c r="A3138" t="str">
        <f>"20190312151333684"</f>
        <v>20190312151333684</v>
      </c>
      <c r="B3138" t="str">
        <f>"1552374813673436"</f>
        <v>1552374813673436</v>
      </c>
      <c r="C3138" t="s">
        <v>40</v>
      </c>
      <c r="D3138">
        <v>4.5044570000000004</v>
      </c>
      <c r="E3138">
        <v>0.46463559999999998</v>
      </c>
      <c r="F3138" t="s">
        <v>54</v>
      </c>
      <c r="G3138">
        <v>-266.91309999999999</v>
      </c>
      <c r="H3138" s="1">
        <v>2.1671169999999998E-6</v>
      </c>
      <c r="I3138">
        <v>214.0427</v>
      </c>
      <c r="J3138">
        <v>-313.62490000000003</v>
      </c>
      <c r="K3138">
        <v>1.1099589999999999</v>
      </c>
      <c r="L3138">
        <v>214.17590000000001</v>
      </c>
      <c r="M3138">
        <v>0.99991810000000003</v>
      </c>
      <c r="N3138">
        <v>0</v>
      </c>
      <c r="O3138">
        <v>-5.6775319999999999E-3</v>
      </c>
      <c r="P3138">
        <v>0.99163699999999999</v>
      </c>
      <c r="Q3138">
        <v>8.8307049999999998E-2</v>
      </c>
      <c r="R3138">
        <v>-9.4116140000000001E-2</v>
      </c>
      <c r="S3138">
        <v>3.0307919999999999</v>
      </c>
      <c r="T3138">
        <v>-7.1503159999999996E-2</v>
      </c>
      <c r="U3138">
        <v>-8.6975100000000003E-3</v>
      </c>
      <c r="V3138">
        <v>8.8470060000000003E-2</v>
      </c>
      <c r="W3138">
        <v>9.9694610000000003E-2</v>
      </c>
      <c r="X3138">
        <v>0.99107719999999999</v>
      </c>
      <c r="Y3138">
        <v>-2.8058649999999998E-3</v>
      </c>
      <c r="Z3138">
        <v>1.670284E-4</v>
      </c>
      <c r="AA3138">
        <v>0.99999610000000005</v>
      </c>
      <c r="AB3138">
        <v>34</v>
      </c>
      <c r="AC3138">
        <v>46.711799999999997</v>
      </c>
      <c r="AD3138">
        <v>-1.1099568328829901</v>
      </c>
      <c r="AE3138">
        <v>-0.133200000000016</v>
      </c>
      <c r="AF3138">
        <v>-0.13195283026315699</v>
      </c>
      <c r="AG3138">
        <v>-1.1099568328829901</v>
      </c>
      <c r="AH3138">
        <v>46.685443843425098</v>
      </c>
      <c r="AI3138">
        <v>91.361957907244602</v>
      </c>
      <c r="AJ3138">
        <v>90.161941699900794</v>
      </c>
      <c r="AK3138">
        <v>46.698823139110097</v>
      </c>
      <c r="AL3138">
        <v>84.278414910955107</v>
      </c>
      <c r="AM3138">
        <v>84.898923090105995</v>
      </c>
      <c r="AN3138">
        <v>0.99999999156964703</v>
      </c>
    </row>
    <row r="3139" spans="1:40" x14ac:dyDescent="0.25">
      <c r="A3139" t="str">
        <f>"20190312151333707"</f>
        <v>20190312151333707</v>
      </c>
      <c r="B3139" t="str">
        <f>"1552374813703692"</f>
        <v>1552374813703692</v>
      </c>
      <c r="C3139" t="s">
        <v>40</v>
      </c>
      <c r="D3139">
        <v>4.5373749999999999</v>
      </c>
      <c r="E3139">
        <v>0.4647945</v>
      </c>
      <c r="F3139" t="s">
        <v>54</v>
      </c>
      <c r="G3139">
        <v>-269.8374</v>
      </c>
      <c r="H3139" s="1">
        <v>3.718806E-6</v>
      </c>
      <c r="I3139">
        <v>214.14500000000001</v>
      </c>
      <c r="J3139">
        <v>-313.27870000000001</v>
      </c>
      <c r="K3139">
        <v>1.1100049999999999</v>
      </c>
      <c r="L3139">
        <v>214.17410000000001</v>
      </c>
      <c r="M3139">
        <v>0.9999188</v>
      </c>
      <c r="N3139">
        <v>0</v>
      </c>
      <c r="O3139">
        <v>-5.5329709999999898E-3</v>
      </c>
      <c r="P3139">
        <v>0.99174700000000005</v>
      </c>
      <c r="Q3139">
        <v>9.0053649999999999E-2</v>
      </c>
      <c r="R3139">
        <v>-9.1260540000000001E-2</v>
      </c>
      <c r="S3139">
        <v>3.0319210000000001</v>
      </c>
      <c r="T3139">
        <v>-7.6855300000000001E-2</v>
      </c>
      <c r="U3139">
        <v>-2.1362299999999998E-3</v>
      </c>
      <c r="V3139">
        <v>8.5749339999999993E-2</v>
      </c>
      <c r="W3139">
        <v>0.1014661</v>
      </c>
      <c r="X3139">
        <v>0.99113660000000003</v>
      </c>
      <c r="Y3139">
        <v>-4.8254379999999996E-3</v>
      </c>
      <c r="Z3139">
        <v>2.013893E-4</v>
      </c>
      <c r="AA3139">
        <v>0.99998830000000005</v>
      </c>
      <c r="AB3139">
        <v>34</v>
      </c>
      <c r="AC3139">
        <v>43.441299999999998</v>
      </c>
      <c r="AD3139">
        <v>-1.1100012811940001</v>
      </c>
      <c r="AE3139">
        <v>-2.9099999999999598E-2</v>
      </c>
      <c r="AF3139">
        <v>-0.21113788722976801</v>
      </c>
      <c r="AG3139">
        <v>-1.1100012811940001</v>
      </c>
      <c r="AH3139">
        <v>43.412452347155799</v>
      </c>
      <c r="AI3139">
        <v>91.464643889730198</v>
      </c>
      <c r="AJ3139">
        <v>90.278657707588806</v>
      </c>
      <c r="AK3139">
        <v>43.4271539574694</v>
      </c>
      <c r="AL3139">
        <v>84.176398944121402</v>
      </c>
      <c r="AM3139">
        <v>85.055301320550498</v>
      </c>
      <c r="AN3139">
        <v>1.0000000393096</v>
      </c>
    </row>
    <row r="3140" spans="1:40" x14ac:dyDescent="0.25">
      <c r="A3140" t="str">
        <f>"20190312151333729"</f>
        <v>20190312151333729</v>
      </c>
      <c r="B3140" t="str">
        <f>"1552374813723212"</f>
        <v>1552374813723212</v>
      </c>
      <c r="C3140" t="s">
        <v>40</v>
      </c>
      <c r="D3140">
        <v>4.9375549999999997</v>
      </c>
      <c r="E3140">
        <v>0.46274579999999998</v>
      </c>
      <c r="F3140" t="s">
        <v>54</v>
      </c>
      <c r="G3140">
        <v>-272.81330000000003</v>
      </c>
      <c r="H3140" s="1">
        <v>-2.3504579999999999E-8</v>
      </c>
      <c r="I3140">
        <v>214.24549999999999</v>
      </c>
      <c r="J3140">
        <v>-312.94330000000002</v>
      </c>
      <c r="K3140">
        <v>1.110042</v>
      </c>
      <c r="L3140">
        <v>214.17240000000001</v>
      </c>
      <c r="M3140">
        <v>0.99991949999999996</v>
      </c>
      <c r="N3140">
        <v>0</v>
      </c>
      <c r="O3140">
        <v>-5.3537280000000003E-3</v>
      </c>
      <c r="P3140">
        <v>0.991981</v>
      </c>
      <c r="Q3140">
        <v>9.0194129999999997E-2</v>
      </c>
      <c r="R3140">
        <v>-8.8538679999999995E-2</v>
      </c>
      <c r="S3140">
        <v>3.0330509999999999</v>
      </c>
      <c r="T3140">
        <v>-8.3199499999999996E-2</v>
      </c>
      <c r="U3140">
        <v>5.3558349999999998E-3</v>
      </c>
      <c r="V3140">
        <v>8.3196249999999999E-2</v>
      </c>
      <c r="W3140">
        <v>0.1016359</v>
      </c>
      <c r="X3140">
        <v>0.99133680000000002</v>
      </c>
      <c r="Y3140">
        <v>-7.1151809999999999E-3</v>
      </c>
      <c r="Z3140">
        <v>2.444093E-4</v>
      </c>
      <c r="AA3140">
        <v>0.99997469999999999</v>
      </c>
      <c r="AB3140">
        <v>34</v>
      </c>
      <c r="AC3140">
        <v>40.130000000000003</v>
      </c>
      <c r="AD3140">
        <v>-1.11004202350458</v>
      </c>
      <c r="AE3140">
        <v>7.3099999999982401E-2</v>
      </c>
      <c r="AF3140">
        <v>-0.28773811462501198</v>
      </c>
      <c r="AG3140">
        <v>-1.11004202350458</v>
      </c>
      <c r="AH3140">
        <v>40.098352700653599</v>
      </c>
      <c r="AI3140">
        <v>91.585672310842</v>
      </c>
      <c r="AJ3140">
        <v>90.411136505651797</v>
      </c>
      <c r="AK3140">
        <v>40.1147463636824</v>
      </c>
      <c r="AL3140">
        <v>84.166619695544995</v>
      </c>
      <c r="AM3140">
        <v>85.202790798651904</v>
      </c>
      <c r="AN3140">
        <v>1.00000006160855</v>
      </c>
    </row>
    <row r="3141" spans="1:40" x14ac:dyDescent="0.25">
      <c r="A3141" t="str">
        <f>"20190312151333752"</f>
        <v>20190312151333752</v>
      </c>
      <c r="B3141" t="str">
        <f>"1552374813743711"</f>
        <v>1552374813743711</v>
      </c>
      <c r="C3141" t="s">
        <v>40</v>
      </c>
      <c r="D3141">
        <v>4.5321740000000004</v>
      </c>
      <c r="E3141">
        <v>0.46311859999999999</v>
      </c>
      <c r="F3141" t="s">
        <v>41</v>
      </c>
      <c r="G3141">
        <v>-311.97340000000003</v>
      </c>
      <c r="H3141">
        <v>1.000513</v>
      </c>
      <c r="I3141">
        <v>214.1814</v>
      </c>
      <c r="J3141">
        <v>-312.58249999999998</v>
      </c>
      <c r="K3141">
        <v>1.110069</v>
      </c>
      <c r="L3141">
        <v>214.17070000000001</v>
      </c>
      <c r="M3141">
        <v>0.99992040000000004</v>
      </c>
      <c r="N3141">
        <v>0</v>
      </c>
      <c r="O3141">
        <v>-5.1258780000000004E-3</v>
      </c>
      <c r="P3141">
        <v>0.99232260000000005</v>
      </c>
      <c r="Q3141">
        <v>8.931066E-2</v>
      </c>
      <c r="R3141">
        <v>-8.5554089999999999E-2</v>
      </c>
      <c r="S3141">
        <v>3.0582579999999999</v>
      </c>
      <c r="T3141">
        <v>-0.3455414</v>
      </c>
      <c r="U3141">
        <v>2.920532E-2</v>
      </c>
      <c r="V3141">
        <v>8.0428799999999995E-2</v>
      </c>
      <c r="W3141">
        <v>0.10078529999999999</v>
      </c>
      <c r="X3141">
        <v>0.99165190000000003</v>
      </c>
      <c r="Y3141">
        <v>-1.4549899999999999E-2</v>
      </c>
      <c r="Z3141">
        <v>1.396689E-3</v>
      </c>
      <c r="AA3141">
        <v>0.99989320000000004</v>
      </c>
      <c r="AB3141">
        <v>34</v>
      </c>
      <c r="AC3141">
        <v>0.60909999999995501</v>
      </c>
      <c r="AD3141">
        <v>-0.109556</v>
      </c>
      <c r="AE3141">
        <v>1.06999999999857E-2</v>
      </c>
      <c r="AF3141">
        <v>-1.33892110763442E-2</v>
      </c>
      <c r="AG3141">
        <v>-0.109556</v>
      </c>
      <c r="AH3141">
        <v>0.58995700891616198</v>
      </c>
      <c r="AI3141">
        <v>100.517437590651</v>
      </c>
      <c r="AJ3141">
        <v>91.300117809774306</v>
      </c>
      <c r="AK3141">
        <v>0.600192519512324</v>
      </c>
      <c r="AL3141">
        <v>84.215606557351094</v>
      </c>
      <c r="AM3141">
        <v>85.363124982723804</v>
      </c>
      <c r="AN3141">
        <v>0.99999997966956899</v>
      </c>
    </row>
    <row r="3142" spans="1:40" x14ac:dyDescent="0.25">
      <c r="A3142" t="str">
        <f>"20190312151333774"</f>
        <v>20190312151333774</v>
      </c>
      <c r="B3142" t="str">
        <f>"1552374813763228"</f>
        <v>1552374813763228</v>
      </c>
      <c r="C3142" t="s">
        <v>40</v>
      </c>
      <c r="D3142">
        <v>4.6189070000000001</v>
      </c>
      <c r="E3142">
        <v>0.46153080000000002</v>
      </c>
      <c r="F3142" t="s">
        <v>41</v>
      </c>
      <c r="G3142">
        <v>-311.65660000000003</v>
      </c>
      <c r="H3142">
        <v>1.018734</v>
      </c>
      <c r="I3142">
        <v>214.18129999999999</v>
      </c>
      <c r="J3142">
        <v>-312.23739999999998</v>
      </c>
      <c r="K3142">
        <v>1.1100909999999999</v>
      </c>
      <c r="L3142">
        <v>214.16919999999999</v>
      </c>
      <c r="M3142">
        <v>0.99992150000000002</v>
      </c>
      <c r="N3142">
        <v>0</v>
      </c>
      <c r="O3142">
        <v>-4.8751810000000001E-3</v>
      </c>
      <c r="P3142">
        <v>0.9927532</v>
      </c>
      <c r="Q3142">
        <v>8.6919960000000004E-2</v>
      </c>
      <c r="R3142">
        <v>-8.2985229999999993E-2</v>
      </c>
      <c r="S3142">
        <v>3.0533139999999999</v>
      </c>
      <c r="T3142">
        <v>-0.30125249999999998</v>
      </c>
      <c r="U3142">
        <v>3.5003659999999999E-2</v>
      </c>
      <c r="V3142">
        <v>7.8100959999999997E-2</v>
      </c>
      <c r="W3142">
        <v>9.8425810000000002E-2</v>
      </c>
      <c r="X3142">
        <v>0.99207489999999998</v>
      </c>
      <c r="Y3142">
        <v>-1.6235960000000001E-2</v>
      </c>
      <c r="Z3142">
        <v>1.2788459999999999E-3</v>
      </c>
      <c r="AA3142">
        <v>0.99986739999999996</v>
      </c>
      <c r="AB3142">
        <v>34</v>
      </c>
      <c r="AC3142">
        <v>0.58079999999995302</v>
      </c>
      <c r="AD3142">
        <v>-9.1356999999999897E-2</v>
      </c>
      <c r="AE3142">
        <v>1.21000000000037E-2</v>
      </c>
      <c r="AF3142">
        <v>-1.45711895981424E-2</v>
      </c>
      <c r="AG3142">
        <v>-9.1356999999999897E-2</v>
      </c>
      <c r="AH3142">
        <v>0.56671857620646304</v>
      </c>
      <c r="AI3142">
        <v>99.154522577558893</v>
      </c>
      <c r="AJ3142">
        <v>91.472836435109002</v>
      </c>
      <c r="AK3142">
        <v>0.57421978861128198</v>
      </c>
      <c r="AL3142">
        <v>84.351471201288604</v>
      </c>
      <c r="AM3142">
        <v>85.498681452286903</v>
      </c>
      <c r="AN3142">
        <v>1.0000000036185399</v>
      </c>
    </row>
    <row r="3143" spans="1:40" x14ac:dyDescent="0.25">
      <c r="A3143" t="str">
        <f>"20190312151333797"</f>
        <v>20190312151333797</v>
      </c>
      <c r="B3143" t="str">
        <f>"1552374813793484"</f>
        <v>1552374813793484</v>
      </c>
      <c r="C3143" t="s">
        <v>40</v>
      </c>
      <c r="D3143">
        <v>4.5452510000000004</v>
      </c>
      <c r="E3143">
        <v>0.45558140000000003</v>
      </c>
      <c r="F3143" t="s">
        <v>41</v>
      </c>
      <c r="G3143">
        <v>-311.34640000000002</v>
      </c>
      <c r="H3143">
        <v>1.0227269999999999</v>
      </c>
      <c r="I3143">
        <v>214.185</v>
      </c>
      <c r="J3143">
        <v>-311.89400000000001</v>
      </c>
      <c r="K3143">
        <v>1.110104</v>
      </c>
      <c r="L3143">
        <v>214.1678</v>
      </c>
      <c r="M3143">
        <v>0.99992250000000005</v>
      </c>
      <c r="N3143">
        <v>0</v>
      </c>
      <c r="O3143">
        <v>-4.5920539999999999E-3</v>
      </c>
      <c r="P3143">
        <v>0.99329690000000004</v>
      </c>
      <c r="Q3143">
        <v>8.3483450000000001E-2</v>
      </c>
      <c r="R3143">
        <v>-7.9948690000000003E-2</v>
      </c>
      <c r="S3143">
        <v>3.052765</v>
      </c>
      <c r="T3143">
        <v>-0.29950579999999999</v>
      </c>
      <c r="U3143">
        <v>5.5267330000000003E-2</v>
      </c>
      <c r="V3143">
        <v>7.5338589999999997E-2</v>
      </c>
      <c r="W3143">
        <v>9.5019129999999993E-2</v>
      </c>
      <c r="X3143">
        <v>0.99262050000000002</v>
      </c>
      <c r="Y3143">
        <v>-2.2562140000000001E-2</v>
      </c>
      <c r="Z3143">
        <v>1.5534850000000001E-3</v>
      </c>
      <c r="AA3143">
        <v>0.99974419999999997</v>
      </c>
      <c r="AB3143">
        <v>34</v>
      </c>
      <c r="AC3143">
        <v>0.54759999999998799</v>
      </c>
      <c r="AD3143">
        <v>-8.7376999999999996E-2</v>
      </c>
      <c r="AE3143">
        <v>1.7200000000002501E-2</v>
      </c>
      <c r="AF3143">
        <v>-1.9225584713034E-2</v>
      </c>
      <c r="AG3143">
        <v>-8.7376999999999996E-2</v>
      </c>
      <c r="AH3143">
        <v>0.53393438493829404</v>
      </c>
      <c r="AI3143">
        <v>99.288013018786899</v>
      </c>
      <c r="AJ3143">
        <v>92.062180674179501</v>
      </c>
      <c r="AK3143">
        <v>0.541378140171906</v>
      </c>
      <c r="AL3143">
        <v>84.547579125525203</v>
      </c>
      <c r="AM3143">
        <v>85.659647312325305</v>
      </c>
      <c r="AN3143">
        <v>0.99999999761469704</v>
      </c>
    </row>
    <row r="3144" spans="1:40" x14ac:dyDescent="0.25">
      <c r="A3144" t="str">
        <f>"20190312151333820"</f>
        <v>20190312151333820</v>
      </c>
      <c r="B3144" t="str">
        <f>"1552374813813004"</f>
        <v>1552374813813004</v>
      </c>
      <c r="C3144" t="s">
        <v>40</v>
      </c>
      <c r="D3144">
        <v>4.5414269999999997</v>
      </c>
      <c r="E3144">
        <v>0.45323370000000002</v>
      </c>
      <c r="F3144" t="s">
        <v>41</v>
      </c>
      <c r="G3144">
        <v>-311.0342</v>
      </c>
      <c r="H3144">
        <v>1.023574</v>
      </c>
      <c r="I3144">
        <v>214.19919999999999</v>
      </c>
      <c r="J3144">
        <v>-311.54450000000003</v>
      </c>
      <c r="K3144">
        <v>1.1101190000000001</v>
      </c>
      <c r="L3144">
        <v>214.16650000000001</v>
      </c>
      <c r="M3144">
        <v>0.99992360000000002</v>
      </c>
      <c r="N3144">
        <v>0</v>
      </c>
      <c r="O3144">
        <v>-4.2689679999999997E-3</v>
      </c>
      <c r="P3144">
        <v>0.99381549999999996</v>
      </c>
      <c r="Q3144">
        <v>7.9354820000000006E-2</v>
      </c>
      <c r="R3144">
        <v>-7.7677179999999998E-2</v>
      </c>
      <c r="S3144">
        <v>3.055145</v>
      </c>
      <c r="T3144">
        <v>-0.30758079999999999</v>
      </c>
      <c r="U3144">
        <v>0.1119385</v>
      </c>
      <c r="V3144">
        <v>7.3381550000000004E-2</v>
      </c>
      <c r="W3144">
        <v>9.0922329999999996E-2</v>
      </c>
      <c r="X3144">
        <v>0.99315070000000005</v>
      </c>
      <c r="Y3144">
        <v>-4.0654019999999999E-2</v>
      </c>
      <c r="Z3144">
        <v>2.4692030000000001E-3</v>
      </c>
      <c r="AA3144">
        <v>0.99917020000000001</v>
      </c>
      <c r="AB3144">
        <v>34</v>
      </c>
      <c r="AC3144">
        <v>0.51030000000002895</v>
      </c>
      <c r="AD3144">
        <v>-8.6545000000000094E-2</v>
      </c>
      <c r="AE3144">
        <v>3.2699999999976997E-2</v>
      </c>
      <c r="AF3144">
        <v>-3.3907026488306298E-2</v>
      </c>
      <c r="AG3144">
        <v>-8.6545000000000094E-2</v>
      </c>
      <c r="AH3144">
        <v>0.49594913990803902</v>
      </c>
      <c r="AI3144">
        <v>99.876057938118507</v>
      </c>
      <c r="AJ3144">
        <v>93.9111088843472</v>
      </c>
      <c r="AK3144">
        <v>0.50458425742962099</v>
      </c>
      <c r="AL3144">
        <v>84.783329822247296</v>
      </c>
      <c r="AM3144">
        <v>85.774229594386696</v>
      </c>
      <c r="AN3144">
        <v>1.00000001744176</v>
      </c>
    </row>
    <row r="3145" spans="1:40" x14ac:dyDescent="0.25">
      <c r="A3145" t="str">
        <f>"20190312151333844"</f>
        <v>20190312151333844</v>
      </c>
      <c r="B3145" t="str">
        <f>"1552374813833500"</f>
        <v>1552374813833500</v>
      </c>
      <c r="C3145" t="s">
        <v>40</v>
      </c>
      <c r="D3145">
        <v>4.5369549999999998</v>
      </c>
      <c r="E3145">
        <v>0.45157059999999999</v>
      </c>
      <c r="F3145" t="s">
        <v>41</v>
      </c>
      <c r="G3145">
        <v>-310.7158</v>
      </c>
      <c r="H3145">
        <v>1.022481</v>
      </c>
      <c r="I3145">
        <v>214.2037</v>
      </c>
      <c r="J3145">
        <v>-311.17489999999998</v>
      </c>
      <c r="K3145">
        <v>1.1101430000000001</v>
      </c>
      <c r="L3145">
        <v>214.1653</v>
      </c>
      <c r="M3145">
        <v>0.99992490000000001</v>
      </c>
      <c r="N3145">
        <v>0</v>
      </c>
      <c r="O3145">
        <v>-3.8900599999999999E-3</v>
      </c>
      <c r="P3145">
        <v>0.99420370000000002</v>
      </c>
      <c r="Q3145">
        <v>7.6722620000000005E-2</v>
      </c>
      <c r="R3145">
        <v>-7.5318990000000002E-2</v>
      </c>
      <c r="S3145">
        <v>3.0552060000000001</v>
      </c>
      <c r="T3145">
        <v>-0.32318000000000002</v>
      </c>
      <c r="U3145">
        <v>0.13774110000000001</v>
      </c>
      <c r="V3145">
        <v>7.1392559999999994E-2</v>
      </c>
      <c r="W3145">
        <v>8.8325000000000001E-2</v>
      </c>
      <c r="X3145">
        <v>0.99353000000000002</v>
      </c>
      <c r="Y3145">
        <v>-4.8631889999999997E-2</v>
      </c>
      <c r="Z3145">
        <v>2.9738709999999999E-3</v>
      </c>
      <c r="AA3145">
        <v>0.99881229999999999</v>
      </c>
      <c r="AB3145">
        <v>34</v>
      </c>
      <c r="AC3145">
        <v>0.45909999999997803</v>
      </c>
      <c r="AD3145">
        <v>-8.7662000000000101E-2</v>
      </c>
      <c r="AE3145">
        <v>3.8399999999995701E-2</v>
      </c>
      <c r="AF3145">
        <v>-3.8781629279792201E-2</v>
      </c>
      <c r="AG3145">
        <v>-8.7662000000000101E-2</v>
      </c>
      <c r="AH3145">
        <v>0.44291110231862102</v>
      </c>
      <c r="AI3145">
        <v>101.15382411269999</v>
      </c>
      <c r="AJ3145">
        <v>95.004098976651093</v>
      </c>
      <c r="AK3145">
        <v>0.45316540641435898</v>
      </c>
      <c r="AL3145">
        <v>84.932747284284204</v>
      </c>
      <c r="AM3145">
        <v>85.889934180955507</v>
      </c>
      <c r="AN3145">
        <v>1.00000003207417</v>
      </c>
    </row>
    <row r="3146" spans="1:40" x14ac:dyDescent="0.25">
      <c r="A3146" t="str">
        <f>"20190312151333875"</f>
        <v>20190312151333875</v>
      </c>
      <c r="B3146" t="str">
        <f>"1552374813863756"</f>
        <v>1552374813863756</v>
      </c>
      <c r="C3146" t="s">
        <v>40</v>
      </c>
      <c r="D3146">
        <v>4.5576930000000004</v>
      </c>
      <c r="E3146">
        <v>0.45007219999999998</v>
      </c>
      <c r="F3146" t="s">
        <v>55</v>
      </c>
      <c r="G3146">
        <v>-300.67700000000002</v>
      </c>
      <c r="H3146" s="1">
        <v>2.5331759999999999E-6</v>
      </c>
      <c r="I3146">
        <v>214.70840000000001</v>
      </c>
      <c r="J3146">
        <v>-310.68779999999998</v>
      </c>
      <c r="K3146">
        <v>1.1101859999999999</v>
      </c>
      <c r="L3146">
        <v>214.16399999999999</v>
      </c>
      <c r="M3146">
        <v>0.99992650000000005</v>
      </c>
      <c r="N3146">
        <v>0</v>
      </c>
      <c r="O3146">
        <v>-3.3248190000000001E-3</v>
      </c>
      <c r="P3146">
        <v>0.99436800000000003</v>
      </c>
      <c r="Q3146">
        <v>7.6238909999999993E-2</v>
      </c>
      <c r="R3146">
        <v>-7.3620099999999994E-2</v>
      </c>
      <c r="S3146">
        <v>3.0543819999999999</v>
      </c>
      <c r="T3146">
        <v>-0.32299749999999999</v>
      </c>
      <c r="U3146">
        <v>0.158004799999999</v>
      </c>
      <c r="V3146">
        <v>7.0245299999999997E-2</v>
      </c>
      <c r="W3146">
        <v>8.7886590000000001E-2</v>
      </c>
      <c r="X3146">
        <v>0.99365060000000005</v>
      </c>
      <c r="Y3146">
        <v>-5.4659289999999999E-2</v>
      </c>
      <c r="Z3146">
        <v>3.2305509999999999E-3</v>
      </c>
      <c r="AA3146">
        <v>0.99849980000000005</v>
      </c>
      <c r="AB3146">
        <v>34</v>
      </c>
      <c r="AC3146">
        <v>10.0107999999999</v>
      </c>
      <c r="AD3146">
        <v>-1.110183466824</v>
      </c>
      <c r="AE3146">
        <v>0.544399999999996</v>
      </c>
      <c r="AF3146">
        <v>-0.57068547414784898</v>
      </c>
      <c r="AG3146">
        <v>-1.110183466824</v>
      </c>
      <c r="AH3146">
        <v>9.8876893764259695</v>
      </c>
      <c r="AI3146">
        <v>96.395747300058005</v>
      </c>
      <c r="AJ3146">
        <v>93.303262497713206</v>
      </c>
      <c r="AK3146">
        <v>9.9661723066129895</v>
      </c>
      <c r="AL3146">
        <v>84.957964154029298</v>
      </c>
      <c r="AM3146">
        <v>85.956250160107899</v>
      </c>
      <c r="AN3146">
        <v>0.99999998487713804</v>
      </c>
    </row>
    <row r="3147" spans="1:40" x14ac:dyDescent="0.25">
      <c r="A3147" t="str">
        <f>"20190312151333896"</f>
        <v>20190312151333896</v>
      </c>
      <c r="B3147" t="str">
        <f>"1552374813893036"</f>
        <v>1552374813893036</v>
      </c>
      <c r="C3147" t="s">
        <v>40</v>
      </c>
      <c r="D3147">
        <v>4.6147429999999998</v>
      </c>
      <c r="E3147">
        <v>0.44914799999999999</v>
      </c>
      <c r="F3147" t="s">
        <v>55</v>
      </c>
      <c r="G3147">
        <v>-299.92500000000001</v>
      </c>
      <c r="H3147" s="1">
        <v>2.6549370000000002E-6</v>
      </c>
      <c r="I3147">
        <v>214.77959999999999</v>
      </c>
      <c r="J3147">
        <v>-310.35730000000001</v>
      </c>
      <c r="K3147">
        <v>1.1102209999999999</v>
      </c>
      <c r="L3147">
        <v>214.1634</v>
      </c>
      <c r="M3147">
        <v>0.99992749999999997</v>
      </c>
      <c r="N3147">
        <v>0</v>
      </c>
      <c r="O3147">
        <v>-2.9027860000000001E-3</v>
      </c>
      <c r="P3147">
        <v>0.99448570000000003</v>
      </c>
      <c r="Q3147">
        <v>7.5737769999999996E-2</v>
      </c>
      <c r="R3147">
        <v>-7.2542159999999994E-2</v>
      </c>
      <c r="S3147">
        <v>3.0541079999999998</v>
      </c>
      <c r="T3147">
        <v>-0.31503150000000002</v>
      </c>
      <c r="U3147">
        <v>0.1746674</v>
      </c>
      <c r="V3147">
        <v>6.9580169999999997E-2</v>
      </c>
      <c r="W3147">
        <v>8.7418239999999994E-2</v>
      </c>
      <c r="X3147">
        <v>0.99373869999999997</v>
      </c>
      <c r="Y3147">
        <v>-5.9664759999999997E-2</v>
      </c>
      <c r="Z3147">
        <v>3.3649999999999999E-3</v>
      </c>
      <c r="AA3147">
        <v>0.99821280000000001</v>
      </c>
      <c r="AB3147">
        <v>34</v>
      </c>
      <c r="AC3147">
        <v>10.4322999999999</v>
      </c>
      <c r="AD3147">
        <v>-1.1102183450630001</v>
      </c>
      <c r="AE3147">
        <v>0.61619999999999198</v>
      </c>
      <c r="AF3147">
        <v>-0.63926736697218101</v>
      </c>
      <c r="AG3147">
        <v>-1.1102183450630001</v>
      </c>
      <c r="AH3147">
        <v>10.314061634259501</v>
      </c>
      <c r="AI3147">
        <v>96.132055932117893</v>
      </c>
      <c r="AJ3147">
        <v>93.546665650392299</v>
      </c>
      <c r="AK3147">
        <v>10.3933206885718</v>
      </c>
      <c r="AL3147">
        <v>84.984902271694594</v>
      </c>
      <c r="AM3147">
        <v>85.994767848873806</v>
      </c>
      <c r="AN3147">
        <v>0.99999997630980697</v>
      </c>
    </row>
    <row r="3148" spans="1:40" x14ac:dyDescent="0.25">
      <c r="A3148" t="str">
        <f>"20190312151333919"</f>
        <v>20190312151333919</v>
      </c>
      <c r="B3148" t="str">
        <f>"1552374813913532"</f>
        <v>1552374813913532</v>
      </c>
      <c r="C3148" t="s">
        <v>40</v>
      </c>
      <c r="D3148">
        <v>4.6008699999999996</v>
      </c>
      <c r="E3148">
        <v>0.44875599999999999</v>
      </c>
      <c r="F3148" t="s">
        <v>55</v>
      </c>
      <c r="G3148">
        <v>-299.34350000000001</v>
      </c>
      <c r="H3148" s="1">
        <v>2.5517859999999999E-6</v>
      </c>
      <c r="I3148">
        <v>214.83080000000001</v>
      </c>
      <c r="J3148">
        <v>-310.0181</v>
      </c>
      <c r="K3148">
        <v>1.1102559999999999</v>
      </c>
      <c r="L3148">
        <v>214.16290000000001</v>
      </c>
      <c r="M3148">
        <v>0.9999285</v>
      </c>
      <c r="N3148">
        <v>0</v>
      </c>
      <c r="O3148">
        <v>-2.4375009999999999E-3</v>
      </c>
      <c r="P3148">
        <v>0.99461619999999995</v>
      </c>
      <c r="Q3148">
        <v>7.5105469999999994E-2</v>
      </c>
      <c r="R3148">
        <v>-7.1400720000000001E-2</v>
      </c>
      <c r="S3148">
        <v>3.0536500000000002</v>
      </c>
      <c r="T3148">
        <v>-0.30781350000000002</v>
      </c>
      <c r="U3148">
        <v>0.18504329999999999</v>
      </c>
      <c r="V3148">
        <v>6.8895090000000006E-2</v>
      </c>
      <c r="W3148">
        <v>8.6820649999999999E-2</v>
      </c>
      <c r="X3148">
        <v>0.99383880000000002</v>
      </c>
      <c r="Y3148">
        <v>-6.2591160000000007E-2</v>
      </c>
      <c r="Z3148">
        <v>3.3886989999999998E-3</v>
      </c>
      <c r="AA3148">
        <v>0.99803350000000002</v>
      </c>
      <c r="AB3148">
        <v>34</v>
      </c>
      <c r="AC3148">
        <v>10.6745999999999</v>
      </c>
      <c r="AD3148">
        <v>-1.1102534482139901</v>
      </c>
      <c r="AE3148">
        <v>0.66790000000000205</v>
      </c>
      <c r="AF3148">
        <v>-0.686521421034893</v>
      </c>
      <c r="AG3148">
        <v>-1.1102534482139901</v>
      </c>
      <c r="AH3148">
        <v>10.559158197887401</v>
      </c>
      <c r="AI3148">
        <v>95.989813467694105</v>
      </c>
      <c r="AJ3148">
        <v>93.719945706585904</v>
      </c>
      <c r="AK3148">
        <v>10.6395392864928</v>
      </c>
      <c r="AL3148">
        <v>85.019272253526296</v>
      </c>
      <c r="AM3148">
        <v>86.034474711778998</v>
      </c>
      <c r="AN3148">
        <v>0.99999995953898402</v>
      </c>
    </row>
    <row r="3149" spans="1:40" x14ac:dyDescent="0.25">
      <c r="A3149" t="str">
        <f>"20190312151333941"</f>
        <v>20190312151333941</v>
      </c>
      <c r="B3149" t="str">
        <f>"1552374813933052"</f>
        <v>1552374813933052</v>
      </c>
      <c r="C3149" t="s">
        <v>40</v>
      </c>
      <c r="D3149">
        <v>4.5944940000000001</v>
      </c>
      <c r="E3149">
        <v>0.44841439999999999</v>
      </c>
      <c r="F3149" t="s">
        <v>55</v>
      </c>
      <c r="G3149">
        <v>-298.9006</v>
      </c>
      <c r="H3149" s="1">
        <v>2.4732209999999998E-6</v>
      </c>
      <c r="I3149">
        <v>214.85939999999999</v>
      </c>
      <c r="J3149">
        <v>-309.66449999999998</v>
      </c>
      <c r="K3149">
        <v>1.1103000000000001</v>
      </c>
      <c r="L3149">
        <v>214.16249999999999</v>
      </c>
      <c r="M3149">
        <v>0.99992919999999996</v>
      </c>
      <c r="N3149">
        <v>0</v>
      </c>
      <c r="O3149">
        <v>-1.9147439999999999E-3</v>
      </c>
      <c r="P3149">
        <v>0.99462320000000004</v>
      </c>
      <c r="Q3149">
        <v>7.5755970000000006E-2</v>
      </c>
      <c r="R3149">
        <v>-7.0609850000000002E-2</v>
      </c>
      <c r="S3149">
        <v>3.0529790000000001</v>
      </c>
      <c r="T3149">
        <v>-0.30488510000000002</v>
      </c>
      <c r="U3149">
        <v>0.19128419999999999</v>
      </c>
      <c r="V3149">
        <v>6.8616549999999998E-2</v>
      </c>
      <c r="W3149">
        <v>8.7503739999999997E-2</v>
      </c>
      <c r="X3149">
        <v>0.99379819999999996</v>
      </c>
      <c r="Y3149">
        <v>-6.411617E-2</v>
      </c>
      <c r="Z3149">
        <v>3.380999E-3</v>
      </c>
      <c r="AA3149">
        <v>0.99793670000000001</v>
      </c>
      <c r="AB3149">
        <v>34</v>
      </c>
      <c r="AC3149">
        <v>10.7638999999999</v>
      </c>
      <c r="AD3149">
        <v>-1.1102975267790001</v>
      </c>
      <c r="AE3149">
        <v>0.69689999999999896</v>
      </c>
      <c r="AF3149">
        <v>-0.70998756096336102</v>
      </c>
      <c r="AG3149">
        <v>-1.1102975267790001</v>
      </c>
      <c r="AH3149">
        <v>10.6497064844403</v>
      </c>
      <c r="AI3149">
        <v>95.9388471441018</v>
      </c>
      <c r="AJ3149">
        <v>93.814113017057807</v>
      </c>
      <c r="AK3149">
        <v>10.7309408319786</v>
      </c>
      <c r="AL3149">
        <v>84.979984751407102</v>
      </c>
      <c r="AM3149">
        <v>86.050295483293795</v>
      </c>
      <c r="AN3149">
        <v>0.99999999888556501</v>
      </c>
    </row>
    <row r="3150" spans="1:40" x14ac:dyDescent="0.25">
      <c r="A3150" t="str">
        <f>"20190312151333963"</f>
        <v>20190312151333963</v>
      </c>
      <c r="B3150" t="str">
        <f>"1552374813953549"</f>
        <v>1552374813953549</v>
      </c>
      <c r="C3150" t="s">
        <v>40</v>
      </c>
      <c r="D3150">
        <v>4.6228429999999996</v>
      </c>
      <c r="E3150">
        <v>0.44835160000000002</v>
      </c>
      <c r="F3150" t="s">
        <v>55</v>
      </c>
      <c r="G3150">
        <v>-298.43959999999998</v>
      </c>
      <c r="H3150" s="1">
        <v>2.3914539999999999E-6</v>
      </c>
      <c r="I3150">
        <v>214.8835</v>
      </c>
      <c r="J3150">
        <v>-309.32069999999999</v>
      </c>
      <c r="K3150">
        <v>1.110333</v>
      </c>
      <c r="L3150">
        <v>214.16239999999999</v>
      </c>
      <c r="M3150">
        <v>0.99992979999999998</v>
      </c>
      <c r="N3150">
        <v>0</v>
      </c>
      <c r="O3150">
        <v>-1.369833E-3</v>
      </c>
      <c r="P3150">
        <v>0.99466869999999996</v>
      </c>
      <c r="Q3150">
        <v>7.5823489999999993E-2</v>
      </c>
      <c r="R3150">
        <v>-6.9892319999999994E-2</v>
      </c>
      <c r="S3150">
        <v>3.053131</v>
      </c>
      <c r="T3150">
        <v>-0.30199779999999998</v>
      </c>
      <c r="U3150">
        <v>0.1961212</v>
      </c>
      <c r="V3150">
        <v>6.8434110000000006E-2</v>
      </c>
      <c r="W3150">
        <v>8.7605390000000005E-2</v>
      </c>
      <c r="X3150">
        <v>0.99380179999999996</v>
      </c>
      <c r="Y3150">
        <v>-6.5147739999999996E-2</v>
      </c>
      <c r="Z3150">
        <v>3.3459269999999998E-3</v>
      </c>
      <c r="AA3150">
        <v>0.99787000000000003</v>
      </c>
      <c r="AB3150">
        <v>34</v>
      </c>
      <c r="AC3150">
        <v>10.8811</v>
      </c>
      <c r="AD3150">
        <v>-1.1103306085460001</v>
      </c>
      <c r="AE3150">
        <v>0.72110000000000696</v>
      </c>
      <c r="AF3150">
        <v>-0.72845371810067505</v>
      </c>
      <c r="AG3150">
        <v>-1.1103306085460001</v>
      </c>
      <c r="AH3150">
        <v>10.7684645552799</v>
      </c>
      <c r="AI3150">
        <v>95.873603886633802</v>
      </c>
      <c r="AJ3150">
        <v>93.869988408200697</v>
      </c>
      <c r="AK3150">
        <v>10.850037223807499</v>
      </c>
      <c r="AL3150">
        <v>84.974138061245597</v>
      </c>
      <c r="AM3150">
        <v>86.060778209677096</v>
      </c>
      <c r="AN3150">
        <v>0.99999997472589097</v>
      </c>
    </row>
    <row r="3151" spans="1:40" x14ac:dyDescent="0.25">
      <c r="A3151" t="str">
        <f>"20190312151333986"</f>
        <v>20190312151333986</v>
      </c>
      <c r="B3151" t="str">
        <f>"1552374813983804"</f>
        <v>1552374813983804</v>
      </c>
      <c r="C3151" t="s">
        <v>40</v>
      </c>
      <c r="D3151">
        <v>4.5935569999999997</v>
      </c>
      <c r="E3151">
        <v>0.44817230000000002</v>
      </c>
      <c r="F3151" t="s">
        <v>55</v>
      </c>
      <c r="G3151">
        <v>-297.9076</v>
      </c>
      <c r="H3151" s="1">
        <v>2.2970869999999998E-6</v>
      </c>
      <c r="I3151">
        <v>214.9074</v>
      </c>
      <c r="J3151">
        <v>-308.96949999999998</v>
      </c>
      <c r="K3151">
        <v>1.110365</v>
      </c>
      <c r="L3151">
        <v>214.16249999999999</v>
      </c>
      <c r="M3151">
        <v>0.99993010000000004</v>
      </c>
      <c r="N3151">
        <v>0</v>
      </c>
      <c r="O3151">
        <v>-7.7724659999999998E-4</v>
      </c>
      <c r="P3151">
        <v>0.99480579999999996</v>
      </c>
      <c r="Q3151">
        <v>7.4853760000000005E-2</v>
      </c>
      <c r="R3151">
        <v>-6.8985920000000006E-2</v>
      </c>
      <c r="S3151">
        <v>3.0527039999999999</v>
      </c>
      <c r="T3151">
        <v>-0.2969849</v>
      </c>
      <c r="U3151">
        <v>0.19926450000000001</v>
      </c>
      <c r="V3151">
        <v>6.8111190000000002E-2</v>
      </c>
      <c r="W3151">
        <v>8.6672929999999995E-2</v>
      </c>
      <c r="X3151">
        <v>0.99390579999999995</v>
      </c>
      <c r="Y3151">
        <v>-6.559972E-2</v>
      </c>
      <c r="Z3151">
        <v>3.2554509999999999E-3</v>
      </c>
      <c r="AA3151">
        <v>0.99784070000000002</v>
      </c>
      <c r="AB3151">
        <v>35</v>
      </c>
      <c r="AC3151">
        <v>11.0618999999999</v>
      </c>
      <c r="AD3151">
        <v>-1.1103627029129901</v>
      </c>
      <c r="AE3151">
        <v>0.74490000000000101</v>
      </c>
      <c r="AF3151">
        <v>-0.74601558453415695</v>
      </c>
      <c r="AG3151">
        <v>-1.1103627029129901</v>
      </c>
      <c r="AH3151">
        <v>10.9514732440907</v>
      </c>
      <c r="AI3151">
        <v>95.776102485150204</v>
      </c>
      <c r="AJ3151">
        <v>93.8969745865476</v>
      </c>
      <c r="AK3151">
        <v>11.032869563283301</v>
      </c>
      <c r="AL3151">
        <v>85.027768388937901</v>
      </c>
      <c r="AM3151">
        <v>86.079717078081899</v>
      </c>
      <c r="AN3151">
        <v>1.00000003513581</v>
      </c>
    </row>
    <row r="3152" spans="1:40" x14ac:dyDescent="0.25">
      <c r="A3152" t="str">
        <f>"20190312151334009"</f>
        <v>20190312151334009</v>
      </c>
      <c r="B3152" t="str">
        <f>"1552374814003512"</f>
        <v>1552374814003512</v>
      </c>
      <c r="C3152" t="s">
        <v>40</v>
      </c>
      <c r="D3152">
        <v>4.5813269999999999</v>
      </c>
      <c r="E3152">
        <v>0.44812479999999899</v>
      </c>
      <c r="F3152" t="s">
        <v>55</v>
      </c>
      <c r="G3152">
        <v>-297.52760000000001</v>
      </c>
      <c r="H3152" s="1">
        <v>2.2296779999999998E-6</v>
      </c>
      <c r="I3152">
        <v>214.92349999999999</v>
      </c>
      <c r="J3152">
        <v>-308.6268</v>
      </c>
      <c r="K3152">
        <v>1.110395</v>
      </c>
      <c r="L3152">
        <v>214.16290000000001</v>
      </c>
      <c r="M3152">
        <v>0.99992999999999999</v>
      </c>
      <c r="N3152">
        <v>0</v>
      </c>
      <c r="O3152">
        <v>-1.6862530000000001E-4</v>
      </c>
      <c r="P3152">
        <v>0.9949635</v>
      </c>
      <c r="Q3152">
        <v>7.4242929999999999E-2</v>
      </c>
      <c r="R3152">
        <v>-6.7346899999999904E-2</v>
      </c>
      <c r="S3152">
        <v>3.0520019999999999</v>
      </c>
      <c r="T3152">
        <v>-0.29617640000000001</v>
      </c>
      <c r="U3152">
        <v>0.20298769999999999</v>
      </c>
      <c r="V3152">
        <v>6.7072320000000005E-2</v>
      </c>
      <c r="W3152">
        <v>8.6101910000000004E-2</v>
      </c>
      <c r="X3152">
        <v>0.99402610000000002</v>
      </c>
      <c r="Y3152">
        <v>-6.6220829999999994E-2</v>
      </c>
      <c r="Z3152">
        <v>3.218411E-3</v>
      </c>
      <c r="AA3152">
        <v>0.99779980000000001</v>
      </c>
      <c r="AB3152">
        <v>35</v>
      </c>
      <c r="AC3152">
        <v>11.0991999999999</v>
      </c>
      <c r="AD3152">
        <v>-1.110392770322</v>
      </c>
      <c r="AE3152">
        <v>0.76059999999998196</v>
      </c>
      <c r="AF3152">
        <v>-0.75495109928112902</v>
      </c>
      <c r="AG3152">
        <v>-1.110392770322</v>
      </c>
      <c r="AH3152">
        <v>10.989596074149301</v>
      </c>
      <c r="AI3152">
        <v>95.756130291393703</v>
      </c>
      <c r="AJ3152">
        <v>93.929867735736494</v>
      </c>
      <c r="AK3152">
        <v>11.071320839883899</v>
      </c>
      <c r="AL3152">
        <v>85.060608321249305</v>
      </c>
      <c r="AM3152">
        <v>86.139795028095605</v>
      </c>
      <c r="AN3152">
        <v>1.00000006124851</v>
      </c>
    </row>
    <row r="3153" spans="1:40" x14ac:dyDescent="0.25">
      <c r="A3153" t="str">
        <f>"20190312151334031"</f>
        <v>20190312151334031</v>
      </c>
      <c r="B3153" t="str">
        <f>"1552374814024009"</f>
        <v>1552374814024009</v>
      </c>
      <c r="C3153" t="s">
        <v>40</v>
      </c>
      <c r="D3153">
        <v>4.7014779999999998</v>
      </c>
      <c r="E3153">
        <v>0.44812360000000001</v>
      </c>
      <c r="F3153" t="s">
        <v>55</v>
      </c>
      <c r="G3153">
        <v>-297.1825</v>
      </c>
      <c r="H3153" s="1">
        <v>2.1684720000000001E-6</v>
      </c>
      <c r="I3153">
        <v>214.94489999999999</v>
      </c>
      <c r="J3153">
        <v>-308.28059999999999</v>
      </c>
      <c r="K3153">
        <v>1.1104210000000001</v>
      </c>
      <c r="L3153">
        <v>214.1635</v>
      </c>
      <c r="M3153">
        <v>0.99992950000000003</v>
      </c>
      <c r="N3153">
        <v>0</v>
      </c>
      <c r="O3153">
        <v>4.6615939999999998E-4</v>
      </c>
      <c r="P3153">
        <v>0.99517500000000003</v>
      </c>
      <c r="Q3153">
        <v>7.2892009999999993E-2</v>
      </c>
      <c r="R3153">
        <v>-6.5678239999999999E-2</v>
      </c>
      <c r="S3153">
        <v>3.051453</v>
      </c>
      <c r="T3153">
        <v>-0.29607129999999998</v>
      </c>
      <c r="U3153">
        <v>0.20851140000000001</v>
      </c>
      <c r="V3153">
        <v>6.6031820000000005E-2</v>
      </c>
      <c r="W3153">
        <v>8.4791610000000003E-2</v>
      </c>
      <c r="X3153">
        <v>0.99420830000000004</v>
      </c>
      <c r="Y3153">
        <v>-6.7394899999999994E-2</v>
      </c>
      <c r="Z3153">
        <v>3.2130349999999999E-3</v>
      </c>
      <c r="AA3153">
        <v>0.99772119999999997</v>
      </c>
      <c r="AB3153">
        <v>35</v>
      </c>
      <c r="AC3153">
        <v>11.098099999999899</v>
      </c>
      <c r="AD3153">
        <v>-1.1104188315279999</v>
      </c>
      <c r="AE3153">
        <v>0.78139999999998999</v>
      </c>
      <c r="AF3153">
        <v>-0.76856988781573399</v>
      </c>
      <c r="AG3153">
        <v>-1.1104188315279999</v>
      </c>
      <c r="AH3153">
        <v>10.988995192933199</v>
      </c>
      <c r="AI3153">
        <v>95.756086800638997</v>
      </c>
      <c r="AJ3153">
        <v>94.000749680375094</v>
      </c>
      <c r="AK3153">
        <v>11.0716640575921</v>
      </c>
      <c r="AL3153">
        <v>85.135958166749006</v>
      </c>
      <c r="AM3153">
        <v>86.200196366595407</v>
      </c>
      <c r="AN3153">
        <v>0.99999998108389698</v>
      </c>
    </row>
    <row r="3154" spans="1:40" x14ac:dyDescent="0.25">
      <c r="A3154" t="str">
        <f>"20190312151334054"</f>
        <v>20190312151334054</v>
      </c>
      <c r="B3154" t="str">
        <f>"1552374814043528"</f>
        <v>1552374814043528</v>
      </c>
      <c r="C3154" t="s">
        <v>40</v>
      </c>
      <c r="D3154">
        <v>4.6912669999999999</v>
      </c>
      <c r="E3154">
        <v>0.44806869999999999</v>
      </c>
      <c r="F3154" t="s">
        <v>55</v>
      </c>
      <c r="G3154">
        <v>-296.82130000000001</v>
      </c>
      <c r="H3154" s="1">
        <v>2.1043860000000002E-6</v>
      </c>
      <c r="I3154">
        <v>214.96510000000001</v>
      </c>
      <c r="J3154">
        <v>-307.93049999999999</v>
      </c>
      <c r="K3154">
        <v>1.1104449999999999</v>
      </c>
      <c r="L3154">
        <v>214.1643</v>
      </c>
      <c r="M3154">
        <v>0.99992840000000005</v>
      </c>
      <c r="N3154">
        <v>0</v>
      </c>
      <c r="O3154">
        <v>1.125081E-3</v>
      </c>
      <c r="P3154">
        <v>0.99538550000000003</v>
      </c>
      <c r="Q3154">
        <v>7.1478420000000001E-2</v>
      </c>
      <c r="R3154">
        <v>-6.4021620000000001E-2</v>
      </c>
      <c r="S3154">
        <v>3.050262</v>
      </c>
      <c r="T3154">
        <v>-0.29557129999999998</v>
      </c>
      <c r="U3154">
        <v>0.21336359999999999</v>
      </c>
      <c r="V3154">
        <v>6.502877E-2</v>
      </c>
      <c r="W3154">
        <v>8.3416530000000003E-2</v>
      </c>
      <c r="X3154">
        <v>0.99439069999999996</v>
      </c>
      <c r="Y3154">
        <v>-6.8343009999999996E-2</v>
      </c>
      <c r="Z3154">
        <v>3.1908489999999999E-3</v>
      </c>
      <c r="AA3154">
        <v>0.99765680000000001</v>
      </c>
      <c r="AB3154">
        <v>35</v>
      </c>
      <c r="AC3154">
        <v>11.1091999999999</v>
      </c>
      <c r="AD3154">
        <v>-1.110442895614</v>
      </c>
      <c r="AE3154">
        <v>0.80080000000000895</v>
      </c>
      <c r="AF3154">
        <v>-0.78054145839643496</v>
      </c>
      <c r="AG3154">
        <v>-1.110442895614</v>
      </c>
      <c r="AH3154">
        <v>11.000749147728101</v>
      </c>
      <c r="AI3154">
        <v>95.749695835076395</v>
      </c>
      <c r="AJ3154">
        <v>94.058533433271094</v>
      </c>
      <c r="AK3154">
        <v>11.084169351103199</v>
      </c>
      <c r="AL3154">
        <v>85.215024494582394</v>
      </c>
      <c r="AM3154">
        <v>86.258436128085606</v>
      </c>
      <c r="AN3154">
        <v>0.999999961325721</v>
      </c>
    </row>
    <row r="3155" spans="1:40" x14ac:dyDescent="0.25">
      <c r="A3155" t="str">
        <f>"20190312151334076"</f>
        <v>20190312151334076</v>
      </c>
      <c r="B3155" t="str">
        <f>"1552374814073784"</f>
        <v>1552374814073784</v>
      </c>
      <c r="C3155" t="s">
        <v>40</v>
      </c>
      <c r="D3155">
        <v>4.6113569999999999</v>
      </c>
      <c r="E3155">
        <v>0.44817950000000001</v>
      </c>
      <c r="F3155" t="s">
        <v>55</v>
      </c>
      <c r="G3155">
        <v>-296.5915</v>
      </c>
      <c r="H3155" s="1">
        <v>2.06363E-6</v>
      </c>
      <c r="I3155">
        <v>214.97980000000001</v>
      </c>
      <c r="J3155">
        <v>-307.58269999999999</v>
      </c>
      <c r="K3155">
        <v>1.110457</v>
      </c>
      <c r="L3155">
        <v>214.16540000000001</v>
      </c>
      <c r="M3155">
        <v>0.99992720000000002</v>
      </c>
      <c r="N3155">
        <v>0</v>
      </c>
      <c r="O3155">
        <v>1.791204E-3</v>
      </c>
      <c r="P3155">
        <v>0.9955735</v>
      </c>
      <c r="Q3155">
        <v>7.0527229999999996E-2</v>
      </c>
      <c r="R3155">
        <v>-6.2127179999999997E-2</v>
      </c>
      <c r="S3155">
        <v>3.0494690000000002</v>
      </c>
      <c r="T3155">
        <v>-0.29863859999999998</v>
      </c>
      <c r="U3155">
        <v>0.2193146</v>
      </c>
      <c r="V3155">
        <v>6.3796130000000006E-2</v>
      </c>
      <c r="W3155">
        <v>8.2500829999999997E-2</v>
      </c>
      <c r="X3155">
        <v>0.99454690000000001</v>
      </c>
      <c r="Y3155">
        <v>-6.9624030000000003E-2</v>
      </c>
      <c r="Z3155">
        <v>3.221916E-3</v>
      </c>
      <c r="AA3155">
        <v>0.99756809999999996</v>
      </c>
      <c r="AB3155">
        <v>35</v>
      </c>
      <c r="AC3155">
        <v>10.9911999999999</v>
      </c>
      <c r="AD3155">
        <v>-1.11045493637</v>
      </c>
      <c r="AE3155">
        <v>0.81440000000000601</v>
      </c>
      <c r="AF3155">
        <v>-0.78672332196183103</v>
      </c>
      <c r="AG3155">
        <v>-1.11045493637</v>
      </c>
      <c r="AH3155">
        <v>10.882169958726999</v>
      </c>
      <c r="AI3155">
        <v>95.811432592131396</v>
      </c>
      <c r="AJ3155">
        <v>94.1349879076447</v>
      </c>
      <c r="AK3155">
        <v>10.966935158085301</v>
      </c>
      <c r="AL3155">
        <v>85.267671593275594</v>
      </c>
      <c r="AM3155">
        <v>86.329737770986299</v>
      </c>
      <c r="AN3155">
        <v>0.99999993472663495</v>
      </c>
    </row>
    <row r="3156" spans="1:40" x14ac:dyDescent="0.25">
      <c r="A3156" t="str">
        <f>"20190312151334097"</f>
        <v>20190312151334097</v>
      </c>
      <c r="B3156" t="str">
        <f>"1552374814093305"</f>
        <v>1552374814093305</v>
      </c>
      <c r="C3156" t="s">
        <v>40</v>
      </c>
      <c r="D3156">
        <v>4.6118230000000002</v>
      </c>
      <c r="E3156">
        <v>0.44825300000000001</v>
      </c>
      <c r="F3156" t="s">
        <v>55</v>
      </c>
      <c r="G3156">
        <v>-296.22649999999999</v>
      </c>
      <c r="H3156" s="1">
        <v>1.998882E-6</v>
      </c>
      <c r="I3156">
        <v>214.99969999999999</v>
      </c>
      <c r="J3156">
        <v>-307.26729999999998</v>
      </c>
      <c r="K3156">
        <v>1.110463</v>
      </c>
      <c r="L3156">
        <v>214.16659999999999</v>
      </c>
      <c r="M3156">
        <v>0.99992539999999996</v>
      </c>
      <c r="N3156">
        <v>0</v>
      </c>
      <c r="O3156">
        <v>2.4022570000000001E-3</v>
      </c>
      <c r="P3156">
        <v>0.99573109999999998</v>
      </c>
      <c r="Q3156">
        <v>6.9421860000000002E-2</v>
      </c>
      <c r="R3156">
        <v>-6.0829710000000002E-2</v>
      </c>
      <c r="S3156">
        <v>3.0484619999999998</v>
      </c>
      <c r="T3156">
        <v>-0.29809010000000002</v>
      </c>
      <c r="U3156">
        <v>0.22395319999999999</v>
      </c>
      <c r="V3156">
        <v>6.310702E-2</v>
      </c>
      <c r="W3156">
        <v>8.1429650000000006E-2</v>
      </c>
      <c r="X3156">
        <v>0.99467919999999999</v>
      </c>
      <c r="Y3156">
        <v>-7.0547449999999998E-2</v>
      </c>
      <c r="Z3156">
        <v>3.2023529999999998E-3</v>
      </c>
      <c r="AA3156">
        <v>0.99750329999999998</v>
      </c>
      <c r="AB3156">
        <v>35</v>
      </c>
      <c r="AC3156">
        <v>11.0407999999999</v>
      </c>
      <c r="AD3156">
        <v>-1.1104610011180001</v>
      </c>
      <c r="AE3156">
        <v>0.83310000000000095</v>
      </c>
      <c r="AF3156">
        <v>-0.79854061181576197</v>
      </c>
      <c r="AG3156">
        <v>-1.1104610011180001</v>
      </c>
      <c r="AH3156">
        <v>10.932800359738099</v>
      </c>
      <c r="AI3156">
        <v>95.784423980881598</v>
      </c>
      <c r="AJ3156">
        <v>94.177511825755701</v>
      </c>
      <c r="AK3156">
        <v>11.0180267947402</v>
      </c>
      <c r="AL3156">
        <v>85.329253196252495</v>
      </c>
      <c r="AM3156">
        <v>86.369758035536293</v>
      </c>
      <c r="AN3156">
        <v>0.99999999739252099</v>
      </c>
    </row>
    <row r="3157" spans="1:40" x14ac:dyDescent="0.25">
      <c r="A3157" t="str">
        <f>"20190312151334119"</f>
        <v>20190312151334119</v>
      </c>
      <c r="B3157" t="str">
        <f>"1552374814113801"</f>
        <v>1552374814113801</v>
      </c>
      <c r="C3157" t="s">
        <v>40</v>
      </c>
      <c r="D3157">
        <v>5.1190110000000004</v>
      </c>
      <c r="E3157">
        <v>0.44836340000000002</v>
      </c>
      <c r="F3157" t="s">
        <v>55</v>
      </c>
      <c r="G3157">
        <v>-295.95920000000001</v>
      </c>
      <c r="H3157" s="1">
        <v>1.9514699999999999E-6</v>
      </c>
      <c r="I3157">
        <v>215.01070000000001</v>
      </c>
      <c r="J3157">
        <v>-306.91669999999999</v>
      </c>
      <c r="K3157">
        <v>1.1104689999999999</v>
      </c>
      <c r="L3157">
        <v>214.16820000000001</v>
      </c>
      <c r="M3157">
        <v>0.99992320000000001</v>
      </c>
      <c r="N3157">
        <v>0</v>
      </c>
      <c r="O3157">
        <v>3.0844840000000002E-3</v>
      </c>
      <c r="P3157">
        <v>0.99593540000000003</v>
      </c>
      <c r="Q3157">
        <v>6.7668599999999995E-2</v>
      </c>
      <c r="R3157">
        <v>-5.9448229999999998E-2</v>
      </c>
      <c r="S3157">
        <v>3.0476380000000001</v>
      </c>
      <c r="T3157">
        <v>-0.2992783</v>
      </c>
      <c r="U3157">
        <v>0.22749330000000001</v>
      </c>
      <c r="V3157">
        <v>6.2406290000000003E-2</v>
      </c>
      <c r="W3157">
        <v>7.9716239999999994E-2</v>
      </c>
      <c r="X3157">
        <v>0.99486220000000003</v>
      </c>
      <c r="Y3157">
        <v>-7.1037149999999993E-2</v>
      </c>
      <c r="Z3157">
        <v>3.1729929999999998E-3</v>
      </c>
      <c r="AA3157">
        <v>0.99746869999999999</v>
      </c>
      <c r="AB3157">
        <v>35</v>
      </c>
      <c r="AC3157">
        <v>10.9574999999999</v>
      </c>
      <c r="AD3157">
        <v>-1.1104670485299999</v>
      </c>
      <c r="AE3157">
        <v>0.84250000000000103</v>
      </c>
      <c r="AF3157">
        <v>-0.80052194203028404</v>
      </c>
      <c r="AG3157">
        <v>-1.1104670485299999</v>
      </c>
      <c r="AH3157">
        <v>10.849274929912699</v>
      </c>
      <c r="AI3157">
        <v>95.828367802146502</v>
      </c>
      <c r="AJ3157">
        <v>94.219965132244994</v>
      </c>
      <c r="AK3157">
        <v>10.935297844611901</v>
      </c>
      <c r="AL3157">
        <v>85.427744653950896</v>
      </c>
      <c r="AM3157">
        <v>86.410620279326594</v>
      </c>
      <c r="AN3157">
        <v>1.0000000104700699</v>
      </c>
    </row>
    <row r="3158" spans="1:40" x14ac:dyDescent="0.25">
      <c r="A3158" t="str">
        <f>"20190312151334143"</f>
        <v>20190312151334143</v>
      </c>
      <c r="B3158" t="str">
        <f>"1552374814133320"</f>
        <v>1552374814133320</v>
      </c>
      <c r="C3158" t="s">
        <v>40</v>
      </c>
      <c r="D3158">
        <v>4.6441169999999996</v>
      </c>
      <c r="E3158">
        <v>0.44838879999999998</v>
      </c>
      <c r="F3158" t="s">
        <v>55</v>
      </c>
      <c r="G3158">
        <v>-295.6771</v>
      </c>
      <c r="H3158" s="1">
        <v>1.9014309999999999E-6</v>
      </c>
      <c r="I3158">
        <v>215.02160000000001</v>
      </c>
      <c r="J3158">
        <v>-306.5652</v>
      </c>
      <c r="K3158">
        <v>1.1104780000000001</v>
      </c>
      <c r="L3158">
        <v>214.16990000000001</v>
      </c>
      <c r="M3158">
        <v>0.99992020000000004</v>
      </c>
      <c r="N3158">
        <v>0</v>
      </c>
      <c r="O3158">
        <v>3.7692979999999999E-3</v>
      </c>
      <c r="P3158">
        <v>0.99607179999999995</v>
      </c>
      <c r="Q3158">
        <v>6.6680089999999997E-2</v>
      </c>
      <c r="R3158">
        <v>-5.8264139999999999E-2</v>
      </c>
      <c r="S3158">
        <v>3.0465390000000001</v>
      </c>
      <c r="T3158">
        <v>-0.30099759999999998</v>
      </c>
      <c r="U3158">
        <v>0.2313385</v>
      </c>
      <c r="V3158">
        <v>6.1904899999999999E-2</v>
      </c>
      <c r="W3158">
        <v>7.8769829999999999E-2</v>
      </c>
      <c r="X3158">
        <v>0.99496890000000004</v>
      </c>
      <c r="Y3158">
        <v>-7.1629100000000001E-2</v>
      </c>
      <c r="Z3158">
        <v>3.1538579999999998E-3</v>
      </c>
      <c r="AA3158">
        <v>0.99742629999999999</v>
      </c>
      <c r="AB3158">
        <v>35</v>
      </c>
      <c r="AC3158">
        <v>10.8881</v>
      </c>
      <c r="AD3158">
        <v>-1.1104760985690001</v>
      </c>
      <c r="AE3158">
        <v>0.85169999999999302</v>
      </c>
      <c r="AF3158">
        <v>-0.80235518087615099</v>
      </c>
      <c r="AG3158">
        <v>-1.1104760985690001</v>
      </c>
      <c r="AH3158">
        <v>10.7797844812448</v>
      </c>
      <c r="AI3158">
        <v>95.865448725441993</v>
      </c>
      <c r="AJ3158">
        <v>94.256759666448701</v>
      </c>
      <c r="AK3158">
        <v>10.8664936600477</v>
      </c>
      <c r="AL3158">
        <v>85.482140998889093</v>
      </c>
      <c r="AM3158">
        <v>86.439764751087196</v>
      </c>
      <c r="AN3158">
        <v>1.0000000073647199</v>
      </c>
    </row>
    <row r="3159" spans="1:40" x14ac:dyDescent="0.25">
      <c r="A3159" t="str">
        <f>"20190312151334164"</f>
        <v>20190312151334164</v>
      </c>
      <c r="B3159" t="str">
        <f>"1552374814153817"</f>
        <v>1552374814153817</v>
      </c>
      <c r="C3159" t="s">
        <v>40</v>
      </c>
      <c r="D3159">
        <v>4.6749109999999998</v>
      </c>
      <c r="E3159">
        <v>0.44839440000000003</v>
      </c>
      <c r="F3159" t="s">
        <v>55</v>
      </c>
      <c r="G3159">
        <v>-295.40199999999999</v>
      </c>
      <c r="H3159" s="1">
        <v>1.8526339999999999E-6</v>
      </c>
      <c r="I3159">
        <v>215.03049999999999</v>
      </c>
      <c r="J3159">
        <v>-306.22359999999998</v>
      </c>
      <c r="K3159">
        <v>1.1104849999999999</v>
      </c>
      <c r="L3159">
        <v>214.17189999999999</v>
      </c>
      <c r="M3159">
        <v>0.99991699999999994</v>
      </c>
      <c r="N3159">
        <v>0</v>
      </c>
      <c r="O3159">
        <v>4.432928E-3</v>
      </c>
      <c r="P3159">
        <v>0.99617860000000003</v>
      </c>
      <c r="Q3159">
        <v>6.603444E-2</v>
      </c>
      <c r="R3159">
        <v>-5.7164109999999997E-2</v>
      </c>
      <c r="S3159">
        <v>3.0458370000000001</v>
      </c>
      <c r="T3159">
        <v>-0.30299029999999999</v>
      </c>
      <c r="U3159">
        <v>0.23480219999999999</v>
      </c>
      <c r="V3159">
        <v>6.1466449999999999E-2</v>
      </c>
      <c r="W3159">
        <v>7.8167070000000005E-2</v>
      </c>
      <c r="X3159">
        <v>0.99504360000000003</v>
      </c>
      <c r="Y3159">
        <v>-7.2108599999999995E-2</v>
      </c>
      <c r="Z3159">
        <v>3.1332249999999999E-3</v>
      </c>
      <c r="AA3159">
        <v>0.9973919</v>
      </c>
      <c r="AB3159">
        <v>35</v>
      </c>
      <c r="AC3159">
        <v>10.821599999999901</v>
      </c>
      <c r="AD3159">
        <v>-1.110483147366</v>
      </c>
      <c r="AE3159">
        <v>0.85859999999999503</v>
      </c>
      <c r="AF3159">
        <v>-0.80222188220784896</v>
      </c>
      <c r="AG3159">
        <v>-1.110483147366</v>
      </c>
      <c r="AH3159">
        <v>10.713192573471501</v>
      </c>
      <c r="AI3159">
        <v>95.901492426200903</v>
      </c>
      <c r="AJ3159">
        <v>94.282412081035602</v>
      </c>
      <c r="AK3159">
        <v>10.800427208456201</v>
      </c>
      <c r="AL3159">
        <v>85.516783344462098</v>
      </c>
      <c r="AM3159">
        <v>86.465181149863895</v>
      </c>
      <c r="AN3159">
        <v>0.99999999060447298</v>
      </c>
    </row>
    <row r="3160" spans="1:40" x14ac:dyDescent="0.25">
      <c r="A3160" t="str">
        <f>"20190312151334197"</f>
        <v>20190312151334197</v>
      </c>
      <c r="B3160" t="str">
        <f>"1552374814193833"</f>
        <v>1552374814193833</v>
      </c>
      <c r="C3160" t="s">
        <v>40</v>
      </c>
      <c r="D3160">
        <v>4.625229</v>
      </c>
      <c r="E3160">
        <v>0.44863710000000001</v>
      </c>
      <c r="F3160" t="s">
        <v>55</v>
      </c>
      <c r="G3160">
        <v>-295.09350000000001</v>
      </c>
      <c r="H3160" s="1">
        <v>1.7979059999999999E-6</v>
      </c>
      <c r="I3160">
        <v>215.04230000000001</v>
      </c>
      <c r="J3160">
        <v>-305.72370000000001</v>
      </c>
      <c r="K3160">
        <v>1.110492</v>
      </c>
      <c r="L3160">
        <v>214.17519999999999</v>
      </c>
      <c r="M3160">
        <v>0.99991149999999995</v>
      </c>
      <c r="N3160">
        <v>0</v>
      </c>
      <c r="O3160">
        <v>5.4009080000000003E-3</v>
      </c>
      <c r="P3160">
        <v>0.9963746</v>
      </c>
      <c r="Q3160">
        <v>6.3989920000000006E-2</v>
      </c>
      <c r="R3160">
        <v>-5.606597E-2</v>
      </c>
      <c r="S3160">
        <v>3.0453489999999999</v>
      </c>
      <c r="T3160">
        <v>-0.30384349999999999</v>
      </c>
      <c r="U3160">
        <v>0.23815919999999999</v>
      </c>
      <c r="V3160">
        <v>6.1335309999999997E-2</v>
      </c>
      <c r="W3160">
        <v>7.6195540000000006E-2</v>
      </c>
      <c r="X3160">
        <v>0.99520459999999999</v>
      </c>
      <c r="Y3160">
        <v>-7.2250330000000001E-2</v>
      </c>
      <c r="Z3160">
        <v>3.053222E-3</v>
      </c>
      <c r="AA3160">
        <v>0.99738190000000004</v>
      </c>
      <c r="AB3160">
        <v>34</v>
      </c>
      <c r="AC3160">
        <v>10.6302</v>
      </c>
      <c r="AD3160">
        <v>-1.110490202094</v>
      </c>
      <c r="AE3160">
        <v>0.86710000000002097</v>
      </c>
      <c r="AF3160">
        <v>-0.80098693191841697</v>
      </c>
      <c r="AG3160">
        <v>-1.110490202094</v>
      </c>
      <c r="AH3160">
        <v>10.5206745110432</v>
      </c>
      <c r="AI3160">
        <v>96.008177764728401</v>
      </c>
      <c r="AJ3160">
        <v>94.353789759636001</v>
      </c>
      <c r="AK3160">
        <v>10.6093996400063</v>
      </c>
      <c r="AL3160">
        <v>85.630081662498</v>
      </c>
      <c r="AM3160">
        <v>86.473272892112206</v>
      </c>
      <c r="AN3160">
        <v>0.99999998821492297</v>
      </c>
    </row>
    <row r="3161" spans="1:40" x14ac:dyDescent="0.25">
      <c r="A3161" t="str">
        <f>"20190312151334233"</f>
        <v>20190312151334233</v>
      </c>
      <c r="B3161" t="str">
        <f>"1552374814223113"</f>
        <v>1552374814223113</v>
      </c>
      <c r="C3161" t="s">
        <v>40</v>
      </c>
      <c r="D3161">
        <v>4.6423620000000003</v>
      </c>
      <c r="E3161">
        <v>0.44865690000000003</v>
      </c>
      <c r="F3161" t="s">
        <v>55</v>
      </c>
      <c r="G3161">
        <v>-294.5634</v>
      </c>
      <c r="H3161" s="1">
        <v>1.7038769999999999E-6</v>
      </c>
      <c r="I3161">
        <v>215.0532</v>
      </c>
      <c r="J3161">
        <v>-305.173</v>
      </c>
      <c r="K3161">
        <v>1.1104989999999999</v>
      </c>
      <c r="L3161">
        <v>214.17939999999999</v>
      </c>
      <c r="M3161">
        <v>0.99990420000000002</v>
      </c>
      <c r="N3161">
        <v>0</v>
      </c>
      <c r="O3161">
        <v>6.4643050000000001E-3</v>
      </c>
      <c r="P3161">
        <v>0.99654509999999996</v>
      </c>
      <c r="Q3161">
        <v>6.2317659999999997E-2</v>
      </c>
      <c r="R3161">
        <v>-5.4903899999999999E-2</v>
      </c>
      <c r="S3161">
        <v>3.0438540000000001</v>
      </c>
      <c r="T3161">
        <v>-0.3028749</v>
      </c>
      <c r="U3161">
        <v>0.23945620000000001</v>
      </c>
      <c r="V3161">
        <v>6.123551E-2</v>
      </c>
      <c r="W3161">
        <v>7.4602199999999994E-2</v>
      </c>
      <c r="X3161">
        <v>0.99533150000000004</v>
      </c>
      <c r="Y3161">
        <v>-7.1659990000000007E-2</v>
      </c>
      <c r="Z3161">
        <v>2.9103330000000002E-3</v>
      </c>
      <c r="AA3161">
        <v>0.99742489999999995</v>
      </c>
      <c r="AB3161">
        <v>34</v>
      </c>
      <c r="AC3161">
        <v>10.6096</v>
      </c>
      <c r="AD3161">
        <v>-1.110497296123</v>
      </c>
      <c r="AE3161">
        <v>0.87380000000001701</v>
      </c>
      <c r="AF3161">
        <v>-0.79652527658449601</v>
      </c>
      <c r="AG3161">
        <v>-1.110497296123</v>
      </c>
      <c r="AH3161">
        <v>10.500759963063199</v>
      </c>
      <c r="AI3161">
        <v>96.0196534245229</v>
      </c>
      <c r="AJ3161">
        <v>94.337810538628602</v>
      </c>
      <c r="AK3161">
        <v>10.5893161518015</v>
      </c>
      <c r="AL3161">
        <v>85.721634140871103</v>
      </c>
      <c r="AM3161">
        <v>86.479444639270199</v>
      </c>
      <c r="AN3161">
        <v>1.0000000354110199</v>
      </c>
    </row>
    <row r="3162" spans="1:40" x14ac:dyDescent="0.25">
      <c r="A3162" t="str">
        <f>"20190312151334255"</f>
        <v>20190312151334255</v>
      </c>
      <c r="B3162" t="str">
        <f>"1552374814243610"</f>
        <v>1552374814243610</v>
      </c>
      <c r="C3162" t="s">
        <v>40</v>
      </c>
      <c r="D3162">
        <v>4.64649</v>
      </c>
      <c r="E3162">
        <v>0.44869429999999999</v>
      </c>
      <c r="F3162" t="s">
        <v>55</v>
      </c>
      <c r="G3162">
        <v>-294.142</v>
      </c>
      <c r="H3162" s="1">
        <v>1.6291359999999999E-6</v>
      </c>
      <c r="I3162">
        <v>215.0608</v>
      </c>
      <c r="J3162">
        <v>-304.82960000000003</v>
      </c>
      <c r="K3162">
        <v>1.1105020000000001</v>
      </c>
      <c r="L3162">
        <v>214.1824</v>
      </c>
      <c r="M3162">
        <v>0.99989910000000004</v>
      </c>
      <c r="N3162">
        <v>0</v>
      </c>
      <c r="O3162">
        <v>7.1261650000000003E-3</v>
      </c>
      <c r="P3162">
        <v>0.99664240000000004</v>
      </c>
      <c r="Q3162">
        <v>6.130244E-2</v>
      </c>
      <c r="R3162">
        <v>-5.4278630000000001E-2</v>
      </c>
      <c r="S3162">
        <v>3.0429379999999999</v>
      </c>
      <c r="T3162">
        <v>-0.30633569999999999</v>
      </c>
      <c r="U3162">
        <v>0.24311830000000001</v>
      </c>
      <c r="V3162">
        <v>6.127171E-2</v>
      </c>
      <c r="W3162">
        <v>7.3636419999999994E-2</v>
      </c>
      <c r="X3162">
        <v>0.99540110000000004</v>
      </c>
      <c r="Y3162">
        <v>-7.2209179999999998E-2</v>
      </c>
      <c r="Z3162">
        <v>2.9053410000000001E-3</v>
      </c>
      <c r="AA3162">
        <v>0.99738530000000003</v>
      </c>
      <c r="AB3162">
        <v>34</v>
      </c>
      <c r="AC3162">
        <v>10.6876</v>
      </c>
      <c r="AD3162">
        <v>-1.110500370864</v>
      </c>
      <c r="AE3162">
        <v>0.87839999999999896</v>
      </c>
      <c r="AF3162">
        <v>-0.79369878460327503</v>
      </c>
      <c r="AG3162">
        <v>-1.110500370864</v>
      </c>
      <c r="AH3162">
        <v>10.5801283155158</v>
      </c>
      <c r="AI3162">
        <v>95.975212483665402</v>
      </c>
      <c r="AJ3162">
        <v>94.290171982407699</v>
      </c>
      <c r="AK3162">
        <v>10.667815334319799</v>
      </c>
      <c r="AL3162">
        <v>85.777121512087604</v>
      </c>
      <c r="AM3162">
        <v>86.477614353694193</v>
      </c>
      <c r="AN3162">
        <v>0.99999994733897302</v>
      </c>
    </row>
    <row r="3163" spans="1:40" x14ac:dyDescent="0.25">
      <c r="A3163" t="str">
        <f>"20190312151334276"</f>
        <v>20190312151334276</v>
      </c>
      <c r="B3163" t="str">
        <f>"1552374814273865"</f>
        <v>1552374814273865</v>
      </c>
      <c r="C3163" t="s">
        <v>40</v>
      </c>
      <c r="D3163">
        <v>4.6311229999999997</v>
      </c>
      <c r="E3163">
        <v>0.44872640000000003</v>
      </c>
      <c r="F3163" t="s">
        <v>55</v>
      </c>
      <c r="G3163">
        <v>-293.84820000000002</v>
      </c>
      <c r="H3163" s="1">
        <v>1.5770150000000001E-6</v>
      </c>
      <c r="I3163">
        <v>215.06530000000001</v>
      </c>
      <c r="J3163">
        <v>-304.5027</v>
      </c>
      <c r="K3163">
        <v>1.1105020000000001</v>
      </c>
      <c r="L3163">
        <v>214.18530000000001</v>
      </c>
      <c r="M3163">
        <v>0.9998939</v>
      </c>
      <c r="N3163">
        <v>0</v>
      </c>
      <c r="O3163">
        <v>7.7551779999999997E-3</v>
      </c>
      <c r="P3163">
        <v>0.99674050000000003</v>
      </c>
      <c r="Q3163">
        <v>6.0134600000000003E-2</v>
      </c>
      <c r="R3163">
        <v>-5.3781919999999997E-2</v>
      </c>
      <c r="S3163">
        <v>3.0423279999999999</v>
      </c>
      <c r="T3163">
        <v>-0.30765720000000002</v>
      </c>
      <c r="U3163">
        <v>0.24461359999999999</v>
      </c>
      <c r="V3163">
        <v>6.1404210000000001E-2</v>
      </c>
      <c r="W3163">
        <v>7.2516929999999993E-2</v>
      </c>
      <c r="X3163">
        <v>0.9954752</v>
      </c>
      <c r="Y3163">
        <v>-7.2085640000000006E-2</v>
      </c>
      <c r="Z3163">
        <v>2.8487740000000001E-3</v>
      </c>
      <c r="AA3163">
        <v>0.99739440000000001</v>
      </c>
      <c r="AB3163">
        <v>34</v>
      </c>
      <c r="AC3163">
        <v>10.654499999999899</v>
      </c>
      <c r="AD3163">
        <v>-1.110500422985</v>
      </c>
      <c r="AE3163">
        <v>0.87999999999999501</v>
      </c>
      <c r="AF3163">
        <v>-0.788828302899238</v>
      </c>
      <c r="AG3163">
        <v>-1.110500422985</v>
      </c>
      <c r="AH3163">
        <v>10.547201046973299</v>
      </c>
      <c r="AI3163">
        <v>95.993832037296997</v>
      </c>
      <c r="AJ3163">
        <v>94.277205274183601</v>
      </c>
      <c r="AK3163">
        <v>10.6347971868851</v>
      </c>
      <c r="AL3163">
        <v>85.8414358617853</v>
      </c>
      <c r="AM3163">
        <v>86.470278535300494</v>
      </c>
      <c r="AN3163">
        <v>1.00000002797869</v>
      </c>
    </row>
    <row r="3164" spans="1:40" x14ac:dyDescent="0.25">
      <c r="A3164" t="str">
        <f>"20190312151334298"</f>
        <v>20190312151334298</v>
      </c>
      <c r="B3164" t="str">
        <f>"1552374814293385"</f>
        <v>1552374814293385</v>
      </c>
      <c r="C3164" t="s">
        <v>40</v>
      </c>
      <c r="D3164">
        <v>4.6633579999999997</v>
      </c>
      <c r="E3164">
        <v>0.4487276</v>
      </c>
      <c r="F3164" t="s">
        <v>55</v>
      </c>
      <c r="G3164">
        <v>-293.56130000000002</v>
      </c>
      <c r="H3164" s="1">
        <v>1.5261249999999999E-6</v>
      </c>
      <c r="I3164">
        <v>215.06899999999999</v>
      </c>
      <c r="J3164">
        <v>-304.17009999999999</v>
      </c>
      <c r="K3164">
        <v>1.1105050000000001</v>
      </c>
      <c r="L3164">
        <v>214.18860000000001</v>
      </c>
      <c r="M3164">
        <v>0.99988790000000005</v>
      </c>
      <c r="N3164">
        <v>0</v>
      </c>
      <c r="O3164">
        <v>8.3938699999999995E-3</v>
      </c>
      <c r="P3164">
        <v>0.9968129</v>
      </c>
      <c r="Q3164">
        <v>5.9467069999999997E-2</v>
      </c>
      <c r="R3164">
        <v>-5.317181E-2</v>
      </c>
      <c r="S3164">
        <v>3.041687</v>
      </c>
      <c r="T3164">
        <v>-0.3087182</v>
      </c>
      <c r="U3164">
        <v>0.24565119999999999</v>
      </c>
      <c r="V3164">
        <v>6.143237E-2</v>
      </c>
      <c r="W3164">
        <v>7.1901999999999994E-2</v>
      </c>
      <c r="X3164">
        <v>0.99551800000000001</v>
      </c>
      <c r="Y3164">
        <v>-7.1805690000000005E-2</v>
      </c>
      <c r="Z3164">
        <v>2.780411E-3</v>
      </c>
      <c r="AA3164">
        <v>0.99741480000000005</v>
      </c>
      <c r="AB3164">
        <v>34</v>
      </c>
      <c r="AC3164">
        <v>10.608799999999899</v>
      </c>
      <c r="AD3164">
        <v>-1.1105034738749999</v>
      </c>
      <c r="AE3164">
        <v>0.88040000000000795</v>
      </c>
      <c r="AF3164">
        <v>-0.782794525134059</v>
      </c>
      <c r="AG3164">
        <v>-1.1105034738749999</v>
      </c>
      <c r="AH3164">
        <v>10.501534333014799</v>
      </c>
      <c r="AI3164">
        <v>96.019832736443803</v>
      </c>
      <c r="AJ3164">
        <v>94.262998900594795</v>
      </c>
      <c r="AK3164">
        <v>10.5890607978969</v>
      </c>
      <c r="AL3164">
        <v>85.876760695015506</v>
      </c>
      <c r="AM3164">
        <v>86.468815336153995</v>
      </c>
      <c r="AN3164">
        <v>0.99999996100590705</v>
      </c>
    </row>
    <row r="3165" spans="1:40" x14ac:dyDescent="0.25">
      <c r="A3165" t="str">
        <f>"20190312151334320"</f>
        <v>20190312151334320</v>
      </c>
      <c r="B3165" t="str">
        <f>"1552374814313880"</f>
        <v>1552374814313880</v>
      </c>
      <c r="C3165" t="s">
        <v>40</v>
      </c>
      <c r="D3165">
        <v>4.6443879999999904</v>
      </c>
      <c r="E3165">
        <v>0.448716</v>
      </c>
      <c r="F3165" t="s">
        <v>55</v>
      </c>
      <c r="G3165">
        <v>-293.27550000000002</v>
      </c>
      <c r="H3165" s="1">
        <v>1.4754249999999999E-6</v>
      </c>
      <c r="I3165">
        <v>215.07509999999999</v>
      </c>
      <c r="J3165">
        <v>-303.81779999999998</v>
      </c>
      <c r="K3165">
        <v>1.1105050000000001</v>
      </c>
      <c r="L3165">
        <v>214.19229999999999</v>
      </c>
      <c r="M3165">
        <v>0.99988129999999997</v>
      </c>
      <c r="N3165">
        <v>0</v>
      </c>
      <c r="O3165">
        <v>9.0689369999999991E-3</v>
      </c>
      <c r="P3165">
        <v>0.99688719999999997</v>
      </c>
      <c r="Q3165">
        <v>5.8509329999999998E-2</v>
      </c>
      <c r="R3165">
        <v>-5.284515E-2</v>
      </c>
      <c r="S3165">
        <v>3.0413209999999999</v>
      </c>
      <c r="T3165">
        <v>-0.31000660000000002</v>
      </c>
      <c r="U3165">
        <v>0.24746699999999999</v>
      </c>
      <c r="V3165">
        <v>6.1780620000000001E-2</v>
      </c>
      <c r="W3165">
        <v>7.1002599999999999E-2</v>
      </c>
      <c r="X3165">
        <v>0.99556109999999998</v>
      </c>
      <c r="Y3165">
        <v>-7.1734640000000002E-2</v>
      </c>
      <c r="Z3165">
        <v>2.720105E-3</v>
      </c>
      <c r="AA3165">
        <v>0.99742010000000003</v>
      </c>
      <c r="AB3165">
        <v>34</v>
      </c>
      <c r="AC3165">
        <v>10.5422999999999</v>
      </c>
      <c r="AD3165">
        <v>-1.1105035245749999</v>
      </c>
      <c r="AE3165">
        <v>0.88280000000000303</v>
      </c>
      <c r="AF3165">
        <v>-0.77856991039190204</v>
      </c>
      <c r="AG3165">
        <v>-1.1105035245749999</v>
      </c>
      <c r="AH3165">
        <v>10.434893044525101</v>
      </c>
      <c r="AI3165">
        <v>96.057961270307004</v>
      </c>
      <c r="AJ3165">
        <v>94.267055398200796</v>
      </c>
      <c r="AK3165">
        <v>10.5226604066718</v>
      </c>
      <c r="AL3165">
        <v>85.928424974614799</v>
      </c>
      <c r="AM3165">
        <v>86.449002056095793</v>
      </c>
      <c r="AN3165">
        <v>1.0000000590237701</v>
      </c>
    </row>
    <row r="3166" spans="1:40" x14ac:dyDescent="0.25">
      <c r="A3166" t="str">
        <f>"20190312151334344"</f>
        <v>20190312151334344</v>
      </c>
      <c r="B3166" t="str">
        <f>"1552374814333402"</f>
        <v>1552374814333402</v>
      </c>
      <c r="C3166" t="s">
        <v>40</v>
      </c>
      <c r="D3166">
        <v>4.6772549999999997</v>
      </c>
      <c r="E3166">
        <v>0.44869160000000002</v>
      </c>
      <c r="F3166" t="s">
        <v>55</v>
      </c>
      <c r="G3166">
        <v>-293.04169999999999</v>
      </c>
      <c r="H3166" s="1">
        <v>1.4339660000000001E-6</v>
      </c>
      <c r="I3166">
        <v>215.07339999999999</v>
      </c>
      <c r="J3166">
        <v>-303.46510000000001</v>
      </c>
      <c r="K3166">
        <v>1.1105020000000001</v>
      </c>
      <c r="L3166">
        <v>214.1962</v>
      </c>
      <c r="M3166">
        <v>0.99987440000000005</v>
      </c>
      <c r="N3166">
        <v>0</v>
      </c>
      <c r="O3166">
        <v>9.7449059999999994E-3</v>
      </c>
      <c r="P3166">
        <v>0.99697519999999995</v>
      </c>
      <c r="Q3166">
        <v>5.7571749999999998E-2</v>
      </c>
      <c r="R3166">
        <v>-5.2211529999999999E-2</v>
      </c>
      <c r="S3166">
        <v>3.0409549999999999</v>
      </c>
      <c r="T3166">
        <v>-0.31337930000000003</v>
      </c>
      <c r="U3166">
        <v>0.24865719999999999</v>
      </c>
      <c r="V3166">
        <v>6.1823139999999999E-2</v>
      </c>
      <c r="W3166">
        <v>7.0121230000000007E-2</v>
      </c>
      <c r="X3166">
        <v>0.99562079999999997</v>
      </c>
      <c r="Y3166">
        <v>-7.1455759999999993E-2</v>
      </c>
      <c r="Z3166">
        <v>2.6661689999999999E-3</v>
      </c>
      <c r="AA3166">
        <v>0.9974402</v>
      </c>
      <c r="AB3166">
        <v>34</v>
      </c>
      <c r="AC3166">
        <v>10.423400000000001</v>
      </c>
      <c r="AD3166">
        <v>-1.1105005660339999</v>
      </c>
      <c r="AE3166">
        <v>0.87719999999998699</v>
      </c>
      <c r="AF3166">
        <v>-0.766931441952448</v>
      </c>
      <c r="AG3166">
        <v>-1.1105005660339999</v>
      </c>
      <c r="AH3166">
        <v>10.3151936668785</v>
      </c>
      <c r="AI3166">
        <v>96.127829183455702</v>
      </c>
      <c r="AJ3166">
        <v>94.252099881459202</v>
      </c>
      <c r="AK3166">
        <v>10.4031060616062</v>
      </c>
      <c r="AL3166">
        <v>85.979049432465601</v>
      </c>
      <c r="AM3166">
        <v>86.446776898388606</v>
      </c>
      <c r="AN3166">
        <v>0.999999932464403</v>
      </c>
    </row>
    <row r="3167" spans="1:40" x14ac:dyDescent="0.25">
      <c r="A3167" t="str">
        <f>"20190312151334365"</f>
        <v>20190312151334365</v>
      </c>
      <c r="B3167" t="str">
        <f>"1552374814353898"</f>
        <v>1552374814353898</v>
      </c>
      <c r="C3167" t="s">
        <v>40</v>
      </c>
      <c r="D3167">
        <v>4.7131740000000004</v>
      </c>
      <c r="E3167">
        <v>0.44865280000000002</v>
      </c>
      <c r="F3167" t="s">
        <v>55</v>
      </c>
      <c r="G3167">
        <v>-292.78559999999999</v>
      </c>
      <c r="H3167" s="1">
        <v>1.3885290000000001E-6</v>
      </c>
      <c r="I3167">
        <v>215.07759999999999</v>
      </c>
      <c r="J3167">
        <v>-303.14080000000001</v>
      </c>
      <c r="K3167">
        <v>1.110506</v>
      </c>
      <c r="L3167">
        <v>214.2</v>
      </c>
      <c r="M3167">
        <v>0.99986759999999997</v>
      </c>
      <c r="N3167">
        <v>0</v>
      </c>
      <c r="O3167">
        <v>1.036628E-2</v>
      </c>
      <c r="P3167">
        <v>0.99706399999999995</v>
      </c>
      <c r="Q3167">
        <v>5.6371570000000003E-2</v>
      </c>
      <c r="R3167">
        <v>-5.1827459999999999E-2</v>
      </c>
      <c r="S3167">
        <v>3.040527</v>
      </c>
      <c r="T3167">
        <v>-0.316166</v>
      </c>
      <c r="U3167">
        <v>0.250946</v>
      </c>
      <c r="V3167">
        <v>6.2060999999999998E-2</v>
      </c>
      <c r="W3167">
        <v>6.8968650000000006E-2</v>
      </c>
      <c r="X3167">
        <v>0.99568659999999998</v>
      </c>
      <c r="Y3167">
        <v>-7.1589860000000005E-2</v>
      </c>
      <c r="Z3167">
        <v>2.632667E-3</v>
      </c>
      <c r="AA3167">
        <v>0.9974307</v>
      </c>
      <c r="AB3167">
        <v>34</v>
      </c>
      <c r="AC3167">
        <v>10.3552</v>
      </c>
      <c r="AD3167">
        <v>-1.110504611471</v>
      </c>
      <c r="AE3167">
        <v>0.87760000000000105</v>
      </c>
      <c r="AF3167">
        <v>-0.76150412506207399</v>
      </c>
      <c r="AG3167">
        <v>-1.110504611471</v>
      </c>
      <c r="AH3167">
        <v>10.2467375480729</v>
      </c>
      <c r="AI3167">
        <v>96.168490451480693</v>
      </c>
      <c r="AJ3167">
        <v>94.250222383327497</v>
      </c>
      <c r="AK3167">
        <v>10.334831367935999</v>
      </c>
      <c r="AL3167">
        <v>86.045248050370802</v>
      </c>
      <c r="AM3167">
        <v>86.433376466366695</v>
      </c>
      <c r="AN3167">
        <v>1.00000002391169</v>
      </c>
    </row>
    <row r="3168" spans="1:40" x14ac:dyDescent="0.25">
      <c r="A3168" t="str">
        <f>"20190312151334388"</f>
        <v>20190312151334388</v>
      </c>
      <c r="B3168" t="str">
        <f>"1552374814383177"</f>
        <v>1552374814383177</v>
      </c>
      <c r="C3168" t="s">
        <v>40</v>
      </c>
      <c r="D3168">
        <v>4.6738540000000004</v>
      </c>
      <c r="E3168">
        <v>0.44868580000000002</v>
      </c>
      <c r="F3168" t="s">
        <v>55</v>
      </c>
      <c r="G3168">
        <v>-292.60829999999999</v>
      </c>
      <c r="H3168" s="1">
        <v>1.357072E-6</v>
      </c>
      <c r="I3168">
        <v>215.07560000000001</v>
      </c>
      <c r="J3168">
        <v>-302.79469999999998</v>
      </c>
      <c r="K3168">
        <v>1.1105</v>
      </c>
      <c r="L3168">
        <v>214.20429999999999</v>
      </c>
      <c r="M3168">
        <v>0.99985990000000002</v>
      </c>
      <c r="N3168">
        <v>0</v>
      </c>
      <c r="O3168">
        <v>1.1028609999999999E-2</v>
      </c>
      <c r="P3168">
        <v>0.99711070000000002</v>
      </c>
      <c r="Q3168">
        <v>5.5757550000000003E-2</v>
      </c>
      <c r="R3168">
        <v>-5.158956E-2</v>
      </c>
      <c r="S3168">
        <v>3.0400700000000001</v>
      </c>
      <c r="T3168">
        <v>-0.32053140000000002</v>
      </c>
      <c r="U3168">
        <v>0.25273129999999999</v>
      </c>
      <c r="V3168">
        <v>6.248488E-2</v>
      </c>
      <c r="W3168">
        <v>6.8400160000000002E-2</v>
      </c>
      <c r="X3168">
        <v>0.99569929999999995</v>
      </c>
      <c r="Y3168">
        <v>-7.1518100000000001E-2</v>
      </c>
      <c r="Z3168">
        <v>2.5958779999999998E-3</v>
      </c>
      <c r="AA3168">
        <v>0.99743590000000004</v>
      </c>
      <c r="AB3168">
        <v>34</v>
      </c>
      <c r="AC3168">
        <v>10.1863999999999</v>
      </c>
      <c r="AD3168">
        <v>-1.1104986429279999</v>
      </c>
      <c r="AE3168">
        <v>0.87130000000001895</v>
      </c>
      <c r="AF3168">
        <v>-0.75004679534334395</v>
      </c>
      <c r="AG3168">
        <v>-1.1104986429279999</v>
      </c>
      <c r="AH3168">
        <v>10.076502243904001</v>
      </c>
      <c r="AI3168">
        <v>96.271791035023995</v>
      </c>
      <c r="AJ3168">
        <v>94.256974228148295</v>
      </c>
      <c r="AK3168">
        <v>10.1652188811925</v>
      </c>
      <c r="AL3168">
        <v>86.077897211777099</v>
      </c>
      <c r="AM3168">
        <v>86.409125440950305</v>
      </c>
      <c r="AN3168">
        <v>1.0000000190685601</v>
      </c>
    </row>
    <row r="3169" spans="1:40" x14ac:dyDescent="0.25">
      <c r="A3169" t="str">
        <f>"20190312151334410"</f>
        <v>20190312151334410</v>
      </c>
      <c r="B3169" t="str">
        <f>"1552374814403673"</f>
        <v>1552374814403673</v>
      </c>
      <c r="C3169" t="s">
        <v>40</v>
      </c>
      <c r="D3169">
        <v>4.6611209999999996</v>
      </c>
      <c r="E3169">
        <v>0.4487603</v>
      </c>
      <c r="F3169" t="s">
        <v>55</v>
      </c>
      <c r="G3169">
        <v>-292.32369999999997</v>
      </c>
      <c r="H3169" s="1">
        <v>1.3065929999999999E-6</v>
      </c>
      <c r="I3169">
        <v>215.0762</v>
      </c>
      <c r="J3169">
        <v>-302.44979999999998</v>
      </c>
      <c r="K3169">
        <v>1.110501</v>
      </c>
      <c r="L3169">
        <v>214.2088</v>
      </c>
      <c r="M3169">
        <v>0.99985190000000002</v>
      </c>
      <c r="N3169">
        <v>0</v>
      </c>
      <c r="O3169">
        <v>1.168812E-2</v>
      </c>
      <c r="P3169">
        <v>0.99713300000000005</v>
      </c>
      <c r="Q3169">
        <v>5.5567510000000001E-2</v>
      </c>
      <c r="R3169">
        <v>-5.1363539999999999E-2</v>
      </c>
      <c r="S3169">
        <v>3.039825</v>
      </c>
      <c r="T3169">
        <v>-0.32238610000000001</v>
      </c>
      <c r="U3169">
        <v>0.25311280000000003</v>
      </c>
      <c r="V3169">
        <v>6.2916669999999994E-2</v>
      </c>
      <c r="W3169">
        <v>6.8250779999999997E-2</v>
      </c>
      <c r="X3169">
        <v>0.99568239999999997</v>
      </c>
      <c r="Y3169">
        <v>-7.0993799999999996E-2</v>
      </c>
      <c r="Z3169">
        <v>2.5137179999999999E-3</v>
      </c>
      <c r="AA3169">
        <v>0.99747359999999896</v>
      </c>
      <c r="AB3169">
        <v>34</v>
      </c>
      <c r="AC3169">
        <v>10.126099999999999</v>
      </c>
      <c r="AD3169">
        <v>-1.1104996934069999</v>
      </c>
      <c r="AE3169">
        <v>0.86740000000000295</v>
      </c>
      <c r="AF3169">
        <v>-0.74013950595806699</v>
      </c>
      <c r="AG3169">
        <v>-1.1104996934069999</v>
      </c>
      <c r="AH3169">
        <v>10.0159640755525</v>
      </c>
      <c r="AI3169">
        <v>96.309648844865606</v>
      </c>
      <c r="AJ3169">
        <v>94.226246452870399</v>
      </c>
      <c r="AK3169">
        <v>10.1044817986919</v>
      </c>
      <c r="AL3169">
        <v>86.086476259834001</v>
      </c>
      <c r="AM3169">
        <v>86.384315770817096</v>
      </c>
      <c r="AN3169">
        <v>1.0000000590021201</v>
      </c>
    </row>
    <row r="3170" spans="1:40" x14ac:dyDescent="0.25">
      <c r="A3170" t="str">
        <f>"20190312151334432"</f>
        <v>20190312151334432</v>
      </c>
      <c r="B3170" t="str">
        <f>"1552374814423193"</f>
        <v>1552374814423193</v>
      </c>
      <c r="C3170" t="s">
        <v>40</v>
      </c>
      <c r="D3170">
        <v>4.6560090000000001</v>
      </c>
      <c r="E3170">
        <v>0.4488124</v>
      </c>
      <c r="F3170" t="s">
        <v>55</v>
      </c>
      <c r="G3170">
        <v>-291.98160000000001</v>
      </c>
      <c r="H3170" s="1">
        <v>1.2459119999999999E-6</v>
      </c>
      <c r="I3170">
        <v>215.08099999999999</v>
      </c>
      <c r="J3170">
        <v>-302.10379999999998</v>
      </c>
      <c r="K3170">
        <v>1.1105039999999999</v>
      </c>
      <c r="L3170">
        <v>214.21360000000001</v>
      </c>
      <c r="M3170">
        <v>0.9998435</v>
      </c>
      <c r="N3170">
        <v>0</v>
      </c>
      <c r="O3170">
        <v>1.2349789999999999E-2</v>
      </c>
      <c r="P3170">
        <v>0.99712080000000003</v>
      </c>
      <c r="Q3170">
        <v>5.5772919999999997E-2</v>
      </c>
      <c r="R3170">
        <v>-5.1379139999999997E-2</v>
      </c>
      <c r="S3170">
        <v>3.0396420000000002</v>
      </c>
      <c r="T3170">
        <v>-0.32245479999999999</v>
      </c>
      <c r="U3170">
        <v>0.25325009999999998</v>
      </c>
      <c r="V3170">
        <v>6.3591199999999903E-2</v>
      </c>
      <c r="W3170">
        <v>6.8491990000000003E-2</v>
      </c>
      <c r="X3170">
        <v>0.99562289999999998</v>
      </c>
      <c r="Y3170">
        <v>-7.0390270000000005E-2</v>
      </c>
      <c r="Z3170">
        <v>2.4126690000000001E-3</v>
      </c>
      <c r="AA3170">
        <v>0.99751659999999998</v>
      </c>
      <c r="AB3170">
        <v>34</v>
      </c>
      <c r="AC3170">
        <v>10.1221999999999</v>
      </c>
      <c r="AD3170">
        <v>-1.1105027540879999</v>
      </c>
      <c r="AE3170">
        <v>0.86739999999997497</v>
      </c>
      <c r="AF3170">
        <v>-0.73355194859389605</v>
      </c>
      <c r="AG3170">
        <v>-1.1105027540879999</v>
      </c>
      <c r="AH3170">
        <v>10.0125069609494</v>
      </c>
      <c r="AI3170">
        <v>96.312116890373701</v>
      </c>
      <c r="AJ3170">
        <v>94.190206685544695</v>
      </c>
      <c r="AK3170">
        <v>10.1005747594473</v>
      </c>
      <c r="AL3170">
        <v>86.0726232037335</v>
      </c>
      <c r="AM3170">
        <v>86.345438686127196</v>
      </c>
      <c r="AN3170">
        <v>0.99999997620800396</v>
      </c>
    </row>
    <row r="3171" spans="1:40" x14ac:dyDescent="0.25">
      <c r="A3171" t="str">
        <f>"20190312151334456"</f>
        <v>20190312151334456</v>
      </c>
      <c r="B3171" t="str">
        <f>"1552374814443688"</f>
        <v>1552374814443688</v>
      </c>
      <c r="C3171" t="s">
        <v>40</v>
      </c>
      <c r="D3171">
        <v>4.6662919999999897</v>
      </c>
      <c r="E3171">
        <v>0.44889129999999999</v>
      </c>
      <c r="F3171" t="s">
        <v>55</v>
      </c>
      <c r="G3171">
        <v>-291.5872</v>
      </c>
      <c r="H3171" s="1">
        <v>1.175943E-6</v>
      </c>
      <c r="I3171">
        <v>215.09039999999999</v>
      </c>
      <c r="J3171">
        <v>-301.7509</v>
      </c>
      <c r="K3171">
        <v>1.1104989999999999</v>
      </c>
      <c r="L3171">
        <v>214.21870000000001</v>
      </c>
      <c r="M3171">
        <v>0.99983440000000001</v>
      </c>
      <c r="N3171">
        <v>0</v>
      </c>
      <c r="O3171">
        <v>1.302501E-2</v>
      </c>
      <c r="P3171">
        <v>0.99716859999999996</v>
      </c>
      <c r="Q3171">
        <v>5.5584300000000003E-2</v>
      </c>
      <c r="R3171">
        <v>-5.0644210000000002E-2</v>
      </c>
      <c r="S3171">
        <v>3.0396730000000001</v>
      </c>
      <c r="T3171">
        <v>-0.3209728</v>
      </c>
      <c r="U3171">
        <v>0.25341799999999998</v>
      </c>
      <c r="V3171">
        <v>6.3530329999999996E-2</v>
      </c>
      <c r="W3171">
        <v>6.8335469999999995E-2</v>
      </c>
      <c r="X3171">
        <v>0.99563749999999995</v>
      </c>
      <c r="Y3171">
        <v>-6.9780549999999997E-2</v>
      </c>
      <c r="Z3171">
        <v>2.2986009999999999E-3</v>
      </c>
      <c r="AA3171">
        <v>0.99755970000000005</v>
      </c>
      <c r="AB3171">
        <v>34</v>
      </c>
      <c r="AC3171">
        <v>10.1637</v>
      </c>
      <c r="AD3171">
        <v>-1.11049782405699</v>
      </c>
      <c r="AE3171">
        <v>0.87169999999997505</v>
      </c>
      <c r="AF3171">
        <v>-0.73057513243979</v>
      </c>
      <c r="AG3171">
        <v>-1.11049782405699</v>
      </c>
      <c r="AH3171">
        <v>10.055032003695599</v>
      </c>
      <c r="AI3171">
        <v>96.285882126891295</v>
      </c>
      <c r="AJ3171">
        <v>94.155674946621701</v>
      </c>
      <c r="AK3171">
        <v>10.142515173107601</v>
      </c>
      <c r="AL3171">
        <v>86.081612039906602</v>
      </c>
      <c r="AM3171">
        <v>86.348980788816803</v>
      </c>
      <c r="AN3171">
        <v>0.99999993534813703</v>
      </c>
    </row>
    <row r="3172" spans="1:40" x14ac:dyDescent="0.25">
      <c r="A3172" t="str">
        <f>"20190312151334479"</f>
        <v>20190312151334479</v>
      </c>
      <c r="B3172" t="str">
        <f>"1552374814473945"</f>
        <v>1552374814473945</v>
      </c>
      <c r="C3172" t="s">
        <v>40</v>
      </c>
      <c r="D3172">
        <v>4.7137070000000003</v>
      </c>
      <c r="E3172">
        <v>0.44888790000000001</v>
      </c>
      <c r="F3172" t="s">
        <v>55</v>
      </c>
      <c r="G3172">
        <v>-291.22160000000002</v>
      </c>
      <c r="H3172" s="1">
        <v>1.1111090000000001E-6</v>
      </c>
      <c r="I3172">
        <v>215.10130000000001</v>
      </c>
      <c r="J3172">
        <v>-301.3836</v>
      </c>
      <c r="K3172">
        <v>1.1104989999999999</v>
      </c>
      <c r="L3172">
        <v>214.2242</v>
      </c>
      <c r="M3172">
        <v>0.99982459999999995</v>
      </c>
      <c r="N3172">
        <v>0</v>
      </c>
      <c r="O3172">
        <v>1.372808E-2</v>
      </c>
      <c r="P3172">
        <v>0.99724889999999999</v>
      </c>
      <c r="Q3172">
        <v>5.4677759999999999E-2</v>
      </c>
      <c r="R3172">
        <v>-5.00518E-2</v>
      </c>
      <c r="S3172">
        <v>3.0393370000000002</v>
      </c>
      <c r="T3172">
        <v>-0.3205519</v>
      </c>
      <c r="U3172">
        <v>0.254776</v>
      </c>
      <c r="V3172">
        <v>6.3640680000000005E-2</v>
      </c>
      <c r="W3172">
        <v>6.7458690000000002E-2</v>
      </c>
      <c r="X3172">
        <v>0.99569030000000003</v>
      </c>
      <c r="Y3172">
        <v>-6.9536819999999999E-2</v>
      </c>
      <c r="Z3172">
        <v>2.2092190000000001E-3</v>
      </c>
      <c r="AA3172">
        <v>0.99757700000000005</v>
      </c>
      <c r="AB3172">
        <v>34</v>
      </c>
      <c r="AC3172">
        <v>10.1619999999999</v>
      </c>
      <c r="AD3172">
        <v>-1.110497888891</v>
      </c>
      <c r="AE3172">
        <v>0.87710000000001198</v>
      </c>
      <c r="AF3172">
        <v>-0.728861559760415</v>
      </c>
      <c r="AG3172">
        <v>-1.110497888891</v>
      </c>
      <c r="AH3172">
        <v>10.0539081581825</v>
      </c>
      <c r="AI3172">
        <v>96.286652594474702</v>
      </c>
      <c r="AJ3172">
        <v>94.146423617639698</v>
      </c>
      <c r="AK3172">
        <v>10.141277729541599</v>
      </c>
      <c r="AL3172">
        <v>86.131964254601598</v>
      </c>
      <c r="AM3172">
        <v>86.342849708881701</v>
      </c>
      <c r="AN3172">
        <v>0.99999999226073399</v>
      </c>
    </row>
    <row r="3173" spans="1:40" x14ac:dyDescent="0.25">
      <c r="A3173" t="str">
        <f>"20190312151334499"</f>
        <v>20190312151334499</v>
      </c>
      <c r="B3173" t="str">
        <f>"1552374814493466"</f>
        <v>1552374814493466</v>
      </c>
      <c r="C3173" t="s">
        <v>40</v>
      </c>
      <c r="D3173">
        <v>4.6544999999999996</v>
      </c>
      <c r="E3173">
        <v>0.4489649</v>
      </c>
      <c r="F3173" t="s">
        <v>55</v>
      </c>
      <c r="G3173">
        <v>-290.94119999999998</v>
      </c>
      <c r="H3173" s="1">
        <v>1.0613670000000001E-6</v>
      </c>
      <c r="I3173">
        <v>215.1061</v>
      </c>
      <c r="J3173">
        <v>-301.07929999999999</v>
      </c>
      <c r="K3173">
        <v>1.1104969999999901</v>
      </c>
      <c r="L3173">
        <v>214.22900000000001</v>
      </c>
      <c r="M3173">
        <v>0.99981620000000004</v>
      </c>
      <c r="N3173">
        <v>0</v>
      </c>
      <c r="O3173">
        <v>1.431116E-2</v>
      </c>
      <c r="P3173">
        <v>0.99727339999999998</v>
      </c>
      <c r="Q3173">
        <v>5.4098260000000002E-2</v>
      </c>
      <c r="R3173">
        <v>-5.0191939999999997E-2</v>
      </c>
      <c r="S3173">
        <v>3.03891</v>
      </c>
      <c r="T3173">
        <v>-0.32317360000000001</v>
      </c>
      <c r="U3173">
        <v>0.25665280000000001</v>
      </c>
      <c r="V3173">
        <v>6.436335E-2</v>
      </c>
      <c r="W3173">
        <v>6.6901569999999994E-2</v>
      </c>
      <c r="X3173">
        <v>0.9956815</v>
      </c>
      <c r="Y3173">
        <v>-6.9576460000000007E-2</v>
      </c>
      <c r="Z3173">
        <v>2.1678349999999999E-3</v>
      </c>
      <c r="AA3173">
        <v>0.99757430000000002</v>
      </c>
      <c r="AB3173">
        <v>34</v>
      </c>
      <c r="AC3173">
        <v>10.1381</v>
      </c>
      <c r="AD3173">
        <v>-1.11049593863299</v>
      </c>
      <c r="AE3173">
        <v>0.877099999999984</v>
      </c>
      <c r="AF3173">
        <v>-0.72329650558700498</v>
      </c>
      <c r="AG3173">
        <v>-1.11049593863299</v>
      </c>
      <c r="AH3173">
        <v>10.0301637906559</v>
      </c>
      <c r="AI3173">
        <v>96.301576701277298</v>
      </c>
      <c r="AJ3173">
        <v>94.124581267869601</v>
      </c>
      <c r="AK3173">
        <v>10.1173388167096</v>
      </c>
      <c r="AL3173">
        <v>86.163957397965603</v>
      </c>
      <c r="AM3173">
        <v>86.301403066657201</v>
      </c>
      <c r="AN3173">
        <v>1.0000000551669599</v>
      </c>
    </row>
    <row r="3174" spans="1:40" x14ac:dyDescent="0.25">
      <c r="A3174" t="str">
        <f>"20190312151334522"</f>
        <v>20190312151334522</v>
      </c>
      <c r="B3174" t="str">
        <f>"1552374814512985"</f>
        <v>1552374814512985</v>
      </c>
      <c r="C3174" t="s">
        <v>40</v>
      </c>
      <c r="D3174">
        <v>4.6713399999999998</v>
      </c>
      <c r="E3174">
        <v>0.44906360000000001</v>
      </c>
      <c r="F3174" t="s">
        <v>55</v>
      </c>
      <c r="G3174">
        <v>-290.64530000000002</v>
      </c>
      <c r="H3174" s="1">
        <v>1.0088720000000001E-6</v>
      </c>
      <c r="I3174">
        <v>215.10900000000001</v>
      </c>
      <c r="J3174">
        <v>-300.7319</v>
      </c>
      <c r="K3174">
        <v>1.1104969999999901</v>
      </c>
      <c r="L3174">
        <v>214.2347</v>
      </c>
      <c r="M3174">
        <v>0.99980630000000004</v>
      </c>
      <c r="N3174">
        <v>0</v>
      </c>
      <c r="O3174">
        <v>1.497603E-2</v>
      </c>
      <c r="P3174">
        <v>0.99732350000000003</v>
      </c>
      <c r="Q3174">
        <v>5.3063890000000002E-2</v>
      </c>
      <c r="R3174">
        <v>-5.0301999999999999E-2</v>
      </c>
      <c r="S3174">
        <v>3.0386350000000002</v>
      </c>
      <c r="T3174">
        <v>-0.32340350000000001</v>
      </c>
      <c r="U3174">
        <v>0.25628659999999998</v>
      </c>
      <c r="V3174">
        <v>6.5138399999999999E-2</v>
      </c>
      <c r="W3174">
        <v>6.5885780000000005E-2</v>
      </c>
      <c r="X3174">
        <v>0.99569879999999999</v>
      </c>
      <c r="Y3174">
        <v>-6.8808789999999995E-2</v>
      </c>
      <c r="Z3174">
        <v>2.0584890000000002E-3</v>
      </c>
      <c r="AA3174">
        <v>0.99762770000000001</v>
      </c>
      <c r="AB3174">
        <v>34</v>
      </c>
      <c r="AC3174">
        <v>10.086599999999899</v>
      </c>
      <c r="AD3174">
        <v>-1.1104959911279999</v>
      </c>
      <c r="AE3174">
        <v>0.87430000000000496</v>
      </c>
      <c r="AF3174">
        <v>-0.714535969479132</v>
      </c>
      <c r="AG3174">
        <v>-1.1104959911279999</v>
      </c>
      <c r="AH3174">
        <v>9.9785139886272898</v>
      </c>
      <c r="AI3174">
        <v>96.334156853041804</v>
      </c>
      <c r="AJ3174">
        <v>94.095813771864599</v>
      </c>
      <c r="AK3174">
        <v>10.0655106387714</v>
      </c>
      <c r="AL3174">
        <v>86.222286461279595</v>
      </c>
      <c r="AM3174">
        <v>86.2570560433727</v>
      </c>
      <c r="AN3174">
        <v>1.0000000237411</v>
      </c>
    </row>
    <row r="3175" spans="1:40" x14ac:dyDescent="0.25">
      <c r="A3175" t="str">
        <f>"20190312151334544"</f>
        <v>20190312151334544</v>
      </c>
      <c r="B3175" t="str">
        <f>"1552374814533481"</f>
        <v>1552374814533481</v>
      </c>
      <c r="C3175" t="s">
        <v>40</v>
      </c>
      <c r="D3175">
        <v>4.6899470000000001</v>
      </c>
      <c r="E3175">
        <v>0.44910050000000001</v>
      </c>
      <c r="F3175" t="s">
        <v>55</v>
      </c>
      <c r="G3175">
        <v>-290.35070000000002</v>
      </c>
      <c r="H3175" s="1">
        <v>9.5661449999999995E-7</v>
      </c>
      <c r="I3175">
        <v>215.10769999999999</v>
      </c>
      <c r="J3175">
        <v>-300.39510000000001</v>
      </c>
      <c r="K3175">
        <v>1.110487</v>
      </c>
      <c r="L3175">
        <v>214.24039999999999</v>
      </c>
      <c r="M3175">
        <v>0.99979629999999997</v>
      </c>
      <c r="N3175">
        <v>0</v>
      </c>
      <c r="O3175">
        <v>1.561836E-2</v>
      </c>
      <c r="P3175">
        <v>0.99736840000000004</v>
      </c>
      <c r="Q3175">
        <v>5.2527919999999999E-2</v>
      </c>
      <c r="R3175">
        <v>-4.997451E-2</v>
      </c>
      <c r="S3175">
        <v>3.0382389999999999</v>
      </c>
      <c r="T3175">
        <v>-0.3250053</v>
      </c>
      <c r="U3175">
        <v>0.25550840000000002</v>
      </c>
      <c r="V3175">
        <v>6.5452789999999997E-2</v>
      </c>
      <c r="W3175">
        <v>6.5355730000000001E-2</v>
      </c>
      <c r="X3175">
        <v>0.99571310000000002</v>
      </c>
      <c r="Y3175">
        <v>-6.7930560000000001E-2</v>
      </c>
      <c r="Z3175">
        <v>1.953785E-3</v>
      </c>
      <c r="AA3175">
        <v>0.99768809999999997</v>
      </c>
      <c r="AB3175">
        <v>34</v>
      </c>
      <c r="AC3175">
        <v>10.0443999999999</v>
      </c>
      <c r="AD3175">
        <v>-1.1104860433854999</v>
      </c>
      <c r="AE3175">
        <v>0.86729999999999996</v>
      </c>
      <c r="AF3175">
        <v>-0.70178981614859204</v>
      </c>
      <c r="AG3175">
        <v>-1.1104860433854999</v>
      </c>
      <c r="AH3175">
        <v>9.9361704294935596</v>
      </c>
      <c r="AI3175">
        <v>96.361309366249301</v>
      </c>
      <c r="AJ3175">
        <v>94.040080782051504</v>
      </c>
      <c r="AK3175">
        <v>10.022632937634</v>
      </c>
      <c r="AL3175">
        <v>86.252721630050701</v>
      </c>
      <c r="AM3175">
        <v>86.2390963345416</v>
      </c>
      <c r="AN3175">
        <v>1.0000000083371099</v>
      </c>
    </row>
    <row r="3176" spans="1:40" x14ac:dyDescent="0.25">
      <c r="A3176" t="str">
        <f>"20190312151334566"</f>
        <v>20190312151334566</v>
      </c>
      <c r="B3176" t="str">
        <f>"1552374814563737"</f>
        <v>1552374814563737</v>
      </c>
      <c r="C3176" t="s">
        <v>40</v>
      </c>
      <c r="D3176">
        <v>4.6966000000000001</v>
      </c>
      <c r="E3176">
        <v>0.4491443</v>
      </c>
      <c r="F3176" t="s">
        <v>55</v>
      </c>
      <c r="G3176">
        <v>-290.06040000000002</v>
      </c>
      <c r="H3176" s="1">
        <v>9.0512329999999995E-7</v>
      </c>
      <c r="I3176">
        <v>215.11150000000001</v>
      </c>
      <c r="J3176">
        <v>-300.06200000000001</v>
      </c>
      <c r="K3176">
        <v>1.110479</v>
      </c>
      <c r="L3176">
        <v>214.24629999999999</v>
      </c>
      <c r="M3176">
        <v>0.99978630000000002</v>
      </c>
      <c r="N3176">
        <v>0</v>
      </c>
      <c r="O3176">
        <v>1.6249299999999901E-2</v>
      </c>
      <c r="P3176">
        <v>0.99739319999999998</v>
      </c>
      <c r="Q3176">
        <v>5.2361850000000001E-2</v>
      </c>
      <c r="R3176">
        <v>-4.9650529999999998E-2</v>
      </c>
      <c r="S3176">
        <v>3.0379640000000001</v>
      </c>
      <c r="T3176">
        <v>-0.32643539999999999</v>
      </c>
      <c r="U3176">
        <v>0.2560577</v>
      </c>
      <c r="V3176">
        <v>6.5758999999999998E-2</v>
      </c>
      <c r="W3176">
        <v>6.5182989999999996E-2</v>
      </c>
      <c r="X3176">
        <v>0.99570420000000004</v>
      </c>
      <c r="Y3176">
        <v>-6.7491079999999995E-2</v>
      </c>
      <c r="Z3176">
        <v>1.871534E-3</v>
      </c>
      <c r="AA3176">
        <v>0.99771810000000005</v>
      </c>
      <c r="AB3176">
        <v>34</v>
      </c>
      <c r="AC3176">
        <v>10.0015999999999</v>
      </c>
      <c r="AD3176">
        <v>-1.1104780948766999</v>
      </c>
      <c r="AE3176">
        <v>0.86520000000001496</v>
      </c>
      <c r="AF3176">
        <v>-0.69406087762142299</v>
      </c>
      <c r="AG3176">
        <v>-1.1104780948766999</v>
      </c>
      <c r="AH3176">
        <v>9.8932840748984994</v>
      </c>
      <c r="AI3176">
        <v>96.388822948416504</v>
      </c>
      <c r="AJ3176">
        <v>94.012996171725405</v>
      </c>
      <c r="AK3176">
        <v>9.9795767389045995</v>
      </c>
      <c r="AL3176">
        <v>86.262639875303805</v>
      </c>
      <c r="AM3176">
        <v>86.221518746045405</v>
      </c>
      <c r="AN3176">
        <v>0.99999996108198896</v>
      </c>
    </row>
    <row r="3177" spans="1:40" x14ac:dyDescent="0.25">
      <c r="A3177" t="str">
        <f>"20190312151334588"</f>
        <v>20190312151334588</v>
      </c>
      <c r="B3177" t="str">
        <f>"1552374814583256"</f>
        <v>1552374814583256</v>
      </c>
      <c r="C3177" t="s">
        <v>40</v>
      </c>
      <c r="D3177">
        <v>4.7888320000000002</v>
      </c>
      <c r="E3177">
        <v>0.44921759999999999</v>
      </c>
      <c r="F3177" t="s">
        <v>55</v>
      </c>
      <c r="G3177">
        <v>-289.74349999999998</v>
      </c>
      <c r="H3177" s="1">
        <v>2.7102080000000001E-6</v>
      </c>
      <c r="I3177">
        <v>215.11840000000001</v>
      </c>
      <c r="J3177">
        <v>-299.72000000000003</v>
      </c>
      <c r="K3177">
        <v>1.1104670000000001</v>
      </c>
      <c r="L3177">
        <v>214.2525</v>
      </c>
      <c r="M3177">
        <v>0.99977609999999995</v>
      </c>
      <c r="N3177">
        <v>0</v>
      </c>
      <c r="O3177">
        <v>1.688862E-2</v>
      </c>
      <c r="P3177">
        <v>0.99741800000000003</v>
      </c>
      <c r="Q3177">
        <v>5.216581E-2</v>
      </c>
      <c r="R3177">
        <v>-4.9362950000000003E-2</v>
      </c>
      <c r="S3177">
        <v>3.0377809999999998</v>
      </c>
      <c r="T3177">
        <v>-0.3269281</v>
      </c>
      <c r="U3177">
        <v>0.25675959999999998</v>
      </c>
      <c r="V3177">
        <v>6.6110070000000007E-2</v>
      </c>
      <c r="W3177">
        <v>6.4967929999999993E-2</v>
      </c>
      <c r="X3177">
        <v>0.99569510000000006</v>
      </c>
      <c r="Y3177">
        <v>-6.7092059999999995E-2</v>
      </c>
      <c r="Z3177">
        <v>1.7846069999999999E-3</v>
      </c>
      <c r="AA3177">
        <v>0.9977452</v>
      </c>
      <c r="AB3177">
        <v>34</v>
      </c>
      <c r="AC3177">
        <v>9.9765000000000406</v>
      </c>
      <c r="AD3177">
        <v>-1.1104642897920001</v>
      </c>
      <c r="AE3177">
        <v>0.86590000000001</v>
      </c>
      <c r="AF3177">
        <v>-0.68880336904870498</v>
      </c>
      <c r="AG3177">
        <v>-1.1104642897920001</v>
      </c>
      <c r="AH3177">
        <v>9.86835241424156</v>
      </c>
      <c r="AI3177">
        <v>96.404908161590001</v>
      </c>
      <c r="AJ3177">
        <v>93.992725420152894</v>
      </c>
      <c r="AK3177">
        <v>9.9544944819806602</v>
      </c>
      <c r="AL3177">
        <v>86.274988421925102</v>
      </c>
      <c r="AM3177">
        <v>86.201370716266794</v>
      </c>
      <c r="AN3177">
        <v>1.0000000527239401</v>
      </c>
    </row>
    <row r="3178" spans="1:40" x14ac:dyDescent="0.25">
      <c r="A3178" t="str">
        <f>"20190312151334610"</f>
        <v>20190312151334610</v>
      </c>
      <c r="B3178" t="str">
        <f>"1552374814603753"</f>
        <v>1552374814603753</v>
      </c>
      <c r="C3178" t="s">
        <v>40</v>
      </c>
      <c r="D3178">
        <v>4.7497230000000004</v>
      </c>
      <c r="E3178">
        <v>0.44926080000000002</v>
      </c>
      <c r="F3178" t="s">
        <v>55</v>
      </c>
      <c r="G3178">
        <v>-289.4187</v>
      </c>
      <c r="H3178" s="1">
        <v>2.853481E-6</v>
      </c>
      <c r="I3178">
        <v>215.12479999999999</v>
      </c>
      <c r="J3178">
        <v>-299.37079999999997</v>
      </c>
      <c r="K3178">
        <v>1.1104480000000001</v>
      </c>
      <c r="L3178">
        <v>214.25909999999999</v>
      </c>
      <c r="M3178">
        <v>0.99976529999999997</v>
      </c>
      <c r="N3178">
        <v>0</v>
      </c>
      <c r="O3178">
        <v>1.7533719999999999E-2</v>
      </c>
      <c r="P3178">
        <v>0.9974575</v>
      </c>
      <c r="Q3178">
        <v>5.2017880000000002E-2</v>
      </c>
      <c r="R3178">
        <v>-4.8714390000000003E-2</v>
      </c>
      <c r="S3178">
        <v>3.0376280000000002</v>
      </c>
      <c r="T3178">
        <v>-0.32745220000000003</v>
      </c>
      <c r="U3178">
        <v>0.25721739999999998</v>
      </c>
      <c r="V3178">
        <v>6.6106990000000004E-2</v>
      </c>
      <c r="W3178">
        <v>6.4792340000000004E-2</v>
      </c>
      <c r="X3178">
        <v>0.99570669999999994</v>
      </c>
      <c r="Y3178">
        <v>-6.6607340000000001E-2</v>
      </c>
      <c r="Z3178">
        <v>1.6923350000000001E-3</v>
      </c>
      <c r="AA3178">
        <v>0.99777780000000005</v>
      </c>
      <c r="AB3178">
        <v>34</v>
      </c>
      <c r="AC3178">
        <v>9.9520999999999695</v>
      </c>
      <c r="AD3178">
        <v>-1.1104451465189999</v>
      </c>
      <c r="AE3178">
        <v>0.86570000000000302</v>
      </c>
      <c r="AF3178">
        <v>-0.68262071803076596</v>
      </c>
      <c r="AG3178">
        <v>-1.1104451465189999</v>
      </c>
      <c r="AH3178">
        <v>9.8441124991022892</v>
      </c>
      <c r="AI3178">
        <v>96.420639255132102</v>
      </c>
      <c r="AJ3178">
        <v>93.966713919174097</v>
      </c>
      <c r="AK3178">
        <v>9.9300357684700398</v>
      </c>
      <c r="AL3178">
        <v>86.285070058714794</v>
      </c>
      <c r="AM3178">
        <v>86.201591294881595</v>
      </c>
      <c r="AN3178">
        <v>1.0000000069372099</v>
      </c>
    </row>
    <row r="3179" spans="1:40" x14ac:dyDescent="0.25">
      <c r="A3179" t="str">
        <f>"20190312151334634"</f>
        <v>20190312151334634</v>
      </c>
      <c r="B3179" t="str">
        <f>"1552374814623273"</f>
        <v>1552374814623273</v>
      </c>
      <c r="C3179" t="s">
        <v>40</v>
      </c>
      <c r="D3179">
        <v>4.7310780000000001</v>
      </c>
      <c r="E3179">
        <v>0.44934160000000001</v>
      </c>
      <c r="F3179" t="s">
        <v>55</v>
      </c>
      <c r="G3179">
        <v>-289.07749999999999</v>
      </c>
      <c r="H3179" s="1">
        <v>3.003372E-6</v>
      </c>
      <c r="I3179">
        <v>215.13659999999999</v>
      </c>
      <c r="J3179">
        <v>-299.02330000000001</v>
      </c>
      <c r="K3179">
        <v>1.11043</v>
      </c>
      <c r="L3179">
        <v>214.26589999999999</v>
      </c>
      <c r="M3179">
        <v>0.99975449999999999</v>
      </c>
      <c r="N3179">
        <v>0</v>
      </c>
      <c r="O3179">
        <v>1.8161610000000002E-2</v>
      </c>
      <c r="P3179">
        <v>0.99750099999999997</v>
      </c>
      <c r="Q3179">
        <v>5.1814260000000001E-2</v>
      </c>
      <c r="R3179">
        <v>-4.8034899999999998E-2</v>
      </c>
      <c r="S3179">
        <v>3.0373839999999999</v>
      </c>
      <c r="T3179">
        <v>-0.32767590000000002</v>
      </c>
      <c r="U3179">
        <v>0.2589264</v>
      </c>
      <c r="V3179">
        <v>6.605656E-2</v>
      </c>
      <c r="W3179">
        <v>6.4553479999999996E-2</v>
      </c>
      <c r="X3179">
        <v>0.99572559999999999</v>
      </c>
      <c r="Y3179">
        <v>-6.6548380000000004E-2</v>
      </c>
      <c r="Z3179">
        <v>1.6230249999999999E-3</v>
      </c>
      <c r="AA3179">
        <v>0.9977819</v>
      </c>
      <c r="AB3179">
        <v>34</v>
      </c>
      <c r="AC3179">
        <v>9.9458000000000197</v>
      </c>
      <c r="AD3179">
        <v>-1.110426996628</v>
      </c>
      <c r="AE3179">
        <v>0.87069999999999903</v>
      </c>
      <c r="AF3179">
        <v>-0.68147987583220504</v>
      </c>
      <c r="AG3179">
        <v>-1.110426996628</v>
      </c>
      <c r="AH3179">
        <v>9.8382702659902801</v>
      </c>
      <c r="AI3179">
        <v>96.424348870624399</v>
      </c>
      <c r="AJ3179">
        <v>93.962449717354701</v>
      </c>
      <c r="AK3179">
        <v>9.9241636807679203</v>
      </c>
      <c r="AL3179">
        <v>86.298784583042405</v>
      </c>
      <c r="AM3179">
        <v>86.204552286972898</v>
      </c>
      <c r="AN3179">
        <v>1.00000004569725</v>
      </c>
    </row>
    <row r="3180" spans="1:40" x14ac:dyDescent="0.25">
      <c r="A3180" t="str">
        <f>"20190312151334657"</f>
        <v>20190312151334657</v>
      </c>
      <c r="B3180" t="str">
        <f>"1552374814653530"</f>
        <v>1552374814653530</v>
      </c>
      <c r="C3180" t="s">
        <v>40</v>
      </c>
      <c r="D3180">
        <v>4.7270909999999997</v>
      </c>
      <c r="E3180">
        <v>0.44953080000000001</v>
      </c>
      <c r="F3180" t="s">
        <v>55</v>
      </c>
      <c r="G3180">
        <v>-288.7527</v>
      </c>
      <c r="H3180" s="1">
        <v>3.1462079999999998E-6</v>
      </c>
      <c r="I3180">
        <v>215.14699999999999</v>
      </c>
      <c r="J3180">
        <v>-298.6671</v>
      </c>
      <c r="K3180">
        <v>1.1104050000000001</v>
      </c>
      <c r="L3180">
        <v>214.273</v>
      </c>
      <c r="M3180">
        <v>0.99974359999999995</v>
      </c>
      <c r="N3180">
        <v>0</v>
      </c>
      <c r="O3180">
        <v>1.8780229999999998E-2</v>
      </c>
      <c r="P3180">
        <v>0.99749270000000001</v>
      </c>
      <c r="Q3180">
        <v>5.2070499999999999E-2</v>
      </c>
      <c r="R3180">
        <v>-4.7929230000000003E-2</v>
      </c>
      <c r="S3180">
        <v>3.0371090000000001</v>
      </c>
      <c r="T3180">
        <v>-0.32836140000000003</v>
      </c>
      <c r="U3180">
        <v>0.26054379999999999</v>
      </c>
      <c r="V3180">
        <v>6.6569760000000006E-2</v>
      </c>
      <c r="W3180">
        <v>6.4762840000000002E-2</v>
      </c>
      <c r="X3180">
        <v>0.99567779999999995</v>
      </c>
      <c r="Y3180">
        <v>-6.6468979999999997E-2</v>
      </c>
      <c r="Z3180">
        <v>1.555704E-3</v>
      </c>
      <c r="AA3180">
        <v>0.99778730000000004</v>
      </c>
      <c r="AB3180">
        <v>34</v>
      </c>
      <c r="AC3180">
        <v>9.9144000000000005</v>
      </c>
      <c r="AD3180">
        <v>-1.110401853792</v>
      </c>
      <c r="AE3180">
        <v>0.87400000000002298</v>
      </c>
      <c r="AF3180">
        <v>-0.67918242013294505</v>
      </c>
      <c r="AG3180">
        <v>-1.110401853792</v>
      </c>
      <c r="AH3180">
        <v>9.8069984659396194</v>
      </c>
      <c r="AI3180">
        <v>96.444523461548698</v>
      </c>
      <c r="AJ3180">
        <v>93.961686208406604</v>
      </c>
      <c r="AK3180">
        <v>9.8930025749346893</v>
      </c>
      <c r="AL3180">
        <v>86.286763889815404</v>
      </c>
      <c r="AM3180">
        <v>86.174969189495798</v>
      </c>
      <c r="AN3180">
        <v>1.00000001990208</v>
      </c>
    </row>
    <row r="3181" spans="1:40" x14ac:dyDescent="0.25">
      <c r="A3181" t="str">
        <f>"20190312151334679"</f>
        <v>20190312151334679</v>
      </c>
      <c r="B3181" t="str">
        <f>"1552374814673049"</f>
        <v>1552374814673049</v>
      </c>
      <c r="C3181" t="s">
        <v>40</v>
      </c>
      <c r="D3181">
        <v>4.9093169999999997</v>
      </c>
      <c r="E3181">
        <v>0.49075249999999998</v>
      </c>
      <c r="F3181" t="s">
        <v>55</v>
      </c>
      <c r="G3181">
        <v>-288.28199999999998</v>
      </c>
      <c r="H3181" s="1">
        <v>3.3533289999999999E-6</v>
      </c>
      <c r="I3181">
        <v>215.16059999999999</v>
      </c>
      <c r="J3181">
        <v>-298.31040000000002</v>
      </c>
      <c r="K3181">
        <v>1.110371</v>
      </c>
      <c r="L3181">
        <v>214.28039999999999</v>
      </c>
      <c r="M3181">
        <v>0.99973319999999999</v>
      </c>
      <c r="N3181">
        <v>0</v>
      </c>
      <c r="O3181">
        <v>1.936235E-2</v>
      </c>
      <c r="P3181">
        <v>0.99750720000000004</v>
      </c>
      <c r="Q3181">
        <v>5.1826780000000003E-2</v>
      </c>
      <c r="R3181">
        <v>-4.7893159999999997E-2</v>
      </c>
      <c r="S3181">
        <v>3.0369570000000001</v>
      </c>
      <c r="T3181">
        <v>-0.32471860000000002</v>
      </c>
      <c r="U3181">
        <v>0.25953670000000001</v>
      </c>
      <c r="V3181">
        <v>6.7118750000000005E-2</v>
      </c>
      <c r="W3181">
        <v>6.4463999999999994E-2</v>
      </c>
      <c r="X3181">
        <v>0.99566030000000005</v>
      </c>
      <c r="Y3181">
        <v>-6.5578170000000005E-2</v>
      </c>
      <c r="Z3181">
        <v>1.429313E-3</v>
      </c>
      <c r="AA3181">
        <v>0.99784640000000002</v>
      </c>
      <c r="AB3181">
        <v>34</v>
      </c>
      <c r="AC3181">
        <v>10.0284</v>
      </c>
      <c r="AD3181">
        <v>-1.110367646671</v>
      </c>
      <c r="AE3181">
        <v>0.88020000000000198</v>
      </c>
      <c r="AF3181">
        <v>-0.67760265417438403</v>
      </c>
      <c r="AG3181">
        <v>-1.110367646671</v>
      </c>
      <c r="AH3181">
        <v>9.9228453358195203</v>
      </c>
      <c r="AI3181">
        <v>96.370131067182498</v>
      </c>
      <c r="AJ3181">
        <v>93.906499843972995</v>
      </c>
      <c r="AK3181">
        <v>10.0077430635639</v>
      </c>
      <c r="AL3181">
        <v>86.303921879496102</v>
      </c>
      <c r="AM3181">
        <v>86.143452002467399</v>
      </c>
      <c r="AN3181">
        <v>0.99999998344682595</v>
      </c>
    </row>
    <row r="3182" spans="1:40" x14ac:dyDescent="0.25">
      <c r="A3182" t="str">
        <f>"20190312151334724"</f>
        <v>20190312151334724</v>
      </c>
      <c r="B3182" t="str">
        <f>"1552374814713575"</f>
        <v>1552374814713575</v>
      </c>
      <c r="C3182" t="s">
        <v>40</v>
      </c>
      <c r="D3182">
        <v>4.7893699999999999</v>
      </c>
      <c r="E3182">
        <v>0.51078400000000002</v>
      </c>
      <c r="F3182" t="s">
        <v>41</v>
      </c>
      <c r="G3182">
        <v>-297.48989999999998</v>
      </c>
      <c r="H3182">
        <v>1.0514269999999999</v>
      </c>
      <c r="I3182">
        <v>214.26140000000001</v>
      </c>
      <c r="J3182">
        <v>-297.65010000000001</v>
      </c>
      <c r="K3182">
        <v>1.110282</v>
      </c>
      <c r="L3182">
        <v>214.29429999999999</v>
      </c>
      <c r="M3182">
        <v>0.99971620000000005</v>
      </c>
      <c r="N3182">
        <v>0</v>
      </c>
      <c r="O3182">
        <v>2.0287489999999998E-2</v>
      </c>
      <c r="P3182">
        <v>0.99746880000000004</v>
      </c>
      <c r="Q3182">
        <v>5.2000890000000001E-2</v>
      </c>
      <c r="R3182">
        <v>-4.8500090000000003E-2</v>
      </c>
      <c r="S3182">
        <v>3.0154420000000002</v>
      </c>
      <c r="T3182">
        <v>-0.21680450000000001</v>
      </c>
      <c r="U3182">
        <v>-6.8954470000000004E-2</v>
      </c>
      <c r="V3182">
        <v>6.8659159999999997E-2</v>
      </c>
      <c r="W3182">
        <v>6.4518740000000005E-2</v>
      </c>
      <c r="X3182">
        <v>0.99555170000000004</v>
      </c>
      <c r="Y3182">
        <v>4.2976960000000002E-2</v>
      </c>
      <c r="Z3182">
        <v>-2.9994729999999999E-3</v>
      </c>
      <c r="AA3182">
        <v>0.9990715</v>
      </c>
      <c r="AB3182">
        <v>34</v>
      </c>
      <c r="AC3182">
        <v>0.16020000000003101</v>
      </c>
      <c r="AD3182">
        <v>-5.8854999999999803E-2</v>
      </c>
      <c r="AE3182">
        <v>-3.2899999999983699E-2</v>
      </c>
      <c r="AF3182">
        <v>3.1999329822748598E-2</v>
      </c>
      <c r="AG3182">
        <v>-5.8854999999999803E-2</v>
      </c>
      <c r="AH3182">
        <v>0.14121134642695499</v>
      </c>
      <c r="AI3182">
        <v>112.120799015079</v>
      </c>
      <c r="AJ3182">
        <v>77.232066861020897</v>
      </c>
      <c r="AK3182">
        <v>0.15629623314020899</v>
      </c>
      <c r="AL3182">
        <v>86.300778907493395</v>
      </c>
      <c r="AM3182">
        <v>86.054789595125996</v>
      </c>
      <c r="AN3182">
        <v>0.99999996771799105</v>
      </c>
    </row>
    <row r="3183" spans="1:40" x14ac:dyDescent="0.25">
      <c r="A3183" t="str">
        <f>"20190312151334744"</f>
        <v>20190312151334744</v>
      </c>
      <c r="B3183" t="str">
        <f>"1552374814733091"</f>
        <v>1552374814733091</v>
      </c>
      <c r="C3183" t="s">
        <v>40</v>
      </c>
      <c r="D3183">
        <v>4.7808869999999999</v>
      </c>
      <c r="E3183">
        <v>0.51342730000000003</v>
      </c>
      <c r="F3183" t="s">
        <v>54</v>
      </c>
      <c r="G3183">
        <v>-279.01499999999999</v>
      </c>
      <c r="H3183" s="1">
        <v>3.3371109999999999E-6</v>
      </c>
      <c r="I3183">
        <v>212.864</v>
      </c>
      <c r="J3183">
        <v>-297.31889999999999</v>
      </c>
      <c r="K3183">
        <v>1.1102299999999901</v>
      </c>
      <c r="L3183">
        <v>214.3015</v>
      </c>
      <c r="M3183">
        <v>0.99970919999999996</v>
      </c>
      <c r="N3183">
        <v>0</v>
      </c>
      <c r="O3183">
        <v>2.066687E-2</v>
      </c>
      <c r="P3183">
        <v>0.99744160000000004</v>
      </c>
      <c r="Q3183">
        <v>5.2090589999999999E-2</v>
      </c>
      <c r="R3183">
        <v>-4.8958309999999998E-2</v>
      </c>
      <c r="S3183">
        <v>3.0057369999999999</v>
      </c>
      <c r="T3183">
        <v>-0.1790813</v>
      </c>
      <c r="U3183">
        <v>-0.2307129</v>
      </c>
      <c r="V3183">
        <v>6.9502729999999999E-2</v>
      </c>
      <c r="W3183">
        <v>6.4541580000000001E-2</v>
      </c>
      <c r="X3183">
        <v>0.99549169999999998</v>
      </c>
      <c r="Y3183">
        <v>9.6916530000000001E-2</v>
      </c>
      <c r="Z3183">
        <v>-4.1090600000000003E-3</v>
      </c>
      <c r="AA3183">
        <v>0.99528399999999995</v>
      </c>
      <c r="AB3183">
        <v>34</v>
      </c>
      <c r="AC3183">
        <v>18.303899999999999</v>
      </c>
      <c r="AD3183">
        <v>-1.1102266628889901</v>
      </c>
      <c r="AE3183">
        <v>-1.4375</v>
      </c>
      <c r="AF3183">
        <v>1.8088922402673799</v>
      </c>
      <c r="AG3183">
        <v>-1.1102266628889901</v>
      </c>
      <c r="AH3183">
        <v>18.203717182501901</v>
      </c>
      <c r="AI3183">
        <v>93.473027238893494</v>
      </c>
      <c r="AJ3183">
        <v>84.325182746922593</v>
      </c>
      <c r="AK3183">
        <v>18.327029591300501</v>
      </c>
      <c r="AL3183">
        <v>86.299467602298094</v>
      </c>
      <c r="AM3183">
        <v>86.006233358144598</v>
      </c>
      <c r="AN3183">
        <v>0.99999998489761899</v>
      </c>
    </row>
    <row r="3184" spans="1:40" x14ac:dyDescent="0.25">
      <c r="A3184" t="str">
        <f>"20190312151334767"</f>
        <v>20190312151334767</v>
      </c>
      <c r="B3184" t="str">
        <f>"1552374814763348"</f>
        <v>1552374814763348</v>
      </c>
      <c r="C3184" t="s">
        <v>40</v>
      </c>
      <c r="D3184">
        <v>4.7935600000000003</v>
      </c>
      <c r="E3184">
        <v>0.51573210000000003</v>
      </c>
      <c r="F3184" t="s">
        <v>54</v>
      </c>
      <c r="G3184">
        <v>-276.50290000000001</v>
      </c>
      <c r="H3184" s="1">
        <v>2.0142289999999999E-6</v>
      </c>
      <c r="I3184">
        <v>212.5455</v>
      </c>
      <c r="J3184">
        <v>-296.98480000000001</v>
      </c>
      <c r="K3184">
        <v>1.1101650000000001</v>
      </c>
      <c r="L3184">
        <v>214.30869999999999</v>
      </c>
      <c r="M3184">
        <v>0.99970369999999997</v>
      </c>
      <c r="N3184">
        <v>0</v>
      </c>
      <c r="O3184">
        <v>2.0965020000000001E-2</v>
      </c>
      <c r="P3184">
        <v>0.99739060000000002</v>
      </c>
      <c r="Q3184">
        <v>5.25177E-2</v>
      </c>
      <c r="R3184">
        <v>-4.9539300000000001E-2</v>
      </c>
      <c r="S3184">
        <v>3.0036320000000001</v>
      </c>
      <c r="T3184">
        <v>-0.16019929999999999</v>
      </c>
      <c r="U3184">
        <v>-0.25337219999999999</v>
      </c>
      <c r="V3184">
        <v>7.0388599999999996E-2</v>
      </c>
      <c r="W3184">
        <v>6.4892740000000004E-2</v>
      </c>
      <c r="X3184">
        <v>0.99540660000000003</v>
      </c>
      <c r="Y3184">
        <v>0.1047532</v>
      </c>
      <c r="Z3184">
        <v>-3.902268E-3</v>
      </c>
      <c r="AA3184">
        <v>0.9944906</v>
      </c>
      <c r="AB3184">
        <v>34</v>
      </c>
      <c r="AC3184">
        <v>20.4819</v>
      </c>
      <c r="AD3184">
        <v>-1.110162985771</v>
      </c>
      <c r="AE3184">
        <v>-1.7631999999999799</v>
      </c>
      <c r="AF3184">
        <v>2.1858741187786102</v>
      </c>
      <c r="AG3184">
        <v>-1.110162985771</v>
      </c>
      <c r="AH3184">
        <v>20.3809929406046</v>
      </c>
      <c r="AI3184">
        <v>93.100105087317402</v>
      </c>
      <c r="AJ3184">
        <v>83.878392249856304</v>
      </c>
      <c r="AK3184">
        <v>20.527917107273598</v>
      </c>
      <c r="AL3184">
        <v>86.2793052597887</v>
      </c>
      <c r="AM3184">
        <v>85.955152733025201</v>
      </c>
      <c r="AN3184">
        <v>0.99999996101911304</v>
      </c>
    </row>
    <row r="3185" spans="1:40" x14ac:dyDescent="0.25">
      <c r="A3185" t="str">
        <f>"20190312151334790"</f>
        <v>20190312151334790</v>
      </c>
      <c r="B3185" t="str">
        <f>"1552374814783845"</f>
        <v>1552374814783845</v>
      </c>
      <c r="C3185" t="s">
        <v>40</v>
      </c>
      <c r="D3185">
        <v>4.8405940000000003</v>
      </c>
      <c r="E3185">
        <v>0.51661800000000002</v>
      </c>
      <c r="F3185" t="s">
        <v>54</v>
      </c>
      <c r="G3185">
        <v>-275.82420000000002</v>
      </c>
      <c r="H3185" s="1">
        <v>1.6601730000000001E-6</v>
      </c>
      <c r="I3185">
        <v>212.38380000000001</v>
      </c>
      <c r="J3185">
        <v>-296.63130000000001</v>
      </c>
      <c r="K3185">
        <v>1.1100779999999999</v>
      </c>
      <c r="L3185">
        <v>214.31639999999999</v>
      </c>
      <c r="M3185">
        <v>0.99970020000000004</v>
      </c>
      <c r="N3185">
        <v>0</v>
      </c>
      <c r="O3185">
        <v>2.1178389999999998E-2</v>
      </c>
      <c r="P3185">
        <v>0.9973611</v>
      </c>
      <c r="Q3185">
        <v>5.2523750000000001E-2</v>
      </c>
      <c r="R3185">
        <v>-5.012026E-2</v>
      </c>
      <c r="S3185">
        <v>3.0025629999999999</v>
      </c>
      <c r="T3185">
        <v>-0.1575259</v>
      </c>
      <c r="U3185">
        <v>-0.27313229999999999</v>
      </c>
      <c r="V3185">
        <v>7.119317E-2</v>
      </c>
      <c r="W3185">
        <v>6.4813759999999998E-2</v>
      </c>
      <c r="X3185">
        <v>0.99535459999999998</v>
      </c>
      <c r="Y3185">
        <v>0.1114839</v>
      </c>
      <c r="Z3185">
        <v>-4.024756E-3</v>
      </c>
      <c r="AA3185">
        <v>0.99375809999999998</v>
      </c>
      <c r="AB3185">
        <v>34</v>
      </c>
      <c r="AC3185">
        <v>20.807099999999899</v>
      </c>
      <c r="AD3185">
        <v>-1.1100763398269999</v>
      </c>
      <c r="AE3185">
        <v>-1.9325999999999799</v>
      </c>
      <c r="AF3185">
        <v>2.3661833340024399</v>
      </c>
      <c r="AG3185">
        <v>-1.1100763398269999</v>
      </c>
      <c r="AH3185">
        <v>20.7030766746735</v>
      </c>
      <c r="AI3185">
        <v>93.049384142661907</v>
      </c>
      <c r="AJ3185">
        <v>83.479877455523194</v>
      </c>
      <c r="AK3185">
        <v>20.867402254419801</v>
      </c>
      <c r="AL3185">
        <v>86.283840303748903</v>
      </c>
      <c r="AM3185">
        <v>85.908861598792001</v>
      </c>
      <c r="AN3185">
        <v>1.00000003534057</v>
      </c>
    </row>
    <row r="3186" spans="1:40" x14ac:dyDescent="0.25">
      <c r="A3186" t="str">
        <f>"20190312151334812"</f>
        <v>20190312151334812</v>
      </c>
      <c r="B3186" t="str">
        <f>"1552374814803871"</f>
        <v>1552374814803871</v>
      </c>
      <c r="C3186" t="s">
        <v>40</v>
      </c>
      <c r="D3186">
        <v>4.7693050000000001</v>
      </c>
      <c r="E3186">
        <v>0.5175343</v>
      </c>
      <c r="F3186" t="s">
        <v>54</v>
      </c>
      <c r="G3186">
        <v>-275.63869999999997</v>
      </c>
      <c r="H3186" s="1">
        <v>1.5631819999999901E-6</v>
      </c>
      <c r="I3186">
        <v>212.3434</v>
      </c>
      <c r="J3186">
        <v>-296.28829999999999</v>
      </c>
      <c r="K3186">
        <v>1.1100049999999999</v>
      </c>
      <c r="L3186">
        <v>214.32380000000001</v>
      </c>
      <c r="M3186">
        <v>0.99969819999999998</v>
      </c>
      <c r="N3186">
        <v>0</v>
      </c>
      <c r="O3186">
        <v>2.130988E-2</v>
      </c>
      <c r="P3186">
        <v>0.99731190000000003</v>
      </c>
      <c r="Q3186">
        <v>5.286221E-2</v>
      </c>
      <c r="R3186">
        <v>-5.0743240000000002E-2</v>
      </c>
      <c r="S3186">
        <v>3.002075</v>
      </c>
      <c r="T3186">
        <v>-0.15874759999999999</v>
      </c>
      <c r="U3186">
        <v>-0.28215030000000002</v>
      </c>
      <c r="V3186">
        <v>7.1956720000000002E-2</v>
      </c>
      <c r="W3186">
        <v>6.5071660000000003E-2</v>
      </c>
      <c r="X3186">
        <v>0.99528280000000002</v>
      </c>
      <c r="Y3186">
        <v>0.11458119999999999</v>
      </c>
      <c r="Z3186">
        <v>-4.1446219999999997E-3</v>
      </c>
      <c r="AA3186">
        <v>0.99340519999999999</v>
      </c>
      <c r="AB3186">
        <v>34</v>
      </c>
      <c r="AC3186">
        <v>20.6496</v>
      </c>
      <c r="AD3186">
        <v>-1.1100034368179901</v>
      </c>
      <c r="AE3186">
        <v>-1.9803999999999999</v>
      </c>
      <c r="AF3186">
        <v>2.4131144056565299</v>
      </c>
      <c r="AG3186">
        <v>-1.1100034368179901</v>
      </c>
      <c r="AH3186">
        <v>20.5438840270191</v>
      </c>
      <c r="AI3186">
        <v>93.0716555513538</v>
      </c>
      <c r="AJ3186">
        <v>83.300652840170301</v>
      </c>
      <c r="AK3186">
        <v>20.714883530450798</v>
      </c>
      <c r="AL3186">
        <v>86.269032223730207</v>
      </c>
      <c r="AM3186">
        <v>85.864838080706505</v>
      </c>
      <c r="AN3186">
        <v>0.99999997123207596</v>
      </c>
    </row>
    <row r="3187" spans="1:40" x14ac:dyDescent="0.25">
      <c r="A3187" t="str">
        <f>"20190312151334835"</f>
        <v>20190312151334835</v>
      </c>
      <c r="B3187" t="str">
        <f>"1552374814823391"</f>
        <v>1552374814823391</v>
      </c>
      <c r="C3187" t="s">
        <v>40</v>
      </c>
      <c r="D3187">
        <v>4.8439389999999998</v>
      </c>
      <c r="E3187">
        <v>0.51814559999999998</v>
      </c>
      <c r="F3187" t="s">
        <v>54</v>
      </c>
      <c r="G3187">
        <v>-275.05810000000002</v>
      </c>
      <c r="H3187" s="1">
        <v>1.2577339999999999E-6</v>
      </c>
      <c r="I3187">
        <v>212.2636</v>
      </c>
      <c r="J3187">
        <v>-295.94639999999998</v>
      </c>
      <c r="K3187">
        <v>1.1099410000000001</v>
      </c>
      <c r="L3187">
        <v>214.3312</v>
      </c>
      <c r="M3187">
        <v>0.99969759999999996</v>
      </c>
      <c r="N3187">
        <v>0</v>
      </c>
      <c r="O3187">
        <v>2.1383550000000001E-2</v>
      </c>
      <c r="P3187">
        <v>0.99725109999999995</v>
      </c>
      <c r="Q3187">
        <v>5.2931430000000002E-2</v>
      </c>
      <c r="R3187">
        <v>-5.1856890000000003E-2</v>
      </c>
      <c r="S3187">
        <v>3.0015869999999998</v>
      </c>
      <c r="T3187">
        <v>-0.15693550000000001</v>
      </c>
      <c r="U3187">
        <v>-0.29127500000000001</v>
      </c>
      <c r="V3187">
        <v>7.3151220000000003E-2</v>
      </c>
      <c r="W3187">
        <v>6.5060709999999994E-2</v>
      </c>
      <c r="X3187">
        <v>0.99519650000000004</v>
      </c>
      <c r="Y3187">
        <v>0.1176615</v>
      </c>
      <c r="Z3187">
        <v>-4.1815799999999998E-3</v>
      </c>
      <c r="AA3187">
        <v>0.99304499999999996</v>
      </c>
      <c r="AB3187">
        <v>34</v>
      </c>
      <c r="AC3187">
        <v>20.888299999999902</v>
      </c>
      <c r="AD3187">
        <v>-1.109939742266</v>
      </c>
      <c r="AE3187">
        <v>-2.0675999999999899</v>
      </c>
      <c r="AF3187">
        <v>2.5068167077340302</v>
      </c>
      <c r="AG3187">
        <v>-1.109939742266</v>
      </c>
      <c r="AH3187">
        <v>20.781200158331401</v>
      </c>
      <c r="AI3187">
        <v>93.035343418124995</v>
      </c>
      <c r="AJ3187">
        <v>83.121698214821393</v>
      </c>
      <c r="AK3187">
        <v>20.9612589378183</v>
      </c>
      <c r="AL3187">
        <v>86.269661184131195</v>
      </c>
      <c r="AM3187">
        <v>85.796074181878296</v>
      </c>
      <c r="AN3187">
        <v>1.0000000352927201</v>
      </c>
    </row>
    <row r="3188" spans="1:40" x14ac:dyDescent="0.25">
      <c r="A3188" t="str">
        <f>"20190312151334860"</f>
        <v>20190312151334860</v>
      </c>
      <c r="B3188" t="str">
        <f>"1552374814853647"</f>
        <v>1552374814853647</v>
      </c>
      <c r="C3188" t="s">
        <v>40</v>
      </c>
      <c r="D3188">
        <v>4.8171650000000001</v>
      </c>
      <c r="E3188">
        <v>0.51893059999999902</v>
      </c>
      <c r="F3188" t="s">
        <v>54</v>
      </c>
      <c r="G3188">
        <v>-274.87029999999999</v>
      </c>
      <c r="H3188" s="1">
        <v>1.1593550000000001E-6</v>
      </c>
      <c r="I3188">
        <v>212.22749999999999</v>
      </c>
      <c r="J3188">
        <v>-295.56020000000001</v>
      </c>
      <c r="K3188">
        <v>1.109882</v>
      </c>
      <c r="L3188">
        <v>214.33949999999999</v>
      </c>
      <c r="M3188">
        <v>0.99969790000000003</v>
      </c>
      <c r="N3188">
        <v>0</v>
      </c>
      <c r="O3188">
        <v>2.1413479999999999E-2</v>
      </c>
      <c r="P3188">
        <v>0.99719619999999998</v>
      </c>
      <c r="Q3188">
        <v>5.3003500000000002E-2</v>
      </c>
      <c r="R3188">
        <v>-5.2828109999999998E-2</v>
      </c>
      <c r="S3188">
        <v>3.001099</v>
      </c>
      <c r="T3188">
        <v>-0.15804799999999999</v>
      </c>
      <c r="U3188">
        <v>-0.29954530000000001</v>
      </c>
      <c r="V3188">
        <v>7.415882E-2</v>
      </c>
      <c r="W3188">
        <v>6.5044050000000006E-2</v>
      </c>
      <c r="X3188">
        <v>0.99512299999999998</v>
      </c>
      <c r="Y3188">
        <v>0.12041010000000001</v>
      </c>
      <c r="Z3188">
        <v>-4.2850259999999999E-3</v>
      </c>
      <c r="AA3188">
        <v>0.99271500000000001</v>
      </c>
      <c r="AB3188">
        <v>34</v>
      </c>
      <c r="AC3188">
        <v>20.689900000000002</v>
      </c>
      <c r="AD3188">
        <v>-1.109880840645</v>
      </c>
      <c r="AE3188">
        <v>-2.1119999999999899</v>
      </c>
      <c r="AF3188">
        <v>2.5473359572396399</v>
      </c>
      <c r="AG3188">
        <v>-1.109880840645</v>
      </c>
      <c r="AH3188">
        <v>20.581311897036102</v>
      </c>
      <c r="AI3188">
        <v>93.063448503543896</v>
      </c>
      <c r="AJ3188">
        <v>82.944419408526301</v>
      </c>
      <c r="AK3188">
        <v>20.768032053195501</v>
      </c>
      <c r="AL3188">
        <v>86.270617708592596</v>
      </c>
      <c r="AM3188">
        <v>85.738066725862595</v>
      </c>
      <c r="AN3188">
        <v>1.0000000220765899</v>
      </c>
    </row>
    <row r="3189" spans="1:40" x14ac:dyDescent="0.25">
      <c r="A3189" t="str">
        <f>"20190312151334883"</f>
        <v>20190312151334883</v>
      </c>
      <c r="B3189" t="str">
        <f>"1552374814874143"</f>
        <v>1552374814874143</v>
      </c>
      <c r="C3189" t="s">
        <v>40</v>
      </c>
      <c r="D3189">
        <v>4.7820539999999996</v>
      </c>
      <c r="E3189">
        <v>0.519312</v>
      </c>
      <c r="F3189" t="s">
        <v>54</v>
      </c>
      <c r="G3189">
        <v>-274.51429999999999</v>
      </c>
      <c r="H3189" s="1">
        <v>9.7224240000000005E-7</v>
      </c>
      <c r="I3189">
        <v>212.17359999999999</v>
      </c>
      <c r="J3189">
        <v>-295.20159999999998</v>
      </c>
      <c r="K3189">
        <v>1.1098410000000001</v>
      </c>
      <c r="L3189">
        <v>214.34719999999999</v>
      </c>
      <c r="M3189">
        <v>0.99969889999999995</v>
      </c>
      <c r="N3189">
        <v>0</v>
      </c>
      <c r="O3189">
        <v>2.1398569999999999E-2</v>
      </c>
      <c r="P3189">
        <v>0.99710290000000001</v>
      </c>
      <c r="Q3189">
        <v>5.3452039999999999E-2</v>
      </c>
      <c r="R3189">
        <v>-5.4117739999999998E-2</v>
      </c>
      <c r="S3189">
        <v>3.0005190000000002</v>
      </c>
      <c r="T3189">
        <v>-0.15823599999999999</v>
      </c>
      <c r="U3189">
        <v>-0.30879210000000001</v>
      </c>
      <c r="V3189">
        <v>7.5437039999999997E-2</v>
      </c>
      <c r="W3189">
        <v>6.5410449999999995E-2</v>
      </c>
      <c r="X3189">
        <v>0.99500290000000002</v>
      </c>
      <c r="Y3189">
        <v>0.1234372</v>
      </c>
      <c r="Z3189">
        <v>-4.3690539999999998E-3</v>
      </c>
      <c r="AA3189">
        <v>0.99234279999999997</v>
      </c>
      <c r="AB3189">
        <v>34</v>
      </c>
      <c r="AC3189">
        <v>20.6873</v>
      </c>
      <c r="AD3189">
        <v>-1.1098400277575999</v>
      </c>
      <c r="AE3189">
        <v>-2.1735999999999902</v>
      </c>
      <c r="AF3189">
        <v>2.6083874340548299</v>
      </c>
      <c r="AG3189">
        <v>-1.1098400277575999</v>
      </c>
      <c r="AH3189">
        <v>20.5774688187824</v>
      </c>
      <c r="AI3189">
        <v>93.062779614888896</v>
      </c>
      <c r="AJ3189">
        <v>82.775750366081098</v>
      </c>
      <c r="AK3189">
        <v>20.771799461801901</v>
      </c>
      <c r="AL3189">
        <v>86.249579735153901</v>
      </c>
      <c r="AM3189">
        <v>85.664363388904107</v>
      </c>
      <c r="AN3189">
        <v>1.0000000224907799</v>
      </c>
    </row>
    <row r="3190" spans="1:40" x14ac:dyDescent="0.25">
      <c r="A3190" t="str">
        <f>"20190312151334902"</f>
        <v>20190312151334902</v>
      </c>
      <c r="B3190" t="str">
        <f>"1552374814893196"</f>
        <v>1552374814893196</v>
      </c>
      <c r="C3190" t="s">
        <v>40</v>
      </c>
      <c r="D3190">
        <v>4.8277140000000003</v>
      </c>
      <c r="E3190">
        <v>0.51974019999999999</v>
      </c>
      <c r="F3190" t="s">
        <v>54</v>
      </c>
      <c r="G3190">
        <v>-274.05029999999999</v>
      </c>
      <c r="H3190" s="1">
        <v>7.2766499999999897E-7</v>
      </c>
      <c r="I3190">
        <v>212.12090000000001</v>
      </c>
      <c r="J3190">
        <v>-294.8972</v>
      </c>
      <c r="K3190">
        <v>1.10981</v>
      </c>
      <c r="L3190">
        <v>214.3537</v>
      </c>
      <c r="M3190">
        <v>0.99970049999999999</v>
      </c>
      <c r="N3190">
        <v>0</v>
      </c>
      <c r="O3190">
        <v>2.136091E-2</v>
      </c>
      <c r="P3190">
        <v>0.99702040000000003</v>
      </c>
      <c r="Q3190">
        <v>5.3475799999999997E-2</v>
      </c>
      <c r="R3190">
        <v>-5.5595659999999998E-2</v>
      </c>
      <c r="S3190">
        <v>3.0000309999999999</v>
      </c>
      <c r="T3190">
        <v>-0.15741620000000001</v>
      </c>
      <c r="U3190">
        <v>-0.31576539999999997</v>
      </c>
      <c r="V3190">
        <v>7.6879110000000001E-2</v>
      </c>
      <c r="W3190">
        <v>6.5366659999999993E-2</v>
      </c>
      <c r="X3190">
        <v>0.99489539999999999</v>
      </c>
      <c r="Y3190">
        <v>0.1256968</v>
      </c>
      <c r="Z3190">
        <v>-4.4037470000000004E-3</v>
      </c>
      <c r="AA3190">
        <v>0.99205889999999997</v>
      </c>
      <c r="AB3190">
        <v>34</v>
      </c>
      <c r="AC3190">
        <v>20.846900000000002</v>
      </c>
      <c r="AD3190">
        <v>-1.1098092723349999</v>
      </c>
      <c r="AE3190">
        <v>-2.2327999999999899</v>
      </c>
      <c r="AF3190">
        <v>2.6701493616653198</v>
      </c>
      <c r="AG3190">
        <v>-1.1098092723349999</v>
      </c>
      <c r="AH3190">
        <v>20.736342477232402</v>
      </c>
      <c r="AI3190">
        <v>93.038508527679895</v>
      </c>
      <c r="AJ3190">
        <v>82.662590121109702</v>
      </c>
      <c r="AK3190">
        <v>20.936983392256799</v>
      </c>
      <c r="AL3190">
        <v>86.252094116629095</v>
      </c>
      <c r="AM3190">
        <v>85.581332069283306</v>
      </c>
      <c r="AN3190">
        <v>1.00000002736755</v>
      </c>
    </row>
    <row r="3191" spans="1:40" x14ac:dyDescent="0.25">
      <c r="A3191" t="str">
        <f>"20190312151334924"</f>
        <v>20190312151334924</v>
      </c>
      <c r="B3191" t="str">
        <f>"1552374814913691"</f>
        <v>1552374814913691</v>
      </c>
      <c r="C3191" t="s">
        <v>40</v>
      </c>
      <c r="D3191">
        <v>4.8282829999999999</v>
      </c>
      <c r="E3191">
        <v>0.52000939999999995</v>
      </c>
      <c r="F3191" t="s">
        <v>54</v>
      </c>
      <c r="G3191">
        <v>-273.714</v>
      </c>
      <c r="H3191" s="1">
        <v>5.5098930000000004E-7</v>
      </c>
      <c r="I3191">
        <v>212.0686</v>
      </c>
      <c r="J3191">
        <v>-294.57850000000002</v>
      </c>
      <c r="K3191">
        <v>1.1097779999999999</v>
      </c>
      <c r="L3191">
        <v>214.3605</v>
      </c>
      <c r="M3191">
        <v>0.99970250000000005</v>
      </c>
      <c r="N3191">
        <v>0</v>
      </c>
      <c r="O3191">
        <v>2.130893E-2</v>
      </c>
      <c r="P3191">
        <v>0.99691640000000004</v>
      </c>
      <c r="Q3191">
        <v>5.3496830000000002E-2</v>
      </c>
      <c r="R3191">
        <v>-5.741023E-2</v>
      </c>
      <c r="S3191">
        <v>2.9993289999999999</v>
      </c>
      <c r="T3191">
        <v>-0.1571379</v>
      </c>
      <c r="U3191">
        <v>-0.32354739999999999</v>
      </c>
      <c r="V3191">
        <v>7.8643169999999998E-2</v>
      </c>
      <c r="W3191">
        <v>6.531766E-2</v>
      </c>
      <c r="X3191">
        <v>0.99476070000000005</v>
      </c>
      <c r="Y3191">
        <v>0.1282114</v>
      </c>
      <c r="Z3191">
        <v>-4.4593189999999998E-3</v>
      </c>
      <c r="AA3191">
        <v>0.99173679999999997</v>
      </c>
      <c r="AB3191">
        <v>34</v>
      </c>
      <c r="AC3191">
        <v>20.8645</v>
      </c>
      <c r="AD3191">
        <v>-1.1097774490107</v>
      </c>
      <c r="AE3191">
        <v>-2.2918999999999898</v>
      </c>
      <c r="AF3191">
        <v>2.7283840323306698</v>
      </c>
      <c r="AG3191">
        <v>-1.1097774490107</v>
      </c>
      <c r="AH3191">
        <v>20.752907378472599</v>
      </c>
      <c r="AI3191">
        <v>93.034952854257895</v>
      </c>
      <c r="AJ3191">
        <v>82.510280340273994</v>
      </c>
      <c r="AK3191">
        <v>20.960888580250401</v>
      </c>
      <c r="AL3191">
        <v>86.254907510726198</v>
      </c>
      <c r="AM3191">
        <v>85.479747706698106</v>
      </c>
      <c r="AN3191">
        <v>0.99999999758000702</v>
      </c>
    </row>
    <row r="3192" spans="1:40" x14ac:dyDescent="0.25">
      <c r="A3192" t="str">
        <f>"20190312151334945"</f>
        <v>20190312151334945</v>
      </c>
      <c r="B3192" t="str">
        <f>"1552374814942972"</f>
        <v>1552374814942972</v>
      </c>
      <c r="C3192" t="s">
        <v>40</v>
      </c>
      <c r="D3192">
        <v>4.7870559999999998</v>
      </c>
      <c r="E3192">
        <v>0.52029049999999999</v>
      </c>
      <c r="F3192" t="s">
        <v>54</v>
      </c>
      <c r="G3192">
        <v>-272.78609999999998</v>
      </c>
      <c r="H3192" s="1">
        <v>6.2170740000000004E-8</v>
      </c>
      <c r="I3192">
        <v>211.95439999999999</v>
      </c>
      <c r="J3192">
        <v>-294.23570000000001</v>
      </c>
      <c r="K3192">
        <v>1.1097509999999999</v>
      </c>
      <c r="L3192">
        <v>214.36770000000001</v>
      </c>
      <c r="M3192">
        <v>0.99970460000000005</v>
      </c>
      <c r="N3192">
        <v>0</v>
      </c>
      <c r="O3192">
        <v>2.124581E-2</v>
      </c>
      <c r="P3192">
        <v>0.99678869999999997</v>
      </c>
      <c r="Q3192">
        <v>5.3612079999999999E-2</v>
      </c>
      <c r="R3192">
        <v>-5.9483559999999998E-2</v>
      </c>
      <c r="S3192">
        <v>2.9984440000000001</v>
      </c>
      <c r="T3192">
        <v>-0.15269579999999999</v>
      </c>
      <c r="U3192">
        <v>-0.33105469999999998</v>
      </c>
      <c r="V3192">
        <v>8.0653610000000001E-2</v>
      </c>
      <c r="W3192">
        <v>6.5359529999999999E-2</v>
      </c>
      <c r="X3192">
        <v>0.99459699999999995</v>
      </c>
      <c r="Y3192">
        <v>0.1306416</v>
      </c>
      <c r="Z3192">
        <v>-4.392562E-3</v>
      </c>
      <c r="AA3192">
        <v>0.99141990000000002</v>
      </c>
      <c r="AB3192">
        <v>34</v>
      </c>
      <c r="AC3192">
        <v>21.4496</v>
      </c>
      <c r="AD3192">
        <v>-1.10975093782926</v>
      </c>
      <c r="AE3192">
        <v>-2.41330000000002</v>
      </c>
      <c r="AF3192">
        <v>2.8609387018307002</v>
      </c>
      <c r="AG3192">
        <v>-1.10975093782926</v>
      </c>
      <c r="AH3192">
        <v>21.337080969906701</v>
      </c>
      <c r="AI3192">
        <v>92.950935099679199</v>
      </c>
      <c r="AJ3192">
        <v>82.363161283245503</v>
      </c>
      <c r="AK3192">
        <v>21.5566124823916</v>
      </c>
      <c r="AL3192">
        <v>86.2525035309651</v>
      </c>
      <c r="AM3192">
        <v>85.363929354969102</v>
      </c>
      <c r="AN3192">
        <v>1.00000003268842</v>
      </c>
    </row>
    <row r="3193" spans="1:40" x14ac:dyDescent="0.25">
      <c r="A3193" t="str">
        <f>"20190312151334968"</f>
        <v>20190312151334968</v>
      </c>
      <c r="B3193" t="str">
        <f>"1552374814963468"</f>
        <v>1552374814963468</v>
      </c>
      <c r="C3193" t="s">
        <v>40</v>
      </c>
      <c r="D3193">
        <v>4.7468430000000001</v>
      </c>
      <c r="E3193">
        <v>0.52033320000000005</v>
      </c>
      <c r="F3193" t="s">
        <v>54</v>
      </c>
      <c r="G3193">
        <v>-271.58539999999999</v>
      </c>
      <c r="H3193" s="1">
        <v>-5.7011190000000002E-7</v>
      </c>
      <c r="I3193">
        <v>211.80240000000001</v>
      </c>
      <c r="J3193">
        <v>-293.89949999999999</v>
      </c>
      <c r="K3193">
        <v>1.109721</v>
      </c>
      <c r="L3193">
        <v>214.37479999999999</v>
      </c>
      <c r="M3193">
        <v>0.99970669999999995</v>
      </c>
      <c r="N3193">
        <v>0</v>
      </c>
      <c r="O3193">
        <v>2.1180500000000001E-2</v>
      </c>
      <c r="P3193">
        <v>0.99668350000000006</v>
      </c>
      <c r="Q3193">
        <v>5.338905E-2</v>
      </c>
      <c r="R3193">
        <v>-6.1417550000000001E-2</v>
      </c>
      <c r="S3193">
        <v>2.9972530000000002</v>
      </c>
      <c r="T3193">
        <v>-0.14685029999999999</v>
      </c>
      <c r="U3193">
        <v>-0.33946229999999999</v>
      </c>
      <c r="V3193">
        <v>8.252197E-2</v>
      </c>
      <c r="W3193">
        <v>6.5066410000000005E-2</v>
      </c>
      <c r="X3193">
        <v>0.99446290000000004</v>
      </c>
      <c r="Y3193">
        <v>0.1333773</v>
      </c>
      <c r="Z3193">
        <v>-4.2892030000000001E-3</v>
      </c>
      <c r="AA3193">
        <v>0.99105600000000005</v>
      </c>
      <c r="AB3193">
        <v>34</v>
      </c>
      <c r="AC3193">
        <v>22.3141</v>
      </c>
      <c r="AD3193">
        <v>-1.1097215701119001</v>
      </c>
      <c r="AE3193">
        <v>-2.57239999999998</v>
      </c>
      <c r="AF3193">
        <v>3.03706630462043</v>
      </c>
      <c r="AG3193">
        <v>-1.1097215701119001</v>
      </c>
      <c r="AH3193">
        <v>22.200417859188299</v>
      </c>
      <c r="AI3193">
        <v>92.835270496364998</v>
      </c>
      <c r="AJ3193">
        <v>82.210165547870901</v>
      </c>
      <c r="AK3193">
        <v>22.4346563785675</v>
      </c>
      <c r="AL3193">
        <v>86.269333721923203</v>
      </c>
      <c r="AM3193">
        <v>85.256381472398402</v>
      </c>
      <c r="AN3193">
        <v>0.99999998635968901</v>
      </c>
    </row>
    <row r="3194" spans="1:40" x14ac:dyDescent="0.25">
      <c r="A3194" t="str">
        <f>"20190312151334992"</f>
        <v>20190312151334992</v>
      </c>
      <c r="B3194" t="str">
        <f>"1552374814982988"</f>
        <v>1552374814982988</v>
      </c>
      <c r="C3194" t="s">
        <v>40</v>
      </c>
      <c r="D3194">
        <v>4.740615</v>
      </c>
      <c r="E3194">
        <v>0.52041479999999996</v>
      </c>
      <c r="F3194" t="s">
        <v>54</v>
      </c>
      <c r="G3194">
        <v>-271.03750000000002</v>
      </c>
      <c r="H3194" s="1">
        <v>-8.5886949999999995E-7</v>
      </c>
      <c r="I3194">
        <v>211.73859999999999</v>
      </c>
      <c r="J3194">
        <v>-293.52769999999998</v>
      </c>
      <c r="K3194">
        <v>1.1096999999999999</v>
      </c>
      <c r="L3194">
        <v>214.3826</v>
      </c>
      <c r="M3194">
        <v>0.99970919999999996</v>
      </c>
      <c r="N3194">
        <v>0</v>
      </c>
      <c r="O3194">
        <v>2.1105539999999999E-2</v>
      </c>
      <c r="P3194">
        <v>0.99651400000000001</v>
      </c>
      <c r="Q3194">
        <v>5.3474840000000003E-2</v>
      </c>
      <c r="R3194">
        <v>-6.4035709999999996E-2</v>
      </c>
      <c r="S3194">
        <v>2.9964900000000001</v>
      </c>
      <c r="T3194">
        <v>-0.14544979999999999</v>
      </c>
      <c r="U3194">
        <v>-0.34551999999999999</v>
      </c>
      <c r="V3194">
        <v>8.5063410000000006E-2</v>
      </c>
      <c r="W3194">
        <v>6.5075939999999999E-2</v>
      </c>
      <c r="X3194">
        <v>0.99424820000000003</v>
      </c>
      <c r="Y3194">
        <v>0.13530989999999901</v>
      </c>
      <c r="Z3194">
        <v>-4.292031E-3</v>
      </c>
      <c r="AA3194">
        <v>0.99079399999999995</v>
      </c>
      <c r="AB3194">
        <v>34</v>
      </c>
      <c r="AC3194">
        <v>22.490199999999898</v>
      </c>
      <c r="AD3194">
        <v>-1.1097008588695001</v>
      </c>
      <c r="AE3194">
        <v>-2.6440000000000001</v>
      </c>
      <c r="AF3194">
        <v>3.1106412063639999</v>
      </c>
      <c r="AG3194">
        <v>-1.1097008588695001</v>
      </c>
      <c r="AH3194">
        <v>22.375650035537699</v>
      </c>
      <c r="AI3194">
        <v>92.812207330290093</v>
      </c>
      <c r="AJ3194">
        <v>82.085521898243599</v>
      </c>
      <c r="AK3194">
        <v>22.618073287169398</v>
      </c>
      <c r="AL3194">
        <v>86.268786855098696</v>
      </c>
      <c r="AM3194">
        <v>85.109938601494804</v>
      </c>
      <c r="AN3194">
        <v>1.0000000724454701</v>
      </c>
    </row>
    <row r="3195" spans="1:40" x14ac:dyDescent="0.25">
      <c r="A3195" t="str">
        <f>"20190312151335012"</f>
        <v>20190312151335012</v>
      </c>
      <c r="B3195" t="str">
        <f>"1552374815003991"</f>
        <v>1552374815003991</v>
      </c>
      <c r="C3195" t="s">
        <v>40</v>
      </c>
      <c r="D3195">
        <v>4.7111539999999996</v>
      </c>
      <c r="E3195">
        <v>0.52053909999999903</v>
      </c>
      <c r="F3195" t="s">
        <v>54</v>
      </c>
      <c r="G3195">
        <v>-270.79730000000001</v>
      </c>
      <c r="H3195" s="1">
        <v>-9.848775E-7</v>
      </c>
      <c r="I3195">
        <v>211.69710000000001</v>
      </c>
      <c r="J3195">
        <v>-293.20389999999998</v>
      </c>
      <c r="K3195">
        <v>1.1096870000000001</v>
      </c>
      <c r="L3195">
        <v>214.38939999999999</v>
      </c>
      <c r="M3195">
        <v>0.99971120000000002</v>
      </c>
      <c r="N3195">
        <v>0</v>
      </c>
      <c r="O3195">
        <v>2.103959E-2</v>
      </c>
      <c r="P3195">
        <v>0.99636939999999996</v>
      </c>
      <c r="Q3195">
        <v>5.3443009999999999E-2</v>
      </c>
      <c r="R3195">
        <v>-6.627007E-2</v>
      </c>
      <c r="S3195">
        <v>2.9956360000000002</v>
      </c>
      <c r="T3195">
        <v>-0.14624770000000001</v>
      </c>
      <c r="U3195">
        <v>-0.35392760000000001</v>
      </c>
      <c r="V3195">
        <v>8.722974E-2</v>
      </c>
      <c r="W3195">
        <v>6.4977439999999997E-2</v>
      </c>
      <c r="X3195">
        <v>0.99406680000000003</v>
      </c>
      <c r="Y3195">
        <v>0.13801440000000001</v>
      </c>
      <c r="Z3195">
        <v>-4.3786229999999999E-3</v>
      </c>
      <c r="AA3195">
        <v>0.99042050000000004</v>
      </c>
      <c r="AB3195">
        <v>34</v>
      </c>
      <c r="AC3195">
        <v>22.406599999999901</v>
      </c>
      <c r="AD3195">
        <v>-1.1096879848774901</v>
      </c>
      <c r="AE3195">
        <v>-2.6922999999999799</v>
      </c>
      <c r="AF3195">
        <v>3.15553191027788</v>
      </c>
      <c r="AG3195">
        <v>-1.1096879848774901</v>
      </c>
      <c r="AH3195">
        <v>22.291094850488498</v>
      </c>
      <c r="AI3195">
        <v>92.821839610083202</v>
      </c>
      <c r="AJ3195">
        <v>81.942733832751898</v>
      </c>
      <c r="AK3195">
        <v>22.540667663004999</v>
      </c>
      <c r="AL3195">
        <v>86.274441998572001</v>
      </c>
      <c r="AM3195">
        <v>84.985118963130105</v>
      </c>
      <c r="AN3195">
        <v>0.99999994905582901</v>
      </c>
    </row>
    <row r="3196" spans="1:40" x14ac:dyDescent="0.25">
      <c r="A3196" t="str">
        <f>"20190312151335036"</f>
        <v>20190312151335036</v>
      </c>
      <c r="B3196" t="str">
        <f>"1552374815033270"</f>
        <v>1552374815033270</v>
      </c>
      <c r="C3196" t="s">
        <v>40</v>
      </c>
      <c r="D3196">
        <v>4.6920830000000002</v>
      </c>
      <c r="E3196">
        <v>0.52055750000000001</v>
      </c>
      <c r="F3196" t="s">
        <v>54</v>
      </c>
      <c r="G3196">
        <v>-270.63679999999999</v>
      </c>
      <c r="H3196" s="1">
        <v>-1.068923E-6</v>
      </c>
      <c r="I3196">
        <v>211.6652</v>
      </c>
      <c r="J3196">
        <v>-292.8494</v>
      </c>
      <c r="K3196">
        <v>1.1096649999999999</v>
      </c>
      <c r="L3196">
        <v>214.39680000000001</v>
      </c>
      <c r="M3196">
        <v>0.99971370000000004</v>
      </c>
      <c r="N3196">
        <v>0</v>
      </c>
      <c r="O3196">
        <v>2.096671E-2</v>
      </c>
      <c r="P3196">
        <v>0.99619429999999998</v>
      </c>
      <c r="Q3196">
        <v>5.3452239999999998E-2</v>
      </c>
      <c r="R3196">
        <v>-6.8846899999999905E-2</v>
      </c>
      <c r="S3196">
        <v>2.9947810000000001</v>
      </c>
      <c r="T3196">
        <v>-0.1472617</v>
      </c>
      <c r="U3196">
        <v>-0.36151119999999998</v>
      </c>
      <c r="V3196">
        <v>8.9730749999999998E-2</v>
      </c>
      <c r="W3196">
        <v>6.4908439999999998E-2</v>
      </c>
      <c r="X3196">
        <v>0.99384870000000003</v>
      </c>
      <c r="Y3196">
        <v>0.14044200000000001</v>
      </c>
      <c r="Z3196">
        <v>-4.4654050000000004E-3</v>
      </c>
      <c r="AA3196">
        <v>0.99007880000000004</v>
      </c>
      <c r="AB3196">
        <v>34</v>
      </c>
      <c r="AC3196">
        <v>22.212599999999998</v>
      </c>
      <c r="AD3196">
        <v>-1.10966606892299</v>
      </c>
      <c r="AE3196">
        <v>-2.73160000000001</v>
      </c>
      <c r="AF3196">
        <v>3.1889156465043702</v>
      </c>
      <c r="AG3196">
        <v>-1.10966606892299</v>
      </c>
      <c r="AH3196">
        <v>22.0961170547038</v>
      </c>
      <c r="AI3196">
        <v>92.845544301940393</v>
      </c>
      <c r="AJ3196">
        <v>81.787765046511794</v>
      </c>
      <c r="AK3196">
        <v>22.352604561442298</v>
      </c>
      <c r="AL3196">
        <v>86.278403870562101</v>
      </c>
      <c r="AM3196">
        <v>84.840973708797705</v>
      </c>
      <c r="AN3196">
        <v>0.99999997578524202</v>
      </c>
    </row>
    <row r="3197" spans="1:40" x14ac:dyDescent="0.25">
      <c r="A3197" t="str">
        <f>"20190312151335058"</f>
        <v>20190312151335058</v>
      </c>
      <c r="B3197" t="str">
        <f>"1552374815053765"</f>
        <v>1552374815053765</v>
      </c>
      <c r="C3197" t="s">
        <v>40</v>
      </c>
      <c r="D3197">
        <v>4.664663</v>
      </c>
      <c r="E3197">
        <v>0.52049599999999996</v>
      </c>
      <c r="F3197" t="s">
        <v>54</v>
      </c>
      <c r="G3197">
        <v>-270.20949999999999</v>
      </c>
      <c r="H3197" s="1">
        <v>-1.293616E-6</v>
      </c>
      <c r="I3197">
        <v>211.60339999999999</v>
      </c>
      <c r="J3197">
        <v>-292.51220000000001</v>
      </c>
      <c r="K3197">
        <v>1.109648</v>
      </c>
      <c r="L3197">
        <v>214.40379999999999</v>
      </c>
      <c r="M3197">
        <v>0.99971600000000005</v>
      </c>
      <c r="N3197">
        <v>0</v>
      </c>
      <c r="O3197">
        <v>2.0898219999999999E-2</v>
      </c>
      <c r="P3197">
        <v>0.99597899999999995</v>
      </c>
      <c r="Q3197">
        <v>5.4077609999999998E-2</v>
      </c>
      <c r="R3197">
        <v>-7.142656E-2</v>
      </c>
      <c r="S3197">
        <v>2.9938349999999998</v>
      </c>
      <c r="T3197">
        <v>-0.14673919999999999</v>
      </c>
      <c r="U3197">
        <v>-0.36938480000000001</v>
      </c>
      <c r="V3197">
        <v>9.2237669999999994E-2</v>
      </c>
      <c r="W3197">
        <v>6.5452780000000002E-2</v>
      </c>
      <c r="X3197">
        <v>0.99358349999999995</v>
      </c>
      <c r="Y3197">
        <v>0.14297489999999999</v>
      </c>
      <c r="Z3197">
        <v>-4.508733E-3</v>
      </c>
      <c r="AA3197">
        <v>0.98971609999999999</v>
      </c>
      <c r="AB3197">
        <v>34</v>
      </c>
      <c r="AC3197">
        <v>22.302700000000002</v>
      </c>
      <c r="AD3197">
        <v>-1.1096492936160001</v>
      </c>
      <c r="AE3197">
        <v>-2.80039999999999</v>
      </c>
      <c r="AF3197">
        <v>3.2579658445730701</v>
      </c>
      <c r="AG3197">
        <v>-1.1096492936160001</v>
      </c>
      <c r="AH3197">
        <v>22.185235091760401</v>
      </c>
      <c r="AI3197">
        <v>92.833068191359999</v>
      </c>
      <c r="AJ3197">
        <v>81.645663681734902</v>
      </c>
      <c r="AK3197">
        <v>22.450619569978599</v>
      </c>
      <c r="AL3197">
        <v>86.247149160024605</v>
      </c>
      <c r="AM3197">
        <v>84.696242819865702</v>
      </c>
      <c r="AN3197">
        <v>1.0000000128244999</v>
      </c>
    </row>
    <row r="3198" spans="1:40" x14ac:dyDescent="0.25">
      <c r="A3198" t="str">
        <f>"20190312151335082"</f>
        <v>20190312151335082</v>
      </c>
      <c r="B3198" t="str">
        <f>"1552374815073285"</f>
        <v>1552374815073285</v>
      </c>
      <c r="C3198" t="s">
        <v>40</v>
      </c>
      <c r="D3198">
        <v>4.6737380000000002</v>
      </c>
      <c r="E3198">
        <v>0.52041590000000004</v>
      </c>
      <c r="F3198" t="s">
        <v>54</v>
      </c>
      <c r="G3198">
        <v>-269.2885</v>
      </c>
      <c r="H3198" s="1">
        <v>3.5430889999999999E-6</v>
      </c>
      <c r="I3198">
        <v>211.4821</v>
      </c>
      <c r="J3198">
        <v>-292.13670000000002</v>
      </c>
      <c r="K3198">
        <v>1.1096379999999999</v>
      </c>
      <c r="L3198">
        <v>214.41149999999999</v>
      </c>
      <c r="M3198">
        <v>0.99971849999999995</v>
      </c>
      <c r="N3198">
        <v>0</v>
      </c>
      <c r="O3198">
        <v>2.0822630000000002E-2</v>
      </c>
      <c r="P3198">
        <v>0.99578770000000005</v>
      </c>
      <c r="Q3198">
        <v>5.418427E-2</v>
      </c>
      <c r="R3198">
        <v>-7.3967210000000005E-2</v>
      </c>
      <c r="S3198">
        <v>2.9928889999999999</v>
      </c>
      <c r="T3198">
        <v>-0.1430023</v>
      </c>
      <c r="U3198">
        <v>-0.37652590000000002</v>
      </c>
      <c r="V3198">
        <v>9.4699149999999996E-2</v>
      </c>
      <c r="W3198">
        <v>6.5471340000000003E-2</v>
      </c>
      <c r="X3198">
        <v>0.99335070000000003</v>
      </c>
      <c r="Y3198">
        <v>0.14527029999999999</v>
      </c>
      <c r="Z3198">
        <v>-4.4457719999999997E-3</v>
      </c>
      <c r="AA3198">
        <v>0.98938199999999998</v>
      </c>
      <c r="AB3198">
        <v>35</v>
      </c>
      <c r="AC3198">
        <v>22.848199999999999</v>
      </c>
      <c r="AD3198">
        <v>-1.1096344569109999</v>
      </c>
      <c r="AE3198">
        <v>-2.9293999999999798</v>
      </c>
      <c r="AF3198">
        <v>3.39667330670287</v>
      </c>
      <c r="AG3198">
        <v>-1.1096344569109999</v>
      </c>
      <c r="AH3198">
        <v>22.7295007827503</v>
      </c>
      <c r="AI3198">
        <v>92.764264194570103</v>
      </c>
      <c r="AJ3198">
        <v>81.500673987519903</v>
      </c>
      <c r="AK3198">
        <v>23.008669757582201</v>
      </c>
      <c r="AL3198">
        <v>86.246083488789495</v>
      </c>
      <c r="AM3198">
        <v>84.554276525160404</v>
      </c>
      <c r="AN3198">
        <v>1.0000000192812999</v>
      </c>
    </row>
    <row r="3199" spans="1:40" x14ac:dyDescent="0.25">
      <c r="A3199" t="str">
        <f>"20190312151335105"</f>
        <v>20190312151335105</v>
      </c>
      <c r="B3199" t="str">
        <f>"1552374815093313"</f>
        <v>1552374815093313</v>
      </c>
      <c r="C3199" t="s">
        <v>40</v>
      </c>
      <c r="D3199">
        <v>4.6405770000000004</v>
      </c>
      <c r="E3199">
        <v>0.52028229999999998</v>
      </c>
      <c r="F3199" t="s">
        <v>54</v>
      </c>
      <c r="G3199">
        <v>-269.09289999999999</v>
      </c>
      <c r="H3199" s="1">
        <v>3.4399709999999999E-6</v>
      </c>
      <c r="I3199">
        <v>211.46019999999999</v>
      </c>
      <c r="J3199">
        <v>-291.78449999999998</v>
      </c>
      <c r="K3199">
        <v>1.1096189999999999</v>
      </c>
      <c r="L3199">
        <v>214.4188</v>
      </c>
      <c r="M3199">
        <v>0.99972079999999997</v>
      </c>
      <c r="N3199">
        <v>0</v>
      </c>
      <c r="O3199">
        <v>2.0752659999999999E-2</v>
      </c>
      <c r="P3199">
        <v>0.99560579999999999</v>
      </c>
      <c r="Q3199">
        <v>5.442545E-2</v>
      </c>
      <c r="R3199">
        <v>-7.6202989999999998E-2</v>
      </c>
      <c r="S3199">
        <v>2.9920960000000001</v>
      </c>
      <c r="T3199">
        <v>-0.14407929999999999</v>
      </c>
      <c r="U3199">
        <v>-0.38320920000000003</v>
      </c>
      <c r="V3199">
        <v>9.6861450000000002E-2</v>
      </c>
      <c r="W3199">
        <v>6.5632170000000004E-2</v>
      </c>
      <c r="X3199">
        <v>0.9931316</v>
      </c>
      <c r="Y3199">
        <v>0.1474029</v>
      </c>
      <c r="Z3199">
        <v>-4.5275259999999996E-3</v>
      </c>
      <c r="AA3199">
        <v>0.98906620000000001</v>
      </c>
      <c r="AB3199">
        <v>35</v>
      </c>
      <c r="AC3199">
        <v>22.691599999999902</v>
      </c>
      <c r="AD3199">
        <v>-1.1096155600290001</v>
      </c>
      <c r="AE3199">
        <v>-2.9586000000000099</v>
      </c>
      <c r="AF3199">
        <v>3.42086066434736</v>
      </c>
      <c r="AG3199">
        <v>-1.1096155600290001</v>
      </c>
      <c r="AH3199">
        <v>22.572237397217101</v>
      </c>
      <c r="AI3199">
        <v>92.782581721430802</v>
      </c>
      <c r="AJ3199">
        <v>81.382305457140504</v>
      </c>
      <c r="AK3199">
        <v>22.8569340790112</v>
      </c>
      <c r="AL3199">
        <v>86.236848856786096</v>
      </c>
      <c r="AM3199">
        <v>84.429484515110701</v>
      </c>
      <c r="AN3199">
        <v>1.0000000485767799</v>
      </c>
    </row>
    <row r="3200" spans="1:40" x14ac:dyDescent="0.25">
      <c r="A3200" t="str">
        <f>"20190312151335124"</f>
        <v>20190312151335124</v>
      </c>
      <c r="B3200" t="str">
        <f>"1552374815113809"</f>
        <v>1552374815113809</v>
      </c>
      <c r="C3200" t="s">
        <v>40</v>
      </c>
      <c r="D3200">
        <v>4.6315790000000003</v>
      </c>
      <c r="E3200">
        <v>0.52008650000000001</v>
      </c>
      <c r="F3200" t="s">
        <v>54</v>
      </c>
      <c r="G3200">
        <v>-268.83800000000002</v>
      </c>
      <c r="H3200" s="1">
        <v>3.3053360000000001E-6</v>
      </c>
      <c r="I3200">
        <v>211.43700000000001</v>
      </c>
      <c r="J3200">
        <v>-291.47949999999997</v>
      </c>
      <c r="K3200">
        <v>1.1096109999999999</v>
      </c>
      <c r="L3200">
        <v>214.42500000000001</v>
      </c>
      <c r="M3200">
        <v>0.99972280000000002</v>
      </c>
      <c r="N3200">
        <v>0</v>
      </c>
      <c r="O3200">
        <v>2.069228E-2</v>
      </c>
      <c r="P3200">
        <v>0.99543179999999998</v>
      </c>
      <c r="Q3200">
        <v>5.443042E-2</v>
      </c>
      <c r="R3200">
        <v>-7.8441720000000006E-2</v>
      </c>
      <c r="S3200">
        <v>2.9913940000000001</v>
      </c>
      <c r="T3200">
        <v>-0.14465420000000001</v>
      </c>
      <c r="U3200">
        <v>-0.3887177</v>
      </c>
      <c r="V3200">
        <v>9.9036120000000005E-2</v>
      </c>
      <c r="W3200">
        <v>6.5569849999999999E-2</v>
      </c>
      <c r="X3200">
        <v>0.99292119999999995</v>
      </c>
      <c r="Y3200">
        <v>0.14916009999999999</v>
      </c>
      <c r="Z3200">
        <v>-4.5854729999999996E-3</v>
      </c>
      <c r="AA3200">
        <v>0.98880239999999997</v>
      </c>
      <c r="AB3200">
        <v>35</v>
      </c>
      <c r="AC3200">
        <v>22.641500000000001</v>
      </c>
      <c r="AD3200">
        <v>-1.1096076946639899</v>
      </c>
      <c r="AE3200">
        <v>-2.9879999999999902</v>
      </c>
      <c r="AF3200">
        <v>3.44775506452067</v>
      </c>
      <c r="AG3200">
        <v>-1.1096076946639899</v>
      </c>
      <c r="AH3200">
        <v>22.521653689265701</v>
      </c>
      <c r="AI3200">
        <v>92.7881658214135</v>
      </c>
      <c r="AJ3200">
        <v>81.296376282342706</v>
      </c>
      <c r="AK3200">
        <v>22.8110308649171</v>
      </c>
      <c r="AL3200">
        <v>86.240427182221097</v>
      </c>
      <c r="AM3200">
        <v>84.304033264899999</v>
      </c>
      <c r="AN3200">
        <v>1.00000003385155</v>
      </c>
    </row>
    <row r="3201" spans="1:40" x14ac:dyDescent="0.25">
      <c r="A3201" t="str">
        <f>"20190312151335146"</f>
        <v>20190312151335146</v>
      </c>
      <c r="B3201" t="str">
        <f>"1552374815143089"</f>
        <v>1552374815143089</v>
      </c>
      <c r="C3201" t="s">
        <v>40</v>
      </c>
      <c r="D3201">
        <v>4.6492469999999999</v>
      </c>
      <c r="E3201">
        <v>0.51975740000000004</v>
      </c>
      <c r="F3201" t="s">
        <v>54</v>
      </c>
      <c r="G3201">
        <v>-268.69310000000002</v>
      </c>
      <c r="H3201" s="1">
        <v>3.2286919999999999E-6</v>
      </c>
      <c r="I3201">
        <v>211.42679999999999</v>
      </c>
      <c r="J3201">
        <v>-291.14249999999998</v>
      </c>
      <c r="K3201">
        <v>1.109604</v>
      </c>
      <c r="L3201">
        <v>214.43199999999999</v>
      </c>
      <c r="M3201">
        <v>0.99972499999999997</v>
      </c>
      <c r="N3201">
        <v>0</v>
      </c>
      <c r="O3201">
        <v>2.0626080000000001E-2</v>
      </c>
      <c r="P3201">
        <v>0.99529310000000004</v>
      </c>
      <c r="Q3201">
        <v>5.4569909999999999E-2</v>
      </c>
      <c r="R3201">
        <v>-8.008912E-2</v>
      </c>
      <c r="S3201">
        <v>2.990723</v>
      </c>
      <c r="T3201">
        <v>-0.14563670000000001</v>
      </c>
      <c r="U3201">
        <v>-0.39352419999999999</v>
      </c>
      <c r="V3201">
        <v>0.1006147</v>
      </c>
      <c r="W3201">
        <v>6.564072E-2</v>
      </c>
      <c r="X3201">
        <v>0.99275769999999997</v>
      </c>
      <c r="Y3201">
        <v>0.1506808</v>
      </c>
      <c r="Z3201">
        <v>-4.6507700000000003E-3</v>
      </c>
      <c r="AA3201">
        <v>0.98857150000000005</v>
      </c>
      <c r="AB3201">
        <v>35</v>
      </c>
      <c r="AC3201">
        <v>22.449399999999901</v>
      </c>
      <c r="AD3201">
        <v>-1.1096007713079901</v>
      </c>
      <c r="AE3201">
        <v>-3.0052000000000301</v>
      </c>
      <c r="AF3201">
        <v>3.4593301623841399</v>
      </c>
      <c r="AG3201">
        <v>-1.1096007713079901</v>
      </c>
      <c r="AH3201">
        <v>22.329044559149999</v>
      </c>
      <c r="AI3201">
        <v>92.811383828799904</v>
      </c>
      <c r="AJ3201">
        <v>81.193456075168996</v>
      </c>
      <c r="AK3201">
        <v>22.622652584712</v>
      </c>
      <c r="AL3201">
        <v>86.236357496602494</v>
      </c>
      <c r="AM3201">
        <v>84.212907534632805</v>
      </c>
      <c r="AN3201">
        <v>0.99999993644374696</v>
      </c>
    </row>
    <row r="3202" spans="1:40" x14ac:dyDescent="0.25">
      <c r="A3202" t="str">
        <f>"20190312151335169"</f>
        <v>20190312151335169</v>
      </c>
      <c r="B3202" t="str">
        <f>"1552374815163585"</f>
        <v>1552374815163585</v>
      </c>
      <c r="C3202" t="s">
        <v>40</v>
      </c>
      <c r="D3202">
        <v>4.6224920000000003</v>
      </c>
      <c r="E3202">
        <v>0.51952959999999904</v>
      </c>
      <c r="F3202" t="s">
        <v>54</v>
      </c>
      <c r="G3202">
        <v>-268.541</v>
      </c>
      <c r="H3202" s="1">
        <v>3.1470140000000001E-6</v>
      </c>
      <c r="I3202">
        <v>211.44329999999999</v>
      </c>
      <c r="J3202">
        <v>-290.79059999999998</v>
      </c>
      <c r="K3202">
        <v>1.1095980000000001</v>
      </c>
      <c r="L3202">
        <v>214.4391</v>
      </c>
      <c r="M3202">
        <v>0.99972700000000003</v>
      </c>
      <c r="N3202">
        <v>0</v>
      </c>
      <c r="O3202">
        <v>2.0556870000000001E-2</v>
      </c>
      <c r="P3202">
        <v>0.99513790000000002</v>
      </c>
      <c r="Q3202">
        <v>5.478384E-2</v>
      </c>
      <c r="R3202">
        <v>-8.1848229999999994E-2</v>
      </c>
      <c r="S3202">
        <v>2.9904169999999999</v>
      </c>
      <c r="T3202">
        <v>-0.14681229999999901</v>
      </c>
      <c r="U3202">
        <v>-0.39543149999999999</v>
      </c>
      <c r="V3202">
        <v>0.1023018</v>
      </c>
      <c r="W3202">
        <v>6.5790130000000002E-2</v>
      </c>
      <c r="X3202">
        <v>0.9925754</v>
      </c>
      <c r="Y3202">
        <v>0.151241299999999</v>
      </c>
      <c r="Z3202">
        <v>-4.6988569999999999E-3</v>
      </c>
      <c r="AA3202">
        <v>0.98848570000000002</v>
      </c>
      <c r="AB3202">
        <v>35</v>
      </c>
      <c r="AC3202">
        <v>22.249599999999901</v>
      </c>
      <c r="AD3202">
        <v>-1.10959485298599</v>
      </c>
      <c r="AE3202">
        <v>-2.9958</v>
      </c>
      <c r="AF3202">
        <v>3.4441639296453701</v>
      </c>
      <c r="AG3202">
        <v>-1.10959485298599</v>
      </c>
      <c r="AH3202">
        <v>22.129253138129801</v>
      </c>
      <c r="AI3202">
        <v>92.836403387229893</v>
      </c>
      <c r="AJ3202">
        <v>81.153544992967895</v>
      </c>
      <c r="AK3202">
        <v>22.4231422945909</v>
      </c>
      <c r="AL3202">
        <v>86.227778485948505</v>
      </c>
      <c r="AM3202">
        <v>84.115472136358704</v>
      </c>
      <c r="AN3202">
        <v>0.999999962086907</v>
      </c>
    </row>
    <row r="3203" spans="1:40" x14ac:dyDescent="0.25">
      <c r="A3203" t="str">
        <f>"20190312151335192"</f>
        <v>20190312151335192</v>
      </c>
      <c r="B3203" t="str">
        <f>"1552374815183105"</f>
        <v>1552374815183105</v>
      </c>
      <c r="C3203" t="s">
        <v>40</v>
      </c>
      <c r="D3203">
        <v>4.6638019999999996</v>
      </c>
      <c r="E3203">
        <v>0.50751099999999905</v>
      </c>
      <c r="F3203" t="s">
        <v>54</v>
      </c>
      <c r="G3203">
        <v>-268.28109999999998</v>
      </c>
      <c r="H3203" s="1">
        <v>3.0090030000000002E-6</v>
      </c>
      <c r="I3203">
        <v>211.4366</v>
      </c>
      <c r="J3203">
        <v>-290.435</v>
      </c>
      <c r="K3203">
        <v>1.1095889999999999</v>
      </c>
      <c r="L3203">
        <v>214.44640000000001</v>
      </c>
      <c r="M3203">
        <v>0.99972919999999998</v>
      </c>
      <c r="N3203">
        <v>0</v>
      </c>
      <c r="O3203">
        <v>2.0486609999999999E-2</v>
      </c>
      <c r="P3203">
        <v>0.99501390000000001</v>
      </c>
      <c r="Q3203">
        <v>5.5204429999999999E-2</v>
      </c>
      <c r="R3203">
        <v>-8.3065399999999998E-2</v>
      </c>
      <c r="S3203">
        <v>2.9899290000000001</v>
      </c>
      <c r="T3203">
        <v>-0.14738689999999999</v>
      </c>
      <c r="U3203">
        <v>-0.39881899999999998</v>
      </c>
      <c r="V3203">
        <v>0.1034466</v>
      </c>
      <c r="W3203">
        <v>6.6152210000000003E-2</v>
      </c>
      <c r="X3203">
        <v>0.99243269999999995</v>
      </c>
      <c r="Y3203">
        <v>0.15229039999999999</v>
      </c>
      <c r="Z3203">
        <v>-4.7399219999999997E-3</v>
      </c>
      <c r="AA3203">
        <v>0.98832439999999999</v>
      </c>
      <c r="AB3203">
        <v>35</v>
      </c>
      <c r="AC3203">
        <v>22.1539</v>
      </c>
      <c r="AD3203">
        <v>-1.1095859909969901</v>
      </c>
      <c r="AE3203">
        <v>-3.00980000000001</v>
      </c>
      <c r="AF3203">
        <v>3.4545453827180501</v>
      </c>
      <c r="AG3203">
        <v>-1.1095859909969901</v>
      </c>
      <c r="AH3203">
        <v>22.0333157517118</v>
      </c>
      <c r="AI3203">
        <v>92.848212429826901</v>
      </c>
      <c r="AJ3203">
        <v>81.089288678760894</v>
      </c>
      <c r="AK3203">
        <v>22.3300709333245</v>
      </c>
      <c r="AL3203">
        <v>86.206987638899193</v>
      </c>
      <c r="AM3203">
        <v>84.049242227733799</v>
      </c>
      <c r="AN3203">
        <v>0.99999998898436604</v>
      </c>
    </row>
    <row r="3204" spans="1:40" x14ac:dyDescent="0.25">
      <c r="A3204" t="str">
        <f>"20190312151335213"</f>
        <v>20190312151335213</v>
      </c>
      <c r="B3204" t="str">
        <f>"1552374815203130"</f>
        <v>1552374815203130</v>
      </c>
      <c r="C3204" t="s">
        <v>40</v>
      </c>
      <c r="D3204">
        <v>4.6172510000000004</v>
      </c>
      <c r="E3204">
        <v>0.5064324</v>
      </c>
      <c r="F3204" t="s">
        <v>54</v>
      </c>
      <c r="G3204">
        <v>-267.87540000000001</v>
      </c>
      <c r="H3204" s="1">
        <v>2.762453E-6</v>
      </c>
      <c r="I3204">
        <v>212.13740000000001</v>
      </c>
      <c r="J3204">
        <v>-290.09840000000003</v>
      </c>
      <c r="K3204">
        <v>1.1095759999999999</v>
      </c>
      <c r="L3204">
        <v>214.45320000000001</v>
      </c>
      <c r="M3204">
        <v>0.99973120000000004</v>
      </c>
      <c r="N3204">
        <v>0</v>
      </c>
      <c r="O3204">
        <v>2.0418479999999999E-2</v>
      </c>
      <c r="P3204">
        <v>0.99488770000000004</v>
      </c>
      <c r="Q3204">
        <v>5.5344320000000002E-2</v>
      </c>
      <c r="R3204">
        <v>-8.4473619999999999E-2</v>
      </c>
      <c r="S3204">
        <v>2.99762</v>
      </c>
      <c r="T3204">
        <v>-0.1474367</v>
      </c>
      <c r="U3204">
        <v>-0.30680849999999998</v>
      </c>
      <c r="V3204">
        <v>0.1047843</v>
      </c>
      <c r="W3204">
        <v>6.6236909999999996E-2</v>
      </c>
      <c r="X3204">
        <v>0.99228669999999997</v>
      </c>
      <c r="Y3204">
        <v>0.1219408</v>
      </c>
      <c r="Z3204">
        <v>-3.990525E-3</v>
      </c>
      <c r="AA3204">
        <v>0.99252929999999995</v>
      </c>
      <c r="AB3204">
        <v>35</v>
      </c>
      <c r="AC3204">
        <v>22.222999999999999</v>
      </c>
      <c r="AD3204">
        <v>-1.109573237547</v>
      </c>
      <c r="AE3204">
        <v>-2.3157999999999901</v>
      </c>
      <c r="AF3204">
        <v>2.7622922236545899</v>
      </c>
      <c r="AG3204">
        <v>-1.109573237547</v>
      </c>
      <c r="AH3204">
        <v>22.1165361994384</v>
      </c>
      <c r="AI3204">
        <v>92.849980655071107</v>
      </c>
      <c r="AJ3204">
        <v>82.880786230587702</v>
      </c>
      <c r="AK3204">
        <v>22.3159715127845</v>
      </c>
      <c r="AL3204">
        <v>86.202124009224704</v>
      </c>
      <c r="AM3204">
        <v>83.971973711720693</v>
      </c>
      <c r="AN3204">
        <v>0.99999998638486298</v>
      </c>
    </row>
    <row r="3205" spans="1:40" x14ac:dyDescent="0.25">
      <c r="A3205" t="str">
        <f>"20190312151335235"</f>
        <v>20190312151335235</v>
      </c>
      <c r="B3205" t="str">
        <f>"1552374815223626"</f>
        <v>1552374815223626</v>
      </c>
      <c r="C3205" t="s">
        <v>40</v>
      </c>
      <c r="D3205">
        <v>4.5558699999999996</v>
      </c>
      <c r="E3205">
        <v>0.50548679999999901</v>
      </c>
      <c r="F3205" t="s">
        <v>54</v>
      </c>
      <c r="G3205">
        <v>-266.83730000000003</v>
      </c>
      <c r="H3205" s="1">
        <v>2.2113089999999999E-6</v>
      </c>
      <c r="I3205">
        <v>212.10830000000001</v>
      </c>
      <c r="J3205">
        <v>-289.7534</v>
      </c>
      <c r="K3205">
        <v>1.1095740000000001</v>
      </c>
      <c r="L3205">
        <v>214.46010000000001</v>
      </c>
      <c r="M3205">
        <v>0.99973319999999999</v>
      </c>
      <c r="N3205">
        <v>0</v>
      </c>
      <c r="O3205">
        <v>2.034447E-2</v>
      </c>
      <c r="P3205">
        <v>0.99476129999999996</v>
      </c>
      <c r="Q3205">
        <v>5.5774940000000002E-2</v>
      </c>
      <c r="R3205">
        <v>-8.5671170000000005E-2</v>
      </c>
      <c r="S3205">
        <v>2.9977109999999998</v>
      </c>
      <c r="T3205">
        <v>-0.1429936</v>
      </c>
      <c r="U3205">
        <v>-0.30218509999999998</v>
      </c>
      <c r="V3205">
        <v>0.1059061</v>
      </c>
      <c r="W3205">
        <v>6.6614199999999998E-2</v>
      </c>
      <c r="X3205">
        <v>0.99214239999999998</v>
      </c>
      <c r="Y3205">
        <v>0.1203608</v>
      </c>
      <c r="Z3205">
        <v>-3.8294969999999998E-3</v>
      </c>
      <c r="AA3205">
        <v>0.99272280000000002</v>
      </c>
      <c r="AB3205">
        <v>35</v>
      </c>
      <c r="AC3205">
        <v>22.916099999999901</v>
      </c>
      <c r="AD3205">
        <v>-1.1095717886909999</v>
      </c>
      <c r="AE3205">
        <v>-2.3517999999999901</v>
      </c>
      <c r="AF3205">
        <v>2.8110355168385102</v>
      </c>
      <c r="AG3205">
        <v>-1.1095717886909999</v>
      </c>
      <c r="AH3205">
        <v>22.8105879990933</v>
      </c>
      <c r="AI3205">
        <v>92.763958759049203</v>
      </c>
      <c r="AJ3205">
        <v>82.974643970192403</v>
      </c>
      <c r="AK3205">
        <v>23.009910801556099</v>
      </c>
      <c r="AL3205">
        <v>86.180459269337106</v>
      </c>
      <c r="AM3205">
        <v>83.907042225715699</v>
      </c>
      <c r="AN3205">
        <v>1.0000000477683</v>
      </c>
    </row>
    <row r="3206" spans="1:40" x14ac:dyDescent="0.25">
      <c r="A3206" t="str">
        <f>"20190312151335258"</f>
        <v>20190312151335258</v>
      </c>
      <c r="B3206" t="str">
        <f>"1552374815253883"</f>
        <v>1552374815253883</v>
      </c>
      <c r="C3206" t="s">
        <v>40</v>
      </c>
      <c r="D3206">
        <v>4.5402189999999996</v>
      </c>
      <c r="E3206">
        <v>0.5047218</v>
      </c>
      <c r="F3206" t="s">
        <v>54</v>
      </c>
      <c r="G3206">
        <v>-268.89929999999998</v>
      </c>
      <c r="H3206" s="1">
        <v>3.2964060000000001E-6</v>
      </c>
      <c r="I3206">
        <v>212.38720000000001</v>
      </c>
      <c r="J3206">
        <v>-289.40280000000001</v>
      </c>
      <c r="K3206">
        <v>1.109561</v>
      </c>
      <c r="L3206">
        <v>214.46719999999999</v>
      </c>
      <c r="M3206">
        <v>0.99973540000000005</v>
      </c>
      <c r="N3206">
        <v>0</v>
      </c>
      <c r="O3206">
        <v>2.0259920000000001E-2</v>
      </c>
      <c r="P3206">
        <v>0.99466209999999999</v>
      </c>
      <c r="Q3206">
        <v>5.6104979999999999E-2</v>
      </c>
      <c r="R3206">
        <v>-8.6599540000000003E-2</v>
      </c>
      <c r="S3206">
        <v>2.9990839999999999</v>
      </c>
      <c r="T3206">
        <v>-0.1595703</v>
      </c>
      <c r="U3206">
        <v>-0.29811100000000001</v>
      </c>
      <c r="V3206">
        <v>0.10674939999999999</v>
      </c>
      <c r="W3206">
        <v>6.6892999999999994E-2</v>
      </c>
      <c r="X3206">
        <v>0.99203319999999995</v>
      </c>
      <c r="Y3206">
        <v>0.1188597</v>
      </c>
      <c r="Z3206">
        <v>-4.226891E-3</v>
      </c>
      <c r="AA3206">
        <v>0.99290199999999995</v>
      </c>
      <c r="AB3206">
        <v>35</v>
      </c>
      <c r="AC3206">
        <v>20.503499999999999</v>
      </c>
      <c r="AD3206">
        <v>-1.1095577035940001</v>
      </c>
      <c r="AE3206">
        <v>-2.0799999999999801</v>
      </c>
      <c r="AF3206">
        <v>2.48778569830302</v>
      </c>
      <c r="AG3206">
        <v>-1.1095577035940001</v>
      </c>
      <c r="AH3206">
        <v>20.398021044313602</v>
      </c>
      <c r="AI3206">
        <v>93.090699180649494</v>
      </c>
      <c r="AJ3206">
        <v>83.046427664556703</v>
      </c>
      <c r="AK3206">
        <v>20.579102470772298</v>
      </c>
      <c r="AL3206">
        <v>86.164449270555394</v>
      </c>
      <c r="AM3206">
        <v>83.858224191767206</v>
      </c>
      <c r="AN3206">
        <v>0.999999988875799</v>
      </c>
    </row>
    <row r="3207" spans="1:40" x14ac:dyDescent="0.25">
      <c r="A3207" t="str">
        <f>"20190312151335282"</f>
        <v>20190312151335282</v>
      </c>
      <c r="B3207" t="str">
        <f>"1552374815273402"</f>
        <v>1552374815273402</v>
      </c>
      <c r="C3207" t="s">
        <v>40</v>
      </c>
      <c r="D3207">
        <v>4.5336100000000004</v>
      </c>
      <c r="E3207">
        <v>0.50422540000000005</v>
      </c>
      <c r="F3207" t="s">
        <v>54</v>
      </c>
      <c r="G3207">
        <v>-270.0385</v>
      </c>
      <c r="H3207" s="1">
        <v>-1.4266929999999901E-6</v>
      </c>
      <c r="I3207">
        <v>212.56659999999999</v>
      </c>
      <c r="J3207">
        <v>-289.04219999999998</v>
      </c>
      <c r="K3207">
        <v>1.10955</v>
      </c>
      <c r="L3207">
        <v>214.4744</v>
      </c>
      <c r="M3207">
        <v>0.99973820000000002</v>
      </c>
      <c r="N3207">
        <v>0</v>
      </c>
      <c r="O3207">
        <v>2.0156460000000001E-2</v>
      </c>
      <c r="P3207">
        <v>0.99457280000000003</v>
      </c>
      <c r="Q3207">
        <v>5.5772240000000001E-2</v>
      </c>
      <c r="R3207">
        <v>-8.78327E-2</v>
      </c>
      <c r="S3207">
        <v>3.0001220000000002</v>
      </c>
      <c r="T3207">
        <v>-0.17190529999999901</v>
      </c>
      <c r="U3207">
        <v>-0.29446409999999901</v>
      </c>
      <c r="V3207">
        <v>0.10787919999999999</v>
      </c>
      <c r="W3207">
        <v>6.6506700000000002E-2</v>
      </c>
      <c r="X3207">
        <v>0.99193699999999996</v>
      </c>
      <c r="Y3207">
        <v>0.11749900000000001</v>
      </c>
      <c r="Z3207">
        <v>-4.5070529999999996E-3</v>
      </c>
      <c r="AA3207">
        <v>0.99306280000000002</v>
      </c>
      <c r="AB3207">
        <v>35</v>
      </c>
      <c r="AC3207">
        <v>19.003699999999899</v>
      </c>
      <c r="AD3207">
        <v>-1.109551426693</v>
      </c>
      <c r="AE3207">
        <v>-1.9077999999999999</v>
      </c>
      <c r="AF3207">
        <v>2.2827779458102202</v>
      </c>
      <c r="AG3207">
        <v>-1.109551426693</v>
      </c>
      <c r="AH3207">
        <v>18.897604065739699</v>
      </c>
      <c r="AI3207">
        <v>93.336003233180506</v>
      </c>
      <c r="AJ3207">
        <v>83.112202186937395</v>
      </c>
      <c r="AK3207">
        <v>19.067291861819701</v>
      </c>
      <c r="AL3207">
        <v>86.1866322151959</v>
      </c>
      <c r="AM3207">
        <v>83.793129131876199</v>
      </c>
      <c r="AN3207">
        <v>1.00000003745326</v>
      </c>
    </row>
    <row r="3208" spans="1:40" x14ac:dyDescent="0.25">
      <c r="A3208" t="str">
        <f>"20190312151335306"</f>
        <v>20190312151335306</v>
      </c>
      <c r="B3208" t="str">
        <f>"1552374815303189"</f>
        <v>1552374815303189</v>
      </c>
      <c r="C3208" t="s">
        <v>40</v>
      </c>
      <c r="D3208">
        <v>4.5291489999999897</v>
      </c>
      <c r="E3208">
        <v>0.50372890000000003</v>
      </c>
      <c r="F3208" t="s">
        <v>54</v>
      </c>
      <c r="G3208">
        <v>-270.54360000000003</v>
      </c>
      <c r="H3208" s="1">
        <v>-1.1620249999999999E-6</v>
      </c>
      <c r="I3208">
        <v>212.661</v>
      </c>
      <c r="J3208">
        <v>-288.66210000000001</v>
      </c>
      <c r="K3208">
        <v>1.1095269999999999</v>
      </c>
      <c r="L3208">
        <v>214.4819</v>
      </c>
      <c r="M3208">
        <v>0.9997414</v>
      </c>
      <c r="N3208">
        <v>0</v>
      </c>
      <c r="O3208">
        <v>2.001795E-2</v>
      </c>
      <c r="P3208">
        <v>0.9944788</v>
      </c>
      <c r="Q3208">
        <v>5.5466509999999997E-2</v>
      </c>
      <c r="R3208">
        <v>-8.9082519999999998E-2</v>
      </c>
      <c r="S3208">
        <v>3.0004879999999998</v>
      </c>
      <c r="T3208">
        <v>-0.17997009999999999</v>
      </c>
      <c r="U3208">
        <v>-0.29412840000000001</v>
      </c>
      <c r="V3208">
        <v>0.1089926</v>
      </c>
      <c r="W3208">
        <v>6.6145079999999995E-2</v>
      </c>
      <c r="X3208">
        <v>0.99183940000000004</v>
      </c>
      <c r="Y3208">
        <v>0.1172189</v>
      </c>
      <c r="Z3208">
        <v>-4.7009280000000001E-3</v>
      </c>
      <c r="AA3208">
        <v>0.99309499999999995</v>
      </c>
      <c r="AB3208">
        <v>35</v>
      </c>
      <c r="AC3208">
        <v>18.118499999999901</v>
      </c>
      <c r="AD3208">
        <v>-1.1095281620249999</v>
      </c>
      <c r="AE3208">
        <v>-1.8209000000000199</v>
      </c>
      <c r="AF3208">
        <v>2.1751760624485899</v>
      </c>
      <c r="AG3208">
        <v>-1.1095281620249999</v>
      </c>
      <c r="AH3208">
        <v>18.011548129118498</v>
      </c>
      <c r="AI3208">
        <v>93.499655368391302</v>
      </c>
      <c r="AJ3208">
        <v>83.113985536827499</v>
      </c>
      <c r="AK3208">
        <v>18.1763117725387</v>
      </c>
      <c r="AL3208">
        <v>86.207397008728805</v>
      </c>
      <c r="AM3208">
        <v>83.728964825804795</v>
      </c>
      <c r="AN3208">
        <v>0.99999997692766296</v>
      </c>
    </row>
    <row r="3209" spans="1:40" x14ac:dyDescent="0.25">
      <c r="A3209" t="str">
        <f>"20190312151335326"</f>
        <v>20190312151335326</v>
      </c>
      <c r="B3209" t="str">
        <f>"1552374815323685"</f>
        <v>1552374815323685</v>
      </c>
      <c r="C3209" t="s">
        <v>40</v>
      </c>
      <c r="D3209">
        <v>4.4731690000000004</v>
      </c>
      <c r="E3209">
        <v>0.50343499999999997</v>
      </c>
      <c r="F3209" t="s">
        <v>41</v>
      </c>
      <c r="G3209">
        <v>-287.62009999999998</v>
      </c>
      <c r="H3209">
        <v>1.044923</v>
      </c>
      <c r="I3209">
        <v>214.37970000000001</v>
      </c>
      <c r="J3209">
        <v>-288.34840000000003</v>
      </c>
      <c r="K3209">
        <v>1.1094949999999999</v>
      </c>
      <c r="L3209">
        <v>214.4881</v>
      </c>
      <c r="M3209">
        <v>0.99974490000000005</v>
      </c>
      <c r="N3209">
        <v>0</v>
      </c>
      <c r="O3209">
        <v>1.9867639999999999E-2</v>
      </c>
      <c r="P3209">
        <v>0.99438150000000003</v>
      </c>
      <c r="Q3209">
        <v>5.5661339999999997E-2</v>
      </c>
      <c r="R3209">
        <v>-9.0042109999999995E-2</v>
      </c>
      <c r="S3209">
        <v>3.000702</v>
      </c>
      <c r="T3209">
        <v>-0.18613669999999999</v>
      </c>
      <c r="U3209">
        <v>-0.2937012</v>
      </c>
      <c r="V3209">
        <v>0.1098049</v>
      </c>
      <c r="W3209">
        <v>6.6293050000000006E-2</v>
      </c>
      <c r="X3209">
        <v>0.99173990000000001</v>
      </c>
      <c r="Y3209">
        <v>0.1169065</v>
      </c>
      <c r="Z3209">
        <v>-4.8424369999999998E-3</v>
      </c>
      <c r="AA3209">
        <v>0.99313110000000004</v>
      </c>
      <c r="AB3209">
        <v>35</v>
      </c>
      <c r="AC3209">
        <v>0.72830000000004602</v>
      </c>
      <c r="AD3209">
        <v>-6.4572000000000004E-2</v>
      </c>
      <c r="AE3209">
        <v>-0.10839999999998801</v>
      </c>
      <c r="AF3209">
        <v>0.121911484346319</v>
      </c>
      <c r="AG3209">
        <v>-6.4572000000000004E-2</v>
      </c>
      <c r="AH3209">
        <v>0.72046177804365497</v>
      </c>
      <c r="AI3209">
        <v>95.050088658307303</v>
      </c>
      <c r="AJ3209">
        <v>80.395786725299601</v>
      </c>
      <c r="AK3209">
        <v>0.73355103900229601</v>
      </c>
      <c r="AL3209">
        <v>86.198900226435896</v>
      </c>
      <c r="AM3209">
        <v>83.681975856775196</v>
      </c>
      <c r="AN3209">
        <v>0.99999995689716004</v>
      </c>
    </row>
    <row r="3210" spans="1:40" x14ac:dyDescent="0.25">
      <c r="A3210" t="str">
        <f>"20190312151335357"</f>
        <v>20190312151335357</v>
      </c>
      <c r="B3210" t="str">
        <f>"1552374815353941"</f>
        <v>1552374815353941</v>
      </c>
      <c r="C3210" t="s">
        <v>40</v>
      </c>
      <c r="D3210">
        <v>4.5077800000000003</v>
      </c>
      <c r="E3210">
        <v>0.50318799999999997</v>
      </c>
      <c r="F3210" t="s">
        <v>41</v>
      </c>
      <c r="G3210">
        <v>-287.30829999999997</v>
      </c>
      <c r="H3210">
        <v>1.0445770000000001</v>
      </c>
      <c r="I3210">
        <v>214.38560000000001</v>
      </c>
      <c r="J3210">
        <v>-287.8546</v>
      </c>
      <c r="K3210">
        <v>1.1094389999999901</v>
      </c>
      <c r="L3210">
        <v>214.49760000000001</v>
      </c>
      <c r="M3210">
        <v>0.99975150000000002</v>
      </c>
      <c r="N3210">
        <v>0</v>
      </c>
      <c r="O3210">
        <v>1.9564939999999999E-2</v>
      </c>
      <c r="P3210">
        <v>0.99429940000000006</v>
      </c>
      <c r="Q3210">
        <v>5.6090380000000002E-2</v>
      </c>
      <c r="R3210">
        <v>-9.0680700000000003E-2</v>
      </c>
      <c r="S3210">
        <v>3.0008240000000002</v>
      </c>
      <c r="T3210">
        <v>-0.1873918</v>
      </c>
      <c r="U3210">
        <v>-0.29443360000000002</v>
      </c>
      <c r="V3210">
        <v>0.11014889999999999</v>
      </c>
      <c r="W3210">
        <v>6.6648460000000007E-2</v>
      </c>
      <c r="X3210">
        <v>0.99167799999999995</v>
      </c>
      <c r="Y3210">
        <v>0.1168392</v>
      </c>
      <c r="Z3210">
        <v>-4.8538280000000001E-3</v>
      </c>
      <c r="AA3210">
        <v>0.99313899999999999</v>
      </c>
      <c r="AB3210">
        <v>35</v>
      </c>
      <c r="AC3210">
        <v>0.54630000000002998</v>
      </c>
      <c r="AD3210">
        <v>-6.4861999999999698E-2</v>
      </c>
      <c r="AE3210">
        <v>-0.11199999999999399</v>
      </c>
      <c r="AF3210">
        <v>0.121030185283776</v>
      </c>
      <c r="AG3210">
        <v>-6.4861999999999698E-2</v>
      </c>
      <c r="AH3210">
        <v>0.53674289867566505</v>
      </c>
      <c r="AI3210">
        <v>96.723221861654395</v>
      </c>
      <c r="AJ3210">
        <v>77.2928942374445</v>
      </c>
      <c r="AK3210">
        <v>0.55402917258261797</v>
      </c>
      <c r="AL3210">
        <v>86.178491862713102</v>
      </c>
      <c r="AM3210">
        <v>83.661950999665393</v>
      </c>
      <c r="AN3210">
        <v>1.00000002653779</v>
      </c>
    </row>
    <row r="3211" spans="1:40" x14ac:dyDescent="0.25">
      <c r="A3211" t="str">
        <f>"20190312151335392"</f>
        <v>20190312151335392</v>
      </c>
      <c r="B3211" t="str">
        <f>"1552374815383220"</f>
        <v>1552374815383220</v>
      </c>
      <c r="C3211" t="s">
        <v>40</v>
      </c>
      <c r="D3211">
        <v>4.4705459999999997</v>
      </c>
      <c r="E3211">
        <v>0.50301269999999998</v>
      </c>
      <c r="F3211" t="s">
        <v>54</v>
      </c>
      <c r="G3211">
        <v>-269.15269999999998</v>
      </c>
      <c r="H3211" s="1">
        <v>3.4193329999999999E-6</v>
      </c>
      <c r="I3211">
        <v>212.66040000000001</v>
      </c>
      <c r="J3211">
        <v>-287.3159</v>
      </c>
      <c r="K3211">
        <v>1.109361</v>
      </c>
      <c r="L3211">
        <v>214.5076</v>
      </c>
      <c r="M3211">
        <v>0.99976069999999995</v>
      </c>
      <c r="N3211">
        <v>0</v>
      </c>
      <c r="O3211">
        <v>1.9118989999999999E-2</v>
      </c>
      <c r="P3211">
        <v>0.99423609999999896</v>
      </c>
      <c r="Q3211">
        <v>5.5089779999999998E-2</v>
      </c>
      <c r="R3211">
        <v>-9.1979379999999999E-2</v>
      </c>
      <c r="S3211">
        <v>3.000397</v>
      </c>
      <c r="T3211">
        <v>-0.1779906</v>
      </c>
      <c r="U3211">
        <v>-0.29473880000000002</v>
      </c>
      <c r="V3211">
        <v>0.111012899999999</v>
      </c>
      <c r="W3211">
        <v>6.5573640000000002E-2</v>
      </c>
      <c r="X3211">
        <v>0.99165329999999996</v>
      </c>
      <c r="Y3211">
        <v>0.116537</v>
      </c>
      <c r="Z3211">
        <v>-4.576068E-3</v>
      </c>
      <c r="AA3211">
        <v>0.99317580000000005</v>
      </c>
      <c r="AB3211">
        <v>35</v>
      </c>
      <c r="AC3211">
        <v>18.1632</v>
      </c>
      <c r="AD3211">
        <v>-1.109357580667</v>
      </c>
      <c r="AE3211">
        <v>-1.84719999999998</v>
      </c>
      <c r="AF3211">
        <v>2.1860724865974901</v>
      </c>
      <c r="AG3211">
        <v>-1.109357580667</v>
      </c>
      <c r="AH3211">
        <v>18.0578870774542</v>
      </c>
      <c r="AI3211">
        <v>93.490039903110301</v>
      </c>
      <c r="AJ3211">
        <v>83.097410653345193</v>
      </c>
      <c r="AK3211">
        <v>18.223525258866101</v>
      </c>
      <c r="AL3211">
        <v>86.240209498730493</v>
      </c>
      <c r="AM3211">
        <v>83.612487323546006</v>
      </c>
      <c r="AN3211">
        <v>1.00000001681507</v>
      </c>
    </row>
    <row r="3212" spans="1:40" x14ac:dyDescent="0.25">
      <c r="A3212" t="str">
        <f>"20190312151335414"</f>
        <v>20190312151335414</v>
      </c>
      <c r="B3212" t="str">
        <f>"1552374815403717"</f>
        <v>1552374815403717</v>
      </c>
      <c r="C3212" t="s">
        <v>40</v>
      </c>
      <c r="D3212">
        <v>4.571402</v>
      </c>
      <c r="E3212">
        <v>0.50281709999999902</v>
      </c>
      <c r="F3212" t="s">
        <v>54</v>
      </c>
      <c r="G3212">
        <v>-268.21280000000002</v>
      </c>
      <c r="H3212" s="1">
        <v>2.9211610000000001E-6</v>
      </c>
      <c r="I3212">
        <v>212.61439999999999</v>
      </c>
      <c r="J3212">
        <v>-286.96929999999998</v>
      </c>
      <c r="K3212">
        <v>1.109308</v>
      </c>
      <c r="L3212">
        <v>214.51390000000001</v>
      </c>
      <c r="M3212">
        <v>0.99976799999999999</v>
      </c>
      <c r="N3212">
        <v>0</v>
      </c>
      <c r="O3212">
        <v>1.8754340000000001E-2</v>
      </c>
      <c r="P3212">
        <v>0.99422169999999999</v>
      </c>
      <c r="Q3212">
        <v>5.4522269999999998E-2</v>
      </c>
      <c r="R3212">
        <v>-9.2470150000000001E-2</v>
      </c>
      <c r="S3212">
        <v>2.9995419999999999</v>
      </c>
      <c r="T3212">
        <v>-0.17418929999999999</v>
      </c>
      <c r="U3212">
        <v>-0.29727170000000003</v>
      </c>
      <c r="V3212">
        <v>0.11114880000000001</v>
      </c>
      <c r="W3212">
        <v>6.4962210000000006E-2</v>
      </c>
      <c r="X3212">
        <v>0.99167830000000001</v>
      </c>
      <c r="Y3212">
        <v>0.11704249999999999</v>
      </c>
      <c r="Z3212">
        <v>-4.4731060000000001E-3</v>
      </c>
      <c r="AA3212">
        <v>0.99311689999999997</v>
      </c>
      <c r="AB3212">
        <v>35</v>
      </c>
      <c r="AC3212">
        <v>18.7564999999999</v>
      </c>
      <c r="AD3212">
        <v>-1.109305078839</v>
      </c>
      <c r="AE3212">
        <v>-1.89950000000001</v>
      </c>
      <c r="AF3212">
        <v>2.2431847799267901</v>
      </c>
      <c r="AG3212">
        <v>-1.109305078839</v>
      </c>
      <c r="AH3212">
        <v>18.6529923074966</v>
      </c>
      <c r="AI3212">
        <v>93.379117233764404</v>
      </c>
      <c r="AJ3212">
        <v>83.142614502963795</v>
      </c>
      <c r="AK3212">
        <v>18.820110460312499</v>
      </c>
      <c r="AL3212">
        <v>86.275316641870205</v>
      </c>
      <c r="AM3212">
        <v>83.604892479003595</v>
      </c>
      <c r="AN3212">
        <v>0.99999999758020697</v>
      </c>
    </row>
    <row r="3213" spans="1:40" x14ac:dyDescent="0.25">
      <c r="A3213" t="str">
        <f>"20190312151335439"</f>
        <v>20190312151335439</v>
      </c>
      <c r="B3213" t="str">
        <f>"1552374815434010"</f>
        <v>1552374815434010</v>
      </c>
      <c r="C3213" t="s">
        <v>40</v>
      </c>
      <c r="D3213">
        <v>4.4429970000000001</v>
      </c>
      <c r="E3213">
        <v>0.50265530000000003</v>
      </c>
      <c r="F3213" t="s">
        <v>54</v>
      </c>
      <c r="G3213">
        <v>-267.5976</v>
      </c>
      <c r="H3213" s="1">
        <v>2.594649E-6</v>
      </c>
      <c r="I3213">
        <v>212.5941</v>
      </c>
      <c r="J3213">
        <v>-286.57310000000001</v>
      </c>
      <c r="K3213">
        <v>1.1092489999999999</v>
      </c>
      <c r="L3213">
        <v>214.52090000000001</v>
      </c>
      <c r="M3213">
        <v>0.99977720000000003</v>
      </c>
      <c r="N3213">
        <v>0</v>
      </c>
      <c r="O3213">
        <v>1.8272110000000001E-2</v>
      </c>
      <c r="P3213">
        <v>0.99415129999999996</v>
      </c>
      <c r="Q3213">
        <v>5.4528229999999997E-2</v>
      </c>
      <c r="R3213">
        <v>-9.3221369999999998E-2</v>
      </c>
      <c r="S3213">
        <v>2.9992070000000002</v>
      </c>
      <c r="T3213">
        <v>-0.17174719999999999</v>
      </c>
      <c r="U3213">
        <v>-0.29724119999999998</v>
      </c>
      <c r="V3213">
        <v>0.111428399999999</v>
      </c>
      <c r="W3213">
        <v>6.4921770000000004E-2</v>
      </c>
      <c r="X3213">
        <v>0.99164960000000002</v>
      </c>
      <c r="Y3213">
        <v>0.1165722</v>
      </c>
      <c r="Z3213">
        <v>-4.3700290000000001E-3</v>
      </c>
      <c r="AA3213">
        <v>0.99317259999999996</v>
      </c>
      <c r="AB3213">
        <v>35</v>
      </c>
      <c r="AC3213">
        <v>18.9755</v>
      </c>
      <c r="AD3213">
        <v>-1.1092464053509901</v>
      </c>
      <c r="AE3213">
        <v>-1.9268000000000101</v>
      </c>
      <c r="AF3213">
        <v>2.2655572337940599</v>
      </c>
      <c r="AG3213">
        <v>-1.1092464053509901</v>
      </c>
      <c r="AH3213">
        <v>18.873287545253099</v>
      </c>
      <c r="AI3213">
        <v>93.339674772648607</v>
      </c>
      <c r="AJ3213">
        <v>83.1549439671724</v>
      </c>
      <c r="AK3213">
        <v>19.041117612503399</v>
      </c>
      <c r="AL3213">
        <v>86.277638693881897</v>
      </c>
      <c r="AM3213">
        <v>83.588755061231396</v>
      </c>
      <c r="AN3213">
        <v>1.00000002686332</v>
      </c>
    </row>
    <row r="3214" spans="1:40" x14ac:dyDescent="0.25">
      <c r="A3214" t="str">
        <f>"20190312151335461"</f>
        <v>20190312151335461</v>
      </c>
      <c r="B3214" t="str">
        <f>"1552374815453493"</f>
        <v>1552374815453493</v>
      </c>
      <c r="C3214" t="s">
        <v>40</v>
      </c>
      <c r="D3214">
        <v>4.463444</v>
      </c>
      <c r="E3214">
        <v>0.50261230000000001</v>
      </c>
      <c r="F3214" t="s">
        <v>54</v>
      </c>
      <c r="G3214">
        <v>-267.4898</v>
      </c>
      <c r="H3214" s="1">
        <v>2.5360329999999998E-6</v>
      </c>
      <c r="I3214">
        <v>212.62309999999999</v>
      </c>
      <c r="J3214">
        <v>-286.24599999999998</v>
      </c>
      <c r="K3214">
        <v>1.1092029999999999</v>
      </c>
      <c r="L3214">
        <v>214.5265</v>
      </c>
      <c r="M3214">
        <v>0.9997857</v>
      </c>
      <c r="N3214">
        <v>0</v>
      </c>
      <c r="O3214">
        <v>1.7820539999999999E-2</v>
      </c>
      <c r="P3214">
        <v>0.99408779999999997</v>
      </c>
      <c r="Q3214">
        <v>5.4929810000000003E-2</v>
      </c>
      <c r="R3214">
        <v>-9.3662460000000003E-2</v>
      </c>
      <c r="S3214">
        <v>2.9992369999999999</v>
      </c>
      <c r="T3214">
        <v>-0.1743354</v>
      </c>
      <c r="U3214">
        <v>-0.29827880000000001</v>
      </c>
      <c r="V3214">
        <v>0.1114275</v>
      </c>
      <c r="W3214">
        <v>6.5289100000000003E-2</v>
      </c>
      <c r="X3214">
        <v>0.99162550000000005</v>
      </c>
      <c r="Y3214">
        <v>0.116457199999999</v>
      </c>
      <c r="Z3214">
        <v>-4.4061509999999996E-3</v>
      </c>
      <c r="AA3214">
        <v>0.99318589999999995</v>
      </c>
      <c r="AB3214">
        <v>35</v>
      </c>
      <c r="AC3214">
        <v>18.7561999999999</v>
      </c>
      <c r="AD3214">
        <v>-1.1092004639669999</v>
      </c>
      <c r="AE3214">
        <v>-1.9034</v>
      </c>
      <c r="AF3214">
        <v>2.2296436686734702</v>
      </c>
      <c r="AG3214">
        <v>-1.1092004639669999</v>
      </c>
      <c r="AH3214">
        <v>18.654723955431301</v>
      </c>
      <c r="AI3214">
        <v>93.378780022581907</v>
      </c>
      <c r="AJ3214">
        <v>83.184245634337898</v>
      </c>
      <c r="AK3214">
        <v>18.820211540040201</v>
      </c>
      <c r="AL3214">
        <v>86.256547175051097</v>
      </c>
      <c r="AM3214">
        <v>83.588651896053193</v>
      </c>
      <c r="AN3214">
        <v>0.99999994329265296</v>
      </c>
    </row>
    <row r="3215" spans="1:40" x14ac:dyDescent="0.25">
      <c r="A3215" t="str">
        <f>"20190312151335483"</f>
        <v>20190312151335483</v>
      </c>
      <c r="B3215" t="str">
        <f>"1552374815473989"</f>
        <v>1552374815473989</v>
      </c>
      <c r="C3215" t="s">
        <v>40</v>
      </c>
      <c r="D3215">
        <v>4.4606810000000001</v>
      </c>
      <c r="E3215">
        <v>0.50253959999999998</v>
      </c>
      <c r="F3215" t="s">
        <v>54</v>
      </c>
      <c r="G3215">
        <v>-267.10899999999998</v>
      </c>
      <c r="H3215" s="1">
        <v>2.3336209999999999E-6</v>
      </c>
      <c r="I3215">
        <v>212.61770000000001</v>
      </c>
      <c r="J3215">
        <v>-285.87810000000002</v>
      </c>
      <c r="K3215">
        <v>1.1091569999999999</v>
      </c>
      <c r="L3215">
        <v>214.5325</v>
      </c>
      <c r="M3215">
        <v>0.99979560000000001</v>
      </c>
      <c r="N3215">
        <v>0</v>
      </c>
      <c r="O3215">
        <v>1.726457E-2</v>
      </c>
      <c r="P3215">
        <v>0.99400820000000001</v>
      </c>
      <c r="Q3215">
        <v>5.5207440000000003E-2</v>
      </c>
      <c r="R3215">
        <v>-9.4340229999999997E-2</v>
      </c>
      <c r="S3215">
        <v>2.9992369999999999</v>
      </c>
      <c r="T3215">
        <v>-0.1738391</v>
      </c>
      <c r="U3215">
        <v>-0.29914859999999999</v>
      </c>
      <c r="V3215">
        <v>0.1115598</v>
      </c>
      <c r="W3215">
        <v>6.5532240000000005E-2</v>
      </c>
      <c r="X3215">
        <v>0.99159470000000005</v>
      </c>
      <c r="Y3215">
        <v>0.1161927</v>
      </c>
      <c r="Z3215">
        <v>-4.3537979999999999E-3</v>
      </c>
      <c r="AA3215">
        <v>0.99321720000000002</v>
      </c>
      <c r="AB3215">
        <v>35</v>
      </c>
      <c r="AC3215">
        <v>18.769099999999899</v>
      </c>
      <c r="AD3215">
        <v>-1.109154666379</v>
      </c>
      <c r="AE3215">
        <v>-1.9147999999999801</v>
      </c>
      <c r="AF3215">
        <v>2.2308626174981101</v>
      </c>
      <c r="AG3215">
        <v>-1.109154666379</v>
      </c>
      <c r="AH3215">
        <v>18.668719155520201</v>
      </c>
      <c r="AI3215">
        <v>93.376123514331695</v>
      </c>
      <c r="AJ3215">
        <v>83.1856187125547</v>
      </c>
      <c r="AK3215">
        <v>18.834225415444799</v>
      </c>
      <c r="AL3215">
        <v>86.242586805439601</v>
      </c>
      <c r="AM3215">
        <v>83.580905363736093</v>
      </c>
      <c r="AN3215">
        <v>1.0000000562617699</v>
      </c>
    </row>
    <row r="3216" spans="1:40" x14ac:dyDescent="0.25">
      <c r="A3216" t="str">
        <f>"20190312151335506"</f>
        <v>20190312151335506</v>
      </c>
      <c r="B3216" t="str">
        <f>"1552374815503269"</f>
        <v>1552374815503269</v>
      </c>
      <c r="C3216" t="s">
        <v>40</v>
      </c>
      <c r="D3216">
        <v>4.4372730000000002</v>
      </c>
      <c r="E3216">
        <v>0.50244250000000001</v>
      </c>
      <c r="F3216" t="s">
        <v>54</v>
      </c>
      <c r="G3216">
        <v>-266.82940000000002</v>
      </c>
      <c r="H3216" s="1">
        <v>2.1846569999999999E-6</v>
      </c>
      <c r="I3216">
        <v>212.6224</v>
      </c>
      <c r="J3216">
        <v>-285.5299</v>
      </c>
      <c r="K3216">
        <v>1.109121</v>
      </c>
      <c r="L3216">
        <v>214.53800000000001</v>
      </c>
      <c r="M3216">
        <v>0.99980519999999995</v>
      </c>
      <c r="N3216">
        <v>0</v>
      </c>
      <c r="O3216">
        <v>1.6701259999999999E-2</v>
      </c>
      <c r="P3216">
        <v>0.99389139999999998</v>
      </c>
      <c r="Q3216">
        <v>5.5757880000000003E-2</v>
      </c>
      <c r="R3216">
        <v>-9.5241870000000006E-2</v>
      </c>
      <c r="S3216">
        <v>2.9992679999999998</v>
      </c>
      <c r="T3216">
        <v>-0.1746402</v>
      </c>
      <c r="U3216">
        <v>-0.30075069999999998</v>
      </c>
      <c r="V3216">
        <v>0.1119068</v>
      </c>
      <c r="W3216">
        <v>6.6054680000000005E-2</v>
      </c>
      <c r="X3216">
        <v>0.99152090000000004</v>
      </c>
      <c r="Y3216">
        <v>0.11615639999999899</v>
      </c>
      <c r="Z3216">
        <v>-4.3399119999999996E-3</v>
      </c>
      <c r="AA3216">
        <v>0.99322149999999998</v>
      </c>
      <c r="AB3216">
        <v>35</v>
      </c>
      <c r="AC3216">
        <v>18.700499999999899</v>
      </c>
      <c r="AD3216">
        <v>-1.1091188153430001</v>
      </c>
      <c r="AE3216">
        <v>-1.91559999999998</v>
      </c>
      <c r="AF3216">
        <v>2.2199441357020202</v>
      </c>
      <c r="AG3216">
        <v>-1.1091188153430001</v>
      </c>
      <c r="AH3216">
        <v>18.601144318195399</v>
      </c>
      <c r="AI3216">
        <v>93.388311456255806</v>
      </c>
      <c r="AJ3216">
        <v>83.194254089952395</v>
      </c>
      <c r="AK3216">
        <v>18.765949655120501</v>
      </c>
      <c r="AL3216">
        <v>86.212588077849503</v>
      </c>
      <c r="AM3216">
        <v>83.560631354811406</v>
      </c>
      <c r="AN3216">
        <v>1.0000000238864699</v>
      </c>
    </row>
    <row r="3217" spans="1:40" x14ac:dyDescent="0.25">
      <c r="A3217" t="str">
        <f>"20190312151335526"</f>
        <v>20190312151335526</v>
      </c>
      <c r="B3217" t="str">
        <f>"1552374815523765"</f>
        <v>1552374815523765</v>
      </c>
      <c r="C3217" t="s">
        <v>40</v>
      </c>
      <c r="D3217">
        <v>4.6782579999999996</v>
      </c>
      <c r="E3217">
        <v>0.50237500000000002</v>
      </c>
      <c r="F3217" t="s">
        <v>54</v>
      </c>
      <c r="G3217">
        <v>-266.53680000000003</v>
      </c>
      <c r="H3217" s="1">
        <v>2.028963E-6</v>
      </c>
      <c r="I3217">
        <v>212.6216</v>
      </c>
      <c r="J3217">
        <v>-285.2011</v>
      </c>
      <c r="K3217">
        <v>1.1090949999999999</v>
      </c>
      <c r="L3217">
        <v>214.54300000000001</v>
      </c>
      <c r="M3217">
        <v>0.99981450000000005</v>
      </c>
      <c r="N3217">
        <v>0</v>
      </c>
      <c r="O3217">
        <v>1.6145690000000001E-2</v>
      </c>
      <c r="P3217">
        <v>0.99379649999999997</v>
      </c>
      <c r="Q3217">
        <v>5.610561E-2</v>
      </c>
      <c r="R3217">
        <v>-9.6025230000000003E-2</v>
      </c>
      <c r="S3217">
        <v>2.999298</v>
      </c>
      <c r="T3217">
        <v>-0.17514669999999999</v>
      </c>
      <c r="U3217">
        <v>-0.3026276</v>
      </c>
      <c r="V3217">
        <v>0.11214200000000001</v>
      </c>
      <c r="W3217">
        <v>6.6380610000000007E-2</v>
      </c>
      <c r="X3217">
        <v>0.99147249999999998</v>
      </c>
      <c r="Y3217">
        <v>0.1162184</v>
      </c>
      <c r="Z3217">
        <v>-4.3217580000000002E-3</v>
      </c>
      <c r="AA3217">
        <v>0.99321429999999999</v>
      </c>
      <c r="AB3217">
        <v>35</v>
      </c>
      <c r="AC3217">
        <v>18.664299999999901</v>
      </c>
      <c r="AD3217">
        <v>-1.1090929710369899</v>
      </c>
      <c r="AE3217">
        <v>-1.9214</v>
      </c>
      <c r="AF3217">
        <v>2.2147755108646301</v>
      </c>
      <c r="AG3217">
        <v>-1.1090929710369899</v>
      </c>
      <c r="AH3217">
        <v>18.565971608003</v>
      </c>
      <c r="AI3217">
        <v>93.394657438171294</v>
      </c>
      <c r="AJ3217">
        <v>83.197208460176398</v>
      </c>
      <c r="AK3217">
        <v>18.730473019416799</v>
      </c>
      <c r="AL3217">
        <v>86.1938723670782</v>
      </c>
      <c r="AM3217">
        <v>83.546899107563206</v>
      </c>
      <c r="AN3217">
        <v>0.99999996590211004</v>
      </c>
    </row>
    <row r="3218" spans="1:40" x14ac:dyDescent="0.25">
      <c r="A3218" t="str">
        <f>"20190312151335549"</f>
        <v>20190312151335549</v>
      </c>
      <c r="B3218" t="str">
        <f>"1552374815543285"</f>
        <v>1552374815543285</v>
      </c>
      <c r="C3218" t="s">
        <v>40</v>
      </c>
      <c r="D3218">
        <v>4.6865290000000002</v>
      </c>
      <c r="E3218">
        <v>0.50234670000000003</v>
      </c>
      <c r="F3218" t="s">
        <v>54</v>
      </c>
      <c r="G3218">
        <v>-266.01080000000002</v>
      </c>
      <c r="H3218" s="1">
        <v>1.7502040000000001E-6</v>
      </c>
      <c r="I3218">
        <v>212.59479999999999</v>
      </c>
      <c r="J3218">
        <v>-284.86189999999999</v>
      </c>
      <c r="K3218">
        <v>1.10907</v>
      </c>
      <c r="L3218">
        <v>214.5479</v>
      </c>
      <c r="M3218">
        <v>0.99982400000000005</v>
      </c>
      <c r="N3218">
        <v>0</v>
      </c>
      <c r="O3218">
        <v>1.5558789999999999E-2</v>
      </c>
      <c r="P3218">
        <v>0.99370130000000001</v>
      </c>
      <c r="Q3218">
        <v>5.6434560000000002E-2</v>
      </c>
      <c r="R3218">
        <v>-9.6815429999999994E-2</v>
      </c>
      <c r="S3218">
        <v>2.9990839999999999</v>
      </c>
      <c r="T3218">
        <v>-0.17333029999999999</v>
      </c>
      <c r="U3218">
        <v>-0.30447390000000002</v>
      </c>
      <c r="V3218">
        <v>0.1123519</v>
      </c>
      <c r="W3218">
        <v>6.669129E-2</v>
      </c>
      <c r="X3218">
        <v>0.99142790000000003</v>
      </c>
      <c r="Y3218">
        <v>0.1162532</v>
      </c>
      <c r="Z3218">
        <v>-4.2443689999999996E-3</v>
      </c>
      <c r="AA3218">
        <v>0.99321060000000005</v>
      </c>
      <c r="AB3218">
        <v>35</v>
      </c>
      <c r="AC3218">
        <v>18.851099999999899</v>
      </c>
      <c r="AD3218">
        <v>-1.109068249796</v>
      </c>
      <c r="AE3218">
        <v>-1.9531000000000001</v>
      </c>
      <c r="AF3218">
        <v>2.2385140343702998</v>
      </c>
      <c r="AG3218">
        <v>-1.109068249796</v>
      </c>
      <c r="AH3218">
        <v>18.754203275934699</v>
      </c>
      <c r="AI3218">
        <v>93.360562778084301</v>
      </c>
      <c r="AJ3218">
        <v>83.193340932174195</v>
      </c>
      <c r="AK3218">
        <v>18.919860411214898</v>
      </c>
      <c r="AL3218">
        <v>86.176032231375601</v>
      </c>
      <c r="AM3218">
        <v>83.534634414429107</v>
      </c>
      <c r="AN3218">
        <v>0.99999997924694095</v>
      </c>
    </row>
    <row r="3219" spans="1:40" x14ac:dyDescent="0.25">
      <c r="A3219" t="str">
        <f>"20190312151335572"</f>
        <v>20190312151335572</v>
      </c>
      <c r="B3219" t="str">
        <f>"1552374815563781"</f>
        <v>1552374815563781</v>
      </c>
      <c r="C3219" t="s">
        <v>40</v>
      </c>
      <c r="D3219">
        <v>4.4383660000000003</v>
      </c>
      <c r="E3219">
        <v>0.50229099999999904</v>
      </c>
      <c r="F3219" t="s">
        <v>54</v>
      </c>
      <c r="G3219">
        <v>-265.41460000000001</v>
      </c>
      <c r="H3219" s="1">
        <v>1.434532E-6</v>
      </c>
      <c r="I3219">
        <v>212.55869999999999</v>
      </c>
      <c r="J3219">
        <v>-284.4923</v>
      </c>
      <c r="K3219">
        <v>1.109051</v>
      </c>
      <c r="L3219">
        <v>214.5531</v>
      </c>
      <c r="M3219">
        <v>0.999834</v>
      </c>
      <c r="N3219">
        <v>0</v>
      </c>
      <c r="O3219">
        <v>1.4910730000000001E-2</v>
      </c>
      <c r="P3219">
        <v>0.99360479999999995</v>
      </c>
      <c r="Q3219">
        <v>5.5980599999999998E-2</v>
      </c>
      <c r="R3219">
        <v>-9.8060659999999994E-2</v>
      </c>
      <c r="S3219">
        <v>2.9988709999999998</v>
      </c>
      <c r="T3219">
        <v>-0.1710236</v>
      </c>
      <c r="U3219">
        <v>-0.3067474</v>
      </c>
      <c r="V3219">
        <v>0.11295470000000001</v>
      </c>
      <c r="W3219">
        <v>6.6221199999999994E-2</v>
      </c>
      <c r="X3219">
        <v>0.99139089999999996</v>
      </c>
      <c r="Y3219">
        <v>0.11636829999999999</v>
      </c>
      <c r="Z3219">
        <v>-4.1545419999999998E-3</v>
      </c>
      <c r="AA3219">
        <v>0.99319740000000001</v>
      </c>
      <c r="AB3219">
        <v>35</v>
      </c>
      <c r="AC3219">
        <v>19.0777</v>
      </c>
      <c r="AD3219">
        <v>-1.1090495654679999</v>
      </c>
      <c r="AE3219">
        <v>-1.9944000000000099</v>
      </c>
      <c r="AF3219">
        <v>2.2710642413523199</v>
      </c>
      <c r="AG3219">
        <v>-1.1090495654679999</v>
      </c>
      <c r="AH3219">
        <v>18.982382216403401</v>
      </c>
      <c r="AI3219">
        <v>93.320092756550295</v>
      </c>
      <c r="AJ3219">
        <v>83.177525320787495</v>
      </c>
      <c r="AK3219">
        <v>19.1498970842311</v>
      </c>
      <c r="AL3219">
        <v>86.203026021767698</v>
      </c>
      <c r="AM3219">
        <v>83.500001440935506</v>
      </c>
      <c r="AN3219">
        <v>0.99999996409216896</v>
      </c>
    </row>
    <row r="3220" spans="1:40" x14ac:dyDescent="0.25">
      <c r="A3220" t="str">
        <f>"20190312151335593"</f>
        <v>20190312151335593</v>
      </c>
      <c r="B3220" t="str">
        <f>"1552374815583300"</f>
        <v>1552374815583300</v>
      </c>
      <c r="C3220" t="s">
        <v>40</v>
      </c>
      <c r="D3220">
        <v>4.4465409999999999</v>
      </c>
      <c r="E3220">
        <v>0.50219990000000003</v>
      </c>
      <c r="F3220" t="s">
        <v>54</v>
      </c>
      <c r="G3220">
        <v>-264.9939</v>
      </c>
      <c r="H3220" s="1">
        <v>1.2115519999999999E-6</v>
      </c>
      <c r="I3220">
        <v>212.53800000000001</v>
      </c>
      <c r="J3220">
        <v>-284.1542</v>
      </c>
      <c r="K3220">
        <v>1.109038</v>
      </c>
      <c r="L3220">
        <v>214.5575</v>
      </c>
      <c r="M3220">
        <v>0.99984289999999998</v>
      </c>
      <c r="N3220">
        <v>0</v>
      </c>
      <c r="O3220">
        <v>1.43147E-2</v>
      </c>
      <c r="P3220">
        <v>0.99352969999999896</v>
      </c>
      <c r="Q3220">
        <v>5.5620450000000002E-2</v>
      </c>
      <c r="R3220">
        <v>-9.902263E-2</v>
      </c>
      <c r="S3220">
        <v>2.998383</v>
      </c>
      <c r="T3220">
        <v>-0.170544899999999</v>
      </c>
      <c r="U3220">
        <v>-0.30987550000000003</v>
      </c>
      <c r="V3220">
        <v>0.1133256</v>
      </c>
      <c r="W3220">
        <v>6.5849149999999995E-2</v>
      </c>
      <c r="X3220">
        <v>0.99137339999999996</v>
      </c>
      <c r="Y3220">
        <v>0.1168194</v>
      </c>
      <c r="Z3220">
        <v>-4.1223689999999999E-3</v>
      </c>
      <c r="AA3220">
        <v>0.99314460000000004</v>
      </c>
      <c r="AB3220">
        <v>35</v>
      </c>
      <c r="AC3220">
        <v>19.160299999999999</v>
      </c>
      <c r="AD3220">
        <v>-1.1090367884479999</v>
      </c>
      <c r="AE3220">
        <v>-2.0195000000000198</v>
      </c>
      <c r="AF3220">
        <v>2.2860072657271</v>
      </c>
      <c r="AG3220">
        <v>-1.1090367884479999</v>
      </c>
      <c r="AH3220">
        <v>19.066250146196499</v>
      </c>
      <c r="AI3220">
        <v>93.305382645187905</v>
      </c>
      <c r="AJ3220">
        <v>83.162981923095501</v>
      </c>
      <c r="AK3220">
        <v>19.234804039927901</v>
      </c>
      <c r="AL3220">
        <v>86.224389722023702</v>
      </c>
      <c r="AM3220">
        <v>83.478727360882203</v>
      </c>
      <c r="AN3220">
        <v>1.0000000101993201</v>
      </c>
    </row>
    <row r="3221" spans="1:40" x14ac:dyDescent="0.25">
      <c r="A3221" t="str">
        <f>"20190312151335615"</f>
        <v>20190312151335615</v>
      </c>
      <c r="B3221" t="str">
        <f>"1552374815603797"</f>
        <v>1552374815603797</v>
      </c>
      <c r="C3221" t="s">
        <v>40</v>
      </c>
      <c r="D3221">
        <v>4.4434550000000002</v>
      </c>
      <c r="E3221">
        <v>0.5021544</v>
      </c>
      <c r="F3221" t="s">
        <v>54</v>
      </c>
      <c r="G3221">
        <v>-264.60210000000001</v>
      </c>
      <c r="H3221" s="1">
        <v>1.0038320000000001E-6</v>
      </c>
      <c r="I3221">
        <v>212.52090000000001</v>
      </c>
      <c r="J3221">
        <v>-283.80180000000001</v>
      </c>
      <c r="K3221">
        <v>1.109029</v>
      </c>
      <c r="L3221">
        <v>214.56200000000001</v>
      </c>
      <c r="M3221">
        <v>0.9998515</v>
      </c>
      <c r="N3221">
        <v>0</v>
      </c>
      <c r="O3221">
        <v>1.3694069999999999E-2</v>
      </c>
      <c r="P3221">
        <v>0.99348119999999995</v>
      </c>
      <c r="Q3221">
        <v>5.555827E-2</v>
      </c>
      <c r="R3221">
        <v>-9.9538580000000002E-2</v>
      </c>
      <c r="S3221">
        <v>2.9979550000000001</v>
      </c>
      <c r="T3221">
        <v>-0.17005100000000001</v>
      </c>
      <c r="U3221">
        <v>-0.31228640000000002</v>
      </c>
      <c r="V3221">
        <v>0.1132266</v>
      </c>
      <c r="W3221">
        <v>6.5777769999999999E-2</v>
      </c>
      <c r="X3221">
        <v>0.99138950000000003</v>
      </c>
      <c r="Y3221">
        <v>0.1170094</v>
      </c>
      <c r="Z3221">
        <v>-4.0811399999999996E-3</v>
      </c>
      <c r="AA3221">
        <v>0.99312239999999996</v>
      </c>
      <c r="AB3221">
        <v>35</v>
      </c>
      <c r="AC3221">
        <v>19.1997</v>
      </c>
      <c r="AD3221">
        <v>-1.1090279961679901</v>
      </c>
      <c r="AE3221">
        <v>-2.0411000000000001</v>
      </c>
      <c r="AF3221">
        <v>2.2962690448267602</v>
      </c>
      <c r="AG3221">
        <v>-1.1090279961679901</v>
      </c>
      <c r="AH3221">
        <v>19.106908486840801</v>
      </c>
      <c r="AI3221">
        <v>93.298228650064203</v>
      </c>
      <c r="AJ3221">
        <v>83.147057651921898</v>
      </c>
      <c r="AK3221">
        <v>19.2763260645545</v>
      </c>
      <c r="AL3221">
        <v>86.228488566456406</v>
      </c>
      <c r="AM3221">
        <v>83.484480166495402</v>
      </c>
      <c r="AN3221">
        <v>1.00000005934198</v>
      </c>
    </row>
    <row r="3222" spans="1:40" x14ac:dyDescent="0.25">
      <c r="A3222" t="str">
        <f>"20190312151335637"</f>
        <v>20190312151335637</v>
      </c>
      <c r="B3222" t="str">
        <f>"1552374815633078"</f>
        <v>1552374815633078</v>
      </c>
      <c r="C3222" t="s">
        <v>40</v>
      </c>
      <c r="D3222">
        <v>4.4688999999999997</v>
      </c>
      <c r="E3222">
        <v>0.50218499999999999</v>
      </c>
      <c r="F3222" t="s">
        <v>54</v>
      </c>
      <c r="G3222">
        <v>-264.1071</v>
      </c>
      <c r="H3222" s="1">
        <v>7.4135480000000005E-7</v>
      </c>
      <c r="I3222">
        <v>212.4992</v>
      </c>
      <c r="J3222">
        <v>-283.44819999999999</v>
      </c>
      <c r="K3222">
        <v>1.1090150000000001</v>
      </c>
      <c r="L3222">
        <v>214.56630000000001</v>
      </c>
      <c r="M3222">
        <v>0.99985990000000002</v>
      </c>
      <c r="N3222">
        <v>0</v>
      </c>
      <c r="O3222">
        <v>1.3073039999999999E-2</v>
      </c>
      <c r="P3222">
        <v>0.99342359999999996</v>
      </c>
      <c r="Q3222">
        <v>5.5366209999999999E-2</v>
      </c>
      <c r="R3222">
        <v>-0.1002199</v>
      </c>
      <c r="S3222">
        <v>2.997681</v>
      </c>
      <c r="T3222">
        <v>-0.16880290000000001</v>
      </c>
      <c r="U3222">
        <v>-0.31398009999999998</v>
      </c>
      <c r="V3222">
        <v>0.1132918</v>
      </c>
      <c r="W3222">
        <v>6.557839E-2</v>
      </c>
      <c r="X3222">
        <v>0.99139520000000003</v>
      </c>
      <c r="Y3222">
        <v>0.116961</v>
      </c>
      <c r="Z3222">
        <v>-4.0152679999999998E-3</v>
      </c>
      <c r="AA3222">
        <v>0.99312840000000002</v>
      </c>
      <c r="AB3222">
        <v>35</v>
      </c>
      <c r="AC3222">
        <v>19.341099999999901</v>
      </c>
      <c r="AD3222">
        <v>-1.1090142586452001</v>
      </c>
      <c r="AE3222">
        <v>-2.0671000000000102</v>
      </c>
      <c r="AF3222">
        <v>2.3122675948490099</v>
      </c>
      <c r="AG3222">
        <v>-1.1090142586452001</v>
      </c>
      <c r="AH3222">
        <v>19.249846426907901</v>
      </c>
      <c r="AI3222">
        <v>93.273774676428104</v>
      </c>
      <c r="AJ3222">
        <v>83.15051908657</v>
      </c>
      <c r="AK3222">
        <v>19.4199145599461</v>
      </c>
      <c r="AL3222">
        <v>86.239936692967603</v>
      </c>
      <c r="AM3222">
        <v>83.480797741634504</v>
      </c>
      <c r="AN3222">
        <v>0.99999999988263599</v>
      </c>
    </row>
    <row r="3223" spans="1:40" x14ac:dyDescent="0.25">
      <c r="A3223" t="str">
        <f>"20190312151335661"</f>
        <v>20190312151335661</v>
      </c>
      <c r="B3223" t="str">
        <f>"1552374815653573"</f>
        <v>1552374815653573</v>
      </c>
      <c r="C3223" t="s">
        <v>40</v>
      </c>
      <c r="D3223">
        <v>4.4334230000000003</v>
      </c>
      <c r="E3223">
        <v>0.50215759999999998</v>
      </c>
      <c r="F3223" t="s">
        <v>54</v>
      </c>
      <c r="G3223">
        <v>-263.71609999999998</v>
      </c>
      <c r="H3223" s="1">
        <v>5.3390509999999995E-7</v>
      </c>
      <c r="I3223">
        <v>212.48439999999999</v>
      </c>
      <c r="J3223">
        <v>-283.08429999999998</v>
      </c>
      <c r="K3223">
        <v>1.109003</v>
      </c>
      <c r="L3223">
        <v>214.57040000000001</v>
      </c>
      <c r="M3223">
        <v>0.99986819999999998</v>
      </c>
      <c r="N3223">
        <v>0</v>
      </c>
      <c r="O3223">
        <v>1.24358E-2</v>
      </c>
      <c r="P3223">
        <v>0.99332359999999997</v>
      </c>
      <c r="Q3223">
        <v>5.5559900000000002E-2</v>
      </c>
      <c r="R3223">
        <v>-0.1011011</v>
      </c>
      <c r="S3223">
        <v>2.9973139999999998</v>
      </c>
      <c r="T3223">
        <v>-0.1684591</v>
      </c>
      <c r="U3223">
        <v>-0.31623839999999998</v>
      </c>
      <c r="V3223">
        <v>0.1135408</v>
      </c>
      <c r="W3223">
        <v>6.5765870000000004E-2</v>
      </c>
      <c r="X3223">
        <v>0.99135430000000002</v>
      </c>
      <c r="Y3223">
        <v>0.1170824</v>
      </c>
      <c r="Z3223">
        <v>-3.9751309999999998E-3</v>
      </c>
      <c r="AA3223">
        <v>0.99311419999999995</v>
      </c>
      <c r="AB3223">
        <v>35</v>
      </c>
      <c r="AC3223">
        <v>19.368200000000002</v>
      </c>
      <c r="AD3223">
        <v>-1.1090024660948901</v>
      </c>
      <c r="AE3223">
        <v>-2.0860000000000101</v>
      </c>
      <c r="AF3223">
        <v>2.3191943714380501</v>
      </c>
      <c r="AG3223">
        <v>-1.1090024660948901</v>
      </c>
      <c r="AH3223">
        <v>19.278278928702999</v>
      </c>
      <c r="AI3223">
        <v>93.268851752707405</v>
      </c>
      <c r="AJ3223">
        <v>83.140231435917499</v>
      </c>
      <c r="AK3223">
        <v>19.4489225268442</v>
      </c>
      <c r="AL3223">
        <v>86.229171662518894</v>
      </c>
      <c r="AM3223">
        <v>83.466325951937804</v>
      </c>
      <c r="AN3223">
        <v>1.00000000552499</v>
      </c>
    </row>
    <row r="3224" spans="1:40" x14ac:dyDescent="0.25">
      <c r="A3224" t="str">
        <f>"20190312151335689"</f>
        <v>20190312151335689</v>
      </c>
      <c r="B3224" t="str">
        <f>"1552374815683829"</f>
        <v>1552374815683829</v>
      </c>
      <c r="C3224" t="s">
        <v>40</v>
      </c>
      <c r="D3224">
        <v>4.4532550000000004</v>
      </c>
      <c r="E3224">
        <v>0.50209919999999997</v>
      </c>
      <c r="F3224" t="s">
        <v>54</v>
      </c>
      <c r="G3224">
        <v>-263.15719999999999</v>
      </c>
      <c r="H3224" s="1">
        <v>2.3792659999999999E-7</v>
      </c>
      <c r="I3224">
        <v>212.4522</v>
      </c>
      <c r="J3224">
        <v>-282.64319999999998</v>
      </c>
      <c r="K3224">
        <v>1.1089979999999999</v>
      </c>
      <c r="L3224">
        <v>214.5752</v>
      </c>
      <c r="M3224">
        <v>0.99987729999999997</v>
      </c>
      <c r="N3224">
        <v>0</v>
      </c>
      <c r="O3224">
        <v>1.16653E-2</v>
      </c>
      <c r="P3224">
        <v>0.99326519999999996</v>
      </c>
      <c r="Q3224">
        <v>5.5601350000000001E-2</v>
      </c>
      <c r="R3224">
        <v>-0.1016502</v>
      </c>
      <c r="S3224">
        <v>2.9970699999999999</v>
      </c>
      <c r="T3224">
        <v>-0.16679630000000001</v>
      </c>
      <c r="U3224">
        <v>-0.31858829999999999</v>
      </c>
      <c r="V3224">
        <v>0.1133258</v>
      </c>
      <c r="W3224">
        <v>6.5802509999999995E-2</v>
      </c>
      <c r="X3224">
        <v>0.99137649999999999</v>
      </c>
      <c r="Y3224">
        <v>0.1171007</v>
      </c>
      <c r="Z3224">
        <v>-3.8938789999999998E-3</v>
      </c>
      <c r="AA3224">
        <v>0.99311240000000001</v>
      </c>
      <c r="AB3224">
        <v>35</v>
      </c>
      <c r="AC3224">
        <v>19.485999999999901</v>
      </c>
      <c r="AD3224">
        <v>-1.1089977620734</v>
      </c>
      <c r="AE3224">
        <v>-2.12299999999999</v>
      </c>
      <c r="AF3224">
        <v>2.3426789807150001</v>
      </c>
      <c r="AG3224">
        <v>-1.1089977620734</v>
      </c>
      <c r="AH3224">
        <v>19.397814015048802</v>
      </c>
      <c r="AI3224">
        <v>93.248556880023202</v>
      </c>
      <c r="AJ3224">
        <v>83.113724579663696</v>
      </c>
      <c r="AK3224">
        <v>19.570212298424199</v>
      </c>
      <c r="AL3224">
        <v>86.227067903096597</v>
      </c>
      <c r="AM3224">
        <v>83.478736167281596</v>
      </c>
      <c r="AN3224">
        <v>1.00000003601009</v>
      </c>
    </row>
    <row r="3225" spans="1:40" x14ac:dyDescent="0.25">
      <c r="A3225" t="str">
        <f>"20190312151335707"</f>
        <v>20190312151335707</v>
      </c>
      <c r="B3225" t="str">
        <f>"1552374815703349"</f>
        <v>1552374815703349</v>
      </c>
      <c r="C3225" t="s">
        <v>40</v>
      </c>
      <c r="D3225">
        <v>4.4278719999999998</v>
      </c>
      <c r="E3225">
        <v>0.50206640000000002</v>
      </c>
      <c r="F3225" t="s">
        <v>54</v>
      </c>
      <c r="G3225">
        <v>-263.02480000000003</v>
      </c>
      <c r="H3225" s="1">
        <v>1.6618179999999999E-7</v>
      </c>
      <c r="I3225">
        <v>212.48140000000001</v>
      </c>
      <c r="J3225">
        <v>-282.3528</v>
      </c>
      <c r="K3225">
        <v>1.108995</v>
      </c>
      <c r="L3225">
        <v>214.57810000000001</v>
      </c>
      <c r="M3225">
        <v>0.99988319999999997</v>
      </c>
      <c r="N3225">
        <v>0</v>
      </c>
      <c r="O3225">
        <v>1.1158390000000001E-2</v>
      </c>
      <c r="P3225">
        <v>0.99319650000000004</v>
      </c>
      <c r="Q3225">
        <v>5.5415119999999998E-2</v>
      </c>
      <c r="R3225">
        <v>-0.1024234</v>
      </c>
      <c r="S3225">
        <v>2.9970699999999999</v>
      </c>
      <c r="T3225">
        <v>-0.1694196</v>
      </c>
      <c r="U3225">
        <v>-0.31986999999999999</v>
      </c>
      <c r="V3225">
        <v>0.1135954</v>
      </c>
      <c r="W3225">
        <v>6.561314E-2</v>
      </c>
      <c r="X3225">
        <v>0.99135819999999997</v>
      </c>
      <c r="Y3225">
        <v>0.1170119</v>
      </c>
      <c r="Z3225">
        <v>-3.9238750000000003E-3</v>
      </c>
      <c r="AA3225">
        <v>0.99312279999999997</v>
      </c>
      <c r="AB3225">
        <v>35</v>
      </c>
      <c r="AC3225">
        <v>19.3279999999999</v>
      </c>
      <c r="AD3225">
        <v>-1.1089948338181901</v>
      </c>
      <c r="AE3225">
        <v>-2.09669999999999</v>
      </c>
      <c r="AF3225">
        <v>2.3047511453618199</v>
      </c>
      <c r="AG3225">
        <v>-1.1089948338181901</v>
      </c>
      <c r="AH3225">
        <v>19.240791868060601</v>
      </c>
      <c r="AI3225">
        <v>93.275383818386004</v>
      </c>
      <c r="AJ3225">
        <v>83.169391487663006</v>
      </c>
      <c r="AK3225">
        <v>19.4100442836565</v>
      </c>
      <c r="AL3225">
        <v>86.237941517921797</v>
      </c>
      <c r="AM3225">
        <v>83.463236689853503</v>
      </c>
      <c r="AN3225">
        <v>1.0000000398745199</v>
      </c>
    </row>
    <row r="3226" spans="1:40" x14ac:dyDescent="0.25">
      <c r="A3226" t="str">
        <f>"20190312151335727"</f>
        <v>20190312151335727</v>
      </c>
      <c r="B3226" t="str">
        <f>"1552374815723845"</f>
        <v>1552374815723845</v>
      </c>
      <c r="C3226" t="s">
        <v>40</v>
      </c>
      <c r="D3226">
        <v>4.4290849999999997</v>
      </c>
      <c r="E3226">
        <v>0.50212849999999998</v>
      </c>
      <c r="F3226" t="s">
        <v>54</v>
      </c>
      <c r="G3226">
        <v>-262.98660000000001</v>
      </c>
      <c r="H3226" s="1">
        <v>1.4506940000000001E-7</v>
      </c>
      <c r="I3226">
        <v>212.49870000000001</v>
      </c>
      <c r="J3226">
        <v>-282.03339999999997</v>
      </c>
      <c r="K3226">
        <v>1.108989</v>
      </c>
      <c r="L3226">
        <v>214.58109999999999</v>
      </c>
      <c r="M3226">
        <v>0.99988929999999998</v>
      </c>
      <c r="N3226">
        <v>0</v>
      </c>
      <c r="O3226">
        <v>1.060118E-2</v>
      </c>
      <c r="P3226">
        <v>0.99311519999999998</v>
      </c>
      <c r="Q3226">
        <v>5.5231139999999998E-2</v>
      </c>
      <c r="R3226">
        <v>-0.1033053</v>
      </c>
      <c r="S3226">
        <v>2.996918</v>
      </c>
      <c r="T3226">
        <v>-0.17161660000000001</v>
      </c>
      <c r="U3226">
        <v>-0.32177729999999999</v>
      </c>
      <c r="V3226">
        <v>0.113924</v>
      </c>
      <c r="W3226">
        <v>6.5426609999999996E-2</v>
      </c>
      <c r="X3226">
        <v>0.99133280000000001</v>
      </c>
      <c r="Y3226">
        <v>0.1170842</v>
      </c>
      <c r="Z3226">
        <v>-3.9450049999999997E-3</v>
      </c>
      <c r="AA3226">
        <v>0.99311419999999995</v>
      </c>
      <c r="AB3226">
        <v>35</v>
      </c>
      <c r="AC3226">
        <v>19.046799999999902</v>
      </c>
      <c r="AD3226">
        <v>-1.1089888549306</v>
      </c>
      <c r="AE3226">
        <v>-2.0823999999999701</v>
      </c>
      <c r="AF3226">
        <v>2.27658587766346</v>
      </c>
      <c r="AG3226">
        <v>-1.1089888549306</v>
      </c>
      <c r="AH3226">
        <v>18.960135268555899</v>
      </c>
      <c r="AI3226">
        <v>93.323628997527507</v>
      </c>
      <c r="AJ3226">
        <v>83.153146434796298</v>
      </c>
      <c r="AK3226">
        <v>19.128497822376801</v>
      </c>
      <c r="AL3226">
        <v>86.248651837331295</v>
      </c>
      <c r="AM3226">
        <v>83.444325500074001</v>
      </c>
      <c r="AN3226">
        <v>1.00000001971396</v>
      </c>
    </row>
    <row r="3227" spans="1:40" x14ac:dyDescent="0.25">
      <c r="A3227" t="str">
        <f>"20190312151335750"</f>
        <v>20190312151335750</v>
      </c>
      <c r="B3227" t="str">
        <f>"1552374815743365"</f>
        <v>1552374815743365</v>
      </c>
      <c r="C3227" t="s">
        <v>40</v>
      </c>
      <c r="D3227">
        <v>4.4402589999999904</v>
      </c>
      <c r="E3227">
        <v>0.50207809999999997</v>
      </c>
      <c r="F3227" t="s">
        <v>54</v>
      </c>
      <c r="G3227">
        <v>-262.80590000000001</v>
      </c>
      <c r="H3227" s="1">
        <v>4.9037869999999997E-8</v>
      </c>
      <c r="I3227">
        <v>212.49619999999999</v>
      </c>
      <c r="J3227">
        <v>-281.67610000000002</v>
      </c>
      <c r="K3227">
        <v>1.1089850000000001</v>
      </c>
      <c r="L3227">
        <v>214.58430000000001</v>
      </c>
      <c r="M3227">
        <v>0.9998958</v>
      </c>
      <c r="N3227">
        <v>0</v>
      </c>
      <c r="O3227">
        <v>9.9774600000000005E-3</v>
      </c>
      <c r="P3227">
        <v>0.99294640000000001</v>
      </c>
      <c r="Q3227">
        <v>5.5315179999999999E-2</v>
      </c>
      <c r="R3227">
        <v>-0.10487150000000001</v>
      </c>
      <c r="S3227">
        <v>2.996613</v>
      </c>
      <c r="T3227">
        <v>-0.17283579999999901</v>
      </c>
      <c r="U3227">
        <v>-0.3249359</v>
      </c>
      <c r="V3227">
        <v>0.1148701</v>
      </c>
      <c r="W3227">
        <v>6.5507019999999999E-2</v>
      </c>
      <c r="X3227">
        <v>0.9912183</v>
      </c>
      <c r="Y3227">
        <v>0.1175075</v>
      </c>
      <c r="Z3227">
        <v>-3.9494789999999997E-3</v>
      </c>
      <c r="AA3227">
        <v>0.99306419999999995</v>
      </c>
      <c r="AB3227">
        <v>35</v>
      </c>
      <c r="AC3227">
        <v>18.870200000000001</v>
      </c>
      <c r="AD3227">
        <v>-1.1089849509621299</v>
      </c>
      <c r="AE3227">
        <v>-2.0881000000000198</v>
      </c>
      <c r="AF3227">
        <v>2.2685426294686102</v>
      </c>
      <c r="AG3227">
        <v>-1.1089849509621299</v>
      </c>
      <c r="AH3227">
        <v>18.7843328480478</v>
      </c>
      <c r="AI3227">
        <v>93.354375994331804</v>
      </c>
      <c r="AJ3227">
        <v>83.113863091274396</v>
      </c>
      <c r="AK3227">
        <v>18.953292427159599</v>
      </c>
      <c r="AL3227">
        <v>86.244034757160705</v>
      </c>
      <c r="AM3227">
        <v>83.389605877846193</v>
      </c>
      <c r="AN3227">
        <v>1.0000000138990901</v>
      </c>
    </row>
    <row r="3228" spans="1:40" x14ac:dyDescent="0.25">
      <c r="A3228" t="str">
        <f>"20190312151335771"</f>
        <v>20190312151335771</v>
      </c>
      <c r="B3228" t="str">
        <f>"1552374815763872"</f>
        <v>1552374815763872</v>
      </c>
      <c r="C3228" t="s">
        <v>40</v>
      </c>
      <c r="D3228">
        <v>4.4126979999999998</v>
      </c>
      <c r="E3228">
        <v>0.50210299999999997</v>
      </c>
      <c r="F3228" t="s">
        <v>54</v>
      </c>
      <c r="G3228">
        <v>-262.60050000000001</v>
      </c>
      <c r="H3228" s="1">
        <v>-5.9937099999999995E-8</v>
      </c>
      <c r="I3228">
        <v>212.489</v>
      </c>
      <c r="J3228">
        <v>-281.32310000000001</v>
      </c>
      <c r="K3228">
        <v>1.1089770000000001</v>
      </c>
      <c r="L3228">
        <v>214.5873</v>
      </c>
      <c r="M3228">
        <v>0.99990159999999995</v>
      </c>
      <c r="N3228">
        <v>0</v>
      </c>
      <c r="O3228">
        <v>9.3615509999999992E-3</v>
      </c>
      <c r="P3228">
        <v>0.99282119999999996</v>
      </c>
      <c r="Q3228">
        <v>5.5226379999999999E-2</v>
      </c>
      <c r="R3228">
        <v>-0.10609449999999999</v>
      </c>
      <c r="S3228">
        <v>2.9962770000000001</v>
      </c>
      <c r="T3228">
        <v>-0.17419219999999999</v>
      </c>
      <c r="U3228">
        <v>-0.32911679999999999</v>
      </c>
      <c r="V3228">
        <v>0.11548120000000001</v>
      </c>
      <c r="W3228">
        <v>6.5416619999999995E-2</v>
      </c>
      <c r="X3228">
        <v>0.99115319999999996</v>
      </c>
      <c r="Y3228">
        <v>0.1182735</v>
      </c>
      <c r="Z3228">
        <v>-3.9670670000000003E-3</v>
      </c>
      <c r="AA3228">
        <v>0.99297310000000005</v>
      </c>
      <c r="AB3228">
        <v>36</v>
      </c>
      <c r="AC3228">
        <v>18.7226</v>
      </c>
      <c r="AD3228">
        <v>-1.1089770599371001</v>
      </c>
      <c r="AE3228">
        <v>-2.0982999999999898</v>
      </c>
      <c r="AF3228">
        <v>2.26563994603318</v>
      </c>
      <c r="AG3228">
        <v>-1.1089770599371001</v>
      </c>
      <c r="AH3228">
        <v>18.637557618716599</v>
      </c>
      <c r="AI3228">
        <v>93.380387161546096</v>
      </c>
      <c r="AJ3228">
        <v>83.068953273173193</v>
      </c>
      <c r="AK3228">
        <v>18.807485437333501</v>
      </c>
      <c r="AL3228">
        <v>86.249225203413403</v>
      </c>
      <c r="AM3228">
        <v>83.354320233036503</v>
      </c>
      <c r="AN3228">
        <v>0.99999995379795104</v>
      </c>
    </row>
    <row r="3229" spans="1:40" x14ac:dyDescent="0.25">
      <c r="A3229" t="str">
        <f>"20190312151335795"</f>
        <v>20190312151335795</v>
      </c>
      <c r="B3229" t="str">
        <f>"1552374815783381"</f>
        <v>1552374815783381</v>
      </c>
      <c r="C3229" t="s">
        <v>40</v>
      </c>
      <c r="D3229">
        <v>4.4431859999999999</v>
      </c>
      <c r="E3229">
        <v>0.50207290000000004</v>
      </c>
      <c r="F3229" t="s">
        <v>54</v>
      </c>
      <c r="G3229">
        <v>-262.39909999999998</v>
      </c>
      <c r="H3229" s="1">
        <v>-1.6690199999999999E-7</v>
      </c>
      <c r="I3229">
        <v>212.4837</v>
      </c>
      <c r="J3229">
        <v>-280.96600000000001</v>
      </c>
      <c r="K3229">
        <v>1.108973</v>
      </c>
      <c r="L3229">
        <v>214.59</v>
      </c>
      <c r="M3229">
        <v>0.99990730000000005</v>
      </c>
      <c r="N3229">
        <v>0</v>
      </c>
      <c r="O3229">
        <v>8.7379550000000004E-3</v>
      </c>
      <c r="P3229">
        <v>0.99266359999999998</v>
      </c>
      <c r="Q3229">
        <v>5.5267669999999998E-2</v>
      </c>
      <c r="R3229">
        <v>-0.107539</v>
      </c>
      <c r="S3229">
        <v>2.995911</v>
      </c>
      <c r="T3229">
        <v>-0.17556479999999999</v>
      </c>
      <c r="U3229">
        <v>-0.33302310000000002</v>
      </c>
      <c r="V3229">
        <v>0.1163059</v>
      </c>
      <c r="W3229">
        <v>6.5455639999999995E-2</v>
      </c>
      <c r="X3229">
        <v>0.9910542</v>
      </c>
      <c r="Y3229">
        <v>0.1189431</v>
      </c>
      <c r="Z3229">
        <v>-3.981605E-3</v>
      </c>
      <c r="AA3229">
        <v>0.99289309999999997</v>
      </c>
      <c r="AB3229">
        <v>36</v>
      </c>
      <c r="AC3229">
        <v>18.5669</v>
      </c>
      <c r="AD3229">
        <v>-1.108973166902</v>
      </c>
      <c r="AE3229">
        <v>-2.1063000000000001</v>
      </c>
      <c r="AF3229">
        <v>2.2605032950480202</v>
      </c>
      <c r="AG3229">
        <v>-1.108973166902</v>
      </c>
      <c r="AH3229">
        <v>18.4826862584714</v>
      </c>
      <c r="AI3229">
        <v>93.408331266206204</v>
      </c>
      <c r="AJ3229">
        <v>83.027136413106902</v>
      </c>
      <c r="AK3229">
        <v>18.6534015118133</v>
      </c>
      <c r="AL3229">
        <v>86.246984763178205</v>
      </c>
      <c r="AM3229">
        <v>83.306627163501702</v>
      </c>
      <c r="AN3229">
        <v>0.99999996526012902</v>
      </c>
    </row>
    <row r="3230" spans="1:40" x14ac:dyDescent="0.25">
      <c r="A3230" t="str">
        <f>"20190312151335816"</f>
        <v>20190312151335816</v>
      </c>
      <c r="B3230" t="str">
        <f>"1552374815813639"</f>
        <v>1552374815813639</v>
      </c>
      <c r="C3230" t="s">
        <v>40</v>
      </c>
      <c r="D3230">
        <v>4.4504029999999997</v>
      </c>
      <c r="E3230">
        <v>0.50215069999999995</v>
      </c>
      <c r="F3230" t="s">
        <v>54</v>
      </c>
      <c r="G3230">
        <v>-262.15710000000001</v>
      </c>
      <c r="H3230" s="1">
        <v>-2.9517029999999999E-7</v>
      </c>
      <c r="I3230">
        <v>212.47229999999999</v>
      </c>
      <c r="J3230">
        <v>-280.61079999999998</v>
      </c>
      <c r="K3230">
        <v>1.10897</v>
      </c>
      <c r="L3230">
        <v>214.5925</v>
      </c>
      <c r="M3230">
        <v>0.99991249999999998</v>
      </c>
      <c r="N3230">
        <v>0</v>
      </c>
      <c r="O3230">
        <v>8.1178150000000004E-3</v>
      </c>
      <c r="P3230">
        <v>0.99256520000000004</v>
      </c>
      <c r="Q3230">
        <v>5.4980670000000002E-2</v>
      </c>
      <c r="R3230">
        <v>-0.1085894</v>
      </c>
      <c r="S3230">
        <v>2.9954529999999999</v>
      </c>
      <c r="T3230">
        <v>-0.17661199999999999</v>
      </c>
      <c r="U3230">
        <v>-0.33724979999999999</v>
      </c>
      <c r="V3230">
        <v>0.11674030000000001</v>
      </c>
      <c r="W3230">
        <v>6.5168249999999997E-2</v>
      </c>
      <c r="X3230">
        <v>0.99102210000000002</v>
      </c>
      <c r="Y3230">
        <v>0.1197247</v>
      </c>
      <c r="Z3230">
        <v>-3.9921339999999996E-3</v>
      </c>
      <c r="AA3230">
        <v>0.99279910000000005</v>
      </c>
      <c r="AB3230">
        <v>36</v>
      </c>
      <c r="AC3230">
        <v>18.453699999999898</v>
      </c>
      <c r="AD3230">
        <v>-1.1089702951703</v>
      </c>
      <c r="AE3230">
        <v>-2.1202000000000099</v>
      </c>
      <c r="AF3230">
        <v>2.2618799461702999</v>
      </c>
      <c r="AG3230">
        <v>-1.1089702951703</v>
      </c>
      <c r="AH3230">
        <v>18.3704014321759</v>
      </c>
      <c r="AI3230">
        <v>93.428765339945599</v>
      </c>
      <c r="AJ3230">
        <v>82.980710205007099</v>
      </c>
      <c r="AK3230">
        <v>18.542318214984501</v>
      </c>
      <c r="AL3230">
        <v>86.263486362364006</v>
      </c>
      <c r="AM3230">
        <v>83.281640033770501</v>
      </c>
      <c r="AN3230">
        <v>1.00000000057028</v>
      </c>
    </row>
    <row r="3231" spans="1:40" x14ac:dyDescent="0.25">
      <c r="A3231" t="str">
        <f>"20190312151335839"</f>
        <v>20190312151335839</v>
      </c>
      <c r="B3231" t="str">
        <f>"1552374815833157"</f>
        <v>1552374815833157</v>
      </c>
      <c r="C3231" t="s">
        <v>40</v>
      </c>
      <c r="D3231">
        <v>4.4535739999999997</v>
      </c>
      <c r="E3231">
        <v>0.50229389999999996</v>
      </c>
      <c r="F3231" t="s">
        <v>54</v>
      </c>
      <c r="G3231">
        <v>-262.08929999999998</v>
      </c>
      <c r="H3231" s="1">
        <v>-3.3175889999999998E-7</v>
      </c>
      <c r="I3231">
        <v>212.4838</v>
      </c>
      <c r="J3231">
        <v>-280.2448</v>
      </c>
      <c r="K3231">
        <v>1.108973</v>
      </c>
      <c r="L3231">
        <v>214.5949</v>
      </c>
      <c r="M3231">
        <v>0.99991750000000001</v>
      </c>
      <c r="N3231">
        <v>0</v>
      </c>
      <c r="O3231">
        <v>7.4791369999999899E-3</v>
      </c>
      <c r="P3231">
        <v>0.99247350000000001</v>
      </c>
      <c r="Q3231">
        <v>5.468845E-2</v>
      </c>
      <c r="R3231">
        <v>-0.109571</v>
      </c>
      <c r="S3231">
        <v>2.9950869999999998</v>
      </c>
      <c r="T3231">
        <v>-0.17933009999999999</v>
      </c>
      <c r="U3231">
        <v>-0.34100340000000001</v>
      </c>
      <c r="V3231">
        <v>0.1170876</v>
      </c>
      <c r="W3231">
        <v>6.4877050000000006E-2</v>
      </c>
      <c r="X3231">
        <v>0.9910002</v>
      </c>
      <c r="Y3231">
        <v>0.1203258</v>
      </c>
      <c r="Z3231">
        <v>-4.0335019999999996E-3</v>
      </c>
      <c r="AA3231">
        <v>0.99272629999999995</v>
      </c>
      <c r="AB3231">
        <v>36</v>
      </c>
      <c r="AC3231">
        <v>18.1555</v>
      </c>
      <c r="AD3231">
        <v>-1.1089733317588999</v>
      </c>
      <c r="AE3231">
        <v>-2.1110999999999902</v>
      </c>
      <c r="AF3231">
        <v>2.2385950379950699</v>
      </c>
      <c r="AG3231">
        <v>-1.1089733317588999</v>
      </c>
      <c r="AH3231">
        <v>18.072672393239198</v>
      </c>
      <c r="AI3231">
        <v>93.484809293901804</v>
      </c>
      <c r="AJ3231">
        <v>82.938949518666604</v>
      </c>
      <c r="AK3231">
        <v>18.2445229323225</v>
      </c>
      <c r="AL3231">
        <v>86.280206151404101</v>
      </c>
      <c r="AM3231">
        <v>83.261689022838198</v>
      </c>
      <c r="AN3231">
        <v>0.99999996704524996</v>
      </c>
    </row>
    <row r="3232" spans="1:40" x14ac:dyDescent="0.25">
      <c r="A3232" t="str">
        <f>"20190312151335866"</f>
        <v>20190312151335866</v>
      </c>
      <c r="B3232" t="str">
        <f>"1552374815853654"</f>
        <v>1552374815853654</v>
      </c>
      <c r="C3232" t="s">
        <v>40</v>
      </c>
      <c r="D3232">
        <v>4.4071790000000002</v>
      </c>
      <c r="E3232">
        <v>0.50904780000000005</v>
      </c>
      <c r="F3232" t="s">
        <v>54</v>
      </c>
      <c r="G3232">
        <v>-261.8784</v>
      </c>
      <c r="H3232" s="1">
        <v>-4.4376419999999999E-7</v>
      </c>
      <c r="I3232">
        <v>212.4785</v>
      </c>
      <c r="J3232">
        <v>-279.82780000000002</v>
      </c>
      <c r="K3232">
        <v>1.1089709999999999</v>
      </c>
      <c r="L3232">
        <v>214.59729999999999</v>
      </c>
      <c r="M3232">
        <v>0.99992259999999999</v>
      </c>
      <c r="N3232">
        <v>0</v>
      </c>
      <c r="O3232">
        <v>6.7523009999999996E-3</v>
      </c>
      <c r="P3232">
        <v>0.99241360000000001</v>
      </c>
      <c r="Q3232">
        <v>5.4255869999999998E-2</v>
      </c>
      <c r="R3232">
        <v>-0.11032599999999999</v>
      </c>
      <c r="S3232">
        <v>2.9945979999999999</v>
      </c>
      <c r="T3232">
        <v>-0.1808157</v>
      </c>
      <c r="U3232">
        <v>-0.34507749999999998</v>
      </c>
      <c r="V3232">
        <v>0.1171208</v>
      </c>
      <c r="W3232">
        <v>6.4446400000000001E-2</v>
      </c>
      <c r="X3232">
        <v>0.99102440000000003</v>
      </c>
      <c r="Y3232">
        <v>0.1209519</v>
      </c>
      <c r="Z3232">
        <v>-4.0423100000000003E-3</v>
      </c>
      <c r="AA3232">
        <v>0.99265020000000004</v>
      </c>
      <c r="AB3232">
        <v>36</v>
      </c>
      <c r="AC3232">
        <v>17.949400000000001</v>
      </c>
      <c r="AD3232">
        <v>-1.1089714437642</v>
      </c>
      <c r="AE3232">
        <v>-2.11879999999999</v>
      </c>
      <c r="AF3232">
        <v>2.23155690547831</v>
      </c>
      <c r="AG3232">
        <v>-1.1089714437642</v>
      </c>
      <c r="AH3232">
        <v>17.8674176243902</v>
      </c>
      <c r="AI3232">
        <v>93.524292135120305</v>
      </c>
      <c r="AJ3232">
        <v>82.880888975561504</v>
      </c>
      <c r="AK3232">
        <v>18.040351339423601</v>
      </c>
      <c r="AL3232">
        <v>86.304932413799804</v>
      </c>
      <c r="AM3232">
        <v>83.259959037828196</v>
      </c>
      <c r="AN3232">
        <v>0.99999999083047897</v>
      </c>
    </row>
    <row r="3233" spans="1:40" x14ac:dyDescent="0.25">
      <c r="A3233" t="str">
        <f>"20190312151335888"</f>
        <v>20190312151335888</v>
      </c>
      <c r="B3233" t="str">
        <f>"1552374815883909"</f>
        <v>1552374815883909</v>
      </c>
      <c r="C3233" t="s">
        <v>40</v>
      </c>
      <c r="D3233">
        <v>4.4089340000000004</v>
      </c>
      <c r="E3233">
        <v>0.5099494</v>
      </c>
      <c r="F3233" t="s">
        <v>41</v>
      </c>
      <c r="G3233">
        <v>-278.77210000000002</v>
      </c>
      <c r="H3233">
        <v>1.038319</v>
      </c>
      <c r="I3233">
        <v>214.4555</v>
      </c>
      <c r="J3233">
        <v>-279.4726</v>
      </c>
      <c r="K3233">
        <v>1.108965</v>
      </c>
      <c r="L3233">
        <v>214.59909999999999</v>
      </c>
      <c r="M3233">
        <v>0.9999266</v>
      </c>
      <c r="N3233">
        <v>0</v>
      </c>
      <c r="O3233">
        <v>6.1326940000000002E-3</v>
      </c>
      <c r="P3233">
        <v>0.99231139999999995</v>
      </c>
      <c r="Q3233">
        <v>5.4541550000000001E-2</v>
      </c>
      <c r="R3233">
        <v>-0.11110250000000001</v>
      </c>
      <c r="S3233">
        <v>2.9892880000000002</v>
      </c>
      <c r="T3233">
        <v>-0.20012750000000001</v>
      </c>
      <c r="U3233">
        <v>-0.40109250000000002</v>
      </c>
      <c r="V3233">
        <v>0.1172829</v>
      </c>
      <c r="W3233">
        <v>6.4733810000000003E-2</v>
      </c>
      <c r="X3233">
        <v>0.99098649999999999</v>
      </c>
      <c r="Y3233">
        <v>0.13874230000000001</v>
      </c>
      <c r="Z3233">
        <v>-5.0268079999999998E-3</v>
      </c>
      <c r="AA3233">
        <v>0.99031570000000002</v>
      </c>
      <c r="AB3233">
        <v>36</v>
      </c>
      <c r="AC3233">
        <v>0.70049999999997603</v>
      </c>
      <c r="AD3233">
        <v>-7.0645999999999903E-2</v>
      </c>
      <c r="AE3233">
        <v>-0.14359999999999201</v>
      </c>
      <c r="AF3233">
        <v>0.14646389458765499</v>
      </c>
      <c r="AG3233">
        <v>-7.0645999999999903E-2</v>
      </c>
      <c r="AH3233">
        <v>0.69284347933257795</v>
      </c>
      <c r="AI3233">
        <v>95.697013162092205</v>
      </c>
      <c r="AJ3233">
        <v>78.063671139954593</v>
      </c>
      <c r="AK3233">
        <v>0.71167030048152002</v>
      </c>
      <c r="AL3233">
        <v>86.288430587494801</v>
      </c>
      <c r="AM3233">
        <v>83.250460799257098</v>
      </c>
      <c r="AN3233">
        <v>0.99999999398588801</v>
      </c>
    </row>
    <row r="3234" spans="1:40" x14ac:dyDescent="0.25">
      <c r="A3234" t="str">
        <f>"20190312151335908"</f>
        <v>20190312151335908</v>
      </c>
      <c r="B3234" t="str">
        <f>"1552374815903429"</f>
        <v>1552374815903429</v>
      </c>
      <c r="C3234" t="s">
        <v>40</v>
      </c>
      <c r="D3234">
        <v>4.404617</v>
      </c>
      <c r="E3234">
        <v>0.51050220000000002</v>
      </c>
      <c r="F3234" t="s">
        <v>54</v>
      </c>
      <c r="G3234">
        <v>-262.10570000000001</v>
      </c>
      <c r="H3234" s="1">
        <v>-3.111653E-7</v>
      </c>
      <c r="I3234">
        <v>212.21289999999999</v>
      </c>
      <c r="J3234">
        <v>-279.15690000000001</v>
      </c>
      <c r="K3234">
        <v>1.10897</v>
      </c>
      <c r="L3234">
        <v>214.60050000000001</v>
      </c>
      <c r="M3234">
        <v>0.99992979999999998</v>
      </c>
      <c r="N3234">
        <v>0</v>
      </c>
      <c r="O3234">
        <v>5.5823490000000003E-3</v>
      </c>
      <c r="P3234">
        <v>0.99222969999999999</v>
      </c>
      <c r="Q3234">
        <v>5.483035E-2</v>
      </c>
      <c r="R3234">
        <v>-0.111688</v>
      </c>
      <c r="S3234">
        <v>2.987762</v>
      </c>
      <c r="T3234">
        <v>-0.1907847</v>
      </c>
      <c r="U3234">
        <v>-0.41050720000000002</v>
      </c>
      <c r="V3234">
        <v>0.1173226</v>
      </c>
      <c r="W3234">
        <v>6.502455E-2</v>
      </c>
      <c r="X3234">
        <v>0.99096269999999997</v>
      </c>
      <c r="Y3234">
        <v>0.14135220000000001</v>
      </c>
      <c r="Z3234">
        <v>-4.841934E-3</v>
      </c>
      <c r="AA3234">
        <v>0.98994760000000004</v>
      </c>
      <c r="AB3234">
        <v>36</v>
      </c>
      <c r="AC3234">
        <v>17.051199999999898</v>
      </c>
      <c r="AD3234">
        <v>-1.1089703111653</v>
      </c>
      <c r="AE3234">
        <v>-2.3876000000000199</v>
      </c>
      <c r="AF3234">
        <v>2.47249644888366</v>
      </c>
      <c r="AG3234">
        <v>-1.1089703111653</v>
      </c>
      <c r="AH3234">
        <v>16.967215677825401</v>
      </c>
      <c r="AI3234">
        <v>93.700536432023398</v>
      </c>
      <c r="AJ3234">
        <v>81.709101731280796</v>
      </c>
      <c r="AK3234">
        <v>17.182242627161099</v>
      </c>
      <c r="AL3234">
        <v>86.271736997818707</v>
      </c>
      <c r="AM3234">
        <v>83.248036522933305</v>
      </c>
      <c r="AN3234">
        <v>0.99999992868237297</v>
      </c>
    </row>
    <row r="3235" spans="1:40" x14ac:dyDescent="0.25">
      <c r="A3235" t="str">
        <f>"20190312151335933"</f>
        <v>20190312151335933</v>
      </c>
      <c r="B3235" t="str">
        <f>"1552374815923926"</f>
        <v>1552374815923926</v>
      </c>
      <c r="C3235" t="s">
        <v>40</v>
      </c>
      <c r="D3235">
        <v>4.4021540000000003</v>
      </c>
      <c r="E3235">
        <v>0.51043090000000002</v>
      </c>
      <c r="F3235" t="s">
        <v>54</v>
      </c>
      <c r="G3235">
        <v>-260.8938</v>
      </c>
      <c r="H3235" s="1">
        <v>-9.4906319999999996E-7</v>
      </c>
      <c r="I3235">
        <v>212.05160000000001</v>
      </c>
      <c r="J3235">
        <v>-278.745</v>
      </c>
      <c r="K3235">
        <v>1.108968</v>
      </c>
      <c r="L3235">
        <v>214.60210000000001</v>
      </c>
      <c r="M3235">
        <v>0.99993350000000003</v>
      </c>
      <c r="N3235">
        <v>0</v>
      </c>
      <c r="O3235">
        <v>4.8643330000000002E-3</v>
      </c>
      <c r="P3235">
        <v>0.99212140000000004</v>
      </c>
      <c r="Q3235">
        <v>5.4956249999999998E-2</v>
      </c>
      <c r="R3235">
        <v>-0.1125857</v>
      </c>
      <c r="S3235">
        <v>2.9866030000000001</v>
      </c>
      <c r="T3235">
        <v>-0.18135190000000001</v>
      </c>
      <c r="U3235">
        <v>-0.41682429999999898</v>
      </c>
      <c r="V3235">
        <v>0.1175079</v>
      </c>
      <c r="W3235">
        <v>6.5153030000000001E-2</v>
      </c>
      <c r="X3235">
        <v>0.99093229999999999</v>
      </c>
      <c r="Y3235">
        <v>0.1427745</v>
      </c>
      <c r="Z3235">
        <v>-4.6036649999999998E-3</v>
      </c>
      <c r="AA3235">
        <v>0.98974450000000003</v>
      </c>
      <c r="AB3235">
        <v>36</v>
      </c>
      <c r="AC3235">
        <v>17.851199999999999</v>
      </c>
      <c r="AD3235">
        <v>-1.1089689490632</v>
      </c>
      <c r="AE3235">
        <v>-2.5504999999999902</v>
      </c>
      <c r="AF3235">
        <v>2.6273718869282701</v>
      </c>
      <c r="AG3235">
        <v>-1.1089689490632</v>
      </c>
      <c r="AH3235">
        <v>17.7713693342323</v>
      </c>
      <c r="AI3235">
        <v>93.532443301013004</v>
      </c>
      <c r="AJ3235">
        <v>81.590142059478495</v>
      </c>
      <c r="AK3235">
        <v>17.998735043771799</v>
      </c>
      <c r="AL3235">
        <v>86.264359973153006</v>
      </c>
      <c r="AM3235">
        <v>83.237265578289495</v>
      </c>
      <c r="AN3235">
        <v>0.99999992353193701</v>
      </c>
    </row>
    <row r="3236" spans="1:40" x14ac:dyDescent="0.25">
      <c r="A3236" t="str">
        <f>"20190312151335951"</f>
        <v>20190312151335951</v>
      </c>
      <c r="B3236" t="str">
        <f>"1552374815943444"</f>
        <v>1552374815943444</v>
      </c>
      <c r="C3236" t="s">
        <v>40</v>
      </c>
      <c r="D3236">
        <v>4.3995550000000003</v>
      </c>
      <c r="E3236">
        <v>0.51043159999999999</v>
      </c>
      <c r="F3236" t="s">
        <v>54</v>
      </c>
      <c r="G3236">
        <v>-260.91489999999999</v>
      </c>
      <c r="H3236" s="1">
        <v>-9.3996729999999997E-7</v>
      </c>
      <c r="I3236">
        <v>212.1001</v>
      </c>
      <c r="J3236">
        <v>-278.46039999999999</v>
      </c>
      <c r="K3236">
        <v>1.1089690000000001</v>
      </c>
      <c r="L3236">
        <v>214.60300000000001</v>
      </c>
      <c r="M3236">
        <v>0.99993580000000004</v>
      </c>
      <c r="N3236">
        <v>0</v>
      </c>
      <c r="O3236">
        <v>4.3681700000000002E-3</v>
      </c>
      <c r="P3236">
        <v>0.99207809999999996</v>
      </c>
      <c r="Q3236">
        <v>5.4903819999999999E-2</v>
      </c>
      <c r="R3236">
        <v>-0.112992</v>
      </c>
      <c r="S3236">
        <v>2.9865719999999998</v>
      </c>
      <c r="T3236">
        <v>-0.18575359999999999</v>
      </c>
      <c r="U3236">
        <v>-0.41908260000000003</v>
      </c>
      <c r="V3236">
        <v>0.1174222</v>
      </c>
      <c r="W3236">
        <v>6.5103530000000007E-2</v>
      </c>
      <c r="X3236">
        <v>0.99094579999999999</v>
      </c>
      <c r="Y3236">
        <v>0.143006299999999</v>
      </c>
      <c r="Z3236">
        <v>-4.6914749999999996E-3</v>
      </c>
      <c r="AA3236">
        <v>0.98971070000000005</v>
      </c>
      <c r="AB3236">
        <v>36</v>
      </c>
      <c r="AC3236">
        <v>17.545500000000001</v>
      </c>
      <c r="AD3236">
        <v>-1.1089699399673001</v>
      </c>
      <c r="AE3236">
        <v>-2.5028999999999799</v>
      </c>
      <c r="AF3236">
        <v>2.5694619588235099</v>
      </c>
      <c r="AG3236">
        <v>-1.1089699399673001</v>
      </c>
      <c r="AH3236">
        <v>17.4660151518022</v>
      </c>
      <c r="AI3236">
        <v>93.594421054043806</v>
      </c>
      <c r="AJ3236">
        <v>81.631126669588696</v>
      </c>
      <c r="AK3236">
        <v>17.688799687049901</v>
      </c>
      <c r="AL3236">
        <v>86.267202474165202</v>
      </c>
      <c r="AM3236">
        <v>83.242243307812998</v>
      </c>
      <c r="AN3236">
        <v>1.00000001060447</v>
      </c>
    </row>
    <row r="3237" spans="1:40" x14ac:dyDescent="0.25">
      <c r="A3237" t="str">
        <f>"20190312151335972"</f>
        <v>20190312151335972</v>
      </c>
      <c r="B3237" t="str">
        <f>"1552374815963942"</f>
        <v>1552374815963942</v>
      </c>
      <c r="C3237" t="s">
        <v>40</v>
      </c>
      <c r="D3237">
        <v>4.3979889999999999</v>
      </c>
      <c r="E3237">
        <v>0.51048990000000005</v>
      </c>
      <c r="F3237" t="s">
        <v>54</v>
      </c>
      <c r="G3237">
        <v>-260.91989999999998</v>
      </c>
      <c r="H3237" s="1">
        <v>-9.3873939999999999E-7</v>
      </c>
      <c r="I3237">
        <v>212.13390000000001</v>
      </c>
      <c r="J3237">
        <v>-278.11</v>
      </c>
      <c r="K3237">
        <v>1.1089629999999999</v>
      </c>
      <c r="L3237">
        <v>214.60400000000001</v>
      </c>
      <c r="M3237">
        <v>0.9999382</v>
      </c>
      <c r="N3237">
        <v>0</v>
      </c>
      <c r="O3237">
        <v>3.7579190000000002E-3</v>
      </c>
      <c r="P3237">
        <v>0.99200639999999995</v>
      </c>
      <c r="Q3237">
        <v>5.499105E-2</v>
      </c>
      <c r="R3237">
        <v>-0.1135771</v>
      </c>
      <c r="S3237">
        <v>2.9864809999999999</v>
      </c>
      <c r="T3237">
        <v>-0.18881600000000001</v>
      </c>
      <c r="U3237">
        <v>-0.42039490000000002</v>
      </c>
      <c r="V3237">
        <v>0.1174022</v>
      </c>
      <c r="W3237">
        <v>6.5193470000000003E-2</v>
      </c>
      <c r="X3237">
        <v>0.9909422</v>
      </c>
      <c r="Y3237">
        <v>0.14282520000000001</v>
      </c>
      <c r="Z3237">
        <v>-4.7246149999999997E-3</v>
      </c>
      <c r="AA3237">
        <v>0.98973670000000002</v>
      </c>
      <c r="AB3237">
        <v>36</v>
      </c>
      <c r="AC3237">
        <v>17.190100000000001</v>
      </c>
      <c r="AD3237">
        <v>-1.1089639387393999</v>
      </c>
      <c r="AE3237">
        <v>-2.4701</v>
      </c>
      <c r="AF3237">
        <v>2.5243916949006602</v>
      </c>
      <c r="AG3237">
        <v>-1.1089639387393999</v>
      </c>
      <c r="AH3237">
        <v>17.110924551463199</v>
      </c>
      <c r="AI3237">
        <v>93.668571005785495</v>
      </c>
      <c r="AJ3237">
        <v>81.607635022527802</v>
      </c>
      <c r="AK3237">
        <v>17.331650049910799</v>
      </c>
      <c r="AL3237">
        <v>86.262038110657301</v>
      </c>
      <c r="AM3237">
        <v>83.243359364939806</v>
      </c>
      <c r="AN3237">
        <v>0.99999995441815903</v>
      </c>
    </row>
    <row r="3238" spans="1:40" x14ac:dyDescent="0.25">
      <c r="A3238" t="str">
        <f>"20190312151335996"</f>
        <v>20190312151335996</v>
      </c>
      <c r="B3238" t="str">
        <f>"1552374815993221"</f>
        <v>1552374815993221</v>
      </c>
      <c r="C3238" t="s">
        <v>40</v>
      </c>
      <c r="D3238">
        <v>4.5693599999999996</v>
      </c>
      <c r="E3238">
        <v>0.51055240000000002</v>
      </c>
      <c r="F3238" t="s">
        <v>54</v>
      </c>
      <c r="G3238">
        <v>-260.7303</v>
      </c>
      <c r="H3238" s="1">
        <v>-1.0400709999999901E-6</v>
      </c>
      <c r="I3238">
        <v>212.14340000000001</v>
      </c>
      <c r="J3238">
        <v>-277.74009999999998</v>
      </c>
      <c r="K3238">
        <v>1.1089599999999999</v>
      </c>
      <c r="L3238">
        <v>214.60480000000001</v>
      </c>
      <c r="M3238">
        <v>0.9999403</v>
      </c>
      <c r="N3238">
        <v>0</v>
      </c>
      <c r="O3238">
        <v>3.1132180000000001E-3</v>
      </c>
      <c r="P3238">
        <v>0.99187389999999998</v>
      </c>
      <c r="Q3238">
        <v>5.5294330000000003E-2</v>
      </c>
      <c r="R3238">
        <v>-0.1145815</v>
      </c>
      <c r="S3238">
        <v>2.9863590000000002</v>
      </c>
      <c r="T3238">
        <v>-0.19055279999999999</v>
      </c>
      <c r="U3238">
        <v>-0.42280580000000001</v>
      </c>
      <c r="V3238">
        <v>0.1177675</v>
      </c>
      <c r="W3238">
        <v>6.5498459999999994E-2</v>
      </c>
      <c r="X3238">
        <v>0.99087879999999995</v>
      </c>
      <c r="Y3238">
        <v>0.14297179999999901</v>
      </c>
      <c r="Z3238">
        <v>-4.731664E-3</v>
      </c>
      <c r="AA3238">
        <v>0.98971549999999997</v>
      </c>
      <c r="AB3238">
        <v>36</v>
      </c>
      <c r="AC3238">
        <v>17.009799999999899</v>
      </c>
      <c r="AD3238">
        <v>-1.1089610400709999</v>
      </c>
      <c r="AE3238">
        <v>-2.46139999999999</v>
      </c>
      <c r="AF3238">
        <v>2.5039216988931301</v>
      </c>
      <c r="AG3238">
        <v>-1.1089610400709999</v>
      </c>
      <c r="AH3238">
        <v>16.931563661209101</v>
      </c>
      <c r="AI3238">
        <v>93.707126649387902</v>
      </c>
      <c r="AJ3238">
        <v>81.587793599283103</v>
      </c>
      <c r="AK3238">
        <v>17.1515966159469</v>
      </c>
      <c r="AL3238">
        <v>86.244526266115997</v>
      </c>
      <c r="AM3238">
        <v>83.222101553608795</v>
      </c>
      <c r="AN3238">
        <v>1.00000001430403</v>
      </c>
    </row>
    <row r="3239" spans="1:40" x14ac:dyDescent="0.25">
      <c r="A3239" t="str">
        <f>"20190312151336019"</f>
        <v>20190312151336019</v>
      </c>
      <c r="B3239" t="str">
        <f>"1552374816013717"</f>
        <v>1552374816013717</v>
      </c>
      <c r="C3239" t="s">
        <v>40</v>
      </c>
      <c r="D3239">
        <v>4.3859649999999997</v>
      </c>
      <c r="E3239">
        <v>0.51051869999999999</v>
      </c>
      <c r="F3239" t="s">
        <v>54</v>
      </c>
      <c r="G3239">
        <v>-259.8254</v>
      </c>
      <c r="H3239" s="1">
        <v>3.8041109999999998E-6</v>
      </c>
      <c r="I3239">
        <v>212.04669999999999</v>
      </c>
      <c r="J3239">
        <v>-277.36720000000003</v>
      </c>
      <c r="K3239">
        <v>1.108957</v>
      </c>
      <c r="L3239">
        <v>214.6053</v>
      </c>
      <c r="M3239">
        <v>0.99994209999999994</v>
      </c>
      <c r="N3239">
        <v>0</v>
      </c>
      <c r="O3239">
        <v>2.4640450000000002E-3</v>
      </c>
      <c r="P3239">
        <v>0.99177700000000002</v>
      </c>
      <c r="Q3239">
        <v>5.5388390000000003E-2</v>
      </c>
      <c r="R3239">
        <v>-0.1153713</v>
      </c>
      <c r="S3239">
        <v>2.9856569999999998</v>
      </c>
      <c r="T3239">
        <v>-0.1848185</v>
      </c>
      <c r="U3239">
        <v>-0.4263306</v>
      </c>
      <c r="V3239">
        <v>0.1179138</v>
      </c>
      <c r="W3239">
        <v>6.5595050000000002E-2</v>
      </c>
      <c r="X3239">
        <v>0.99085500000000004</v>
      </c>
      <c r="Y3239">
        <v>0.14352409999999999</v>
      </c>
      <c r="Z3239">
        <v>-4.5672780000000001E-3</v>
      </c>
      <c r="AA3239">
        <v>0.98963630000000002</v>
      </c>
      <c r="AB3239">
        <v>36</v>
      </c>
      <c r="AC3239">
        <v>17.541799999999999</v>
      </c>
      <c r="AD3239">
        <v>-1.108953195889</v>
      </c>
      <c r="AE3239">
        <v>-2.55860000000001</v>
      </c>
      <c r="AF3239">
        <v>2.5916765540525901</v>
      </c>
      <c r="AG3239">
        <v>-1.108953195889</v>
      </c>
      <c r="AH3239">
        <v>17.467089102366</v>
      </c>
      <c r="AI3239">
        <v>93.5934920748401</v>
      </c>
      <c r="AJ3239">
        <v>81.560321847035596</v>
      </c>
      <c r="AK3239">
        <v>17.693099396699601</v>
      </c>
      <c r="AL3239">
        <v>86.2389800970236</v>
      </c>
      <c r="AM3239">
        <v>83.213598513771203</v>
      </c>
      <c r="AN3239">
        <v>1.00000000291997</v>
      </c>
    </row>
    <row r="3240" spans="1:40" x14ac:dyDescent="0.25">
      <c r="A3240" t="str">
        <f>"20190312151336040"</f>
        <v>20190312151336040</v>
      </c>
      <c r="B3240" t="str">
        <f>"1552374816033241"</f>
        <v>1552374816033241</v>
      </c>
      <c r="C3240" t="s">
        <v>40</v>
      </c>
      <c r="D3240">
        <v>4.3958300000000001</v>
      </c>
      <c r="E3240">
        <v>0.51056060000000003</v>
      </c>
      <c r="F3240" t="s">
        <v>54</v>
      </c>
      <c r="G3240">
        <v>-258.90570000000002</v>
      </c>
      <c r="H3240" s="1">
        <v>3.31865E-6</v>
      </c>
      <c r="I3240">
        <v>211.95609999999999</v>
      </c>
      <c r="J3240">
        <v>-277.03129999999999</v>
      </c>
      <c r="K3240">
        <v>1.1089599999999999</v>
      </c>
      <c r="L3240">
        <v>214.60560000000001</v>
      </c>
      <c r="M3240">
        <v>0.99994340000000004</v>
      </c>
      <c r="N3240">
        <v>0</v>
      </c>
      <c r="O3240">
        <v>1.8791260000000001E-3</v>
      </c>
      <c r="P3240">
        <v>0.99166509999999997</v>
      </c>
      <c r="Q3240">
        <v>5.604203E-2</v>
      </c>
      <c r="R3240">
        <v>-0.1160168</v>
      </c>
      <c r="S3240">
        <v>2.985077</v>
      </c>
      <c r="T3240">
        <v>-0.179308299999999</v>
      </c>
      <c r="U3240">
        <v>-0.42834470000000002</v>
      </c>
      <c r="V3240">
        <v>0.11798019999999999</v>
      </c>
      <c r="W3240">
        <v>6.6250699999999996E-2</v>
      </c>
      <c r="X3240">
        <v>0.99080349999999995</v>
      </c>
      <c r="Y3240">
        <v>0.1436434</v>
      </c>
      <c r="Z3240">
        <v>-4.4006230000000002E-3</v>
      </c>
      <c r="AA3240">
        <v>0.98961969999999999</v>
      </c>
      <c r="AB3240">
        <v>36</v>
      </c>
      <c r="AC3240">
        <v>18.125599999999899</v>
      </c>
      <c r="AD3240">
        <v>-1.10895668135</v>
      </c>
      <c r="AE3240">
        <v>-2.64950000000001</v>
      </c>
      <c r="AF3240">
        <v>2.6737584085288399</v>
      </c>
      <c r="AG3240">
        <v>-1.10895668135</v>
      </c>
      <c r="AH3240">
        <v>18.054421261851498</v>
      </c>
      <c r="AI3240">
        <v>93.477035002683195</v>
      </c>
      <c r="AJ3240">
        <v>81.576045262049405</v>
      </c>
      <c r="AK3240">
        <v>18.284991004883899</v>
      </c>
      <c r="AL3240">
        <v>86.201332324077001</v>
      </c>
      <c r="AM3240">
        <v>83.209462960804004</v>
      </c>
      <c r="AN3240">
        <v>1.0000000292273801</v>
      </c>
    </row>
    <row r="3241" spans="1:40" x14ac:dyDescent="0.25">
      <c r="A3241" t="str">
        <f>"20190312151336062"</f>
        <v>20190312151336062</v>
      </c>
      <c r="B3241" t="str">
        <f>"1552374816053734"</f>
        <v>1552374816053734</v>
      </c>
      <c r="C3241" t="s">
        <v>40</v>
      </c>
      <c r="D3241">
        <v>4.4186940000000003</v>
      </c>
      <c r="E3241">
        <v>0.51066920000000005</v>
      </c>
      <c r="F3241" t="s">
        <v>54</v>
      </c>
      <c r="G3241">
        <v>-258.27199999999999</v>
      </c>
      <c r="H3241" s="1">
        <v>2.9839579999999998E-6</v>
      </c>
      <c r="I3241">
        <v>211.8982</v>
      </c>
      <c r="J3241">
        <v>-276.68079999999998</v>
      </c>
      <c r="K3241">
        <v>1.1089560000000001</v>
      </c>
      <c r="L3241">
        <v>214.60570000000001</v>
      </c>
      <c r="M3241">
        <v>0.99994430000000001</v>
      </c>
      <c r="N3241">
        <v>0</v>
      </c>
      <c r="O3241">
        <v>1.2684599999999999E-3</v>
      </c>
      <c r="P3241">
        <v>0.99158809999999997</v>
      </c>
      <c r="Q3241">
        <v>5.6300160000000002E-2</v>
      </c>
      <c r="R3241">
        <v>-0.1165494</v>
      </c>
      <c r="S3241">
        <v>2.9848330000000001</v>
      </c>
      <c r="T3241">
        <v>-0.17644799999999999</v>
      </c>
      <c r="U3241">
        <v>-0.43077090000000001</v>
      </c>
      <c r="V3241">
        <v>0.1179075</v>
      </c>
      <c r="W3241">
        <v>6.6512390000000005E-2</v>
      </c>
      <c r="X3241">
        <v>0.99079459999999997</v>
      </c>
      <c r="Y3241">
        <v>0.14384729999999901</v>
      </c>
      <c r="Z3241">
        <v>-4.3007540000000004E-3</v>
      </c>
      <c r="AA3241">
        <v>0.98959050000000004</v>
      </c>
      <c r="AB3241">
        <v>36</v>
      </c>
      <c r="AC3241">
        <v>18.4087999999999</v>
      </c>
      <c r="AD3241">
        <v>-1.108953016042</v>
      </c>
      <c r="AE3241">
        <v>-2.7075000000000098</v>
      </c>
      <c r="AF3241">
        <v>2.72118410339771</v>
      </c>
      <c r="AG3241">
        <v>-1.108953016042</v>
      </c>
      <c r="AH3241">
        <v>18.340205018957299</v>
      </c>
      <c r="AI3241">
        <v>93.422835326726897</v>
      </c>
      <c r="AJ3241">
        <v>81.560446823388403</v>
      </c>
      <c r="AK3241">
        <v>18.574114779815499</v>
      </c>
      <c r="AL3241">
        <v>86.186305366208003</v>
      </c>
      <c r="AM3241">
        <v>83.213547895137296</v>
      </c>
      <c r="AN3241">
        <v>1.00000000798446</v>
      </c>
    </row>
    <row r="3242" spans="1:40" x14ac:dyDescent="0.25">
      <c r="A3242" t="str">
        <f>"20190312151336085"</f>
        <v>20190312151336085</v>
      </c>
      <c r="B3242" t="str">
        <f>"1552374816073253"</f>
        <v>1552374816073253</v>
      </c>
      <c r="C3242" t="s">
        <v>40</v>
      </c>
      <c r="D3242">
        <v>4.3787070000000003</v>
      </c>
      <c r="E3242">
        <v>0.51063440000000004</v>
      </c>
      <c r="F3242" t="s">
        <v>54</v>
      </c>
      <c r="G3242">
        <v>-258.06979999999999</v>
      </c>
      <c r="H3242" s="1">
        <v>2.87612E-6</v>
      </c>
      <c r="I3242">
        <v>211.90360000000001</v>
      </c>
      <c r="J3242">
        <v>-276.30549999999999</v>
      </c>
      <c r="K3242">
        <v>1.1089530000000001</v>
      </c>
      <c r="L3242">
        <v>214.60550000000001</v>
      </c>
      <c r="M3242">
        <v>0.99994490000000003</v>
      </c>
      <c r="N3242">
        <v>0</v>
      </c>
      <c r="O3242">
        <v>6.1517370000000002E-4</v>
      </c>
      <c r="P3242">
        <v>0.99147390000000002</v>
      </c>
      <c r="Q3242">
        <v>5.6248899999999998E-2</v>
      </c>
      <c r="R3242">
        <v>-0.1175394</v>
      </c>
      <c r="S3242">
        <v>2.9846189999999999</v>
      </c>
      <c r="T3242">
        <v>-0.1778411</v>
      </c>
      <c r="U3242">
        <v>-0.43331910000000001</v>
      </c>
      <c r="V3242">
        <v>0.1182502</v>
      </c>
      <c r="W3242">
        <v>6.6463389999999997E-2</v>
      </c>
      <c r="X3242">
        <v>0.990757</v>
      </c>
      <c r="Y3242">
        <v>0.1440352</v>
      </c>
      <c r="Z3242">
        <v>-4.3015650000000002E-3</v>
      </c>
      <c r="AA3242">
        <v>0.98956319999999998</v>
      </c>
      <c r="AB3242">
        <v>36</v>
      </c>
      <c r="AC3242">
        <v>18.235700000000001</v>
      </c>
      <c r="AD3242">
        <v>-1.1089501238799999</v>
      </c>
      <c r="AE3242">
        <v>-2.70189999999999</v>
      </c>
      <c r="AF3242">
        <v>2.7033357645931999</v>
      </c>
      <c r="AG3242">
        <v>-1.1089501238799999</v>
      </c>
      <c r="AH3242">
        <v>18.168289389536302</v>
      </c>
      <c r="AI3242">
        <v>93.454925248427003</v>
      </c>
      <c r="AJ3242">
        <v>81.536814295147906</v>
      </c>
      <c r="AK3242">
        <v>18.401753557075001</v>
      </c>
      <c r="AL3242">
        <v>86.189118912010997</v>
      </c>
      <c r="AM3242">
        <v>83.193751859187699</v>
      </c>
      <c r="AN3242">
        <v>0.99999996252966505</v>
      </c>
    </row>
    <row r="3243" spans="1:40" x14ac:dyDescent="0.25">
      <c r="A3243" t="str">
        <f>"20190312151336110"</f>
        <v>20190312151336110</v>
      </c>
      <c r="B3243" t="str">
        <f>"1552374816103510"</f>
        <v>1552374816103510</v>
      </c>
      <c r="C3243" t="s">
        <v>40</v>
      </c>
      <c r="D3243">
        <v>4.3737519999999996</v>
      </c>
      <c r="E3243">
        <v>0.51063019999999903</v>
      </c>
      <c r="F3243" t="s">
        <v>54</v>
      </c>
      <c r="G3243">
        <v>-257.875</v>
      </c>
      <c r="H3243" s="1">
        <v>2.7720049999999998E-6</v>
      </c>
      <c r="I3243">
        <v>211.91380000000001</v>
      </c>
      <c r="J3243">
        <v>-275.91230000000002</v>
      </c>
      <c r="K3243">
        <v>1.108954</v>
      </c>
      <c r="L3243">
        <v>214.60509999999999</v>
      </c>
      <c r="M3243">
        <v>0.99994510000000003</v>
      </c>
      <c r="N3243">
        <v>0</v>
      </c>
      <c r="O3243" s="1">
        <v>-6.9049540000000006E-5</v>
      </c>
      <c r="P3243">
        <v>0.99135300000000004</v>
      </c>
      <c r="Q3243">
        <v>5.5774400000000002E-2</v>
      </c>
      <c r="R3243">
        <v>-0.11878089999999999</v>
      </c>
      <c r="S3243">
        <v>2.9843139999999999</v>
      </c>
      <c r="T3243">
        <v>-0.1795639</v>
      </c>
      <c r="U3243">
        <v>-0.43585210000000002</v>
      </c>
      <c r="V3243">
        <v>0.1188124</v>
      </c>
      <c r="W3243">
        <v>6.599141E-2</v>
      </c>
      <c r="X3243">
        <v>0.99072130000000003</v>
      </c>
      <c r="Y3243">
        <v>0.14419100000000001</v>
      </c>
      <c r="Z3243">
        <v>-4.307076E-3</v>
      </c>
      <c r="AA3243">
        <v>0.98954050000000005</v>
      </c>
      <c r="AB3243">
        <v>36</v>
      </c>
      <c r="AC3243">
        <v>18.037299999999998</v>
      </c>
      <c r="AD3243">
        <v>-1.108951227995</v>
      </c>
      <c r="AE3243">
        <v>-2.69129999999998</v>
      </c>
      <c r="AF3243">
        <v>2.6801443716328501</v>
      </c>
      <c r="AG3243">
        <v>-1.108951227995</v>
      </c>
      <c r="AH3243">
        <v>17.971036200852801</v>
      </c>
      <c r="AI3243">
        <v>93.492583199422299</v>
      </c>
      <c r="AJ3243">
        <v>81.517605106747297</v>
      </c>
      <c r="AK3243">
        <v>18.203600984729</v>
      </c>
      <c r="AL3243">
        <v>86.216220917456795</v>
      </c>
      <c r="AM3243">
        <v>83.161454363983395</v>
      </c>
      <c r="AN3243">
        <v>0.99999997343061797</v>
      </c>
    </row>
    <row r="3244" spans="1:40" x14ac:dyDescent="0.25">
      <c r="A3244" t="str">
        <f>"20190312151336132"</f>
        <v>20190312151336132</v>
      </c>
      <c r="B3244" t="str">
        <f>"1552374816124006"</f>
        <v>1552374816124006</v>
      </c>
      <c r="C3244" t="s">
        <v>40</v>
      </c>
      <c r="D3244">
        <v>4.3753190000000002</v>
      </c>
      <c r="E3244">
        <v>0.51061229999999902</v>
      </c>
      <c r="F3244" t="s">
        <v>54</v>
      </c>
      <c r="G3244">
        <v>-257.67919999999998</v>
      </c>
      <c r="H3244" s="1">
        <v>2.6674839999999999E-6</v>
      </c>
      <c r="I3244">
        <v>211.92150000000001</v>
      </c>
      <c r="J3244">
        <v>-275.54419999999999</v>
      </c>
      <c r="K3244">
        <v>1.1089560000000001</v>
      </c>
      <c r="L3244">
        <v>214.6045</v>
      </c>
      <c r="M3244">
        <v>0.99994470000000002</v>
      </c>
      <c r="N3244">
        <v>0</v>
      </c>
      <c r="O3244">
        <v>-7.0946309999999995E-4</v>
      </c>
      <c r="P3244">
        <v>0.99126199999999998</v>
      </c>
      <c r="Q3244">
        <v>5.565515E-2</v>
      </c>
      <c r="R3244">
        <v>-0.1195918</v>
      </c>
      <c r="S3244">
        <v>2.983765</v>
      </c>
      <c r="T3244">
        <v>-0.18147479999999999</v>
      </c>
      <c r="U3244">
        <v>-0.43916319999999998</v>
      </c>
      <c r="V3244">
        <v>0.1189886</v>
      </c>
      <c r="W3244">
        <v>6.5875310000000006E-2</v>
      </c>
      <c r="X3244">
        <v>0.99070789999999997</v>
      </c>
      <c r="Y3244">
        <v>0.14465320000000001</v>
      </c>
      <c r="Z3244">
        <v>-4.3285320000000004E-3</v>
      </c>
      <c r="AA3244">
        <v>0.98947289999999999</v>
      </c>
      <c r="AB3244">
        <v>36</v>
      </c>
      <c r="AC3244">
        <v>17.864999999999998</v>
      </c>
      <c r="AD3244">
        <v>-1.1089533325159999</v>
      </c>
      <c r="AE3244">
        <v>-2.6829999999999901</v>
      </c>
      <c r="AF3244">
        <v>2.6602995269763898</v>
      </c>
      <c r="AG3244">
        <v>-1.1089533325159999</v>
      </c>
      <c r="AH3244">
        <v>17.799825787430098</v>
      </c>
      <c r="AI3244">
        <v>93.525935312036395</v>
      </c>
      <c r="AJ3244">
        <v>81.499692261488306</v>
      </c>
      <c r="AK3244">
        <v>18.031660187841599</v>
      </c>
      <c r="AL3244">
        <v>86.222887538860306</v>
      </c>
      <c r="AM3244">
        <v>83.151317232439496</v>
      </c>
      <c r="AN3244">
        <v>0.99999999325998201</v>
      </c>
    </row>
    <row r="3245" spans="1:40" x14ac:dyDescent="0.25">
      <c r="A3245" t="str">
        <f>"20190312151336151"</f>
        <v>20190312151336151</v>
      </c>
      <c r="B3245" t="str">
        <f>"1552374816143525"</f>
        <v>1552374816143525</v>
      </c>
      <c r="C3245" t="s">
        <v>40</v>
      </c>
      <c r="D3245">
        <v>4.3645550000000002</v>
      </c>
      <c r="E3245">
        <v>0.51057889999999995</v>
      </c>
      <c r="F3245" t="s">
        <v>54</v>
      </c>
      <c r="G3245">
        <v>-257.55459999999999</v>
      </c>
      <c r="H3245" s="1">
        <v>2.6002729999999998E-6</v>
      </c>
      <c r="I3245">
        <v>211.94220000000001</v>
      </c>
      <c r="J3245">
        <v>-275.23500000000001</v>
      </c>
      <c r="K3245">
        <v>1.1089500000000001</v>
      </c>
      <c r="L3245">
        <v>214.60380000000001</v>
      </c>
      <c r="M3245">
        <v>0.99994430000000001</v>
      </c>
      <c r="N3245">
        <v>0</v>
      </c>
      <c r="O3245">
        <v>-1.2472329999999999E-3</v>
      </c>
      <c r="P3245">
        <v>0.99120520000000001</v>
      </c>
      <c r="Q3245">
        <v>5.5458739999999999E-2</v>
      </c>
      <c r="R3245">
        <v>-0.12015380000000001</v>
      </c>
      <c r="S3245">
        <v>2.9835210000000001</v>
      </c>
      <c r="T3245">
        <v>-0.18391679999999999</v>
      </c>
      <c r="U3245">
        <v>-0.44152829999999899</v>
      </c>
      <c r="V3245">
        <v>0.11901730000000001</v>
      </c>
      <c r="W3245">
        <v>6.5681660000000003E-2</v>
      </c>
      <c r="X3245">
        <v>0.99071730000000002</v>
      </c>
      <c r="Y3245">
        <v>0.14489379999999999</v>
      </c>
      <c r="Z3245">
        <v>-4.3612019999999998E-3</v>
      </c>
      <c r="AA3245">
        <v>0.98943760000000003</v>
      </c>
      <c r="AB3245">
        <v>36</v>
      </c>
      <c r="AC3245">
        <v>17.680399999999999</v>
      </c>
      <c r="AD3245">
        <v>-1.1089473997270001</v>
      </c>
      <c r="AE3245">
        <v>-2.6615999999999902</v>
      </c>
      <c r="AF3245">
        <v>2.6294301103268398</v>
      </c>
      <c r="AG3245">
        <v>-1.1089473997270001</v>
      </c>
      <c r="AH3245">
        <v>17.6159401413891</v>
      </c>
      <c r="AI3245">
        <v>93.562727606120902</v>
      </c>
      <c r="AJ3245">
        <v>81.510466524458295</v>
      </c>
      <c r="AK3245">
        <v>17.845588085167101</v>
      </c>
      <c r="AL3245">
        <v>86.234006911100295</v>
      </c>
      <c r="AM3245">
        <v>83.149745407273102</v>
      </c>
      <c r="AN3245">
        <v>0.99999998333946705</v>
      </c>
    </row>
    <row r="3246" spans="1:40" x14ac:dyDescent="0.25">
      <c r="A3246" t="str">
        <f>"20190312151336173"</f>
        <v>20190312151336173</v>
      </c>
      <c r="B3246" t="str">
        <f>"1552374816163045"</f>
        <v>1552374816163045</v>
      </c>
      <c r="C3246" t="s">
        <v>40</v>
      </c>
      <c r="D3246">
        <v>4.4312339999999999</v>
      </c>
      <c r="E3246">
        <v>0.51062079999999999</v>
      </c>
      <c r="F3246" t="s">
        <v>54</v>
      </c>
      <c r="G3246">
        <v>-257.47680000000003</v>
      </c>
      <c r="H3246" s="1">
        <v>2.557873E-6</v>
      </c>
      <c r="I3246">
        <v>211.9658</v>
      </c>
      <c r="J3246">
        <v>-274.87670000000003</v>
      </c>
      <c r="K3246">
        <v>1.108949</v>
      </c>
      <c r="L3246">
        <v>214.6027</v>
      </c>
      <c r="M3246">
        <v>0.99994309999999997</v>
      </c>
      <c r="N3246">
        <v>0</v>
      </c>
      <c r="O3246">
        <v>-1.8700030000000001E-3</v>
      </c>
      <c r="P3246">
        <v>0.99114409999999997</v>
      </c>
      <c r="Q3246">
        <v>5.5542479999999998E-2</v>
      </c>
      <c r="R3246">
        <v>-0.1206168</v>
      </c>
      <c r="S3246">
        <v>2.983276</v>
      </c>
      <c r="T3246">
        <v>-0.18629780000000001</v>
      </c>
      <c r="U3246">
        <v>-0.44317630000000002</v>
      </c>
      <c r="V3246">
        <v>0.11886330000000001</v>
      </c>
      <c r="W3246">
        <v>6.57692E-2</v>
      </c>
      <c r="X3246">
        <v>0.99073</v>
      </c>
      <c r="Y3246">
        <v>0.14481859999999999</v>
      </c>
      <c r="Z3246">
        <v>-4.3767579999999997E-3</v>
      </c>
      <c r="AA3246">
        <v>0.98944849999999995</v>
      </c>
      <c r="AB3246">
        <v>36</v>
      </c>
      <c r="AC3246">
        <v>17.399899999999999</v>
      </c>
      <c r="AD3246">
        <v>-1.1089464421270001</v>
      </c>
      <c r="AE3246">
        <v>-2.63689999999999</v>
      </c>
      <c r="AF3246">
        <v>2.5940555324635701</v>
      </c>
      <c r="AG3246">
        <v>-1.1089464421270001</v>
      </c>
      <c r="AH3246">
        <v>17.335965070958299</v>
      </c>
      <c r="AI3246">
        <v>93.619915263020999</v>
      </c>
      <c r="AJ3246">
        <v>81.489725758205594</v>
      </c>
      <c r="AK3246">
        <v>17.5640135293303</v>
      </c>
      <c r="AL3246">
        <v>86.228980441527298</v>
      </c>
      <c r="AM3246">
        <v>83.1586119568355</v>
      </c>
      <c r="AN3246">
        <v>1.00000000232776</v>
      </c>
    </row>
    <row r="3247" spans="1:40" x14ac:dyDescent="0.25">
      <c r="A3247" t="str">
        <f>"20190312151336196"</f>
        <v>20190312151336196</v>
      </c>
      <c r="B3247" t="str">
        <f>"1552374816183541"</f>
        <v>1552374816183541</v>
      </c>
      <c r="C3247" t="s">
        <v>40</v>
      </c>
      <c r="D3247">
        <v>4.5495000000000001</v>
      </c>
      <c r="E3247">
        <v>0.51062019999999997</v>
      </c>
      <c r="F3247" t="s">
        <v>54</v>
      </c>
      <c r="G3247">
        <v>-256.84840000000003</v>
      </c>
      <c r="H3247" s="1">
        <v>2.2257339999999998E-6</v>
      </c>
      <c r="I3247">
        <v>211.91409999999999</v>
      </c>
      <c r="J3247">
        <v>-274.51650000000001</v>
      </c>
      <c r="K3247">
        <v>1.1089500000000001</v>
      </c>
      <c r="L3247">
        <v>214.60149999999999</v>
      </c>
      <c r="M3247">
        <v>0.99994179999999999</v>
      </c>
      <c r="N3247">
        <v>0</v>
      </c>
      <c r="O3247">
        <v>-2.496467E-3</v>
      </c>
      <c r="P3247">
        <v>0.99108629999999998</v>
      </c>
      <c r="Q3247">
        <v>5.500418E-2</v>
      </c>
      <c r="R3247">
        <v>-0.12133670000000001</v>
      </c>
      <c r="S3247">
        <v>2.982971</v>
      </c>
      <c r="T3247">
        <v>-0.18348709999999999</v>
      </c>
      <c r="U3247">
        <v>-0.44486999999999999</v>
      </c>
      <c r="V3247">
        <v>0.1189615</v>
      </c>
      <c r="W3247">
        <v>6.5234860000000006E-2</v>
      </c>
      <c r="X3247">
        <v>0.99075349999999995</v>
      </c>
      <c r="Y3247">
        <v>0.1447724</v>
      </c>
      <c r="Z3247">
        <v>-4.271408E-3</v>
      </c>
      <c r="AA3247">
        <v>0.9894558</v>
      </c>
      <c r="AB3247">
        <v>36</v>
      </c>
      <c r="AC3247">
        <v>17.6680999999999</v>
      </c>
      <c r="AD3247">
        <v>-1.1089477742659899</v>
      </c>
      <c r="AE3247">
        <v>-2.68739999999999</v>
      </c>
      <c r="AF3247">
        <v>2.63314263567066</v>
      </c>
      <c r="AG3247">
        <v>-1.1089477742659899</v>
      </c>
      <c r="AH3247">
        <v>17.606959950299299</v>
      </c>
      <c r="AI3247">
        <v>93.564392129743993</v>
      </c>
      <c r="AJ3247">
        <v>81.494382490194894</v>
      </c>
      <c r="AK3247">
        <v>17.837271203782301</v>
      </c>
      <c r="AL3247">
        <v>86.259661606197596</v>
      </c>
      <c r="AM3247">
        <v>83.153174381425501</v>
      </c>
      <c r="AN3247">
        <v>0.999999961601858</v>
      </c>
    </row>
    <row r="3248" spans="1:40" x14ac:dyDescent="0.25">
      <c r="A3248" t="str">
        <f>"20190312151336218"</f>
        <v>20190312151336218</v>
      </c>
      <c r="B3248" t="str">
        <f>"1552374816213797"</f>
        <v>1552374816213797</v>
      </c>
      <c r="C3248" t="s">
        <v>40</v>
      </c>
      <c r="D3248">
        <v>4.4972810000000001</v>
      </c>
      <c r="E3248">
        <v>0.51068380000000002</v>
      </c>
      <c r="F3248" t="s">
        <v>54</v>
      </c>
      <c r="G3248">
        <v>-256.40320000000003</v>
      </c>
      <c r="H3248" s="1">
        <v>1.989998E-6</v>
      </c>
      <c r="I3248">
        <v>211.887</v>
      </c>
      <c r="J3248">
        <v>-274.15449999999998</v>
      </c>
      <c r="K3248">
        <v>1.108951</v>
      </c>
      <c r="L3248">
        <v>214.6</v>
      </c>
      <c r="M3248">
        <v>0.99994000000000005</v>
      </c>
      <c r="N3248">
        <v>0</v>
      </c>
      <c r="O3248">
        <v>-3.1260289999999998E-3</v>
      </c>
      <c r="P3248">
        <v>0.99099320000000002</v>
      </c>
      <c r="Q3248">
        <v>5.4788129999999997E-2</v>
      </c>
      <c r="R3248">
        <v>-0.1221912</v>
      </c>
      <c r="S3248">
        <v>2.9823909999999998</v>
      </c>
      <c r="T3248">
        <v>-0.18259110000000001</v>
      </c>
      <c r="U3248">
        <v>-0.44694519999999999</v>
      </c>
      <c r="V3248">
        <v>0.1191921</v>
      </c>
      <c r="W3248">
        <v>6.5021689999999993E-2</v>
      </c>
      <c r="X3248">
        <v>0.99073979999999995</v>
      </c>
      <c r="Y3248">
        <v>0.14485439999999999</v>
      </c>
      <c r="Z3248">
        <v>-4.2153909999999998E-3</v>
      </c>
      <c r="AA3248">
        <v>0.98944399999999999</v>
      </c>
      <c r="AB3248">
        <v>36</v>
      </c>
      <c r="AC3248">
        <v>17.751299999999901</v>
      </c>
      <c r="AD3248">
        <v>-1.1089490100020001</v>
      </c>
      <c r="AE3248">
        <v>-2.7129999999999899</v>
      </c>
      <c r="AF3248">
        <v>2.64739649396062</v>
      </c>
      <c r="AG3248">
        <v>-1.1089490100020001</v>
      </c>
      <c r="AH3248">
        <v>17.6922235744454</v>
      </c>
      <c r="AI3248">
        <v>93.547218299252194</v>
      </c>
      <c r="AJ3248">
        <v>81.489622943593602</v>
      </c>
      <c r="AK3248">
        <v>17.923539023060801</v>
      </c>
      <c r="AL3248">
        <v>86.271901343459305</v>
      </c>
      <c r="AM3248">
        <v>83.139934603785605</v>
      </c>
      <c r="AN3248">
        <v>0.99999996408845204</v>
      </c>
    </row>
    <row r="3249" spans="1:40" x14ac:dyDescent="0.25">
      <c r="A3249" t="str">
        <f>"20190312151336241"</f>
        <v>20190312151336241</v>
      </c>
      <c r="B3249" t="str">
        <f>"1552374816233317"</f>
        <v>1552374816233317</v>
      </c>
      <c r="C3249" t="s">
        <v>40</v>
      </c>
      <c r="D3249">
        <v>4.6971860000000003</v>
      </c>
      <c r="E3249">
        <v>0.51071659999999997</v>
      </c>
      <c r="F3249" t="s">
        <v>54</v>
      </c>
      <c r="G3249">
        <v>-255.8417</v>
      </c>
      <c r="H3249" s="1">
        <v>1.6933869999999901E-6</v>
      </c>
      <c r="I3249">
        <v>211.83690000000001</v>
      </c>
      <c r="J3249">
        <v>-273.78809999999999</v>
      </c>
      <c r="K3249">
        <v>1.1089469999999999</v>
      </c>
      <c r="L3249">
        <v>214.59819999999999</v>
      </c>
      <c r="M3249">
        <v>0.99993779999999999</v>
      </c>
      <c r="N3249">
        <v>0</v>
      </c>
      <c r="O3249">
        <v>-3.7633390000000001E-3</v>
      </c>
      <c r="P3249">
        <v>0.99087579999999997</v>
      </c>
      <c r="Q3249">
        <v>5.5380529999999997E-2</v>
      </c>
      <c r="R3249">
        <v>-0.12287670000000001</v>
      </c>
      <c r="S3249">
        <v>2.9818120000000001</v>
      </c>
      <c r="T3249">
        <v>-0.18056700000000001</v>
      </c>
      <c r="U3249">
        <v>-0.44990540000000001</v>
      </c>
      <c r="V3249">
        <v>0.11924700000000001</v>
      </c>
      <c r="W3249">
        <v>6.5617419999999996E-2</v>
      </c>
      <c r="X3249">
        <v>0.99069390000000002</v>
      </c>
      <c r="Y3249">
        <v>0.14521870000000001</v>
      </c>
      <c r="Z3249">
        <v>-4.141863E-3</v>
      </c>
      <c r="AA3249">
        <v>0.98939089999999996</v>
      </c>
      <c r="AB3249">
        <v>36</v>
      </c>
      <c r="AC3249">
        <v>17.946399999999901</v>
      </c>
      <c r="AD3249">
        <v>-1.1089453066129999</v>
      </c>
      <c r="AE3249">
        <v>-2.7612999999999701</v>
      </c>
      <c r="AF3249">
        <v>2.6837281424642399</v>
      </c>
      <c r="AG3249">
        <v>-1.1089453066129999</v>
      </c>
      <c r="AH3249">
        <v>17.889936479939202</v>
      </c>
      <c r="AI3249">
        <v>93.507909154852399</v>
      </c>
      <c r="AJ3249">
        <v>81.468489958277203</v>
      </c>
      <c r="AK3249">
        <v>18.1240719401566</v>
      </c>
      <c r="AL3249">
        <v>86.237695416824295</v>
      </c>
      <c r="AM3249">
        <v>83.136490035969501</v>
      </c>
      <c r="AN3249">
        <v>0.99999994815683102</v>
      </c>
    </row>
    <row r="3250" spans="1:40" x14ac:dyDescent="0.25">
      <c r="A3250" t="str">
        <f>"20190312151336263"</f>
        <v>20190312151336263</v>
      </c>
      <c r="B3250" t="str">
        <f>"1552374816253814"</f>
        <v>1552374816253814</v>
      </c>
      <c r="C3250" t="s">
        <v>40</v>
      </c>
      <c r="D3250">
        <v>4.3945740000000004</v>
      </c>
      <c r="E3250">
        <v>0.51077709999999998</v>
      </c>
      <c r="F3250" t="s">
        <v>54</v>
      </c>
      <c r="G3250">
        <v>-255.08009999999999</v>
      </c>
      <c r="H3250" s="1">
        <v>1.2914729999999999E-6</v>
      </c>
      <c r="I3250">
        <v>211.75960000000001</v>
      </c>
      <c r="J3250">
        <v>-273.43060000000003</v>
      </c>
      <c r="K3250">
        <v>1.1089519999999999</v>
      </c>
      <c r="L3250">
        <v>214.59630000000001</v>
      </c>
      <c r="M3250">
        <v>0.99993509999999997</v>
      </c>
      <c r="N3250">
        <v>0</v>
      </c>
      <c r="O3250">
        <v>-4.3844390000000004E-3</v>
      </c>
      <c r="P3250">
        <v>0.99081960000000002</v>
      </c>
      <c r="Q3250">
        <v>5.4732759999999998E-2</v>
      </c>
      <c r="R3250">
        <v>-0.12361510000000001</v>
      </c>
      <c r="S3250">
        <v>2.9814449999999999</v>
      </c>
      <c r="T3250">
        <v>-0.1767299</v>
      </c>
      <c r="U3250">
        <v>-0.45239259999999898</v>
      </c>
      <c r="V3250">
        <v>0.119369</v>
      </c>
      <c r="W3250">
        <v>6.4973149999999993E-2</v>
      </c>
      <c r="X3250">
        <v>0.99072170000000004</v>
      </c>
      <c r="Y3250">
        <v>0.145440299999999</v>
      </c>
      <c r="Z3250">
        <v>-4.0241929999999997E-3</v>
      </c>
      <c r="AA3250">
        <v>0.98935879999999998</v>
      </c>
      <c r="AB3250">
        <v>36</v>
      </c>
      <c r="AC3250">
        <v>18.3505</v>
      </c>
      <c r="AD3250">
        <v>-1.1089507085269901</v>
      </c>
      <c r="AE3250">
        <v>-2.8367</v>
      </c>
      <c r="AF3250">
        <v>2.7464158556735998</v>
      </c>
      <c r="AG3250">
        <v>-1.1089507085269901</v>
      </c>
      <c r="AH3250">
        <v>18.297499017726601</v>
      </c>
      <c r="AI3250">
        <v>93.429936059462406</v>
      </c>
      <c r="AJ3250">
        <v>81.463749629622498</v>
      </c>
      <c r="AK3250">
        <v>18.535669451895799</v>
      </c>
      <c r="AL3250">
        <v>86.274688424530197</v>
      </c>
      <c r="AM3250">
        <v>83.129726101539006</v>
      </c>
      <c r="AN3250">
        <v>0.99999997761640602</v>
      </c>
    </row>
    <row r="3251" spans="1:40" x14ac:dyDescent="0.25">
      <c r="A3251" t="str">
        <f>"20190312151336286"</f>
        <v>20190312151336286</v>
      </c>
      <c r="B3251" t="str">
        <f>"1552374816283094"</f>
        <v>1552374816283094</v>
      </c>
      <c r="C3251" t="s">
        <v>40</v>
      </c>
      <c r="D3251">
        <v>4.3948589999999896</v>
      </c>
      <c r="E3251">
        <v>0.51086999999999905</v>
      </c>
      <c r="F3251" t="s">
        <v>54</v>
      </c>
      <c r="G3251">
        <v>-254.74930000000001</v>
      </c>
      <c r="H3251" s="1">
        <v>1.116139E-6</v>
      </c>
      <c r="I3251">
        <v>211.74289999999999</v>
      </c>
      <c r="J3251">
        <v>-273.05029999999999</v>
      </c>
      <c r="K3251">
        <v>1.108954</v>
      </c>
      <c r="L3251">
        <v>214.59399999999999</v>
      </c>
      <c r="M3251">
        <v>0.99993189999999998</v>
      </c>
      <c r="N3251">
        <v>0</v>
      </c>
      <c r="O3251">
        <v>-5.0455949999999999E-3</v>
      </c>
      <c r="P3251">
        <v>0.99070979999999997</v>
      </c>
      <c r="Q3251">
        <v>5.5078639999999998E-2</v>
      </c>
      <c r="R3251">
        <v>-0.1243392</v>
      </c>
      <c r="S3251">
        <v>2.9807739999999998</v>
      </c>
      <c r="T3251">
        <v>-0.17694279999999901</v>
      </c>
      <c r="U3251">
        <v>-0.45529170000000002</v>
      </c>
      <c r="V3251">
        <v>0.1194389</v>
      </c>
      <c r="W3251">
        <v>6.5322420000000006E-2</v>
      </c>
      <c r="X3251">
        <v>0.99069039999999997</v>
      </c>
      <c r="Y3251">
        <v>0.14575969999999999</v>
      </c>
      <c r="Z3251">
        <v>-4.0000690000000002E-3</v>
      </c>
      <c r="AA3251">
        <v>0.98931190000000002</v>
      </c>
      <c r="AB3251">
        <v>36</v>
      </c>
      <c r="AC3251">
        <v>18.300999999999899</v>
      </c>
      <c r="AD3251">
        <v>-1.1089528838609899</v>
      </c>
      <c r="AE3251">
        <v>-2.8511000000000299</v>
      </c>
      <c r="AF3251">
        <v>2.74886509254749</v>
      </c>
      <c r="AG3251">
        <v>-1.1089528838609899</v>
      </c>
      <c r="AH3251">
        <v>18.2497321186442</v>
      </c>
      <c r="AI3251">
        <v>93.438632933696297</v>
      </c>
      <c r="AJ3251">
        <v>81.434218214981399</v>
      </c>
      <c r="AK3251">
        <v>18.4888820159014</v>
      </c>
      <c r="AL3251">
        <v>86.254634467072094</v>
      </c>
      <c r="AM3251">
        <v>83.125526390076701</v>
      </c>
      <c r="AN3251">
        <v>1.0000000690200099</v>
      </c>
    </row>
    <row r="3252" spans="1:40" x14ac:dyDescent="0.25">
      <c r="A3252" t="str">
        <f>"20190312151336309"</f>
        <v>20190312151336309</v>
      </c>
      <c r="B3252" t="str">
        <f>"1552374816303590"</f>
        <v>1552374816303590</v>
      </c>
      <c r="C3252" t="s">
        <v>40</v>
      </c>
      <c r="D3252">
        <v>4.4272260000000001</v>
      </c>
      <c r="E3252">
        <v>0.510826</v>
      </c>
      <c r="F3252" t="s">
        <v>54</v>
      </c>
      <c r="G3252">
        <v>-254.20230000000001</v>
      </c>
      <c r="H3252" s="1">
        <v>8.2708109999999898E-7</v>
      </c>
      <c r="I3252">
        <v>211.6962</v>
      </c>
      <c r="J3252">
        <v>-272.6737</v>
      </c>
      <c r="K3252">
        <v>1.108951</v>
      </c>
      <c r="L3252">
        <v>214.5915</v>
      </c>
      <c r="M3252">
        <v>0.99992840000000005</v>
      </c>
      <c r="N3252">
        <v>0</v>
      </c>
      <c r="O3252">
        <v>-5.6999549999999996E-3</v>
      </c>
      <c r="P3252">
        <v>0.99058729999999995</v>
      </c>
      <c r="Q3252">
        <v>5.521649E-2</v>
      </c>
      <c r="R3252">
        <v>-0.12525249999999999</v>
      </c>
      <c r="S3252">
        <v>2.9804080000000002</v>
      </c>
      <c r="T3252">
        <v>-0.17535709999999999</v>
      </c>
      <c r="U3252">
        <v>-0.4582214</v>
      </c>
      <c r="V3252">
        <v>0.1197044</v>
      </c>
      <c r="W3252">
        <v>6.5463240000000006E-2</v>
      </c>
      <c r="X3252">
        <v>0.990649</v>
      </c>
      <c r="Y3252">
        <v>0.1460854</v>
      </c>
      <c r="Z3252">
        <v>-3.9357530000000002E-3</v>
      </c>
      <c r="AA3252">
        <v>0.98926409999999998</v>
      </c>
      <c r="AB3252">
        <v>36</v>
      </c>
      <c r="AC3252">
        <v>18.4713999999999</v>
      </c>
      <c r="AD3252">
        <v>-1.1089501729189</v>
      </c>
      <c r="AE3252">
        <v>-2.89529999999999</v>
      </c>
      <c r="AF3252">
        <v>2.7801805924682799</v>
      </c>
      <c r="AG3252">
        <v>-1.1089501729189</v>
      </c>
      <c r="AH3252">
        <v>18.422794385274798</v>
      </c>
      <c r="AI3252">
        <v>93.406256097639798</v>
      </c>
      <c r="AJ3252">
        <v>81.418259426540999</v>
      </c>
      <c r="AK3252">
        <v>18.664365180066198</v>
      </c>
      <c r="AL3252">
        <v>86.2465485481641</v>
      </c>
      <c r="AM3252">
        <v>83.110106727100899</v>
      </c>
      <c r="AN3252">
        <v>1.00000001018582</v>
      </c>
    </row>
    <row r="3253" spans="1:40" x14ac:dyDescent="0.25">
      <c r="A3253" t="str">
        <f>"20190312151336330"</f>
        <v>20190312151336330</v>
      </c>
      <c r="B3253" t="str">
        <f>"1552374816323110"</f>
        <v>1552374816323110</v>
      </c>
      <c r="C3253" t="s">
        <v>40</v>
      </c>
      <c r="D3253">
        <v>4.4256869999999999</v>
      </c>
      <c r="E3253">
        <v>0.51083900000000004</v>
      </c>
      <c r="F3253" t="s">
        <v>54</v>
      </c>
      <c r="G3253">
        <v>-253.95590000000001</v>
      </c>
      <c r="H3253" s="1">
        <v>6.9589739999999997E-7</v>
      </c>
      <c r="I3253">
        <v>211.69810000000001</v>
      </c>
      <c r="J3253">
        <v>-272.32229999999998</v>
      </c>
      <c r="K3253">
        <v>1.1089530000000001</v>
      </c>
      <c r="L3253">
        <v>214.5889</v>
      </c>
      <c r="M3253">
        <v>0.9999247</v>
      </c>
      <c r="N3253">
        <v>0</v>
      </c>
      <c r="O3253">
        <v>-6.3103259999999998E-3</v>
      </c>
      <c r="P3253">
        <v>0.99048939999999996</v>
      </c>
      <c r="Q3253">
        <v>5.5576470000000003E-2</v>
      </c>
      <c r="R3253">
        <v>-0.12586639999999999</v>
      </c>
      <c r="S3253">
        <v>2.9801030000000002</v>
      </c>
      <c r="T3253">
        <v>-0.17655860000000001</v>
      </c>
      <c r="U3253">
        <v>-0.46066279999999998</v>
      </c>
      <c r="V3253">
        <v>0.1197143</v>
      </c>
      <c r="W3253">
        <v>6.5826289999999996E-2</v>
      </c>
      <c r="X3253">
        <v>0.9906237</v>
      </c>
      <c r="Y3253">
        <v>0.14628579999999999</v>
      </c>
      <c r="Z3253">
        <v>-3.9328159999999996E-3</v>
      </c>
      <c r="AA3253">
        <v>0.98923459999999996</v>
      </c>
      <c r="AB3253">
        <v>36</v>
      </c>
      <c r="AC3253">
        <v>18.366399999999899</v>
      </c>
      <c r="AD3253">
        <v>-1.1089523041025999</v>
      </c>
      <c r="AE3253">
        <v>-2.8907999999999801</v>
      </c>
      <c r="AF3253">
        <v>2.76500144325929</v>
      </c>
      <c r="AG3253">
        <v>-1.1089523041025999</v>
      </c>
      <c r="AH3253">
        <v>18.3191062318764</v>
      </c>
      <c r="AI3253">
        <v>93.425483774262702</v>
      </c>
      <c r="AJ3253">
        <v>81.416827025636806</v>
      </c>
      <c r="AK3253">
        <v>18.559759193717198</v>
      </c>
      <c r="AL3253">
        <v>86.225702178905806</v>
      </c>
      <c r="AM3253">
        <v>83.109368098577704</v>
      </c>
      <c r="AN3253">
        <v>0.99999996454067097</v>
      </c>
    </row>
    <row r="3254" spans="1:40" x14ac:dyDescent="0.25">
      <c r="A3254" t="str">
        <f>"20190312151336352"</f>
        <v>20190312151336352</v>
      </c>
      <c r="B3254" t="str">
        <f>"1552374816343605"</f>
        <v>1552374816343605</v>
      </c>
      <c r="C3254" t="s">
        <v>40</v>
      </c>
      <c r="D3254">
        <v>4.4128949999999998</v>
      </c>
      <c r="E3254">
        <v>0.51096370000000002</v>
      </c>
      <c r="F3254" t="s">
        <v>54</v>
      </c>
      <c r="G3254">
        <v>-253.61259999999999</v>
      </c>
      <c r="H3254" s="1">
        <v>5.1381890000000001E-7</v>
      </c>
      <c r="I3254">
        <v>211.68430000000001</v>
      </c>
      <c r="J3254">
        <v>-271.97710000000001</v>
      </c>
      <c r="K3254">
        <v>1.1089519999999999</v>
      </c>
      <c r="L3254">
        <v>214.58619999999999</v>
      </c>
      <c r="M3254">
        <v>0.9999207</v>
      </c>
      <c r="N3254">
        <v>0</v>
      </c>
      <c r="O3254">
        <v>-6.9096110000000004E-3</v>
      </c>
      <c r="P3254">
        <v>0.990448</v>
      </c>
      <c r="Q3254">
        <v>5.5530280000000001E-2</v>
      </c>
      <c r="R3254">
        <v>-0.12621189999999999</v>
      </c>
      <c r="S3254">
        <v>2.9798580000000001</v>
      </c>
      <c r="T3254">
        <v>-0.17662050000000001</v>
      </c>
      <c r="U3254">
        <v>-0.46261600000000003</v>
      </c>
      <c r="V3254">
        <v>0.11946610000000001</v>
      </c>
      <c r="W3254">
        <v>6.5784419999999996E-2</v>
      </c>
      <c r="X3254">
        <v>0.99065650000000005</v>
      </c>
      <c r="Y3254">
        <v>0.1463392</v>
      </c>
      <c r="Z3254">
        <v>-3.9006119999999999E-3</v>
      </c>
      <c r="AA3254">
        <v>0.98922679999999996</v>
      </c>
      <c r="AB3254">
        <v>36</v>
      </c>
      <c r="AC3254">
        <v>18.3645</v>
      </c>
      <c r="AD3254">
        <v>-1.1089514861810901</v>
      </c>
      <c r="AE3254">
        <v>-2.9018999999999799</v>
      </c>
      <c r="AF3254">
        <v>2.7650950571938799</v>
      </c>
      <c r="AG3254">
        <v>-1.1089514861810901</v>
      </c>
      <c r="AH3254">
        <v>18.3189423684024</v>
      </c>
      <c r="AI3254">
        <v>93.425508563748807</v>
      </c>
      <c r="AJ3254">
        <v>81.416465120096902</v>
      </c>
      <c r="AK3254">
        <v>18.559611352904799</v>
      </c>
      <c r="AL3254">
        <v>86.228106573809995</v>
      </c>
      <c r="AM3254">
        <v>83.123742799510296</v>
      </c>
      <c r="AN3254">
        <v>1.0000000199780901</v>
      </c>
    </row>
    <row r="3255" spans="1:40" x14ac:dyDescent="0.25">
      <c r="A3255" t="str">
        <f>"20190312151336374"</f>
        <v>20190312151336374</v>
      </c>
      <c r="B3255" t="str">
        <f>"1552374816363126"</f>
        <v>1552374816363126</v>
      </c>
      <c r="C3255" t="s">
        <v>40</v>
      </c>
      <c r="D3255">
        <v>4.4107890000000003</v>
      </c>
      <c r="E3255">
        <v>0.51918500000000001</v>
      </c>
      <c r="F3255" t="s">
        <v>54</v>
      </c>
      <c r="G3255">
        <v>-253.27690000000001</v>
      </c>
      <c r="H3255" s="1">
        <v>3.3588460000000002E-7</v>
      </c>
      <c r="I3255">
        <v>211.66839999999999</v>
      </c>
      <c r="J3255">
        <v>-271.61430000000001</v>
      </c>
      <c r="K3255">
        <v>1.108951</v>
      </c>
      <c r="L3255">
        <v>214.5831</v>
      </c>
      <c r="M3255">
        <v>0.99991609999999997</v>
      </c>
      <c r="N3255">
        <v>0</v>
      </c>
      <c r="O3255">
        <v>-7.5395339999999996E-3</v>
      </c>
      <c r="P3255">
        <v>0.99036159999999995</v>
      </c>
      <c r="Q3255">
        <v>5.5412889999999999E-2</v>
      </c>
      <c r="R3255">
        <v>-0.1269401</v>
      </c>
      <c r="S3255">
        <v>2.979584</v>
      </c>
      <c r="T3255">
        <v>-0.17669389999999999</v>
      </c>
      <c r="U3255">
        <v>-0.46490480000000001</v>
      </c>
      <c r="V3255">
        <v>0.1195705</v>
      </c>
      <c r="W3255">
        <v>6.5669749999999999E-2</v>
      </c>
      <c r="X3255">
        <v>0.99065150000000002</v>
      </c>
      <c r="Y3255">
        <v>0.1464724</v>
      </c>
      <c r="Z3255">
        <v>-3.869192E-3</v>
      </c>
      <c r="AA3255">
        <v>0.98920719999999995</v>
      </c>
      <c r="AB3255">
        <v>36</v>
      </c>
      <c r="AC3255">
        <v>18.337399999999999</v>
      </c>
      <c r="AD3255">
        <v>-1.1089506641153899</v>
      </c>
      <c r="AE3255">
        <v>-2.9147000000000101</v>
      </c>
      <c r="AF3255">
        <v>2.76648574730303</v>
      </c>
      <c r="AG3255">
        <v>-1.1089506641153899</v>
      </c>
      <c r="AH3255">
        <v>18.293600686601302</v>
      </c>
      <c r="AI3255">
        <v>93.430095860201504</v>
      </c>
      <c r="AJ3255">
        <v>81.400493709893297</v>
      </c>
      <c r="AK3255">
        <v>18.5348062047137</v>
      </c>
      <c r="AL3255">
        <v>86.234690871385098</v>
      </c>
      <c r="AM3255">
        <v>83.117756926297702</v>
      </c>
      <c r="AN3255">
        <v>1.00000000749378</v>
      </c>
    </row>
    <row r="3256" spans="1:40" x14ac:dyDescent="0.25">
      <c r="A3256" t="str">
        <f>"20190312151336397"</f>
        <v>20190312151336397</v>
      </c>
      <c r="B3256" t="str">
        <f>"1552374816393382"</f>
        <v>1552374816393382</v>
      </c>
      <c r="C3256" t="s">
        <v>40</v>
      </c>
      <c r="D3256">
        <v>4.5594669999999997</v>
      </c>
      <c r="E3256">
        <v>0.51728390000000002</v>
      </c>
      <c r="F3256" t="s">
        <v>54</v>
      </c>
      <c r="G3256">
        <v>-252.22669999999999</v>
      </c>
      <c r="H3256" s="1">
        <v>-1.9862879999999999E-7</v>
      </c>
      <c r="I3256">
        <v>211.11160000000001</v>
      </c>
      <c r="J3256">
        <v>-271.25689999999997</v>
      </c>
      <c r="K3256">
        <v>1.108948</v>
      </c>
      <c r="L3256">
        <v>214.57980000000001</v>
      </c>
      <c r="M3256">
        <v>0.99991110000000005</v>
      </c>
      <c r="N3256">
        <v>0</v>
      </c>
      <c r="O3256">
        <v>-8.1600490000000008E-3</v>
      </c>
      <c r="P3256">
        <v>0.99025600000000003</v>
      </c>
      <c r="Q3256">
        <v>5.5696679999999998E-2</v>
      </c>
      <c r="R3256">
        <v>-0.1276351</v>
      </c>
      <c r="S3256">
        <v>2.9704899999999999</v>
      </c>
      <c r="T3256">
        <v>-0.16990920000000001</v>
      </c>
      <c r="U3256">
        <v>-0.53189090000000006</v>
      </c>
      <c r="V3256">
        <v>0.11965190000000001</v>
      </c>
      <c r="W3256">
        <v>6.5959039999999997E-2</v>
      </c>
      <c r="X3256">
        <v>0.99062249999999996</v>
      </c>
      <c r="Y3256">
        <v>0.16796349999999999</v>
      </c>
      <c r="Z3256">
        <v>-4.2993450000000004E-3</v>
      </c>
      <c r="AA3256">
        <v>0.98578379999999999</v>
      </c>
      <c r="AB3256">
        <v>36</v>
      </c>
      <c r="AC3256">
        <v>19.030199999999901</v>
      </c>
      <c r="AD3256">
        <v>-1.1089481986287999</v>
      </c>
      <c r="AE3256">
        <v>-3.4681999999999902</v>
      </c>
      <c r="AF3256">
        <v>3.30193640720185</v>
      </c>
      <c r="AG3256">
        <v>-1.1089481986287999</v>
      </c>
      <c r="AH3256">
        <v>18.995438381946201</v>
      </c>
      <c r="AI3256">
        <v>93.291866162901201</v>
      </c>
      <c r="AJ3256">
        <v>80.138930483301195</v>
      </c>
      <c r="AK3256">
        <v>19.312152377887902</v>
      </c>
      <c r="AL3256">
        <v>86.218079939792702</v>
      </c>
      <c r="AM3256">
        <v>83.112917010359695</v>
      </c>
      <c r="AN3256">
        <v>1.00000005481878</v>
      </c>
    </row>
    <row r="3257" spans="1:40" x14ac:dyDescent="0.25">
      <c r="A3257" t="str">
        <f>"20190312151336419"</f>
        <v>20190312151336419</v>
      </c>
      <c r="B3257" t="str">
        <f>"1552374816413878"</f>
        <v>1552374816413878</v>
      </c>
      <c r="C3257" t="s">
        <v>40</v>
      </c>
      <c r="D3257">
        <v>4.4104590000000004</v>
      </c>
      <c r="E3257">
        <v>0.5185575</v>
      </c>
      <c r="F3257" t="s">
        <v>54</v>
      </c>
      <c r="G3257">
        <v>-242.87</v>
      </c>
      <c r="H3257">
        <v>8.3574140000000005E-3</v>
      </c>
      <c r="I3257">
        <v>209.6163</v>
      </c>
      <c r="J3257">
        <v>-270.88299999999998</v>
      </c>
      <c r="K3257">
        <v>1.1089439999999999</v>
      </c>
      <c r="L3257">
        <v>214.5762</v>
      </c>
      <c r="M3257">
        <v>0.99990559999999995</v>
      </c>
      <c r="N3257">
        <v>0</v>
      </c>
      <c r="O3257">
        <v>-8.8092050000000005E-3</v>
      </c>
      <c r="P3257">
        <v>0.99017359999999999</v>
      </c>
      <c r="Q3257">
        <v>5.5738839999999998E-2</v>
      </c>
      <c r="R3257">
        <v>-0.12825719999999999</v>
      </c>
      <c r="S3257">
        <v>2.9690859999999999</v>
      </c>
      <c r="T3257">
        <v>-0.11511490000000001</v>
      </c>
      <c r="U3257">
        <v>-0.51914979999999999</v>
      </c>
      <c r="V3257">
        <v>0.1196311</v>
      </c>
      <c r="W3257">
        <v>6.6011849999999997E-2</v>
      </c>
      <c r="X3257">
        <v>0.99062139999999999</v>
      </c>
      <c r="Y3257">
        <v>0.16344120000000001</v>
      </c>
      <c r="Z3257">
        <v>-2.8045969999999998E-3</v>
      </c>
      <c r="AA3257">
        <v>0.98654909999999996</v>
      </c>
      <c r="AB3257">
        <v>36</v>
      </c>
      <c r="AC3257">
        <v>28.012999999999899</v>
      </c>
      <c r="AD3257">
        <v>-1.1005865859999999</v>
      </c>
      <c r="AE3257">
        <v>-4.9599000000000002</v>
      </c>
      <c r="AF3257">
        <v>4.7058784407366101</v>
      </c>
      <c r="AG3257">
        <v>-1.1005865859999999</v>
      </c>
      <c r="AH3257">
        <v>28.013681144877999</v>
      </c>
      <c r="AI3257">
        <v>92.218792506039193</v>
      </c>
      <c r="AJ3257">
        <v>80.464199664460196</v>
      </c>
      <c r="AK3257">
        <v>28.427502774939001</v>
      </c>
      <c r="AL3257">
        <v>86.215047186444096</v>
      </c>
      <c r="AM3257">
        <v>83.114095175619894</v>
      </c>
      <c r="AN3257">
        <v>0.999999961282795</v>
      </c>
    </row>
    <row r="3258" spans="1:40" x14ac:dyDescent="0.25">
      <c r="A3258" t="str">
        <f>"20190312151336442"</f>
        <v>20190312151336442</v>
      </c>
      <c r="B3258" t="str">
        <f>"1552374816433398"</f>
        <v>1552374816433398</v>
      </c>
      <c r="C3258" t="s">
        <v>40</v>
      </c>
      <c r="D3258">
        <v>4.4330220000000002</v>
      </c>
      <c r="E3258">
        <v>0.51881690000000003</v>
      </c>
      <c r="F3258" t="s">
        <v>54</v>
      </c>
      <c r="G3258">
        <v>-243.17769999999999</v>
      </c>
      <c r="H3258">
        <v>4.0636329999999998E-2</v>
      </c>
      <c r="I3258">
        <v>209.6163</v>
      </c>
      <c r="J3258">
        <v>-270.5095</v>
      </c>
      <c r="K3258">
        <v>1.108943</v>
      </c>
      <c r="L3258">
        <v>214.57230000000001</v>
      </c>
      <c r="M3258">
        <v>0.99989939999999999</v>
      </c>
      <c r="N3258">
        <v>0</v>
      </c>
      <c r="O3258">
        <v>-9.4570660000000001E-3</v>
      </c>
      <c r="P3258">
        <v>0.99006959999999999</v>
      </c>
      <c r="Q3258">
        <v>5.6125340000000003E-2</v>
      </c>
      <c r="R3258">
        <v>-0.1288879</v>
      </c>
      <c r="S3258">
        <v>2.967438</v>
      </c>
      <c r="T3258">
        <v>-0.114423499999999</v>
      </c>
      <c r="U3258">
        <v>-0.53123469999999995</v>
      </c>
      <c r="V3258">
        <v>0.1196213</v>
      </c>
      <c r="W3258">
        <v>6.6411049999999999E-2</v>
      </c>
      <c r="X3258">
        <v>0.99059589999999997</v>
      </c>
      <c r="Y3258">
        <v>0.1667891</v>
      </c>
      <c r="Z3258">
        <v>-2.827558E-3</v>
      </c>
      <c r="AA3258">
        <v>0.98598859999999999</v>
      </c>
      <c r="AB3258">
        <v>36</v>
      </c>
      <c r="AC3258">
        <v>27.331800000000001</v>
      </c>
      <c r="AD3258">
        <v>-1.0683066699999999</v>
      </c>
      <c r="AE3258">
        <v>-4.9560000000000102</v>
      </c>
      <c r="AF3258">
        <v>4.6903476429468904</v>
      </c>
      <c r="AG3258">
        <v>-1.0683066699999999</v>
      </c>
      <c r="AH3258">
        <v>27.337014509089201</v>
      </c>
      <c r="AI3258">
        <v>92.205732160328196</v>
      </c>
      <c r="AJ3258">
        <v>80.264272690245704</v>
      </c>
      <c r="AK3258">
        <v>27.757035187912599</v>
      </c>
      <c r="AL3258">
        <v>86.192124404048997</v>
      </c>
      <c r="AM3258">
        <v>83.114478301734806</v>
      </c>
      <c r="AN3258">
        <v>0.99999996003629998</v>
      </c>
    </row>
    <row r="3259" spans="1:40" x14ac:dyDescent="0.25">
      <c r="A3259" t="str">
        <f>"20190312151336464"</f>
        <v>20190312151336464</v>
      </c>
      <c r="B3259" t="str">
        <f>"1552374816453894"</f>
        <v>1552374816453894</v>
      </c>
      <c r="C3259" t="s">
        <v>40</v>
      </c>
      <c r="D3259">
        <v>4.4325650000000003</v>
      </c>
      <c r="E3259">
        <v>0.51902769999999998</v>
      </c>
      <c r="F3259" t="s">
        <v>54</v>
      </c>
      <c r="G3259">
        <v>-242.9726</v>
      </c>
      <c r="H3259">
        <v>6.4423110000000006E-2</v>
      </c>
      <c r="I3259">
        <v>209.6019</v>
      </c>
      <c r="J3259">
        <v>-270.15190000000001</v>
      </c>
      <c r="K3259">
        <v>1.10894</v>
      </c>
      <c r="L3259">
        <v>214.56829999999999</v>
      </c>
      <c r="M3259">
        <v>0.99989340000000004</v>
      </c>
      <c r="N3259">
        <v>0</v>
      </c>
      <c r="O3259">
        <v>-1.0077030000000001E-2</v>
      </c>
      <c r="P3259">
        <v>0.98991289999999998</v>
      </c>
      <c r="Q3259">
        <v>5.6101909999999998E-2</v>
      </c>
      <c r="R3259">
        <v>-0.13009799999999999</v>
      </c>
      <c r="S3259">
        <v>2.966736</v>
      </c>
      <c r="T3259">
        <v>-0.1125332</v>
      </c>
      <c r="U3259">
        <v>-0.53549190000000002</v>
      </c>
      <c r="V3259">
        <v>0.12021850000000001</v>
      </c>
      <c r="W3259">
        <v>6.6397709999999999E-2</v>
      </c>
      <c r="X3259">
        <v>0.99052450000000003</v>
      </c>
      <c r="Y3259">
        <v>0.1675924</v>
      </c>
      <c r="Z3259">
        <v>-2.7729730000000002E-3</v>
      </c>
      <c r="AA3259">
        <v>0.98585250000000002</v>
      </c>
      <c r="AB3259">
        <v>36</v>
      </c>
      <c r="AC3259">
        <v>27.179300000000001</v>
      </c>
      <c r="AD3259">
        <v>-1.0445168899999999</v>
      </c>
      <c r="AE3259">
        <v>-4.9663999999999904</v>
      </c>
      <c r="AF3259">
        <v>4.6855493459447297</v>
      </c>
      <c r="AG3259">
        <v>-1.0445168899999999</v>
      </c>
      <c r="AH3259">
        <v>27.189110736144599</v>
      </c>
      <c r="AI3259">
        <v>92.168107173782403</v>
      </c>
      <c r="AJ3259">
        <v>80.222153321030703</v>
      </c>
      <c r="AK3259">
        <v>27.609656477926499</v>
      </c>
      <c r="AL3259">
        <v>86.192890437050195</v>
      </c>
      <c r="AM3259">
        <v>83.079941384994399</v>
      </c>
      <c r="AN3259">
        <v>0.99999996436787097</v>
      </c>
    </row>
    <row r="3260" spans="1:40" x14ac:dyDescent="0.25">
      <c r="A3260" t="str">
        <f>"20190312151336488"</f>
        <v>20190312151336488</v>
      </c>
      <c r="B3260" t="str">
        <f>"1552374816483173"</f>
        <v>1552374816483173</v>
      </c>
      <c r="C3260" t="s">
        <v>40</v>
      </c>
      <c r="D3260">
        <v>4.4325830000000002</v>
      </c>
      <c r="E3260">
        <v>0.51929040000000004</v>
      </c>
      <c r="F3260" t="s">
        <v>54</v>
      </c>
      <c r="G3260">
        <v>-242.91329999999999</v>
      </c>
      <c r="H3260">
        <v>6.5048910000000001E-2</v>
      </c>
      <c r="I3260">
        <v>209.60130000000001</v>
      </c>
      <c r="J3260">
        <v>-269.77929999999998</v>
      </c>
      <c r="K3260">
        <v>1.108938</v>
      </c>
      <c r="L3260">
        <v>214.56389999999999</v>
      </c>
      <c r="M3260">
        <v>0.99988630000000001</v>
      </c>
      <c r="N3260">
        <v>0</v>
      </c>
      <c r="O3260">
        <v>-1.0723099999999999E-2</v>
      </c>
      <c r="P3260">
        <v>0.98985959999999995</v>
      </c>
      <c r="Q3260">
        <v>5.5520939999999998E-2</v>
      </c>
      <c r="R3260">
        <v>-0.1307497</v>
      </c>
      <c r="S3260">
        <v>2.9659420000000001</v>
      </c>
      <c r="T3260">
        <v>-0.1136668</v>
      </c>
      <c r="U3260">
        <v>-0.54084779999999999</v>
      </c>
      <c r="V3260">
        <v>0.12022969999999999</v>
      </c>
      <c r="W3260">
        <v>6.5828680000000001E-2</v>
      </c>
      <c r="X3260">
        <v>0.99056120000000003</v>
      </c>
      <c r="Y3260">
        <v>0.16872229999999999</v>
      </c>
      <c r="Z3260">
        <v>-2.7981049999999999E-3</v>
      </c>
      <c r="AA3260">
        <v>0.98565970000000003</v>
      </c>
      <c r="AB3260">
        <v>37</v>
      </c>
      <c r="AC3260">
        <v>26.8659999999999</v>
      </c>
      <c r="AD3260">
        <v>-1.04388909</v>
      </c>
      <c r="AE3260">
        <v>-4.9625999999999797</v>
      </c>
      <c r="AF3260">
        <v>4.6673975833515797</v>
      </c>
      <c r="AG3260">
        <v>-1.04388909</v>
      </c>
      <c r="AH3260">
        <v>26.878432043059199</v>
      </c>
      <c r="AI3260">
        <v>92.191342194882196</v>
      </c>
      <c r="AJ3260">
        <v>80.148909728529006</v>
      </c>
      <c r="AK3260">
        <v>27.300630280758099</v>
      </c>
      <c r="AL3260">
        <v>86.225565242443594</v>
      </c>
      <c r="AM3260">
        <v>83.0795568621174</v>
      </c>
      <c r="AN3260">
        <v>1.0000000434090299</v>
      </c>
    </row>
    <row r="3261" spans="1:40" x14ac:dyDescent="0.25">
      <c r="A3261" t="str">
        <f>"20190312151336512"</f>
        <v>20190312151336512</v>
      </c>
      <c r="B3261" t="str">
        <f>"1552374816503669"</f>
        <v>1552374816503669</v>
      </c>
      <c r="C3261" t="s">
        <v>40</v>
      </c>
      <c r="D3261">
        <v>4.4323739999999896</v>
      </c>
      <c r="E3261">
        <v>0.51936289999999996</v>
      </c>
      <c r="F3261" t="s">
        <v>54</v>
      </c>
      <c r="G3261">
        <v>-242.7807</v>
      </c>
      <c r="H3261">
        <v>6.3114130000000004E-2</v>
      </c>
      <c r="I3261">
        <v>209.60319999999999</v>
      </c>
      <c r="J3261">
        <v>-269.3768</v>
      </c>
      <c r="K3261">
        <v>1.108938</v>
      </c>
      <c r="L3261">
        <v>214.559</v>
      </c>
      <c r="M3261">
        <v>0.99987870000000001</v>
      </c>
      <c r="N3261">
        <v>0</v>
      </c>
      <c r="O3261">
        <v>-1.1420659999999999E-2</v>
      </c>
      <c r="P3261">
        <v>0.98975369999999996</v>
      </c>
      <c r="Q3261">
        <v>5.5269980000000003E-2</v>
      </c>
      <c r="R3261">
        <v>-0.13165560000000001</v>
      </c>
      <c r="S3261">
        <v>2.9652099999999999</v>
      </c>
      <c r="T3261">
        <v>-0.114861</v>
      </c>
      <c r="U3261">
        <v>-0.54483029999999999</v>
      </c>
      <c r="V3261">
        <v>0.120445</v>
      </c>
      <c r="W3261">
        <v>6.5589819999999993E-2</v>
      </c>
      <c r="X3261">
        <v>0.99055079999999995</v>
      </c>
      <c r="Y3261">
        <v>0.16935610000000001</v>
      </c>
      <c r="Z3261">
        <v>-2.8132270000000002E-3</v>
      </c>
      <c r="AA3261">
        <v>0.98555090000000001</v>
      </c>
      <c r="AB3261">
        <v>37</v>
      </c>
      <c r="AC3261">
        <v>26.5961</v>
      </c>
      <c r="AD3261">
        <v>-1.04582387</v>
      </c>
      <c r="AE3261">
        <v>-4.9558000000000302</v>
      </c>
      <c r="AF3261">
        <v>4.6447736998078097</v>
      </c>
      <c r="AG3261">
        <v>-1.04582387</v>
      </c>
      <c r="AH3261">
        <v>26.611199984783099</v>
      </c>
      <c r="AI3261">
        <v>92.217089765041095</v>
      </c>
      <c r="AJ3261">
        <v>80.099214764261205</v>
      </c>
      <c r="AK3261">
        <v>27.033749923375598</v>
      </c>
      <c r="AL3261">
        <v>86.239280219980401</v>
      </c>
      <c r="AM3261">
        <v>83.067212574463397</v>
      </c>
      <c r="AN3261">
        <v>0.99999995494663496</v>
      </c>
    </row>
    <row r="3262" spans="1:40" x14ac:dyDescent="0.25">
      <c r="A3262" t="str">
        <f>"20190312151336535"</f>
        <v>20190312151336535</v>
      </c>
      <c r="B3262" t="str">
        <f>"1552374816523190"</f>
        <v>1552374816523190</v>
      </c>
      <c r="C3262" t="s">
        <v>40</v>
      </c>
      <c r="D3262">
        <v>4.4344869999999998</v>
      </c>
      <c r="E3262">
        <v>0.51949789999999996</v>
      </c>
      <c r="F3262" t="s">
        <v>54</v>
      </c>
      <c r="G3262">
        <v>-242.60050000000001</v>
      </c>
      <c r="H3262">
        <v>5.8893479999999998E-2</v>
      </c>
      <c r="I3262">
        <v>209.60740000000001</v>
      </c>
      <c r="J3262">
        <v>-268.98009999999999</v>
      </c>
      <c r="K3262">
        <v>1.108943</v>
      </c>
      <c r="L3262">
        <v>214.5538</v>
      </c>
      <c r="M3262">
        <v>0.99987040000000005</v>
      </c>
      <c r="N3262">
        <v>0</v>
      </c>
      <c r="O3262">
        <v>-1.2108209999999999E-2</v>
      </c>
      <c r="P3262">
        <v>0.98958590000000002</v>
      </c>
      <c r="Q3262">
        <v>5.5693260000000001E-2</v>
      </c>
      <c r="R3262">
        <v>-0.13273370000000001</v>
      </c>
      <c r="S3262">
        <v>2.964661</v>
      </c>
      <c r="T3262">
        <v>-0.1162603</v>
      </c>
      <c r="U3262">
        <v>-0.54823299999999997</v>
      </c>
      <c r="V3262">
        <v>0.1208442</v>
      </c>
      <c r="W3262">
        <v>6.6022810000000001E-2</v>
      </c>
      <c r="X3262">
        <v>0.99047339999999995</v>
      </c>
      <c r="Y3262">
        <v>0.16980219999999999</v>
      </c>
      <c r="Z3262">
        <v>-2.8296580000000001E-3</v>
      </c>
      <c r="AA3262">
        <v>0.98547410000000002</v>
      </c>
      <c r="AB3262">
        <v>37</v>
      </c>
      <c r="AC3262">
        <v>26.3795999999999</v>
      </c>
      <c r="AD3262">
        <v>-1.05004952</v>
      </c>
      <c r="AE3262">
        <v>-4.9463999999999801</v>
      </c>
      <c r="AF3262">
        <v>4.61953873937808</v>
      </c>
      <c r="AG3262">
        <v>-1.05004952</v>
      </c>
      <c r="AH3262">
        <v>26.397156584669201</v>
      </c>
      <c r="AI3262">
        <v>92.243895931513705</v>
      </c>
      <c r="AJ3262">
        <v>80.073677966380302</v>
      </c>
      <c r="AK3262">
        <v>26.818885471149098</v>
      </c>
      <c r="AL3262">
        <v>86.2144177866669</v>
      </c>
      <c r="AM3262">
        <v>83.043921222618707</v>
      </c>
      <c r="AN3262">
        <v>0.999999944110746</v>
      </c>
    </row>
    <row r="3263" spans="1:40" x14ac:dyDescent="0.25">
      <c r="A3263" t="str">
        <f>"20190312151336553"</f>
        <v>20190312151336553</v>
      </c>
      <c r="B3263" t="str">
        <f>"1552374816543686"</f>
        <v>1552374816543686</v>
      </c>
      <c r="C3263" t="s">
        <v>40</v>
      </c>
      <c r="D3263">
        <v>4.417789</v>
      </c>
      <c r="E3263">
        <v>0.52037069999999996</v>
      </c>
      <c r="F3263" t="s">
        <v>54</v>
      </c>
      <c r="G3263">
        <v>-242.13419999999999</v>
      </c>
      <c r="H3263">
        <v>8.0001059999999999E-2</v>
      </c>
      <c r="I3263">
        <v>209.54859999999999</v>
      </c>
      <c r="J3263">
        <v>-268.68669999999997</v>
      </c>
      <c r="K3263">
        <v>1.1089439999999999</v>
      </c>
      <c r="L3263">
        <v>214.5498</v>
      </c>
      <c r="M3263">
        <v>0.99986399999999998</v>
      </c>
      <c r="N3263">
        <v>0</v>
      </c>
      <c r="O3263">
        <v>-1.2616799999999999E-2</v>
      </c>
      <c r="P3263">
        <v>0.98948530000000001</v>
      </c>
      <c r="Q3263">
        <v>5.5340220000000002E-2</v>
      </c>
      <c r="R3263">
        <v>-0.13362869999999999</v>
      </c>
      <c r="S3263">
        <v>2.9638369999999998</v>
      </c>
      <c r="T3263">
        <v>-0.1135974</v>
      </c>
      <c r="U3263">
        <v>-0.55258180000000001</v>
      </c>
      <c r="V3263">
        <v>0.1212357</v>
      </c>
      <c r="W3263">
        <v>6.5676899999999899E-2</v>
      </c>
      <c r="X3263">
        <v>0.99044860000000001</v>
      </c>
      <c r="Y3263">
        <v>0.1707526</v>
      </c>
      <c r="Z3263">
        <v>-2.7640239999999999E-3</v>
      </c>
      <c r="AA3263">
        <v>0.98531009999999997</v>
      </c>
      <c r="AB3263">
        <v>37</v>
      </c>
      <c r="AC3263">
        <v>26.552499999999899</v>
      </c>
      <c r="AD3263">
        <v>-1.0289429400000001</v>
      </c>
      <c r="AE3263">
        <v>-5.0012000000000096</v>
      </c>
      <c r="AF3263">
        <v>4.6590188401478496</v>
      </c>
      <c r="AG3263">
        <v>-1.0289429400000001</v>
      </c>
      <c r="AH3263">
        <v>26.5749496936748</v>
      </c>
      <c r="AI3263">
        <v>92.184023884725505</v>
      </c>
      <c r="AJ3263">
        <v>80.056177599497104</v>
      </c>
      <c r="AK3263">
        <v>26.999872802440699</v>
      </c>
      <c r="AL3263">
        <v>86.234280253135694</v>
      </c>
      <c r="AM3263">
        <v>83.021434396954604</v>
      </c>
      <c r="AN3263">
        <v>0.99999998969503001</v>
      </c>
    </row>
    <row r="3264" spans="1:40" x14ac:dyDescent="0.25">
      <c r="A3264" t="str">
        <f>"20190312151336575"</f>
        <v>20190312151336575</v>
      </c>
      <c r="B3264" t="str">
        <f>"1552374816563205"</f>
        <v>1552374816563205</v>
      </c>
      <c r="C3264" t="s">
        <v>40</v>
      </c>
      <c r="D3264">
        <v>4.6836089999999997</v>
      </c>
      <c r="E3264">
        <v>0.52063689999999996</v>
      </c>
      <c r="F3264" t="s">
        <v>54</v>
      </c>
      <c r="G3264">
        <v>-250.01669999999999</v>
      </c>
      <c r="H3264" s="1">
        <v>-1.3703309999999901E-6</v>
      </c>
      <c r="I3264">
        <v>211.011</v>
      </c>
      <c r="J3264">
        <v>-268.3211</v>
      </c>
      <c r="K3264">
        <v>1.1089420000000001</v>
      </c>
      <c r="L3264">
        <v>214.5446</v>
      </c>
      <c r="M3264">
        <v>0.99985570000000001</v>
      </c>
      <c r="N3264">
        <v>0</v>
      </c>
      <c r="O3264">
        <v>-1.3250329999999999E-2</v>
      </c>
      <c r="P3264">
        <v>0.98940110000000003</v>
      </c>
      <c r="Q3264">
        <v>5.54213E-2</v>
      </c>
      <c r="R3264">
        <v>-0.1342169</v>
      </c>
      <c r="S3264">
        <v>2.9658199999999999</v>
      </c>
      <c r="T3264">
        <v>-0.17616089999999901</v>
      </c>
      <c r="U3264">
        <v>-0.56214900000000001</v>
      </c>
      <c r="V3264">
        <v>0.1211972</v>
      </c>
      <c r="W3264">
        <v>6.5767779999999998E-2</v>
      </c>
      <c r="X3264">
        <v>0.99044730000000003</v>
      </c>
      <c r="Y3264">
        <v>0.17291970000000001</v>
      </c>
      <c r="Z3264">
        <v>-4.3065789999999996E-3</v>
      </c>
      <c r="AA3264">
        <v>0.98492650000000004</v>
      </c>
      <c r="AB3264">
        <v>37</v>
      </c>
      <c r="AC3264">
        <v>18.304400000000001</v>
      </c>
      <c r="AD3264">
        <v>-1.1089433703309901</v>
      </c>
      <c r="AE3264">
        <v>-3.5335999999999999</v>
      </c>
      <c r="AF3264">
        <v>3.27913354525657</v>
      </c>
      <c r="AG3264">
        <v>-1.1089433703309901</v>
      </c>
      <c r="AH3264">
        <v>18.2849160185241</v>
      </c>
      <c r="AI3264">
        <v>93.416254222903007</v>
      </c>
      <c r="AJ3264">
        <v>79.832911808723196</v>
      </c>
      <c r="AK3264">
        <v>18.609691722613402</v>
      </c>
      <c r="AL3264">
        <v>86.229061999963093</v>
      </c>
      <c r="AM3264">
        <v>83.023619623905603</v>
      </c>
      <c r="AN3264">
        <v>1.00000000812562</v>
      </c>
    </row>
    <row r="3265" spans="1:40" x14ac:dyDescent="0.25">
      <c r="A3265" t="str">
        <f>"20190312151336598"</f>
        <v>20190312151336598</v>
      </c>
      <c r="B3265" t="str">
        <f>"1552374816593463"</f>
        <v>1552374816593463</v>
      </c>
      <c r="C3265" t="s">
        <v>40</v>
      </c>
      <c r="D3265">
        <v>4.4077169999999999</v>
      </c>
      <c r="E3265">
        <v>0.5205244</v>
      </c>
      <c r="F3265" t="s">
        <v>54</v>
      </c>
      <c r="G3265">
        <v>-249.21639999999999</v>
      </c>
      <c r="H3265" s="1">
        <v>3.5302620000000001E-6</v>
      </c>
      <c r="I3265">
        <v>210.898</v>
      </c>
      <c r="J3265">
        <v>-267.95749999999998</v>
      </c>
      <c r="K3265">
        <v>1.108941</v>
      </c>
      <c r="L3265">
        <v>214.53919999999999</v>
      </c>
      <c r="M3265">
        <v>0.99984709999999999</v>
      </c>
      <c r="N3265">
        <v>0</v>
      </c>
      <c r="O3265">
        <v>-1.3880399999999999E-2</v>
      </c>
      <c r="P3265">
        <v>0.98934149999999998</v>
      </c>
      <c r="Q3265">
        <v>5.4879770000000001E-2</v>
      </c>
      <c r="R3265">
        <v>-0.13487750000000001</v>
      </c>
      <c r="S3265">
        <v>2.9649960000000002</v>
      </c>
      <c r="T3265">
        <v>-0.17210400000000001</v>
      </c>
      <c r="U3265">
        <v>-0.56593319999999903</v>
      </c>
      <c r="V3265">
        <v>0.1212333</v>
      </c>
      <c r="W3265">
        <v>6.5235340000000003E-2</v>
      </c>
      <c r="X3265">
        <v>0.99047810000000003</v>
      </c>
      <c r="Y3265">
        <v>0.17357449999999999</v>
      </c>
      <c r="Z3265">
        <v>-4.1908420000000002E-3</v>
      </c>
      <c r="AA3265">
        <v>0.98481180000000001</v>
      </c>
      <c r="AB3265">
        <v>37</v>
      </c>
      <c r="AC3265">
        <v>18.7410999999999</v>
      </c>
      <c r="AD3265">
        <v>-1.1089374697379999</v>
      </c>
      <c r="AE3265">
        <v>-3.6411999999999898</v>
      </c>
      <c r="AF3265">
        <v>3.3693327159295099</v>
      </c>
      <c r="AG3265">
        <v>-1.1089374697379999</v>
      </c>
      <c r="AH3265">
        <v>18.7266566794688</v>
      </c>
      <c r="AI3265">
        <v>93.335495565559697</v>
      </c>
      <c r="AJ3265">
        <v>79.800369400956001</v>
      </c>
      <c r="AK3265">
        <v>19.059638392506699</v>
      </c>
      <c r="AL3265">
        <v>86.259634244018201</v>
      </c>
      <c r="AM3265">
        <v>83.021776976885107</v>
      </c>
      <c r="AN3265">
        <v>1.0000000145967001</v>
      </c>
    </row>
    <row r="3266" spans="1:40" x14ac:dyDescent="0.25">
      <c r="A3266" t="str">
        <f>"20190312151336620"</f>
        <v>20190312151336620</v>
      </c>
      <c r="B3266" t="str">
        <f>"1552374816613981"</f>
        <v>1552374816613981</v>
      </c>
      <c r="C3266" t="s">
        <v>40</v>
      </c>
      <c r="D3266">
        <v>4.4284119999999998</v>
      </c>
      <c r="E3266">
        <v>0.52093769999999995</v>
      </c>
      <c r="F3266" t="s">
        <v>54</v>
      </c>
      <c r="G3266">
        <v>-249.11709999999999</v>
      </c>
      <c r="H3266" s="1">
        <v>3.475774E-6</v>
      </c>
      <c r="I3266">
        <v>210.9359</v>
      </c>
      <c r="J3266">
        <v>-267.58080000000001</v>
      </c>
      <c r="K3266">
        <v>1.1089389999999999</v>
      </c>
      <c r="L3266">
        <v>214.5333</v>
      </c>
      <c r="M3266">
        <v>0.9998378</v>
      </c>
      <c r="N3266">
        <v>0</v>
      </c>
      <c r="O3266">
        <v>-1.453276E-2</v>
      </c>
      <c r="P3266">
        <v>0.98918810000000001</v>
      </c>
      <c r="Q3266">
        <v>5.4979489999999999E-2</v>
      </c>
      <c r="R3266">
        <v>-0.13595750000000001</v>
      </c>
      <c r="S3266">
        <v>2.9646910000000002</v>
      </c>
      <c r="T3266">
        <v>-0.17450079999999901</v>
      </c>
      <c r="U3266">
        <v>-0.56700130000000004</v>
      </c>
      <c r="V3266">
        <v>0.12166920000000001</v>
      </c>
      <c r="W3266">
        <v>6.5341919999999998E-2</v>
      </c>
      <c r="X3266">
        <v>0.99041760000000001</v>
      </c>
      <c r="Y3266">
        <v>0.17328729999999901</v>
      </c>
      <c r="Z3266">
        <v>-4.2030310000000003E-3</v>
      </c>
      <c r="AA3266">
        <v>0.98486229999999997</v>
      </c>
      <c r="AB3266">
        <v>37</v>
      </c>
      <c r="AC3266">
        <v>18.463699999999999</v>
      </c>
      <c r="AD3266">
        <v>-1.1089355242259999</v>
      </c>
      <c r="AE3266">
        <v>-3.5973999999999902</v>
      </c>
      <c r="AF3266">
        <v>3.3171482133637298</v>
      </c>
      <c r="AG3266">
        <v>-1.1089355242259999</v>
      </c>
      <c r="AH3266">
        <v>18.449913772406699</v>
      </c>
      <c r="AI3266">
        <v>93.385481820503898</v>
      </c>
      <c r="AJ3266">
        <v>79.807566249065601</v>
      </c>
      <c r="AK3266">
        <v>18.778512413808301</v>
      </c>
      <c r="AL3266">
        <v>86.253514516773606</v>
      </c>
      <c r="AM3266">
        <v>82.996511618797797</v>
      </c>
      <c r="AN3266">
        <v>0.999999991563843</v>
      </c>
    </row>
    <row r="3267" spans="1:40" x14ac:dyDescent="0.25">
      <c r="A3267" t="str">
        <f>"20190312151336642"</f>
        <v>20190312151336642</v>
      </c>
      <c r="B3267" t="str">
        <f>"1552374816633482"</f>
        <v>1552374816633482</v>
      </c>
      <c r="C3267" t="s">
        <v>40</v>
      </c>
      <c r="D3267">
        <v>4.4383379999999999</v>
      </c>
      <c r="E3267">
        <v>0.52088319999999999</v>
      </c>
      <c r="F3267" t="s">
        <v>54</v>
      </c>
      <c r="G3267">
        <v>-248.9796</v>
      </c>
      <c r="H3267" s="1">
        <v>3.4027489999999999E-6</v>
      </c>
      <c r="I3267">
        <v>210.93219999999999</v>
      </c>
      <c r="J3267">
        <v>-267.23020000000002</v>
      </c>
      <c r="K3267">
        <v>1.1089389999999999</v>
      </c>
      <c r="L3267">
        <v>214.52770000000001</v>
      </c>
      <c r="M3267">
        <v>0.99982859999999996</v>
      </c>
      <c r="N3267">
        <v>0</v>
      </c>
      <c r="O3267">
        <v>-1.513982E-2</v>
      </c>
      <c r="P3267">
        <v>0.98913340000000005</v>
      </c>
      <c r="Q3267">
        <v>5.442843E-2</v>
      </c>
      <c r="R3267">
        <v>-0.13657469999999999</v>
      </c>
      <c r="S3267">
        <v>2.9637150000000001</v>
      </c>
      <c r="T3267">
        <v>-0.1766855</v>
      </c>
      <c r="U3267">
        <v>-0.57376099999999997</v>
      </c>
      <c r="V3267">
        <v>0.1216848</v>
      </c>
      <c r="W3267">
        <v>6.4798999999999995E-2</v>
      </c>
      <c r="X3267">
        <v>0.99045130000000003</v>
      </c>
      <c r="Y3267">
        <v>0.17490649999999999</v>
      </c>
      <c r="Z3267">
        <v>-4.2680119999999998E-3</v>
      </c>
      <c r="AA3267">
        <v>0.9845758</v>
      </c>
      <c r="AB3267">
        <v>37</v>
      </c>
      <c r="AC3267">
        <v>18.250599999999999</v>
      </c>
      <c r="AD3267">
        <v>-1.108935597251</v>
      </c>
      <c r="AE3267">
        <v>-3.5955000000000101</v>
      </c>
      <c r="AF3267">
        <v>3.3070081548775501</v>
      </c>
      <c r="AG3267">
        <v>-1.108935597251</v>
      </c>
      <c r="AH3267">
        <v>18.238127400829502</v>
      </c>
      <c r="AI3267">
        <v>93.423787198485201</v>
      </c>
      <c r="AJ3267">
        <v>79.722570640016997</v>
      </c>
      <c r="AK3267">
        <v>18.568665331255399</v>
      </c>
      <c r="AL3267">
        <v>86.284687413643994</v>
      </c>
      <c r="AM3267">
        <v>82.995858531285293</v>
      </c>
      <c r="AN3267">
        <v>0.99999993931186304</v>
      </c>
    </row>
    <row r="3268" spans="1:40" x14ac:dyDescent="0.25">
      <c r="A3268" t="str">
        <f>"20190312151336664"</f>
        <v>20190312151336664</v>
      </c>
      <c r="B3268" t="str">
        <f>"1552374816653978"</f>
        <v>1552374816653978</v>
      </c>
      <c r="C3268" t="s">
        <v>40</v>
      </c>
      <c r="D3268">
        <v>4.4328799999999999</v>
      </c>
      <c r="E3268">
        <v>0.52279359999999997</v>
      </c>
      <c r="F3268" t="s">
        <v>54</v>
      </c>
      <c r="G3268">
        <v>-248.46610000000001</v>
      </c>
      <c r="H3268" s="1">
        <v>3.1315719999999999E-6</v>
      </c>
      <c r="I3268">
        <v>210.88419999999999</v>
      </c>
      <c r="J3268">
        <v>-266.85840000000002</v>
      </c>
      <c r="K3268">
        <v>1.1089370000000001</v>
      </c>
      <c r="L3268">
        <v>214.5214</v>
      </c>
      <c r="M3268">
        <v>0.9998186</v>
      </c>
      <c r="N3268">
        <v>0</v>
      </c>
      <c r="O3268">
        <v>-1.5783350000000002E-2</v>
      </c>
      <c r="P3268">
        <v>0.98907330000000004</v>
      </c>
      <c r="Q3268">
        <v>5.4528149999999997E-2</v>
      </c>
      <c r="R3268">
        <v>-0.13697010000000001</v>
      </c>
      <c r="S3268">
        <v>2.963165</v>
      </c>
      <c r="T3268">
        <v>-0.17511940000000001</v>
      </c>
      <c r="U3268">
        <v>-0.57536319999999996</v>
      </c>
      <c r="V3268">
        <v>0.1214435</v>
      </c>
      <c r="W3268">
        <v>6.4906069999999996E-2</v>
      </c>
      <c r="X3268">
        <v>0.99047399999999997</v>
      </c>
      <c r="Y3268">
        <v>0.17482600000000001</v>
      </c>
      <c r="Z3268">
        <v>-4.1908270000000003E-3</v>
      </c>
      <c r="AA3268">
        <v>0.98459039999999998</v>
      </c>
      <c r="AB3268">
        <v>37</v>
      </c>
      <c r="AC3268">
        <v>18.392299999999999</v>
      </c>
      <c r="AD3268">
        <v>-1.1089338684279999</v>
      </c>
      <c r="AE3268">
        <v>-3.6372</v>
      </c>
      <c r="AF3268">
        <v>3.3347716635395299</v>
      </c>
      <c r="AG3268">
        <v>-1.1089338684279999</v>
      </c>
      <c r="AH3268">
        <v>18.3831063498878</v>
      </c>
      <c r="AI3268">
        <v>93.396795830565495</v>
      </c>
      <c r="AJ3268">
        <v>79.718118723113193</v>
      </c>
      <c r="AK3268">
        <v>18.7160101368796</v>
      </c>
      <c r="AL3268">
        <v>86.278540162274993</v>
      </c>
      <c r="AM3268">
        <v>83.009768757481595</v>
      </c>
      <c r="AN3268">
        <v>1.0000000331455401</v>
      </c>
    </row>
    <row r="3269" spans="1:40" x14ac:dyDescent="0.25">
      <c r="A3269" t="str">
        <f>"20190312151336693"</f>
        <v>20190312151336693</v>
      </c>
      <c r="B3269" t="str">
        <f>"1552374816683258"</f>
        <v>1552374816683258</v>
      </c>
      <c r="C3269" t="s">
        <v>40</v>
      </c>
      <c r="D3269">
        <v>4.4449100000000001</v>
      </c>
      <c r="E3269">
        <v>0.52554160000000005</v>
      </c>
      <c r="F3269" t="s">
        <v>54</v>
      </c>
      <c r="G3269">
        <v>-247.39240000000001</v>
      </c>
      <c r="H3269" s="1">
        <v>2.5712660000000002E-6</v>
      </c>
      <c r="I3269">
        <v>210.6311</v>
      </c>
      <c r="J3269">
        <v>-266.41410000000002</v>
      </c>
      <c r="K3269">
        <v>1.1089329999999999</v>
      </c>
      <c r="L3269">
        <v>214.5137</v>
      </c>
      <c r="M3269">
        <v>0.99980590000000003</v>
      </c>
      <c r="N3269">
        <v>0</v>
      </c>
      <c r="O3269">
        <v>-1.655245E-2</v>
      </c>
      <c r="P3269">
        <v>0.98894820000000005</v>
      </c>
      <c r="Q3269">
        <v>5.4432469999999997E-2</v>
      </c>
      <c r="R3269">
        <v>-0.137907</v>
      </c>
      <c r="S3269">
        <v>2.9605100000000002</v>
      </c>
      <c r="T3269">
        <v>-0.1686532</v>
      </c>
      <c r="U3269">
        <v>-0.5916595</v>
      </c>
      <c r="V3269">
        <v>0.1216198</v>
      </c>
      <c r="W3269">
        <v>6.4823749999999999E-2</v>
      </c>
      <c r="X3269">
        <v>0.9904577</v>
      </c>
      <c r="Y3269">
        <v>0.17946219999999999</v>
      </c>
      <c r="Z3269">
        <v>-4.1251120000000002E-3</v>
      </c>
      <c r="AA3269">
        <v>0.98375619999999997</v>
      </c>
      <c r="AB3269">
        <v>37</v>
      </c>
      <c r="AC3269">
        <v>19.021699999999999</v>
      </c>
      <c r="AD3269">
        <v>-1.1089304287340001</v>
      </c>
      <c r="AE3269">
        <v>-3.8825999999999898</v>
      </c>
      <c r="AF3269">
        <v>3.5555933167332801</v>
      </c>
      <c r="AG3269">
        <v>-1.1089304287340001</v>
      </c>
      <c r="AH3269">
        <v>19.021302298197298</v>
      </c>
      <c r="AI3269">
        <v>93.279850179517794</v>
      </c>
      <c r="AJ3269">
        <v>79.412068322310802</v>
      </c>
      <c r="AK3269">
        <v>19.382515617152901</v>
      </c>
      <c r="AL3269">
        <v>86.283266487753295</v>
      </c>
      <c r="AM3269">
        <v>82.999607564596005</v>
      </c>
      <c r="AN3269">
        <v>0.99999997490269499</v>
      </c>
    </row>
    <row r="3270" spans="1:40" x14ac:dyDescent="0.25">
      <c r="A3270" t="str">
        <f>"20190312151336714"</f>
        <v>20190312151336714</v>
      </c>
      <c r="B3270" t="str">
        <f>"1552374816703286"</f>
        <v>1552374816703286</v>
      </c>
      <c r="C3270" t="s">
        <v>40</v>
      </c>
      <c r="D3270">
        <v>4.7829230000000003</v>
      </c>
      <c r="E3270">
        <v>0.52679540000000002</v>
      </c>
      <c r="F3270" t="s">
        <v>54</v>
      </c>
      <c r="G3270">
        <v>-248.76179999999999</v>
      </c>
      <c r="H3270" s="1">
        <v>3.2910849999999999E-6</v>
      </c>
      <c r="I3270">
        <v>210.8356</v>
      </c>
      <c r="J3270">
        <v>-266.03789999999998</v>
      </c>
      <c r="K3270">
        <v>1.10893</v>
      </c>
      <c r="L3270">
        <v>214.5069</v>
      </c>
      <c r="M3270">
        <v>0.99979479999999998</v>
      </c>
      <c r="N3270">
        <v>0</v>
      </c>
      <c r="O3270">
        <v>-1.7203309999999999E-2</v>
      </c>
      <c r="P3270">
        <v>0.98884459999999996</v>
      </c>
      <c r="Q3270">
        <v>5.4170959999999997E-2</v>
      </c>
      <c r="R3270">
        <v>-0.13875129999999999</v>
      </c>
      <c r="S3270">
        <v>2.9577939999999998</v>
      </c>
      <c r="T3270">
        <v>-0.18581139999999999</v>
      </c>
      <c r="U3270">
        <v>-0.61630249999999998</v>
      </c>
      <c r="V3270">
        <v>0.1218204</v>
      </c>
      <c r="W3270">
        <v>6.4577259999999997E-2</v>
      </c>
      <c r="X3270">
        <v>0.99044920000000003</v>
      </c>
      <c r="Y3270">
        <v>0.1867917</v>
      </c>
      <c r="Z3270">
        <v>-4.7315669999999999E-3</v>
      </c>
      <c r="AA3270">
        <v>0.98238809999999999</v>
      </c>
      <c r="AB3270">
        <v>37</v>
      </c>
      <c r="AC3270">
        <v>17.2760999999999</v>
      </c>
      <c r="AD3270">
        <v>-1.1089267089149999</v>
      </c>
      <c r="AE3270">
        <v>-3.6713</v>
      </c>
      <c r="AF3270">
        <v>3.3602868122471699</v>
      </c>
      <c r="AG3270">
        <v>-1.1089267089149999</v>
      </c>
      <c r="AH3270">
        <v>17.2686298714667</v>
      </c>
      <c r="AI3270">
        <v>93.606807610711002</v>
      </c>
      <c r="AJ3270">
        <v>78.988474223017704</v>
      </c>
      <c r="AK3270">
        <v>17.6274451791523</v>
      </c>
      <c r="AL3270">
        <v>86.297419164183907</v>
      </c>
      <c r="AM3270">
        <v>82.988116371234995</v>
      </c>
      <c r="AN3270">
        <v>1.0000000250729499</v>
      </c>
    </row>
    <row r="3271" spans="1:40" x14ac:dyDescent="0.25">
      <c r="A3271" t="str">
        <f>"20190312151336735"</f>
        <v>20190312151336735</v>
      </c>
      <c r="B3271" t="str">
        <f>"1552374816723781"</f>
        <v>1552374816723781</v>
      </c>
      <c r="C3271" t="s">
        <v>40</v>
      </c>
      <c r="D3271">
        <v>5.0826599999999997</v>
      </c>
      <c r="E3271">
        <v>0.52778959999999997</v>
      </c>
      <c r="F3271" t="s">
        <v>54</v>
      </c>
      <c r="G3271">
        <v>-248.50540000000001</v>
      </c>
      <c r="H3271" s="1">
        <v>3.1571420000000001E-6</v>
      </c>
      <c r="I3271">
        <v>210.7784</v>
      </c>
      <c r="J3271">
        <v>-265.6884</v>
      </c>
      <c r="K3271">
        <v>1.108927</v>
      </c>
      <c r="L3271">
        <v>214.50030000000001</v>
      </c>
      <c r="M3271">
        <v>0.99978420000000001</v>
      </c>
      <c r="N3271">
        <v>0</v>
      </c>
      <c r="O3271">
        <v>-1.7808020000000001E-2</v>
      </c>
      <c r="P3271">
        <v>0.98874969999999995</v>
      </c>
      <c r="Q3271">
        <v>5.4294149999999999E-2</v>
      </c>
      <c r="R3271">
        <v>-0.139379799999999</v>
      </c>
      <c r="S3271">
        <v>2.9558719999999998</v>
      </c>
      <c r="T3271">
        <v>-0.18695819999999999</v>
      </c>
      <c r="U3271">
        <v>-0.62860109999999902</v>
      </c>
      <c r="V3271">
        <v>0.1218511</v>
      </c>
      <c r="W3271">
        <v>6.4714309999999997E-2</v>
      </c>
      <c r="X3271">
        <v>0.99043639999999999</v>
      </c>
      <c r="Y3271">
        <v>0.19022839999999999</v>
      </c>
      <c r="Z3271">
        <v>-4.831363E-3</v>
      </c>
      <c r="AA3271">
        <v>0.98172800000000005</v>
      </c>
      <c r="AB3271">
        <v>37</v>
      </c>
      <c r="AC3271">
        <v>17.1829999999999</v>
      </c>
      <c r="AD3271">
        <v>-1.1089238428579999</v>
      </c>
      <c r="AE3271">
        <v>-3.7219000000000002</v>
      </c>
      <c r="AF3271">
        <v>3.4017639133415498</v>
      </c>
      <c r="AG3271">
        <v>-1.1089238428579999</v>
      </c>
      <c r="AH3271">
        <v>17.178218929484299</v>
      </c>
      <c r="AI3271">
        <v>93.623381165600705</v>
      </c>
      <c r="AJ3271">
        <v>78.798764425729004</v>
      </c>
      <c r="AK3271">
        <v>17.546877653892299</v>
      </c>
      <c r="AL3271">
        <v>86.289550029965795</v>
      </c>
      <c r="AM3271">
        <v>82.986277162847102</v>
      </c>
      <c r="AN3271">
        <v>0.99999994746747101</v>
      </c>
    </row>
    <row r="3272" spans="1:40" x14ac:dyDescent="0.25">
      <c r="A3272" t="str">
        <f>"20190312151336755"</f>
        <v>20190312151336755</v>
      </c>
      <c r="B3272" t="str">
        <f>"1552374816743302"</f>
        <v>1552374816743302</v>
      </c>
      <c r="C3272" t="s">
        <v>40</v>
      </c>
      <c r="D3272">
        <v>4.4651269999999998</v>
      </c>
      <c r="E3272">
        <v>0.52849239999999997</v>
      </c>
      <c r="F3272" t="s">
        <v>54</v>
      </c>
      <c r="G3272">
        <v>-247.7311</v>
      </c>
      <c r="H3272" s="1">
        <v>2.7520160000000001E-6</v>
      </c>
      <c r="I3272">
        <v>210.61959999999999</v>
      </c>
      <c r="J3272">
        <v>-265.38130000000001</v>
      </c>
      <c r="K3272">
        <v>1.1089260000000001</v>
      </c>
      <c r="L3272">
        <v>214.49430000000001</v>
      </c>
      <c r="M3272">
        <v>0.99977450000000001</v>
      </c>
      <c r="N3272">
        <v>0</v>
      </c>
      <c r="O3272">
        <v>-1.8338810000000001E-2</v>
      </c>
      <c r="P3272">
        <v>0.98867559999999999</v>
      </c>
      <c r="Q3272">
        <v>5.429283E-2</v>
      </c>
      <c r="R3272">
        <v>-0.139904799999999</v>
      </c>
      <c r="S3272">
        <v>2.954132</v>
      </c>
      <c r="T3272">
        <v>-0.18242739999999999</v>
      </c>
      <c r="U3272">
        <v>-0.63841250000000005</v>
      </c>
      <c r="V3272">
        <v>0.121851399999999</v>
      </c>
      <c r="W3272">
        <v>6.4724299999999999E-2</v>
      </c>
      <c r="X3272">
        <v>0.99043579999999998</v>
      </c>
      <c r="Y3272">
        <v>0.19295300000000001</v>
      </c>
      <c r="Z3272">
        <v>-4.766345E-3</v>
      </c>
      <c r="AA3272">
        <v>0.98119639999999997</v>
      </c>
      <c r="AB3272">
        <v>37</v>
      </c>
      <c r="AC3272">
        <v>17.650200000000002</v>
      </c>
      <c r="AD3272">
        <v>-1.1089232479840001</v>
      </c>
      <c r="AE3272">
        <v>-3.87470000000001</v>
      </c>
      <c r="AF3272">
        <v>3.5370261946367898</v>
      </c>
      <c r="AG3272">
        <v>-1.1089232479840001</v>
      </c>
      <c r="AH3272">
        <v>17.651818817613101</v>
      </c>
      <c r="AI3272">
        <v>93.524829095861804</v>
      </c>
      <c r="AJ3272">
        <v>78.669275298257801</v>
      </c>
      <c r="AK3272">
        <v>18.036822686973</v>
      </c>
      <c r="AL3272">
        <v>86.288976772724496</v>
      </c>
      <c r="AM3272">
        <v>82.986255860339398</v>
      </c>
      <c r="AN3272">
        <v>1.00000003630704</v>
      </c>
    </row>
    <row r="3273" spans="1:40" x14ac:dyDescent="0.25">
      <c r="A3273" t="str">
        <f>"20190312151336777"</f>
        <v>20190312151336777</v>
      </c>
      <c r="B3273" t="str">
        <f>"1552374816773557"</f>
        <v>1552374816773557</v>
      </c>
      <c r="C3273" t="s">
        <v>40</v>
      </c>
      <c r="D3273">
        <v>4.5349599999999999</v>
      </c>
      <c r="E3273">
        <v>0.52935379999999999</v>
      </c>
      <c r="F3273" t="s">
        <v>54</v>
      </c>
      <c r="G3273">
        <v>-247.08930000000001</v>
      </c>
      <c r="H3273" s="1">
        <v>2.4159469999999998E-6</v>
      </c>
      <c r="I3273">
        <v>210.49459999999999</v>
      </c>
      <c r="J3273">
        <v>-265.01240000000001</v>
      </c>
      <c r="K3273">
        <v>1.1089290000000001</v>
      </c>
      <c r="L3273">
        <v>214.48699999999999</v>
      </c>
      <c r="M3273">
        <v>0.99976229999999999</v>
      </c>
      <c r="N3273">
        <v>0</v>
      </c>
      <c r="O3273">
        <v>-1.8976659999999999E-2</v>
      </c>
      <c r="P3273">
        <v>0.98854039999999999</v>
      </c>
      <c r="Q3273">
        <v>5.4309370000000003E-2</v>
      </c>
      <c r="R3273">
        <v>-0.1408491</v>
      </c>
      <c r="S3273">
        <v>2.95282</v>
      </c>
      <c r="T3273">
        <v>-0.17900959999999999</v>
      </c>
      <c r="U3273">
        <v>-0.64566040000000002</v>
      </c>
      <c r="V3273">
        <v>0.1221661</v>
      </c>
      <c r="W3273">
        <v>6.4753809999999995E-2</v>
      </c>
      <c r="X3273">
        <v>0.99039509999999997</v>
      </c>
      <c r="Y3273">
        <v>0.19472619999999999</v>
      </c>
      <c r="Z3273">
        <v>-4.6929659999999998E-3</v>
      </c>
      <c r="AA3273">
        <v>0.98084640000000001</v>
      </c>
      <c r="AB3273">
        <v>37</v>
      </c>
      <c r="AC3273">
        <v>17.923100000000002</v>
      </c>
      <c r="AD3273">
        <v>-1.108926584053</v>
      </c>
      <c r="AE3273">
        <v>-3.9923999999999999</v>
      </c>
      <c r="AF3273">
        <v>3.63827167214877</v>
      </c>
      <c r="AG3273">
        <v>-1.108926584053</v>
      </c>
      <c r="AH3273">
        <v>17.9302455048749</v>
      </c>
      <c r="AI3273">
        <v>93.4685395657512</v>
      </c>
      <c r="AJ3273">
        <v>78.529699792430094</v>
      </c>
      <c r="AK3273">
        <v>18.3292237368162</v>
      </c>
      <c r="AL3273">
        <v>86.287282407675093</v>
      </c>
      <c r="AM3273">
        <v>82.968036822825894</v>
      </c>
      <c r="AN3273">
        <v>1.0000000330013601</v>
      </c>
    </row>
    <row r="3274" spans="1:40" x14ac:dyDescent="0.25">
      <c r="A3274" t="str">
        <f>"20190312151336801"</f>
        <v>20190312151336801</v>
      </c>
      <c r="B3274" t="str">
        <f>"1552374816793078"</f>
        <v>1552374816793078</v>
      </c>
      <c r="C3274" t="s">
        <v>40</v>
      </c>
      <c r="D3274">
        <v>4.4958859999999996</v>
      </c>
      <c r="E3274">
        <v>0.52973400000000004</v>
      </c>
      <c r="F3274" t="s">
        <v>54</v>
      </c>
      <c r="G3274">
        <v>-246.48419999999999</v>
      </c>
      <c r="H3274" s="1">
        <v>2.0993119999999999E-6</v>
      </c>
      <c r="I3274">
        <v>210.3723</v>
      </c>
      <c r="J3274">
        <v>-264.61419999999998</v>
      </c>
      <c r="K3274">
        <v>1.1089310000000001</v>
      </c>
      <c r="L3274">
        <v>214.47880000000001</v>
      </c>
      <c r="M3274">
        <v>0.99974879999999999</v>
      </c>
      <c r="N3274">
        <v>0</v>
      </c>
      <c r="O3274">
        <v>-1.9665169999999999E-2</v>
      </c>
      <c r="P3274">
        <v>0.98839399999999999</v>
      </c>
      <c r="Q3274">
        <v>5.4345850000000001E-2</v>
      </c>
      <c r="R3274">
        <v>-0.14185789999999901</v>
      </c>
      <c r="S3274">
        <v>2.951111</v>
      </c>
      <c r="T3274">
        <v>-0.17662700000000001</v>
      </c>
      <c r="U3274">
        <v>-0.65536499999999998</v>
      </c>
      <c r="V3274">
        <v>0.1224951</v>
      </c>
      <c r="W3274">
        <v>6.4803280000000005E-2</v>
      </c>
      <c r="X3274">
        <v>0.99035119999999999</v>
      </c>
      <c r="Y3274">
        <v>0.19724949999999999</v>
      </c>
      <c r="Z3274">
        <v>-4.665532E-3</v>
      </c>
      <c r="AA3274">
        <v>0.98034219999999905</v>
      </c>
      <c r="AB3274">
        <v>37</v>
      </c>
      <c r="AC3274">
        <v>18.1299999999999</v>
      </c>
      <c r="AD3274">
        <v>-1.1089289006880001</v>
      </c>
      <c r="AE3274">
        <v>-4.1065000000000103</v>
      </c>
      <c r="AF3274">
        <v>3.7358610844961402</v>
      </c>
      <c r="AG3274">
        <v>-1.1089289006880001</v>
      </c>
      <c r="AH3274">
        <v>18.1426900980053</v>
      </c>
      <c r="AI3274">
        <v>93.426014273151296</v>
      </c>
      <c r="AJ3274">
        <v>78.364544110431197</v>
      </c>
      <c r="AK3274">
        <v>18.5564971193836</v>
      </c>
      <c r="AL3274">
        <v>86.284441922976399</v>
      </c>
      <c r="AM3274">
        <v>82.948980318553694</v>
      </c>
      <c r="AN3274">
        <v>1.0000000069821</v>
      </c>
    </row>
    <row r="3275" spans="1:40" x14ac:dyDescent="0.25">
      <c r="A3275" t="str">
        <f>"20190312151336826"</f>
        <v>20190312151336826</v>
      </c>
      <c r="B3275" t="str">
        <f>"1552374816813105"</f>
        <v>1552374816813105</v>
      </c>
      <c r="C3275" t="s">
        <v>40</v>
      </c>
      <c r="D3275">
        <v>4.5023669999999996</v>
      </c>
      <c r="E3275">
        <v>0.53013739999999998</v>
      </c>
      <c r="F3275" t="s">
        <v>54</v>
      </c>
      <c r="G3275">
        <v>-245.78270000000001</v>
      </c>
      <c r="H3275" s="1">
        <v>1.7311160000000001E-6</v>
      </c>
      <c r="I3275">
        <v>210.25550000000001</v>
      </c>
      <c r="J3275">
        <v>-264.1979</v>
      </c>
      <c r="K3275">
        <v>1.10893</v>
      </c>
      <c r="L3275">
        <v>214.4699</v>
      </c>
      <c r="M3275">
        <v>0.99973440000000002</v>
      </c>
      <c r="N3275">
        <v>0</v>
      </c>
      <c r="O3275">
        <v>-2.0385150000000001E-2</v>
      </c>
      <c r="P3275">
        <v>0.98824350000000005</v>
      </c>
      <c r="Q3275">
        <v>5.4122780000000002E-2</v>
      </c>
      <c r="R3275">
        <v>-0.14299020000000001</v>
      </c>
      <c r="S3275">
        <v>2.9498289999999998</v>
      </c>
      <c r="T3275">
        <v>-0.17370679999999999</v>
      </c>
      <c r="U3275">
        <v>-0.66154480000000004</v>
      </c>
      <c r="V3275">
        <v>0.12291630000000001</v>
      </c>
      <c r="W3275">
        <v>6.4592499999999997E-2</v>
      </c>
      <c r="X3275">
        <v>0.99031279999999999</v>
      </c>
      <c r="Y3275">
        <v>0.19859869999999999</v>
      </c>
      <c r="Z3275">
        <v>-4.58685E-3</v>
      </c>
      <c r="AA3275">
        <v>0.9800702</v>
      </c>
      <c r="AB3275">
        <v>37</v>
      </c>
      <c r="AC3275">
        <v>18.415199999999999</v>
      </c>
      <c r="AD3275">
        <v>-1.1089282688840001</v>
      </c>
      <c r="AE3275">
        <v>-4.2143999999999799</v>
      </c>
      <c r="AF3275">
        <v>3.82492610278846</v>
      </c>
      <c r="AG3275">
        <v>-1.1089282688840001</v>
      </c>
      <c r="AH3275">
        <v>18.433770875430199</v>
      </c>
      <c r="AI3275">
        <v>93.3709856595855</v>
      </c>
      <c r="AJ3275">
        <v>78.277721455944899</v>
      </c>
      <c r="AK3275">
        <v>18.859047968685498</v>
      </c>
      <c r="AL3275">
        <v>86.2965441488697</v>
      </c>
      <c r="AM3275">
        <v>82.924709086820897</v>
      </c>
      <c r="AN3275">
        <v>1.00000002485288</v>
      </c>
    </row>
    <row r="3276" spans="1:40" x14ac:dyDescent="0.25">
      <c r="A3276" t="str">
        <f>"20190312151336847"</f>
        <v>20190312151336847</v>
      </c>
      <c r="B3276" t="str">
        <f>"1552374816843363"</f>
        <v>1552374816843363</v>
      </c>
      <c r="C3276" t="s">
        <v>40</v>
      </c>
      <c r="D3276">
        <v>4.4629849999999998</v>
      </c>
      <c r="E3276">
        <v>0.53065150000000005</v>
      </c>
      <c r="F3276" t="s">
        <v>54</v>
      </c>
      <c r="G3276">
        <v>-245.81739999999999</v>
      </c>
      <c r="H3276" s="1">
        <v>1.747362E-6</v>
      </c>
      <c r="I3276">
        <v>210.30520000000001</v>
      </c>
      <c r="J3276">
        <v>-263.85340000000002</v>
      </c>
      <c r="K3276">
        <v>1.10893</v>
      </c>
      <c r="L3276">
        <v>214.4623</v>
      </c>
      <c r="M3276">
        <v>0.99972190000000005</v>
      </c>
      <c r="N3276">
        <v>0</v>
      </c>
      <c r="O3276">
        <v>-2.0980800000000001E-2</v>
      </c>
      <c r="P3276">
        <v>0.98814360000000001</v>
      </c>
      <c r="Q3276">
        <v>5.3838949999999997E-2</v>
      </c>
      <c r="R3276">
        <v>-0.14378450000000001</v>
      </c>
      <c r="S3276">
        <v>2.9487299999999999</v>
      </c>
      <c r="T3276">
        <v>-0.17790139999999999</v>
      </c>
      <c r="U3276">
        <v>-0.66812130000000003</v>
      </c>
      <c r="V3276">
        <v>0.1231218</v>
      </c>
      <c r="W3276">
        <v>6.4322690000000002E-2</v>
      </c>
      <c r="X3276">
        <v>0.99030479999999999</v>
      </c>
      <c r="Y3276">
        <v>0.20015649999999999</v>
      </c>
      <c r="Z3276">
        <v>-4.7089509999999899E-3</v>
      </c>
      <c r="AA3276">
        <v>0.97975259999999997</v>
      </c>
      <c r="AB3276">
        <v>37</v>
      </c>
      <c r="AC3276">
        <v>18.036000000000001</v>
      </c>
      <c r="AD3276">
        <v>-1.108928252638</v>
      </c>
      <c r="AE3276">
        <v>-4.1570999999999803</v>
      </c>
      <c r="AF3276">
        <v>3.7642410513334799</v>
      </c>
      <c r="AG3276">
        <v>-1.108928252638</v>
      </c>
      <c r="AH3276">
        <v>18.0544454780858</v>
      </c>
      <c r="AI3276">
        <v>93.440958540073794</v>
      </c>
      <c r="AJ3276">
        <v>78.2228963702984</v>
      </c>
      <c r="AK3276">
        <v>18.475990746999699</v>
      </c>
      <c r="AL3276">
        <v>86.312035214352406</v>
      </c>
      <c r="AM3276">
        <v>82.912943640314396</v>
      </c>
      <c r="AN3276">
        <v>0.999999991493558</v>
      </c>
    </row>
    <row r="3277" spans="1:40" x14ac:dyDescent="0.25">
      <c r="A3277" t="str">
        <f>"20190312151336870"</f>
        <v>20190312151336870</v>
      </c>
      <c r="B3277" t="str">
        <f>"1552374816863857"</f>
        <v>1552374816863857</v>
      </c>
      <c r="C3277" t="s">
        <v>40</v>
      </c>
      <c r="D3277">
        <v>4.5148400000000004</v>
      </c>
      <c r="E3277">
        <v>0.5309159</v>
      </c>
      <c r="F3277" t="s">
        <v>54</v>
      </c>
      <c r="G3277">
        <v>-245.55420000000001</v>
      </c>
      <c r="H3277" s="1">
        <v>1.60868E-6</v>
      </c>
      <c r="I3277">
        <v>210.27440000000001</v>
      </c>
      <c r="J3277">
        <v>-263.4735</v>
      </c>
      <c r="K3277">
        <v>1.10893</v>
      </c>
      <c r="L3277">
        <v>214.4537</v>
      </c>
      <c r="M3277">
        <v>0.99970760000000003</v>
      </c>
      <c r="N3277">
        <v>0</v>
      </c>
      <c r="O3277">
        <v>-2.1637509999999999E-2</v>
      </c>
      <c r="P3277">
        <v>0.98797729999999995</v>
      </c>
      <c r="Q3277">
        <v>5.3787559999999998E-2</v>
      </c>
      <c r="R3277">
        <v>-0.14494179999999901</v>
      </c>
      <c r="S3277">
        <v>2.9475709999999999</v>
      </c>
      <c r="T3277">
        <v>-0.17862249999999999</v>
      </c>
      <c r="U3277">
        <v>-0.67457579999999995</v>
      </c>
      <c r="V3277">
        <v>0.1236313</v>
      </c>
      <c r="W3277">
        <v>6.4287949999999996E-2</v>
      </c>
      <c r="X3277">
        <v>0.9902436</v>
      </c>
      <c r="Y3277">
        <v>0.20163139999999999</v>
      </c>
      <c r="Z3277">
        <v>-4.7335679999999996E-3</v>
      </c>
      <c r="AA3277">
        <v>0.97945000000000004</v>
      </c>
      <c r="AB3277">
        <v>37</v>
      </c>
      <c r="AC3277">
        <v>17.9192999999999</v>
      </c>
      <c r="AD3277">
        <v>-1.1089283913200001</v>
      </c>
      <c r="AE3277">
        <v>-4.17929999999998</v>
      </c>
      <c r="AF3277">
        <v>3.7768517954912402</v>
      </c>
      <c r="AG3277">
        <v>-1.1089283913200001</v>
      </c>
      <c r="AH3277">
        <v>17.940377422769</v>
      </c>
      <c r="AI3277">
        <v>93.461378029671806</v>
      </c>
      <c r="AJ3277">
        <v>78.111555318171696</v>
      </c>
      <c r="AK3277">
        <v>18.367130253079299</v>
      </c>
      <c r="AL3277">
        <v>86.314029877740495</v>
      </c>
      <c r="AM3277">
        <v>82.883480903348996</v>
      </c>
      <c r="AN3277">
        <v>1.0000000130979201</v>
      </c>
    </row>
    <row r="3278" spans="1:40" x14ac:dyDescent="0.25">
      <c r="A3278" t="str">
        <f>"20190312151336893"</f>
        <v>20190312151336893</v>
      </c>
      <c r="B3278" t="str">
        <f>"1552374816883377"</f>
        <v>1552374816883377</v>
      </c>
      <c r="C3278" t="s">
        <v>40</v>
      </c>
      <c r="D3278">
        <v>4.433897</v>
      </c>
      <c r="E3278">
        <v>0.53096409999999905</v>
      </c>
      <c r="F3278" t="s">
        <v>54</v>
      </c>
      <c r="G3278">
        <v>-245.10069999999999</v>
      </c>
      <c r="H3278" s="1">
        <v>1.370046E-6</v>
      </c>
      <c r="I3278">
        <v>210.21250000000001</v>
      </c>
      <c r="J3278">
        <v>-263.08870000000002</v>
      </c>
      <c r="K3278">
        <v>1.108932</v>
      </c>
      <c r="L3278">
        <v>214.44479999999999</v>
      </c>
      <c r="M3278">
        <v>0.99969280000000005</v>
      </c>
      <c r="N3278">
        <v>0</v>
      </c>
      <c r="O3278">
        <v>-2.230234E-2</v>
      </c>
      <c r="P3278">
        <v>0.98788120000000001</v>
      </c>
      <c r="Q3278">
        <v>5.336403E-2</v>
      </c>
      <c r="R3278">
        <v>-0.14574960000000001</v>
      </c>
      <c r="S3278">
        <v>2.9464109999999999</v>
      </c>
      <c r="T3278">
        <v>-0.17783689999999999</v>
      </c>
      <c r="U3278">
        <v>-0.68016049999999995</v>
      </c>
      <c r="V3278">
        <v>0.123782</v>
      </c>
      <c r="W3278">
        <v>6.3882990000000001E-2</v>
      </c>
      <c r="X3278">
        <v>0.99025090000000004</v>
      </c>
      <c r="Y3278">
        <v>0.2028288</v>
      </c>
      <c r="Z3278">
        <v>-4.7097299999999996E-3</v>
      </c>
      <c r="AA3278">
        <v>0.97920289999999999</v>
      </c>
      <c r="AB3278">
        <v>37</v>
      </c>
      <c r="AC3278">
        <v>17.988</v>
      </c>
      <c r="AD3278">
        <v>-1.108930629954</v>
      </c>
      <c r="AE3278">
        <v>-4.23229999999998</v>
      </c>
      <c r="AF3278">
        <v>3.8163060977426699</v>
      </c>
      <c r="AG3278">
        <v>-1.108930629954</v>
      </c>
      <c r="AH3278">
        <v>18.013053117542501</v>
      </c>
      <c r="AI3278">
        <v>93.446521159328896</v>
      </c>
      <c r="AJ3278">
        <v>78.038005574530501</v>
      </c>
      <c r="AK3278">
        <v>18.4462462845188</v>
      </c>
      <c r="AL3278">
        <v>86.337279873633506</v>
      </c>
      <c r="AM3278">
        <v>82.874947332911304</v>
      </c>
      <c r="AN3278">
        <v>0.99999993244307195</v>
      </c>
    </row>
    <row r="3279" spans="1:40" x14ac:dyDescent="0.25">
      <c r="A3279" t="str">
        <f>"20190312151336918"</f>
        <v>20190312151336918</v>
      </c>
      <c r="B3279" t="str">
        <f>"1552374816913164"</f>
        <v>1552374816913164</v>
      </c>
      <c r="C3279" t="s">
        <v>40</v>
      </c>
      <c r="D3279">
        <v>4.4856069999999999</v>
      </c>
      <c r="E3279">
        <v>0.50956759999999901</v>
      </c>
      <c r="F3279" t="s">
        <v>54</v>
      </c>
      <c r="G3279">
        <v>-244.5119</v>
      </c>
      <c r="H3279" s="1">
        <v>1.0600339999999999E-6</v>
      </c>
      <c r="I3279">
        <v>210.1371</v>
      </c>
      <c r="J3279">
        <v>-262.68329999999997</v>
      </c>
      <c r="K3279">
        <v>1.108932</v>
      </c>
      <c r="L3279">
        <v>214.435</v>
      </c>
      <c r="M3279">
        <v>0.99967669999999997</v>
      </c>
      <c r="N3279">
        <v>0</v>
      </c>
      <c r="O3279">
        <v>-2.30022E-2</v>
      </c>
      <c r="P3279">
        <v>0.98775420000000003</v>
      </c>
      <c r="Q3279">
        <v>5.3692770000000001E-2</v>
      </c>
      <c r="R3279">
        <v>-0.14648720000000001</v>
      </c>
      <c r="S3279">
        <v>2.9454959999999999</v>
      </c>
      <c r="T3279">
        <v>-0.17582979999999901</v>
      </c>
      <c r="U3279">
        <v>-0.68301389999999995</v>
      </c>
      <c r="V3279">
        <v>0.12382899999999999</v>
      </c>
      <c r="W3279">
        <v>6.4230369999999995E-2</v>
      </c>
      <c r="X3279">
        <v>0.99022259999999995</v>
      </c>
      <c r="Y3279">
        <v>0.20311799999999999</v>
      </c>
      <c r="Z3279">
        <v>-4.6249510000000004E-3</v>
      </c>
      <c r="AA3279">
        <v>0.97914330000000005</v>
      </c>
      <c r="AB3279">
        <v>37</v>
      </c>
      <c r="AC3279">
        <v>18.171399999999899</v>
      </c>
      <c r="AD3279">
        <v>-1.1089309399659999</v>
      </c>
      <c r="AE3279">
        <v>-4.2978999999999896</v>
      </c>
      <c r="AF3279">
        <v>3.8651241115302901</v>
      </c>
      <c r="AG3279">
        <v>-1.1089309399659999</v>
      </c>
      <c r="AH3279">
        <v>18.201264592076299</v>
      </c>
      <c r="AI3279">
        <v>93.410628343178104</v>
      </c>
      <c r="AJ3279">
        <v>78.011066228251295</v>
      </c>
      <c r="AK3279">
        <v>18.640143373319798</v>
      </c>
      <c r="AL3279">
        <v>86.317335677726604</v>
      </c>
      <c r="AM3279">
        <v>82.872068161446606</v>
      </c>
      <c r="AN3279">
        <v>0.99999997961104803</v>
      </c>
    </row>
    <row r="3280" spans="1:40" x14ac:dyDescent="0.25">
      <c r="A3280" t="str">
        <f>"20190312151336938"</f>
        <v>20190312151336938</v>
      </c>
      <c r="B3280" t="str">
        <f>"1552374816933659"</f>
        <v>1552374816933659</v>
      </c>
      <c r="C3280" t="s">
        <v>40</v>
      </c>
      <c r="D3280">
        <v>4.595129</v>
      </c>
      <c r="E3280">
        <v>0.50823560000000001</v>
      </c>
      <c r="F3280" t="s">
        <v>54</v>
      </c>
      <c r="G3280">
        <v>-231.25700000000001</v>
      </c>
      <c r="H3280">
        <v>8.0001340000000004E-2</v>
      </c>
      <c r="I3280">
        <v>208.96430000000001</v>
      </c>
      <c r="J3280">
        <v>-262.33530000000002</v>
      </c>
      <c r="K3280">
        <v>1.108932</v>
      </c>
      <c r="L3280">
        <v>214.4265</v>
      </c>
      <c r="M3280">
        <v>0.99966259999999996</v>
      </c>
      <c r="N3280">
        <v>0</v>
      </c>
      <c r="O3280">
        <v>-2.3602979999999999E-2</v>
      </c>
      <c r="P3280">
        <v>0.9876703</v>
      </c>
      <c r="Q3280">
        <v>5.3267210000000002E-2</v>
      </c>
      <c r="R3280">
        <v>-0.14720810000000001</v>
      </c>
      <c r="S3280">
        <v>2.9659119999999999</v>
      </c>
      <c r="T3280">
        <v>-9.7107170000000007E-2</v>
      </c>
      <c r="U3280">
        <v>-0.51631159999999998</v>
      </c>
      <c r="V3280">
        <v>0.1239557</v>
      </c>
      <c r="W3280">
        <v>6.3819219999999996E-2</v>
      </c>
      <c r="X3280">
        <v>0.99023340000000004</v>
      </c>
      <c r="Y3280">
        <v>0.1481355</v>
      </c>
      <c r="Z3280">
        <v>-1.6399089999999999E-3</v>
      </c>
      <c r="AA3280">
        <v>0.98896569999999995</v>
      </c>
      <c r="AB3280">
        <v>37</v>
      </c>
      <c r="AC3280">
        <v>31.078299999999999</v>
      </c>
      <c r="AD3280">
        <v>-1.0289306600000001</v>
      </c>
      <c r="AE3280">
        <v>-5.4621999999999904</v>
      </c>
      <c r="AF3280">
        <v>4.7220736281226401</v>
      </c>
      <c r="AG3280">
        <v>-1.0289306600000001</v>
      </c>
      <c r="AH3280">
        <v>31.1654352777729</v>
      </c>
      <c r="AI3280">
        <v>91.869616916749493</v>
      </c>
      <c r="AJ3280">
        <v>81.384283558910198</v>
      </c>
      <c r="AK3280">
        <v>31.537930079597</v>
      </c>
      <c r="AL3280">
        <v>86.3409415180531</v>
      </c>
      <c r="AM3280">
        <v>82.864927116172794</v>
      </c>
      <c r="AN3280">
        <v>1.0000000474397199</v>
      </c>
    </row>
    <row r="3281" spans="1:40" x14ac:dyDescent="0.25">
      <c r="A3281" t="str">
        <f>"20190312151336956"</f>
        <v>20190312151336956</v>
      </c>
      <c r="B3281" t="str">
        <f>"1552374816953179"</f>
        <v>1552374816953179</v>
      </c>
      <c r="C3281" t="s">
        <v>40</v>
      </c>
      <c r="D3281">
        <v>4.4506709999999998</v>
      </c>
      <c r="E3281">
        <v>0.50786489999999995</v>
      </c>
      <c r="F3281" t="s">
        <v>54</v>
      </c>
      <c r="G3281">
        <v>-231.5376</v>
      </c>
      <c r="H3281">
        <v>8.0001249999999996E-2</v>
      </c>
      <c r="I3281">
        <v>209.15440000000001</v>
      </c>
      <c r="J3281">
        <v>-262.03570000000002</v>
      </c>
      <c r="K3281">
        <v>1.108932</v>
      </c>
      <c r="L3281">
        <v>214.41890000000001</v>
      </c>
      <c r="M3281">
        <v>0.99965009999999999</v>
      </c>
      <c r="N3281">
        <v>0</v>
      </c>
      <c r="O3281">
        <v>-2.4120309999999999E-2</v>
      </c>
      <c r="P3281">
        <v>0.98753539999999995</v>
      </c>
      <c r="Q3281">
        <v>5.3492459999999999E-2</v>
      </c>
      <c r="R3281">
        <v>-0.1480292</v>
      </c>
      <c r="S3281">
        <v>2.967133</v>
      </c>
      <c r="T3281">
        <v>-9.9129800000000004E-2</v>
      </c>
      <c r="U3281">
        <v>-0.50791929999999996</v>
      </c>
      <c r="V3281">
        <v>0.1242675</v>
      </c>
      <c r="W3281">
        <v>6.4057160000000002E-2</v>
      </c>
      <c r="X3281">
        <v>0.99017889999999997</v>
      </c>
      <c r="Y3281">
        <v>0.1448372</v>
      </c>
      <c r="Z3281">
        <v>-1.601945E-3</v>
      </c>
      <c r="AA3281">
        <v>0.98945419999999995</v>
      </c>
      <c r="AB3281">
        <v>37</v>
      </c>
      <c r="AC3281">
        <v>30.498100000000001</v>
      </c>
      <c r="AD3281">
        <v>-1.02893075</v>
      </c>
      <c r="AE3281">
        <v>-5.2644999999999902</v>
      </c>
      <c r="AF3281">
        <v>4.5223027464506496</v>
      </c>
      <c r="AG3281">
        <v>-1.02893075</v>
      </c>
      <c r="AH3281">
        <v>30.582412430754498</v>
      </c>
      <c r="AI3281">
        <v>91.906249359364296</v>
      </c>
      <c r="AJ3281">
        <v>81.588476780992295</v>
      </c>
      <c r="AK3281">
        <v>30.932084810171101</v>
      </c>
      <c r="AL3281">
        <v>86.327280407280199</v>
      </c>
      <c r="AM3281">
        <v>82.846775498847506</v>
      </c>
      <c r="AN3281">
        <v>0.99999999265436201</v>
      </c>
    </row>
    <row r="3282" spans="1:40" x14ac:dyDescent="0.25">
      <c r="A3282" t="str">
        <f>"20190312151336977"</f>
        <v>20190312151336977</v>
      </c>
      <c r="B3282" t="str">
        <f>"1552374816973675"</f>
        <v>1552374816973675</v>
      </c>
      <c r="C3282" t="s">
        <v>40</v>
      </c>
      <c r="D3282">
        <v>4.378101</v>
      </c>
      <c r="E3282">
        <v>0.50767099999999998</v>
      </c>
      <c r="F3282" t="s">
        <v>54</v>
      </c>
      <c r="G3282">
        <v>-230.69730000000001</v>
      </c>
      <c r="H3282">
        <v>8.0001500000000003E-2</v>
      </c>
      <c r="I3282">
        <v>209.06180000000001</v>
      </c>
      <c r="J3282">
        <v>-261.6866</v>
      </c>
      <c r="K3282">
        <v>1.1089389999999999</v>
      </c>
      <c r="L3282">
        <v>214.40989999999999</v>
      </c>
      <c r="M3282">
        <v>0.99963500000000005</v>
      </c>
      <c r="N3282">
        <v>0</v>
      </c>
      <c r="O3282">
        <v>-2.472303E-2</v>
      </c>
      <c r="P3282">
        <v>0.9874212</v>
      </c>
      <c r="Q3282">
        <v>5.3345719999999999E-2</v>
      </c>
      <c r="R3282">
        <v>-0.1488408</v>
      </c>
      <c r="S3282">
        <v>2.967133</v>
      </c>
      <c r="T3282">
        <v>-9.741938E-2</v>
      </c>
      <c r="U3282">
        <v>-0.50721740000000004</v>
      </c>
      <c r="V3282">
        <v>0.1244841</v>
      </c>
      <c r="W3282">
        <v>6.3928680000000002E-2</v>
      </c>
      <c r="X3282">
        <v>0.99016000000000004</v>
      </c>
      <c r="Y3282">
        <v>0.14401620000000001</v>
      </c>
      <c r="Z3282">
        <v>-1.5413530000000001E-3</v>
      </c>
      <c r="AA3282">
        <v>0.98957410000000001</v>
      </c>
      <c r="AB3282">
        <v>37</v>
      </c>
      <c r="AC3282">
        <v>30.989299999999901</v>
      </c>
      <c r="AD3282">
        <v>-1.0289374999999901</v>
      </c>
      <c r="AE3282">
        <v>-5.3480999999999801</v>
      </c>
      <c r="AF3282">
        <v>4.5753720739233898</v>
      </c>
      <c r="AG3282">
        <v>-1.0289374999999901</v>
      </c>
      <c r="AH3282">
        <v>31.078784228253099</v>
      </c>
      <c r="AI3282">
        <v>91.876015183416996</v>
      </c>
      <c r="AJ3282">
        <v>81.625158819364799</v>
      </c>
      <c r="AK3282">
        <v>31.430615188062401</v>
      </c>
      <c r="AL3282">
        <v>86.334656902170295</v>
      </c>
      <c r="AM3282">
        <v>82.834301464779003</v>
      </c>
      <c r="AN3282">
        <v>0.99999999643967596</v>
      </c>
    </row>
    <row r="3283" spans="1:40" x14ac:dyDescent="0.25">
      <c r="A3283" t="str">
        <f>"20190312151337003"</f>
        <v>20190312151337003</v>
      </c>
      <c r="B3283" t="str">
        <f>"1552374816993196"</f>
        <v>1552374816993196</v>
      </c>
      <c r="C3283" t="s">
        <v>40</v>
      </c>
      <c r="D3283">
        <v>4.3365519999999904</v>
      </c>
      <c r="E3283">
        <v>0.50731459999999995</v>
      </c>
      <c r="F3283" t="s">
        <v>54</v>
      </c>
      <c r="G3283">
        <v>-229.5943</v>
      </c>
      <c r="H3283">
        <v>8.0000360000000006E-2</v>
      </c>
      <c r="I3283">
        <v>208.91329999999999</v>
      </c>
      <c r="J3283">
        <v>-261.2722</v>
      </c>
      <c r="K3283">
        <v>1.1089340000000001</v>
      </c>
      <c r="L3283">
        <v>214.399</v>
      </c>
      <c r="M3283">
        <v>0.99961699999999998</v>
      </c>
      <c r="N3283">
        <v>0</v>
      </c>
      <c r="O3283">
        <v>-2.5438539999999999E-2</v>
      </c>
      <c r="P3283">
        <v>0.98726460000000005</v>
      </c>
      <c r="Q3283">
        <v>5.3832909999999998E-2</v>
      </c>
      <c r="R3283">
        <v>-0.14970320000000001</v>
      </c>
      <c r="S3283">
        <v>2.966736</v>
      </c>
      <c r="T3283">
        <v>-9.5119120000000001E-2</v>
      </c>
      <c r="U3283">
        <v>-0.5081329</v>
      </c>
      <c r="V3283">
        <v>0.124642</v>
      </c>
      <c r="W3283">
        <v>6.4438309999999999E-2</v>
      </c>
      <c r="X3283">
        <v>0.99010710000000002</v>
      </c>
      <c r="Y3283">
        <v>0.14363000000000001</v>
      </c>
      <c r="Z3283">
        <v>-1.4762519999999999E-3</v>
      </c>
      <c r="AA3283">
        <v>0.98963029999999996</v>
      </c>
      <c r="AB3283">
        <v>37</v>
      </c>
      <c r="AC3283">
        <v>31.677899999999902</v>
      </c>
      <c r="AD3283">
        <v>-1.02893364</v>
      </c>
      <c r="AE3283">
        <v>-5.4856999999999996</v>
      </c>
      <c r="AF3283">
        <v>4.6732503418377398</v>
      </c>
      <c r="AG3283">
        <v>-1.02893364</v>
      </c>
      <c r="AH3283">
        <v>31.774656947726001</v>
      </c>
      <c r="AI3283">
        <v>91.834989477758299</v>
      </c>
      <c r="AJ3283">
        <v>81.633219589806302</v>
      </c>
      <c r="AK3283">
        <v>32.132955004771702</v>
      </c>
      <c r="AL3283">
        <v>86.305396923902606</v>
      </c>
      <c r="AM3283">
        <v>82.824927562324802</v>
      </c>
      <c r="AN3283">
        <v>0.99999999671503303</v>
      </c>
    </row>
    <row r="3284" spans="1:40" x14ac:dyDescent="0.25">
      <c r="A3284" t="str">
        <f>"20190312151337022"</f>
        <v>20190312151337022</v>
      </c>
      <c r="B3284" t="str">
        <f>"1552374817013223"</f>
        <v>1552374817013223</v>
      </c>
      <c r="C3284" t="s">
        <v>40</v>
      </c>
      <c r="D3284">
        <v>4.2680150000000001</v>
      </c>
      <c r="E3284">
        <v>0.50709470000000001</v>
      </c>
      <c r="F3284" t="s">
        <v>54</v>
      </c>
      <c r="G3284">
        <v>-230.64279999999999</v>
      </c>
      <c r="H3284">
        <v>8.0001509999999998E-2</v>
      </c>
      <c r="I3284">
        <v>209.15260000000001</v>
      </c>
      <c r="J3284">
        <v>-260.93849999999998</v>
      </c>
      <c r="K3284">
        <v>1.108938</v>
      </c>
      <c r="L3284">
        <v>214.39</v>
      </c>
      <c r="M3284">
        <v>0.99960179999999998</v>
      </c>
      <c r="N3284">
        <v>0</v>
      </c>
      <c r="O3284">
        <v>-2.6014329999999999E-2</v>
      </c>
      <c r="P3284">
        <v>0.98711819999999895</v>
      </c>
      <c r="Q3284">
        <v>5.356503E-2</v>
      </c>
      <c r="R3284">
        <v>-0.1507589</v>
      </c>
      <c r="S3284">
        <v>2.9670719999999999</v>
      </c>
      <c r="T3284">
        <v>-9.9672559999999993E-2</v>
      </c>
      <c r="U3284">
        <v>-0.50822449999999997</v>
      </c>
      <c r="V3284">
        <v>0.1251302</v>
      </c>
      <c r="W3284">
        <v>6.4190869999999997E-2</v>
      </c>
      <c r="X3284">
        <v>0.99006159999999999</v>
      </c>
      <c r="Y3284">
        <v>0.14306579999999999</v>
      </c>
      <c r="Z3284">
        <v>-1.518129E-3</v>
      </c>
      <c r="AA3284">
        <v>0.98971200000000004</v>
      </c>
      <c r="AB3284">
        <v>37</v>
      </c>
      <c r="AC3284">
        <v>30.295699999999901</v>
      </c>
      <c r="AD3284">
        <v>-1.02893649</v>
      </c>
      <c r="AE3284">
        <v>-5.2373999999999796</v>
      </c>
      <c r="AF3284">
        <v>4.4424821938574404</v>
      </c>
      <c r="AG3284">
        <v>-1.02893649</v>
      </c>
      <c r="AH3284">
        <v>30.387666587498099</v>
      </c>
      <c r="AI3284">
        <v>91.918930874626</v>
      </c>
      <c r="AJ3284">
        <v>81.682644497739602</v>
      </c>
      <c r="AK3284">
        <v>30.727913026695202</v>
      </c>
      <c r="AL3284">
        <v>86.319603628287894</v>
      </c>
      <c r="AM3284">
        <v>82.796791164513493</v>
      </c>
      <c r="AN3284">
        <v>1.00000000326897</v>
      </c>
    </row>
    <row r="3285" spans="1:40" x14ac:dyDescent="0.25">
      <c r="A3285" t="str">
        <f>"20190312151337045"</f>
        <v>20190312151337045</v>
      </c>
      <c r="B3285" t="str">
        <f>"1552374817033719"</f>
        <v>1552374817033719</v>
      </c>
      <c r="C3285" t="s">
        <v>40</v>
      </c>
      <c r="D3285">
        <v>4.2092589999999896</v>
      </c>
      <c r="E3285">
        <v>0.50699570000000005</v>
      </c>
      <c r="F3285" t="s">
        <v>54</v>
      </c>
      <c r="G3285">
        <v>-231.5795</v>
      </c>
      <c r="H3285">
        <v>8.0001230000000007E-2</v>
      </c>
      <c r="I3285">
        <v>209.3484</v>
      </c>
      <c r="J3285">
        <v>-260.56509999999997</v>
      </c>
      <c r="K3285">
        <v>1.1089439999999999</v>
      </c>
      <c r="L3285">
        <v>214.37970000000001</v>
      </c>
      <c r="M3285">
        <v>0.99958460000000005</v>
      </c>
      <c r="N3285">
        <v>0</v>
      </c>
      <c r="O3285">
        <v>-2.6658580000000001E-2</v>
      </c>
      <c r="P3285">
        <v>0.98699119999999996</v>
      </c>
      <c r="Q3285">
        <v>5.392214E-2</v>
      </c>
      <c r="R3285">
        <v>-0.151463299999999</v>
      </c>
      <c r="S3285">
        <v>2.96698</v>
      </c>
      <c r="T3285">
        <v>-0.103983199999999</v>
      </c>
      <c r="U3285">
        <v>-0.50950620000000002</v>
      </c>
      <c r="V3285">
        <v>0.1251998</v>
      </c>
      <c r="W3285">
        <v>6.4573939999999996E-2</v>
      </c>
      <c r="X3285">
        <v>0.99002789999999996</v>
      </c>
      <c r="Y3285">
        <v>0.1428432</v>
      </c>
      <c r="Z3285">
        <v>-1.5574880000000001E-3</v>
      </c>
      <c r="AA3285">
        <v>0.98974410000000002</v>
      </c>
      <c r="AB3285">
        <v>37</v>
      </c>
      <c r="AC3285">
        <v>28.985599999999899</v>
      </c>
      <c r="AD3285">
        <v>-1.02894277</v>
      </c>
      <c r="AE3285">
        <v>-5.0313000000000097</v>
      </c>
      <c r="AF3285">
        <v>4.2515495266470502</v>
      </c>
      <c r="AG3285">
        <v>-1.02894277</v>
      </c>
      <c r="AH3285">
        <v>29.073867067218199</v>
      </c>
      <c r="AI3285">
        <v>92.005575890250995</v>
      </c>
      <c r="AJ3285">
        <v>81.680451859718801</v>
      </c>
      <c r="AK3285">
        <v>29.401090844452401</v>
      </c>
      <c r="AL3285">
        <v>86.297609740053204</v>
      </c>
      <c r="AM3285">
        <v>82.792583961260803</v>
      </c>
      <c r="AN3285">
        <v>1.00000001321278</v>
      </c>
    </row>
    <row r="3286" spans="1:40" x14ac:dyDescent="0.25">
      <c r="A3286" t="str">
        <f>"20190312151337066"</f>
        <v>20190312151337066</v>
      </c>
      <c r="B3286" t="str">
        <f>"1552374817063975"</f>
        <v>1552374817063975</v>
      </c>
      <c r="C3286" t="s">
        <v>40</v>
      </c>
      <c r="D3286">
        <v>4.1195550000000001</v>
      </c>
      <c r="E3286">
        <v>0.50698980000000005</v>
      </c>
      <c r="F3286" t="s">
        <v>54</v>
      </c>
      <c r="G3286">
        <v>-231.28049999999999</v>
      </c>
      <c r="H3286">
        <v>8.0001320000000001E-2</v>
      </c>
      <c r="I3286">
        <v>209.3391</v>
      </c>
      <c r="J3286">
        <v>-260.20319999999998</v>
      </c>
      <c r="K3286">
        <v>1.1089500000000001</v>
      </c>
      <c r="L3286">
        <v>214.36949999999999</v>
      </c>
      <c r="M3286">
        <v>0.99956750000000005</v>
      </c>
      <c r="N3286">
        <v>0</v>
      </c>
      <c r="O3286">
        <v>-2.728268E-2</v>
      </c>
      <c r="P3286">
        <v>0.9869156</v>
      </c>
      <c r="Q3286">
        <v>5.3509500000000002E-2</v>
      </c>
      <c r="R3286">
        <v>-0.1521006</v>
      </c>
      <c r="S3286">
        <v>2.9668269999999999</v>
      </c>
      <c r="T3286">
        <v>-0.1042423</v>
      </c>
      <c r="U3286">
        <v>-0.51066590000000001</v>
      </c>
      <c r="V3286">
        <v>0.1252199</v>
      </c>
      <c r="W3286">
        <v>6.4187540000000001E-2</v>
      </c>
      <c r="X3286">
        <v>0.99005049999999994</v>
      </c>
      <c r="Y3286">
        <v>0.14260970000000001</v>
      </c>
      <c r="Z3286">
        <v>-1.5355929999999901E-3</v>
      </c>
      <c r="AA3286">
        <v>0.98977780000000004</v>
      </c>
      <c r="AB3286">
        <v>37</v>
      </c>
      <c r="AC3286">
        <v>28.922699999999899</v>
      </c>
      <c r="AD3286">
        <v>-1.0289486800000001</v>
      </c>
      <c r="AE3286">
        <v>-5.0303999999999798</v>
      </c>
      <c r="AF3286">
        <v>4.2341893421638801</v>
      </c>
      <c r="AG3286">
        <v>-1.0289486800000001</v>
      </c>
      <c r="AH3286">
        <v>29.013541059440499</v>
      </c>
      <c r="AI3286">
        <v>92.009838605282795</v>
      </c>
      <c r="AJ3286">
        <v>81.696961411841599</v>
      </c>
      <c r="AK3286">
        <v>29.338927376085302</v>
      </c>
      <c r="AL3286">
        <v>86.319794909018199</v>
      </c>
      <c r="AM3286">
        <v>82.791601848974693</v>
      </c>
      <c r="AN3286">
        <v>1.00000002809875</v>
      </c>
    </row>
    <row r="3287" spans="1:40" x14ac:dyDescent="0.25">
      <c r="A3287" t="str">
        <f>"20190312151337091"</f>
        <v>20190312151337091</v>
      </c>
      <c r="B3287" t="str">
        <f>"1552374817083495"</f>
        <v>1552374817083495</v>
      </c>
      <c r="C3287" t="s">
        <v>40</v>
      </c>
      <c r="D3287">
        <v>4.0835749999999997</v>
      </c>
      <c r="E3287">
        <v>0.50702799999999904</v>
      </c>
      <c r="F3287" t="s">
        <v>54</v>
      </c>
      <c r="G3287">
        <v>-228.7792</v>
      </c>
      <c r="H3287">
        <v>8.0000600000000005E-2</v>
      </c>
      <c r="I3287">
        <v>208.93629999999999</v>
      </c>
      <c r="J3287">
        <v>-259.80619999999999</v>
      </c>
      <c r="K3287">
        <v>1.1089530000000001</v>
      </c>
      <c r="L3287">
        <v>214.3579</v>
      </c>
      <c r="M3287">
        <v>0.99954829999999995</v>
      </c>
      <c r="N3287">
        <v>0</v>
      </c>
      <c r="O3287">
        <v>-2.7967479999999999E-2</v>
      </c>
      <c r="P3287">
        <v>0.98676010000000003</v>
      </c>
      <c r="Q3287">
        <v>5.3474420000000002E-2</v>
      </c>
      <c r="R3287">
        <v>-0.15311930000000001</v>
      </c>
      <c r="S3287">
        <v>2.9660030000000002</v>
      </c>
      <c r="T3287">
        <v>-9.7118850000000007E-2</v>
      </c>
      <c r="U3287">
        <v>-0.51281739999999998</v>
      </c>
      <c r="V3287">
        <v>0.1255637</v>
      </c>
      <c r="W3287">
        <v>6.4182320000000001E-2</v>
      </c>
      <c r="X3287">
        <v>0.99000730000000003</v>
      </c>
      <c r="Y3287">
        <v>0.14268410000000001</v>
      </c>
      <c r="Z3287">
        <v>-1.4100079999999999E-3</v>
      </c>
      <c r="AA3287">
        <v>0.98976730000000002</v>
      </c>
      <c r="AB3287">
        <v>37</v>
      </c>
      <c r="AC3287">
        <v>31.026999999999902</v>
      </c>
      <c r="AD3287">
        <v>-1.0289523999999901</v>
      </c>
      <c r="AE3287">
        <v>-5.4216000000000104</v>
      </c>
      <c r="AF3287">
        <v>4.5468270742199097</v>
      </c>
      <c r="AG3287">
        <v>-1.0289523999999901</v>
      </c>
      <c r="AH3287">
        <v>31.133273806543801</v>
      </c>
      <c r="AI3287">
        <v>91.873076758270301</v>
      </c>
      <c r="AJ3287">
        <v>81.691037812428107</v>
      </c>
      <c r="AK3287">
        <v>31.480360820637799</v>
      </c>
      <c r="AL3287">
        <v>86.320094630882593</v>
      </c>
      <c r="AM3287">
        <v>82.771707649191796</v>
      </c>
      <c r="AN3287">
        <v>1.0000000335057799</v>
      </c>
    </row>
    <row r="3288" spans="1:40" x14ac:dyDescent="0.25">
      <c r="A3288" t="str">
        <f>"20190312151337117"</f>
        <v>20190312151337117</v>
      </c>
      <c r="B3288" t="str">
        <f>"1552374817113143"</f>
        <v>1552374817113143</v>
      </c>
      <c r="C3288" t="s">
        <v>40</v>
      </c>
      <c r="D3288">
        <v>4.0463279999999999</v>
      </c>
      <c r="E3288">
        <v>0.50699559999999999</v>
      </c>
      <c r="F3288" t="s">
        <v>54</v>
      </c>
      <c r="G3288">
        <v>-226.69280000000001</v>
      </c>
      <c r="H3288">
        <v>8.0001219999999998E-2</v>
      </c>
      <c r="I3288">
        <v>208.5949</v>
      </c>
      <c r="J3288">
        <v>-259.37799999999999</v>
      </c>
      <c r="K3288">
        <v>1.1089469999999999</v>
      </c>
      <c r="L3288">
        <v>214.34520000000001</v>
      </c>
      <c r="M3288">
        <v>0.9995269</v>
      </c>
      <c r="N3288">
        <v>0</v>
      </c>
      <c r="O3288">
        <v>-2.8705720000000001E-2</v>
      </c>
      <c r="P3288">
        <v>0.98665199999999997</v>
      </c>
      <c r="Q3288">
        <v>5.3161380000000001E-2</v>
      </c>
      <c r="R3288">
        <v>-0.15392159999999999</v>
      </c>
      <c r="S3288">
        <v>2.9652099999999999</v>
      </c>
      <c r="T3288">
        <v>-9.2139840000000001E-2</v>
      </c>
      <c r="U3288">
        <v>-0.51606750000000001</v>
      </c>
      <c r="V3288">
        <v>0.1256371</v>
      </c>
      <c r="W3288">
        <v>6.3904870000000003E-2</v>
      </c>
      <c r="X3288">
        <v>0.99001589999999995</v>
      </c>
      <c r="Y3288">
        <v>0.14305680000000001</v>
      </c>
      <c r="Z3288">
        <v>-1.3210029999999901E-3</v>
      </c>
      <c r="AA3288">
        <v>0.98971359999999997</v>
      </c>
      <c r="AB3288">
        <v>37</v>
      </c>
      <c r="AC3288">
        <v>32.685199999999902</v>
      </c>
      <c r="AD3288">
        <v>-1.0289457799999999</v>
      </c>
      <c r="AE3288">
        <v>-5.75030000000001</v>
      </c>
      <c r="AF3288">
        <v>4.8050017330705499</v>
      </c>
      <c r="AG3288">
        <v>-1.0289457799999999</v>
      </c>
      <c r="AH3288">
        <v>32.805270885923697</v>
      </c>
      <c r="AI3288">
        <v>91.777554024887095</v>
      </c>
      <c r="AJ3288">
        <v>81.667116174698506</v>
      </c>
      <c r="AK3288">
        <v>33.171261190552102</v>
      </c>
      <c r="AL3288">
        <v>86.336023914814206</v>
      </c>
      <c r="AM3288">
        <v>82.767589141749298</v>
      </c>
      <c r="AN3288">
        <v>0.99999999777946802</v>
      </c>
    </row>
    <row r="3289" spans="1:40" x14ac:dyDescent="0.25">
      <c r="A3289" t="str">
        <f>"20190312151337140"</f>
        <v>20190312151337140</v>
      </c>
      <c r="B3289" t="str">
        <f>"1552374817133639"</f>
        <v>1552374817133639</v>
      </c>
      <c r="C3289" t="s">
        <v>40</v>
      </c>
      <c r="D3289">
        <v>4.0258209999999996</v>
      </c>
      <c r="E3289">
        <v>0.50696920000000001</v>
      </c>
      <c r="F3289" t="s">
        <v>54</v>
      </c>
      <c r="G3289">
        <v>-224.64510000000001</v>
      </c>
      <c r="H3289">
        <v>8.0000370000000001E-2</v>
      </c>
      <c r="I3289">
        <v>208.2741</v>
      </c>
      <c r="J3289">
        <v>-258.98090000000002</v>
      </c>
      <c r="K3289">
        <v>1.108946</v>
      </c>
      <c r="L3289">
        <v>214.33320000000001</v>
      </c>
      <c r="M3289">
        <v>0.99950660000000002</v>
      </c>
      <c r="N3289">
        <v>0</v>
      </c>
      <c r="O3289">
        <v>-2.9390309999999999E-2</v>
      </c>
      <c r="P3289">
        <v>0.9865507</v>
      </c>
      <c r="Q3289">
        <v>5.3140600000000003E-2</v>
      </c>
      <c r="R3289">
        <v>-0.15457650000000001</v>
      </c>
      <c r="S3289">
        <v>2.9644780000000002</v>
      </c>
      <c r="T3289">
        <v>-8.7821250000000003E-2</v>
      </c>
      <c r="U3289">
        <v>-0.5181732</v>
      </c>
      <c r="V3289">
        <v>0.12561620000000001</v>
      </c>
      <c r="W3289">
        <v>6.3917730000000006E-2</v>
      </c>
      <c r="X3289">
        <v>0.9900177</v>
      </c>
      <c r="Y3289">
        <v>0.1431077</v>
      </c>
      <c r="Z3289">
        <v>-1.2400009999999999E-3</v>
      </c>
      <c r="AA3289">
        <v>0.98970630000000004</v>
      </c>
      <c r="AB3289">
        <v>37</v>
      </c>
      <c r="AC3289">
        <v>34.335799999999999</v>
      </c>
      <c r="AD3289">
        <v>-1.0289456299999999</v>
      </c>
      <c r="AE3289">
        <v>-6.0590999999999999</v>
      </c>
      <c r="AF3289">
        <v>5.0428885642377796</v>
      </c>
      <c r="AG3289">
        <v>-1.0289456299999999</v>
      </c>
      <c r="AH3289">
        <v>34.469035874552702</v>
      </c>
      <c r="AI3289">
        <v>91.691846040713898</v>
      </c>
      <c r="AJ3289">
        <v>81.6765638859072</v>
      </c>
      <c r="AK3289">
        <v>34.851167674871597</v>
      </c>
      <c r="AL3289">
        <v>86.335285502113706</v>
      </c>
      <c r="AM3289">
        <v>82.768792540518604</v>
      </c>
      <c r="AN3289">
        <v>0.99999997611204094</v>
      </c>
    </row>
    <row r="3290" spans="1:40" x14ac:dyDescent="0.25">
      <c r="A3290" t="str">
        <f>"20190312151337159"</f>
        <v>20190312151337159</v>
      </c>
      <c r="B3290" t="str">
        <f>"1552374817153159"</f>
        <v>1552374817153159</v>
      </c>
      <c r="C3290" t="s">
        <v>40</v>
      </c>
      <c r="D3290">
        <v>3.9771770000000002</v>
      </c>
      <c r="E3290">
        <v>0.50691030000000004</v>
      </c>
      <c r="F3290" t="s">
        <v>54</v>
      </c>
      <c r="G3290">
        <v>-223.72309999999999</v>
      </c>
      <c r="H3290">
        <v>8.0000650000000006E-2</v>
      </c>
      <c r="I3290">
        <v>208.14580000000001</v>
      </c>
      <c r="J3290">
        <v>-258.67439999999999</v>
      </c>
      <c r="K3290">
        <v>1.1089500000000001</v>
      </c>
      <c r="L3290">
        <v>214.3237</v>
      </c>
      <c r="M3290">
        <v>0.99949049999999995</v>
      </c>
      <c r="N3290">
        <v>0</v>
      </c>
      <c r="O3290">
        <v>-2.9918589999999998E-2</v>
      </c>
      <c r="P3290">
        <v>0.98644580000000004</v>
      </c>
      <c r="Q3290">
        <v>5.3084140000000002E-2</v>
      </c>
      <c r="R3290">
        <v>-0.15526379999999901</v>
      </c>
      <c r="S3290">
        <v>2.9640200000000001</v>
      </c>
      <c r="T3290">
        <v>-8.6500530000000006E-2</v>
      </c>
      <c r="U3290">
        <v>-0.52015690000000003</v>
      </c>
      <c r="V3290">
        <v>0.12578259999999999</v>
      </c>
      <c r="W3290">
        <v>6.3891089999999998E-2</v>
      </c>
      <c r="X3290">
        <v>0.9899983</v>
      </c>
      <c r="Y3290">
        <v>0.14325470000000001</v>
      </c>
      <c r="Z3290">
        <v>-1.2083350000000001E-3</v>
      </c>
      <c r="AA3290">
        <v>0.98968509999999998</v>
      </c>
      <c r="AB3290">
        <v>37</v>
      </c>
      <c r="AC3290">
        <v>34.951300000000003</v>
      </c>
      <c r="AD3290">
        <v>-1.02894935</v>
      </c>
      <c r="AE3290">
        <v>-6.1778999999999904</v>
      </c>
      <c r="AF3290">
        <v>5.1250685492298196</v>
      </c>
      <c r="AG3290">
        <v>-1.02894935</v>
      </c>
      <c r="AH3290">
        <v>35.091005761053303</v>
      </c>
      <c r="AI3290">
        <v>91.661941637497804</v>
      </c>
      <c r="AJ3290">
        <v>81.690656421160796</v>
      </c>
      <c r="AK3290">
        <v>35.4782151428373</v>
      </c>
      <c r="AL3290">
        <v>86.3368150166025</v>
      </c>
      <c r="AM3290">
        <v>82.759174789890196</v>
      </c>
      <c r="AN3290">
        <v>0.99999998392351797</v>
      </c>
    </row>
    <row r="3291" spans="1:40" x14ac:dyDescent="0.25">
      <c r="A3291" t="str">
        <f>"20190312151337180"</f>
        <v>20190312151337180</v>
      </c>
      <c r="B3291" t="str">
        <f>"1552374817173655"</f>
        <v>1552374817173655</v>
      </c>
      <c r="C3291" t="s">
        <v>40</v>
      </c>
      <c r="D3291">
        <v>3.9241489999999999</v>
      </c>
      <c r="E3291">
        <v>0.50689819999999997</v>
      </c>
      <c r="F3291" t="s">
        <v>54</v>
      </c>
      <c r="G3291">
        <v>-223.28559999999999</v>
      </c>
      <c r="H3291">
        <v>8.0000779999999994E-2</v>
      </c>
      <c r="I3291">
        <v>208.0976</v>
      </c>
      <c r="J3291">
        <v>-258.30829999999997</v>
      </c>
      <c r="K3291">
        <v>1.1089659999999999</v>
      </c>
      <c r="L3291">
        <v>214.31209999999999</v>
      </c>
      <c r="M3291">
        <v>0.99947090000000005</v>
      </c>
      <c r="N3291">
        <v>0</v>
      </c>
      <c r="O3291">
        <v>-3.055006E-2</v>
      </c>
      <c r="P3291">
        <v>0.98627629999999999</v>
      </c>
      <c r="Q3291">
        <v>5.3297030000000002E-2</v>
      </c>
      <c r="R3291">
        <v>-0.15626499999999999</v>
      </c>
      <c r="S3291">
        <v>2.9637600000000002</v>
      </c>
      <c r="T3291">
        <v>-8.6172940000000003E-2</v>
      </c>
      <c r="U3291">
        <v>-0.52142330000000003</v>
      </c>
      <c r="V3291">
        <v>0.1261632</v>
      </c>
      <c r="W3291">
        <v>6.4144720000000002E-2</v>
      </c>
      <c r="X3291">
        <v>0.98993350000000002</v>
      </c>
      <c r="Y3291">
        <v>0.14305509999999999</v>
      </c>
      <c r="Z3291">
        <v>-1.1827529999999999E-3</v>
      </c>
      <c r="AA3291">
        <v>0.98971399999999998</v>
      </c>
      <c r="AB3291">
        <v>37</v>
      </c>
      <c r="AC3291">
        <v>35.022699999999901</v>
      </c>
      <c r="AD3291">
        <v>-1.0289652199999999</v>
      </c>
      <c r="AE3291">
        <v>-6.2144999999999797</v>
      </c>
      <c r="AF3291">
        <v>5.1372876350121697</v>
      </c>
      <c r="AG3291">
        <v>-1.0289652199999999</v>
      </c>
      <c r="AH3291">
        <v>35.1667871367994</v>
      </c>
      <c r="AI3291">
        <v>91.658380103491297</v>
      </c>
      <c r="AJ3291">
        <v>81.6888200684444</v>
      </c>
      <c r="AK3291">
        <v>35.554935117276997</v>
      </c>
      <c r="AL3291">
        <v>86.322253337045595</v>
      </c>
      <c r="AM3291">
        <v>82.737028356131106</v>
      </c>
      <c r="AN3291">
        <v>1.0000000162801801</v>
      </c>
    </row>
    <row r="3292" spans="1:40" x14ac:dyDescent="0.25">
      <c r="A3292" t="str">
        <f>"20190312151337201"</f>
        <v>20190312151337201</v>
      </c>
      <c r="B3292" t="str">
        <f>"1552374817193175"</f>
        <v>1552374817193175</v>
      </c>
      <c r="C3292" t="s">
        <v>40</v>
      </c>
      <c r="D3292">
        <v>3.9278559999999998</v>
      </c>
      <c r="E3292">
        <v>0.50683520000000004</v>
      </c>
      <c r="F3292" t="s">
        <v>54</v>
      </c>
      <c r="G3292">
        <v>-222.3964</v>
      </c>
      <c r="H3292">
        <v>8.0001050000000004E-2</v>
      </c>
      <c r="I3292">
        <v>207.95519999999999</v>
      </c>
      <c r="J3292">
        <v>-257.95960000000002</v>
      </c>
      <c r="K3292">
        <v>1.108968</v>
      </c>
      <c r="L3292">
        <v>214.30090000000001</v>
      </c>
      <c r="M3292">
        <v>0.99945200000000001</v>
      </c>
      <c r="N3292">
        <v>0</v>
      </c>
      <c r="O3292">
        <v>-3.115153E-2</v>
      </c>
      <c r="P3292">
        <v>0.98615609999999998</v>
      </c>
      <c r="Q3292">
        <v>5.3292920000000001E-2</v>
      </c>
      <c r="R3292">
        <v>-0.1570231</v>
      </c>
      <c r="S3292">
        <v>2.9632260000000001</v>
      </c>
      <c r="T3292">
        <v>-8.4903839999999994E-2</v>
      </c>
      <c r="U3292">
        <v>-0.52453609999999995</v>
      </c>
      <c r="V3292">
        <v>0.12632889999999999</v>
      </c>
      <c r="W3292">
        <v>6.4187079999999994E-2</v>
      </c>
      <c r="X3292">
        <v>0.98990959999999995</v>
      </c>
      <c r="Y3292">
        <v>0.1434996</v>
      </c>
      <c r="Z3292">
        <v>-1.1546939999999999E-3</v>
      </c>
      <c r="AA3292">
        <v>0.98964969999999997</v>
      </c>
      <c r="AB3292">
        <v>37</v>
      </c>
      <c r="AC3292">
        <v>35.563200000000002</v>
      </c>
      <c r="AD3292">
        <v>-1.02896695</v>
      </c>
      <c r="AE3292">
        <v>-6.3457000000000203</v>
      </c>
      <c r="AF3292">
        <v>5.2304588338376599</v>
      </c>
      <c r="AG3292">
        <v>-1.02896695</v>
      </c>
      <c r="AH3292">
        <v>35.714652894272298</v>
      </c>
      <c r="AI3292">
        <v>91.632871071820801</v>
      </c>
      <c r="AJ3292">
        <v>81.668186203799493</v>
      </c>
      <c r="AK3292">
        <v>36.110288062476201</v>
      </c>
      <c r="AL3292">
        <v>86.319821194587405</v>
      </c>
      <c r="AM3292">
        <v>82.727417682308399</v>
      </c>
      <c r="AN3292">
        <v>0.999999994193148</v>
      </c>
    </row>
    <row r="3293" spans="1:40" x14ac:dyDescent="0.25">
      <c r="A3293" t="str">
        <f>"20190312151337224"</f>
        <v>20190312151337224</v>
      </c>
      <c r="B3293" t="str">
        <f>"1552374817213671"</f>
        <v>1552374817213671</v>
      </c>
      <c r="C3293" t="s">
        <v>40</v>
      </c>
      <c r="D3293">
        <v>3.9197310000000001</v>
      </c>
      <c r="E3293">
        <v>0.50685820000000004</v>
      </c>
      <c r="F3293" t="s">
        <v>54</v>
      </c>
      <c r="G3293">
        <v>-221.9718</v>
      </c>
      <c r="H3293">
        <v>8.0001169999999996E-2</v>
      </c>
      <c r="I3293">
        <v>207.90889999999999</v>
      </c>
      <c r="J3293">
        <v>-257.584</v>
      </c>
      <c r="K3293">
        <v>1.1089770000000001</v>
      </c>
      <c r="L3293">
        <v>214.2886</v>
      </c>
      <c r="M3293">
        <v>0.99943099999999996</v>
      </c>
      <c r="N3293">
        <v>0</v>
      </c>
      <c r="O3293">
        <v>-3.1799210000000001E-2</v>
      </c>
      <c r="P3293">
        <v>0.98594519999999997</v>
      </c>
      <c r="Q3293">
        <v>5.3686240000000003E-2</v>
      </c>
      <c r="R3293">
        <v>-0.1582102</v>
      </c>
      <c r="S3293">
        <v>2.9628909999999999</v>
      </c>
      <c r="T3293">
        <v>-8.4715369999999998E-2</v>
      </c>
      <c r="U3293">
        <v>-0.52626039999999996</v>
      </c>
      <c r="V3293">
        <v>0.12688089999999999</v>
      </c>
      <c r="W3293">
        <v>6.4635789999999999E-2</v>
      </c>
      <c r="X3293">
        <v>0.98980979999999996</v>
      </c>
      <c r="Y3293">
        <v>0.14343629999999999</v>
      </c>
      <c r="Z3293">
        <v>-1.1329669999999999E-3</v>
      </c>
      <c r="AA3293">
        <v>0.98965890000000001</v>
      </c>
      <c r="AB3293">
        <v>37</v>
      </c>
      <c r="AC3293">
        <v>35.612200000000001</v>
      </c>
      <c r="AD3293">
        <v>-1.02897583</v>
      </c>
      <c r="AE3293">
        <v>-6.3797000000000104</v>
      </c>
      <c r="AF3293">
        <v>5.2397233745383298</v>
      </c>
      <c r="AG3293">
        <v>-1.02897583</v>
      </c>
      <c r="AH3293">
        <v>35.768137272817803</v>
      </c>
      <c r="AI3293">
        <v>91.630435455643195</v>
      </c>
      <c r="AJ3293">
        <v>81.665941008984007</v>
      </c>
      <c r="AK3293">
        <v>36.164528702411602</v>
      </c>
      <c r="AL3293">
        <v>86.294058506760706</v>
      </c>
      <c r="AM3293">
        <v>82.695253733627894</v>
      </c>
      <c r="AN3293">
        <v>0.99999999415488705</v>
      </c>
    </row>
    <row r="3294" spans="1:40" x14ac:dyDescent="0.25">
      <c r="A3294" t="str">
        <f>"20190312151337246"</f>
        <v>20190312151337246</v>
      </c>
      <c r="B3294" t="str">
        <f>"1552374817243927"</f>
        <v>1552374817243927</v>
      </c>
      <c r="C3294" t="s">
        <v>40</v>
      </c>
      <c r="D3294">
        <v>3.9526240000000001</v>
      </c>
      <c r="E3294">
        <v>0.50683109999999998</v>
      </c>
      <c r="F3294" t="s">
        <v>54</v>
      </c>
      <c r="G3294">
        <v>-220.703</v>
      </c>
      <c r="H3294">
        <v>8.0001559999999999E-2</v>
      </c>
      <c r="I3294">
        <v>207.6883</v>
      </c>
      <c r="J3294">
        <v>-257.21719999999999</v>
      </c>
      <c r="K3294">
        <v>1.1089899999999999</v>
      </c>
      <c r="L3294">
        <v>214.27629999999999</v>
      </c>
      <c r="M3294">
        <v>0.99940989999999996</v>
      </c>
      <c r="N3294">
        <v>0</v>
      </c>
      <c r="O3294">
        <v>-3.2431050000000003E-2</v>
      </c>
      <c r="P3294">
        <v>0.98576660000000005</v>
      </c>
      <c r="Q3294">
        <v>5.367247E-2</v>
      </c>
      <c r="R3294">
        <v>-0.15932299999999999</v>
      </c>
      <c r="S3294">
        <v>2.9622039999999998</v>
      </c>
      <c r="T3294">
        <v>-8.2645060000000006E-2</v>
      </c>
      <c r="U3294">
        <v>-0.53012079999999995</v>
      </c>
      <c r="V3294">
        <v>0.12737299999999999</v>
      </c>
      <c r="W3294">
        <v>6.4679089999999995E-2</v>
      </c>
      <c r="X3294">
        <v>0.98974379999999995</v>
      </c>
      <c r="Y3294">
        <v>0.14410220000000001</v>
      </c>
      <c r="Z3294">
        <v>-1.097179E-3</v>
      </c>
      <c r="AA3294">
        <v>0.98956219999999995</v>
      </c>
      <c r="AB3294">
        <v>37</v>
      </c>
      <c r="AC3294">
        <v>36.514199999999903</v>
      </c>
      <c r="AD3294">
        <v>-1.02898844</v>
      </c>
      <c r="AE3294">
        <v>-6.5879999999999903</v>
      </c>
      <c r="AF3294">
        <v>5.3961142408241196</v>
      </c>
      <c r="AG3294">
        <v>-1.02898844</v>
      </c>
      <c r="AH3294">
        <v>36.6804485092634</v>
      </c>
      <c r="AI3294">
        <v>91.589782436534904</v>
      </c>
      <c r="AJ3294">
        <v>81.631162033626197</v>
      </c>
      <c r="AK3294">
        <v>37.089515620325898</v>
      </c>
      <c r="AL3294">
        <v>86.291572522022804</v>
      </c>
      <c r="AM3294">
        <v>82.666746816816101</v>
      </c>
      <c r="AN3294">
        <v>1.00000002772533</v>
      </c>
    </row>
    <row r="3295" spans="1:40" x14ac:dyDescent="0.25">
      <c r="A3295" t="str">
        <f>"20190312151337267"</f>
        <v>20190312151337267</v>
      </c>
      <c r="B3295" t="str">
        <f>"1552374817263447"</f>
        <v>1552374817263447</v>
      </c>
      <c r="C3295" t="s">
        <v>40</v>
      </c>
      <c r="D3295">
        <v>3.928385</v>
      </c>
      <c r="E3295">
        <v>0.50653049999999999</v>
      </c>
      <c r="F3295" t="s">
        <v>54</v>
      </c>
      <c r="G3295">
        <v>-219.56970000000001</v>
      </c>
      <c r="H3295">
        <v>8.0000440000000006E-2</v>
      </c>
      <c r="I3295">
        <v>207.50040000000001</v>
      </c>
      <c r="J3295">
        <v>-256.85419999999999</v>
      </c>
      <c r="K3295">
        <v>1.1089990000000001</v>
      </c>
      <c r="L3295">
        <v>214.26390000000001</v>
      </c>
      <c r="M3295">
        <v>0.99938870000000002</v>
      </c>
      <c r="N3295">
        <v>0</v>
      </c>
      <c r="O3295">
        <v>-3.305669E-2</v>
      </c>
      <c r="P3295">
        <v>0.98561889999999996</v>
      </c>
      <c r="Q3295">
        <v>5.344848E-2</v>
      </c>
      <c r="R3295">
        <v>-0.1603097</v>
      </c>
      <c r="S3295">
        <v>2.9615779999999998</v>
      </c>
      <c r="T3295">
        <v>-8.0946450000000003E-2</v>
      </c>
      <c r="U3295">
        <v>-0.53303529999999999</v>
      </c>
      <c r="V3295">
        <v>0.12774389999999999</v>
      </c>
      <c r="W3295">
        <v>6.4514929999999998E-2</v>
      </c>
      <c r="X3295">
        <v>0.98970670000000005</v>
      </c>
      <c r="Y3295">
        <v>0.14446419999999999</v>
      </c>
      <c r="Z3295">
        <v>-1.062747E-3</v>
      </c>
      <c r="AA3295">
        <v>0.98950950000000004</v>
      </c>
      <c r="AB3295">
        <v>37</v>
      </c>
      <c r="AC3295">
        <v>37.284499999999902</v>
      </c>
      <c r="AD3295">
        <v>-1.02899856</v>
      </c>
      <c r="AE3295">
        <v>-6.7634999999999899</v>
      </c>
      <c r="AF3295">
        <v>5.5231483121614904</v>
      </c>
      <c r="AG3295">
        <v>-1.02899856</v>
      </c>
      <c r="AH3295">
        <v>37.460090353011502</v>
      </c>
      <c r="AI3295">
        <v>91.556652805875501</v>
      </c>
      <c r="AJ3295">
        <v>81.6126887756147</v>
      </c>
      <c r="AK3295">
        <v>37.8790492828212</v>
      </c>
      <c r="AL3295">
        <v>86.300997839389098</v>
      </c>
      <c r="AM3295">
        <v>82.645353745198406</v>
      </c>
      <c r="AN3295">
        <v>1.0000000161025</v>
      </c>
    </row>
    <row r="3296" spans="1:40" x14ac:dyDescent="0.25">
      <c r="A3296" t="str">
        <f>"20190312151337291"</f>
        <v>20190312151337291</v>
      </c>
      <c r="B3296" t="str">
        <f>"1552374817283943"</f>
        <v>1552374817283943</v>
      </c>
      <c r="C3296" t="s">
        <v>40</v>
      </c>
      <c r="D3296">
        <v>3.9485839999999999</v>
      </c>
      <c r="E3296">
        <v>0.50622060000000002</v>
      </c>
      <c r="F3296" t="s">
        <v>54</v>
      </c>
      <c r="G3296">
        <v>-219.12379999999999</v>
      </c>
      <c r="H3296">
        <v>8.0000559999999998E-2</v>
      </c>
      <c r="I3296">
        <v>207.4624</v>
      </c>
      <c r="J3296">
        <v>-256.45650000000001</v>
      </c>
      <c r="K3296">
        <v>1.1090089999999999</v>
      </c>
      <c r="L3296">
        <v>214.2501</v>
      </c>
      <c r="M3296">
        <v>0.99936499999999995</v>
      </c>
      <c r="N3296">
        <v>0</v>
      </c>
      <c r="O3296">
        <v>-3.37422E-2</v>
      </c>
      <c r="P3296">
        <v>0.98549699999999996</v>
      </c>
      <c r="Q3296">
        <v>5.3557830000000001E-2</v>
      </c>
      <c r="R3296">
        <v>-0.16102079999999999</v>
      </c>
      <c r="S3296">
        <v>2.9613339999999999</v>
      </c>
      <c r="T3296">
        <v>-8.076274E-2</v>
      </c>
      <c r="U3296">
        <v>-0.53382869999999905</v>
      </c>
      <c r="V3296">
        <v>0.1277798</v>
      </c>
      <c r="W3296">
        <v>6.4690040000000004E-2</v>
      </c>
      <c r="X3296">
        <v>0.98969059999999998</v>
      </c>
      <c r="Y3296">
        <v>0.14405699999999999</v>
      </c>
      <c r="Z3296">
        <v>-1.036382E-3</v>
      </c>
      <c r="AA3296">
        <v>0.98956880000000003</v>
      </c>
      <c r="AB3296">
        <v>37</v>
      </c>
      <c r="AC3296">
        <v>37.332700000000003</v>
      </c>
      <c r="AD3296">
        <v>-1.0290084399999999</v>
      </c>
      <c r="AE3296">
        <v>-6.7877000000000001</v>
      </c>
      <c r="AF3296">
        <v>5.5200048713202401</v>
      </c>
      <c r="AG3296">
        <v>-1.0290084399999999</v>
      </c>
      <c r="AH3296">
        <v>37.512898100329203</v>
      </c>
      <c r="AI3296">
        <v>91.554542727461495</v>
      </c>
      <c r="AJ3296">
        <v>81.629027536588296</v>
      </c>
      <c r="AK3296">
        <v>37.930816443027901</v>
      </c>
      <c r="AL3296">
        <v>86.290943643587099</v>
      </c>
      <c r="AM3296">
        <v>82.643191134655694</v>
      </c>
      <c r="AN3296">
        <v>0.99999998114580002</v>
      </c>
    </row>
    <row r="3297" spans="1:40" x14ac:dyDescent="0.25">
      <c r="A3297" t="str">
        <f>"20190312151337317"</f>
        <v>20190312151337317</v>
      </c>
      <c r="B3297" t="str">
        <f>"1552374817313223"</f>
        <v>1552374817313223</v>
      </c>
      <c r="C3297" t="s">
        <v>40</v>
      </c>
      <c r="D3297">
        <v>3.9348160000000001</v>
      </c>
      <c r="E3297">
        <v>0.50578420000000002</v>
      </c>
      <c r="F3297" t="s">
        <v>54</v>
      </c>
      <c r="G3297">
        <v>-218.76599999999999</v>
      </c>
      <c r="H3297">
        <v>8.0000669999999996E-2</v>
      </c>
      <c r="I3297">
        <v>207.45650000000001</v>
      </c>
      <c r="J3297">
        <v>-256.03620000000001</v>
      </c>
      <c r="K3297">
        <v>1.109013</v>
      </c>
      <c r="L3297">
        <v>214.23519999999999</v>
      </c>
      <c r="M3297">
        <v>0.99933939999999999</v>
      </c>
      <c r="N3297">
        <v>0</v>
      </c>
      <c r="O3297">
        <v>-3.4467629999999999E-2</v>
      </c>
      <c r="P3297">
        <v>0.98531789999999997</v>
      </c>
      <c r="Q3297">
        <v>5.3328460000000001E-2</v>
      </c>
      <c r="R3297">
        <v>-0.16218779999999999</v>
      </c>
      <c r="S3297">
        <v>2.9613339999999999</v>
      </c>
      <c r="T3297">
        <v>-8.0848809999999993E-2</v>
      </c>
      <c r="U3297">
        <v>-0.53376769999999996</v>
      </c>
      <c r="V3297">
        <v>0.12823309999999999</v>
      </c>
      <c r="W3297">
        <v>6.4525869999999999E-2</v>
      </c>
      <c r="X3297">
        <v>0.98964269999999999</v>
      </c>
      <c r="Y3297">
        <v>0.14331930000000001</v>
      </c>
      <c r="Z3297">
        <v>-1.007892E-3</v>
      </c>
      <c r="AA3297">
        <v>0.989676</v>
      </c>
      <c r="AB3297">
        <v>37</v>
      </c>
      <c r="AC3297">
        <v>37.270200000000003</v>
      </c>
      <c r="AD3297">
        <v>-1.02901233</v>
      </c>
      <c r="AE3297">
        <v>-6.7786999999999802</v>
      </c>
      <c r="AF3297">
        <v>5.48592299211046</v>
      </c>
      <c r="AG3297">
        <v>-1.02901233</v>
      </c>
      <c r="AH3297">
        <v>37.454076407484898</v>
      </c>
      <c r="AI3297">
        <v>91.557140656703794</v>
      </c>
      <c r="AJ3297">
        <v>81.667103037516497</v>
      </c>
      <c r="AK3297">
        <v>37.867691466319599</v>
      </c>
      <c r="AL3297">
        <v>86.300369635693897</v>
      </c>
      <c r="AM3297">
        <v>82.617026811296299</v>
      </c>
      <c r="AN3297">
        <v>0.99999999474907797</v>
      </c>
    </row>
    <row r="3298" spans="1:40" x14ac:dyDescent="0.25">
      <c r="A3298" t="str">
        <f>"20190312151337339"</f>
        <v>20190312151337339</v>
      </c>
      <c r="B3298" t="str">
        <f>"1552374817333719"</f>
        <v>1552374817333719</v>
      </c>
      <c r="C3298" t="s">
        <v>40</v>
      </c>
      <c r="D3298">
        <v>4.0477990000000004</v>
      </c>
      <c r="E3298">
        <v>0.50543669999999996</v>
      </c>
      <c r="F3298" t="s">
        <v>54</v>
      </c>
      <c r="G3298">
        <v>-219.04249999999999</v>
      </c>
      <c r="H3298">
        <v>8.0000580000000002E-2</v>
      </c>
      <c r="I3298">
        <v>207.5676</v>
      </c>
      <c r="J3298">
        <v>-255.65430000000001</v>
      </c>
      <c r="K3298">
        <v>1.1090139999999999</v>
      </c>
      <c r="L3298">
        <v>214.22139999999999</v>
      </c>
      <c r="M3298">
        <v>0.99931590000000003</v>
      </c>
      <c r="N3298">
        <v>0</v>
      </c>
      <c r="O3298">
        <v>-3.5128060000000003E-2</v>
      </c>
      <c r="P3298">
        <v>0.98521760000000003</v>
      </c>
      <c r="Q3298">
        <v>5.271932E-2</v>
      </c>
      <c r="R3298">
        <v>-0.16299530000000001</v>
      </c>
      <c r="S3298">
        <v>2.9613040000000002</v>
      </c>
      <c r="T3298">
        <v>-8.2371349999999996E-2</v>
      </c>
      <c r="U3298">
        <v>-0.53373719999999902</v>
      </c>
      <c r="V3298">
        <v>0.12838820000000001</v>
      </c>
      <c r="W3298">
        <v>6.3976749999999999E-2</v>
      </c>
      <c r="X3298">
        <v>0.98965820000000004</v>
      </c>
      <c r="Y3298">
        <v>0.14265610000000001</v>
      </c>
      <c r="Z3298">
        <v>-9.9954389999999996E-4</v>
      </c>
      <c r="AA3298">
        <v>0.98977179999999998</v>
      </c>
      <c r="AB3298">
        <v>37</v>
      </c>
      <c r="AC3298">
        <v>36.611800000000002</v>
      </c>
      <c r="AD3298">
        <v>-1.0290134199999901</v>
      </c>
      <c r="AE3298">
        <v>-6.6537999999999897</v>
      </c>
      <c r="AF3298">
        <v>5.3594070253320298</v>
      </c>
      <c r="AG3298">
        <v>-1.0290134199999901</v>
      </c>
      <c r="AH3298">
        <v>36.794814844416699</v>
      </c>
      <c r="AI3298">
        <v>91.585212340817606</v>
      </c>
      <c r="AJ3298">
        <v>81.712771402934806</v>
      </c>
      <c r="AK3298">
        <v>37.197318609230798</v>
      </c>
      <c r="AL3298">
        <v>86.3318968871843</v>
      </c>
      <c r="AM3298">
        <v>82.608310173220303</v>
      </c>
      <c r="AN3298">
        <v>0.99999995363352001</v>
      </c>
    </row>
    <row r="3299" spans="1:40" x14ac:dyDescent="0.25">
      <c r="A3299" t="str">
        <f>"20190312151337359"</f>
        <v>20190312151337359</v>
      </c>
      <c r="B3299" t="str">
        <f>"1552374817353239"</f>
        <v>1552374817353239</v>
      </c>
      <c r="C3299" t="s">
        <v>40</v>
      </c>
      <c r="D3299">
        <v>4.0222930000000003</v>
      </c>
      <c r="E3299">
        <v>0.50533720000000004</v>
      </c>
      <c r="F3299" t="s">
        <v>54</v>
      </c>
      <c r="G3299">
        <v>-220.78550000000001</v>
      </c>
      <c r="H3299">
        <v>8.0001509999999998E-2</v>
      </c>
      <c r="I3299">
        <v>207.9451</v>
      </c>
      <c r="J3299">
        <v>-255.33340000000001</v>
      </c>
      <c r="K3299">
        <v>1.109019</v>
      </c>
      <c r="L3299">
        <v>214.20949999999999</v>
      </c>
      <c r="M3299">
        <v>0.9992955</v>
      </c>
      <c r="N3299">
        <v>0</v>
      </c>
      <c r="O3299">
        <v>-3.5682430000000001E-2</v>
      </c>
      <c r="P3299">
        <v>0.9850333</v>
      </c>
      <c r="Q3299">
        <v>5.2828819999999999E-2</v>
      </c>
      <c r="R3299">
        <v>-0.16406950000000001</v>
      </c>
      <c r="S3299">
        <v>2.9614720000000001</v>
      </c>
      <c r="T3299">
        <v>-8.7395909999999993E-2</v>
      </c>
      <c r="U3299">
        <v>-0.53305049999999998</v>
      </c>
      <c r="V3299">
        <v>0.128918899999999</v>
      </c>
      <c r="W3299">
        <v>6.4132830000000002E-2</v>
      </c>
      <c r="X3299">
        <v>0.98957910000000004</v>
      </c>
      <c r="Y3299">
        <v>0.14187040000000001</v>
      </c>
      <c r="Z3299">
        <v>-1.0327579999999999E-3</v>
      </c>
      <c r="AA3299">
        <v>0.98988469999999995</v>
      </c>
      <c r="AB3299">
        <v>37</v>
      </c>
      <c r="AC3299">
        <v>34.547899999999998</v>
      </c>
      <c r="AD3299">
        <v>-1.02901749</v>
      </c>
      <c r="AE3299">
        <v>-6.2643999999999904</v>
      </c>
      <c r="AF3299">
        <v>5.0232591737771797</v>
      </c>
      <c r="AG3299">
        <v>-1.02901749</v>
      </c>
      <c r="AH3299">
        <v>34.719618955354001</v>
      </c>
      <c r="AI3299">
        <v>91.6801475135385</v>
      </c>
      <c r="AJ3299">
        <v>81.767530757371901</v>
      </c>
      <c r="AK3299">
        <v>35.096209911137699</v>
      </c>
      <c r="AL3299">
        <v>86.322935741372604</v>
      </c>
      <c r="AM3299">
        <v>82.577509516876802</v>
      </c>
      <c r="AN3299">
        <v>0.99999994890891297</v>
      </c>
    </row>
    <row r="3300" spans="1:40" x14ac:dyDescent="0.25">
      <c r="A3300" t="str">
        <f>"20190312151337380"</f>
        <v>20190312151337380</v>
      </c>
      <c r="B3300" t="str">
        <f>"1552374817373735"</f>
        <v>1552374817373735</v>
      </c>
      <c r="C3300" t="s">
        <v>40</v>
      </c>
      <c r="D3300">
        <v>4.0152760000000001</v>
      </c>
      <c r="E3300">
        <v>0.50515900000000002</v>
      </c>
      <c r="F3300" t="s">
        <v>54</v>
      </c>
      <c r="G3300">
        <v>-220.54589999999999</v>
      </c>
      <c r="H3300">
        <v>8.0001589999999997E-2</v>
      </c>
      <c r="I3300">
        <v>207.91560000000001</v>
      </c>
      <c r="J3300">
        <v>-254.97649999999999</v>
      </c>
      <c r="K3300">
        <v>1.109027</v>
      </c>
      <c r="L3300">
        <v>214.1962</v>
      </c>
      <c r="M3300">
        <v>0.99927259999999996</v>
      </c>
      <c r="N3300">
        <v>0</v>
      </c>
      <c r="O3300">
        <v>-3.6299650000000003E-2</v>
      </c>
      <c r="P3300">
        <v>0.98485829999999996</v>
      </c>
      <c r="Q3300">
        <v>5.2937650000000003E-2</v>
      </c>
      <c r="R3300">
        <v>-0.16508139999999999</v>
      </c>
      <c r="S3300">
        <v>2.9610289999999999</v>
      </c>
      <c r="T3300">
        <v>-8.7587479999999995E-2</v>
      </c>
      <c r="U3300">
        <v>-0.5357208</v>
      </c>
      <c r="V3300">
        <v>0.1293252</v>
      </c>
      <c r="W3300">
        <v>6.429224E-2</v>
      </c>
      <c r="X3300">
        <v>0.98951579999999995</v>
      </c>
      <c r="Y3300">
        <v>0.1421492</v>
      </c>
      <c r="Z3300">
        <v>-1.021114E-3</v>
      </c>
      <c r="AA3300">
        <v>0.98984470000000002</v>
      </c>
      <c r="AB3300">
        <v>37</v>
      </c>
      <c r="AC3300">
        <v>34.430599999999998</v>
      </c>
      <c r="AD3300">
        <v>-1.02902541</v>
      </c>
      <c r="AE3300">
        <v>-6.28059999999999</v>
      </c>
      <c r="AF3300">
        <v>5.0222145764831803</v>
      </c>
      <c r="AG3300">
        <v>-1.02902541</v>
      </c>
      <c r="AH3300">
        <v>34.605988930308698</v>
      </c>
      <c r="AI3300">
        <v>91.685567761496898</v>
      </c>
      <c r="AJ3300">
        <v>81.742565270656499</v>
      </c>
      <c r="AK3300">
        <v>34.983653359695197</v>
      </c>
      <c r="AL3300">
        <v>86.313783554041606</v>
      </c>
      <c r="AM3300">
        <v>82.553907949684501</v>
      </c>
      <c r="AN3300">
        <v>1.0000000089644401</v>
      </c>
    </row>
    <row r="3301" spans="1:40" x14ac:dyDescent="0.25">
      <c r="A3301" t="str">
        <f>"20190312151337403"</f>
        <v>20190312151337403</v>
      </c>
      <c r="B3301" t="str">
        <f>"1552374817393255"</f>
        <v>1552374817393255</v>
      </c>
      <c r="C3301" t="s">
        <v>40</v>
      </c>
      <c r="D3301">
        <v>4.1518569999999997</v>
      </c>
      <c r="E3301">
        <v>0.50513249999999998</v>
      </c>
      <c r="F3301" t="s">
        <v>54</v>
      </c>
      <c r="G3301">
        <v>-220.48670000000001</v>
      </c>
      <c r="H3301">
        <v>8.0001610000000001E-2</v>
      </c>
      <c r="I3301">
        <v>207.93680000000001</v>
      </c>
      <c r="J3301">
        <v>-254.60239999999999</v>
      </c>
      <c r="K3301">
        <v>1.1090370000000001</v>
      </c>
      <c r="L3301">
        <v>214.18199999999999</v>
      </c>
      <c r="M3301">
        <v>0.99924840000000004</v>
      </c>
      <c r="N3301">
        <v>0</v>
      </c>
      <c r="O3301">
        <v>-3.694646E-2</v>
      </c>
      <c r="P3301">
        <v>0.98472090000000001</v>
      </c>
      <c r="Q3301">
        <v>5.2545229999999998E-2</v>
      </c>
      <c r="R3301">
        <v>-0.16602449999999999</v>
      </c>
      <c r="S3301">
        <v>2.9607700000000001</v>
      </c>
      <c r="T3301">
        <v>-8.833647E-2</v>
      </c>
      <c r="U3301">
        <v>-0.53733830000000005</v>
      </c>
      <c r="V3301">
        <v>0.12963089999999999</v>
      </c>
      <c r="W3301">
        <v>6.3953430000000006E-2</v>
      </c>
      <c r="X3301">
        <v>0.98949770000000004</v>
      </c>
      <c r="Y3301">
        <v>0.142046799999999</v>
      </c>
      <c r="Z3301">
        <v>-1.00927E-3</v>
      </c>
      <c r="AA3301">
        <v>0.98985939999999994</v>
      </c>
      <c r="AB3301">
        <v>37</v>
      </c>
      <c r="AC3301">
        <v>34.115699999999897</v>
      </c>
      <c r="AD3301">
        <v>-1.02903539</v>
      </c>
      <c r="AE3301">
        <v>-6.2452000000000103</v>
      </c>
      <c r="AF3301">
        <v>4.9760139615858199</v>
      </c>
      <c r="AG3301">
        <v>-1.02903539</v>
      </c>
      <c r="AH3301">
        <v>34.2929695442661</v>
      </c>
      <c r="AI3301">
        <v>91.700966226846205</v>
      </c>
      <c r="AJ3301">
        <v>81.7438309471124</v>
      </c>
      <c r="AK3301">
        <v>34.6673822049449</v>
      </c>
      <c r="AL3301">
        <v>86.333235771223301</v>
      </c>
      <c r="AM3301">
        <v>82.536370034110007</v>
      </c>
      <c r="AN3301">
        <v>0.99999995487443105</v>
      </c>
    </row>
    <row r="3302" spans="1:40" x14ac:dyDescent="0.25">
      <c r="A3302" t="str">
        <f>"20190312151337424"</f>
        <v>20190312151337424</v>
      </c>
      <c r="B3302" t="str">
        <f>"1552374817413751"</f>
        <v>1552374817413751</v>
      </c>
      <c r="C3302" t="s">
        <v>40</v>
      </c>
      <c r="D3302">
        <v>4.0264720000000001</v>
      </c>
      <c r="E3302">
        <v>0.52582779999999996</v>
      </c>
      <c r="F3302" t="s">
        <v>54</v>
      </c>
      <c r="G3302">
        <v>-220.84739999999999</v>
      </c>
      <c r="H3302">
        <v>8.0001509999999998E-2</v>
      </c>
      <c r="I3302">
        <v>208.02420000000001</v>
      </c>
      <c r="J3302">
        <v>-254.2296</v>
      </c>
      <c r="K3302">
        <v>1.1090450000000001</v>
      </c>
      <c r="L3302">
        <v>214.16759999999999</v>
      </c>
      <c r="M3302">
        <v>0.99922370000000005</v>
      </c>
      <c r="N3302">
        <v>0</v>
      </c>
      <c r="O3302">
        <v>-3.7590499999999999E-2</v>
      </c>
      <c r="P3302">
        <v>0.98454129999999995</v>
      </c>
      <c r="Q3302">
        <v>5.2384760000000002E-2</v>
      </c>
      <c r="R3302">
        <v>-0.16713629999999999</v>
      </c>
      <c r="S3302">
        <v>2.9603120000000001</v>
      </c>
      <c r="T3302">
        <v>-9.0246320000000005E-2</v>
      </c>
      <c r="U3302">
        <v>-0.54003909999999999</v>
      </c>
      <c r="V3302">
        <v>0.13011049999999999</v>
      </c>
      <c r="W3302">
        <v>6.3842079999999995E-2</v>
      </c>
      <c r="X3302">
        <v>0.98944200000000004</v>
      </c>
      <c r="Y3302">
        <v>0.14230799999999999</v>
      </c>
      <c r="Z3302">
        <v>-1.015679E-3</v>
      </c>
      <c r="AA3302">
        <v>0.98982190000000003</v>
      </c>
      <c r="AB3302">
        <v>37</v>
      </c>
      <c r="AC3302">
        <v>33.382199999999997</v>
      </c>
      <c r="AD3302">
        <v>-1.0290434900000001</v>
      </c>
      <c r="AE3302">
        <v>-6.1433999999999802</v>
      </c>
      <c r="AF3302">
        <v>4.8796316591841897</v>
      </c>
      <c r="AG3302">
        <v>-1.0290434900000001</v>
      </c>
      <c r="AH3302">
        <v>33.558708117902</v>
      </c>
      <c r="AI3302">
        <v>91.738099477461205</v>
      </c>
      <c r="AJ3302">
        <v>81.726840800230406</v>
      </c>
      <c r="AK3302">
        <v>33.927225441762403</v>
      </c>
      <c r="AL3302">
        <v>86.339628931639794</v>
      </c>
      <c r="AM3302">
        <v>82.508652700930099</v>
      </c>
      <c r="AN3302">
        <v>1.0000000123764801</v>
      </c>
    </row>
    <row r="3303" spans="1:40" x14ac:dyDescent="0.25">
      <c r="A3303" t="str">
        <f>"20190312151337447"</f>
        <v>20190312151337447</v>
      </c>
      <c r="B3303" t="str">
        <f>"1552374817443033"</f>
        <v>1552374817443033</v>
      </c>
      <c r="C3303" t="s">
        <v>40</v>
      </c>
      <c r="D3303">
        <v>4.0754060000000001</v>
      </c>
      <c r="E3303">
        <v>0.52986460000000002</v>
      </c>
      <c r="F3303" t="s">
        <v>54</v>
      </c>
      <c r="G3303">
        <v>-228.7653</v>
      </c>
      <c r="H3303">
        <v>8.0000650000000006E-2</v>
      </c>
      <c r="I3303">
        <v>208.03630000000001</v>
      </c>
      <c r="J3303">
        <v>-253.85679999999999</v>
      </c>
      <c r="K3303">
        <v>1.1090519999999999</v>
      </c>
      <c r="L3303">
        <v>214.15289999999999</v>
      </c>
      <c r="M3303">
        <v>0.99919860000000005</v>
      </c>
      <c r="N3303">
        <v>0</v>
      </c>
      <c r="O3303">
        <v>-3.8234900000000002E-2</v>
      </c>
      <c r="P3303">
        <v>0.98434670000000002</v>
      </c>
      <c r="Q3303">
        <v>5.2401410000000002E-2</v>
      </c>
      <c r="R3303">
        <v>-0.1682729</v>
      </c>
      <c r="S3303">
        <v>2.9335019999999998</v>
      </c>
      <c r="T3303">
        <v>-0.118546</v>
      </c>
      <c r="U3303">
        <v>-0.70632930000000005</v>
      </c>
      <c r="V3303">
        <v>0.13061510000000001</v>
      </c>
      <c r="W3303">
        <v>6.3907270000000002E-2</v>
      </c>
      <c r="X3303">
        <v>0.98937129999999995</v>
      </c>
      <c r="Y3303">
        <v>0.19662189999999999</v>
      </c>
      <c r="Z3303">
        <v>-2.394495E-3</v>
      </c>
      <c r="AA3303">
        <v>0.98047640000000003</v>
      </c>
      <c r="AB3303">
        <v>37</v>
      </c>
      <c r="AC3303">
        <v>25.0915</v>
      </c>
      <c r="AD3303">
        <v>-1.02905135</v>
      </c>
      <c r="AE3303">
        <v>-6.1165999999999698</v>
      </c>
      <c r="AF3303">
        <v>5.1445208857119402</v>
      </c>
      <c r="AG3303">
        <v>-1.02905135</v>
      </c>
      <c r="AH3303">
        <v>25.266919327701402</v>
      </c>
      <c r="AI3303">
        <v>92.285370194933293</v>
      </c>
      <c r="AJ3303">
        <v>78.491490527452498</v>
      </c>
      <c r="AK3303">
        <v>25.805856973505701</v>
      </c>
      <c r="AL3303">
        <v>86.335886154861598</v>
      </c>
      <c r="AM3303">
        <v>82.479400093929002</v>
      </c>
      <c r="AN3303">
        <v>1.0000000063852701</v>
      </c>
    </row>
    <row r="3304" spans="1:40" x14ac:dyDescent="0.25">
      <c r="A3304" t="str">
        <f>"20190312151337470"</f>
        <v>20190312151337470</v>
      </c>
      <c r="B3304" t="str">
        <f>"1552374817463527"</f>
        <v>1552374817463527</v>
      </c>
      <c r="C3304" t="s">
        <v>40</v>
      </c>
      <c r="D3304">
        <v>3.987422</v>
      </c>
      <c r="E3304">
        <v>0.53132429999999997</v>
      </c>
      <c r="F3304" t="s">
        <v>54</v>
      </c>
      <c r="G3304">
        <v>-234.97839999999999</v>
      </c>
      <c r="H3304">
        <v>8.0001699999999995E-2</v>
      </c>
      <c r="I3304">
        <v>209.37379999999999</v>
      </c>
      <c r="J3304">
        <v>-253.4753</v>
      </c>
      <c r="K3304">
        <v>1.109062</v>
      </c>
      <c r="L3304">
        <v>214.1377</v>
      </c>
      <c r="M3304">
        <v>0.99917259999999997</v>
      </c>
      <c r="N3304">
        <v>0</v>
      </c>
      <c r="O3304">
        <v>-3.8894560000000002E-2</v>
      </c>
      <c r="P3304">
        <v>0.98422690000000002</v>
      </c>
      <c r="Q3304">
        <v>5.2562440000000002E-2</v>
      </c>
      <c r="R3304">
        <v>-0.16892279999999901</v>
      </c>
      <c r="S3304">
        <v>2.9294129999999998</v>
      </c>
      <c r="T3304">
        <v>-0.15968060000000001</v>
      </c>
      <c r="U3304">
        <v>-0.74159240000000004</v>
      </c>
      <c r="V3304">
        <v>0.13061589999999901</v>
      </c>
      <c r="W3304">
        <v>6.4118540000000002E-2</v>
      </c>
      <c r="X3304">
        <v>0.9893575</v>
      </c>
      <c r="Y3304">
        <v>0.2072843</v>
      </c>
      <c r="Z3304">
        <v>-3.4748579999999999E-3</v>
      </c>
      <c r="AA3304">
        <v>0.97827459999999999</v>
      </c>
      <c r="AB3304">
        <v>37</v>
      </c>
      <c r="AC3304">
        <v>18.4969</v>
      </c>
      <c r="AD3304">
        <v>-1.0290603</v>
      </c>
      <c r="AE3304">
        <v>-4.7638999999999996</v>
      </c>
      <c r="AF3304">
        <v>4.02912008610011</v>
      </c>
      <c r="AG3304">
        <v>-1.0290603</v>
      </c>
      <c r="AH3304">
        <v>18.6141746991022</v>
      </c>
      <c r="AI3304">
        <v>93.092821205555197</v>
      </c>
      <c r="AJ3304">
        <v>77.786494275373897</v>
      </c>
      <c r="AK3304">
        <v>19.0730247600622</v>
      </c>
      <c r="AL3304">
        <v>86.323756307269093</v>
      </c>
      <c r="AM3304">
        <v>82.4792508579919</v>
      </c>
      <c r="AN3304">
        <v>0.99999998165539505</v>
      </c>
    </row>
    <row r="3305" spans="1:40" x14ac:dyDescent="0.25">
      <c r="A3305" t="str">
        <f>"20190312151337492"</f>
        <v>20190312151337492</v>
      </c>
      <c r="B3305" t="str">
        <f>"1552374817483048"</f>
        <v>1552374817483048</v>
      </c>
      <c r="C3305" t="s">
        <v>40</v>
      </c>
      <c r="D3305">
        <v>4.0793530000000002</v>
      </c>
      <c r="E3305">
        <v>0.53220239999999996</v>
      </c>
      <c r="F3305" t="s">
        <v>54</v>
      </c>
      <c r="G3305">
        <v>-234.9727</v>
      </c>
      <c r="H3305">
        <v>8.0001699999999995E-2</v>
      </c>
      <c r="I3305">
        <v>209.36449999999999</v>
      </c>
      <c r="J3305">
        <v>-253.10390000000001</v>
      </c>
      <c r="K3305">
        <v>1.109067</v>
      </c>
      <c r="L3305">
        <v>214.12260000000001</v>
      </c>
      <c r="M3305">
        <v>0.9991468</v>
      </c>
      <c r="N3305">
        <v>0</v>
      </c>
      <c r="O3305">
        <v>-3.9536780000000001E-2</v>
      </c>
      <c r="P3305">
        <v>0.98407259999999996</v>
      </c>
      <c r="Q3305">
        <v>5.2751560000000003E-2</v>
      </c>
      <c r="R3305">
        <v>-0.16976040000000001</v>
      </c>
      <c r="S3305">
        <v>2.9271850000000001</v>
      </c>
      <c r="T3305">
        <v>-0.162800799999999</v>
      </c>
      <c r="U3305">
        <v>-0.75512699999999999</v>
      </c>
      <c r="V3305">
        <v>0.13082299999999999</v>
      </c>
      <c r="W3305">
        <v>6.4352179999999995E-2</v>
      </c>
      <c r="X3305">
        <v>0.98931500000000006</v>
      </c>
      <c r="Y3305">
        <v>0.2110631</v>
      </c>
      <c r="Z3305">
        <v>-3.6116220000000001E-3</v>
      </c>
      <c r="AA3305">
        <v>0.97746569999999999</v>
      </c>
      <c r="AB3305">
        <v>37</v>
      </c>
      <c r="AC3305">
        <v>18.1312</v>
      </c>
      <c r="AD3305">
        <v>-1.0290653000000001</v>
      </c>
      <c r="AE3305">
        <v>-4.7581000000000104</v>
      </c>
      <c r="AF3305">
        <v>4.0253473965640802</v>
      </c>
      <c r="AG3305">
        <v>-1.0290653000000001</v>
      </c>
      <c r="AH3305">
        <v>18.250153226014</v>
      </c>
      <c r="AI3305">
        <v>93.1517055613282</v>
      </c>
      <c r="AJ3305">
        <v>77.561700462013505</v>
      </c>
      <c r="AK3305">
        <v>18.717117561945201</v>
      </c>
      <c r="AL3305">
        <v>86.310342140069693</v>
      </c>
      <c r="AM3305">
        <v>82.467143167722597</v>
      </c>
      <c r="AN3305">
        <v>1.00000001481237</v>
      </c>
    </row>
    <row r="3306" spans="1:40" x14ac:dyDescent="0.25">
      <c r="A3306" t="str">
        <f>"20190312151337518"</f>
        <v>20190312151337518</v>
      </c>
      <c r="B3306" t="str">
        <f>"1552374817513305"</f>
        <v>1552374817513305</v>
      </c>
      <c r="C3306" t="s">
        <v>40</v>
      </c>
      <c r="D3306">
        <v>4.100746</v>
      </c>
      <c r="E3306">
        <v>0.53243209999999996</v>
      </c>
      <c r="F3306" t="s">
        <v>54</v>
      </c>
      <c r="G3306">
        <v>-234.76849999999999</v>
      </c>
      <c r="H3306">
        <v>8.0000290000000002E-2</v>
      </c>
      <c r="I3306">
        <v>209.33090000000001</v>
      </c>
      <c r="J3306">
        <v>-252.67179999999999</v>
      </c>
      <c r="K3306">
        <v>1.109067</v>
      </c>
      <c r="L3306">
        <v>214.10470000000001</v>
      </c>
      <c r="M3306">
        <v>0.99911649999999996</v>
      </c>
      <c r="N3306">
        <v>0</v>
      </c>
      <c r="O3306">
        <v>-4.0284380000000002E-2</v>
      </c>
      <c r="P3306">
        <v>0.98394090000000001</v>
      </c>
      <c r="Q3306">
        <v>5.2677429999999997E-2</v>
      </c>
      <c r="R3306">
        <v>-0.17054569999999999</v>
      </c>
      <c r="S3306">
        <v>2.9254760000000002</v>
      </c>
      <c r="T3306">
        <v>-0.16419059999999999</v>
      </c>
      <c r="U3306">
        <v>-0.76452640000000005</v>
      </c>
      <c r="V3306">
        <v>0.13087219999999999</v>
      </c>
      <c r="W3306">
        <v>6.4325069999999998E-2</v>
      </c>
      <c r="X3306">
        <v>0.98931029999999998</v>
      </c>
      <c r="Y3306">
        <v>0.2134047</v>
      </c>
      <c r="Z3306">
        <v>-3.6665230000000001E-3</v>
      </c>
      <c r="AA3306">
        <v>0.97695699999999996</v>
      </c>
      <c r="AB3306">
        <v>37</v>
      </c>
      <c r="AC3306">
        <v>17.903300000000002</v>
      </c>
      <c r="AD3306">
        <v>-1.0290667099999999</v>
      </c>
      <c r="AE3306">
        <v>-4.7737999999999898</v>
      </c>
      <c r="AF3306">
        <v>4.0361994362312101</v>
      </c>
      <c r="AG3306">
        <v>-1.0290667099999999</v>
      </c>
      <c r="AH3306">
        <v>18.025487902139901</v>
      </c>
      <c r="AI3306">
        <v>93.188652236852306</v>
      </c>
      <c r="AJ3306">
        <v>77.378733120915399</v>
      </c>
      <c r="AK3306">
        <v>18.500489136583798</v>
      </c>
      <c r="AL3306">
        <v>86.311898814970206</v>
      </c>
      <c r="AM3306">
        <v>82.464307368060204</v>
      </c>
      <c r="AN3306">
        <v>1.00000005852471</v>
      </c>
    </row>
    <row r="3307" spans="1:40" x14ac:dyDescent="0.25">
      <c r="A3307" t="str">
        <f>"20190312151337541"</f>
        <v>20190312151337541</v>
      </c>
      <c r="B3307" t="str">
        <f>"1552374817533799"</f>
        <v>1552374817533799</v>
      </c>
      <c r="C3307" t="s">
        <v>40</v>
      </c>
      <c r="D3307">
        <v>4.1275320000000004</v>
      </c>
      <c r="E3307">
        <v>0.53271630000000003</v>
      </c>
      <c r="F3307" t="s">
        <v>54</v>
      </c>
      <c r="G3307">
        <v>-235.494</v>
      </c>
      <c r="H3307">
        <v>7.6874449999999997E-2</v>
      </c>
      <c r="I3307">
        <v>209.58940000000001</v>
      </c>
      <c r="J3307">
        <v>-252.27600000000001</v>
      </c>
      <c r="K3307">
        <v>1.109075</v>
      </c>
      <c r="L3307">
        <v>214.0881</v>
      </c>
      <c r="M3307">
        <v>0.99908819999999998</v>
      </c>
      <c r="N3307">
        <v>0</v>
      </c>
      <c r="O3307">
        <v>-4.0969220000000001E-2</v>
      </c>
      <c r="P3307">
        <v>0.98376589999999997</v>
      </c>
      <c r="Q3307">
        <v>5.2777329999999997E-2</v>
      </c>
      <c r="R3307">
        <v>-0.17152149999999999</v>
      </c>
      <c r="S3307">
        <v>2.9251100000000001</v>
      </c>
      <c r="T3307">
        <v>-0.175765899999999</v>
      </c>
      <c r="U3307">
        <v>-0.76887510000000003</v>
      </c>
      <c r="V3307">
        <v>0.1311756</v>
      </c>
      <c r="W3307">
        <v>6.4463060000000003E-2</v>
      </c>
      <c r="X3307">
        <v>0.9892611</v>
      </c>
      <c r="Y3307">
        <v>0.2140869</v>
      </c>
      <c r="Z3307">
        <v>-3.9041829999999999E-3</v>
      </c>
      <c r="AA3307">
        <v>0.97680679999999998</v>
      </c>
      <c r="AB3307">
        <v>37</v>
      </c>
      <c r="AC3307">
        <v>16.781999999999901</v>
      </c>
      <c r="AD3307">
        <v>-1.03220055</v>
      </c>
      <c r="AE3307">
        <v>-4.4986999999999799</v>
      </c>
      <c r="AF3307">
        <v>3.7939369503827098</v>
      </c>
      <c r="AG3307">
        <v>-1.03220055</v>
      </c>
      <c r="AH3307">
        <v>16.892608455155901</v>
      </c>
      <c r="AI3307">
        <v>93.411853215572506</v>
      </c>
      <c r="AJ3307">
        <v>77.341893791423701</v>
      </c>
      <c r="AK3307">
        <v>17.344152212722999</v>
      </c>
      <c r="AL3307">
        <v>86.303976000087602</v>
      </c>
      <c r="AM3307">
        <v>82.446667586937807</v>
      </c>
      <c r="AN3307">
        <v>1.0000000240565601</v>
      </c>
    </row>
    <row r="3308" spans="1:40" x14ac:dyDescent="0.25">
      <c r="A3308" t="str">
        <f>"20190312151337563"</f>
        <v>20190312151337563</v>
      </c>
      <c r="B3308" t="str">
        <f>"1552374817553320"</f>
        <v>1552374817553320</v>
      </c>
      <c r="C3308" t="s">
        <v>40</v>
      </c>
      <c r="D3308">
        <v>4.1351680000000002</v>
      </c>
      <c r="E3308">
        <v>0.53284719999999997</v>
      </c>
      <c r="F3308" t="s">
        <v>54</v>
      </c>
      <c r="G3308">
        <v>-235.3503</v>
      </c>
      <c r="H3308">
        <v>5.9163300000000002E-2</v>
      </c>
      <c r="I3308">
        <v>209.6071</v>
      </c>
      <c r="J3308">
        <v>-251.9314</v>
      </c>
      <c r="K3308">
        <v>1.1090819999999999</v>
      </c>
      <c r="L3308">
        <v>214.07329999999999</v>
      </c>
      <c r="M3308">
        <v>0.99906309999999998</v>
      </c>
      <c r="N3308">
        <v>0</v>
      </c>
      <c r="O3308">
        <v>-4.1565789999999998E-2</v>
      </c>
      <c r="P3308">
        <v>0.98365530000000001</v>
      </c>
      <c r="Q3308">
        <v>5.2742329999999997E-2</v>
      </c>
      <c r="R3308">
        <v>-0.17216500000000001</v>
      </c>
      <c r="S3308">
        <v>2.9242710000000001</v>
      </c>
      <c r="T3308">
        <v>-0.181394</v>
      </c>
      <c r="U3308">
        <v>-0.77416989999999997</v>
      </c>
      <c r="V3308">
        <v>0.13123209999999999</v>
      </c>
      <c r="W3308">
        <v>6.4456869999999999E-2</v>
      </c>
      <c r="X3308">
        <v>0.98925399999999997</v>
      </c>
      <c r="Y3308">
        <v>0.21520619999999999</v>
      </c>
      <c r="Z3308">
        <v>-4.0270649999999998E-3</v>
      </c>
      <c r="AA3308">
        <v>0.9765604</v>
      </c>
      <c r="AB3308">
        <v>37</v>
      </c>
      <c r="AC3308">
        <v>16.5810999999999</v>
      </c>
      <c r="AD3308">
        <v>-1.0499187000000001</v>
      </c>
      <c r="AE3308">
        <v>-4.4661999999999802</v>
      </c>
      <c r="AF3308">
        <v>3.7590309153209098</v>
      </c>
      <c r="AG3308">
        <v>-1.0499187000000001</v>
      </c>
      <c r="AH3308">
        <v>16.690031414962601</v>
      </c>
      <c r="AI3308">
        <v>93.5118172973893</v>
      </c>
      <c r="AJ3308">
        <v>77.307285999460703</v>
      </c>
      <c r="AK3308">
        <v>17.140297294136602</v>
      </c>
      <c r="AL3308">
        <v>86.304331364116393</v>
      </c>
      <c r="AM3308">
        <v>82.443398192753904</v>
      </c>
      <c r="AN3308">
        <v>1.0000000143383001</v>
      </c>
    </row>
    <row r="3309" spans="1:40" x14ac:dyDescent="0.25">
      <c r="A3309" t="str">
        <f>"20190312151337581"</f>
        <v>20190312151337581</v>
      </c>
      <c r="B3309" t="str">
        <f>"1552374817573815"</f>
        <v>1552374817573815</v>
      </c>
      <c r="C3309" t="s">
        <v>40</v>
      </c>
      <c r="D3309">
        <v>4.1684469999999996</v>
      </c>
      <c r="E3309">
        <v>0.53298909999999999</v>
      </c>
      <c r="F3309" t="s">
        <v>54</v>
      </c>
      <c r="G3309">
        <v>-235.1617</v>
      </c>
      <c r="H3309">
        <v>3.0587610000000001E-2</v>
      </c>
      <c r="I3309">
        <v>209.6163</v>
      </c>
      <c r="J3309">
        <v>-251.60570000000001</v>
      </c>
      <c r="K3309">
        <v>1.1090819999999999</v>
      </c>
      <c r="L3309">
        <v>214.0592</v>
      </c>
      <c r="M3309">
        <v>0.99903920000000002</v>
      </c>
      <c r="N3309">
        <v>0</v>
      </c>
      <c r="O3309">
        <v>-4.2129670000000001E-2</v>
      </c>
      <c r="P3309">
        <v>0.98353520000000005</v>
      </c>
      <c r="Q3309">
        <v>5.2760939999999999E-2</v>
      </c>
      <c r="R3309">
        <v>-0.17284430000000001</v>
      </c>
      <c r="S3309">
        <v>2.9239199999999999</v>
      </c>
      <c r="T3309">
        <v>-0.18804360000000001</v>
      </c>
      <c r="U3309">
        <v>-0.77711490000000005</v>
      </c>
      <c r="V3309">
        <v>0.1313568</v>
      </c>
      <c r="W3309">
        <v>6.4500660000000001E-2</v>
      </c>
      <c r="X3309">
        <v>0.98923459999999996</v>
      </c>
      <c r="Y3309">
        <v>0.2155802</v>
      </c>
      <c r="Z3309">
        <v>-4.1506900000000003E-3</v>
      </c>
      <c r="AA3309">
        <v>0.97647729999999999</v>
      </c>
      <c r="AB3309">
        <v>37</v>
      </c>
      <c r="AC3309">
        <v>16.443999999999999</v>
      </c>
      <c r="AD3309">
        <v>-1.0784943899999999</v>
      </c>
      <c r="AE3309">
        <v>-4.4428999999999998</v>
      </c>
      <c r="AF3309">
        <v>3.7311662679395998</v>
      </c>
      <c r="AG3309">
        <v>-1.0784943899999999</v>
      </c>
      <c r="AH3309">
        <v>16.550241953807799</v>
      </c>
      <c r="AI3309">
        <v>93.637365293826605</v>
      </c>
      <c r="AJ3309">
        <v>77.295360750511506</v>
      </c>
      <c r="AK3309">
        <v>16.999860605247701</v>
      </c>
      <c r="AL3309">
        <v>86.301817167136093</v>
      </c>
      <c r="AM3309">
        <v>82.436154200652794</v>
      </c>
      <c r="AN3309">
        <v>1.00000001894191</v>
      </c>
    </row>
    <row r="3310" spans="1:40" x14ac:dyDescent="0.25">
      <c r="A3310" t="str">
        <f>"20190312151337603"</f>
        <v>20190312151337603</v>
      </c>
      <c r="B3310" t="str">
        <f>"1552374817593336"</f>
        <v>1552374817593336</v>
      </c>
      <c r="C3310" t="s">
        <v>40</v>
      </c>
      <c r="D3310">
        <v>4.1757989999999996</v>
      </c>
      <c r="E3310">
        <v>0.53314589999999995</v>
      </c>
      <c r="F3310" t="s">
        <v>54</v>
      </c>
      <c r="G3310">
        <v>-234.965</v>
      </c>
      <c r="H3310">
        <v>1.9461280000000001E-2</v>
      </c>
      <c r="I3310">
        <v>209.6163</v>
      </c>
      <c r="J3310">
        <v>-251.24539999999999</v>
      </c>
      <c r="K3310">
        <v>1.1090850000000001</v>
      </c>
      <c r="L3310">
        <v>214.04339999999999</v>
      </c>
      <c r="M3310">
        <v>0.99901240000000002</v>
      </c>
      <c r="N3310">
        <v>0</v>
      </c>
      <c r="O3310">
        <v>-4.2753770000000003E-2</v>
      </c>
      <c r="P3310">
        <v>0.98337470000000005</v>
      </c>
      <c r="Q3310">
        <v>5.2821119999999999E-2</v>
      </c>
      <c r="R3310">
        <v>-0.17373659999999999</v>
      </c>
      <c r="S3310">
        <v>2.9233250000000002</v>
      </c>
      <c r="T3310">
        <v>-0.19141639999999999</v>
      </c>
      <c r="U3310">
        <v>-0.78050229999999998</v>
      </c>
      <c r="V3310">
        <v>0.1316369</v>
      </c>
      <c r="W3310">
        <v>6.4587729999999996E-2</v>
      </c>
      <c r="X3310">
        <v>0.98919170000000001</v>
      </c>
      <c r="Y3310">
        <v>0.21606420000000001</v>
      </c>
      <c r="Z3310">
        <v>-4.2007879999999996E-3</v>
      </c>
      <c r="AA3310">
        <v>0.97637010000000002</v>
      </c>
      <c r="AB3310">
        <v>37</v>
      </c>
      <c r="AC3310">
        <v>16.280399999999901</v>
      </c>
      <c r="AD3310">
        <v>-1.0896237200000001</v>
      </c>
      <c r="AE3310">
        <v>-4.4270999999999896</v>
      </c>
      <c r="AF3310">
        <v>3.7114714556008401</v>
      </c>
      <c r="AG3310">
        <v>-1.0896237200000001</v>
      </c>
      <c r="AH3310">
        <v>16.386452720675301</v>
      </c>
      <c r="AI3310">
        <v>93.710590448066398</v>
      </c>
      <c r="AJ3310">
        <v>77.238040250967799</v>
      </c>
      <c r="AK3310">
        <v>16.836808871750399</v>
      </c>
      <c r="AL3310">
        <v>86.296818054895596</v>
      </c>
      <c r="AM3310">
        <v>82.419887783766001</v>
      </c>
      <c r="AN3310">
        <v>1.00000003382852</v>
      </c>
    </row>
    <row r="3311" spans="1:40" x14ac:dyDescent="0.25">
      <c r="A3311" t="str">
        <f>"20190312151337625"</f>
        <v>20190312151337625</v>
      </c>
      <c r="B3311" t="str">
        <f>"1552374817613831"</f>
        <v>1552374817613831</v>
      </c>
      <c r="C3311" t="s">
        <v>40</v>
      </c>
      <c r="D3311">
        <v>4.2140339999999998</v>
      </c>
      <c r="E3311">
        <v>0.53326169999999995</v>
      </c>
      <c r="F3311" t="s">
        <v>54</v>
      </c>
      <c r="G3311">
        <v>-234.74809999999999</v>
      </c>
      <c r="H3311">
        <v>1.0296359999999999E-2</v>
      </c>
      <c r="I3311">
        <v>209.6163</v>
      </c>
      <c r="J3311">
        <v>-250.8777</v>
      </c>
      <c r="K3311">
        <v>1.1090869999999999</v>
      </c>
      <c r="L3311">
        <v>214.02709999999999</v>
      </c>
      <c r="M3311">
        <v>0.9989846</v>
      </c>
      <c r="N3311">
        <v>0</v>
      </c>
      <c r="O3311">
        <v>-4.3390289999999998E-2</v>
      </c>
      <c r="P3311">
        <v>0.98319529999999999</v>
      </c>
      <c r="Q3311">
        <v>5.3135979999999999E-2</v>
      </c>
      <c r="R3311">
        <v>-0.1746529</v>
      </c>
      <c r="S3311">
        <v>2.9226230000000002</v>
      </c>
      <c r="T3311">
        <v>-0.19465959999999999</v>
      </c>
      <c r="U3311">
        <v>-0.78430180000000005</v>
      </c>
      <c r="V3311">
        <v>0.13192999999999999</v>
      </c>
      <c r="W3311">
        <v>6.4931279999999994E-2</v>
      </c>
      <c r="X3311">
        <v>0.98913010000000001</v>
      </c>
      <c r="Y3311">
        <v>0.21667320000000001</v>
      </c>
      <c r="Z3311">
        <v>-4.250556E-3</v>
      </c>
      <c r="AA3311">
        <v>0.97623490000000002</v>
      </c>
      <c r="AB3311">
        <v>37</v>
      </c>
      <c r="AC3311">
        <v>16.1296</v>
      </c>
      <c r="AD3311">
        <v>-1.09879064</v>
      </c>
      <c r="AE3311">
        <v>-4.4107999999999903</v>
      </c>
      <c r="AF3311">
        <v>3.6907896934751898</v>
      </c>
      <c r="AG3311">
        <v>-1.09879064</v>
      </c>
      <c r="AH3311">
        <v>16.235704238834799</v>
      </c>
      <c r="AI3311">
        <v>93.775687123508007</v>
      </c>
      <c r="AJ3311">
        <v>77.1928584549768</v>
      </c>
      <c r="AK3311">
        <v>16.686142800627501</v>
      </c>
      <c r="AL3311">
        <v>86.277092466966096</v>
      </c>
      <c r="AM3311">
        <v>82.402739379436298</v>
      </c>
      <c r="AN3311">
        <v>0.99999997537422303</v>
      </c>
    </row>
    <row r="3312" spans="1:40" x14ac:dyDescent="0.25">
      <c r="A3312" t="str">
        <f>"20190312151337647"</f>
        <v>20190312151337647</v>
      </c>
      <c r="B3312" t="str">
        <f>"1552374817644087"</f>
        <v>1552374817644087</v>
      </c>
      <c r="C3312" t="s">
        <v>40</v>
      </c>
      <c r="D3312">
        <v>4.2338979999999999</v>
      </c>
      <c r="E3312">
        <v>0.53329899999999997</v>
      </c>
      <c r="F3312" t="s">
        <v>54</v>
      </c>
      <c r="G3312">
        <v>-234.5241</v>
      </c>
      <c r="H3312">
        <v>5.5815910000000003E-3</v>
      </c>
      <c r="I3312">
        <v>209.6163</v>
      </c>
      <c r="J3312">
        <v>-250.51230000000001</v>
      </c>
      <c r="K3312">
        <v>1.109086</v>
      </c>
      <c r="L3312">
        <v>214.01060000000001</v>
      </c>
      <c r="M3312">
        <v>0.99895659999999997</v>
      </c>
      <c r="N3312">
        <v>0</v>
      </c>
      <c r="O3312">
        <v>-4.4022510000000001E-2</v>
      </c>
      <c r="P3312">
        <v>0.98297749999999995</v>
      </c>
      <c r="Q3312">
        <v>5.288313E-2</v>
      </c>
      <c r="R3312">
        <v>-0.1759501</v>
      </c>
      <c r="S3312">
        <v>2.921967</v>
      </c>
      <c r="T3312">
        <v>-0.19716690000000001</v>
      </c>
      <c r="U3312">
        <v>-0.78808590000000001</v>
      </c>
      <c r="V3312">
        <v>0.1326088</v>
      </c>
      <c r="W3312">
        <v>6.4704300000000006E-2</v>
      </c>
      <c r="X3312">
        <v>0.98905419999999999</v>
      </c>
      <c r="Y3312">
        <v>0.21728</v>
      </c>
      <c r="Z3312">
        <v>-4.2838019999999997E-3</v>
      </c>
      <c r="AA3312">
        <v>0.97609990000000002</v>
      </c>
      <c r="AB3312">
        <v>37</v>
      </c>
      <c r="AC3312">
        <v>15.988200000000001</v>
      </c>
      <c r="AD3312">
        <v>-1.1035044089999999</v>
      </c>
      <c r="AE3312">
        <v>-4.3943000000000101</v>
      </c>
      <c r="AF3312">
        <v>3.6698920100128198</v>
      </c>
      <c r="AG3312">
        <v>-1.1035044089999999</v>
      </c>
      <c r="AH3312">
        <v>16.094873278857001</v>
      </c>
      <c r="AI3312">
        <v>93.824348130460606</v>
      </c>
      <c r="AJ3312">
        <v>77.155234271366893</v>
      </c>
      <c r="AK3312">
        <v>16.544811126401601</v>
      </c>
      <c r="AL3312">
        <v>86.290124869100694</v>
      </c>
      <c r="AM3312">
        <v>82.363531297788597</v>
      </c>
      <c r="AN3312">
        <v>0.99999997540678398</v>
      </c>
    </row>
    <row r="3313" spans="1:40" x14ac:dyDescent="0.25">
      <c r="A3313" t="str">
        <f>"20190312151337670"</f>
        <v>20190312151337670</v>
      </c>
      <c r="B3313" t="str">
        <f>"1552374817663607"</f>
        <v>1552374817663607</v>
      </c>
      <c r="C3313" t="s">
        <v>40</v>
      </c>
      <c r="D3313">
        <v>4.2079319999999996</v>
      </c>
      <c r="E3313">
        <v>0.55003749999999996</v>
      </c>
      <c r="F3313" t="s">
        <v>54</v>
      </c>
      <c r="G3313">
        <v>-234.42830000000001</v>
      </c>
      <c r="H3313" s="1">
        <v>1.036855E-6</v>
      </c>
      <c r="I3313">
        <v>209.64850000000001</v>
      </c>
      <c r="J3313">
        <v>-250.1311</v>
      </c>
      <c r="K3313">
        <v>1.1090930000000001</v>
      </c>
      <c r="L3313">
        <v>213.9931</v>
      </c>
      <c r="M3313">
        <v>0.99892689999999995</v>
      </c>
      <c r="N3313">
        <v>0</v>
      </c>
      <c r="O3313">
        <v>-4.4681529999999997E-2</v>
      </c>
      <c r="P3313">
        <v>0.98273809999999995</v>
      </c>
      <c r="Q3313">
        <v>5.2600250000000001E-2</v>
      </c>
      <c r="R3313">
        <v>-0.17736749999999901</v>
      </c>
      <c r="S3313">
        <v>2.9209900000000002</v>
      </c>
      <c r="T3313">
        <v>-0.20141880000000001</v>
      </c>
      <c r="U3313">
        <v>-0.79219059999999997</v>
      </c>
      <c r="V3313">
        <v>0.133382</v>
      </c>
      <c r="W3313">
        <v>6.4444970000000004E-2</v>
      </c>
      <c r="X3313">
        <v>0.98896719999999905</v>
      </c>
      <c r="Y3313">
        <v>0.21798010000000001</v>
      </c>
      <c r="Z3313">
        <v>-4.3558779999999997E-3</v>
      </c>
      <c r="AA3313">
        <v>0.97594349999999996</v>
      </c>
      <c r="AB3313">
        <v>37</v>
      </c>
      <c r="AC3313">
        <v>15.7027999999999</v>
      </c>
      <c r="AD3313">
        <v>-1.109091963145</v>
      </c>
      <c r="AE3313">
        <v>-4.3445999999999803</v>
      </c>
      <c r="AF3313">
        <v>3.62179999363389</v>
      </c>
      <c r="AG3313">
        <v>-1.109091963145</v>
      </c>
      <c r="AH3313">
        <v>15.808000097061001</v>
      </c>
      <c r="AI3313">
        <v>93.912263712709105</v>
      </c>
      <c r="AJ3313">
        <v>77.095575941881194</v>
      </c>
      <c r="AK3313">
        <v>16.2554725322053</v>
      </c>
      <c r="AL3313">
        <v>86.305014615673898</v>
      </c>
      <c r="AM3313">
        <v>82.318867845600707</v>
      </c>
      <c r="AN3313">
        <v>1.00000001737907</v>
      </c>
    </row>
    <row r="3314" spans="1:40" x14ac:dyDescent="0.25">
      <c r="A3314" t="str">
        <f>"20190312151337694"</f>
        <v>20190312151337694</v>
      </c>
      <c r="B3314" t="str">
        <f>"1552374817684104"</f>
        <v>1552374817684104</v>
      </c>
      <c r="C3314" t="s">
        <v>40</v>
      </c>
      <c r="D3314">
        <v>4.2547689999999996</v>
      </c>
      <c r="E3314">
        <v>0.55224779999999996</v>
      </c>
      <c r="F3314" t="s">
        <v>54</v>
      </c>
      <c r="G3314">
        <v>-235.81829999999999</v>
      </c>
      <c r="H3314">
        <v>8.0001450000000002E-2</v>
      </c>
      <c r="I3314">
        <v>209.4074</v>
      </c>
      <c r="J3314">
        <v>-249.71870000000001</v>
      </c>
      <c r="K3314">
        <v>1.1090930000000001</v>
      </c>
      <c r="L3314">
        <v>213.97389999999999</v>
      </c>
      <c r="M3314">
        <v>0.99889439999999996</v>
      </c>
      <c r="N3314">
        <v>0</v>
      </c>
      <c r="O3314">
        <v>-4.5394789999999997E-2</v>
      </c>
      <c r="P3314">
        <v>0.98250289999999996</v>
      </c>
      <c r="Q3314">
        <v>5.263984E-2</v>
      </c>
      <c r="R3314">
        <v>-0.17865300000000001</v>
      </c>
      <c r="S3314">
        <v>2.8963619999999999</v>
      </c>
      <c r="T3314">
        <v>-0.20824909999999999</v>
      </c>
      <c r="U3314">
        <v>-0.92797850000000004</v>
      </c>
      <c r="V3314">
        <v>0.13397039999999999</v>
      </c>
      <c r="W3314">
        <v>6.4507780000000001E-2</v>
      </c>
      <c r="X3314">
        <v>0.98888359999999997</v>
      </c>
      <c r="Y3314">
        <v>0.2610654</v>
      </c>
      <c r="Z3314">
        <v>-5.9709659999999899E-3</v>
      </c>
      <c r="AA3314">
        <v>0.96530260000000001</v>
      </c>
      <c r="AB3314">
        <v>37</v>
      </c>
      <c r="AC3314">
        <v>13.900399999999999</v>
      </c>
      <c r="AD3314">
        <v>-1.02909155</v>
      </c>
      <c r="AE3314">
        <v>-4.5664999999999898</v>
      </c>
      <c r="AF3314">
        <v>3.9113892247656401</v>
      </c>
      <c r="AG3314">
        <v>-1.02909155</v>
      </c>
      <c r="AH3314">
        <v>14.0240019967252</v>
      </c>
      <c r="AI3314">
        <v>94.043115153075902</v>
      </c>
      <c r="AJ3314">
        <v>74.415853242093405</v>
      </c>
      <c r="AK3314">
        <v>14.595568748426601</v>
      </c>
      <c r="AL3314">
        <v>86.301408477665703</v>
      </c>
      <c r="AM3314">
        <v>82.284746215503503</v>
      </c>
      <c r="AN3314">
        <v>1.0000000480528199</v>
      </c>
    </row>
    <row r="3315" spans="1:40" x14ac:dyDescent="0.25">
      <c r="A3315" t="str">
        <f>"20190312151337725"</f>
        <v>20190312151337725</v>
      </c>
      <c r="B3315" t="str">
        <f>"1552374817713383"</f>
        <v>1552374817713383</v>
      </c>
      <c r="C3315" t="s">
        <v>40</v>
      </c>
      <c r="D3315">
        <v>4.2874990000000004</v>
      </c>
      <c r="E3315">
        <v>0.5537936</v>
      </c>
      <c r="F3315" t="s">
        <v>54</v>
      </c>
      <c r="G3315">
        <v>-235.11840000000001</v>
      </c>
      <c r="H3315">
        <v>8.0001660000000002E-2</v>
      </c>
      <c r="I3315">
        <v>209.18279999999999</v>
      </c>
      <c r="J3315">
        <v>-249.2242</v>
      </c>
      <c r="K3315">
        <v>1.1090899999999999</v>
      </c>
      <c r="L3315">
        <v>213.95060000000001</v>
      </c>
      <c r="M3315">
        <v>0.99885489999999999</v>
      </c>
      <c r="N3315">
        <v>0</v>
      </c>
      <c r="O3315">
        <v>-4.6250840000000001E-2</v>
      </c>
      <c r="P3315">
        <v>0.98222690000000001</v>
      </c>
      <c r="Q3315">
        <v>5.2855060000000002E-2</v>
      </c>
      <c r="R3315">
        <v>-0.18010279999999901</v>
      </c>
      <c r="S3315">
        <v>2.891785</v>
      </c>
      <c r="T3315">
        <v>-0.20382500000000001</v>
      </c>
      <c r="U3315">
        <v>-0.94894409999999896</v>
      </c>
      <c r="V3315">
        <v>0.13458339999999999</v>
      </c>
      <c r="W3315">
        <v>6.4746659999999998E-2</v>
      </c>
      <c r="X3315">
        <v>0.98878469999999996</v>
      </c>
      <c r="Y3315">
        <v>0.26701839999999999</v>
      </c>
      <c r="Z3315">
        <v>-5.9926909999999996E-3</v>
      </c>
      <c r="AA3315">
        <v>0.9636728</v>
      </c>
      <c r="AB3315">
        <v>37</v>
      </c>
      <c r="AC3315">
        <v>14.105799999999901</v>
      </c>
      <c r="AD3315">
        <v>-1.0290883399999999</v>
      </c>
      <c r="AE3315">
        <v>-4.7678000000000198</v>
      </c>
      <c r="AF3315">
        <v>4.0907029567756901</v>
      </c>
      <c r="AG3315">
        <v>-1.0290883399999999</v>
      </c>
      <c r="AH3315">
        <v>14.243198167138701</v>
      </c>
      <c r="AI3315">
        <v>93.972463713602394</v>
      </c>
      <c r="AJ3315">
        <v>73.975724653481194</v>
      </c>
      <c r="AK3315">
        <v>14.854681670116101</v>
      </c>
      <c r="AL3315">
        <v>86.287692819638096</v>
      </c>
      <c r="AM3315">
        <v>82.249106328698403</v>
      </c>
      <c r="AN3315">
        <v>1.0000000022454001</v>
      </c>
    </row>
    <row r="3316" spans="1:40" x14ac:dyDescent="0.25">
      <c r="A3316" t="str">
        <f>"20190312151337745"</f>
        <v>20190312151337745</v>
      </c>
      <c r="B3316" t="str">
        <f>"1552374817733880"</f>
        <v>1552374817733880</v>
      </c>
      <c r="C3316" t="s">
        <v>40</v>
      </c>
      <c r="D3316">
        <v>4.2610140000000003</v>
      </c>
      <c r="E3316">
        <v>0.55418469999999997</v>
      </c>
      <c r="F3316" t="s">
        <v>54</v>
      </c>
      <c r="G3316">
        <v>-234.63470000000001</v>
      </c>
      <c r="H3316">
        <v>8.0000349999999998E-2</v>
      </c>
      <c r="I3316">
        <v>209.07300000000001</v>
      </c>
      <c r="J3316">
        <v>-248.87379999999999</v>
      </c>
      <c r="K3316">
        <v>1.1091</v>
      </c>
      <c r="L3316">
        <v>213.93379999999999</v>
      </c>
      <c r="M3316">
        <v>0.9988264</v>
      </c>
      <c r="N3316">
        <v>0</v>
      </c>
      <c r="O3316">
        <v>-4.6858049999999998E-2</v>
      </c>
      <c r="P3316">
        <v>0.98205620000000005</v>
      </c>
      <c r="Q3316">
        <v>5.2392099999999997E-2</v>
      </c>
      <c r="R3316">
        <v>-0.18116560000000001</v>
      </c>
      <c r="S3316">
        <v>2.8882140000000001</v>
      </c>
      <c r="T3316">
        <v>-0.20372309999999999</v>
      </c>
      <c r="U3316">
        <v>-0.96559139999999999</v>
      </c>
      <c r="V3316">
        <v>0.13505049999999999</v>
      </c>
      <c r="W3316">
        <v>6.4298900000000006E-2</v>
      </c>
      <c r="X3316">
        <v>0.98875020000000002</v>
      </c>
      <c r="Y3316">
        <v>0.27177820000000003</v>
      </c>
      <c r="Z3316">
        <v>-6.1133219999999896E-3</v>
      </c>
      <c r="AA3316">
        <v>0.96234050000000004</v>
      </c>
      <c r="AB3316">
        <v>37</v>
      </c>
      <c r="AC3316">
        <v>14.239099999999899</v>
      </c>
      <c r="AD3316">
        <v>-1.02909965</v>
      </c>
      <c r="AE3316">
        <v>-4.86080000000001</v>
      </c>
      <c r="AF3316">
        <v>4.1686913974081197</v>
      </c>
      <c r="AG3316">
        <v>-1.02909965</v>
      </c>
      <c r="AH3316">
        <v>14.383950653265799</v>
      </c>
      <c r="AI3316">
        <v>93.931030778223302</v>
      </c>
      <c r="AJ3316">
        <v>73.837594141824795</v>
      </c>
      <c r="AK3316">
        <v>15.011164859931499</v>
      </c>
      <c r="AL3316">
        <v>86.313401036675899</v>
      </c>
      <c r="AM3316">
        <v>82.2222658469517</v>
      </c>
      <c r="AN3316">
        <v>0.99999997204574897</v>
      </c>
    </row>
    <row r="3317" spans="1:40" x14ac:dyDescent="0.25">
      <c r="A3317" t="str">
        <f>"20190312151337767"</f>
        <v>20190312151337767</v>
      </c>
      <c r="B3317" t="str">
        <f>"1552374817764136"</f>
        <v>1552374817764136</v>
      </c>
      <c r="C3317" t="s">
        <v>40</v>
      </c>
      <c r="D3317">
        <v>4.2379449999999999</v>
      </c>
      <c r="E3317">
        <v>0.55442769999999997</v>
      </c>
      <c r="F3317" t="s">
        <v>54</v>
      </c>
      <c r="G3317">
        <v>-234.4511</v>
      </c>
      <c r="H3317">
        <v>8.0000390000000005E-2</v>
      </c>
      <c r="I3317">
        <v>209.07749999999999</v>
      </c>
      <c r="J3317">
        <v>-248.52359999999999</v>
      </c>
      <c r="K3317">
        <v>1.1091009999999999</v>
      </c>
      <c r="L3317">
        <v>213.91669999999999</v>
      </c>
      <c r="M3317">
        <v>0.99879759999999995</v>
      </c>
      <c r="N3317">
        <v>0</v>
      </c>
      <c r="O3317">
        <v>-4.7464770000000003E-2</v>
      </c>
      <c r="P3317">
        <v>0.98191249999999997</v>
      </c>
      <c r="Q3317">
        <v>5.2571149999999997E-2</v>
      </c>
      <c r="R3317">
        <v>-0.18189169999999999</v>
      </c>
      <c r="S3317">
        <v>2.8865050000000001</v>
      </c>
      <c r="T3317">
        <v>-0.20596020000000001</v>
      </c>
      <c r="U3317">
        <v>-0.97190860000000001</v>
      </c>
      <c r="V3317">
        <v>0.13518169999999999</v>
      </c>
      <c r="W3317">
        <v>6.4491610000000005E-2</v>
      </c>
      <c r="X3317">
        <v>0.98871980000000004</v>
      </c>
      <c r="Y3317">
        <v>0.2732445</v>
      </c>
      <c r="Z3317">
        <v>-6.1906749999999997E-3</v>
      </c>
      <c r="AA3317">
        <v>0.96192469999999997</v>
      </c>
      <c r="AB3317">
        <v>37</v>
      </c>
      <c r="AC3317">
        <v>14.0724999999999</v>
      </c>
      <c r="AD3317">
        <v>-1.02910061</v>
      </c>
      <c r="AE3317">
        <v>-4.8391999999999999</v>
      </c>
      <c r="AF3317">
        <v>4.1459198513255302</v>
      </c>
      <c r="AG3317">
        <v>-1.02910061</v>
      </c>
      <c r="AH3317">
        <v>14.2183495171966</v>
      </c>
      <c r="AI3317">
        <v>93.974788749142704</v>
      </c>
      <c r="AJ3317">
        <v>73.743875918950707</v>
      </c>
      <c r="AK3317">
        <v>14.8461834311813</v>
      </c>
      <c r="AL3317">
        <v>86.3023368957559</v>
      </c>
      <c r="AM3317">
        <v>82.214566048863105</v>
      </c>
      <c r="AN3317">
        <v>1.00000005134366</v>
      </c>
    </row>
    <row r="3318" spans="1:40" x14ac:dyDescent="0.25">
      <c r="A3318" t="str">
        <f>"20190312151337782"</f>
        <v>20190312151337782</v>
      </c>
      <c r="B3318" t="str">
        <f>"1552374817773895"</f>
        <v>1552374817773895</v>
      </c>
      <c r="C3318" t="s">
        <v>40</v>
      </c>
      <c r="D3318">
        <v>4.2635620000000003</v>
      </c>
      <c r="E3318">
        <v>0.55438050000000005</v>
      </c>
      <c r="F3318" t="s">
        <v>54</v>
      </c>
      <c r="G3318">
        <v>-234.24610000000001</v>
      </c>
      <c r="H3318">
        <v>8.0000450000000001E-2</v>
      </c>
      <c r="I3318">
        <v>209.08670000000001</v>
      </c>
      <c r="J3318">
        <v>-248.24680000000001</v>
      </c>
      <c r="K3318">
        <v>1.1090990000000001</v>
      </c>
      <c r="L3318">
        <v>213.90309999999999</v>
      </c>
      <c r="M3318">
        <v>0.99877450000000001</v>
      </c>
      <c r="N3318">
        <v>0</v>
      </c>
      <c r="O3318">
        <v>-4.7944279999999999E-2</v>
      </c>
      <c r="P3318">
        <v>0.98175880000000004</v>
      </c>
      <c r="Q3318">
        <v>5.3199469999999999E-2</v>
      </c>
      <c r="R3318">
        <v>-0.182536</v>
      </c>
      <c r="S3318">
        <v>2.8855740000000001</v>
      </c>
      <c r="T3318">
        <v>-0.2079889</v>
      </c>
      <c r="U3318">
        <v>-0.97618099999999997</v>
      </c>
      <c r="V3318">
        <v>0.1353589</v>
      </c>
      <c r="W3318">
        <v>6.5129240000000005E-2</v>
      </c>
      <c r="X3318">
        <v>0.98865369999999997</v>
      </c>
      <c r="Y3318">
        <v>0.2741439</v>
      </c>
      <c r="Z3318">
        <v>-6.2500769999999997E-3</v>
      </c>
      <c r="AA3318">
        <v>0.96166839999999998</v>
      </c>
      <c r="AB3318">
        <v>37</v>
      </c>
      <c r="AC3318">
        <v>14.000699999999901</v>
      </c>
      <c r="AD3318">
        <v>-1.0290985500000001</v>
      </c>
      <c r="AE3318">
        <v>-4.8163999999999803</v>
      </c>
      <c r="AF3318">
        <v>4.1196541035258996</v>
      </c>
      <c r="AG3318">
        <v>-1.0290985500000001</v>
      </c>
      <c r="AH3318">
        <v>14.1471877907655</v>
      </c>
      <c r="AI3318">
        <v>93.995126768057403</v>
      </c>
      <c r="AJ3318">
        <v>73.764466213842994</v>
      </c>
      <c r="AK3318">
        <v>14.770697889588501</v>
      </c>
      <c r="AL3318">
        <v>86.265726205046604</v>
      </c>
      <c r="AM3318">
        <v>82.203971292667703</v>
      </c>
      <c r="AN3318">
        <v>0.99999999411793805</v>
      </c>
    </row>
    <row r="3319" spans="1:40" x14ac:dyDescent="0.25">
      <c r="A3319" t="str">
        <f>"20190312151337807"</f>
        <v>20190312151337807</v>
      </c>
      <c r="B3319" t="str">
        <f>"1552374817803175"</f>
        <v>1552374817803175</v>
      </c>
      <c r="C3319" t="s">
        <v>40</v>
      </c>
      <c r="D3319">
        <v>4.3063089999999997</v>
      </c>
      <c r="E3319">
        <v>0.55487790000000003</v>
      </c>
      <c r="F3319" t="s">
        <v>54</v>
      </c>
      <c r="G3319">
        <v>-233.93039999999999</v>
      </c>
      <c r="H3319">
        <v>8.0000559999999998E-2</v>
      </c>
      <c r="I3319">
        <v>209.05179999999999</v>
      </c>
      <c r="J3319">
        <v>-247.85759999999999</v>
      </c>
      <c r="K3319">
        <v>1.1091040000000001</v>
      </c>
      <c r="L3319">
        <v>213.8837</v>
      </c>
      <c r="M3319">
        <v>0.99874169999999995</v>
      </c>
      <c r="N3319">
        <v>0</v>
      </c>
      <c r="O3319">
        <v>-4.8618460000000002E-2</v>
      </c>
      <c r="P3319">
        <v>0.98158630000000002</v>
      </c>
      <c r="Q3319">
        <v>5.3060379999999997E-2</v>
      </c>
      <c r="R3319">
        <v>-0.18350269999999999</v>
      </c>
      <c r="S3319">
        <v>2.8851930000000001</v>
      </c>
      <c r="T3319">
        <v>-0.207395</v>
      </c>
      <c r="U3319">
        <v>-0.97769170000000005</v>
      </c>
      <c r="V3319">
        <v>0.13566449999999999</v>
      </c>
      <c r="W3319">
        <v>6.5001699999999996E-2</v>
      </c>
      <c r="X3319">
        <v>0.98862019999999995</v>
      </c>
      <c r="Y3319">
        <v>0.27399010000000001</v>
      </c>
      <c r="Z3319">
        <v>-6.1803169999999899E-3</v>
      </c>
      <c r="AA3319">
        <v>0.96171269999999998</v>
      </c>
      <c r="AB3319">
        <v>37</v>
      </c>
      <c r="AC3319">
        <v>13.927199999999999</v>
      </c>
      <c r="AD3319">
        <v>-1.0291034400000001</v>
      </c>
      <c r="AE3319">
        <v>-4.8319000000000099</v>
      </c>
      <c r="AF3319">
        <v>4.1288931558449198</v>
      </c>
      <c r="AG3319">
        <v>-1.0291034400000001</v>
      </c>
      <c r="AH3319">
        <v>14.0770619976216</v>
      </c>
      <c r="AI3319">
        <v>94.012713198347797</v>
      </c>
      <c r="AJ3319">
        <v>73.653246449768702</v>
      </c>
      <c r="AK3319">
        <v>14.7061377345476</v>
      </c>
      <c r="AL3319">
        <v>86.273049206116298</v>
      </c>
      <c r="AM3319">
        <v>82.186325859607905</v>
      </c>
      <c r="AN3319">
        <v>0.99999998870558904</v>
      </c>
    </row>
    <row r="3320" spans="1:40" x14ac:dyDescent="0.25">
      <c r="A3320" t="str">
        <f>"20190312151337830"</f>
        <v>20190312151337830</v>
      </c>
      <c r="B3320" t="str">
        <f>"1552374817823673"</f>
        <v>1552374817823673</v>
      </c>
      <c r="C3320" t="s">
        <v>40</v>
      </c>
      <c r="D3320">
        <v>4.3304499999999999</v>
      </c>
      <c r="E3320">
        <v>0.55499659999999995</v>
      </c>
      <c r="F3320" t="s">
        <v>54</v>
      </c>
      <c r="G3320">
        <v>-233.64920000000001</v>
      </c>
      <c r="H3320">
        <v>8.0000630000000003E-2</v>
      </c>
      <c r="I3320">
        <v>209.0326</v>
      </c>
      <c r="J3320">
        <v>-247.45590000000001</v>
      </c>
      <c r="K3320">
        <v>1.1091070000000001</v>
      </c>
      <c r="L3320">
        <v>213.86349999999999</v>
      </c>
      <c r="M3320">
        <v>0.99870769999999998</v>
      </c>
      <c r="N3320">
        <v>0</v>
      </c>
      <c r="O3320">
        <v>-4.9313860000000001E-2</v>
      </c>
      <c r="P3320">
        <v>0.9813712</v>
      </c>
      <c r="Q3320">
        <v>5.3251519999999997E-2</v>
      </c>
      <c r="R3320">
        <v>-0.18459490000000001</v>
      </c>
      <c r="S3320">
        <v>2.883499</v>
      </c>
      <c r="T3320">
        <v>-0.20884939999999999</v>
      </c>
      <c r="U3320">
        <v>-0.98451230000000001</v>
      </c>
      <c r="V3320">
        <v>0.13607749999999999</v>
      </c>
      <c r="W3320">
        <v>6.5202990000000002E-2</v>
      </c>
      <c r="X3320">
        <v>0.98855020000000005</v>
      </c>
      <c r="Y3320">
        <v>0.27552130000000002</v>
      </c>
      <c r="Z3320">
        <v>-6.2299369999999996E-3</v>
      </c>
      <c r="AA3320">
        <v>0.96127479999999998</v>
      </c>
      <c r="AB3320">
        <v>37</v>
      </c>
      <c r="AC3320">
        <v>13.806699999999999</v>
      </c>
      <c r="AD3320">
        <v>-1.02910637</v>
      </c>
      <c r="AE3320">
        <v>-4.8308999999999802</v>
      </c>
      <c r="AF3320">
        <v>4.1236971549672399</v>
      </c>
      <c r="AG3320">
        <v>-1.02910637</v>
      </c>
      <c r="AH3320">
        <v>13.9590538615633</v>
      </c>
      <c r="AI3320">
        <v>94.044233788353694</v>
      </c>
      <c r="AJ3320">
        <v>73.542132290300501</v>
      </c>
      <c r="AK3320">
        <v>14.591748450980299</v>
      </c>
      <c r="AL3320">
        <v>86.261491688329002</v>
      </c>
      <c r="AM3320">
        <v>82.162285984809799</v>
      </c>
      <c r="AN3320">
        <v>1.0000000069156101</v>
      </c>
    </row>
    <row r="3321" spans="1:40" x14ac:dyDescent="0.25">
      <c r="A3321" t="str">
        <f>"20190312151337852"</f>
        <v>20190312151337852</v>
      </c>
      <c r="B3321" t="str">
        <f>"1552374817843191"</f>
        <v>1552374817843191</v>
      </c>
      <c r="C3321" t="s">
        <v>40</v>
      </c>
      <c r="D3321">
        <v>4.3033710000000003</v>
      </c>
      <c r="E3321">
        <v>0.55507629999999997</v>
      </c>
      <c r="F3321" t="s">
        <v>54</v>
      </c>
      <c r="G3321">
        <v>-233.23310000000001</v>
      </c>
      <c r="H3321">
        <v>8.0000760000000004E-2</v>
      </c>
      <c r="I3321">
        <v>208.9872</v>
      </c>
      <c r="J3321">
        <v>-247.08320000000001</v>
      </c>
      <c r="K3321">
        <v>1.109113</v>
      </c>
      <c r="L3321">
        <v>213.84440000000001</v>
      </c>
      <c r="M3321">
        <v>0.99867530000000004</v>
      </c>
      <c r="N3321">
        <v>0</v>
      </c>
      <c r="O3321">
        <v>-4.9959169999999997E-2</v>
      </c>
      <c r="P3321">
        <v>0.98119780000000001</v>
      </c>
      <c r="Q3321">
        <v>5.2458970000000001E-2</v>
      </c>
      <c r="R3321">
        <v>-0.18573919999999999</v>
      </c>
      <c r="S3321">
        <v>2.882355</v>
      </c>
      <c r="T3321">
        <v>-0.20855679999999999</v>
      </c>
      <c r="U3321">
        <v>-0.98822019999999999</v>
      </c>
      <c r="V3321">
        <v>0.1365885</v>
      </c>
      <c r="W3321">
        <v>6.4418340000000004E-2</v>
      </c>
      <c r="X3321">
        <v>0.98853120000000005</v>
      </c>
      <c r="Y3321">
        <v>0.27612530000000002</v>
      </c>
      <c r="Z3321">
        <v>-6.1984340000000001E-3</v>
      </c>
      <c r="AA3321">
        <v>0.96110169999999995</v>
      </c>
      <c r="AB3321">
        <v>37</v>
      </c>
      <c r="AC3321">
        <v>13.8500999999999</v>
      </c>
      <c r="AD3321">
        <v>-1.0291122399999999</v>
      </c>
      <c r="AE3321">
        <v>-4.8571999999999997</v>
      </c>
      <c r="AF3321">
        <v>4.1387938804782003</v>
      </c>
      <c r="AG3321">
        <v>-1.0291122399999999</v>
      </c>
      <c r="AH3321">
        <v>14.006620636234301</v>
      </c>
      <c r="AI3321">
        <v>94.030486312753993</v>
      </c>
      <c r="AJ3321">
        <v>73.538201365726493</v>
      </c>
      <c r="AK3321">
        <v>14.641520017914299</v>
      </c>
      <c r="AL3321">
        <v>86.306543652257702</v>
      </c>
      <c r="AM3321">
        <v>82.133072219040002</v>
      </c>
      <c r="AN3321">
        <v>1.0000000371170199</v>
      </c>
    </row>
    <row r="3322" spans="1:40" x14ac:dyDescent="0.25">
      <c r="A3322" t="str">
        <f>"20190312151337874"</f>
        <v>20190312151337874</v>
      </c>
      <c r="B3322" t="str">
        <f>"1552374817863688"</f>
        <v>1552374817863688</v>
      </c>
      <c r="C3322" t="s">
        <v>40</v>
      </c>
      <c r="D3322">
        <v>4.3115110000000003</v>
      </c>
      <c r="E3322">
        <v>0.55526070000000005</v>
      </c>
      <c r="F3322" t="s">
        <v>54</v>
      </c>
      <c r="G3322">
        <v>-233.02080000000001</v>
      </c>
      <c r="H3322">
        <v>8.000082E-2</v>
      </c>
      <c r="I3322">
        <v>209.00190000000001</v>
      </c>
      <c r="J3322">
        <v>-246.7208</v>
      </c>
      <c r="K3322">
        <v>1.109118</v>
      </c>
      <c r="L3322">
        <v>213.82570000000001</v>
      </c>
      <c r="M3322">
        <v>0.99864370000000002</v>
      </c>
      <c r="N3322">
        <v>0</v>
      </c>
      <c r="O3322">
        <v>-5.0586359999999997E-2</v>
      </c>
      <c r="P3322">
        <v>0.98108450000000003</v>
      </c>
      <c r="Q3322">
        <v>5.2453060000000003E-2</v>
      </c>
      <c r="R3322">
        <v>-0.18633830000000001</v>
      </c>
      <c r="S3322">
        <v>2.8809659999999999</v>
      </c>
      <c r="T3322">
        <v>-0.21083440000000001</v>
      </c>
      <c r="U3322">
        <v>-0.99209590000000003</v>
      </c>
      <c r="V3322">
        <v>0.13657130000000001</v>
      </c>
      <c r="W3322">
        <v>6.4419760000000006E-2</v>
      </c>
      <c r="X3322">
        <v>0.98853340000000001</v>
      </c>
      <c r="Y3322">
        <v>0.27680840000000001</v>
      </c>
      <c r="Z3322">
        <v>-6.2474469999999997E-3</v>
      </c>
      <c r="AA3322">
        <v>0.9609048</v>
      </c>
      <c r="AB3322">
        <v>37</v>
      </c>
      <c r="AC3322">
        <v>13.6999999999999</v>
      </c>
      <c r="AD3322">
        <v>-1.0291171800000001</v>
      </c>
      <c r="AE3322">
        <v>-4.8238000000000003</v>
      </c>
      <c r="AF3322">
        <v>4.1039343040516796</v>
      </c>
      <c r="AG3322">
        <v>-1.0291171800000001</v>
      </c>
      <c r="AH3322">
        <v>13.8569278709543</v>
      </c>
      <c r="AI3322">
        <v>94.073153279684206</v>
      </c>
      <c r="AJ3322">
        <v>73.502564870307395</v>
      </c>
      <c r="AK3322">
        <v>14.488471588230899</v>
      </c>
      <c r="AL3322">
        <v>86.306461816188801</v>
      </c>
      <c r="AM3322">
        <v>82.134067752454897</v>
      </c>
      <c r="AN3322">
        <v>0.99999995418885201</v>
      </c>
    </row>
    <row r="3323" spans="1:40" x14ac:dyDescent="0.25">
      <c r="A3323" t="str">
        <f>"20190312151337895"</f>
        <v>20190312151337895</v>
      </c>
      <c r="B3323" t="str">
        <f>"1552374817893945"</f>
        <v>1552374817893945</v>
      </c>
      <c r="C3323" t="s">
        <v>40</v>
      </c>
      <c r="D3323">
        <v>4.3173940000000002</v>
      </c>
      <c r="E3323">
        <v>0.55547199999999997</v>
      </c>
      <c r="F3323" t="s">
        <v>54</v>
      </c>
      <c r="G3323">
        <v>-232.64709999999999</v>
      </c>
      <c r="H3323">
        <v>8.0000929999999998E-2</v>
      </c>
      <c r="I3323">
        <v>208.96019999999999</v>
      </c>
      <c r="J3323">
        <v>-246.3622</v>
      </c>
      <c r="K3323">
        <v>1.109121</v>
      </c>
      <c r="L3323">
        <v>213.80690000000001</v>
      </c>
      <c r="M3323">
        <v>0.9986119</v>
      </c>
      <c r="N3323">
        <v>0</v>
      </c>
      <c r="O3323">
        <v>-5.1207349999999999E-2</v>
      </c>
      <c r="P3323">
        <v>0.98089769999999998</v>
      </c>
      <c r="Q3323">
        <v>5.2368539999999998E-2</v>
      </c>
      <c r="R3323">
        <v>-0.18734239999999999</v>
      </c>
      <c r="S3323">
        <v>2.8799739999999998</v>
      </c>
      <c r="T3323">
        <v>-0.210593</v>
      </c>
      <c r="U3323">
        <v>-0.99565119999999896</v>
      </c>
      <c r="V3323">
        <v>0.13696839999999999</v>
      </c>
      <c r="W3323">
        <v>6.4342189999999994E-2</v>
      </c>
      <c r="X3323">
        <v>0.98848349999999996</v>
      </c>
      <c r="Y3323">
        <v>0.27737410000000001</v>
      </c>
      <c r="Z3323">
        <v>-6.2173740000000003E-3</v>
      </c>
      <c r="AA3323">
        <v>0.96074190000000004</v>
      </c>
      <c r="AB3323">
        <v>37</v>
      </c>
      <c r="AC3323">
        <v>13.7151</v>
      </c>
      <c r="AD3323">
        <v>-1.0291200700000001</v>
      </c>
      <c r="AE3323">
        <v>-4.8467000000000198</v>
      </c>
      <c r="AF3323">
        <v>4.1173645001099901</v>
      </c>
      <c r="AG3323">
        <v>-1.0291200700000001</v>
      </c>
      <c r="AH3323">
        <v>13.8758567245435</v>
      </c>
      <c r="AI3323">
        <v>94.067004046196303</v>
      </c>
      <c r="AJ3323">
        <v>73.472867503487393</v>
      </c>
      <c r="AK3323">
        <v>14.510381744988701</v>
      </c>
      <c r="AL3323">
        <v>86.310915455290299</v>
      </c>
      <c r="AM3323">
        <v>82.111090782362396</v>
      </c>
      <c r="AN3323">
        <v>0.99999994489240096</v>
      </c>
    </row>
    <row r="3324" spans="1:40" x14ac:dyDescent="0.25">
      <c r="A3324" t="str">
        <f>"20190312151337921"</f>
        <v>20190312151337921</v>
      </c>
      <c r="B3324" t="str">
        <f>"1552374817913463"</f>
        <v>1552374817913463</v>
      </c>
      <c r="C3324" t="s">
        <v>40</v>
      </c>
      <c r="D3324">
        <v>4.3428820000000004</v>
      </c>
      <c r="E3324">
        <v>0.55562140000000004</v>
      </c>
      <c r="F3324" t="s">
        <v>54</v>
      </c>
      <c r="G3324">
        <v>-232.3312</v>
      </c>
      <c r="H3324">
        <v>8.0001020000000006E-2</v>
      </c>
      <c r="I3324">
        <v>208.9306</v>
      </c>
      <c r="J3324">
        <v>-245.9468</v>
      </c>
      <c r="K3324">
        <v>1.1091200000000001</v>
      </c>
      <c r="L3324">
        <v>213.78489999999999</v>
      </c>
      <c r="M3324">
        <v>0.99857470000000004</v>
      </c>
      <c r="N3324">
        <v>0</v>
      </c>
      <c r="O3324">
        <v>-5.1927090000000002E-2</v>
      </c>
      <c r="P3324">
        <v>0.98068789999999995</v>
      </c>
      <c r="Q3324">
        <v>5.2234900000000001E-2</v>
      </c>
      <c r="R3324">
        <v>-0.188475</v>
      </c>
      <c r="S3324">
        <v>2.8786160000000001</v>
      </c>
      <c r="T3324">
        <v>-0.21113499999999999</v>
      </c>
      <c r="U3324">
        <v>-1.000427</v>
      </c>
      <c r="V3324">
        <v>0.1373972</v>
      </c>
      <c r="W3324">
        <v>6.4221319999999998E-2</v>
      </c>
      <c r="X3324">
        <v>0.98843190000000003</v>
      </c>
      <c r="Y3324">
        <v>0.27824120000000002</v>
      </c>
      <c r="Z3324">
        <v>-6.2144130000000002E-3</v>
      </c>
      <c r="AA3324">
        <v>0.96049110000000004</v>
      </c>
      <c r="AB3324">
        <v>37</v>
      </c>
      <c r="AC3324">
        <v>13.615600000000001</v>
      </c>
      <c r="AD3324">
        <v>-1.02911898</v>
      </c>
      <c r="AE3324">
        <v>-4.8542999999999896</v>
      </c>
      <c r="AF3324">
        <v>4.1197959290939998</v>
      </c>
      <c r="AG3324">
        <v>-1.02911898</v>
      </c>
      <c r="AH3324">
        <v>13.779473786099301</v>
      </c>
      <c r="AI3324">
        <v>94.092836836479194</v>
      </c>
      <c r="AJ3324">
        <v>73.354353236332599</v>
      </c>
      <c r="AK3324">
        <v>14.418935543034101</v>
      </c>
      <c r="AL3324">
        <v>86.317855333037599</v>
      </c>
      <c r="AM3324">
        <v>82.086297902424207</v>
      </c>
      <c r="AN3324">
        <v>0.99999999472399603</v>
      </c>
    </row>
    <row r="3325" spans="1:40" x14ac:dyDescent="0.25">
      <c r="A3325" t="str">
        <f>"20190312151337961"</f>
        <v>20190312151337961</v>
      </c>
      <c r="B3325" t="str">
        <f>"1552374817953480"</f>
        <v>1552374817953480</v>
      </c>
      <c r="C3325" t="s">
        <v>40</v>
      </c>
      <c r="D3325">
        <v>4.3282290000000003</v>
      </c>
      <c r="E3325">
        <v>0.54034369999999998</v>
      </c>
      <c r="F3325" t="s">
        <v>54</v>
      </c>
      <c r="G3325">
        <v>-231.96520000000001</v>
      </c>
      <c r="H3325">
        <v>8.0001139999999998E-2</v>
      </c>
      <c r="I3325">
        <v>208.9016</v>
      </c>
      <c r="J3325">
        <v>-245.286</v>
      </c>
      <c r="K3325">
        <v>1.109116</v>
      </c>
      <c r="L3325">
        <v>213.7492</v>
      </c>
      <c r="M3325">
        <v>0.99851409999999996</v>
      </c>
      <c r="N3325">
        <v>0</v>
      </c>
      <c r="O3325">
        <v>-5.3070560000000003E-2</v>
      </c>
      <c r="P3325">
        <v>0.9806359</v>
      </c>
      <c r="Q3325">
        <v>5.1540250000000003E-2</v>
      </c>
      <c r="R3325">
        <v>-0.18893599999999999</v>
      </c>
      <c r="S3325">
        <v>2.8771969999999998</v>
      </c>
      <c r="T3325">
        <v>-0.21177660000000001</v>
      </c>
      <c r="U3325">
        <v>-1.0048979999999901</v>
      </c>
      <c r="V3325">
        <v>0.1367264</v>
      </c>
      <c r="W3325">
        <v>6.3552739999999996E-2</v>
      </c>
      <c r="X3325">
        <v>0.98856809999999995</v>
      </c>
      <c r="Y3325">
        <v>0.27861780000000003</v>
      </c>
      <c r="Z3325">
        <v>-6.1668769999999899E-3</v>
      </c>
      <c r="AA3325">
        <v>0.96038230000000002</v>
      </c>
      <c r="AB3325">
        <v>37</v>
      </c>
      <c r="AC3325">
        <v>13.320799999999901</v>
      </c>
      <c r="AD3325">
        <v>-1.02911486</v>
      </c>
      <c r="AE3325">
        <v>-4.8475999999999999</v>
      </c>
      <c r="AF3325">
        <v>4.1120981343221796</v>
      </c>
      <c r="AG3325">
        <v>-1.02911486</v>
      </c>
      <c r="AH3325">
        <v>13.488219354620099</v>
      </c>
      <c r="AI3325">
        <v>94.174108977143305</v>
      </c>
      <c r="AJ3325">
        <v>73.045323820616304</v>
      </c>
      <c r="AK3325">
        <v>14.1386169698354</v>
      </c>
      <c r="AL3325">
        <v>86.356240485569401</v>
      </c>
      <c r="AM3325">
        <v>82.125519601488193</v>
      </c>
      <c r="AN3325">
        <v>0.99999997377803795</v>
      </c>
    </row>
    <row r="3326" spans="1:40" x14ac:dyDescent="0.25">
      <c r="A3326" t="str">
        <f>"20190312151337982"</f>
        <v>20190312151337982</v>
      </c>
      <c r="B3326" t="str">
        <f>"1552374817973976"</f>
        <v>1552374817973976</v>
      </c>
      <c r="C3326" t="s">
        <v>40</v>
      </c>
      <c r="D3326">
        <v>4.319858</v>
      </c>
      <c r="E3326">
        <v>0.52077680000000004</v>
      </c>
      <c r="F3326" t="s">
        <v>54</v>
      </c>
      <c r="G3326">
        <v>-228.52889999999999</v>
      </c>
      <c r="H3326">
        <v>8.0000680000000005E-2</v>
      </c>
      <c r="I3326">
        <v>208.62280000000001</v>
      </c>
      <c r="J3326">
        <v>-244.91370000000001</v>
      </c>
      <c r="K3326">
        <v>1.1091230000000001</v>
      </c>
      <c r="L3326">
        <v>213.72880000000001</v>
      </c>
      <c r="M3326">
        <v>0.99847969999999997</v>
      </c>
      <c r="N3326">
        <v>0</v>
      </c>
      <c r="O3326">
        <v>-5.3714480000000002E-2</v>
      </c>
      <c r="P3326">
        <v>0.98053290000000004</v>
      </c>
      <c r="Q3326">
        <v>5.1771440000000002E-2</v>
      </c>
      <c r="R3326">
        <v>-0.18940699999999999</v>
      </c>
      <c r="S3326">
        <v>2.8977810000000002</v>
      </c>
      <c r="T3326">
        <v>-0.17796329999999999</v>
      </c>
      <c r="U3326">
        <v>-0.88650509999999905</v>
      </c>
      <c r="V3326">
        <v>0.13656470000000001</v>
      </c>
      <c r="W3326">
        <v>6.3796870000000006E-2</v>
      </c>
      <c r="X3326">
        <v>0.98857470000000003</v>
      </c>
      <c r="Y3326">
        <v>0.2404307</v>
      </c>
      <c r="Z3326">
        <v>-3.9965729999999998E-3</v>
      </c>
      <c r="AA3326">
        <v>0.97065809999999997</v>
      </c>
      <c r="AB3326">
        <v>37</v>
      </c>
      <c r="AC3326">
        <v>16.384799999999998</v>
      </c>
      <c r="AD3326">
        <v>-1.0291223199999999</v>
      </c>
      <c r="AE3326">
        <v>-5.1059999999999901</v>
      </c>
      <c r="AF3326">
        <v>4.2033446040462499</v>
      </c>
      <c r="AG3326">
        <v>-1.0291223199999999</v>
      </c>
      <c r="AH3326">
        <v>16.575825352859599</v>
      </c>
      <c r="AI3326">
        <v>93.443959926547507</v>
      </c>
      <c r="AJ3326">
        <v>75.770714638768595</v>
      </c>
      <c r="AK3326">
        <v>17.131409303918598</v>
      </c>
      <c r="AL3326">
        <v>86.342224328187598</v>
      </c>
      <c r="AM3326">
        <v>82.134767615779495</v>
      </c>
      <c r="AN3326">
        <v>0.99999994769398703</v>
      </c>
    </row>
    <row r="3327" spans="1:40" x14ac:dyDescent="0.25">
      <c r="A3327" t="str">
        <f>"20190312151338008"</f>
        <v>20190312151338008</v>
      </c>
      <c r="B3327" t="str">
        <f>"1552374818003255"</f>
        <v>1552374818003255</v>
      </c>
      <c r="C3327" t="s">
        <v>40</v>
      </c>
      <c r="D3327">
        <v>4.3704809999999998</v>
      </c>
      <c r="E3327">
        <v>0.51027829999999996</v>
      </c>
      <c r="F3327" t="s">
        <v>54</v>
      </c>
      <c r="G3327">
        <v>-225.07919999999999</v>
      </c>
      <c r="H3327">
        <v>8.0001699999999995E-2</v>
      </c>
      <c r="I3327">
        <v>208.75</v>
      </c>
      <c r="J3327">
        <v>-244.49610000000001</v>
      </c>
      <c r="K3327">
        <v>1.1091299999999999</v>
      </c>
      <c r="L3327">
        <v>213.7056</v>
      </c>
      <c r="M3327">
        <v>0.99844029999999995</v>
      </c>
      <c r="N3327">
        <v>0</v>
      </c>
      <c r="O3327">
        <v>-5.4437180000000002E-2</v>
      </c>
      <c r="P3327">
        <v>0.98043139999999995</v>
      </c>
      <c r="Q3327">
        <v>5.1840650000000002E-2</v>
      </c>
      <c r="R3327">
        <v>-0.18991259999999999</v>
      </c>
      <c r="S3327">
        <v>2.9257049999999998</v>
      </c>
      <c r="T3327">
        <v>-0.15180179999999999</v>
      </c>
      <c r="U3327">
        <v>-0.73439030000000005</v>
      </c>
      <c r="V3327">
        <v>0.13635920000000001</v>
      </c>
      <c r="W3327">
        <v>6.3879179999999994E-2</v>
      </c>
      <c r="X3327">
        <v>0.98859779999999997</v>
      </c>
      <c r="Y3327">
        <v>0.19012490000000001</v>
      </c>
      <c r="Z3327">
        <v>-2.079811E-3</v>
      </c>
      <c r="AA3327">
        <v>0.98175769999999996</v>
      </c>
      <c r="AB3327">
        <v>37</v>
      </c>
      <c r="AC3327">
        <v>19.416899999999998</v>
      </c>
      <c r="AD3327">
        <v>-1.0291283</v>
      </c>
      <c r="AE3327">
        <v>-4.9555999999999996</v>
      </c>
      <c r="AF3327">
        <v>3.88093273463527</v>
      </c>
      <c r="AG3327">
        <v>-1.0291283</v>
      </c>
      <c r="AH3327">
        <v>19.606184697565698</v>
      </c>
      <c r="AI3327">
        <v>92.947609106595493</v>
      </c>
      <c r="AJ3327">
        <v>78.803364345010394</v>
      </c>
      <c r="AK3327">
        <v>20.013076283862102</v>
      </c>
      <c r="AL3327">
        <v>86.337498849025806</v>
      </c>
      <c r="AM3327">
        <v>82.1466364915062</v>
      </c>
      <c r="AN3327">
        <v>0.99999999561347597</v>
      </c>
    </row>
    <row r="3328" spans="1:40" x14ac:dyDescent="0.25">
      <c r="A3328" t="str">
        <f>"20190312151338030"</f>
        <v>20190312151338030</v>
      </c>
      <c r="B3328" t="str">
        <f>"1552374818023752"</f>
        <v>1552374818023752</v>
      </c>
      <c r="C3328" t="s">
        <v>40</v>
      </c>
      <c r="D3328">
        <v>4.4790429999999999</v>
      </c>
      <c r="E3328">
        <v>0.50761179999999995</v>
      </c>
      <c r="F3328" t="s">
        <v>54</v>
      </c>
      <c r="G3328">
        <v>-221.6045</v>
      </c>
      <c r="H3328">
        <v>8.0001249999999996E-2</v>
      </c>
      <c r="I3328">
        <v>208.6189</v>
      </c>
      <c r="J3328">
        <v>-244.11189999999999</v>
      </c>
      <c r="K3328">
        <v>1.109135</v>
      </c>
      <c r="L3328">
        <v>213.68389999999999</v>
      </c>
      <c r="M3328">
        <v>0.99840370000000001</v>
      </c>
      <c r="N3328">
        <v>0</v>
      </c>
      <c r="O3328">
        <v>-5.5102520000000002E-2</v>
      </c>
      <c r="P3328">
        <v>0.98030390000000001</v>
      </c>
      <c r="Q3328">
        <v>5.19605E-2</v>
      </c>
      <c r="R3328">
        <v>-0.19053729999999999</v>
      </c>
      <c r="S3328">
        <v>2.9403229999999998</v>
      </c>
      <c r="T3328">
        <v>-0.1321871</v>
      </c>
      <c r="U3328">
        <v>-0.65336609999999995</v>
      </c>
      <c r="V3328">
        <v>0.13633049999999999</v>
      </c>
      <c r="W3328">
        <v>6.4009579999999996E-2</v>
      </c>
      <c r="X3328">
        <v>0.98859330000000001</v>
      </c>
      <c r="Y3328">
        <v>0.16269059999999999</v>
      </c>
      <c r="Z3328">
        <v>-1.1694349999999999E-3</v>
      </c>
      <c r="AA3328">
        <v>0.98667649999999996</v>
      </c>
      <c r="AB3328">
        <v>37</v>
      </c>
      <c r="AC3328">
        <v>22.507399999999901</v>
      </c>
      <c r="AD3328">
        <v>-1.02913375</v>
      </c>
      <c r="AE3328">
        <v>-5.0649999999999897</v>
      </c>
      <c r="AF3328">
        <v>3.8094132760795199</v>
      </c>
      <c r="AG3328">
        <v>-1.02913375</v>
      </c>
      <c r="AH3328">
        <v>22.7071293579125</v>
      </c>
      <c r="AI3328">
        <v>92.559270532075104</v>
      </c>
      <c r="AJ3328">
        <v>80.476578150702807</v>
      </c>
      <c r="AK3328">
        <v>23.0474395423945</v>
      </c>
      <c r="AL3328">
        <v>86.330012071449502</v>
      </c>
      <c r="AM3328">
        <v>82.148233503150905</v>
      </c>
      <c r="AN3328">
        <v>0.99999997218345704</v>
      </c>
    </row>
    <row r="3329" spans="1:40" x14ac:dyDescent="0.25">
      <c r="A3329" t="str">
        <f>"20190312151338052"</f>
        <v>20190312151338052</v>
      </c>
      <c r="B3329" t="str">
        <f>"1552374818043272"</f>
        <v>1552374818043272</v>
      </c>
      <c r="C3329" t="s">
        <v>40</v>
      </c>
      <c r="D3329">
        <v>4.5091830000000002</v>
      </c>
      <c r="E3329">
        <v>0.50615619999999995</v>
      </c>
      <c r="F3329" t="s">
        <v>54</v>
      </c>
      <c r="G3329">
        <v>-220.22569999999999</v>
      </c>
      <c r="H3329">
        <v>8.0001669999999997E-2</v>
      </c>
      <c r="I3329">
        <v>208.53720000000001</v>
      </c>
      <c r="J3329">
        <v>-243.75980000000001</v>
      </c>
      <c r="K3329">
        <v>1.10914</v>
      </c>
      <c r="L3329">
        <v>213.66390000000001</v>
      </c>
      <c r="M3329">
        <v>0.99836979999999997</v>
      </c>
      <c r="N3329">
        <v>0</v>
      </c>
      <c r="O3329">
        <v>-5.5712890000000001E-2</v>
      </c>
      <c r="P3329">
        <v>0.98017980000000005</v>
      </c>
      <c r="Q3329">
        <v>5.2223510000000001E-2</v>
      </c>
      <c r="R3329">
        <v>-0.191104</v>
      </c>
      <c r="S3329">
        <v>2.9437099999999998</v>
      </c>
      <c r="T3329">
        <v>-0.12682959999999999</v>
      </c>
      <c r="U3329">
        <v>-0.63427730000000004</v>
      </c>
      <c r="V3329">
        <v>0.13629869999999999</v>
      </c>
      <c r="W3329">
        <v>6.4281279999999996E-2</v>
      </c>
      <c r="X3329">
        <v>0.98858009999999996</v>
      </c>
      <c r="Y3329">
        <v>0.155751799999999</v>
      </c>
      <c r="Z3329">
        <v>-9.4788339999999998E-4</v>
      </c>
      <c r="AA3329">
        <v>0.9877958</v>
      </c>
      <c r="AB3329">
        <v>37</v>
      </c>
      <c r="AC3329">
        <v>23.534099999999999</v>
      </c>
      <c r="AD3329">
        <v>-1.0291383300000001</v>
      </c>
      <c r="AE3329">
        <v>-5.1266999999999996</v>
      </c>
      <c r="AF3329">
        <v>3.8005441117636098</v>
      </c>
      <c r="AG3329">
        <v>-1.0291383300000001</v>
      </c>
      <c r="AH3329">
        <v>23.739846575610901</v>
      </c>
      <c r="AI3329">
        <v>92.451084231675495</v>
      </c>
      <c r="AJ3329">
        <v>80.904619769484299</v>
      </c>
      <c r="AK3329">
        <v>24.064155432536602</v>
      </c>
      <c r="AL3329">
        <v>86.314412844682096</v>
      </c>
      <c r="AM3329">
        <v>82.149938634571001</v>
      </c>
      <c r="AN3329">
        <v>1.00000001634806</v>
      </c>
    </row>
    <row r="3330" spans="1:40" x14ac:dyDescent="0.25">
      <c r="A3330" t="str">
        <f>"20190312151338073"</f>
        <v>20190312151338073</v>
      </c>
      <c r="B3330" t="str">
        <f>"1552374818063768"</f>
        <v>1552374818063768</v>
      </c>
      <c r="C3330" t="s">
        <v>40</v>
      </c>
      <c r="D3330">
        <v>4.671951</v>
      </c>
      <c r="E3330">
        <v>0.50487990000000005</v>
      </c>
      <c r="F3330" t="s">
        <v>54</v>
      </c>
      <c r="G3330">
        <v>-219.506</v>
      </c>
      <c r="H3330">
        <v>8.0000409999999994E-2</v>
      </c>
      <c r="I3330">
        <v>208.51990000000001</v>
      </c>
      <c r="J3330">
        <v>-243.39259999999999</v>
      </c>
      <c r="K3330">
        <v>1.109138</v>
      </c>
      <c r="L3330">
        <v>213.64269999999999</v>
      </c>
      <c r="M3330">
        <v>0.9983339</v>
      </c>
      <c r="N3330">
        <v>0</v>
      </c>
      <c r="O3330">
        <v>-5.6349259999999998E-2</v>
      </c>
      <c r="P3330">
        <v>0.98002730000000005</v>
      </c>
      <c r="Q3330">
        <v>5.2836830000000001E-2</v>
      </c>
      <c r="R3330">
        <v>-0.191716</v>
      </c>
      <c r="S3330">
        <v>2.9455110000000002</v>
      </c>
      <c r="T3330">
        <v>-0.1249844</v>
      </c>
      <c r="U3330">
        <v>-0.62471009999999905</v>
      </c>
      <c r="V3330">
        <v>0.13628879999999999</v>
      </c>
      <c r="W3330">
        <v>6.4901790000000001E-2</v>
      </c>
      <c r="X3330">
        <v>0.98854089999999994</v>
      </c>
      <c r="Y3330">
        <v>0.15193480000000001</v>
      </c>
      <c r="Z3330">
        <v>-8.2716440000000005E-4</v>
      </c>
      <c r="AA3330">
        <v>0.9883902</v>
      </c>
      <c r="AB3330">
        <v>37</v>
      </c>
      <c r="AC3330">
        <v>23.886600000000001</v>
      </c>
      <c r="AD3330">
        <v>-1.0291375899999999</v>
      </c>
      <c r="AE3330">
        <v>-5.1227999999999803</v>
      </c>
      <c r="AF3330">
        <v>3.76188723518541</v>
      </c>
      <c r="AG3330">
        <v>-1.0291375899999999</v>
      </c>
      <c r="AH3330">
        <v>24.094570359983699</v>
      </c>
      <c r="AI3330">
        <v>92.416514712496394</v>
      </c>
      <c r="AJ3330">
        <v>81.126048046343996</v>
      </c>
      <c r="AK3330">
        <v>24.408179788374401</v>
      </c>
      <c r="AL3330">
        <v>86.278785764805406</v>
      </c>
      <c r="AM3330">
        <v>82.150194325742703</v>
      </c>
      <c r="AN3330">
        <v>0.999999995161727</v>
      </c>
    </row>
    <row r="3331" spans="1:40" x14ac:dyDescent="0.25">
      <c r="A3331" t="str">
        <f>"20190312151338095"</f>
        <v>20190312151338095</v>
      </c>
      <c r="B3331" t="str">
        <f>"1552374818083289"</f>
        <v>1552374818083289</v>
      </c>
      <c r="C3331" t="s">
        <v>40</v>
      </c>
      <c r="D3331">
        <v>4.4082850000000002</v>
      </c>
      <c r="E3331">
        <v>0.50401039999999997</v>
      </c>
      <c r="F3331" t="s">
        <v>54</v>
      </c>
      <c r="G3331">
        <v>-219.6593</v>
      </c>
      <c r="H3331">
        <v>8.0000349999999998E-2</v>
      </c>
      <c r="I3331">
        <v>208.6754</v>
      </c>
      <c r="J3331">
        <v>-243.04949999999999</v>
      </c>
      <c r="K3331">
        <v>1.1091439999999999</v>
      </c>
      <c r="L3331">
        <v>213.62280000000001</v>
      </c>
      <c r="M3331">
        <v>0.99830010000000002</v>
      </c>
      <c r="N3331">
        <v>0</v>
      </c>
      <c r="O3331">
        <v>-5.6944370000000001E-2</v>
      </c>
      <c r="P3331">
        <v>0.97976019999999997</v>
      </c>
      <c r="Q3331">
        <v>5.3331080000000003E-2</v>
      </c>
      <c r="R3331">
        <v>-0.19294159999999999</v>
      </c>
      <c r="S3331">
        <v>2.9473569999999998</v>
      </c>
      <c r="T3331">
        <v>-0.127805</v>
      </c>
      <c r="U3331">
        <v>-0.61688229999999999</v>
      </c>
      <c r="V3331">
        <v>0.13693859999999999</v>
      </c>
      <c r="W3331">
        <v>6.5400449999999999E-2</v>
      </c>
      <c r="X3331">
        <v>0.98841820000000002</v>
      </c>
      <c r="Y3331">
        <v>0.14870529999999901</v>
      </c>
      <c r="Z3331">
        <v>-7.508285E-4</v>
      </c>
      <c r="AA3331">
        <v>0.98888129999999996</v>
      </c>
      <c r="AB3331">
        <v>37</v>
      </c>
      <c r="AC3331">
        <v>23.3902</v>
      </c>
      <c r="AD3331">
        <v>-1.02914365</v>
      </c>
      <c r="AE3331">
        <v>-4.9474000000000098</v>
      </c>
      <c r="AF3331">
        <v>3.6006559064883499</v>
      </c>
      <c r="AG3331">
        <v>-1.02914365</v>
      </c>
      <c r="AH3331">
        <v>23.590275534173401</v>
      </c>
      <c r="AI3331">
        <v>92.469424603538002</v>
      </c>
      <c r="AJ3331">
        <v>81.3217482705642</v>
      </c>
      <c r="AK3331">
        <v>23.885664307016601</v>
      </c>
      <c r="AL3331">
        <v>86.250153719883698</v>
      </c>
      <c r="AM3331">
        <v>82.112271044932001</v>
      </c>
      <c r="AN3331">
        <v>0.99999996856069995</v>
      </c>
    </row>
    <row r="3332" spans="1:40" x14ac:dyDescent="0.25">
      <c r="A3332" t="str">
        <f>"20190312151338122"</f>
        <v>20190312151338122</v>
      </c>
      <c r="B3332" t="str">
        <f>"1552374818113543"</f>
        <v>1552374818113543</v>
      </c>
      <c r="C3332" t="s">
        <v>40</v>
      </c>
      <c r="D3332">
        <v>4.8350179999999998</v>
      </c>
      <c r="E3332">
        <v>0.50288569999999999</v>
      </c>
      <c r="F3332" t="s">
        <v>54</v>
      </c>
      <c r="G3332">
        <v>-219.70359999999999</v>
      </c>
      <c r="H3332">
        <v>8.0000329999999995E-2</v>
      </c>
      <c r="I3332">
        <v>208.76230000000001</v>
      </c>
      <c r="J3332">
        <v>-242.59379999999999</v>
      </c>
      <c r="K3332">
        <v>1.109148</v>
      </c>
      <c r="L3332">
        <v>213.596</v>
      </c>
      <c r="M3332">
        <v>0.99825450000000004</v>
      </c>
      <c r="N3332">
        <v>0</v>
      </c>
      <c r="O3332">
        <v>-5.7734979999999998E-2</v>
      </c>
      <c r="P3332">
        <v>0.97956169999999998</v>
      </c>
      <c r="Q3332">
        <v>5.299744E-2</v>
      </c>
      <c r="R3332">
        <v>-0.1940364</v>
      </c>
      <c r="S3332">
        <v>2.9481809999999999</v>
      </c>
      <c r="T3332">
        <v>-0.12996289999999999</v>
      </c>
      <c r="U3332">
        <v>-0.61380000000000001</v>
      </c>
      <c r="V3332">
        <v>0.137259299999999</v>
      </c>
      <c r="W3332">
        <v>6.5073080000000005E-2</v>
      </c>
      <c r="X3332">
        <v>0.98839529999999998</v>
      </c>
      <c r="Y3332">
        <v>0.14687539999999999</v>
      </c>
      <c r="Z3332">
        <v>-6.8913449999999995E-4</v>
      </c>
      <c r="AA3332">
        <v>0.9891548</v>
      </c>
      <c r="AB3332">
        <v>37</v>
      </c>
      <c r="AC3332">
        <v>22.8902</v>
      </c>
      <c r="AD3332">
        <v>-1.02914767</v>
      </c>
      <c r="AE3332">
        <v>-4.8336999999999604</v>
      </c>
      <c r="AF3332">
        <v>3.4972009225326799</v>
      </c>
      <c r="AG3332">
        <v>-1.02914767</v>
      </c>
      <c r="AH3332">
        <v>23.086431956804098</v>
      </c>
      <c r="AI3332">
        <v>92.5236896032999</v>
      </c>
      <c r="AJ3332">
        <v>81.386155176141301</v>
      </c>
      <c r="AK3332">
        <v>23.372481676436799</v>
      </c>
      <c r="AL3332">
        <v>86.268950593351207</v>
      </c>
      <c r="AM3332">
        <v>82.093851032763496</v>
      </c>
      <c r="AN3332">
        <v>0.99999994511963097</v>
      </c>
    </row>
    <row r="3333" spans="1:40" x14ac:dyDescent="0.25">
      <c r="A3333" t="str">
        <f>"20190312151338145"</f>
        <v>20190312151338145</v>
      </c>
      <c r="B3333" t="str">
        <f>"1552374818134040"</f>
        <v>1552374818134040</v>
      </c>
      <c r="C3333" t="s">
        <v>40</v>
      </c>
      <c r="D3333">
        <v>4.5162089999999999</v>
      </c>
      <c r="E3333">
        <v>0.50230909999999995</v>
      </c>
      <c r="F3333" t="s">
        <v>54</v>
      </c>
      <c r="G3333">
        <v>-219.9828</v>
      </c>
      <c r="H3333">
        <v>8.0001699999999995E-2</v>
      </c>
      <c r="I3333">
        <v>208.93360000000001</v>
      </c>
      <c r="J3333">
        <v>-242.20189999999999</v>
      </c>
      <c r="K3333">
        <v>1.1091530000000001</v>
      </c>
      <c r="L3333">
        <v>213.57259999999999</v>
      </c>
      <c r="M3333">
        <v>0.99821490000000002</v>
      </c>
      <c r="N3333">
        <v>0</v>
      </c>
      <c r="O3333">
        <v>-5.8415210000000002E-2</v>
      </c>
      <c r="P3333">
        <v>0.97940329999999998</v>
      </c>
      <c r="Q3333">
        <v>5.3003219999999997E-2</v>
      </c>
      <c r="R3333">
        <v>-0.19483420000000001</v>
      </c>
      <c r="S3333">
        <v>2.9493870000000002</v>
      </c>
      <c r="T3333">
        <v>-0.13424269999999999</v>
      </c>
      <c r="U3333">
        <v>-0.60816959999999998</v>
      </c>
      <c r="V3333">
        <v>0.1373907</v>
      </c>
      <c r="W3333">
        <v>6.5084520000000007E-2</v>
      </c>
      <c r="X3333">
        <v>0.98837640000000004</v>
      </c>
      <c r="Y3333">
        <v>0.1443073</v>
      </c>
      <c r="Z3333">
        <v>-6.2331810000000002E-4</v>
      </c>
      <c r="AA3333">
        <v>0.98953270000000004</v>
      </c>
      <c r="AB3333">
        <v>37</v>
      </c>
      <c r="AC3333">
        <v>22.219100000000001</v>
      </c>
      <c r="AD3333">
        <v>-1.0291513000000001</v>
      </c>
      <c r="AE3333">
        <v>-4.6389999999999798</v>
      </c>
      <c r="AF3333">
        <v>3.3262053859754399</v>
      </c>
      <c r="AG3333">
        <v>-1.0291513000000001</v>
      </c>
      <c r="AH3333">
        <v>22.4060994601213</v>
      </c>
      <c r="AI3333">
        <v>92.601378745186096</v>
      </c>
      <c r="AJ3333">
        <v>81.556058472216407</v>
      </c>
      <c r="AK3333">
        <v>22.675010202529801</v>
      </c>
      <c r="AL3333">
        <v>86.268294142662</v>
      </c>
      <c r="AM3333">
        <v>82.086228816458501</v>
      </c>
      <c r="AN3333">
        <v>1.0000000536335301</v>
      </c>
    </row>
    <row r="3334" spans="1:40" x14ac:dyDescent="0.25">
      <c r="A3334" t="str">
        <f>"20190312151338164"</f>
        <v>20190312151338164</v>
      </c>
      <c r="B3334" t="str">
        <f>"1552374818153561"</f>
        <v>1552374818153561</v>
      </c>
      <c r="C3334" t="s">
        <v>40</v>
      </c>
      <c r="D3334">
        <v>4.4839190000000002</v>
      </c>
      <c r="E3334">
        <v>0.50137480000000001</v>
      </c>
      <c r="F3334" t="s">
        <v>54</v>
      </c>
      <c r="G3334">
        <v>-220.16970000000001</v>
      </c>
      <c r="H3334">
        <v>8.0001660000000002E-2</v>
      </c>
      <c r="I3334">
        <v>209.0444</v>
      </c>
      <c r="J3334">
        <v>-241.88220000000001</v>
      </c>
      <c r="K3334">
        <v>1.109154</v>
      </c>
      <c r="L3334">
        <v>213.55340000000001</v>
      </c>
      <c r="M3334">
        <v>0.99818209999999996</v>
      </c>
      <c r="N3334">
        <v>0</v>
      </c>
      <c r="O3334">
        <v>-5.8970250000000002E-2</v>
      </c>
      <c r="P3334">
        <v>0.97933000000000003</v>
      </c>
      <c r="Q3334">
        <v>5.3199959999999998E-2</v>
      </c>
      <c r="R3334">
        <v>-0.1951473</v>
      </c>
      <c r="S3334">
        <v>2.9499360000000001</v>
      </c>
      <c r="T3334">
        <v>-0.13779520000000001</v>
      </c>
      <c r="U3334">
        <v>-0.60629270000000002</v>
      </c>
      <c r="V3334">
        <v>0.13715829999999901</v>
      </c>
      <c r="W3334">
        <v>6.5285300000000004E-2</v>
      </c>
      <c r="X3334">
        <v>0.98839540000000004</v>
      </c>
      <c r="Y3334">
        <v>0.14311380000000001</v>
      </c>
      <c r="Z3334">
        <v>-5.8659769999999895E-4</v>
      </c>
      <c r="AA3334">
        <v>0.98970599999999997</v>
      </c>
      <c r="AB3334">
        <v>37</v>
      </c>
      <c r="AC3334">
        <v>21.712499999999999</v>
      </c>
      <c r="AD3334">
        <v>-1.02915234</v>
      </c>
      <c r="AE3334">
        <v>-4.5090000000000101</v>
      </c>
      <c r="AF3334">
        <v>3.2137394430000401</v>
      </c>
      <c r="AG3334">
        <v>-1.02915234</v>
      </c>
      <c r="AH3334">
        <v>21.893472336422199</v>
      </c>
      <c r="AI3334">
        <v>92.662843089648405</v>
      </c>
      <c r="AJ3334">
        <v>81.6491994768176</v>
      </c>
      <c r="AK3334">
        <v>22.152006832161</v>
      </c>
      <c r="AL3334">
        <v>86.256765645317799</v>
      </c>
      <c r="AM3334">
        <v>82.099595944546905</v>
      </c>
      <c r="AN3334">
        <v>1.0000000181980599</v>
      </c>
    </row>
    <row r="3335" spans="1:40" x14ac:dyDescent="0.25">
      <c r="A3335" t="str">
        <f>"20190312151338185"</f>
        <v>20190312151338185</v>
      </c>
      <c r="B3335" t="str">
        <f>"1552374818174056"</f>
        <v>1552374818174056</v>
      </c>
      <c r="C3335" t="s">
        <v>40</v>
      </c>
      <c r="D3335">
        <v>4.5164939999999998</v>
      </c>
      <c r="E3335">
        <v>0.50048239999999999</v>
      </c>
      <c r="F3335" t="s">
        <v>54</v>
      </c>
      <c r="G3335">
        <v>-220.79419999999999</v>
      </c>
      <c r="H3335">
        <v>8.0001459999999996E-2</v>
      </c>
      <c r="I3335">
        <v>209.26490000000001</v>
      </c>
      <c r="J3335">
        <v>-241.5378</v>
      </c>
      <c r="K3335">
        <v>1.1091500000000001</v>
      </c>
      <c r="L3335">
        <v>213.5325</v>
      </c>
      <c r="M3335">
        <v>0.99814669999999905</v>
      </c>
      <c r="N3335">
        <v>0</v>
      </c>
      <c r="O3335">
        <v>-5.9568330000000003E-2</v>
      </c>
      <c r="P3335">
        <v>0.9791493</v>
      </c>
      <c r="Q3335">
        <v>5.3234139999999999E-2</v>
      </c>
      <c r="R3335">
        <v>-0.19604240000000001</v>
      </c>
      <c r="S3335">
        <v>2.9515690000000001</v>
      </c>
      <c r="T3335">
        <v>-0.144044899999999</v>
      </c>
      <c r="U3335">
        <v>-0.60023499999999996</v>
      </c>
      <c r="V3335">
        <v>0.13746989999999901</v>
      </c>
      <c r="W3335">
        <v>6.5321939999999995E-2</v>
      </c>
      <c r="X3335">
        <v>0.9883497</v>
      </c>
      <c r="Y3335">
        <v>0.14045820000000001</v>
      </c>
      <c r="Z3335">
        <v>-5.2005940000000004E-4</v>
      </c>
      <c r="AA3335">
        <v>0.99008649999999998</v>
      </c>
      <c r="AB3335">
        <v>37</v>
      </c>
      <c r="AC3335">
        <v>20.743600000000001</v>
      </c>
      <c r="AD3335">
        <v>-1.02914854</v>
      </c>
      <c r="AE3335">
        <v>-4.2675999999999803</v>
      </c>
      <c r="AF3335">
        <v>3.01713838481795</v>
      </c>
      <c r="AG3335">
        <v>-1.02914854</v>
      </c>
      <c r="AH3335">
        <v>20.911609530672798</v>
      </c>
      <c r="AI3335">
        <v>92.788663997871893</v>
      </c>
      <c r="AJ3335">
        <v>81.789989878972307</v>
      </c>
      <c r="AK3335">
        <v>21.1531955957925</v>
      </c>
      <c r="AL3335">
        <v>86.254661879196206</v>
      </c>
      <c r="AM3335">
        <v>82.081513510045497</v>
      </c>
      <c r="AN3335">
        <v>1.0000000293707301</v>
      </c>
    </row>
    <row r="3336" spans="1:40" x14ac:dyDescent="0.25">
      <c r="A3336" t="str">
        <f>"20190312151338208"</f>
        <v>20190312151338208</v>
      </c>
      <c r="B3336" t="str">
        <f>"1552374818203335"</f>
        <v>1552374818203335</v>
      </c>
      <c r="C3336" t="s">
        <v>40</v>
      </c>
      <c r="D3336">
        <v>4.4831979999999998</v>
      </c>
      <c r="E3336">
        <v>0.50011309999999998</v>
      </c>
      <c r="F3336" t="s">
        <v>54</v>
      </c>
      <c r="G3336">
        <v>-221.3211</v>
      </c>
      <c r="H3336">
        <v>8.0001290000000003E-2</v>
      </c>
      <c r="I3336">
        <v>209.4522</v>
      </c>
      <c r="J3336">
        <v>-241.1628</v>
      </c>
      <c r="K3336">
        <v>1.1091489999999999</v>
      </c>
      <c r="L3336">
        <v>213.5094</v>
      </c>
      <c r="M3336">
        <v>0.99810759999999998</v>
      </c>
      <c r="N3336">
        <v>0</v>
      </c>
      <c r="O3336">
        <v>-6.0220160000000002E-2</v>
      </c>
      <c r="P3336">
        <v>0.97911729999999997</v>
      </c>
      <c r="Q3336">
        <v>5.300059E-2</v>
      </c>
      <c r="R3336">
        <v>-0.19626660000000001</v>
      </c>
      <c r="S3336">
        <v>2.952728</v>
      </c>
      <c r="T3336">
        <v>-0.15031120000000001</v>
      </c>
      <c r="U3336">
        <v>-0.59593200000000002</v>
      </c>
      <c r="V3336">
        <v>0.13704920000000001</v>
      </c>
      <c r="W3336">
        <v>6.5093540000000005E-2</v>
      </c>
      <c r="X3336">
        <v>0.98842319999999995</v>
      </c>
      <c r="Y3336">
        <v>0.13834469999999999</v>
      </c>
      <c r="Z3336">
        <v>-4.5657579999999997E-4</v>
      </c>
      <c r="AA3336">
        <v>0.99038400000000004</v>
      </c>
      <c r="AB3336">
        <v>37</v>
      </c>
      <c r="AC3336">
        <v>19.841699999999999</v>
      </c>
      <c r="AD3336">
        <v>-1.0291477099999999</v>
      </c>
      <c r="AE3336">
        <v>-4.0571999999999901</v>
      </c>
      <c r="AF3336">
        <v>2.8475195309935701</v>
      </c>
      <c r="AG3336">
        <v>-1.0291477099999999</v>
      </c>
      <c r="AH3336">
        <v>19.998386189841501</v>
      </c>
      <c r="AI3336">
        <v>92.916564627663305</v>
      </c>
      <c r="AJ3336">
        <v>81.896271677305407</v>
      </c>
      <c r="AK3336">
        <v>20.2262938445587</v>
      </c>
      <c r="AL3336">
        <v>86.267776175226004</v>
      </c>
      <c r="AM3336">
        <v>82.106020143320805</v>
      </c>
      <c r="AN3336">
        <v>1.0000000372343001</v>
      </c>
    </row>
    <row r="3337" spans="1:40" x14ac:dyDescent="0.25">
      <c r="A3337" t="str">
        <f>"20190312151338230"</f>
        <v>20190312151338230</v>
      </c>
      <c r="B3337" t="str">
        <f>"1552374818223833"</f>
        <v>1552374818223833</v>
      </c>
      <c r="C3337" t="s">
        <v>40</v>
      </c>
      <c r="D3337">
        <v>4.4412050000000001</v>
      </c>
      <c r="E3337">
        <v>0.49957580000000001</v>
      </c>
      <c r="F3337" t="s">
        <v>54</v>
      </c>
      <c r="G3337">
        <v>-220.86840000000001</v>
      </c>
      <c r="H3337">
        <v>8.0001429999999998E-2</v>
      </c>
      <c r="I3337">
        <v>209.43020000000001</v>
      </c>
      <c r="J3337">
        <v>-240.78909999999999</v>
      </c>
      <c r="K3337">
        <v>1.109148</v>
      </c>
      <c r="L3337">
        <v>213.4862</v>
      </c>
      <c r="M3337">
        <v>0.99806810000000001</v>
      </c>
      <c r="N3337">
        <v>0</v>
      </c>
      <c r="O3337">
        <v>-6.0869729999999997E-2</v>
      </c>
      <c r="P3337">
        <v>0.97904069999999999</v>
      </c>
      <c r="Q3337">
        <v>5.3056869999999999E-2</v>
      </c>
      <c r="R3337">
        <v>-0.1966338</v>
      </c>
      <c r="S3337">
        <v>2.9530789999999998</v>
      </c>
      <c r="T3337">
        <v>-0.14975379999999899</v>
      </c>
      <c r="U3337">
        <v>-0.59358219999999995</v>
      </c>
      <c r="V3337">
        <v>0.1367766</v>
      </c>
      <c r="W3337">
        <v>6.5153509999999998E-2</v>
      </c>
      <c r="X3337">
        <v>0.98845700000000003</v>
      </c>
      <c r="Y3337">
        <v>0.13692299999999999</v>
      </c>
      <c r="Z3337">
        <v>-3.8672819999999999E-4</v>
      </c>
      <c r="AA3337">
        <v>0.99058159999999895</v>
      </c>
      <c r="AB3337">
        <v>37</v>
      </c>
      <c r="AC3337">
        <v>19.920699999999901</v>
      </c>
      <c r="AD3337">
        <v>-1.02914657</v>
      </c>
      <c r="AE3337">
        <v>-4.0559999999999796</v>
      </c>
      <c r="AF3337">
        <v>2.8285674077578702</v>
      </c>
      <c r="AG3337">
        <v>-1.02914657</v>
      </c>
      <c r="AH3337">
        <v>20.0792046846441</v>
      </c>
      <c r="AI3337">
        <v>92.9054532753605</v>
      </c>
      <c r="AJ3337">
        <v>81.981478812592002</v>
      </c>
      <c r="AK3337">
        <v>20.303556265112899</v>
      </c>
      <c r="AL3337">
        <v>86.264332809082205</v>
      </c>
      <c r="AM3337">
        <v>82.121790448049595</v>
      </c>
      <c r="AN3337">
        <v>1.0000000295109299</v>
      </c>
    </row>
    <row r="3338" spans="1:40" x14ac:dyDescent="0.25">
      <c r="A3338" t="str">
        <f>"20190312151338251"</f>
        <v>20190312151338251</v>
      </c>
      <c r="B3338" t="str">
        <f>"1552374818243352"</f>
        <v>1552374818243352</v>
      </c>
      <c r="C3338" t="s">
        <v>40</v>
      </c>
      <c r="D3338">
        <v>4.9726489999999997</v>
      </c>
      <c r="E3338">
        <v>0.4683678</v>
      </c>
      <c r="F3338" t="s">
        <v>54</v>
      </c>
      <c r="G3338">
        <v>-220.5642</v>
      </c>
      <c r="H3338">
        <v>8.0001520000000007E-2</v>
      </c>
      <c r="I3338">
        <v>209.4435</v>
      </c>
      <c r="J3338">
        <v>-240.4486</v>
      </c>
      <c r="K3338">
        <v>1.1091530000000001</v>
      </c>
      <c r="L3338">
        <v>213.4649</v>
      </c>
      <c r="M3338">
        <v>0.99803169999999997</v>
      </c>
      <c r="N3338">
        <v>0</v>
      </c>
      <c r="O3338">
        <v>-6.1461710000000003E-2</v>
      </c>
      <c r="P3338">
        <v>0.97888549999999996</v>
      </c>
      <c r="Q3338">
        <v>5.2955870000000002E-2</v>
      </c>
      <c r="R3338">
        <v>-0.19743169999999999</v>
      </c>
      <c r="S3338">
        <v>2.9537810000000002</v>
      </c>
      <c r="T3338">
        <v>-0.15030360000000001</v>
      </c>
      <c r="U3338">
        <v>-0.59042359999999905</v>
      </c>
      <c r="V3338">
        <v>0.13699549999999999</v>
      </c>
      <c r="W3338">
        <v>6.5054520000000005E-2</v>
      </c>
      <c r="X3338">
        <v>0.98843320000000001</v>
      </c>
      <c r="Y3338">
        <v>0.13527359999999999</v>
      </c>
      <c r="Z3338">
        <v>-3.1686270000000002E-4</v>
      </c>
      <c r="AA3338">
        <v>0.99080820000000003</v>
      </c>
      <c r="AB3338">
        <v>37</v>
      </c>
      <c r="AC3338">
        <v>19.884399999999999</v>
      </c>
      <c r="AD3338">
        <v>-1.0291514799999999</v>
      </c>
      <c r="AE3338">
        <v>-4.0213999999999999</v>
      </c>
      <c r="AF3338">
        <v>2.7844063910206298</v>
      </c>
      <c r="AG3338">
        <v>-1.0291514799999999</v>
      </c>
      <c r="AH3338">
        <v>20.042403699557301</v>
      </c>
      <c r="AI3338">
        <v>92.911568321508</v>
      </c>
      <c r="AJ3338">
        <v>82.090764098136802</v>
      </c>
      <c r="AK3338">
        <v>20.2610468084739</v>
      </c>
      <c r="AL3338">
        <v>86.270016556602997</v>
      </c>
      <c r="AM3338">
        <v>82.109153097492495</v>
      </c>
      <c r="AN3338">
        <v>1.00000002422745</v>
      </c>
    </row>
    <row r="3339" spans="1:40" x14ac:dyDescent="0.25">
      <c r="A3339" t="str">
        <f>"20190312151338272"</f>
        <v>20190312151338272</v>
      </c>
      <c r="B3339" t="str">
        <f>"1552374818263848"</f>
        <v>1552374818263848</v>
      </c>
      <c r="C3339" t="s">
        <v>40</v>
      </c>
      <c r="D3339">
        <v>4.4595909999999996</v>
      </c>
      <c r="E3339">
        <v>0.46834920000000002</v>
      </c>
      <c r="F3339" t="s">
        <v>41</v>
      </c>
      <c r="G3339">
        <v>-239.47909999999999</v>
      </c>
      <c r="H3339">
        <v>1.03627</v>
      </c>
      <c r="I3339">
        <v>213.352</v>
      </c>
      <c r="J3339">
        <v>-240.07929999999999</v>
      </c>
      <c r="K3339">
        <v>1.1091519999999999</v>
      </c>
      <c r="L3339">
        <v>213.44149999999999</v>
      </c>
      <c r="M3339">
        <v>0.99799199999999999</v>
      </c>
      <c r="N3339">
        <v>0</v>
      </c>
      <c r="O3339">
        <v>-6.2103760000000001E-2</v>
      </c>
      <c r="P3339">
        <v>0.9787884</v>
      </c>
      <c r="Q3339">
        <v>5.3207490000000003E-2</v>
      </c>
      <c r="R3339">
        <v>-0.19784470000000001</v>
      </c>
      <c r="S3339">
        <v>3.006424</v>
      </c>
      <c r="T3339">
        <v>-0.22601489999999999</v>
      </c>
      <c r="U3339">
        <v>-0.34959410000000002</v>
      </c>
      <c r="V3339">
        <v>0.13677779999999901</v>
      </c>
      <c r="W3339">
        <v>6.5308619999999998E-2</v>
      </c>
      <c r="X3339">
        <v>0.98844659999999995</v>
      </c>
      <c r="Y3339">
        <v>5.3611659999999998E-2</v>
      </c>
      <c r="Z3339">
        <v>2.6349479999999998E-3</v>
      </c>
      <c r="AA3339">
        <v>0.99855839999999996</v>
      </c>
      <c r="AB3339">
        <v>37</v>
      </c>
      <c r="AC3339">
        <v>0.60020000000000095</v>
      </c>
      <c r="AD3339">
        <v>-7.2882000000000099E-2</v>
      </c>
      <c r="AE3339">
        <v>-8.9499999999986798E-2</v>
      </c>
      <c r="AF3339">
        <v>5.1309534859577198E-2</v>
      </c>
      <c r="AG3339">
        <v>-7.2882000000000099E-2</v>
      </c>
      <c r="AH3339">
        <v>0.59600299094151798</v>
      </c>
      <c r="AI3339">
        <v>96.946338229543301</v>
      </c>
      <c r="AJ3339">
        <v>85.079572994822797</v>
      </c>
      <c r="AK3339">
        <v>0.60263091482493802</v>
      </c>
      <c r="AL3339">
        <v>86.255426700946302</v>
      </c>
      <c r="AM3339">
        <v>82.121640346155402</v>
      </c>
      <c r="AN3339">
        <v>1.0000000317353499</v>
      </c>
    </row>
    <row r="3340" spans="1:40" x14ac:dyDescent="0.25">
      <c r="A3340" t="str">
        <f>"20190312151338296"</f>
        <v>20190312151338296</v>
      </c>
      <c r="B3340" t="str">
        <f>"1552374818283369"</f>
        <v>1552374818283369</v>
      </c>
      <c r="C3340" t="s">
        <v>40</v>
      </c>
      <c r="D3340">
        <v>4.4184099999999997</v>
      </c>
      <c r="E3340">
        <v>0.46820119999999998</v>
      </c>
      <c r="F3340" t="s">
        <v>41</v>
      </c>
      <c r="G3340">
        <v>-239.1463</v>
      </c>
      <c r="H3340">
        <v>1.035774</v>
      </c>
      <c r="I3340">
        <v>213.33260000000001</v>
      </c>
      <c r="J3340">
        <v>-239.70599999999999</v>
      </c>
      <c r="K3340">
        <v>1.1091569999999999</v>
      </c>
      <c r="L3340">
        <v>213.41759999999999</v>
      </c>
      <c r="M3340">
        <v>0.99795129999999999</v>
      </c>
      <c r="N3340">
        <v>0</v>
      </c>
      <c r="O3340">
        <v>-6.2752719999999998E-2</v>
      </c>
      <c r="P3340">
        <v>0.97851390000000005</v>
      </c>
      <c r="Q3340">
        <v>5.3507190000000003E-2</v>
      </c>
      <c r="R3340">
        <v>-0.19911709999999999</v>
      </c>
      <c r="S3340">
        <v>3.0069270000000001</v>
      </c>
      <c r="T3340">
        <v>-0.23647950000000001</v>
      </c>
      <c r="U3340">
        <v>-0.35089110000000001</v>
      </c>
      <c r="V3340">
        <v>0.13742219999999999</v>
      </c>
      <c r="W3340">
        <v>6.560742E-2</v>
      </c>
      <c r="X3340">
        <v>0.98833740000000003</v>
      </c>
      <c r="Y3340">
        <v>5.3372990000000002E-2</v>
      </c>
      <c r="Z3340">
        <v>2.8160080000000001E-3</v>
      </c>
      <c r="AA3340">
        <v>0.99857070000000003</v>
      </c>
      <c r="AB3340">
        <v>37</v>
      </c>
      <c r="AC3340">
        <v>0.55969999999999198</v>
      </c>
      <c r="AD3340">
        <v>-7.3382999999999907E-2</v>
      </c>
      <c r="AE3340">
        <v>-8.4999999999979495E-2</v>
      </c>
      <c r="AF3340">
        <v>4.8885615307514202E-2</v>
      </c>
      <c r="AG3340">
        <v>-7.3382999999999907E-2</v>
      </c>
      <c r="AH3340">
        <v>0.55461216269545999</v>
      </c>
      <c r="AI3340">
        <v>97.508479656259794</v>
      </c>
      <c r="AJ3340">
        <v>84.962751545945096</v>
      </c>
      <c r="AK3340">
        <v>0.56157770529351503</v>
      </c>
      <c r="AL3340">
        <v>86.238269827673093</v>
      </c>
      <c r="AM3340">
        <v>82.084129007084101</v>
      </c>
      <c r="AN3340">
        <v>1.00000000542532</v>
      </c>
    </row>
    <row r="3341" spans="1:40" x14ac:dyDescent="0.25">
      <c r="A3341" t="str">
        <f>"20190312151338323"</f>
        <v>20190312151338323</v>
      </c>
      <c r="B3341" t="str">
        <f>"1552374818313624"</f>
        <v>1552374818313624</v>
      </c>
      <c r="C3341" t="s">
        <v>40</v>
      </c>
      <c r="D3341">
        <v>4.4353150000000001</v>
      </c>
      <c r="E3341">
        <v>0.46824929999999898</v>
      </c>
      <c r="F3341" t="s">
        <v>41</v>
      </c>
      <c r="G3341">
        <v>-238.81370000000001</v>
      </c>
      <c r="H3341">
        <v>1.035204</v>
      </c>
      <c r="I3341">
        <v>213.3124</v>
      </c>
      <c r="J3341">
        <v>-239.2544</v>
      </c>
      <c r="K3341">
        <v>1.1091580000000001</v>
      </c>
      <c r="L3341">
        <v>213.38829999999999</v>
      </c>
      <c r="M3341">
        <v>0.99790160000000006</v>
      </c>
      <c r="N3341">
        <v>0</v>
      </c>
      <c r="O3341">
        <v>-6.353781E-2</v>
      </c>
      <c r="P3341">
        <v>0.97818870000000002</v>
      </c>
      <c r="Q3341">
        <v>5.3966170000000001E-2</v>
      </c>
      <c r="R3341">
        <v>-0.20058580000000001</v>
      </c>
      <c r="S3341">
        <v>3.0074770000000002</v>
      </c>
      <c r="T3341">
        <v>-0.24931200000000001</v>
      </c>
      <c r="U3341">
        <v>-0.35401919999999998</v>
      </c>
      <c r="V3341">
        <v>0.1381309</v>
      </c>
      <c r="W3341">
        <v>6.6064680000000001E-2</v>
      </c>
      <c r="X3341">
        <v>0.98820810000000003</v>
      </c>
      <c r="Y3341">
        <v>5.3595950000000003E-2</v>
      </c>
      <c r="Z3341">
        <v>3.022903E-3</v>
      </c>
      <c r="AA3341">
        <v>0.9985581</v>
      </c>
      <c r="AB3341">
        <v>37</v>
      </c>
      <c r="AC3341">
        <v>0.44069999999999199</v>
      </c>
      <c r="AD3341">
        <v>-7.3954000000000006E-2</v>
      </c>
      <c r="AE3341">
        <v>-7.5899999999990003E-2</v>
      </c>
      <c r="AF3341">
        <v>4.6472351217875102E-2</v>
      </c>
      <c r="AG3341">
        <v>-7.3954000000000006E-2</v>
      </c>
      <c r="AH3341">
        <v>0.43279572887149598</v>
      </c>
      <c r="AI3341">
        <v>99.642388870150896</v>
      </c>
      <c r="AJ3341">
        <v>83.871227831020605</v>
      </c>
      <c r="AK3341">
        <v>0.44152125257243002</v>
      </c>
      <c r="AL3341">
        <v>86.212013654523702</v>
      </c>
      <c r="AM3341">
        <v>82.042799839716494</v>
      </c>
      <c r="AN3341">
        <v>0.99999996819196002</v>
      </c>
    </row>
    <row r="3342" spans="1:40" x14ac:dyDescent="0.25">
      <c r="A3342" t="str">
        <f>"20190312151338363"</f>
        <v>20190312151338363</v>
      </c>
      <c r="B3342" t="str">
        <f>"1552374818353643"</f>
        <v>1552374818353643</v>
      </c>
      <c r="C3342" t="s">
        <v>40</v>
      </c>
      <c r="D3342">
        <v>4.4606250000000003</v>
      </c>
      <c r="E3342">
        <v>0.4686535</v>
      </c>
      <c r="F3342" t="s">
        <v>41</v>
      </c>
      <c r="G3342">
        <v>-238.477</v>
      </c>
      <c r="H3342">
        <v>1.0426029999999999</v>
      </c>
      <c r="I3342">
        <v>213.2955</v>
      </c>
      <c r="J3342">
        <v>-238.58779999999999</v>
      </c>
      <c r="K3342">
        <v>1.1091660000000001</v>
      </c>
      <c r="L3342">
        <v>213.34450000000001</v>
      </c>
      <c r="M3342">
        <v>0.99782709999999997</v>
      </c>
      <c r="N3342">
        <v>0</v>
      </c>
      <c r="O3342">
        <v>-6.4696390000000006E-2</v>
      </c>
      <c r="P3342">
        <v>0.97764459999999997</v>
      </c>
      <c r="Q3342">
        <v>5.464128E-2</v>
      </c>
      <c r="R3342">
        <v>-0.20304030000000001</v>
      </c>
      <c r="S3342">
        <v>3.0074459999999998</v>
      </c>
      <c r="T3342">
        <v>-0.25749909999999998</v>
      </c>
      <c r="U3342">
        <v>-0.35908509999999999</v>
      </c>
      <c r="V3342">
        <v>0.13946839999999999</v>
      </c>
      <c r="W3342">
        <v>6.6739809999999997E-2</v>
      </c>
      <c r="X3342">
        <v>0.98797489999999999</v>
      </c>
      <c r="Y3342">
        <v>5.4100990000000002E-2</v>
      </c>
      <c r="Z3342">
        <v>3.198303E-3</v>
      </c>
      <c r="AA3342">
        <v>0.99853029999999998</v>
      </c>
      <c r="AB3342">
        <v>37</v>
      </c>
      <c r="AC3342">
        <v>0.110799999999983</v>
      </c>
      <c r="AD3342">
        <v>-6.65629999999999E-2</v>
      </c>
      <c r="AE3342">
        <v>-4.9000000000006497E-2</v>
      </c>
      <c r="AF3342">
        <v>3.20528496926493E-2</v>
      </c>
      <c r="AG3342">
        <v>-6.65629999999999E-2</v>
      </c>
      <c r="AH3342">
        <v>8.7365742352217293E-2</v>
      </c>
      <c r="AI3342">
        <v>125.575001243394</v>
      </c>
      <c r="AJ3342">
        <v>69.852861440612301</v>
      </c>
      <c r="AK3342">
        <v>0.11441499499267301</v>
      </c>
      <c r="AL3342">
        <v>86.173246188474295</v>
      </c>
      <c r="AM3342">
        <v>81.964881168337399</v>
      </c>
      <c r="AN3342">
        <v>1.0000000199337</v>
      </c>
    </row>
    <row r="3343" spans="1:40" x14ac:dyDescent="0.25">
      <c r="A3343" t="str">
        <f>"20190312151338384"</f>
        <v>20190312151338384</v>
      </c>
      <c r="B3343" t="str">
        <f>"1552374818374136"</f>
        <v>1552374818374136</v>
      </c>
      <c r="C3343" t="s">
        <v>40</v>
      </c>
      <c r="D3343">
        <v>4.4545360000000001</v>
      </c>
      <c r="E3343">
        <v>0.46884199999999998</v>
      </c>
      <c r="F3343" t="s">
        <v>41</v>
      </c>
      <c r="G3343">
        <v>-237.8108</v>
      </c>
      <c r="H3343">
        <v>1.0437799999999999</v>
      </c>
      <c r="I3343">
        <v>213.24889999999999</v>
      </c>
      <c r="J3343">
        <v>-238.21680000000001</v>
      </c>
      <c r="K3343">
        <v>1.1091690000000001</v>
      </c>
      <c r="L3343">
        <v>213.31989999999999</v>
      </c>
      <c r="M3343">
        <v>0.99778500000000003</v>
      </c>
      <c r="N3343">
        <v>0</v>
      </c>
      <c r="O3343">
        <v>-6.5340990000000002E-2</v>
      </c>
      <c r="P3343">
        <v>0.97748060000000003</v>
      </c>
      <c r="Q3343">
        <v>5.5287210000000003E-2</v>
      </c>
      <c r="R3343">
        <v>-0.203654</v>
      </c>
      <c r="S3343">
        <v>3.0059049999999998</v>
      </c>
      <c r="T3343">
        <v>-0.25300129999999998</v>
      </c>
      <c r="U3343">
        <v>-0.36997989999999997</v>
      </c>
      <c r="V3343">
        <v>0.13945389999999999</v>
      </c>
      <c r="W3343">
        <v>6.7393519999999998E-2</v>
      </c>
      <c r="X3343">
        <v>0.98793260000000005</v>
      </c>
      <c r="Y3343">
        <v>5.7073249999999999E-2</v>
      </c>
      <c r="Z3343">
        <v>3.0727609999999998E-3</v>
      </c>
      <c r="AA3343">
        <v>0.99836530000000001</v>
      </c>
      <c r="AB3343">
        <v>37</v>
      </c>
      <c r="AC3343">
        <v>0.40600000000000502</v>
      </c>
      <c r="AD3343">
        <v>-6.53890000000001E-2</v>
      </c>
      <c r="AE3343">
        <v>-7.0999999999997898E-2</v>
      </c>
      <c r="AF3343">
        <v>4.3229672404264702E-2</v>
      </c>
      <c r="AG3343">
        <v>-6.53890000000001E-2</v>
      </c>
      <c r="AH3343">
        <v>0.39971127376679</v>
      </c>
      <c r="AI3343">
        <v>99.237820705771099</v>
      </c>
      <c r="AJ3343">
        <v>83.8273251607947</v>
      </c>
      <c r="AK3343">
        <v>0.40732496642539601</v>
      </c>
      <c r="AL3343">
        <v>86.135706958803297</v>
      </c>
      <c r="AM3343">
        <v>81.965366130957705</v>
      </c>
      <c r="AN3343">
        <v>1.0000000494529699</v>
      </c>
    </row>
    <row r="3344" spans="1:40" x14ac:dyDescent="0.25">
      <c r="A3344" t="str">
        <f>"20190312151338408"</f>
        <v>20190312151338408</v>
      </c>
      <c r="B3344" t="str">
        <f>"1552374818403417"</f>
        <v>1552374818403417</v>
      </c>
      <c r="C3344" t="s">
        <v>40</v>
      </c>
      <c r="D3344">
        <v>4.5211930000000002</v>
      </c>
      <c r="E3344">
        <v>0.46856979999999998</v>
      </c>
      <c r="F3344" t="s">
        <v>41</v>
      </c>
      <c r="G3344">
        <v>-237.47489999999999</v>
      </c>
      <c r="H3344">
        <v>1.047229</v>
      </c>
      <c r="I3344">
        <v>213.2276</v>
      </c>
      <c r="J3344">
        <v>-237.82759999999999</v>
      </c>
      <c r="K3344">
        <v>1.1091679999999999</v>
      </c>
      <c r="L3344">
        <v>213.2937</v>
      </c>
      <c r="M3344">
        <v>0.99774030000000002</v>
      </c>
      <c r="N3344">
        <v>0</v>
      </c>
      <c r="O3344">
        <v>-6.6016060000000001E-2</v>
      </c>
      <c r="P3344">
        <v>0.97748290000000004</v>
      </c>
      <c r="Q3344">
        <v>5.5501080000000001E-2</v>
      </c>
      <c r="R3344">
        <v>-0.20358509999999999</v>
      </c>
      <c r="S3344">
        <v>3.0055079999999998</v>
      </c>
      <c r="T3344">
        <v>-0.25101590000000001</v>
      </c>
      <c r="U3344">
        <v>-0.37344359999999999</v>
      </c>
      <c r="V3344">
        <v>0.13871639999999999</v>
      </c>
      <c r="W3344">
        <v>6.7629960000000003E-2</v>
      </c>
      <c r="X3344">
        <v>0.98802020000000002</v>
      </c>
      <c r="Y3344">
        <v>5.7547189999999998E-2</v>
      </c>
      <c r="Z3344">
        <v>3.0850510000000001E-3</v>
      </c>
      <c r="AA3344">
        <v>0.99833799999999995</v>
      </c>
      <c r="AB3344">
        <v>37</v>
      </c>
      <c r="AC3344">
        <v>0.35269999999999802</v>
      </c>
      <c r="AD3344">
        <v>-6.1938999999999703E-2</v>
      </c>
      <c r="AE3344">
        <v>-6.6100000000005807E-2</v>
      </c>
      <c r="AF3344">
        <v>4.1435579371671701E-2</v>
      </c>
      <c r="AG3344">
        <v>-6.1938999999999703E-2</v>
      </c>
      <c r="AH3344">
        <v>0.34598625287854401</v>
      </c>
      <c r="AI3344">
        <v>100.079132372313</v>
      </c>
      <c r="AJ3344">
        <v>83.170739373272795</v>
      </c>
      <c r="AK3344">
        <v>0.35392066079815399</v>
      </c>
      <c r="AL3344">
        <v>86.122128710194104</v>
      </c>
      <c r="AM3344">
        <v>82.008006136404902</v>
      </c>
      <c r="AN3344">
        <v>0.99999998336329998</v>
      </c>
    </row>
    <row r="3345" spans="1:40" x14ac:dyDescent="0.25">
      <c r="A3345" t="str">
        <f>"20190312151338430"</f>
        <v>20190312151338430</v>
      </c>
      <c r="B3345" t="str">
        <f>"1552374818423912"</f>
        <v>1552374818423912</v>
      </c>
      <c r="C3345" t="s">
        <v>40</v>
      </c>
      <c r="D3345">
        <v>4.5408869999999997</v>
      </c>
      <c r="E3345">
        <v>0.46832560000000001</v>
      </c>
      <c r="F3345" t="s">
        <v>41</v>
      </c>
      <c r="G3345">
        <v>-236.8244</v>
      </c>
      <c r="H3345">
        <v>1.023441</v>
      </c>
      <c r="I3345">
        <v>213.16980000000001</v>
      </c>
      <c r="J3345">
        <v>-237.4588</v>
      </c>
      <c r="K3345">
        <v>1.1091789999999999</v>
      </c>
      <c r="L3345">
        <v>213.26859999999999</v>
      </c>
      <c r="M3345">
        <v>0.99769770000000002</v>
      </c>
      <c r="N3345">
        <v>0</v>
      </c>
      <c r="O3345">
        <v>-6.6652130000000004E-2</v>
      </c>
      <c r="P3345">
        <v>0.97745660000000001</v>
      </c>
      <c r="Q3345">
        <v>5.5716799999999997E-2</v>
      </c>
      <c r="R3345">
        <v>-0.2036529</v>
      </c>
      <c r="S3345">
        <v>3.006424</v>
      </c>
      <c r="T3345">
        <v>-0.25701279999999999</v>
      </c>
      <c r="U3345">
        <v>-0.37104799999999999</v>
      </c>
      <c r="V3345">
        <v>0.13815569999999999</v>
      </c>
      <c r="W3345">
        <v>6.7883059999999995E-2</v>
      </c>
      <c r="X3345">
        <v>0.9880814</v>
      </c>
      <c r="Y3345">
        <v>5.6098769999999999E-2</v>
      </c>
      <c r="Z3345">
        <v>3.2731790000000002E-3</v>
      </c>
      <c r="AA3345">
        <v>0.99841990000000003</v>
      </c>
      <c r="AB3345">
        <v>37</v>
      </c>
      <c r="AC3345">
        <v>0.63439999999999896</v>
      </c>
      <c r="AD3345">
        <v>-8.5737999999999995E-2</v>
      </c>
      <c r="AE3345">
        <v>-9.8799999999982901E-2</v>
      </c>
      <c r="AF3345">
        <v>5.5306579452285502E-2</v>
      </c>
      <c r="AG3345">
        <v>-8.5737999999999995E-2</v>
      </c>
      <c r="AH3345">
        <v>0.62836938761370298</v>
      </c>
      <c r="AI3345">
        <v>97.740196780441593</v>
      </c>
      <c r="AJ3345">
        <v>84.970014973407203</v>
      </c>
      <c r="AK3345">
        <v>0.63659870378813399</v>
      </c>
      <c r="AL3345">
        <v>86.107593732605494</v>
      </c>
      <c r="AM3345">
        <v>82.040382068821401</v>
      </c>
      <c r="AN3345">
        <v>0.99999998015170599</v>
      </c>
    </row>
    <row r="3346" spans="1:40" x14ac:dyDescent="0.25">
      <c r="A3346" t="str">
        <f>"20190312151338453"</f>
        <v>20190312151338453</v>
      </c>
      <c r="B3346" t="str">
        <f>"1552374818443432"</f>
        <v>1552374818443432</v>
      </c>
      <c r="C3346" t="s">
        <v>40</v>
      </c>
      <c r="D3346">
        <v>4.5708710000000004</v>
      </c>
      <c r="E3346">
        <v>0.46826479999999998</v>
      </c>
      <c r="F3346" t="s">
        <v>41</v>
      </c>
      <c r="G3346">
        <v>-236.49100000000001</v>
      </c>
      <c r="H3346">
        <v>1.0252429999999999</v>
      </c>
      <c r="I3346">
        <v>213.14959999999999</v>
      </c>
      <c r="J3346">
        <v>-237.08369999999999</v>
      </c>
      <c r="K3346">
        <v>1.1091899999999999</v>
      </c>
      <c r="L3346">
        <v>213.24289999999999</v>
      </c>
      <c r="M3346">
        <v>0.99765380000000004</v>
      </c>
      <c r="N3346">
        <v>0</v>
      </c>
      <c r="O3346">
        <v>-6.7296250000000002E-2</v>
      </c>
      <c r="P3346">
        <v>0.97743610000000003</v>
      </c>
      <c r="Q3346">
        <v>5.5950390000000003E-2</v>
      </c>
      <c r="R3346">
        <v>-0.2036877</v>
      </c>
      <c r="S3346">
        <v>3.0070950000000001</v>
      </c>
      <c r="T3346">
        <v>-0.2608548</v>
      </c>
      <c r="U3346">
        <v>-0.36944579999999999</v>
      </c>
      <c r="V3346">
        <v>0.1375536</v>
      </c>
      <c r="W3346">
        <v>6.8166599999999994E-2</v>
      </c>
      <c r="X3346">
        <v>0.98814590000000002</v>
      </c>
      <c r="Y3346">
        <v>5.4910859999999999E-2</v>
      </c>
      <c r="Z3346">
        <v>3.4279290000000001E-3</v>
      </c>
      <c r="AA3346">
        <v>0.99848539999999997</v>
      </c>
      <c r="AB3346">
        <v>37</v>
      </c>
      <c r="AC3346">
        <v>0.592700000000007</v>
      </c>
      <c r="AD3346">
        <v>-8.3946999999999702E-2</v>
      </c>
      <c r="AE3346">
        <v>-9.3299999999999203E-2</v>
      </c>
      <c r="AF3346">
        <v>5.2177425379355498E-2</v>
      </c>
      <c r="AG3346">
        <v>-8.3946999999999702E-2</v>
      </c>
      <c r="AH3346">
        <v>0.58616107343827795</v>
      </c>
      <c r="AI3346">
        <v>98.118518725220696</v>
      </c>
      <c r="AJ3346">
        <v>84.913194384998405</v>
      </c>
      <c r="AK3346">
        <v>0.59443619215398702</v>
      </c>
      <c r="AL3346">
        <v>86.091310442202897</v>
      </c>
      <c r="AM3346">
        <v>82.075140099537506</v>
      </c>
      <c r="AN3346">
        <v>0.999999998957665</v>
      </c>
    </row>
    <row r="3347" spans="1:40" x14ac:dyDescent="0.25">
      <c r="A3347" t="str">
        <f>"20190312151338474"</f>
        <v>20190312151338474</v>
      </c>
      <c r="B3347" t="str">
        <f>"1552374818463928"</f>
        <v>1552374818463928</v>
      </c>
      <c r="C3347" t="s">
        <v>40</v>
      </c>
      <c r="D3347">
        <v>4.7099479999999998</v>
      </c>
      <c r="E3347">
        <v>0.46835169999999998</v>
      </c>
      <c r="F3347" t="s">
        <v>41</v>
      </c>
      <c r="G3347">
        <v>-236.15729999999999</v>
      </c>
      <c r="H3347">
        <v>1.0280400000000001</v>
      </c>
      <c r="I3347">
        <v>213.12909999999999</v>
      </c>
      <c r="J3347">
        <v>-236.7217</v>
      </c>
      <c r="K3347">
        <v>1.1092139999999999</v>
      </c>
      <c r="L3347">
        <v>213.21789999999999</v>
      </c>
      <c r="M3347">
        <v>0.99761100000000003</v>
      </c>
      <c r="N3347">
        <v>0</v>
      </c>
      <c r="O3347">
        <v>-6.791461E-2</v>
      </c>
      <c r="P3347">
        <v>0.97735879999999997</v>
      </c>
      <c r="Q3347">
        <v>5.5831199999999997E-2</v>
      </c>
      <c r="R3347">
        <v>-0.20408979999999999</v>
      </c>
      <c r="S3347">
        <v>3.0074160000000001</v>
      </c>
      <c r="T3347">
        <v>-0.26351370000000002</v>
      </c>
      <c r="U3347">
        <v>-0.36918640000000003</v>
      </c>
      <c r="V3347">
        <v>0.1373463</v>
      </c>
      <c r="W3347">
        <v>6.8117120000000003E-2</v>
      </c>
      <c r="X3347">
        <v>0.98817809999999995</v>
      </c>
      <c r="Y3347">
        <v>5.4200060000000001E-2</v>
      </c>
      <c r="Z3347">
        <v>3.5470440000000001E-3</v>
      </c>
      <c r="AA3347">
        <v>0.99852379999999996</v>
      </c>
      <c r="AB3347">
        <v>37</v>
      </c>
      <c r="AC3347">
        <v>0.56440000000000601</v>
      </c>
      <c r="AD3347">
        <v>-8.1173999999999802E-2</v>
      </c>
      <c r="AE3347">
        <v>-8.8799999999991996E-2</v>
      </c>
      <c r="AF3347">
        <v>4.9266401097234097E-2</v>
      </c>
      <c r="AG3347">
        <v>-8.1173999999999802E-2</v>
      </c>
      <c r="AH3347">
        <v>0.55786712666886196</v>
      </c>
      <c r="AI3347">
        <v>98.247225383672799</v>
      </c>
      <c r="AJ3347">
        <v>84.953183973036801</v>
      </c>
      <c r="AK3347">
        <v>0.56589056147884798</v>
      </c>
      <c r="AL3347">
        <v>86.094151861473406</v>
      </c>
      <c r="AM3347">
        <v>82.087186430077793</v>
      </c>
      <c r="AN3347">
        <v>0.99999995274019604</v>
      </c>
    </row>
    <row r="3348" spans="1:40" x14ac:dyDescent="0.25">
      <c r="A3348" t="str">
        <f>"20190312151338496"</f>
        <v>20190312151338496</v>
      </c>
      <c r="B3348" t="str">
        <f>"1552374818493208"</f>
        <v>1552374818493208</v>
      </c>
      <c r="C3348" t="s">
        <v>40</v>
      </c>
      <c r="D3348">
        <v>4.7741170000000004</v>
      </c>
      <c r="E3348">
        <v>0.46841709999999898</v>
      </c>
      <c r="F3348" t="s">
        <v>41</v>
      </c>
      <c r="G3348">
        <v>-235.82400000000001</v>
      </c>
      <c r="H3348">
        <v>1.0306919999999999</v>
      </c>
      <c r="I3348">
        <v>213.1071</v>
      </c>
      <c r="J3348">
        <v>-236.36189999999999</v>
      </c>
      <c r="K3348">
        <v>1.1092409999999999</v>
      </c>
      <c r="L3348">
        <v>213.19280000000001</v>
      </c>
      <c r="M3348">
        <v>0.99756769999999995</v>
      </c>
      <c r="N3348">
        <v>0</v>
      </c>
      <c r="O3348">
        <v>-6.8527459999999998E-2</v>
      </c>
      <c r="P3348">
        <v>0.97727350000000002</v>
      </c>
      <c r="Q3348">
        <v>5.5980059999999998E-2</v>
      </c>
      <c r="R3348">
        <v>-0.20445769999999999</v>
      </c>
      <c r="S3348">
        <v>3.0070190000000001</v>
      </c>
      <c r="T3348">
        <v>-0.26299460000000002</v>
      </c>
      <c r="U3348">
        <v>-0.37117</v>
      </c>
      <c r="V3348">
        <v>0.1371108</v>
      </c>
      <c r="W3348">
        <v>6.8373050000000005E-2</v>
      </c>
      <c r="X3348">
        <v>0.98819319999999999</v>
      </c>
      <c r="Y3348">
        <v>5.4253240000000001E-2</v>
      </c>
      <c r="Z3348">
        <v>3.5911620000000002E-3</v>
      </c>
      <c r="AA3348">
        <v>0.99852070000000004</v>
      </c>
      <c r="AB3348">
        <v>37</v>
      </c>
      <c r="AC3348">
        <v>0.53789999999997895</v>
      </c>
      <c r="AD3348">
        <v>-7.8548999999999897E-2</v>
      </c>
      <c r="AE3348">
        <v>-8.5700000000002705E-2</v>
      </c>
      <c r="AF3348">
        <v>4.7643760197193998E-2</v>
      </c>
      <c r="AG3348">
        <v>-7.8548999999999897E-2</v>
      </c>
      <c r="AH3348">
        <v>0.53145613103119405</v>
      </c>
      <c r="AI3348">
        <v>98.374321706849202</v>
      </c>
      <c r="AJ3348">
        <v>84.877265561237294</v>
      </c>
      <c r="AK3348">
        <v>0.53933801321376695</v>
      </c>
      <c r="AL3348">
        <v>86.079454160650599</v>
      </c>
      <c r="AM3348">
        <v>82.100701846058996</v>
      </c>
      <c r="AN3348">
        <v>1.00000002298459</v>
      </c>
    </row>
    <row r="3349" spans="1:40" x14ac:dyDescent="0.25">
      <c r="A3349" t="str">
        <f>"20190312151338522"</f>
        <v>20190312151338522</v>
      </c>
      <c r="B3349" t="str">
        <f>"1552374818513704"</f>
        <v>1552374818513704</v>
      </c>
      <c r="C3349" t="s">
        <v>40</v>
      </c>
      <c r="D3349">
        <v>4.5635059999999896</v>
      </c>
      <c r="E3349">
        <v>0.46839839999999999</v>
      </c>
      <c r="F3349" t="s">
        <v>41</v>
      </c>
      <c r="G3349">
        <v>-235.49109999999999</v>
      </c>
      <c r="H3349">
        <v>1.033261</v>
      </c>
      <c r="I3349">
        <v>213.08449999999999</v>
      </c>
      <c r="J3349">
        <v>-235.94</v>
      </c>
      <c r="K3349">
        <v>1.109283</v>
      </c>
      <c r="L3349">
        <v>213.16309999999999</v>
      </c>
      <c r="M3349">
        <v>0.99751590000000001</v>
      </c>
      <c r="N3349">
        <v>0</v>
      </c>
      <c r="O3349">
        <v>-6.9246429999999998E-2</v>
      </c>
      <c r="P3349">
        <v>0.97716670000000005</v>
      </c>
      <c r="Q3349">
        <v>5.623562E-2</v>
      </c>
      <c r="R3349">
        <v>-0.20489859999999999</v>
      </c>
      <c r="S3349">
        <v>3.0068049999999999</v>
      </c>
      <c r="T3349">
        <v>-0.26246140000000001</v>
      </c>
      <c r="U3349">
        <v>-0.37287900000000002</v>
      </c>
      <c r="V3349">
        <v>0.1368443</v>
      </c>
      <c r="W3349">
        <v>6.8802619999999995E-2</v>
      </c>
      <c r="X3349">
        <v>0.98820030000000003</v>
      </c>
      <c r="Y3349">
        <v>5.4104039999999999E-2</v>
      </c>
      <c r="Z3349">
        <v>3.6526589999999999E-3</v>
      </c>
      <c r="AA3349">
        <v>0.99852859999999999</v>
      </c>
      <c r="AB3349">
        <v>37</v>
      </c>
      <c r="AC3349">
        <v>0.44890000000000801</v>
      </c>
      <c r="AD3349">
        <v>-7.6022000000000006E-2</v>
      </c>
      <c r="AE3349">
        <v>-7.8599999999994397E-2</v>
      </c>
      <c r="AF3349">
        <v>4.6042751357667597E-2</v>
      </c>
      <c r="AG3349">
        <v>-7.6022000000000006E-2</v>
      </c>
      <c r="AH3349">
        <v>0.44099400402720201</v>
      </c>
      <c r="AI3349">
        <v>99.729097640928401</v>
      </c>
      <c r="AJ3349">
        <v>84.039529097918404</v>
      </c>
      <c r="AK3349">
        <v>0.44986107969519601</v>
      </c>
      <c r="AL3349">
        <v>86.054783416705504</v>
      </c>
      <c r="AM3349">
        <v>82.1159182490658</v>
      </c>
      <c r="AN3349">
        <v>0.99999999794072203</v>
      </c>
    </row>
    <row r="3350" spans="1:40" x14ac:dyDescent="0.25">
      <c r="A3350" t="str">
        <f>"20190312151338547"</f>
        <v>20190312151338547</v>
      </c>
      <c r="B3350" t="str">
        <f>"1552374818543962"</f>
        <v>1552374818543962</v>
      </c>
      <c r="C3350" t="s">
        <v>40</v>
      </c>
      <c r="D3350">
        <v>4.6127510000000003</v>
      </c>
      <c r="E3350">
        <v>0.46848469999999998</v>
      </c>
      <c r="F3350" t="s">
        <v>41</v>
      </c>
      <c r="G3350">
        <v>-235.1558</v>
      </c>
      <c r="H3350">
        <v>1.0409120000000001</v>
      </c>
      <c r="I3350">
        <v>213.0652</v>
      </c>
      <c r="J3350">
        <v>-235.52340000000001</v>
      </c>
      <c r="K3350">
        <v>1.1093390000000001</v>
      </c>
      <c r="L3350">
        <v>213.13339999999999</v>
      </c>
      <c r="M3350">
        <v>0.99746380000000001</v>
      </c>
      <c r="N3350">
        <v>0</v>
      </c>
      <c r="O3350">
        <v>-6.9956099999999993E-2</v>
      </c>
      <c r="P3350">
        <v>0.97713819999999996</v>
      </c>
      <c r="Q3350">
        <v>5.5677810000000001E-2</v>
      </c>
      <c r="R3350">
        <v>-0.2051859</v>
      </c>
      <c r="S3350">
        <v>3.0066830000000002</v>
      </c>
      <c r="T3350">
        <v>-0.26224320000000001</v>
      </c>
      <c r="U3350">
        <v>-0.37440489999999998</v>
      </c>
      <c r="V3350">
        <v>0.13642699999999999</v>
      </c>
      <c r="W3350">
        <v>6.8451079999999997E-2</v>
      </c>
      <c r="X3350">
        <v>0.98828240000000001</v>
      </c>
      <c r="Y3350">
        <v>5.3900740000000003E-2</v>
      </c>
      <c r="Z3350">
        <v>3.7197749999999998E-3</v>
      </c>
      <c r="AA3350">
        <v>0.99853939999999997</v>
      </c>
      <c r="AB3350">
        <v>37</v>
      </c>
      <c r="AC3350">
        <v>0.36760000000000997</v>
      </c>
      <c r="AD3350">
        <v>-6.8426999999999794E-2</v>
      </c>
      <c r="AE3350">
        <v>-6.8199999999990199E-2</v>
      </c>
      <c r="AF3350">
        <v>4.0943328732929003E-2</v>
      </c>
      <c r="AG3350">
        <v>-6.8426999999999794E-2</v>
      </c>
      <c r="AH3350">
        <v>0.35943078824138402</v>
      </c>
      <c r="AI3350">
        <v>100.711107815376</v>
      </c>
      <c r="AJ3350">
        <v>83.501359121651703</v>
      </c>
      <c r="AK3350">
        <v>0.36816993635080397</v>
      </c>
      <c r="AL3350">
        <v>86.074972740126995</v>
      </c>
      <c r="AM3350">
        <v>82.140304216960899</v>
      </c>
      <c r="AN3350">
        <v>0.99999998941596302</v>
      </c>
    </row>
    <row r="3351" spans="1:40" x14ac:dyDescent="0.25">
      <c r="A3351" t="str">
        <f>"20190312151338570"</f>
        <v>20190312151338570</v>
      </c>
      <c r="B3351" t="str">
        <f>"1552374818563481"</f>
        <v>1552374818563481</v>
      </c>
      <c r="C3351" t="s">
        <v>40</v>
      </c>
      <c r="D3351">
        <v>4.6054219999999999</v>
      </c>
      <c r="E3351">
        <v>0.4685666</v>
      </c>
      <c r="F3351" t="s">
        <v>41</v>
      </c>
      <c r="G3351">
        <v>-234.5059</v>
      </c>
      <c r="H3351">
        <v>1.0197879999999999</v>
      </c>
      <c r="I3351">
        <v>213.006</v>
      </c>
      <c r="J3351">
        <v>-235.14580000000001</v>
      </c>
      <c r="K3351">
        <v>1.109378</v>
      </c>
      <c r="L3351">
        <v>213.1063</v>
      </c>
      <c r="M3351">
        <v>0.99741630000000003</v>
      </c>
      <c r="N3351">
        <v>0</v>
      </c>
      <c r="O3351">
        <v>-7.0591810000000005E-2</v>
      </c>
      <c r="P3351">
        <v>0.97701000000000005</v>
      </c>
      <c r="Q3351">
        <v>5.6036759999999998E-2</v>
      </c>
      <c r="R3351">
        <v>-0.20569760000000001</v>
      </c>
      <c r="S3351">
        <v>3.0062410000000002</v>
      </c>
      <c r="T3351">
        <v>-0.26461699999999999</v>
      </c>
      <c r="U3351">
        <v>-0.3762817</v>
      </c>
      <c r="V3351">
        <v>0.13631579999999999</v>
      </c>
      <c r="W3351">
        <v>6.8996710000000003E-2</v>
      </c>
      <c r="X3351">
        <v>0.98825980000000002</v>
      </c>
      <c r="Y3351">
        <v>5.3899490000000001E-2</v>
      </c>
      <c r="Z3351">
        <v>3.8091700000000002E-3</v>
      </c>
      <c r="AA3351">
        <v>0.99853910000000001</v>
      </c>
      <c r="AB3351">
        <v>37</v>
      </c>
      <c r="AC3351">
        <v>0.63990000000001102</v>
      </c>
      <c r="AD3351">
        <v>-8.9590000000000003E-2</v>
      </c>
      <c r="AE3351">
        <v>-0.100300000000032</v>
      </c>
      <c r="AF3351">
        <v>5.3843900432107301E-2</v>
      </c>
      <c r="AG3351">
        <v>-8.9590000000000003E-2</v>
      </c>
      <c r="AH3351">
        <v>0.63326881820714098</v>
      </c>
      <c r="AI3351">
        <v>98.023757079762504</v>
      </c>
      <c r="AJ3351">
        <v>85.140095277476604</v>
      </c>
      <c r="AK3351">
        <v>0.64183715210886005</v>
      </c>
      <c r="AL3351">
        <v>86.043636348808604</v>
      </c>
      <c r="AM3351">
        <v>82.146453236454903</v>
      </c>
      <c r="AN3351">
        <v>0.99999998780825095</v>
      </c>
    </row>
    <row r="3352" spans="1:40" x14ac:dyDescent="0.25">
      <c r="A3352" t="str">
        <f>"20190312151338587"</f>
        <v>20190312151338587</v>
      </c>
      <c r="B3352" t="str">
        <f>"1552374818583977"</f>
        <v>1552374818583977</v>
      </c>
      <c r="C3352" t="s">
        <v>40</v>
      </c>
      <c r="D3352">
        <v>4.8141220000000002</v>
      </c>
      <c r="E3352">
        <v>0.46862330000000002</v>
      </c>
      <c r="F3352" t="s">
        <v>41</v>
      </c>
      <c r="G3352">
        <v>-234.17359999999999</v>
      </c>
      <c r="H3352">
        <v>1.0240359999999999</v>
      </c>
      <c r="I3352">
        <v>212.9838</v>
      </c>
      <c r="J3352">
        <v>-234.84970000000001</v>
      </c>
      <c r="K3352">
        <v>1.1094090000000001</v>
      </c>
      <c r="L3352">
        <v>213.08500000000001</v>
      </c>
      <c r="M3352">
        <v>0.99737969999999998</v>
      </c>
      <c r="N3352">
        <v>0</v>
      </c>
      <c r="O3352">
        <v>-7.1083359999999998E-2</v>
      </c>
      <c r="P3352">
        <v>0.97696819999999895</v>
      </c>
      <c r="Q3352">
        <v>5.6589430000000003E-2</v>
      </c>
      <c r="R3352">
        <v>-0.20574490000000001</v>
      </c>
      <c r="S3352">
        <v>3.0061040000000001</v>
      </c>
      <c r="T3352">
        <v>-0.26398159999999998</v>
      </c>
      <c r="U3352">
        <v>-0.37832640000000001</v>
      </c>
      <c r="V3352">
        <v>0.13587869999999999</v>
      </c>
      <c r="W3352">
        <v>6.9690260000000004E-2</v>
      </c>
      <c r="X3352">
        <v>0.98827140000000002</v>
      </c>
      <c r="Y3352">
        <v>5.4082379999999999E-2</v>
      </c>
      <c r="Z3352">
        <v>3.8348039999999998E-3</v>
      </c>
      <c r="AA3352">
        <v>0.99852909999999995</v>
      </c>
      <c r="AB3352">
        <v>37</v>
      </c>
      <c r="AC3352">
        <v>0.67610000000001902</v>
      </c>
      <c r="AD3352">
        <v>-8.5372999999999893E-2</v>
      </c>
      <c r="AE3352">
        <v>-0.10120000000000499</v>
      </c>
      <c r="AF3352">
        <v>5.2068125919470298E-2</v>
      </c>
      <c r="AG3352">
        <v>-8.5372999999999893E-2</v>
      </c>
      <c r="AH3352">
        <v>0.67111735957462904</v>
      </c>
      <c r="AI3352">
        <v>97.228180424653402</v>
      </c>
      <c r="AJ3352">
        <v>85.5636379060943</v>
      </c>
      <c r="AK3352">
        <v>0.67852645430240099</v>
      </c>
      <c r="AL3352">
        <v>86.003803250429897</v>
      </c>
      <c r="AM3352">
        <v>82.171413826168504</v>
      </c>
      <c r="AN3352">
        <v>1.0000000567552501</v>
      </c>
    </row>
    <row r="3353" spans="1:40" x14ac:dyDescent="0.25">
      <c r="A3353" t="str">
        <f>"20190312151338610"</f>
        <v>20190312151338610</v>
      </c>
      <c r="B3353" t="str">
        <f>"1552374818603497"</f>
        <v>1552374818603497</v>
      </c>
      <c r="C3353" t="s">
        <v>40</v>
      </c>
      <c r="D3353">
        <v>4.6428640000000003</v>
      </c>
      <c r="E3353">
        <v>0.46864430000000001</v>
      </c>
      <c r="F3353" t="s">
        <v>41</v>
      </c>
      <c r="G3353">
        <v>-233.84540000000001</v>
      </c>
      <c r="H3353">
        <v>1.021474</v>
      </c>
      <c r="I3353">
        <v>212.95830000000001</v>
      </c>
      <c r="J3353">
        <v>-234.4838</v>
      </c>
      <c r="K3353">
        <v>1.10944</v>
      </c>
      <c r="L3353">
        <v>213.0583</v>
      </c>
      <c r="M3353">
        <v>0.99733539999999998</v>
      </c>
      <c r="N3353">
        <v>0</v>
      </c>
      <c r="O3353">
        <v>-7.1672260000000002E-2</v>
      </c>
      <c r="P3353">
        <v>0.97683319999999996</v>
      </c>
      <c r="Q3353">
        <v>5.7179710000000002E-2</v>
      </c>
      <c r="R3353">
        <v>-0.20622219999999999</v>
      </c>
      <c r="S3353">
        <v>3.0061339999999999</v>
      </c>
      <c r="T3353">
        <v>-0.26321919999999999</v>
      </c>
      <c r="U3353">
        <v>-0.37908940000000002</v>
      </c>
      <c r="V3353">
        <v>0.13578009999999999</v>
      </c>
      <c r="W3353">
        <v>7.0439909999999994E-2</v>
      </c>
      <c r="X3353">
        <v>0.98823170000000005</v>
      </c>
      <c r="Y3353">
        <v>5.3743930000000002E-2</v>
      </c>
      <c r="Z3353">
        <v>3.8894590000000001E-3</v>
      </c>
      <c r="AA3353">
        <v>0.99854719999999997</v>
      </c>
      <c r="AB3353">
        <v>37</v>
      </c>
      <c r="AC3353">
        <v>0.63839999999998998</v>
      </c>
      <c r="AD3353">
        <v>-8.7965999999999905E-2</v>
      </c>
      <c r="AE3353">
        <v>-9.9999999999994302E-2</v>
      </c>
      <c r="AF3353">
        <v>5.3000770830287702E-2</v>
      </c>
      <c r="AG3353">
        <v>-8.7965999999999905E-2</v>
      </c>
      <c r="AH3353">
        <v>0.63220981654666097</v>
      </c>
      <c r="AI3353">
        <v>97.893965972379306</v>
      </c>
      <c r="AJ3353">
        <v>85.207862864253599</v>
      </c>
      <c r="AK3353">
        <v>0.640496956278925</v>
      </c>
      <c r="AL3353">
        <v>85.960745240353504</v>
      </c>
      <c r="AM3353">
        <v>82.176713874693604</v>
      </c>
      <c r="AN3353">
        <v>0.99999995468085301</v>
      </c>
    </row>
    <row r="3354" spans="1:40" x14ac:dyDescent="0.25">
      <c r="A3354" t="str">
        <f>"20190312151338631"</f>
        <v>20190312151338631</v>
      </c>
      <c r="B3354" t="str">
        <f>"1552374818623992"</f>
        <v>1552374818623992</v>
      </c>
      <c r="C3354" t="s">
        <v>40</v>
      </c>
      <c r="D3354">
        <v>4.6079160000000003</v>
      </c>
      <c r="E3354">
        <v>0.46865250000000003</v>
      </c>
      <c r="F3354" t="s">
        <v>41</v>
      </c>
      <c r="G3354">
        <v>-233.51439999999999</v>
      </c>
      <c r="H3354">
        <v>1.0249280000000001</v>
      </c>
      <c r="I3354">
        <v>212.93530000000001</v>
      </c>
      <c r="J3354">
        <v>-234.1285</v>
      </c>
      <c r="K3354">
        <v>1.109472</v>
      </c>
      <c r="L3354">
        <v>213.03219999999999</v>
      </c>
      <c r="M3354">
        <v>0.99729409999999996</v>
      </c>
      <c r="N3354">
        <v>0</v>
      </c>
      <c r="O3354">
        <v>-7.2217039999999996E-2</v>
      </c>
      <c r="P3354">
        <v>0.97671790000000003</v>
      </c>
      <c r="Q3354">
        <v>5.8032599999999997E-2</v>
      </c>
      <c r="R3354">
        <v>-0.20652989999999999</v>
      </c>
      <c r="S3354">
        <v>3.0060419999999999</v>
      </c>
      <c r="T3354">
        <v>-0.26210489999999997</v>
      </c>
      <c r="U3354">
        <v>-0.3810577</v>
      </c>
      <c r="V3354">
        <v>0.135553799999999</v>
      </c>
      <c r="W3354">
        <v>7.1436840000000001E-2</v>
      </c>
      <c r="X3354">
        <v>0.98819120000000005</v>
      </c>
      <c r="Y3354">
        <v>5.384676E-2</v>
      </c>
      <c r="Z3354">
        <v>3.9155609999999997E-3</v>
      </c>
      <c r="AA3354">
        <v>0.99854149999999997</v>
      </c>
      <c r="AB3354">
        <v>37</v>
      </c>
      <c r="AC3354">
        <v>0.61410000000000697</v>
      </c>
      <c r="AD3354">
        <v>-8.4543999999999897E-2</v>
      </c>
      <c r="AE3354">
        <v>-9.6899999999976602E-2</v>
      </c>
      <c r="AF3354">
        <v>5.1344743982049502E-2</v>
      </c>
      <c r="AG3354">
        <v>-8.4543999999999897E-2</v>
      </c>
      <c r="AH3354">
        <v>0.60824645552475698</v>
      </c>
      <c r="AI3354">
        <v>97.885509029541595</v>
      </c>
      <c r="AJ3354">
        <v>85.174851915079302</v>
      </c>
      <c r="AK3354">
        <v>0.61623674130078598</v>
      </c>
      <c r="AL3354">
        <v>85.903481074339098</v>
      </c>
      <c r="AM3354">
        <v>82.189275464059094</v>
      </c>
      <c r="AN3354">
        <v>0.99999995128053099</v>
      </c>
    </row>
    <row r="3355" spans="1:40" x14ac:dyDescent="0.25">
      <c r="A3355" t="str">
        <f>"20190312151338654"</f>
        <v>20190312151338654</v>
      </c>
      <c r="B3355" t="str">
        <f>"1552374818643513"</f>
        <v>1552374818643513</v>
      </c>
      <c r="C3355" t="s">
        <v>40</v>
      </c>
      <c r="D3355">
        <v>4.9346370000000004</v>
      </c>
      <c r="E3355">
        <v>0.4686477</v>
      </c>
      <c r="F3355" t="s">
        <v>41</v>
      </c>
      <c r="G3355">
        <v>-233.1842</v>
      </c>
      <c r="H3355">
        <v>1.0275099999999999</v>
      </c>
      <c r="I3355">
        <v>212.91200000000001</v>
      </c>
      <c r="J3355">
        <v>-233.75149999999999</v>
      </c>
      <c r="K3355">
        <v>1.1095189999999999</v>
      </c>
      <c r="L3355">
        <v>213.0043</v>
      </c>
      <c r="M3355">
        <v>0.99725339999999996</v>
      </c>
      <c r="N3355">
        <v>0</v>
      </c>
      <c r="O3355">
        <v>-7.2752330000000004E-2</v>
      </c>
      <c r="P3355">
        <v>0.97654149999999995</v>
      </c>
      <c r="Q3355">
        <v>5.8662480000000003E-2</v>
      </c>
      <c r="R3355">
        <v>-0.20718549999999999</v>
      </c>
      <c r="S3355">
        <v>3.0061339999999999</v>
      </c>
      <c r="T3355">
        <v>-0.26096150000000001</v>
      </c>
      <c r="U3355">
        <v>-0.38241579999999997</v>
      </c>
      <c r="V3355">
        <v>0.13568559999999999</v>
      </c>
      <c r="W3355">
        <v>7.2208770000000005E-2</v>
      </c>
      <c r="X3355">
        <v>0.98811700000000002</v>
      </c>
      <c r="Y3355">
        <v>5.3752510000000003E-2</v>
      </c>
      <c r="Z3355">
        <v>3.9483740000000002E-3</v>
      </c>
      <c r="AA3355">
        <v>0.9985465</v>
      </c>
      <c r="AB3355">
        <v>37</v>
      </c>
      <c r="AC3355">
        <v>0.56729999999998804</v>
      </c>
      <c r="AD3355">
        <v>-8.2008999999999999E-2</v>
      </c>
      <c r="AE3355">
        <v>-9.2299999999994498E-2</v>
      </c>
      <c r="AF3355">
        <v>4.9765817567783803E-2</v>
      </c>
      <c r="AG3355">
        <v>-8.2008999999999999E-2</v>
      </c>
      <c r="AH3355">
        <v>0.56108901642263898</v>
      </c>
      <c r="AI3355">
        <v>98.283429485224602</v>
      </c>
      <c r="AJ3355">
        <v>84.931411494960997</v>
      </c>
      <c r="AK3355">
        <v>0.56923017930299002</v>
      </c>
      <c r="AL3355">
        <v>85.859138203109893</v>
      </c>
      <c r="AM3355">
        <v>82.181195084415904</v>
      </c>
      <c r="AN3355">
        <v>0.999999947100635</v>
      </c>
    </row>
    <row r="3356" spans="1:40" x14ac:dyDescent="0.25">
      <c r="A3356" t="str">
        <f>"20190312151338677"</f>
        <v>20190312151338677</v>
      </c>
      <c r="B3356" t="str">
        <f>"1552374818673769"</f>
        <v>1552374818673769</v>
      </c>
      <c r="C3356" t="s">
        <v>40</v>
      </c>
      <c r="D3356">
        <v>4.6346850000000002</v>
      </c>
      <c r="E3356">
        <v>0.46816609999999997</v>
      </c>
      <c r="F3356" t="s">
        <v>41</v>
      </c>
      <c r="G3356">
        <v>-232.85339999999999</v>
      </c>
      <c r="H3356">
        <v>1.031954</v>
      </c>
      <c r="I3356">
        <v>212.88929999999999</v>
      </c>
      <c r="J3356">
        <v>-233.37790000000001</v>
      </c>
      <c r="K3356">
        <v>1.1095759999999999</v>
      </c>
      <c r="L3356">
        <v>212.97659999999999</v>
      </c>
      <c r="M3356">
        <v>0.99721729999999997</v>
      </c>
      <c r="N3356">
        <v>0</v>
      </c>
      <c r="O3356">
        <v>-7.3222220000000005E-2</v>
      </c>
      <c r="P3356">
        <v>0.97641509999999998</v>
      </c>
      <c r="Q3356">
        <v>5.8798059999999999E-2</v>
      </c>
      <c r="R3356">
        <v>-0.20774239999999999</v>
      </c>
      <c r="S3356">
        <v>3.0060880000000001</v>
      </c>
      <c r="T3356">
        <v>-0.2597352</v>
      </c>
      <c r="U3356">
        <v>-0.384552</v>
      </c>
      <c r="V3356">
        <v>0.13577629999999999</v>
      </c>
      <c r="W3356">
        <v>7.2476499999999999E-2</v>
      </c>
      <c r="X3356">
        <v>0.98808499999999999</v>
      </c>
      <c r="Y3356">
        <v>5.3982240000000001E-2</v>
      </c>
      <c r="Z3356">
        <v>3.9600670000000003E-3</v>
      </c>
      <c r="AA3356">
        <v>0.99853400000000003</v>
      </c>
      <c r="AB3356">
        <v>37</v>
      </c>
      <c r="AC3356">
        <v>0.52450000000001695</v>
      </c>
      <c r="AD3356">
        <v>-7.7621999999999997E-2</v>
      </c>
      <c r="AE3356">
        <v>-8.7299999999999003E-2</v>
      </c>
      <c r="AF3356">
        <v>4.7641484587308401E-2</v>
      </c>
      <c r="AG3356">
        <v>-7.7621999999999997E-2</v>
      </c>
      <c r="AH3356">
        <v>0.51843613999456595</v>
      </c>
      <c r="AI3356">
        <v>98.480055965168006</v>
      </c>
      <c r="AJ3356">
        <v>84.749573091095499</v>
      </c>
      <c r="AK3356">
        <v>0.52637526270727097</v>
      </c>
      <c r="AL3356">
        <v>85.843758354089204</v>
      </c>
      <c r="AM3356">
        <v>82.175783010924704</v>
      </c>
      <c r="AN3356">
        <v>1.0000000069594699</v>
      </c>
    </row>
    <row r="3357" spans="1:40" x14ac:dyDescent="0.25">
      <c r="A3357" t="str">
        <f>"20190312151338699"</f>
        <v>20190312151338699</v>
      </c>
      <c r="B3357" t="str">
        <f>"1552374818694265"</f>
        <v>1552374818694265</v>
      </c>
      <c r="C3357" t="s">
        <v>40</v>
      </c>
      <c r="D3357">
        <v>4.6486589999999897</v>
      </c>
      <c r="E3357">
        <v>0.4678834</v>
      </c>
      <c r="F3357" t="s">
        <v>41</v>
      </c>
      <c r="G3357">
        <v>-232.524</v>
      </c>
      <c r="H3357">
        <v>1.034402</v>
      </c>
      <c r="I3357">
        <v>212.86789999999999</v>
      </c>
      <c r="J3357">
        <v>-233.02719999999999</v>
      </c>
      <c r="K3357">
        <v>1.1096410000000001</v>
      </c>
      <c r="L3357">
        <v>212.95050000000001</v>
      </c>
      <c r="M3357">
        <v>0.99718879999999999</v>
      </c>
      <c r="N3357">
        <v>0</v>
      </c>
      <c r="O3357">
        <v>-7.3589440000000006E-2</v>
      </c>
      <c r="P3357">
        <v>0.97636789999999996</v>
      </c>
      <c r="Q3357">
        <v>5.9762999999999997E-2</v>
      </c>
      <c r="R3357">
        <v>-0.2076886</v>
      </c>
      <c r="S3357">
        <v>3.007034</v>
      </c>
      <c r="T3357">
        <v>-0.26477709999999999</v>
      </c>
      <c r="U3357">
        <v>-0.38258360000000002</v>
      </c>
      <c r="V3357">
        <v>0.13535269999999999</v>
      </c>
      <c r="W3357">
        <v>7.3559379999999994E-2</v>
      </c>
      <c r="X3357">
        <v>0.98806309999999997</v>
      </c>
      <c r="Y3357">
        <v>5.2939710000000001E-2</v>
      </c>
      <c r="Z3357">
        <v>4.1132419999999996E-3</v>
      </c>
      <c r="AA3357">
        <v>0.99858919999999995</v>
      </c>
      <c r="AB3357">
        <v>37</v>
      </c>
      <c r="AC3357">
        <v>0.50319999999999199</v>
      </c>
      <c r="AD3357">
        <v>-7.5238999999999806E-2</v>
      </c>
      <c r="AE3357">
        <v>-8.2600000000013496E-2</v>
      </c>
      <c r="AF3357">
        <v>4.4376038087099799E-2</v>
      </c>
      <c r="AG3357">
        <v>-7.5238999999999806E-2</v>
      </c>
      <c r="AH3357">
        <v>0.49709276717899098</v>
      </c>
      <c r="AI3357">
        <v>98.573265410652894</v>
      </c>
      <c r="AJ3357">
        <v>84.898663180884995</v>
      </c>
      <c r="AK3357">
        <v>0.50470918265767095</v>
      </c>
      <c r="AL3357">
        <v>85.78154785884</v>
      </c>
      <c r="AM3357">
        <v>82.199721589867195</v>
      </c>
      <c r="AN3357">
        <v>1.00000001268244</v>
      </c>
    </row>
    <row r="3358" spans="1:40" x14ac:dyDescent="0.25">
      <c r="A3358" t="str">
        <f>"20190312151338723"</f>
        <v>20190312151338723</v>
      </c>
      <c r="B3358" t="str">
        <f>"1552374818713316"</f>
        <v>1552374818713316</v>
      </c>
      <c r="C3358" t="s">
        <v>40</v>
      </c>
      <c r="D3358">
        <v>4.6894049999999998</v>
      </c>
      <c r="E3358">
        <v>0.4676709</v>
      </c>
      <c r="F3358" t="s">
        <v>41</v>
      </c>
      <c r="G3358">
        <v>-232.1952</v>
      </c>
      <c r="H3358">
        <v>1.0366230000000001</v>
      </c>
      <c r="I3358">
        <v>212.84479999999999</v>
      </c>
      <c r="J3358">
        <v>-232.64070000000001</v>
      </c>
      <c r="K3358">
        <v>1.1097379999999999</v>
      </c>
      <c r="L3358">
        <v>212.92160000000001</v>
      </c>
      <c r="M3358">
        <v>0.99716490000000002</v>
      </c>
      <c r="N3358">
        <v>0</v>
      </c>
      <c r="O3358">
        <v>-7.3893749999999994E-2</v>
      </c>
      <c r="P3358">
        <v>0.97639929999999997</v>
      </c>
      <c r="Q3358">
        <v>6.0481760000000002E-2</v>
      </c>
      <c r="R3358">
        <v>-0.20733199999999999</v>
      </c>
      <c r="S3358">
        <v>3.0077970000000001</v>
      </c>
      <c r="T3358">
        <v>-0.26413540000000002</v>
      </c>
      <c r="U3358">
        <v>-0.38079829999999998</v>
      </c>
      <c r="V3358">
        <v>0.13467860000000001</v>
      </c>
      <c r="W3358">
        <v>7.4401049999999996E-2</v>
      </c>
      <c r="X3358">
        <v>0.98809219999999998</v>
      </c>
      <c r="Y3358">
        <v>5.2024010000000002E-2</v>
      </c>
      <c r="Z3358">
        <v>4.1689049999999997E-3</v>
      </c>
      <c r="AA3358">
        <v>0.99863710000000006</v>
      </c>
      <c r="AB3358">
        <v>37</v>
      </c>
      <c r="AC3358">
        <v>0.445500000000009</v>
      </c>
      <c r="AD3358">
        <v>-7.3114999999999999E-2</v>
      </c>
      <c r="AE3358">
        <v>-7.6800000000019894E-2</v>
      </c>
      <c r="AF3358">
        <v>4.2553895871985097E-2</v>
      </c>
      <c r="AG3358">
        <v>-7.3114999999999999E-2</v>
      </c>
      <c r="AH3358">
        <v>0.43848760947146898</v>
      </c>
      <c r="AI3358">
        <v>99.423140006243997</v>
      </c>
      <c r="AJ3358">
        <v>84.4569760673769</v>
      </c>
      <c r="AK3358">
        <v>0.44657364559374402</v>
      </c>
      <c r="AL3358">
        <v>85.733191233357701</v>
      </c>
      <c r="AM3358">
        <v>82.238320573092196</v>
      </c>
      <c r="AN3358">
        <v>1.00000001861995</v>
      </c>
    </row>
    <row r="3359" spans="1:40" x14ac:dyDescent="0.25">
      <c r="A3359" t="str">
        <f>"20190312151338752"</f>
        <v>20190312151338752</v>
      </c>
      <c r="B3359" t="str">
        <f>"1552374818743572"</f>
        <v>1552374818743572</v>
      </c>
      <c r="C3359" t="s">
        <v>40</v>
      </c>
      <c r="D3359">
        <v>4.9777139999999997</v>
      </c>
      <c r="E3359">
        <v>0.46759729999999999</v>
      </c>
      <c r="F3359" t="s">
        <v>41</v>
      </c>
      <c r="G3359">
        <v>-231.86519999999999</v>
      </c>
      <c r="H3359">
        <v>1.041536</v>
      </c>
      <c r="I3359">
        <v>212.82390000000001</v>
      </c>
      <c r="J3359">
        <v>-232.1729</v>
      </c>
      <c r="K3359">
        <v>1.109856</v>
      </c>
      <c r="L3359">
        <v>212.88669999999999</v>
      </c>
      <c r="M3359">
        <v>0.99714709999999995</v>
      </c>
      <c r="N3359">
        <v>0</v>
      </c>
      <c r="O3359">
        <v>-7.4114429999999995E-2</v>
      </c>
      <c r="P3359">
        <v>0.97656140000000002</v>
      </c>
      <c r="Q3359">
        <v>6.1051769999999998E-2</v>
      </c>
      <c r="R3359">
        <v>-0.20639859999999999</v>
      </c>
      <c r="S3359">
        <v>3.008499</v>
      </c>
      <c r="T3359">
        <v>-0.26467309999999999</v>
      </c>
      <c r="U3359">
        <v>-0.3786774</v>
      </c>
      <c r="V3359">
        <v>0.13349829999999999</v>
      </c>
      <c r="W3359">
        <v>7.5106240000000005E-2</v>
      </c>
      <c r="X3359">
        <v>0.98819900000000005</v>
      </c>
      <c r="Y3359">
        <v>5.1085539999999999E-2</v>
      </c>
      <c r="Z3359">
        <v>4.2368900000000001E-3</v>
      </c>
      <c r="AA3359">
        <v>0.9986853</v>
      </c>
      <c r="AB3359">
        <v>37</v>
      </c>
      <c r="AC3359">
        <v>0.30770000000001102</v>
      </c>
      <c r="AD3359">
        <v>-6.8319999999999895E-2</v>
      </c>
      <c r="AE3359">
        <v>-6.2799999999981496E-2</v>
      </c>
      <c r="AF3359">
        <v>3.80204757603302E-2</v>
      </c>
      <c r="AG3359">
        <v>-6.8319999999999895E-2</v>
      </c>
      <c r="AH3359">
        <v>0.29743163058389799</v>
      </c>
      <c r="AI3359">
        <v>102.83548696456801</v>
      </c>
      <c r="AJ3359">
        <v>82.715426889606704</v>
      </c>
      <c r="AK3359">
        <v>0.307536589447237</v>
      </c>
      <c r="AL3359">
        <v>85.692673389785597</v>
      </c>
      <c r="AM3359">
        <v>82.306345781238406</v>
      </c>
      <c r="AN3359">
        <v>1.00000000349541</v>
      </c>
    </row>
    <row r="3360" spans="1:40" x14ac:dyDescent="0.25">
      <c r="A3360" t="str">
        <f>"20190312151338771"</f>
        <v>20190312151338771</v>
      </c>
      <c r="B3360" t="str">
        <f>"1552374818764068"</f>
        <v>1552374818764068</v>
      </c>
      <c r="C3360" t="s">
        <v>40</v>
      </c>
      <c r="D3360">
        <v>4.9931679999999998</v>
      </c>
      <c r="E3360">
        <v>0.4676495</v>
      </c>
      <c r="F3360" t="s">
        <v>41</v>
      </c>
      <c r="G3360">
        <v>-231.22120000000001</v>
      </c>
      <c r="H3360">
        <v>1.0245390000000001</v>
      </c>
      <c r="I3360">
        <v>212.76779999999999</v>
      </c>
      <c r="J3360">
        <v>-231.83590000000001</v>
      </c>
      <c r="K3360">
        <v>1.1099380000000001</v>
      </c>
      <c r="L3360">
        <v>212.86160000000001</v>
      </c>
      <c r="M3360">
        <v>0.99714150000000001</v>
      </c>
      <c r="N3360">
        <v>0</v>
      </c>
      <c r="O3360">
        <v>-7.4179159999999994E-2</v>
      </c>
      <c r="P3360">
        <v>0.97685120000000003</v>
      </c>
      <c r="Q3360">
        <v>6.1275589999999998E-2</v>
      </c>
      <c r="R3360">
        <v>-0.20495550000000001</v>
      </c>
      <c r="S3360">
        <v>3.0094599999999998</v>
      </c>
      <c r="T3360">
        <v>-0.26982919999999999</v>
      </c>
      <c r="U3360">
        <v>-0.37565609999999999</v>
      </c>
      <c r="V3360">
        <v>0.13195970000000001</v>
      </c>
      <c r="W3360">
        <v>7.5417680000000001E-2</v>
      </c>
      <c r="X3360">
        <v>0.98838190000000004</v>
      </c>
      <c r="Y3360">
        <v>5.0001900000000002E-2</v>
      </c>
      <c r="Z3360">
        <v>4.3721189999999998E-3</v>
      </c>
      <c r="AA3360">
        <v>0.9987395</v>
      </c>
      <c r="AB3360">
        <v>37</v>
      </c>
      <c r="AC3360">
        <v>0.61469999999999902</v>
      </c>
      <c r="AD3360">
        <v>-8.5399000000000003E-2</v>
      </c>
      <c r="AE3360">
        <v>-9.3800000000015801E-2</v>
      </c>
      <c r="AF3360">
        <v>4.7051414738631697E-2</v>
      </c>
      <c r="AG3360">
        <v>-8.5399000000000003E-2</v>
      </c>
      <c r="AH3360">
        <v>0.60848767688278904</v>
      </c>
      <c r="AI3360">
        <v>97.965598297280593</v>
      </c>
      <c r="AJ3360">
        <v>85.578392475857996</v>
      </c>
      <c r="AK3360">
        <v>0.61625001237169996</v>
      </c>
      <c r="AL3360">
        <v>85.674778356444506</v>
      </c>
      <c r="AM3360">
        <v>82.3953639992136</v>
      </c>
      <c r="AN3360">
        <v>0.99999998456414096</v>
      </c>
    </row>
    <row r="3361" spans="1:40" x14ac:dyDescent="0.25">
      <c r="A3361" t="str">
        <f>"20190312151338791"</f>
        <v>20190312151338791</v>
      </c>
      <c r="B3361" t="str">
        <f>"1552374818783588"</f>
        <v>1552374818783588</v>
      </c>
      <c r="C3361" t="s">
        <v>40</v>
      </c>
      <c r="D3361">
        <v>5.0496230000000004</v>
      </c>
      <c r="E3361">
        <v>0.46743770000000001</v>
      </c>
      <c r="F3361" t="s">
        <v>41</v>
      </c>
      <c r="G3361">
        <v>-230.89519999999999</v>
      </c>
      <c r="H3361">
        <v>1.024284</v>
      </c>
      <c r="I3361">
        <v>212.745</v>
      </c>
      <c r="J3361">
        <v>-231.5241</v>
      </c>
      <c r="K3361">
        <v>1.110015</v>
      </c>
      <c r="L3361">
        <v>212.83840000000001</v>
      </c>
      <c r="M3361">
        <v>0.99714119999999995</v>
      </c>
      <c r="N3361">
        <v>0</v>
      </c>
      <c r="O3361">
        <v>-7.4172699999999994E-2</v>
      </c>
      <c r="P3361">
        <v>0.97713240000000001</v>
      </c>
      <c r="Q3361">
        <v>6.1739179999999998E-2</v>
      </c>
      <c r="R3361">
        <v>-0.20347129999999999</v>
      </c>
      <c r="S3361">
        <v>3.0102229999999999</v>
      </c>
      <c r="T3361">
        <v>-0.2742832</v>
      </c>
      <c r="U3361">
        <v>-0.37207030000000002</v>
      </c>
      <c r="V3361">
        <v>0.1304527</v>
      </c>
      <c r="W3361">
        <v>7.5954010000000002E-2</v>
      </c>
      <c r="X3361">
        <v>0.98854089999999994</v>
      </c>
      <c r="Y3361">
        <v>4.8813450000000001E-2</v>
      </c>
      <c r="Z3361">
        <v>4.4965309999999998E-3</v>
      </c>
      <c r="AA3361">
        <v>0.99879779999999996</v>
      </c>
      <c r="AB3361">
        <v>37</v>
      </c>
      <c r="AC3361">
        <v>0.628900000000015</v>
      </c>
      <c r="AD3361">
        <v>-8.5730999999999905E-2</v>
      </c>
      <c r="AE3361">
        <v>-9.3400000000002606E-2</v>
      </c>
      <c r="AF3361">
        <v>4.5660418168630597E-2</v>
      </c>
      <c r="AG3361">
        <v>-8.5730999999999905E-2</v>
      </c>
      <c r="AH3361">
        <v>0.62277257788581097</v>
      </c>
      <c r="AI3361">
        <v>97.817362417398897</v>
      </c>
      <c r="AJ3361">
        <v>85.806693034033799</v>
      </c>
      <c r="AK3361">
        <v>0.63030180224625099</v>
      </c>
      <c r="AL3361">
        <v>85.643960647592706</v>
      </c>
      <c r="AM3361">
        <v>82.482406382470202</v>
      </c>
      <c r="AN3361">
        <v>1.00000001477259</v>
      </c>
    </row>
    <row r="3362" spans="1:40" x14ac:dyDescent="0.25">
      <c r="A3362" t="str">
        <f>"20190312151338814"</f>
        <v>20190312151338814</v>
      </c>
      <c r="B3362" t="str">
        <f>"1552374818804084"</f>
        <v>1552374818804084</v>
      </c>
      <c r="C3362" t="s">
        <v>40</v>
      </c>
      <c r="D3362">
        <v>4.6890910000000003</v>
      </c>
      <c r="E3362">
        <v>0.4673175</v>
      </c>
      <c r="F3362" t="s">
        <v>41</v>
      </c>
      <c r="G3362">
        <v>-230.5703</v>
      </c>
      <c r="H3362">
        <v>1.022715</v>
      </c>
      <c r="I3362">
        <v>212.72239999999999</v>
      </c>
      <c r="J3362">
        <v>-231.1524</v>
      </c>
      <c r="K3362">
        <v>1.110107</v>
      </c>
      <c r="L3362">
        <v>212.8108</v>
      </c>
      <c r="M3362">
        <v>0.99714860000000005</v>
      </c>
      <c r="N3362">
        <v>0</v>
      </c>
      <c r="O3362">
        <v>-7.4063899999999905E-2</v>
      </c>
      <c r="P3362">
        <v>0.9772672</v>
      </c>
      <c r="Q3362">
        <v>6.3098730000000006E-2</v>
      </c>
      <c r="R3362">
        <v>-0.20240540000000001</v>
      </c>
      <c r="S3362">
        <v>3.0114749999999999</v>
      </c>
      <c r="T3362">
        <v>-0.2757481</v>
      </c>
      <c r="U3362">
        <v>-0.36572270000000001</v>
      </c>
      <c r="V3362">
        <v>0.12947229999999901</v>
      </c>
      <c r="W3362">
        <v>7.739124E-2</v>
      </c>
      <c r="X3362">
        <v>0.9885583</v>
      </c>
      <c r="Y3362">
        <v>4.6806439999999998E-2</v>
      </c>
      <c r="Z3362">
        <v>4.6008020000000002E-3</v>
      </c>
      <c r="AA3362">
        <v>0.99889340000000004</v>
      </c>
      <c r="AB3362">
        <v>37</v>
      </c>
      <c r="AC3362">
        <v>0.58209999999999695</v>
      </c>
      <c r="AD3362">
        <v>-8.73919999999999E-2</v>
      </c>
      <c r="AE3362">
        <v>-8.8400000000007098E-2</v>
      </c>
      <c r="AF3362">
        <v>4.40691382948716E-2</v>
      </c>
      <c r="AG3362">
        <v>-8.73919999999999E-2</v>
      </c>
      <c r="AH3362">
        <v>0.57439404322646204</v>
      </c>
      <c r="AI3362">
        <v>98.626034586281904</v>
      </c>
      <c r="AJ3362">
        <v>85.612700458176306</v>
      </c>
      <c r="AK3362">
        <v>0.58267312234913904</v>
      </c>
      <c r="AL3362">
        <v>85.561370227701403</v>
      </c>
      <c r="AM3362">
        <v>82.538394705100899</v>
      </c>
      <c r="AN3362">
        <v>0.99999999649745797</v>
      </c>
    </row>
    <row r="3363" spans="1:40" x14ac:dyDescent="0.25">
      <c r="A3363" t="str">
        <f>"20190312151338838"</f>
        <v>20190312151338838</v>
      </c>
      <c r="B3363" t="str">
        <f>"1552374818833872"</f>
        <v>1552374818833872</v>
      </c>
      <c r="C3363" t="s">
        <v>40</v>
      </c>
      <c r="D3363">
        <v>5.0079010000000004</v>
      </c>
      <c r="E3363">
        <v>0.46716990000000003</v>
      </c>
      <c r="F3363" t="s">
        <v>41</v>
      </c>
      <c r="G3363">
        <v>-230.24260000000001</v>
      </c>
      <c r="H3363">
        <v>1.0274030000000001</v>
      </c>
      <c r="I3363">
        <v>212.70140000000001</v>
      </c>
      <c r="J3363">
        <v>-230.7535</v>
      </c>
      <c r="K3363">
        <v>1.1102179999999999</v>
      </c>
      <c r="L3363">
        <v>212.78139999999999</v>
      </c>
      <c r="M3363">
        <v>0.99716610000000006</v>
      </c>
      <c r="N3363">
        <v>0</v>
      </c>
      <c r="O3363">
        <v>-7.3819960000000004E-2</v>
      </c>
      <c r="P3363">
        <v>0.97744759999999997</v>
      </c>
      <c r="Q3363">
        <v>6.4209669999999996E-2</v>
      </c>
      <c r="R3363">
        <v>-0.2011812</v>
      </c>
      <c r="S3363">
        <v>3.012527</v>
      </c>
      <c r="T3363">
        <v>-0.27392939999999999</v>
      </c>
      <c r="U3363">
        <v>-0.36195369999999999</v>
      </c>
      <c r="V3363">
        <v>0.12846080000000001</v>
      </c>
      <c r="W3363">
        <v>7.8581139999999994E-2</v>
      </c>
      <c r="X3363">
        <v>0.98859640000000004</v>
      </c>
      <c r="Y3363">
        <v>4.5778899999999997E-2</v>
      </c>
      <c r="Z3363">
        <v>4.5939120000000003E-3</v>
      </c>
      <c r="AA3363">
        <v>0.99894099999999997</v>
      </c>
      <c r="AB3363">
        <v>37</v>
      </c>
      <c r="AC3363">
        <v>0.51089999999999203</v>
      </c>
      <c r="AD3363">
        <v>-8.2814999999999805E-2</v>
      </c>
      <c r="AE3363">
        <v>-7.9999999999984001E-2</v>
      </c>
      <c r="AF3363">
        <v>4.1011303884889903E-2</v>
      </c>
      <c r="AG3363">
        <v>-8.2814999999999805E-2</v>
      </c>
      <c r="AH3363">
        <v>0.50252405448299697</v>
      </c>
      <c r="AI3363">
        <v>99.327659029724899</v>
      </c>
      <c r="AJ3363">
        <v>85.3343951958974</v>
      </c>
      <c r="AK3363">
        <v>0.51095075751521202</v>
      </c>
      <c r="AL3363">
        <v>85.492985755315004</v>
      </c>
      <c r="AM3363">
        <v>82.596321250705401</v>
      </c>
      <c r="AN3363">
        <v>1.00000000739664</v>
      </c>
    </row>
    <row r="3364" spans="1:40" x14ac:dyDescent="0.25">
      <c r="A3364" t="str">
        <f>"20190312151338860"</f>
        <v>20190312151338860</v>
      </c>
      <c r="B3364" t="str">
        <f>"1552374818853393"</f>
        <v>1552374818853393</v>
      </c>
      <c r="C3364" t="s">
        <v>40</v>
      </c>
      <c r="D3364">
        <v>4.7150439999999998</v>
      </c>
      <c r="E3364">
        <v>0.46706429999999999</v>
      </c>
      <c r="F3364" t="s">
        <v>41</v>
      </c>
      <c r="G3364">
        <v>-229.91419999999999</v>
      </c>
      <c r="H3364">
        <v>1.034186</v>
      </c>
      <c r="I3364">
        <v>212.68190000000001</v>
      </c>
      <c r="J3364">
        <v>-230.40530000000001</v>
      </c>
      <c r="K3364">
        <v>1.110333</v>
      </c>
      <c r="L3364">
        <v>212.75579999999999</v>
      </c>
      <c r="M3364">
        <v>0.99718989999999996</v>
      </c>
      <c r="N3364">
        <v>0</v>
      </c>
      <c r="O3364">
        <v>-7.348855E-2</v>
      </c>
      <c r="P3364">
        <v>0.9776359</v>
      </c>
      <c r="Q3364">
        <v>6.4702819999999994E-2</v>
      </c>
      <c r="R3364">
        <v>-0.20010500000000001</v>
      </c>
      <c r="S3364">
        <v>3.0137330000000002</v>
      </c>
      <c r="T3364">
        <v>-0.27307140000000002</v>
      </c>
      <c r="U3364">
        <v>-0.35679630000000001</v>
      </c>
      <c r="V3364">
        <v>0.12768260000000001</v>
      </c>
      <c r="W3364">
        <v>7.9142030000000002E-2</v>
      </c>
      <c r="X3364">
        <v>0.98865250000000005</v>
      </c>
      <c r="Y3364">
        <v>4.4381469999999999E-2</v>
      </c>
      <c r="Z3364">
        <v>4.6115610000000001E-3</v>
      </c>
      <c r="AA3364">
        <v>0.999004</v>
      </c>
      <c r="AB3364">
        <v>36</v>
      </c>
      <c r="AC3364">
        <v>0.49110000000001702</v>
      </c>
      <c r="AD3364">
        <v>-7.6146999999999895E-2</v>
      </c>
      <c r="AE3364">
        <v>-7.3899999999980495E-2</v>
      </c>
      <c r="AF3364">
        <v>3.6742299194504599E-2</v>
      </c>
      <c r="AG3364">
        <v>-7.6146999999999895E-2</v>
      </c>
      <c r="AH3364">
        <v>0.48382867615048403</v>
      </c>
      <c r="AI3364">
        <v>98.918819716147993</v>
      </c>
      <c r="AJ3364">
        <v>85.657252510970196</v>
      </c>
      <c r="AK3364">
        <v>0.49116041170337499</v>
      </c>
      <c r="AL3364">
        <v>85.460748857962997</v>
      </c>
      <c r="AM3364">
        <v>82.641091718488596</v>
      </c>
      <c r="AN3364">
        <v>1.00000003650576</v>
      </c>
    </row>
    <row r="3365" spans="1:40" x14ac:dyDescent="0.25">
      <c r="A3365" t="str">
        <f>"20190312151338883"</f>
        <v>20190312151338883</v>
      </c>
      <c r="B3365" t="str">
        <f>"1552374818873888"</f>
        <v>1552374818873888</v>
      </c>
      <c r="C3365" t="s">
        <v>40</v>
      </c>
      <c r="D3365">
        <v>4.7767480000000004</v>
      </c>
      <c r="E3365">
        <v>0.46702719999999998</v>
      </c>
      <c r="F3365" t="s">
        <v>41</v>
      </c>
      <c r="G3365">
        <v>-229.58860000000001</v>
      </c>
      <c r="H3365">
        <v>1.0363690000000001</v>
      </c>
      <c r="I3365">
        <v>212.65989999999999</v>
      </c>
      <c r="J3365">
        <v>-230.0326</v>
      </c>
      <c r="K3365">
        <v>1.1104719999999999</v>
      </c>
      <c r="L3365">
        <v>212.72880000000001</v>
      </c>
      <c r="M3365">
        <v>0.9972259</v>
      </c>
      <c r="N3365">
        <v>0</v>
      </c>
      <c r="O3365">
        <v>-7.2992340000000003E-2</v>
      </c>
      <c r="P3365">
        <v>0.97785029999999995</v>
      </c>
      <c r="Q3365">
        <v>6.5534560000000006E-2</v>
      </c>
      <c r="R3365">
        <v>-0.19878109999999999</v>
      </c>
      <c r="S3365">
        <v>3.0144500000000001</v>
      </c>
      <c r="T3365">
        <v>-0.27325240000000001</v>
      </c>
      <c r="U3365">
        <v>-0.35287479999999999</v>
      </c>
      <c r="V3365">
        <v>0.1268135</v>
      </c>
      <c r="W3365">
        <v>8.0045640000000001E-2</v>
      </c>
      <c r="X3365">
        <v>0.9886916</v>
      </c>
      <c r="Y3365">
        <v>4.3570320000000003E-2</v>
      </c>
      <c r="Z3365">
        <v>4.6059580000000003E-3</v>
      </c>
      <c r="AA3365">
        <v>0.99903980000000003</v>
      </c>
      <c r="AB3365">
        <v>36</v>
      </c>
      <c r="AC3365">
        <v>0.44399999999998802</v>
      </c>
      <c r="AD3365">
        <v>-7.4102999999999794E-2</v>
      </c>
      <c r="AE3365">
        <v>-6.8900000000013506E-2</v>
      </c>
      <c r="AF3365">
        <v>3.5342795771223998E-2</v>
      </c>
      <c r="AG3365">
        <v>-7.4102999999999794E-2</v>
      </c>
      <c r="AH3365">
        <v>0.43598619331891197</v>
      </c>
      <c r="AI3365">
        <v>99.615224560650603</v>
      </c>
      <c r="AJ3365">
        <v>85.365507420746795</v>
      </c>
      <c r="AK3365">
        <v>0.44364887984378198</v>
      </c>
      <c r="AL3365">
        <v>85.408810982530099</v>
      </c>
      <c r="AM3365">
        <v>82.690924176959797</v>
      </c>
      <c r="AN3365">
        <v>1.0000000240878999</v>
      </c>
    </row>
    <row r="3366" spans="1:40" x14ac:dyDescent="0.25">
      <c r="A3366" t="str">
        <f>"20190312151338922"</f>
        <v>20190312151338922</v>
      </c>
      <c r="B3366" t="str">
        <f>"1552374818913232"</f>
        <v>1552374818913232</v>
      </c>
      <c r="C3366" t="s">
        <v>40</v>
      </c>
      <c r="D3366">
        <v>4.7779569999999998</v>
      </c>
      <c r="E3366">
        <v>0.46770289999999998</v>
      </c>
      <c r="F3366" t="s">
        <v>41</v>
      </c>
      <c r="G3366">
        <v>-229.26169999999999</v>
      </c>
      <c r="H3366">
        <v>1.0409619999999999</v>
      </c>
      <c r="I3366">
        <v>212.6397</v>
      </c>
      <c r="J3366">
        <v>-229.40299999999999</v>
      </c>
      <c r="K3366">
        <v>1.110746</v>
      </c>
      <c r="L3366">
        <v>212.684</v>
      </c>
      <c r="M3366">
        <v>0.9973168</v>
      </c>
      <c r="N3366">
        <v>0</v>
      </c>
      <c r="O3366">
        <v>-7.1732829999999997E-2</v>
      </c>
      <c r="P3366">
        <v>0.97804270000000004</v>
      </c>
      <c r="Q3366">
        <v>6.7110810000000007E-2</v>
      </c>
      <c r="R3366">
        <v>-0.1973048</v>
      </c>
      <c r="S3366">
        <v>3.0153660000000002</v>
      </c>
      <c r="T3366">
        <v>-0.27191110000000002</v>
      </c>
      <c r="U3366">
        <v>-0.3483887</v>
      </c>
      <c r="V3366">
        <v>0.1265232</v>
      </c>
      <c r="W3366">
        <v>8.1745209999999999E-2</v>
      </c>
      <c r="X3366">
        <v>0.98858970000000002</v>
      </c>
      <c r="Y3366">
        <v>4.3325309999999999E-2</v>
      </c>
      <c r="Z3366">
        <v>4.4810079999999999E-3</v>
      </c>
      <c r="AA3366">
        <v>0.99905100000000002</v>
      </c>
      <c r="AB3366">
        <v>36</v>
      </c>
      <c r="AC3366">
        <v>0.14130000000000101</v>
      </c>
      <c r="AD3366">
        <v>-6.9783999999999805E-2</v>
      </c>
      <c r="AE3366">
        <v>-4.43000000000211E-2</v>
      </c>
      <c r="AF3366">
        <v>2.7861454673594702E-2</v>
      </c>
      <c r="AG3366">
        <v>-6.9783999999999805E-2</v>
      </c>
      <c r="AH3366">
        <v>0.117925209197069</v>
      </c>
      <c r="AI3366">
        <v>119.938043298311</v>
      </c>
      <c r="AJ3366">
        <v>76.706848876631796</v>
      </c>
      <c r="AK3366">
        <v>0.13982997631660099</v>
      </c>
      <c r="AL3366">
        <v>85.3111124613512</v>
      </c>
      <c r="AM3366">
        <v>82.706732116216997</v>
      </c>
      <c r="AN3366">
        <v>0.99999999722113697</v>
      </c>
    </row>
    <row r="3367" spans="1:40" x14ac:dyDescent="0.25">
      <c r="A3367" t="str">
        <f>"20190312151338951"</f>
        <v>20190312151338951</v>
      </c>
      <c r="B3367" t="str">
        <f>"1552374818943486"</f>
        <v>1552374818943486</v>
      </c>
      <c r="C3367" t="s">
        <v>40</v>
      </c>
      <c r="D3367">
        <v>5.1829470000000004</v>
      </c>
      <c r="E3367">
        <v>0.46829399999999899</v>
      </c>
      <c r="F3367" t="s">
        <v>41</v>
      </c>
      <c r="G3367">
        <v>-228.6156</v>
      </c>
      <c r="H3367">
        <v>1.040673</v>
      </c>
      <c r="I3367">
        <v>212.59289999999999</v>
      </c>
      <c r="J3367">
        <v>-228.9342</v>
      </c>
      <c r="K3367">
        <v>1.110962</v>
      </c>
      <c r="L3367">
        <v>212.6515</v>
      </c>
      <c r="M3367">
        <v>0.99740810000000002</v>
      </c>
      <c r="N3367">
        <v>0</v>
      </c>
      <c r="O3367">
        <v>-7.0445750000000001E-2</v>
      </c>
      <c r="P3367">
        <v>0.97824310000000003</v>
      </c>
      <c r="Q3367">
        <v>6.6396419999999998E-2</v>
      </c>
      <c r="R3367">
        <v>-0.196551</v>
      </c>
      <c r="S3367">
        <v>3.0154570000000001</v>
      </c>
      <c r="T3367">
        <v>-0.26841930000000003</v>
      </c>
      <c r="U3367">
        <v>-0.34846500000000002</v>
      </c>
      <c r="V3367">
        <v>0.12699369999999999</v>
      </c>
      <c r="W3367">
        <v>8.1122159999999999E-2</v>
      </c>
      <c r="X3367">
        <v>0.98858069999999998</v>
      </c>
      <c r="Y3367">
        <v>4.4623059999999999E-2</v>
      </c>
      <c r="Z3367">
        <v>4.2525660000000002E-3</v>
      </c>
      <c r="AA3367">
        <v>0.99899479999999996</v>
      </c>
      <c r="AB3367">
        <v>36</v>
      </c>
      <c r="AC3367">
        <v>0.31860000000000299</v>
      </c>
      <c r="AD3367">
        <v>-7.0289000000000004E-2</v>
      </c>
      <c r="AE3367">
        <v>-5.86000000000126E-2</v>
      </c>
      <c r="AF3367">
        <v>3.4388938312493803E-2</v>
      </c>
      <c r="AG3367">
        <v>-7.0289000000000004E-2</v>
      </c>
      <c r="AH3367">
        <v>0.30746165478085802</v>
      </c>
      <c r="AI3367">
        <v>102.799973849086</v>
      </c>
      <c r="AJ3367">
        <v>83.618111942865198</v>
      </c>
      <c r="AK3367">
        <v>0.317263000931158</v>
      </c>
      <c r="AL3367">
        <v>85.346929579393802</v>
      </c>
      <c r="AM3367">
        <v>82.679838456324404</v>
      </c>
      <c r="AN3367">
        <v>1.0000000025476199</v>
      </c>
    </row>
    <row r="3368" spans="1:40" x14ac:dyDescent="0.25">
      <c r="A3368" t="str">
        <f>"20190312151338971"</f>
        <v>20190312151338971</v>
      </c>
      <c r="B3368" t="str">
        <f>"1552374818963981"</f>
        <v>1552374818963981</v>
      </c>
      <c r="C3368" t="s">
        <v>40</v>
      </c>
      <c r="D3368">
        <v>5.042548</v>
      </c>
      <c r="E3368">
        <v>0.46848410000000001</v>
      </c>
      <c r="F3368" t="s">
        <v>41</v>
      </c>
      <c r="G3368">
        <v>-227.97909999999999</v>
      </c>
      <c r="H3368">
        <v>1.0250709999999901</v>
      </c>
      <c r="I3368">
        <v>212.54060000000001</v>
      </c>
      <c r="J3368">
        <v>-228.60130000000001</v>
      </c>
      <c r="K3368">
        <v>1.1111260000000001</v>
      </c>
      <c r="L3368">
        <v>212.62909999999999</v>
      </c>
      <c r="M3368">
        <v>0.99748610000000004</v>
      </c>
      <c r="N3368">
        <v>0</v>
      </c>
      <c r="O3368">
        <v>-6.9329160000000001E-2</v>
      </c>
      <c r="P3368">
        <v>0.97841359999999999</v>
      </c>
      <c r="Q3368">
        <v>6.6764560000000001E-2</v>
      </c>
      <c r="R3368">
        <v>-0.195575</v>
      </c>
      <c r="S3368">
        <v>3.014786</v>
      </c>
      <c r="T3368">
        <v>-0.27115020000000001</v>
      </c>
      <c r="U3368">
        <v>-0.35005190000000003</v>
      </c>
      <c r="V3368">
        <v>0.12708459999999999</v>
      </c>
      <c r="W3368">
        <v>8.1553689999999998E-2</v>
      </c>
      <c r="X3368">
        <v>0.98853349999999995</v>
      </c>
      <c r="Y3368">
        <v>4.6276669999999999E-2</v>
      </c>
      <c r="Z3368">
        <v>4.1229700000000001E-3</v>
      </c>
      <c r="AA3368">
        <v>0.99892009999999998</v>
      </c>
      <c r="AB3368">
        <v>36</v>
      </c>
      <c r="AC3368">
        <v>0.62220000000001996</v>
      </c>
      <c r="AD3368">
        <v>-8.6055000000000201E-2</v>
      </c>
      <c r="AE3368">
        <v>-8.8499999999981996E-2</v>
      </c>
      <c r="AF3368">
        <v>4.4314879616203597E-2</v>
      </c>
      <c r="AG3368">
        <v>-8.6055000000000201E-2</v>
      </c>
      <c r="AH3368">
        <v>0.61530214559308105</v>
      </c>
      <c r="AI3368">
        <v>97.941331201781693</v>
      </c>
      <c r="AJ3368">
        <v>85.880594413248303</v>
      </c>
      <c r="AK3368">
        <v>0.62286916920959301</v>
      </c>
      <c r="AL3368">
        <v>85.3221224778313</v>
      </c>
      <c r="AM3368">
        <v>82.674309729444602</v>
      </c>
      <c r="AN3368">
        <v>0.99999999026601305</v>
      </c>
    </row>
    <row r="3369" spans="1:40" x14ac:dyDescent="0.25">
      <c r="A3369" t="str">
        <f>"20190312151338996"</f>
        <v>20190312151338996</v>
      </c>
      <c r="B3369" t="str">
        <f>"1552374818983501"</f>
        <v>1552374818983501</v>
      </c>
      <c r="C3369" t="s">
        <v>40</v>
      </c>
      <c r="D3369">
        <v>5.0726509999999996</v>
      </c>
      <c r="E3369">
        <v>0.48772179999999998</v>
      </c>
      <c r="F3369" t="s">
        <v>41</v>
      </c>
      <c r="G3369">
        <v>-227.65639999999999</v>
      </c>
      <c r="H3369">
        <v>1.0265230000000001</v>
      </c>
      <c r="I3369">
        <v>212.5196</v>
      </c>
      <c r="J3369">
        <v>-228.214</v>
      </c>
      <c r="K3369">
        <v>1.1113150000000001</v>
      </c>
      <c r="L3369">
        <v>212.6036</v>
      </c>
      <c r="M3369">
        <v>0.99758950000000002</v>
      </c>
      <c r="N3369">
        <v>0</v>
      </c>
      <c r="O3369">
        <v>-6.7820939999999996E-2</v>
      </c>
      <c r="P3369">
        <v>0.97837730000000001</v>
      </c>
      <c r="Q3369">
        <v>6.7835850000000003E-2</v>
      </c>
      <c r="R3369">
        <v>-0.19538820000000001</v>
      </c>
      <c r="S3369">
        <v>3.0149689999999998</v>
      </c>
      <c r="T3369">
        <v>-0.27015289999999997</v>
      </c>
      <c r="U3369">
        <v>-0.348526</v>
      </c>
      <c r="V3369">
        <v>0.12835759999999999</v>
      </c>
      <c r="W3369">
        <v>8.2696619999999998E-2</v>
      </c>
      <c r="X3369">
        <v>0.98827399999999999</v>
      </c>
      <c r="Y3369">
        <v>4.7270640000000003E-2</v>
      </c>
      <c r="Z3369">
        <v>3.9295299999999997E-3</v>
      </c>
      <c r="AA3369">
        <v>0.99887440000000005</v>
      </c>
      <c r="AB3369">
        <v>36</v>
      </c>
      <c r="AC3369">
        <v>0.55760000000003596</v>
      </c>
      <c r="AD3369">
        <v>-8.4792000000000201E-2</v>
      </c>
      <c r="AE3369">
        <v>-8.40000000000031E-2</v>
      </c>
      <c r="AF3369">
        <v>4.4968732306494598E-2</v>
      </c>
      <c r="AG3369">
        <v>-8.4792000000000201E-2</v>
      </c>
      <c r="AH3369">
        <v>0.54958675790915101</v>
      </c>
      <c r="AI3369">
        <v>98.741861259271602</v>
      </c>
      <c r="AJ3369">
        <v>85.322318787719496</v>
      </c>
      <c r="AK3369">
        <v>0.55790453898345804</v>
      </c>
      <c r="AL3369">
        <v>85.2564152684063</v>
      </c>
      <c r="AM3369">
        <v>82.599816541883101</v>
      </c>
      <c r="AN3369">
        <v>0.99999995175659095</v>
      </c>
    </row>
    <row r="3370" spans="1:40" x14ac:dyDescent="0.25">
      <c r="A3370" t="str">
        <f>"20190312151339015"</f>
        <v>20190312151339015</v>
      </c>
      <c r="B3370" t="str">
        <f>"1552374819003997"</f>
        <v>1552374819003997</v>
      </c>
      <c r="C3370" t="s">
        <v>40</v>
      </c>
      <c r="D3370">
        <v>4.7982809999999896</v>
      </c>
      <c r="E3370">
        <v>0.48663689999999998</v>
      </c>
      <c r="F3370" t="s">
        <v>41</v>
      </c>
      <c r="G3370">
        <v>-227.34119999999999</v>
      </c>
      <c r="H3370">
        <v>1.019347</v>
      </c>
      <c r="I3370">
        <v>212.45769999999999</v>
      </c>
      <c r="J3370">
        <v>-227.904</v>
      </c>
      <c r="K3370">
        <v>1.111477</v>
      </c>
      <c r="L3370">
        <v>212.5838</v>
      </c>
      <c r="M3370">
        <v>0.99768199999999996</v>
      </c>
      <c r="N3370">
        <v>0</v>
      </c>
      <c r="O3370">
        <v>-6.6444569999999994E-2</v>
      </c>
      <c r="P3370">
        <v>0.97828210000000004</v>
      </c>
      <c r="Q3370">
        <v>6.9645750000000006E-2</v>
      </c>
      <c r="R3370">
        <v>-0.19522790000000001</v>
      </c>
      <c r="S3370">
        <v>2.9884339999999998</v>
      </c>
      <c r="T3370">
        <v>-0.31505300000000003</v>
      </c>
      <c r="U3370">
        <v>-0.49908449999999999</v>
      </c>
      <c r="V3370">
        <v>0.12953290000000001</v>
      </c>
      <c r="W3370">
        <v>8.4564490000000006E-2</v>
      </c>
      <c r="X3370">
        <v>0.98796260000000002</v>
      </c>
      <c r="Y3370">
        <v>9.8642450000000007E-2</v>
      </c>
      <c r="Z3370">
        <v>1.77534E-3</v>
      </c>
      <c r="AA3370">
        <v>0.99512140000000004</v>
      </c>
      <c r="AB3370">
        <v>36</v>
      </c>
      <c r="AC3370">
        <v>0.56280000000003805</v>
      </c>
      <c r="AD3370">
        <v>-9.2130000000000004E-2</v>
      </c>
      <c r="AE3370">
        <v>-0.12610000000000801</v>
      </c>
      <c r="AF3370">
        <v>8.6222147790267198E-2</v>
      </c>
      <c r="AG3370">
        <v>-9.2130000000000004E-2</v>
      </c>
      <c r="AH3370">
        <v>0.55575466091255699</v>
      </c>
      <c r="AI3370">
        <v>99.303266491144399</v>
      </c>
      <c r="AJ3370">
        <v>81.181195401011905</v>
      </c>
      <c r="AK3370">
        <v>0.56989949885536695</v>
      </c>
      <c r="AL3370">
        <v>85.149018241660599</v>
      </c>
      <c r="AM3370">
        <v>82.530491347826697</v>
      </c>
      <c r="AN3370">
        <v>1.0000000120750601</v>
      </c>
    </row>
    <row r="3371" spans="1:40" x14ac:dyDescent="0.25">
      <c r="A3371" t="str">
        <f>"20190312151339036"</f>
        <v>20190312151339036</v>
      </c>
      <c r="B3371" t="str">
        <f>"1552374819033783"</f>
        <v>1552374819033783</v>
      </c>
      <c r="C3371" t="s">
        <v>40</v>
      </c>
      <c r="D3371">
        <v>5.0094050000000001</v>
      </c>
      <c r="E3371">
        <v>0.48519400000000001</v>
      </c>
      <c r="F3371" t="s">
        <v>41</v>
      </c>
      <c r="G3371">
        <v>-227.01910000000001</v>
      </c>
      <c r="H3371">
        <v>1.0210699999999999</v>
      </c>
      <c r="I3371">
        <v>212.4384</v>
      </c>
      <c r="J3371">
        <v>-227.55099999999999</v>
      </c>
      <c r="K3371">
        <v>1.1116729999999999</v>
      </c>
      <c r="L3371">
        <v>212.56190000000001</v>
      </c>
      <c r="M3371">
        <v>0.9977973</v>
      </c>
      <c r="N3371">
        <v>0</v>
      </c>
      <c r="O3371">
        <v>-6.4687750000000002E-2</v>
      </c>
      <c r="P3371">
        <v>0.97815680000000005</v>
      </c>
      <c r="Q3371">
        <v>7.2970939999999998E-2</v>
      </c>
      <c r="R3371">
        <v>-0.1946407</v>
      </c>
      <c r="S3371">
        <v>2.990494</v>
      </c>
      <c r="T3371">
        <v>-0.30576560000000003</v>
      </c>
      <c r="U3371">
        <v>-0.49049379999999998</v>
      </c>
      <c r="V3371">
        <v>0.13064809999999999</v>
      </c>
      <c r="W3371">
        <v>8.7955939999999996E-2</v>
      </c>
      <c r="X3371">
        <v>0.98751960000000005</v>
      </c>
      <c r="Y3371">
        <v>9.7507739999999996E-2</v>
      </c>
      <c r="Z3371">
        <v>1.6029099999999999E-3</v>
      </c>
      <c r="AA3371">
        <v>0.99523349999999999</v>
      </c>
      <c r="AB3371">
        <v>36</v>
      </c>
      <c r="AC3371">
        <v>0.53189999999997895</v>
      </c>
      <c r="AD3371">
        <v>-9.0602999999999698E-2</v>
      </c>
      <c r="AE3371">
        <v>-0.12350000000000699</v>
      </c>
      <c r="AF3371">
        <v>8.6450094009276002E-2</v>
      </c>
      <c r="AG3371">
        <v>-9.0602999999999698E-2</v>
      </c>
      <c r="AH3371">
        <v>0.52433993963498904</v>
      </c>
      <c r="AI3371">
        <v>99.675476220495099</v>
      </c>
      <c r="AJ3371">
        <v>80.637635446532798</v>
      </c>
      <c r="AK3371">
        <v>0.53908709376095898</v>
      </c>
      <c r="AL3371">
        <v>84.953975659275699</v>
      </c>
      <c r="AM3371">
        <v>82.463578338199795</v>
      </c>
      <c r="AN3371">
        <v>1.0000000668995199</v>
      </c>
    </row>
    <row r="3372" spans="1:40" x14ac:dyDescent="0.25">
      <c r="A3372" t="str">
        <f>"20190312151339057"</f>
        <v>20190312151339057</v>
      </c>
      <c r="B3372" t="str">
        <f>"1552374819053304"</f>
        <v>1552374819053304</v>
      </c>
      <c r="C3372" t="s">
        <v>40</v>
      </c>
      <c r="D3372">
        <v>4.8327039999999997</v>
      </c>
      <c r="E3372">
        <v>0.4844695</v>
      </c>
      <c r="F3372" t="s">
        <v>41</v>
      </c>
      <c r="G3372">
        <v>-226.6953</v>
      </c>
      <c r="H3372">
        <v>1.026386</v>
      </c>
      <c r="I3372">
        <v>212.42509999999999</v>
      </c>
      <c r="J3372">
        <v>-227.23179999999999</v>
      </c>
      <c r="K3372">
        <v>1.1118509999999999</v>
      </c>
      <c r="L3372">
        <v>212.5429</v>
      </c>
      <c r="M3372">
        <v>0.99790919999999905</v>
      </c>
      <c r="N3372">
        <v>0</v>
      </c>
      <c r="O3372">
        <v>-6.2933119999999995E-2</v>
      </c>
      <c r="P3372">
        <v>0.978217</v>
      </c>
      <c r="Q3372">
        <v>7.5340190000000001E-2</v>
      </c>
      <c r="R3372">
        <v>-0.19343099999999999</v>
      </c>
      <c r="S3372">
        <v>2.99411</v>
      </c>
      <c r="T3372">
        <v>-0.2986106</v>
      </c>
      <c r="U3372">
        <v>-0.47825620000000002</v>
      </c>
      <c r="V3372">
        <v>0.1311311</v>
      </c>
      <c r="W3372">
        <v>9.0384770000000003E-2</v>
      </c>
      <c r="X3372">
        <v>0.98723609999999995</v>
      </c>
      <c r="Y3372">
        <v>9.5112440000000006E-2</v>
      </c>
      <c r="Z3372">
        <v>1.5100669999999999E-3</v>
      </c>
      <c r="AA3372">
        <v>0.99546539999999994</v>
      </c>
      <c r="AB3372">
        <v>36</v>
      </c>
      <c r="AC3372">
        <v>0.53649999999998899</v>
      </c>
      <c r="AD3372">
        <v>-8.5464999999999902E-2</v>
      </c>
      <c r="AE3372">
        <v>-0.117800000000016</v>
      </c>
      <c r="AF3372">
        <v>8.1818370271105598E-2</v>
      </c>
      <c r="AG3372">
        <v>-8.5464999999999902E-2</v>
      </c>
      <c r="AH3372">
        <v>0.530019048630059</v>
      </c>
      <c r="AI3372">
        <v>99.054593877261993</v>
      </c>
      <c r="AJ3372">
        <v>81.224590613966996</v>
      </c>
      <c r="AK3372">
        <v>0.54306418023059899</v>
      </c>
      <c r="AL3372">
        <v>84.8142567058065</v>
      </c>
      <c r="AM3372">
        <v>82.433891599104797</v>
      </c>
      <c r="AN3372">
        <v>0.99999994458918395</v>
      </c>
    </row>
    <row r="3373" spans="1:40" x14ac:dyDescent="0.25">
      <c r="A3373" t="str">
        <f>"20190312151339079"</f>
        <v>20190312151339079</v>
      </c>
      <c r="B3373" t="str">
        <f>"1552374819073800"</f>
        <v>1552374819073800</v>
      </c>
      <c r="C3373" t="s">
        <v>40</v>
      </c>
      <c r="D3373">
        <v>4.7743890000000002</v>
      </c>
      <c r="E3373">
        <v>0.483989</v>
      </c>
      <c r="F3373" t="s">
        <v>41</v>
      </c>
      <c r="G3373">
        <v>-226.3734</v>
      </c>
      <c r="H3373">
        <v>1.0292239999999999</v>
      </c>
      <c r="I3373">
        <v>212.40799999999999</v>
      </c>
      <c r="J3373">
        <v>-226.87530000000001</v>
      </c>
      <c r="K3373">
        <v>1.112036</v>
      </c>
      <c r="L3373">
        <v>212.5224</v>
      </c>
      <c r="M3373">
        <v>0.99804099999999996</v>
      </c>
      <c r="N3373">
        <v>0</v>
      </c>
      <c r="O3373">
        <v>-6.080663E-2</v>
      </c>
      <c r="P3373">
        <v>0.97854969999999997</v>
      </c>
      <c r="Q3373">
        <v>7.6170779999999993E-2</v>
      </c>
      <c r="R3373">
        <v>-0.191413</v>
      </c>
      <c r="S3373">
        <v>2.996216</v>
      </c>
      <c r="T3373">
        <v>-0.28882160000000001</v>
      </c>
      <c r="U3373">
        <v>-0.46942139999999999</v>
      </c>
      <c r="V3373">
        <v>0.1311601</v>
      </c>
      <c r="W3373">
        <v>9.128037E-2</v>
      </c>
      <c r="X3373">
        <v>0.98714990000000002</v>
      </c>
      <c r="Y3373">
        <v>9.426524E-2</v>
      </c>
      <c r="Z3373">
        <v>1.298228E-3</v>
      </c>
      <c r="AA3373">
        <v>0.9955463</v>
      </c>
      <c r="AB3373">
        <v>36</v>
      </c>
      <c r="AC3373">
        <v>0.50190000000000601</v>
      </c>
      <c r="AD3373">
        <v>-8.2812000000000094E-2</v>
      </c>
      <c r="AE3373">
        <v>-0.114400000000017</v>
      </c>
      <c r="AF3373">
        <v>8.1555495727088395E-2</v>
      </c>
      <c r="AG3373">
        <v>-8.2812000000000094E-2</v>
      </c>
      <c r="AH3373">
        <v>0.49511478640692203</v>
      </c>
      <c r="AI3373">
        <v>99.371295314020799</v>
      </c>
      <c r="AJ3373">
        <v>80.646212040416103</v>
      </c>
      <c r="AK3373">
        <v>0.508574260011321</v>
      </c>
      <c r="AL3373">
        <v>84.7627298956278</v>
      </c>
      <c r="AM3373">
        <v>82.431584551800697</v>
      </c>
      <c r="AN3373">
        <v>1.0000000014246699</v>
      </c>
    </row>
    <row r="3374" spans="1:40" x14ac:dyDescent="0.25">
      <c r="A3374" t="str">
        <f>"20190312151339101"</f>
        <v>20190312151339101</v>
      </c>
      <c r="B3374" t="str">
        <f>"1552374819093319"</f>
        <v>1552374819093319</v>
      </c>
      <c r="C3374" t="s">
        <v>40</v>
      </c>
      <c r="D3374">
        <v>4.7729210000000002</v>
      </c>
      <c r="E3374">
        <v>0.48383510000000002</v>
      </c>
      <c r="F3374" t="s">
        <v>41</v>
      </c>
      <c r="G3374">
        <v>-226.05109999999999</v>
      </c>
      <c r="H3374">
        <v>1.033156</v>
      </c>
      <c r="I3374">
        <v>212.39590000000001</v>
      </c>
      <c r="J3374">
        <v>-226.5215</v>
      </c>
      <c r="K3374">
        <v>1.1121970000000001</v>
      </c>
      <c r="L3374">
        <v>212.50299999999999</v>
      </c>
      <c r="M3374">
        <v>0.99817610000000001</v>
      </c>
      <c r="N3374">
        <v>0</v>
      </c>
      <c r="O3374">
        <v>-5.8543579999999998E-2</v>
      </c>
      <c r="P3374">
        <v>0.97896669999999997</v>
      </c>
      <c r="Q3374">
        <v>7.6763289999999998E-2</v>
      </c>
      <c r="R3374">
        <v>-0.18902840000000001</v>
      </c>
      <c r="S3374">
        <v>2.998138</v>
      </c>
      <c r="T3374">
        <v>-0.28704109999999899</v>
      </c>
      <c r="U3374">
        <v>-0.45996090000000001</v>
      </c>
      <c r="V3374">
        <v>0.13095809999999999</v>
      </c>
      <c r="W3374">
        <v>9.1930410000000004E-2</v>
      </c>
      <c r="X3374">
        <v>0.9871164</v>
      </c>
      <c r="Y3374">
        <v>9.335301E-2</v>
      </c>
      <c r="Z3374">
        <v>1.119044E-3</v>
      </c>
      <c r="AA3374">
        <v>0.99563250000000003</v>
      </c>
      <c r="AB3374">
        <v>36</v>
      </c>
      <c r="AC3374">
        <v>0.47040000000001198</v>
      </c>
      <c r="AD3374">
        <v>-7.9040999999999903E-2</v>
      </c>
      <c r="AE3374">
        <v>-0.10709999999997399</v>
      </c>
      <c r="AF3374">
        <v>7.7299473304033695E-2</v>
      </c>
      <c r="AG3374">
        <v>-7.9040999999999903E-2</v>
      </c>
      <c r="AH3374">
        <v>0.463424291576298</v>
      </c>
      <c r="AI3374">
        <v>99.549691920420699</v>
      </c>
      <c r="AJ3374">
        <v>80.530208723328101</v>
      </c>
      <c r="AK3374">
        <v>0.47642917865835499</v>
      </c>
      <c r="AL3374">
        <v>84.725328108931706</v>
      </c>
      <c r="AM3374">
        <v>82.442852381353305</v>
      </c>
      <c r="AN3374">
        <v>1.00000000569366</v>
      </c>
    </row>
    <row r="3375" spans="1:40" x14ac:dyDescent="0.25">
      <c r="A3375" t="str">
        <f>"20190312151339124"</f>
        <v>20190312151339124</v>
      </c>
      <c r="B3375" t="str">
        <f>"1552374819113345"</f>
        <v>1552374819113345</v>
      </c>
      <c r="C3375" t="s">
        <v>40</v>
      </c>
      <c r="D3375">
        <v>5.1051679999999999</v>
      </c>
      <c r="E3375">
        <v>0.48363590000000001</v>
      </c>
      <c r="F3375" t="s">
        <v>41</v>
      </c>
      <c r="G3375">
        <v>-225.72989999999999</v>
      </c>
      <c r="H3375">
        <v>1.0356810000000001</v>
      </c>
      <c r="I3375">
        <v>212.3835</v>
      </c>
      <c r="J3375">
        <v>-226.16659999999999</v>
      </c>
      <c r="K3375">
        <v>1.11232999999999</v>
      </c>
      <c r="L3375">
        <v>212.4845</v>
      </c>
      <c r="M3375">
        <v>0.99831380000000003</v>
      </c>
      <c r="N3375">
        <v>0</v>
      </c>
      <c r="O3375">
        <v>-5.6146630000000003E-2</v>
      </c>
      <c r="P3375">
        <v>0.97957070000000002</v>
      </c>
      <c r="Q3375">
        <v>7.6349440000000005E-2</v>
      </c>
      <c r="R3375">
        <v>-0.1860436</v>
      </c>
      <c r="S3375">
        <v>2.9999539999999998</v>
      </c>
      <c r="T3375">
        <v>-0.29014810000000002</v>
      </c>
      <c r="U3375">
        <v>-0.45202639999999999</v>
      </c>
      <c r="V3375">
        <v>0.1302886</v>
      </c>
      <c r="W3375">
        <v>9.1564800000000002E-2</v>
      </c>
      <c r="X3375">
        <v>0.98723890000000003</v>
      </c>
      <c r="Y3375">
        <v>9.3066560000000007E-2</v>
      </c>
      <c r="Z3375">
        <v>9.1525630000000003E-4</v>
      </c>
      <c r="AA3375">
        <v>0.99565950000000003</v>
      </c>
      <c r="AB3375">
        <v>36</v>
      </c>
      <c r="AC3375">
        <v>0.43670000000000098</v>
      </c>
      <c r="AD3375">
        <v>-7.6648999999999898E-2</v>
      </c>
      <c r="AE3375">
        <v>-0.10099999999999899</v>
      </c>
      <c r="AF3375">
        <v>7.4150395408741701E-2</v>
      </c>
      <c r="AG3375">
        <v>-7.6648999999999898E-2</v>
      </c>
      <c r="AH3375">
        <v>0.42913341890665802</v>
      </c>
      <c r="AI3375">
        <v>99.982123935293899</v>
      </c>
      <c r="AJ3375">
        <v>80.1966054790378</v>
      </c>
      <c r="AK3375">
        <v>0.44218643303791</v>
      </c>
      <c r="AL3375">
        <v>84.746364392705004</v>
      </c>
      <c r="AM3375">
        <v>82.481966108025304</v>
      </c>
      <c r="AN3375">
        <v>0.99999993878110305</v>
      </c>
    </row>
    <row r="3376" spans="1:40" x14ac:dyDescent="0.25">
      <c r="A3376" t="str">
        <f>"20190312151339151"</f>
        <v>20190312151339151</v>
      </c>
      <c r="B3376" t="str">
        <f>"1552374819143603"</f>
        <v>1552374819143603</v>
      </c>
      <c r="C3376" t="s">
        <v>40</v>
      </c>
      <c r="D3376">
        <v>5.1489010000000004</v>
      </c>
      <c r="E3376">
        <v>0.48331740000000001</v>
      </c>
      <c r="F3376" t="s">
        <v>41</v>
      </c>
      <c r="G3376">
        <v>-225.40950000000001</v>
      </c>
      <c r="H3376">
        <v>1.037185</v>
      </c>
      <c r="I3376">
        <v>212.37289999999999</v>
      </c>
      <c r="J3376">
        <v>-225.73740000000001</v>
      </c>
      <c r="K3376">
        <v>1.112455</v>
      </c>
      <c r="L3376">
        <v>212.46340000000001</v>
      </c>
      <c r="M3376">
        <v>0.99847960000000002</v>
      </c>
      <c r="N3376">
        <v>0</v>
      </c>
      <c r="O3376">
        <v>-5.3113140000000003E-2</v>
      </c>
      <c r="P3376">
        <v>0.98023179999999999</v>
      </c>
      <c r="Q3376">
        <v>7.5065850000000003E-2</v>
      </c>
      <c r="R3376">
        <v>-0.18305920000000001</v>
      </c>
      <c r="S3376">
        <v>3.001862</v>
      </c>
      <c r="T3376">
        <v>-0.29811409999999899</v>
      </c>
      <c r="U3376">
        <v>-0.44183349999999999</v>
      </c>
      <c r="V3376">
        <v>0.13025439999999999</v>
      </c>
      <c r="W3376">
        <v>9.0329199999999998E-2</v>
      </c>
      <c r="X3376">
        <v>0.98735729999999999</v>
      </c>
      <c r="Y3376">
        <v>9.2669080000000001E-2</v>
      </c>
      <c r="Z3376">
        <v>6.6160639999999897E-4</v>
      </c>
      <c r="AA3376">
        <v>0.99569669999999999</v>
      </c>
      <c r="AB3376">
        <v>36</v>
      </c>
      <c r="AC3376">
        <v>0.32789999999999903</v>
      </c>
      <c r="AD3376">
        <v>-7.5269999999999906E-2</v>
      </c>
      <c r="AE3376">
        <v>-9.0500000000019995E-2</v>
      </c>
      <c r="AF3376">
        <v>6.9549126894616495E-2</v>
      </c>
      <c r="AG3376">
        <v>-7.5269999999999906E-2</v>
      </c>
      <c r="AH3376">
        <v>0.31673564789580899</v>
      </c>
      <c r="AI3376">
        <v>103.067699124531</v>
      </c>
      <c r="AJ3376">
        <v>77.615482710250504</v>
      </c>
      <c r="AK3376">
        <v>0.33290257523753303</v>
      </c>
      <c r="AL3376">
        <v>84.817454026406295</v>
      </c>
      <c r="AM3376">
        <v>82.484807979957296</v>
      </c>
      <c r="AN3376">
        <v>1.0000000054776399</v>
      </c>
    </row>
    <row r="3377" spans="1:40" x14ac:dyDescent="0.25">
      <c r="A3377" t="str">
        <f>"20190312151339189"</f>
        <v>20190312151339189</v>
      </c>
      <c r="B3377" t="str">
        <f>"1552374819183617"</f>
        <v>1552374819183617</v>
      </c>
      <c r="C3377" t="s">
        <v>40</v>
      </c>
      <c r="D3377">
        <v>4.7288449999999997</v>
      </c>
      <c r="E3377">
        <v>0.4835218</v>
      </c>
      <c r="F3377" t="s">
        <v>41</v>
      </c>
      <c r="G3377">
        <v>-224.78360000000001</v>
      </c>
      <c r="H3377">
        <v>1.014886</v>
      </c>
      <c r="I3377">
        <v>212.32679999999999</v>
      </c>
      <c r="J3377">
        <v>-225.1199</v>
      </c>
      <c r="K3377">
        <v>1.112576</v>
      </c>
      <c r="L3377">
        <v>212.43549999999999</v>
      </c>
      <c r="M3377">
        <v>0.99870939999999997</v>
      </c>
      <c r="N3377">
        <v>0</v>
      </c>
      <c r="O3377">
        <v>-4.8600839999999999E-2</v>
      </c>
      <c r="P3377">
        <v>0.98109880000000005</v>
      </c>
      <c r="Q3377">
        <v>7.4396820000000002E-2</v>
      </c>
      <c r="R3377">
        <v>-0.17863599999999999</v>
      </c>
      <c r="S3377">
        <v>3.003647</v>
      </c>
      <c r="T3377">
        <v>-0.30715120000000001</v>
      </c>
      <c r="U3377">
        <v>-0.430481</v>
      </c>
      <c r="V3377">
        <v>0.1302352</v>
      </c>
      <c r="W3377">
        <v>8.9707079999999995E-2</v>
      </c>
      <c r="X3377">
        <v>0.98741659999999998</v>
      </c>
      <c r="Y3377">
        <v>9.3359170000000005E-2</v>
      </c>
      <c r="Z3377">
        <v>1.8978579999999999E-4</v>
      </c>
      <c r="AA3377">
        <v>0.99563250000000003</v>
      </c>
      <c r="AB3377">
        <v>36</v>
      </c>
      <c r="AC3377">
        <v>0.33629999999999399</v>
      </c>
      <c r="AD3377">
        <v>-9.7689999999999999E-2</v>
      </c>
      <c r="AE3377">
        <v>-0.10869999999999801</v>
      </c>
      <c r="AF3377">
        <v>8.5679404160539402E-2</v>
      </c>
      <c r="AG3377">
        <v>-9.7689999999999999E-2</v>
      </c>
      <c r="AH3377">
        <v>0.316969624988437</v>
      </c>
      <c r="AI3377">
        <v>106.568902713938</v>
      </c>
      <c r="AJ3377">
        <v>74.8739816911758</v>
      </c>
      <c r="AK3377">
        <v>0.34256975868079098</v>
      </c>
      <c r="AL3377">
        <v>84.853244434889604</v>
      </c>
      <c r="AM3377">
        <v>82.486349197432801</v>
      </c>
      <c r="AN3377">
        <v>1.0000000547383601</v>
      </c>
    </row>
    <row r="3378" spans="1:40" x14ac:dyDescent="0.25">
      <c r="A3378" t="str">
        <f>"20190312151339212"</f>
        <v>20190312151339212</v>
      </c>
      <c r="B3378" t="str">
        <f>"1552374819203136"</f>
        <v>1552374819203136</v>
      </c>
      <c r="C3378" t="s">
        <v>40</v>
      </c>
      <c r="D3378">
        <v>4.7386920000000003</v>
      </c>
      <c r="E3378">
        <v>0.48370160000000001</v>
      </c>
      <c r="F3378" t="s">
        <v>41</v>
      </c>
      <c r="G3378">
        <v>-224.1489</v>
      </c>
      <c r="H3378">
        <v>1.0116080000000001</v>
      </c>
      <c r="I3378">
        <v>212.30019999999999</v>
      </c>
      <c r="J3378">
        <v>-224.7458</v>
      </c>
      <c r="K3378">
        <v>1.1126309999999999</v>
      </c>
      <c r="L3378">
        <v>212.42</v>
      </c>
      <c r="M3378">
        <v>0.99884059999999997</v>
      </c>
      <c r="N3378">
        <v>0</v>
      </c>
      <c r="O3378">
        <v>-4.582439E-2</v>
      </c>
      <c r="P3378">
        <v>0.98162669999999996</v>
      </c>
      <c r="Q3378">
        <v>7.4198239999999999E-2</v>
      </c>
      <c r="R3378">
        <v>-0.17579500000000001</v>
      </c>
      <c r="S3378">
        <v>3.00528</v>
      </c>
      <c r="T3378">
        <v>-0.31249870000000002</v>
      </c>
      <c r="U3378">
        <v>-0.41857909999999998</v>
      </c>
      <c r="V3378">
        <v>0.13011059999999999</v>
      </c>
      <c r="W3378">
        <v>8.9526149999999999E-2</v>
      </c>
      <c r="X3378">
        <v>0.98744940000000003</v>
      </c>
      <c r="Y3378">
        <v>9.2168630000000001E-2</v>
      </c>
      <c r="Z3378" s="1">
        <v>-3.1298489999999998E-5</v>
      </c>
      <c r="AA3378">
        <v>0.99574339999999995</v>
      </c>
      <c r="AB3378">
        <v>36</v>
      </c>
      <c r="AC3378">
        <v>0.59690000000000498</v>
      </c>
      <c r="AD3378">
        <v>-0.101022999999999</v>
      </c>
      <c r="AE3378">
        <v>-0.11979999999999701</v>
      </c>
      <c r="AF3378">
        <v>8.98446889556027E-2</v>
      </c>
      <c r="AG3378">
        <v>-0.101022999999999</v>
      </c>
      <c r="AH3378">
        <v>0.58563760886128302</v>
      </c>
      <c r="AI3378">
        <v>99.6762233871832</v>
      </c>
      <c r="AJ3378">
        <v>81.278057907288201</v>
      </c>
      <c r="AK3378">
        <v>0.60104003491888103</v>
      </c>
      <c r="AL3378">
        <v>84.863652602346903</v>
      </c>
      <c r="AM3378">
        <v>82.4937022219694</v>
      </c>
      <c r="AN3378">
        <v>1.0000000086632701</v>
      </c>
    </row>
    <row r="3379" spans="1:40" x14ac:dyDescent="0.25">
      <c r="A3379" t="str">
        <f>"20190312151339235"</f>
        <v>20190312151339235</v>
      </c>
      <c r="B3379" t="str">
        <f>"1552374819223633"</f>
        <v>1552374819223633</v>
      </c>
      <c r="C3379" t="s">
        <v>40</v>
      </c>
      <c r="D3379">
        <v>4.7644900000000003</v>
      </c>
      <c r="E3379">
        <v>0.48390850000000002</v>
      </c>
      <c r="F3379" t="s">
        <v>41</v>
      </c>
      <c r="G3379">
        <v>-223.82849999999999</v>
      </c>
      <c r="H3379">
        <v>1.0166059999999999</v>
      </c>
      <c r="I3379">
        <v>212.2944</v>
      </c>
      <c r="J3379">
        <v>-224.38319999999999</v>
      </c>
      <c r="K3379">
        <v>1.112679</v>
      </c>
      <c r="L3379">
        <v>212.4059</v>
      </c>
      <c r="M3379">
        <v>0.99896079999999998</v>
      </c>
      <c r="N3379">
        <v>0</v>
      </c>
      <c r="O3379">
        <v>-4.31239E-2</v>
      </c>
      <c r="P3379">
        <v>0.98204610000000003</v>
      </c>
      <c r="Q3379">
        <v>7.419692E-2</v>
      </c>
      <c r="R3379">
        <v>-0.1734377</v>
      </c>
      <c r="S3379">
        <v>3.006348</v>
      </c>
      <c r="T3379">
        <v>-0.3149132</v>
      </c>
      <c r="U3379">
        <v>-0.41094969999999997</v>
      </c>
      <c r="V3379">
        <v>0.13040119999999999</v>
      </c>
      <c r="W3379">
        <v>8.9538969999999996E-2</v>
      </c>
      <c r="X3379">
        <v>0.98740989999999995</v>
      </c>
      <c r="Y3379">
        <v>9.2313430000000002E-2</v>
      </c>
      <c r="Z3379">
        <v>-3.191992E-4</v>
      </c>
      <c r="AA3379">
        <v>0.99572989999999995</v>
      </c>
      <c r="AB3379">
        <v>36</v>
      </c>
      <c r="AC3379">
        <v>0.55469999999999597</v>
      </c>
      <c r="AD3379">
        <v>-9.6073000000000297E-2</v>
      </c>
      <c r="AE3379">
        <v>-0.111500000000006</v>
      </c>
      <c r="AF3379">
        <v>8.5021431523550295E-2</v>
      </c>
      <c r="AG3379">
        <v>-9.6073000000000297E-2</v>
      </c>
      <c r="AH3379">
        <v>0.54332716404906201</v>
      </c>
      <c r="AI3379">
        <v>99.909428513458906</v>
      </c>
      <c r="AJ3379">
        <v>81.1063129602408</v>
      </c>
      <c r="AK3379">
        <v>0.55826792164775996</v>
      </c>
      <c r="AL3379">
        <v>84.862915091614397</v>
      </c>
      <c r="AM3379">
        <v>82.476831335353097</v>
      </c>
      <c r="AN3379">
        <v>1.0000000053640501</v>
      </c>
    </row>
    <row r="3380" spans="1:40" x14ac:dyDescent="0.25">
      <c r="A3380" t="str">
        <f>"20190312151339260"</f>
        <v>20190312151339260</v>
      </c>
      <c r="B3380" t="str">
        <f>"1552374819253889"</f>
        <v>1552374819253889</v>
      </c>
      <c r="C3380" t="s">
        <v>40</v>
      </c>
      <c r="D3380">
        <v>4.7798619999999996</v>
      </c>
      <c r="E3380">
        <v>0.48433419999999999</v>
      </c>
      <c r="F3380" t="s">
        <v>41</v>
      </c>
      <c r="G3380">
        <v>-223.50890000000001</v>
      </c>
      <c r="H3380">
        <v>1.020761</v>
      </c>
      <c r="I3380">
        <v>212.28809999999999</v>
      </c>
      <c r="J3380">
        <v>-223.9813</v>
      </c>
      <c r="K3380">
        <v>1.112714</v>
      </c>
      <c r="L3380">
        <v>212.39150000000001</v>
      </c>
      <c r="M3380">
        <v>0.99908569999999997</v>
      </c>
      <c r="N3380">
        <v>0</v>
      </c>
      <c r="O3380">
        <v>-4.0127019999999999E-2</v>
      </c>
      <c r="P3380">
        <v>0.98248159999999896</v>
      </c>
      <c r="Q3380">
        <v>7.4658189999999999E-2</v>
      </c>
      <c r="R3380">
        <v>-0.17075270000000001</v>
      </c>
      <c r="S3380">
        <v>3.0072480000000001</v>
      </c>
      <c r="T3380">
        <v>-0.31625700000000001</v>
      </c>
      <c r="U3380">
        <v>-0.40490720000000002</v>
      </c>
      <c r="V3380">
        <v>0.13065650000000001</v>
      </c>
      <c r="W3380">
        <v>9.0011019999999997E-2</v>
      </c>
      <c r="X3380">
        <v>0.98733320000000002</v>
      </c>
      <c r="Y3380">
        <v>9.3272110000000005E-2</v>
      </c>
      <c r="Z3380">
        <v>-6.8279539999999996E-4</v>
      </c>
      <c r="AA3380">
        <v>0.99564039999999998</v>
      </c>
      <c r="AB3380">
        <v>36</v>
      </c>
      <c r="AC3380">
        <v>0.47239999999999299</v>
      </c>
      <c r="AD3380">
        <v>-9.1952999999999896E-2</v>
      </c>
      <c r="AE3380">
        <v>-0.103400000000021</v>
      </c>
      <c r="AF3380">
        <v>8.1414943125184103E-2</v>
      </c>
      <c r="AG3380">
        <v>-9.1952999999999896E-2</v>
      </c>
      <c r="AH3380">
        <v>0.45955312087349398</v>
      </c>
      <c r="AI3380">
        <v>101.14589552803299</v>
      </c>
      <c r="AJ3380">
        <v>79.953655383538901</v>
      </c>
      <c r="AK3380">
        <v>0.47568142498698102</v>
      </c>
      <c r="AL3380">
        <v>84.835758813647104</v>
      </c>
      <c r="AM3380">
        <v>82.461692815660001</v>
      </c>
      <c r="AN3380">
        <v>0.999999976267965</v>
      </c>
    </row>
    <row r="3381" spans="1:40" x14ac:dyDescent="0.25">
      <c r="A3381" t="str">
        <f>"20190312151339280"</f>
        <v>20190312151339280</v>
      </c>
      <c r="B3381" t="str">
        <f>"1552374819273409"</f>
        <v>1552374819273409</v>
      </c>
      <c r="C3381" t="s">
        <v>40</v>
      </c>
      <c r="D3381">
        <v>4.7747349999999997</v>
      </c>
      <c r="E3381">
        <v>0.48467529999999998</v>
      </c>
      <c r="F3381" t="s">
        <v>41</v>
      </c>
      <c r="G3381">
        <v>-223.18790000000001</v>
      </c>
      <c r="H3381">
        <v>1.0284249999999999</v>
      </c>
      <c r="I3381">
        <v>212.2859</v>
      </c>
      <c r="J3381">
        <v>-223.67670000000001</v>
      </c>
      <c r="K3381">
        <v>1.1127339999999999</v>
      </c>
      <c r="L3381">
        <v>212.38140000000001</v>
      </c>
      <c r="M3381">
        <v>0.99917429999999996</v>
      </c>
      <c r="N3381">
        <v>0</v>
      </c>
      <c r="O3381">
        <v>-3.7856359999999999E-2</v>
      </c>
      <c r="P3381">
        <v>0.98273529999999998</v>
      </c>
      <c r="Q3381">
        <v>7.5257450000000004E-2</v>
      </c>
      <c r="R3381">
        <v>-0.16902020000000001</v>
      </c>
      <c r="S3381">
        <v>3.0083769999999999</v>
      </c>
      <c r="T3381">
        <v>-0.31985130000000001</v>
      </c>
      <c r="U3381">
        <v>-0.39952090000000001</v>
      </c>
      <c r="V3381">
        <v>0.13115470000000001</v>
      </c>
      <c r="W3381">
        <v>9.0616989999999994E-2</v>
      </c>
      <c r="X3381">
        <v>0.98721170000000003</v>
      </c>
      <c r="Y3381">
        <v>9.3712589999999998E-2</v>
      </c>
      <c r="Z3381">
        <v>-9.5282449999999996E-4</v>
      </c>
      <c r="AA3381">
        <v>0.99559889999999995</v>
      </c>
      <c r="AB3381">
        <v>36</v>
      </c>
      <c r="AC3381">
        <v>0.48879999999999701</v>
      </c>
      <c r="AD3381">
        <v>-8.4309000000000106E-2</v>
      </c>
      <c r="AE3381">
        <v>-9.5500000000015406E-2</v>
      </c>
      <c r="AF3381">
        <v>7.4782360953128402E-2</v>
      </c>
      <c r="AG3381">
        <v>-8.4309000000000106E-2</v>
      </c>
      <c r="AH3381">
        <v>0.47835739419340001</v>
      </c>
      <c r="AI3381">
        <v>99.877976525473898</v>
      </c>
      <c r="AJ3381">
        <v>81.114778847821995</v>
      </c>
      <c r="AK3381">
        <v>0.491453157045739</v>
      </c>
      <c r="AL3381">
        <v>84.800896773468907</v>
      </c>
      <c r="AM3381">
        <v>82.4323608164012</v>
      </c>
      <c r="AN3381">
        <v>0.99999996741281905</v>
      </c>
    </row>
    <row r="3382" spans="1:40" x14ac:dyDescent="0.25">
      <c r="A3382" t="str">
        <f>"20190312151339302"</f>
        <v>20190312151339302</v>
      </c>
      <c r="B3382" t="str">
        <f>"1552374819293905"</f>
        <v>1552374819293905</v>
      </c>
      <c r="C3382" t="s">
        <v>40</v>
      </c>
      <c r="D3382">
        <v>5.2745620000000004</v>
      </c>
      <c r="E3382">
        <v>0.48493550000000002</v>
      </c>
      <c r="F3382" t="s">
        <v>41</v>
      </c>
      <c r="G3382">
        <v>-222.8723</v>
      </c>
      <c r="H3382">
        <v>1.0262960000000001</v>
      </c>
      <c r="I3382">
        <v>212.27520000000001</v>
      </c>
      <c r="J3382">
        <v>-223.32380000000001</v>
      </c>
      <c r="K3382">
        <v>1.1127450000000001</v>
      </c>
      <c r="L3382">
        <v>212.37049999999999</v>
      </c>
      <c r="M3382">
        <v>0.9992704</v>
      </c>
      <c r="N3382">
        <v>0</v>
      </c>
      <c r="O3382">
        <v>-3.5227389999999997E-2</v>
      </c>
      <c r="P3382">
        <v>0.98303099999999999</v>
      </c>
      <c r="Q3382">
        <v>7.6039599999999999E-2</v>
      </c>
      <c r="R3382">
        <v>-0.1669378</v>
      </c>
      <c r="S3382">
        <v>3.009201</v>
      </c>
      <c r="T3382">
        <v>-0.3234612</v>
      </c>
      <c r="U3382">
        <v>-0.39688109999999999</v>
      </c>
      <c r="V3382">
        <v>0.1316552</v>
      </c>
      <c r="W3382">
        <v>9.1404310000000003E-2</v>
      </c>
      <c r="X3382">
        <v>0.98707250000000002</v>
      </c>
      <c r="Y3382">
        <v>9.5406550000000007E-2</v>
      </c>
      <c r="Z3382">
        <v>-1.333816E-3</v>
      </c>
      <c r="AA3382">
        <v>0.99543749999999998</v>
      </c>
      <c r="AB3382">
        <v>36</v>
      </c>
      <c r="AC3382">
        <v>0.45150000000001</v>
      </c>
      <c r="AD3382">
        <v>-8.6449000000000206E-2</v>
      </c>
      <c r="AE3382">
        <v>-9.52999999999804E-2</v>
      </c>
      <c r="AF3382">
        <v>7.6643939795801003E-2</v>
      </c>
      <c r="AG3382">
        <v>-8.6449000000000206E-2</v>
      </c>
      <c r="AH3382">
        <v>0.439163757879519</v>
      </c>
      <c r="AI3382">
        <v>100.97447854022801</v>
      </c>
      <c r="AJ3382">
        <v>80.100304584358497</v>
      </c>
      <c r="AK3382">
        <v>0.454106297405446</v>
      </c>
      <c r="AL3382">
        <v>84.755598732603801</v>
      </c>
      <c r="AM3382">
        <v>82.402759777994703</v>
      </c>
      <c r="AN3382">
        <v>0.99999997991493195</v>
      </c>
    </row>
    <row r="3383" spans="1:40" x14ac:dyDescent="0.25">
      <c r="A3383" t="str">
        <f>"20190312151339325"</f>
        <v>20190312151339325</v>
      </c>
      <c r="B3383" t="str">
        <f>"1552374819313425"</f>
        <v>1552374819313425</v>
      </c>
      <c r="C3383" t="s">
        <v>40</v>
      </c>
      <c r="D3383">
        <v>4.7902279999999999</v>
      </c>
      <c r="E3383">
        <v>0.48523290000000002</v>
      </c>
      <c r="F3383" t="s">
        <v>41</v>
      </c>
      <c r="G3383">
        <v>-222.55410000000001</v>
      </c>
      <c r="H3383">
        <v>1.0300279999999999</v>
      </c>
      <c r="I3383">
        <v>212.27</v>
      </c>
      <c r="J3383">
        <v>-222.97130000000001</v>
      </c>
      <c r="K3383">
        <v>1.112752</v>
      </c>
      <c r="L3383">
        <v>212.36060000000001</v>
      </c>
      <c r="M3383">
        <v>0.99935969999999996</v>
      </c>
      <c r="N3383">
        <v>0</v>
      </c>
      <c r="O3383">
        <v>-3.2601930000000001E-2</v>
      </c>
      <c r="P3383">
        <v>0.98341599999999996</v>
      </c>
      <c r="Q3383">
        <v>7.5511389999999998E-2</v>
      </c>
      <c r="R3383">
        <v>-0.16489760000000001</v>
      </c>
      <c r="S3383">
        <v>3.0102229999999999</v>
      </c>
      <c r="T3383">
        <v>-0.32372820000000002</v>
      </c>
      <c r="U3383">
        <v>-0.39230350000000003</v>
      </c>
      <c r="V3383">
        <v>0.1322007</v>
      </c>
      <c r="W3383">
        <v>9.0881009999999998E-2</v>
      </c>
      <c r="X3383">
        <v>0.98704789999999998</v>
      </c>
      <c r="Y3383">
        <v>9.646834E-2</v>
      </c>
      <c r="Z3383">
        <v>-1.671226E-3</v>
      </c>
      <c r="AA3383">
        <v>0.99533459999999996</v>
      </c>
      <c r="AB3383">
        <v>36</v>
      </c>
      <c r="AC3383">
        <v>0.41720000000000801</v>
      </c>
      <c r="AD3383">
        <v>-8.2723999999999798E-2</v>
      </c>
      <c r="AE3383">
        <v>-9.0599999999994907E-2</v>
      </c>
      <c r="AF3383">
        <v>7.4164266005523796E-2</v>
      </c>
      <c r="AG3383">
        <v>-8.2723999999999798E-2</v>
      </c>
      <c r="AH3383">
        <v>0.40473607973912601</v>
      </c>
      <c r="AI3383">
        <v>101.367360853167</v>
      </c>
      <c r="AJ3383">
        <v>79.616257531908502</v>
      </c>
      <c r="AK3383">
        <v>0.419708104247148</v>
      </c>
      <c r="AL3383">
        <v>84.785706877973695</v>
      </c>
      <c r="AM3383">
        <v>82.3714634288702</v>
      </c>
      <c r="AN3383">
        <v>0.999999969976759</v>
      </c>
    </row>
    <row r="3384" spans="1:40" x14ac:dyDescent="0.25">
      <c r="A3384" t="str">
        <f>"20190312151339351"</f>
        <v>20190312151339351</v>
      </c>
      <c r="B3384" t="str">
        <f>"1552374819343681"</f>
        <v>1552374819343681</v>
      </c>
      <c r="C3384" t="s">
        <v>40</v>
      </c>
      <c r="D3384">
        <v>4.8093000000000004</v>
      </c>
      <c r="E3384">
        <v>0.48542489999999999</v>
      </c>
      <c r="F3384" t="s">
        <v>41</v>
      </c>
      <c r="G3384">
        <v>-222.23650000000001</v>
      </c>
      <c r="H3384">
        <v>1.0330330000000001</v>
      </c>
      <c r="I3384">
        <v>212.26570000000001</v>
      </c>
      <c r="J3384">
        <v>-222.56379999999999</v>
      </c>
      <c r="K3384">
        <v>1.112752</v>
      </c>
      <c r="L3384">
        <v>212.35040000000001</v>
      </c>
      <c r="M3384">
        <v>0.99945399999999995</v>
      </c>
      <c r="N3384">
        <v>0</v>
      </c>
      <c r="O3384">
        <v>-2.9565600000000001E-2</v>
      </c>
      <c r="P3384">
        <v>0.98379740000000004</v>
      </c>
      <c r="Q3384">
        <v>7.4155520000000003E-2</v>
      </c>
      <c r="R3384">
        <v>-0.16322979999999901</v>
      </c>
      <c r="S3384">
        <v>3.0105740000000001</v>
      </c>
      <c r="T3384">
        <v>-0.32678190000000001</v>
      </c>
      <c r="U3384">
        <v>-0.38827509999999998</v>
      </c>
      <c r="V3384">
        <v>0.1335307</v>
      </c>
      <c r="W3384">
        <v>8.9533269999999998E-2</v>
      </c>
      <c r="X3384">
        <v>0.98699210000000004</v>
      </c>
      <c r="Y3384">
        <v>9.8133380000000006E-2</v>
      </c>
      <c r="Z3384">
        <v>-2.1034220000000002E-3</v>
      </c>
      <c r="AA3384">
        <v>0.99517109999999998</v>
      </c>
      <c r="AB3384">
        <v>35</v>
      </c>
      <c r="AC3384">
        <v>0.327299999999979</v>
      </c>
      <c r="AD3384">
        <v>-7.9718999999999804E-2</v>
      </c>
      <c r="AE3384">
        <v>-8.4699999999997999E-2</v>
      </c>
      <c r="AF3384">
        <v>7.1035472952363302E-2</v>
      </c>
      <c r="AG3384">
        <v>-7.9718999999999804E-2</v>
      </c>
      <c r="AH3384">
        <v>0.31229742821809497</v>
      </c>
      <c r="AI3384">
        <v>103.97736328305101</v>
      </c>
      <c r="AJ3384">
        <v>77.185479101670296</v>
      </c>
      <c r="AK3384">
        <v>0.330046725555946</v>
      </c>
      <c r="AL3384">
        <v>84.863243120777199</v>
      </c>
      <c r="AM3384">
        <v>82.295203769135796</v>
      </c>
      <c r="AN3384">
        <v>1.00000002987089</v>
      </c>
    </row>
    <row r="3385" spans="1:40" x14ac:dyDescent="0.25">
      <c r="A3385" t="str">
        <f>"20190312151339372"</f>
        <v>20190312151339372</v>
      </c>
      <c r="B3385" t="str">
        <f>"1552374819363201"</f>
        <v>1552374819363201</v>
      </c>
      <c r="C3385" t="s">
        <v>40</v>
      </c>
      <c r="D3385">
        <v>4.841939</v>
      </c>
      <c r="E3385">
        <v>0.49126399999999998</v>
      </c>
      <c r="F3385" t="s">
        <v>41</v>
      </c>
      <c r="G3385">
        <v>-221.61850000000001</v>
      </c>
      <c r="H3385">
        <v>1.00786</v>
      </c>
      <c r="I3385">
        <v>212.22989999999999</v>
      </c>
      <c r="J3385">
        <v>-222.21129999999999</v>
      </c>
      <c r="K3385">
        <v>1.112762</v>
      </c>
      <c r="L3385">
        <v>212.3426</v>
      </c>
      <c r="M3385">
        <v>0.99952819999999998</v>
      </c>
      <c r="N3385">
        <v>0</v>
      </c>
      <c r="O3385">
        <v>-2.693866E-2</v>
      </c>
      <c r="P3385">
        <v>0.98394479999999995</v>
      </c>
      <c r="Q3385">
        <v>7.4429410000000001E-2</v>
      </c>
      <c r="R3385">
        <v>-0.16221269999999999</v>
      </c>
      <c r="S3385">
        <v>3.0109249999999999</v>
      </c>
      <c r="T3385">
        <v>-0.33419379999999999</v>
      </c>
      <c r="U3385">
        <v>-0.38378909999999999</v>
      </c>
      <c r="V3385">
        <v>0.13510449999999999</v>
      </c>
      <c r="W3385">
        <v>8.9812030000000001E-2</v>
      </c>
      <c r="X3385">
        <v>0.98675259999999998</v>
      </c>
      <c r="Y3385">
        <v>9.9234669999999997E-2</v>
      </c>
      <c r="Z3385">
        <v>-2.5006770000000002E-3</v>
      </c>
      <c r="AA3385">
        <v>0.99506090000000003</v>
      </c>
      <c r="AB3385">
        <v>35</v>
      </c>
      <c r="AC3385">
        <v>0.59279999999998201</v>
      </c>
      <c r="AD3385">
        <v>-0.104902</v>
      </c>
      <c r="AE3385">
        <v>-0.11270000000001799</v>
      </c>
      <c r="AF3385">
        <v>9.3851677280431894E-2</v>
      </c>
      <c r="AG3385">
        <v>-0.104902</v>
      </c>
      <c r="AH3385">
        <v>0.57814802536379195</v>
      </c>
      <c r="AI3385">
        <v>100.154042429611</v>
      </c>
      <c r="AJ3385">
        <v>80.779516001130801</v>
      </c>
      <c r="AK3385">
        <v>0.595035886450895</v>
      </c>
      <c r="AL3385">
        <v>84.847206900178406</v>
      </c>
      <c r="AM3385">
        <v>82.203635921250907</v>
      </c>
      <c r="AN3385">
        <v>1.00000006012986</v>
      </c>
    </row>
    <row r="3386" spans="1:40" x14ac:dyDescent="0.25">
      <c r="A3386" t="str">
        <f>"20190312151339396"</f>
        <v>20190312151339396</v>
      </c>
      <c r="B3386" t="str">
        <f>"1552374819383697"</f>
        <v>1552374819383697</v>
      </c>
      <c r="C3386" t="s">
        <v>40</v>
      </c>
      <c r="D3386">
        <v>4.8064539999999996</v>
      </c>
      <c r="E3386">
        <v>0.49140909999999899</v>
      </c>
      <c r="F3386" t="s">
        <v>41</v>
      </c>
      <c r="G3386">
        <v>-221.3082</v>
      </c>
      <c r="H3386">
        <v>0.99855859999999996</v>
      </c>
      <c r="I3386">
        <v>212.21440000000001</v>
      </c>
      <c r="J3386">
        <v>-221.85380000000001</v>
      </c>
      <c r="K3386">
        <v>1.112762</v>
      </c>
      <c r="L3386">
        <v>212.3355</v>
      </c>
      <c r="M3386">
        <v>0.99959640000000005</v>
      </c>
      <c r="N3386">
        <v>0</v>
      </c>
      <c r="O3386">
        <v>-2.4279350000000002E-2</v>
      </c>
      <c r="P3386">
        <v>0.98391039999999996</v>
      </c>
      <c r="Q3386">
        <v>7.5743900000000003E-2</v>
      </c>
      <c r="R3386">
        <v>-0.1618116</v>
      </c>
      <c r="S3386">
        <v>3.007431</v>
      </c>
      <c r="T3386">
        <v>-0.3804553</v>
      </c>
      <c r="U3386">
        <v>-0.42648320000000001</v>
      </c>
      <c r="V3386">
        <v>0.137324799999999</v>
      </c>
      <c r="W3386">
        <v>9.1131740000000003E-2</v>
      </c>
      <c r="X3386">
        <v>0.98632500000000001</v>
      </c>
      <c r="Y3386">
        <v>0.115609199999999</v>
      </c>
      <c r="Z3386">
        <v>-4.2046899999999996E-3</v>
      </c>
      <c r="AA3386">
        <v>0.99328590000000005</v>
      </c>
      <c r="AB3386">
        <v>35</v>
      </c>
      <c r="AC3386">
        <v>0.54560000000000697</v>
      </c>
      <c r="AD3386">
        <v>-0.1142034</v>
      </c>
      <c r="AE3386">
        <v>-0.121099999999984</v>
      </c>
      <c r="AF3386">
        <v>0.10349447192800899</v>
      </c>
      <c r="AG3386">
        <v>-0.1142034</v>
      </c>
      <c r="AH3386">
        <v>0.52639909378319105</v>
      </c>
      <c r="AI3386">
        <v>102.017552400201</v>
      </c>
      <c r="AJ3386">
        <v>78.877040385232306</v>
      </c>
      <c r="AK3386">
        <v>0.54849751888862897</v>
      </c>
      <c r="AL3386">
        <v>84.771281665311605</v>
      </c>
      <c r="AM3386">
        <v>82.073733915461901</v>
      </c>
      <c r="AN3386">
        <v>1.00000005017773</v>
      </c>
    </row>
    <row r="3387" spans="1:40" x14ac:dyDescent="0.25">
      <c r="A3387" t="str">
        <f>"20190312151339413"</f>
        <v>20190312151339413</v>
      </c>
      <c r="B3387" t="str">
        <f>"1552374819403217"</f>
        <v>1552374819403217</v>
      </c>
      <c r="C3387" t="s">
        <v>40</v>
      </c>
      <c r="D3387">
        <v>4.8076809999999996</v>
      </c>
      <c r="E3387">
        <v>0.49225989999999997</v>
      </c>
      <c r="F3387" t="s">
        <v>41</v>
      </c>
      <c r="G3387">
        <v>-220.98939999999999</v>
      </c>
      <c r="H3387">
        <v>1.0069650000000001</v>
      </c>
      <c r="I3387">
        <v>212.21299999999999</v>
      </c>
      <c r="J3387">
        <v>-221.5676</v>
      </c>
      <c r="K3387">
        <v>1.112752</v>
      </c>
      <c r="L3387">
        <v>212.3306</v>
      </c>
      <c r="M3387">
        <v>0.99964569999999997</v>
      </c>
      <c r="N3387">
        <v>0</v>
      </c>
      <c r="O3387">
        <v>-2.216715E-2</v>
      </c>
      <c r="P3387">
        <v>0.98388370000000003</v>
      </c>
      <c r="Q3387">
        <v>7.6255199999999995E-2</v>
      </c>
      <c r="R3387">
        <v>-0.1617354</v>
      </c>
      <c r="S3387">
        <v>3.0073850000000002</v>
      </c>
      <c r="T3387">
        <v>-0.3682358</v>
      </c>
      <c r="U3387">
        <v>-0.42578129999999997</v>
      </c>
      <c r="V3387">
        <v>0.1393345</v>
      </c>
      <c r="W3387">
        <v>9.1645530000000003E-2</v>
      </c>
      <c r="X3387">
        <v>0.98599539999999997</v>
      </c>
      <c r="Y3387">
        <v>0.11749800000000001</v>
      </c>
      <c r="Z3387">
        <v>-4.4415840000000002E-3</v>
      </c>
      <c r="AA3387">
        <v>0.99306320000000003</v>
      </c>
      <c r="AB3387">
        <v>35</v>
      </c>
      <c r="AC3387">
        <v>0.57820000000000904</v>
      </c>
      <c r="AD3387">
        <v>-0.10578700000000001</v>
      </c>
      <c r="AE3387">
        <v>-0.11760000000001</v>
      </c>
      <c r="AF3387">
        <v>0.101490320466167</v>
      </c>
      <c r="AG3387">
        <v>-0.10578700000000001</v>
      </c>
      <c r="AH3387">
        <v>0.56258123344126598</v>
      </c>
      <c r="AI3387">
        <v>100.484072227365</v>
      </c>
      <c r="AJ3387">
        <v>79.773763079302697</v>
      </c>
      <c r="AK3387">
        <v>0.58136805789243495</v>
      </c>
      <c r="AL3387">
        <v>84.741719524848506</v>
      </c>
      <c r="AM3387">
        <v>81.9565894272111</v>
      </c>
      <c r="AN3387">
        <v>0.99999996744019404</v>
      </c>
    </row>
    <row r="3388" spans="1:40" x14ac:dyDescent="0.25">
      <c r="A3388" t="str">
        <f>"20190312151339436"</f>
        <v>20190312151339436</v>
      </c>
      <c r="B3388" t="str">
        <f>"1552374819423714"</f>
        <v>1552374819423714</v>
      </c>
      <c r="C3388" t="s">
        <v>40</v>
      </c>
      <c r="D3388">
        <v>4.8260589999999999</v>
      </c>
      <c r="E3388">
        <v>0.49312139999999999</v>
      </c>
      <c r="F3388" t="s">
        <v>41</v>
      </c>
      <c r="G3388">
        <v>-220.6789</v>
      </c>
      <c r="H3388">
        <v>0.99922849999999996</v>
      </c>
      <c r="I3388">
        <v>212.20259999999999</v>
      </c>
      <c r="J3388">
        <v>-221.2191</v>
      </c>
      <c r="K3388">
        <v>1.1127260000000001</v>
      </c>
      <c r="L3388">
        <v>212.3254</v>
      </c>
      <c r="M3388">
        <v>0.99969850000000005</v>
      </c>
      <c r="N3388">
        <v>0</v>
      </c>
      <c r="O3388">
        <v>-1.9638889999999999E-2</v>
      </c>
      <c r="P3388">
        <v>0.98397559999999995</v>
      </c>
      <c r="Q3388">
        <v>7.571986E-2</v>
      </c>
      <c r="R3388">
        <v>-0.1614276</v>
      </c>
      <c r="S3388">
        <v>3.0078130000000001</v>
      </c>
      <c r="T3388">
        <v>-0.3844031</v>
      </c>
      <c r="U3388">
        <v>-0.432724</v>
      </c>
      <c r="V3388">
        <v>0.14153099999999999</v>
      </c>
      <c r="W3388">
        <v>9.1106099999999995E-2</v>
      </c>
      <c r="X3388">
        <v>0.98573259999999996</v>
      </c>
      <c r="Y3388">
        <v>0.12211610000000001</v>
      </c>
      <c r="Z3388">
        <v>-5.2460379999999997E-3</v>
      </c>
      <c r="AA3388">
        <v>0.992502</v>
      </c>
      <c r="AB3388">
        <v>35</v>
      </c>
      <c r="AC3388">
        <v>0.54019999999999802</v>
      </c>
      <c r="AD3388">
        <v>-0.1134975</v>
      </c>
      <c r="AE3388">
        <v>-0.122800000000012</v>
      </c>
      <c r="AF3388">
        <v>0.10764780926529301</v>
      </c>
      <c r="AG3388">
        <v>-0.1134975</v>
      </c>
      <c r="AH3388">
        <v>0.52065373232894396</v>
      </c>
      <c r="AI3388">
        <v>102.05035664030299</v>
      </c>
      <c r="AJ3388">
        <v>78.318403495707003</v>
      </c>
      <c r="AK3388">
        <v>0.54364514376008799</v>
      </c>
      <c r="AL3388">
        <v>84.772756875699898</v>
      </c>
      <c r="AM3388">
        <v>81.8293411480646</v>
      </c>
      <c r="AN3388">
        <v>1.0000000520604799</v>
      </c>
    </row>
    <row r="3389" spans="1:40" x14ac:dyDescent="0.25">
      <c r="A3389" t="str">
        <f>"20190312151339458"</f>
        <v>20190312151339458</v>
      </c>
      <c r="B3389" t="str">
        <f>"1552374819453969"</f>
        <v>1552374819453969</v>
      </c>
      <c r="C3389" t="s">
        <v>40</v>
      </c>
      <c r="D3389">
        <v>4.8288349999999998</v>
      </c>
      <c r="E3389">
        <v>0.49387170000000002</v>
      </c>
      <c r="F3389" t="s">
        <v>41</v>
      </c>
      <c r="G3389">
        <v>-220.36420000000001</v>
      </c>
      <c r="H3389">
        <v>1.0005839999999999</v>
      </c>
      <c r="I3389">
        <v>212.20060000000001</v>
      </c>
      <c r="J3389">
        <v>-220.86879999999999</v>
      </c>
      <c r="K3389">
        <v>1.1126640000000001</v>
      </c>
      <c r="L3389">
        <v>212.32089999999999</v>
      </c>
      <c r="M3389">
        <v>0.99974410000000002</v>
      </c>
      <c r="N3389">
        <v>0</v>
      </c>
      <c r="O3389">
        <v>-1.716941E-2</v>
      </c>
      <c r="P3389">
        <v>0.98415589999999997</v>
      </c>
      <c r="Q3389">
        <v>7.4371670000000001E-2</v>
      </c>
      <c r="R3389">
        <v>-0.1609545</v>
      </c>
      <c r="S3389">
        <v>3.0072329999999998</v>
      </c>
      <c r="T3389">
        <v>-0.39460830000000002</v>
      </c>
      <c r="U3389">
        <v>-0.43858340000000001</v>
      </c>
      <c r="V3389">
        <v>0.1435121</v>
      </c>
      <c r="W3389">
        <v>8.9745080000000005E-2</v>
      </c>
      <c r="X3389">
        <v>0.98557099999999997</v>
      </c>
      <c r="Y3389">
        <v>0.126387</v>
      </c>
      <c r="Z3389">
        <v>-5.982785E-3</v>
      </c>
      <c r="AA3389">
        <v>0.99196300000000004</v>
      </c>
      <c r="AB3389">
        <v>35</v>
      </c>
      <c r="AC3389">
        <v>0.50459999999998195</v>
      </c>
      <c r="AD3389">
        <v>-0.112079999999999</v>
      </c>
      <c r="AE3389">
        <v>-0.120299999999986</v>
      </c>
      <c r="AF3389">
        <v>0.10663945056866</v>
      </c>
      <c r="AG3389">
        <v>-0.112079999999999</v>
      </c>
      <c r="AH3389">
        <v>0.483997145191707</v>
      </c>
      <c r="AI3389">
        <v>102.742943044162</v>
      </c>
      <c r="AJ3389">
        <v>77.574507400343194</v>
      </c>
      <c r="AK3389">
        <v>0.50812118177783905</v>
      </c>
      <c r="AL3389">
        <v>84.851058348959697</v>
      </c>
      <c r="AM3389">
        <v>81.7152081593959</v>
      </c>
      <c r="AN3389">
        <v>1.0000000491358001</v>
      </c>
    </row>
    <row r="3390" spans="1:40" x14ac:dyDescent="0.25">
      <c r="A3390" t="str">
        <f>"20190312151339480"</f>
        <v>20190312151339480</v>
      </c>
      <c r="B3390" t="str">
        <f>"1552374819473489"</f>
        <v>1552374819473489</v>
      </c>
      <c r="C3390" t="s">
        <v>40</v>
      </c>
      <c r="D3390">
        <v>4.8263400000000001</v>
      </c>
      <c r="E3390">
        <v>0.49449589999999999</v>
      </c>
      <c r="F3390" t="s">
        <v>41</v>
      </c>
      <c r="G3390">
        <v>-220.04859999999999</v>
      </c>
      <c r="H3390">
        <v>1.004712</v>
      </c>
      <c r="I3390">
        <v>212.1996</v>
      </c>
      <c r="J3390">
        <v>-220.53190000000001</v>
      </c>
      <c r="K3390">
        <v>1.112579</v>
      </c>
      <c r="L3390">
        <v>212.31739999999999</v>
      </c>
      <c r="M3390">
        <v>0.99978069999999997</v>
      </c>
      <c r="N3390">
        <v>0</v>
      </c>
      <c r="O3390">
        <v>-1.488721E-2</v>
      </c>
      <c r="P3390">
        <v>0.9843769</v>
      </c>
      <c r="Q3390">
        <v>7.2379669999999993E-2</v>
      </c>
      <c r="R3390">
        <v>-0.16050980000000001</v>
      </c>
      <c r="S3390">
        <v>3.0056609999999999</v>
      </c>
      <c r="T3390">
        <v>-0.39588139999999999</v>
      </c>
      <c r="U3390">
        <v>-0.443573</v>
      </c>
      <c r="V3390">
        <v>0.1453438</v>
      </c>
      <c r="W3390">
        <v>8.7730790000000003E-2</v>
      </c>
      <c r="X3390">
        <v>0.98548389999999997</v>
      </c>
      <c r="Y3390">
        <v>0.13027749999999999</v>
      </c>
      <c r="Z3390">
        <v>-6.55559E-3</v>
      </c>
      <c r="AA3390">
        <v>0.99145589999999995</v>
      </c>
      <c r="AB3390">
        <v>35</v>
      </c>
      <c r="AC3390">
        <v>0.483300000000014</v>
      </c>
      <c r="AD3390">
        <v>-0.10786699999999901</v>
      </c>
      <c r="AE3390">
        <v>-0.117799999999988</v>
      </c>
      <c r="AF3390">
        <v>0.10562473210018</v>
      </c>
      <c r="AG3390">
        <v>-0.10786699999999901</v>
      </c>
      <c r="AH3390">
        <v>0.46321988092348398</v>
      </c>
      <c r="AI3390">
        <v>102.791367030415</v>
      </c>
      <c r="AJ3390">
        <v>77.154870920041006</v>
      </c>
      <c r="AK3390">
        <v>0.48720070997793302</v>
      </c>
      <c r="AL3390">
        <v>84.966925600068706</v>
      </c>
      <c r="AM3390">
        <v>81.6102307970895</v>
      </c>
      <c r="AN3390">
        <v>1.0000000144358301</v>
      </c>
    </row>
    <row r="3391" spans="1:40" x14ac:dyDescent="0.25">
      <c r="A3391" t="str">
        <f>"20190312151339501"</f>
        <v>20190312151339501</v>
      </c>
      <c r="B3391" t="str">
        <f>"1552374819493985"</f>
        <v>1552374819493985</v>
      </c>
      <c r="C3391" t="s">
        <v>40</v>
      </c>
      <c r="D3391">
        <v>4.8575220000000003</v>
      </c>
      <c r="E3391">
        <v>0.49505270000000001</v>
      </c>
      <c r="F3391" t="s">
        <v>41</v>
      </c>
      <c r="G3391">
        <v>-219.73429999999999</v>
      </c>
      <c r="H3391">
        <v>1.006683</v>
      </c>
      <c r="I3391">
        <v>212.1985</v>
      </c>
      <c r="J3391">
        <v>-220.18979999999999</v>
      </c>
      <c r="K3391">
        <v>1.1124689999999999</v>
      </c>
      <c r="L3391">
        <v>212.31450000000001</v>
      </c>
      <c r="M3391">
        <v>0.99981109999999895</v>
      </c>
      <c r="N3391">
        <v>0</v>
      </c>
      <c r="O3391">
        <v>-1.2686340000000001E-2</v>
      </c>
      <c r="P3391">
        <v>0.98457459999999997</v>
      </c>
      <c r="Q3391">
        <v>7.0666430000000002E-2</v>
      </c>
      <c r="R3391">
        <v>-0.16006020000000001</v>
      </c>
      <c r="S3391">
        <v>3.003952</v>
      </c>
      <c r="T3391">
        <v>-0.3988198</v>
      </c>
      <c r="U3391">
        <v>-0.44772339999999999</v>
      </c>
      <c r="V3391">
        <v>0.14709330000000001</v>
      </c>
      <c r="W3391">
        <v>8.5985049999999993E-2</v>
      </c>
      <c r="X3391">
        <v>0.98537810000000003</v>
      </c>
      <c r="Y3391">
        <v>0.13381609999999999</v>
      </c>
      <c r="Z3391">
        <v>-7.1286819999999999E-3</v>
      </c>
      <c r="AA3391">
        <v>0.99098059999999999</v>
      </c>
      <c r="AB3391">
        <v>35</v>
      </c>
      <c r="AC3391">
        <v>0.45550000000000002</v>
      </c>
      <c r="AD3391">
        <v>-0.10578600000000001</v>
      </c>
      <c r="AE3391">
        <v>-0.116000000000013</v>
      </c>
      <c r="AF3391">
        <v>0.104898193082826</v>
      </c>
      <c r="AG3391">
        <v>-0.10578600000000001</v>
      </c>
      <c r="AH3391">
        <v>0.43490658676852301</v>
      </c>
      <c r="AI3391">
        <v>103.303668329616</v>
      </c>
      <c r="AJ3391">
        <v>76.439432923250195</v>
      </c>
      <c r="AK3391">
        <v>0.45971518130543498</v>
      </c>
      <c r="AL3391">
        <v>85.067328199423898</v>
      </c>
      <c r="AM3391">
        <v>81.509808098368694</v>
      </c>
      <c r="AN3391">
        <v>0.99999993384399899</v>
      </c>
    </row>
    <row r="3392" spans="1:40" x14ac:dyDescent="0.25">
      <c r="A3392" t="str">
        <f>"20190312151339524"</f>
        <v>20190312151339524</v>
      </c>
      <c r="B3392" t="str">
        <f>"1552374819513505"</f>
        <v>1552374819513505</v>
      </c>
      <c r="C3392" t="s">
        <v>40</v>
      </c>
      <c r="D3392">
        <v>4.8687820000000004</v>
      </c>
      <c r="E3392">
        <v>0.49557639999999997</v>
      </c>
      <c r="F3392" t="s">
        <v>41</v>
      </c>
      <c r="G3392">
        <v>-219.41990000000001</v>
      </c>
      <c r="H3392">
        <v>1.009544</v>
      </c>
      <c r="I3392">
        <v>212.1986</v>
      </c>
      <c r="J3392">
        <v>-219.8389</v>
      </c>
      <c r="K3392">
        <v>1.1123449999999999</v>
      </c>
      <c r="L3392">
        <v>212.31219999999999</v>
      </c>
      <c r="M3392">
        <v>0.99983569999999999</v>
      </c>
      <c r="N3392">
        <v>0</v>
      </c>
      <c r="O3392">
        <v>-1.0568070000000001E-2</v>
      </c>
      <c r="P3392">
        <v>0.98483259999999995</v>
      </c>
      <c r="Q3392">
        <v>6.8514969999999994E-2</v>
      </c>
      <c r="R3392">
        <v>-0.15940670000000001</v>
      </c>
      <c r="S3392">
        <v>3.0024869999999999</v>
      </c>
      <c r="T3392">
        <v>-0.4015514</v>
      </c>
      <c r="U3392">
        <v>-0.45114140000000003</v>
      </c>
      <c r="V3392">
        <v>0.14856229999999901</v>
      </c>
      <c r="W3392">
        <v>8.3792859999999997E-2</v>
      </c>
      <c r="X3392">
        <v>0.98534659999999996</v>
      </c>
      <c r="Y3392">
        <v>0.13702700000000001</v>
      </c>
      <c r="Z3392">
        <v>-7.6728969999999997E-3</v>
      </c>
      <c r="AA3392">
        <v>0.99053760000000002</v>
      </c>
      <c r="AB3392">
        <v>35</v>
      </c>
      <c r="AC3392">
        <v>0.418999999999982</v>
      </c>
      <c r="AD3392">
        <v>-0.102801</v>
      </c>
      <c r="AE3392">
        <v>-0.113599999999991</v>
      </c>
      <c r="AF3392">
        <v>0.103368845599137</v>
      </c>
      <c r="AG3392">
        <v>-0.102801</v>
      </c>
      <c r="AH3392">
        <v>0.39786724045836702</v>
      </c>
      <c r="AI3392">
        <v>104.040441927546</v>
      </c>
      <c r="AJ3392">
        <v>75.436121748848805</v>
      </c>
      <c r="AK3392">
        <v>0.42373518248011299</v>
      </c>
      <c r="AL3392">
        <v>85.193386618316893</v>
      </c>
      <c r="AM3392">
        <v>81.426001750095395</v>
      </c>
      <c r="AN3392">
        <v>0.99999996124991397</v>
      </c>
    </row>
    <row r="3393" spans="1:40" x14ac:dyDescent="0.25">
      <c r="A3393" t="str">
        <f>"20190312151339551"</f>
        <v>20190312151339551</v>
      </c>
      <c r="B3393" t="str">
        <f>"1552374819543761"</f>
        <v>1552374819543761</v>
      </c>
      <c r="C3393" t="s">
        <v>40</v>
      </c>
      <c r="D3393">
        <v>4.8543520000000004</v>
      </c>
      <c r="E3393">
        <v>0.4961914</v>
      </c>
      <c r="F3393" t="s">
        <v>41</v>
      </c>
      <c r="G3393">
        <v>-219.1053</v>
      </c>
      <c r="H3393">
        <v>1.0133460000000001</v>
      </c>
      <c r="I3393">
        <v>212.2012</v>
      </c>
      <c r="J3393">
        <v>-219.4359</v>
      </c>
      <c r="K3393">
        <v>1.112195</v>
      </c>
      <c r="L3393">
        <v>212.31020000000001</v>
      </c>
      <c r="M3393">
        <v>0.999857</v>
      </c>
      <c r="N3393">
        <v>0</v>
      </c>
      <c r="O3393">
        <v>-8.3342999999999993E-3</v>
      </c>
      <c r="P3393">
        <v>0.98505200000000004</v>
      </c>
      <c r="Q3393">
        <v>6.7197270000000003E-2</v>
      </c>
      <c r="R3393">
        <v>-0.1586099</v>
      </c>
      <c r="S3393">
        <v>3.0009459999999999</v>
      </c>
      <c r="T3393">
        <v>-0.40500510000000001</v>
      </c>
      <c r="U3393">
        <v>-0.45364379999999999</v>
      </c>
      <c r="V3393">
        <v>0.15000260000000001</v>
      </c>
      <c r="W3393">
        <v>8.2421460000000002E-2</v>
      </c>
      <c r="X3393">
        <v>0.98524409999999896</v>
      </c>
      <c r="Y3393">
        <v>0.14005479999999901</v>
      </c>
      <c r="Z3393">
        <v>-8.2423440000000004E-3</v>
      </c>
      <c r="AA3393">
        <v>0.99010940000000003</v>
      </c>
      <c r="AB3393">
        <v>35</v>
      </c>
      <c r="AC3393">
        <v>0.330600000000003</v>
      </c>
      <c r="AD3393">
        <v>-9.8849000000000201E-2</v>
      </c>
      <c r="AE3393">
        <v>-0.10900000000000799</v>
      </c>
      <c r="AF3393">
        <v>9.8313126102449799E-2</v>
      </c>
      <c r="AG3393">
        <v>-9.8849000000000201E-2</v>
      </c>
      <c r="AH3393">
        <v>0.30676137823571797</v>
      </c>
      <c r="AI3393">
        <v>107.05916455197099</v>
      </c>
      <c r="AJ3393">
        <v>72.230005144773799</v>
      </c>
      <c r="AK3393">
        <v>0.33695569255038998</v>
      </c>
      <c r="AL3393">
        <v>85.272235041922698</v>
      </c>
      <c r="AM3393">
        <v>81.343243740060799</v>
      </c>
      <c r="AN3393">
        <v>1.0000000068300501</v>
      </c>
    </row>
    <row r="3394" spans="1:40" x14ac:dyDescent="0.25">
      <c r="A3394" t="str">
        <f>"20190312151339591"</f>
        <v>20190312151339591</v>
      </c>
      <c r="B3394" t="str">
        <f>"1552374819583781"</f>
        <v>1552374819583781</v>
      </c>
      <c r="C3394" t="s">
        <v>40</v>
      </c>
      <c r="D3394">
        <v>4.7903180000000001</v>
      </c>
      <c r="E3394">
        <v>0.49785299999999999</v>
      </c>
      <c r="F3394" t="s">
        <v>41</v>
      </c>
      <c r="G3394">
        <v>-218.49440000000001</v>
      </c>
      <c r="H3394">
        <v>0.98450329999999997</v>
      </c>
      <c r="I3394">
        <v>212.1669</v>
      </c>
      <c r="J3394">
        <v>-218.80670000000001</v>
      </c>
      <c r="K3394">
        <v>1.1119859999999999</v>
      </c>
      <c r="L3394">
        <v>212.30860000000001</v>
      </c>
      <c r="M3394">
        <v>0.99987839999999995</v>
      </c>
      <c r="N3394">
        <v>0</v>
      </c>
      <c r="O3394">
        <v>-5.1888460000000004E-3</v>
      </c>
      <c r="P3394">
        <v>0.98491249999999997</v>
      </c>
      <c r="Q3394">
        <v>6.7439869999999999E-2</v>
      </c>
      <c r="R3394">
        <v>-0.15937089999999901</v>
      </c>
      <c r="S3394">
        <v>2.9998170000000002</v>
      </c>
      <c r="T3394">
        <v>-0.4069295</v>
      </c>
      <c r="U3394">
        <v>-0.45634459999999999</v>
      </c>
      <c r="V3394">
        <v>0.1539065</v>
      </c>
      <c r="W3394">
        <v>8.258588E-2</v>
      </c>
      <c r="X3394">
        <v>0.98462799999999995</v>
      </c>
      <c r="Y3394">
        <v>0.14401889999999901</v>
      </c>
      <c r="Z3394">
        <v>-8.9720700000000004E-3</v>
      </c>
      <c r="AA3394">
        <v>0.98953429999999998</v>
      </c>
      <c r="AB3394">
        <v>35</v>
      </c>
      <c r="AC3394">
        <v>0.31229999999999303</v>
      </c>
      <c r="AD3394">
        <v>-0.1274827</v>
      </c>
      <c r="AE3394">
        <v>-0.14170000000001401</v>
      </c>
      <c r="AF3394">
        <v>0.12307100323865899</v>
      </c>
      <c r="AG3394">
        <v>-0.1274827</v>
      </c>
      <c r="AH3394">
        <v>0.27502683979062698</v>
      </c>
      <c r="AI3394">
        <v>112.93313791663</v>
      </c>
      <c r="AJ3394">
        <v>65.892092909913799</v>
      </c>
      <c r="AK3394">
        <v>0.32716673614944303</v>
      </c>
      <c r="AL3394">
        <v>85.262782060355207</v>
      </c>
      <c r="AM3394">
        <v>81.116024976505599</v>
      </c>
      <c r="AN3394">
        <v>0.99999996835081095</v>
      </c>
    </row>
    <row r="3395" spans="1:40" x14ac:dyDescent="0.25">
      <c r="A3395" t="str">
        <f>"20190312151339615"</f>
        <v>20190312151339615</v>
      </c>
      <c r="B3395" t="str">
        <f>"1552374819603298"</f>
        <v>1552374819603298</v>
      </c>
      <c r="C3395" t="s">
        <v>40</v>
      </c>
      <c r="D3395">
        <v>4.7826659999999999</v>
      </c>
      <c r="E3395">
        <v>0.4981816</v>
      </c>
      <c r="F3395" t="s">
        <v>41</v>
      </c>
      <c r="G3395">
        <v>-217.8698</v>
      </c>
      <c r="H3395">
        <v>0.98698509999999995</v>
      </c>
      <c r="I3395">
        <v>212.16130000000001</v>
      </c>
      <c r="J3395">
        <v>-218.429</v>
      </c>
      <c r="K3395">
        <v>1.1119019999999999</v>
      </c>
      <c r="L3395">
        <v>212.30850000000001</v>
      </c>
      <c r="M3395">
        <v>0.9998861</v>
      </c>
      <c r="N3395">
        <v>0</v>
      </c>
      <c r="O3395">
        <v>-3.4587369999999999E-3</v>
      </c>
      <c r="P3395">
        <v>0.98482130000000001</v>
      </c>
      <c r="Q3395">
        <v>6.7968130000000002E-2</v>
      </c>
      <c r="R3395">
        <v>-0.15971109999999999</v>
      </c>
      <c r="S3395">
        <v>2.9970859999999999</v>
      </c>
      <c r="T3395">
        <v>-0.39992870000000003</v>
      </c>
      <c r="U3395">
        <v>-0.47111510000000001</v>
      </c>
      <c r="V3395">
        <v>0.15596949999999901</v>
      </c>
      <c r="W3395">
        <v>8.3074399999999896E-2</v>
      </c>
      <c r="X3395">
        <v>0.98426219999999998</v>
      </c>
      <c r="Y3395">
        <v>0.15059359999999999</v>
      </c>
      <c r="Z3395">
        <v>-9.4862149999999992E-3</v>
      </c>
      <c r="AA3395">
        <v>0.98855020000000005</v>
      </c>
      <c r="AB3395">
        <v>35</v>
      </c>
      <c r="AC3395">
        <v>0.55920000000000403</v>
      </c>
      <c r="AD3395">
        <v>-0.124916899999999</v>
      </c>
      <c r="AE3395">
        <v>-0.147199999999998</v>
      </c>
      <c r="AF3395">
        <v>0.13878793850638799</v>
      </c>
      <c r="AG3395">
        <v>-0.124916899999999</v>
      </c>
      <c r="AH3395">
        <v>0.534750518866138</v>
      </c>
      <c r="AI3395">
        <v>102.740754880438</v>
      </c>
      <c r="AJ3395">
        <v>75.450595349917094</v>
      </c>
      <c r="AK3395">
        <v>0.56641366615581101</v>
      </c>
      <c r="AL3395">
        <v>85.234695368484296</v>
      </c>
      <c r="AM3395">
        <v>80.995588679900095</v>
      </c>
      <c r="AN3395">
        <v>0.99999995960722399</v>
      </c>
    </row>
    <row r="3396" spans="1:40" x14ac:dyDescent="0.25">
      <c r="A3396" t="str">
        <f>"20190312151339636"</f>
        <v>20190312151339636</v>
      </c>
      <c r="B3396" t="str">
        <f>"1552374819633554"</f>
        <v>1552374819633554</v>
      </c>
      <c r="C3396" t="s">
        <v>40</v>
      </c>
      <c r="D3396">
        <v>4.773104</v>
      </c>
      <c r="E3396">
        <v>0.51258649999999994</v>
      </c>
      <c r="F3396" t="s">
        <v>41</v>
      </c>
      <c r="G3396">
        <v>-217.55459999999999</v>
      </c>
      <c r="H3396">
        <v>0.99603889999999995</v>
      </c>
      <c r="I3396">
        <v>212.17</v>
      </c>
      <c r="J3396">
        <v>-218.09440000000001</v>
      </c>
      <c r="K3396">
        <v>1.1118380000000001</v>
      </c>
      <c r="L3396">
        <v>212.30879999999999</v>
      </c>
      <c r="M3396">
        <v>0.9998901</v>
      </c>
      <c r="N3396">
        <v>0</v>
      </c>
      <c r="O3396">
        <v>-1.9936530000000002E-3</v>
      </c>
      <c r="P3396">
        <v>0.98452870000000003</v>
      </c>
      <c r="Q3396">
        <v>6.8897910000000007E-2</v>
      </c>
      <c r="R3396">
        <v>-0.1611099</v>
      </c>
      <c r="S3396">
        <v>2.9967800000000002</v>
      </c>
      <c r="T3396">
        <v>-0.39719369999999998</v>
      </c>
      <c r="U3396">
        <v>-0.47402949999999999</v>
      </c>
      <c r="V3396">
        <v>0.1588232</v>
      </c>
      <c r="W3396">
        <v>8.3975789999999995E-2</v>
      </c>
      <c r="X3396">
        <v>0.98372919999999997</v>
      </c>
      <c r="Y3396">
        <v>0.15297920000000001</v>
      </c>
      <c r="Z3396">
        <v>-9.7707430000000001E-3</v>
      </c>
      <c r="AA3396">
        <v>0.98818110000000003</v>
      </c>
      <c r="AB3396">
        <v>35</v>
      </c>
      <c r="AC3396">
        <v>0.53980000000001305</v>
      </c>
      <c r="AD3396">
        <v>-0.115799099999999</v>
      </c>
      <c r="AE3396">
        <v>-0.138800000000003</v>
      </c>
      <c r="AF3396">
        <v>0.13202449199740801</v>
      </c>
      <c r="AG3396">
        <v>-0.115799099999999</v>
      </c>
      <c r="AH3396">
        <v>0.51772755476449905</v>
      </c>
      <c r="AI3396">
        <v>102.228702687338</v>
      </c>
      <c r="AJ3396">
        <v>75.694036091665595</v>
      </c>
      <c r="AK3396">
        <v>0.54670075819447295</v>
      </c>
      <c r="AL3396">
        <v>85.182868329622195</v>
      </c>
      <c r="AM3396">
        <v>80.828729455450002</v>
      </c>
      <c r="AN3396">
        <v>0.99999994054850005</v>
      </c>
    </row>
    <row r="3397" spans="1:40" x14ac:dyDescent="0.25">
      <c r="A3397" t="str">
        <f>"20190312151339657"</f>
        <v>20190312151339657</v>
      </c>
      <c r="B3397" t="str">
        <f>"1552374819654050"</f>
        <v>1552374819654050</v>
      </c>
      <c r="C3397" t="s">
        <v>40</v>
      </c>
      <c r="D3397">
        <v>4.7307540000000001</v>
      </c>
      <c r="E3397">
        <v>0.51277910000000004</v>
      </c>
      <c r="F3397" t="s">
        <v>41</v>
      </c>
      <c r="G3397">
        <v>-217.2337</v>
      </c>
      <c r="H3397">
        <v>1.013998</v>
      </c>
      <c r="I3397">
        <v>212.1378</v>
      </c>
      <c r="J3397">
        <v>-217.75649999999999</v>
      </c>
      <c r="K3397">
        <v>1.111775</v>
      </c>
      <c r="L3397">
        <v>212.30959999999999</v>
      </c>
      <c r="M3397">
        <v>0.999892</v>
      </c>
      <c r="N3397">
        <v>0</v>
      </c>
      <c r="O3397">
        <v>-5.6266589999999896E-4</v>
      </c>
      <c r="P3397">
        <v>0.98428519999999997</v>
      </c>
      <c r="Q3397">
        <v>6.9624340000000007E-2</v>
      </c>
      <c r="R3397">
        <v>-0.16228129999999999</v>
      </c>
      <c r="S3397">
        <v>2.9741970000000002</v>
      </c>
      <c r="T3397">
        <v>-0.33819250000000001</v>
      </c>
      <c r="U3397">
        <v>-0.59042359999999905</v>
      </c>
      <c r="V3397">
        <v>0.16141340000000001</v>
      </c>
      <c r="W3397">
        <v>8.4676619999999994E-2</v>
      </c>
      <c r="X3397">
        <v>0.98324750000000005</v>
      </c>
      <c r="Y3397">
        <v>0.19297059999999999</v>
      </c>
      <c r="Z3397">
        <v>-1.0768150000000001E-2</v>
      </c>
      <c r="AA3397">
        <v>0.98114539999999995</v>
      </c>
      <c r="AB3397">
        <v>35</v>
      </c>
      <c r="AC3397">
        <v>0.52279999999998905</v>
      </c>
      <c r="AD3397">
        <v>-9.7777000000000003E-2</v>
      </c>
      <c r="AE3397">
        <v>-0.17179999999998999</v>
      </c>
      <c r="AF3397">
        <v>0.16625713052841101</v>
      </c>
      <c r="AG3397">
        <v>-9.7777000000000003E-2</v>
      </c>
      <c r="AH3397">
        <v>0.50689421405071899</v>
      </c>
      <c r="AI3397">
        <v>100.386299546302</v>
      </c>
      <c r="AJ3397">
        <v>71.840935269525602</v>
      </c>
      <c r="AK3397">
        <v>0.54234999715924903</v>
      </c>
      <c r="AL3397">
        <v>85.142570631651296</v>
      </c>
      <c r="AM3397">
        <v>80.677276045499198</v>
      </c>
      <c r="AN3397">
        <v>1.00000003096521</v>
      </c>
    </row>
    <row r="3398" spans="1:40" x14ac:dyDescent="0.25">
      <c r="A3398" t="str">
        <f>"20190312151339681"</f>
        <v>20190312151339681</v>
      </c>
      <c r="B3398" t="str">
        <f>"1552374819673569"</f>
        <v>1552374819673569</v>
      </c>
      <c r="C3398" t="s">
        <v>40</v>
      </c>
      <c r="D3398">
        <v>4.813288</v>
      </c>
      <c r="E3398">
        <v>0.51288679999999998</v>
      </c>
      <c r="F3398" t="s">
        <v>41</v>
      </c>
      <c r="G3398">
        <v>-216.9213</v>
      </c>
      <c r="H3398">
        <v>1.0172110000000001</v>
      </c>
      <c r="I3398">
        <v>212.14230000000001</v>
      </c>
      <c r="J3398">
        <v>-217.40280000000001</v>
      </c>
      <c r="K3398">
        <v>1.1117159999999999</v>
      </c>
      <c r="L3398">
        <v>212.31100000000001</v>
      </c>
      <c r="M3398">
        <v>0.9998918</v>
      </c>
      <c r="N3398">
        <v>0</v>
      </c>
      <c r="O3398">
        <v>8.9601779999999998E-4</v>
      </c>
      <c r="P3398">
        <v>0.98416139999999996</v>
      </c>
      <c r="Q3398">
        <v>6.9622989999999996E-2</v>
      </c>
      <c r="R3398">
        <v>-0.16303049999999999</v>
      </c>
      <c r="S3398">
        <v>2.9735719999999999</v>
      </c>
      <c r="T3398">
        <v>-0.33676240000000002</v>
      </c>
      <c r="U3398">
        <v>-0.59529109999999996</v>
      </c>
      <c r="V3398">
        <v>0.16361010000000001</v>
      </c>
      <c r="W3398">
        <v>8.465048E-2</v>
      </c>
      <c r="X3398">
        <v>0.98288660000000005</v>
      </c>
      <c r="Y3398">
        <v>0.19596749999999999</v>
      </c>
      <c r="Z3398">
        <v>-1.105401E-2</v>
      </c>
      <c r="AA3398">
        <v>0.98054810000000003</v>
      </c>
      <c r="AB3398">
        <v>35</v>
      </c>
      <c r="AC3398">
        <v>0.48150000000001097</v>
      </c>
      <c r="AD3398">
        <v>-9.4504999999999797E-2</v>
      </c>
      <c r="AE3398">
        <v>-0.16869999999997201</v>
      </c>
      <c r="AF3398">
        <v>0.16352086263417401</v>
      </c>
      <c r="AG3398">
        <v>-9.4504999999999797E-2</v>
      </c>
      <c r="AH3398">
        <v>0.46538098945158202</v>
      </c>
      <c r="AI3398">
        <v>100.845729791995</v>
      </c>
      <c r="AJ3398">
        <v>70.640060845935295</v>
      </c>
      <c r="AK3398">
        <v>0.50224469423236096</v>
      </c>
      <c r="AL3398">
        <v>85.144073679483299</v>
      </c>
      <c r="AM3398">
        <v>80.549267536155796</v>
      </c>
      <c r="AN3398">
        <v>1.0000000185229001</v>
      </c>
    </row>
    <row r="3399" spans="1:40" x14ac:dyDescent="0.25">
      <c r="A3399" t="str">
        <f>"20190312151339702"</f>
        <v>20190312151339702</v>
      </c>
      <c r="B3399" t="str">
        <f>"1552374819694066"</f>
        <v>1552374819694066</v>
      </c>
      <c r="C3399" t="s">
        <v>40</v>
      </c>
      <c r="D3399">
        <v>4.7093290000000003</v>
      </c>
      <c r="E3399">
        <v>0.51622879999999904</v>
      </c>
      <c r="F3399" t="s">
        <v>41</v>
      </c>
      <c r="G3399">
        <v>-216.60929999999999</v>
      </c>
      <c r="H3399">
        <v>1.0216149999999999</v>
      </c>
      <c r="I3399">
        <v>212.15119999999999</v>
      </c>
      <c r="J3399">
        <v>-217.06620000000001</v>
      </c>
      <c r="K3399">
        <v>1.1116649999999999</v>
      </c>
      <c r="L3399">
        <v>212.31270000000001</v>
      </c>
      <c r="M3399">
        <v>0.9998899</v>
      </c>
      <c r="N3399">
        <v>0</v>
      </c>
      <c r="O3399">
        <v>2.2498430000000001E-3</v>
      </c>
      <c r="P3399">
        <v>0.98397650000000003</v>
      </c>
      <c r="Q3399">
        <v>6.944641E-2</v>
      </c>
      <c r="R3399">
        <v>-0.16421820000000001</v>
      </c>
      <c r="S3399">
        <v>2.9730379999999998</v>
      </c>
      <c r="T3399">
        <v>-0.3376461</v>
      </c>
      <c r="U3399">
        <v>-0.59835819999999995</v>
      </c>
      <c r="V3399">
        <v>0.1661407</v>
      </c>
      <c r="W3399">
        <v>8.4450460000000005E-2</v>
      </c>
      <c r="X3399">
        <v>0.9824792</v>
      </c>
      <c r="Y3399">
        <v>0.19827139999999999</v>
      </c>
      <c r="Z3399">
        <v>-1.1364580000000001E-2</v>
      </c>
      <c r="AA3399">
        <v>0.98008130000000004</v>
      </c>
      <c r="AB3399">
        <v>35</v>
      </c>
      <c r="AC3399">
        <v>0.45690000000001801</v>
      </c>
      <c r="AD3399">
        <v>-9.0049999999999894E-2</v>
      </c>
      <c r="AE3399">
        <v>-0.16150000000001699</v>
      </c>
      <c r="AF3399">
        <v>0.15710290371269101</v>
      </c>
      <c r="AG3399">
        <v>-9.0049999999999894E-2</v>
      </c>
      <c r="AH3399">
        <v>0.44129748602900298</v>
      </c>
      <c r="AI3399">
        <v>100.881716164526</v>
      </c>
      <c r="AJ3399">
        <v>70.404155422565097</v>
      </c>
      <c r="AK3399">
        <v>0.47700502725912403</v>
      </c>
      <c r="AL3399">
        <v>85.155575053424499</v>
      </c>
      <c r="AM3399">
        <v>80.401883340152693</v>
      </c>
      <c r="AN3399">
        <v>0.99999999541166995</v>
      </c>
    </row>
    <row r="3400" spans="1:40" x14ac:dyDescent="0.25">
      <c r="A3400" t="str">
        <f>"20190312151339727"</f>
        <v>20190312151339727</v>
      </c>
      <c r="B3400" t="str">
        <f>"1552374819723346"</f>
        <v>1552374819723346</v>
      </c>
      <c r="C3400" t="s">
        <v>40</v>
      </c>
      <c r="D3400">
        <v>4.7055089999999904</v>
      </c>
      <c r="E3400">
        <v>0.51643450000000002</v>
      </c>
      <c r="F3400" t="s">
        <v>41</v>
      </c>
      <c r="G3400">
        <v>-216.3065</v>
      </c>
      <c r="H3400">
        <v>1.009233</v>
      </c>
      <c r="I3400">
        <v>212.15180000000001</v>
      </c>
      <c r="J3400">
        <v>-216.69640000000001</v>
      </c>
      <c r="K3400">
        <v>1.111591</v>
      </c>
      <c r="L3400">
        <v>212.315</v>
      </c>
      <c r="M3400">
        <v>0.99988560000000004</v>
      </c>
      <c r="N3400">
        <v>0</v>
      </c>
      <c r="O3400">
        <v>3.6864799999999998E-3</v>
      </c>
      <c r="P3400">
        <v>0.98389269999999995</v>
      </c>
      <c r="Q3400">
        <v>6.8127809999999997E-2</v>
      </c>
      <c r="R3400">
        <v>-0.1652691</v>
      </c>
      <c r="S3400">
        <v>2.972229</v>
      </c>
      <c r="T3400">
        <v>-0.40092499999999998</v>
      </c>
      <c r="U3400">
        <v>-0.62884519999999899</v>
      </c>
      <c r="V3400">
        <v>0.16862170000000001</v>
      </c>
      <c r="W3400">
        <v>8.3104330000000004E-2</v>
      </c>
      <c r="X3400">
        <v>0.98217120000000002</v>
      </c>
      <c r="Y3400">
        <v>0.20875479999999999</v>
      </c>
      <c r="Z3400">
        <v>-1.435439E-2</v>
      </c>
      <c r="AA3400">
        <v>0.97786269999999997</v>
      </c>
      <c r="AB3400">
        <v>35</v>
      </c>
      <c r="AC3400">
        <v>0.38990000000001102</v>
      </c>
      <c r="AD3400">
        <v>-0.10235799999999901</v>
      </c>
      <c r="AE3400">
        <v>-0.16319999999998899</v>
      </c>
      <c r="AF3400">
        <v>0.155516270410515</v>
      </c>
      <c r="AG3400">
        <v>-0.10235799999999901</v>
      </c>
      <c r="AH3400">
        <v>0.367730382597933</v>
      </c>
      <c r="AI3400">
        <v>104.379088172428</v>
      </c>
      <c r="AJ3400">
        <v>67.076089449280204</v>
      </c>
      <c r="AK3400">
        <v>0.41217484737914201</v>
      </c>
      <c r="AL3400">
        <v>85.232974446085393</v>
      </c>
      <c r="AM3400">
        <v>80.258283100770797</v>
      </c>
      <c r="AN3400">
        <v>0.99999993674253695</v>
      </c>
    </row>
    <row r="3401" spans="1:40" x14ac:dyDescent="0.25">
      <c r="A3401" t="str">
        <f>"20190312151339750"</f>
        <v>20190312151339750</v>
      </c>
      <c r="B3401" t="str">
        <f>"1552374819743842"</f>
        <v>1552374819743842</v>
      </c>
      <c r="C3401" t="s">
        <v>40</v>
      </c>
      <c r="D3401">
        <v>4.6895740000000004</v>
      </c>
      <c r="E3401">
        <v>0.51654849999999997</v>
      </c>
      <c r="F3401" t="s">
        <v>41</v>
      </c>
      <c r="G3401">
        <v>-215.69980000000001</v>
      </c>
      <c r="H3401">
        <v>0.97316190000000002</v>
      </c>
      <c r="I3401">
        <v>212.10220000000001</v>
      </c>
      <c r="J3401">
        <v>-216.3235</v>
      </c>
      <c r="K3401">
        <v>1.1115109999999999</v>
      </c>
      <c r="L3401">
        <v>212.31790000000001</v>
      </c>
      <c r="M3401">
        <v>0.99987969999999904</v>
      </c>
      <c r="N3401">
        <v>0</v>
      </c>
      <c r="O3401">
        <v>5.054991E-3</v>
      </c>
      <c r="P3401">
        <v>0.98402310000000004</v>
      </c>
      <c r="Q3401">
        <v>6.5826590000000004E-2</v>
      </c>
      <c r="R3401">
        <v>-0.16542470000000001</v>
      </c>
      <c r="S3401">
        <v>2.9712369999999999</v>
      </c>
      <c r="T3401">
        <v>-0.41283920000000002</v>
      </c>
      <c r="U3401">
        <v>-0.63377380000000005</v>
      </c>
      <c r="V3401">
        <v>0.1701463</v>
      </c>
      <c r="W3401">
        <v>8.0770460000000002E-2</v>
      </c>
      <c r="X3401">
        <v>0.98210299999999995</v>
      </c>
      <c r="Y3401">
        <v>0.21156040000000001</v>
      </c>
      <c r="Z3401">
        <v>-1.515846E-2</v>
      </c>
      <c r="AA3401">
        <v>0.97724739999999999</v>
      </c>
      <c r="AB3401">
        <v>35</v>
      </c>
      <c r="AC3401">
        <v>0.62369999999998504</v>
      </c>
      <c r="AD3401">
        <v>-0.1383491</v>
      </c>
      <c r="AE3401">
        <v>-0.215699999999998</v>
      </c>
      <c r="AF3401">
        <v>0.20963729773511</v>
      </c>
      <c r="AG3401">
        <v>-0.1383491</v>
      </c>
      <c r="AH3401">
        <v>0.59639150003086305</v>
      </c>
      <c r="AI3401">
        <v>102.34456639161201</v>
      </c>
      <c r="AJ3401">
        <v>70.632938961018695</v>
      </c>
      <c r="AK3401">
        <v>0.64712525169518098</v>
      </c>
      <c r="AL3401">
        <v>85.367146681962495</v>
      </c>
      <c r="AM3401">
        <v>80.171243935795999</v>
      </c>
      <c r="AN3401">
        <v>0.99999996661065005</v>
      </c>
    </row>
    <row r="3402" spans="1:40" x14ac:dyDescent="0.25">
      <c r="A3402" t="str">
        <f>"20190312151339778"</f>
        <v>20190312151339778</v>
      </c>
      <c r="B3402" t="str">
        <f>"1552374819774097"</f>
        <v>1552374819774097</v>
      </c>
      <c r="C3402" t="s">
        <v>40</v>
      </c>
      <c r="D3402">
        <v>4.6201819999999998</v>
      </c>
      <c r="E3402">
        <v>0.51702309999999996</v>
      </c>
      <c r="F3402" t="s">
        <v>41</v>
      </c>
      <c r="G3402">
        <v>-215.39250000000001</v>
      </c>
      <c r="H3402">
        <v>0.97867059999999995</v>
      </c>
      <c r="I3402">
        <v>212.11859999999999</v>
      </c>
      <c r="J3402">
        <v>-215.91059999999999</v>
      </c>
      <c r="K3402">
        <v>1.1114170000000001</v>
      </c>
      <c r="L3402">
        <v>212.32149999999999</v>
      </c>
      <c r="M3402">
        <v>0.99987170000000003</v>
      </c>
      <c r="N3402">
        <v>0</v>
      </c>
      <c r="O3402">
        <v>6.4798410000000001E-3</v>
      </c>
      <c r="P3402">
        <v>0.98412259999999996</v>
      </c>
      <c r="Q3402">
        <v>6.4791340000000003E-2</v>
      </c>
      <c r="R3402">
        <v>-0.16524339999999901</v>
      </c>
      <c r="S3402">
        <v>2.9702000000000002</v>
      </c>
      <c r="T3402">
        <v>-0.42383460000000001</v>
      </c>
      <c r="U3402">
        <v>-0.63566590000000001</v>
      </c>
      <c r="V3402">
        <v>0.1713867</v>
      </c>
      <c r="W3402">
        <v>7.9692940000000004E-2</v>
      </c>
      <c r="X3402">
        <v>0.98197540000000005</v>
      </c>
      <c r="Y3402">
        <v>0.21347650000000001</v>
      </c>
      <c r="Z3402">
        <v>-1.5897229999999998E-2</v>
      </c>
      <c r="AA3402">
        <v>0.97681890000000005</v>
      </c>
      <c r="AB3402">
        <v>35</v>
      </c>
      <c r="AC3402">
        <v>0.51809999999997502</v>
      </c>
      <c r="AD3402">
        <v>-0.13274639999999999</v>
      </c>
      <c r="AE3402">
        <v>-0.202899999999999</v>
      </c>
      <c r="AF3402">
        <v>0.19514597379940499</v>
      </c>
      <c r="AG3402">
        <v>-0.13274639999999999</v>
      </c>
      <c r="AH3402">
        <v>0.48894444729705</v>
      </c>
      <c r="AI3402">
        <v>104.15235635292299</v>
      </c>
      <c r="AJ3402">
        <v>68.242224521320097</v>
      </c>
      <c r="AK3402">
        <v>0.54292746324504104</v>
      </c>
      <c r="AL3402">
        <v>85.429083977136102</v>
      </c>
      <c r="AM3402">
        <v>80.0997419481197</v>
      </c>
      <c r="AN3402">
        <v>1.0000000259139401</v>
      </c>
    </row>
    <row r="3403" spans="1:40" x14ac:dyDescent="0.25">
      <c r="A3403" t="str">
        <f>"20190312151339801"</f>
        <v>20190312151339801</v>
      </c>
      <c r="B3403" t="str">
        <f>"1552374819793617"</f>
        <v>1552374819793617</v>
      </c>
      <c r="C3403" t="s">
        <v>40</v>
      </c>
      <c r="D3403">
        <v>4.6474279999999997</v>
      </c>
      <c r="E3403">
        <v>0.51753609999999906</v>
      </c>
      <c r="F3403" t="s">
        <v>41</v>
      </c>
      <c r="G3403">
        <v>-215.07859999999999</v>
      </c>
      <c r="H3403">
        <v>0.99203569999999996</v>
      </c>
      <c r="I3403">
        <v>212.1422</v>
      </c>
      <c r="J3403">
        <v>-215.55330000000001</v>
      </c>
      <c r="K3403">
        <v>1.1113200000000001</v>
      </c>
      <c r="L3403">
        <v>212.32499999999999</v>
      </c>
      <c r="M3403">
        <v>0.99986390000000003</v>
      </c>
      <c r="N3403">
        <v>0</v>
      </c>
      <c r="O3403">
        <v>7.5936110000000001E-3</v>
      </c>
      <c r="P3403">
        <v>0.98407829999999996</v>
      </c>
      <c r="Q3403">
        <v>6.4287860000000002E-2</v>
      </c>
      <c r="R3403">
        <v>-0.16570170000000001</v>
      </c>
      <c r="S3403">
        <v>2.9690400000000001</v>
      </c>
      <c r="T3403">
        <v>-0.42613380000000001</v>
      </c>
      <c r="U3403">
        <v>-0.63961789999999996</v>
      </c>
      <c r="V3403">
        <v>0.17295920000000001</v>
      </c>
      <c r="W3403">
        <v>7.9145839999999995E-2</v>
      </c>
      <c r="X3403">
        <v>0.9817439</v>
      </c>
      <c r="Y3403">
        <v>0.2158265</v>
      </c>
      <c r="Z3403">
        <v>-1.6309750000000001E-2</v>
      </c>
      <c r="AA3403">
        <v>0.97629549999999998</v>
      </c>
      <c r="AB3403">
        <v>35</v>
      </c>
      <c r="AC3403">
        <v>0.474700000000012</v>
      </c>
      <c r="AD3403">
        <v>-0.1192843</v>
      </c>
      <c r="AE3403">
        <v>-0.182799999999986</v>
      </c>
      <c r="AF3403">
        <v>0.17668410989553701</v>
      </c>
      <c r="AG3403">
        <v>-0.1192843</v>
      </c>
      <c r="AH3403">
        <v>0.44862839765646201</v>
      </c>
      <c r="AI3403">
        <v>103.895533176721</v>
      </c>
      <c r="AJ3403">
        <v>68.503904540381498</v>
      </c>
      <c r="AK3403">
        <v>0.49670258515521398</v>
      </c>
      <c r="AL3403">
        <v>85.460529785504406</v>
      </c>
      <c r="AM3403">
        <v>80.008418984228399</v>
      </c>
      <c r="AN3403">
        <v>1.0000000170205701</v>
      </c>
    </row>
    <row r="3404" spans="1:40" x14ac:dyDescent="0.25">
      <c r="A3404" t="str">
        <f>"20190312151339821"</f>
        <v>20190312151339821</v>
      </c>
      <c r="B3404" t="str">
        <f>"1552374819814113"</f>
        <v>1552374819814113</v>
      </c>
      <c r="C3404" t="s">
        <v>40</v>
      </c>
      <c r="D3404">
        <v>4.6636179999999996</v>
      </c>
      <c r="E3404">
        <v>0.51800299999999999</v>
      </c>
      <c r="F3404" t="s">
        <v>41</v>
      </c>
      <c r="G3404">
        <v>-214.7679</v>
      </c>
      <c r="H3404">
        <v>0.99818669999999998</v>
      </c>
      <c r="I3404">
        <v>212.1542</v>
      </c>
      <c r="J3404">
        <v>-215.23910000000001</v>
      </c>
      <c r="K3404">
        <v>1.111194</v>
      </c>
      <c r="L3404">
        <v>212.32830000000001</v>
      </c>
      <c r="M3404">
        <v>0.9998572</v>
      </c>
      <c r="N3404">
        <v>0</v>
      </c>
      <c r="O3404">
        <v>8.4332239999999996E-3</v>
      </c>
      <c r="P3404">
        <v>0.98393050000000004</v>
      </c>
      <c r="Q3404">
        <v>6.3245179999999998E-2</v>
      </c>
      <c r="R3404">
        <v>-0.16697629999999999</v>
      </c>
      <c r="S3404">
        <v>2.9678650000000002</v>
      </c>
      <c r="T3404">
        <v>-0.42761389999999999</v>
      </c>
      <c r="U3404">
        <v>-0.64500429999999997</v>
      </c>
      <c r="V3404">
        <v>0.17508080000000001</v>
      </c>
      <c r="W3404">
        <v>7.8053449999999996E-2</v>
      </c>
      <c r="X3404">
        <v>0.98145519999999997</v>
      </c>
      <c r="Y3404">
        <v>0.21836810000000001</v>
      </c>
      <c r="Z3404">
        <v>-1.6668180000000001E-2</v>
      </c>
      <c r="AA3404">
        <v>0.97572409999999998</v>
      </c>
      <c r="AB3404">
        <v>35</v>
      </c>
      <c r="AC3404">
        <v>0.47120000000001</v>
      </c>
      <c r="AD3404">
        <v>-0.1130073</v>
      </c>
      <c r="AE3404">
        <v>-0.174100000000009</v>
      </c>
      <c r="AF3404">
        <v>0.16949026172458401</v>
      </c>
      <c r="AG3404">
        <v>-0.1130073</v>
      </c>
      <c r="AH3404">
        <v>0.44708823713107798</v>
      </c>
      <c r="AI3404">
        <v>103.29779145353599</v>
      </c>
      <c r="AJ3404">
        <v>69.238381652966197</v>
      </c>
      <c r="AK3404">
        <v>0.49130997390011599</v>
      </c>
      <c r="AL3404">
        <v>85.523313142893898</v>
      </c>
      <c r="AM3404">
        <v>79.885458708605199</v>
      </c>
      <c r="AN3404">
        <v>0.99999996859629003</v>
      </c>
    </row>
    <row r="3405" spans="1:40" x14ac:dyDescent="0.25">
      <c r="A3405" t="str">
        <f>"20190312151339843"</f>
        <v>20190312151339843</v>
      </c>
      <c r="B3405" t="str">
        <f>"1552374819833633"</f>
        <v>1552374819833633</v>
      </c>
      <c r="C3405" t="s">
        <v>40</v>
      </c>
      <c r="D3405">
        <v>4.6336529999999998</v>
      </c>
      <c r="E3405">
        <v>0.5184183</v>
      </c>
      <c r="F3405" t="s">
        <v>41</v>
      </c>
      <c r="G3405">
        <v>-214.46019999999999</v>
      </c>
      <c r="H3405">
        <v>0.99793540000000003</v>
      </c>
      <c r="I3405">
        <v>212.1567</v>
      </c>
      <c r="J3405">
        <v>-214.90690000000001</v>
      </c>
      <c r="K3405">
        <v>1.1110500000000001</v>
      </c>
      <c r="L3405">
        <v>212.33189999999999</v>
      </c>
      <c r="M3405">
        <v>0.99985100000000005</v>
      </c>
      <c r="N3405">
        <v>0</v>
      </c>
      <c r="O3405">
        <v>9.1465369999999997E-3</v>
      </c>
      <c r="P3405">
        <v>0.98376079999999999</v>
      </c>
      <c r="Q3405">
        <v>6.1909850000000002E-2</v>
      </c>
      <c r="R3405">
        <v>-0.16846920000000001</v>
      </c>
      <c r="S3405">
        <v>2.965973</v>
      </c>
      <c r="T3405">
        <v>-0.43142520000000001</v>
      </c>
      <c r="U3405">
        <v>-0.65263369999999998</v>
      </c>
      <c r="V3405">
        <v>0.17730299999999999</v>
      </c>
      <c r="W3405">
        <v>7.6651479999999994E-2</v>
      </c>
      <c r="X3405">
        <v>0.98116669999999995</v>
      </c>
      <c r="Y3405">
        <v>0.22150719999999999</v>
      </c>
      <c r="Z3405">
        <v>-1.714767E-2</v>
      </c>
      <c r="AA3405">
        <v>0.97500799999999999</v>
      </c>
      <c r="AB3405">
        <v>34</v>
      </c>
      <c r="AC3405">
        <v>0.44670000000002102</v>
      </c>
      <c r="AD3405">
        <v>-0.1131146</v>
      </c>
      <c r="AE3405">
        <v>-0.175199999999989</v>
      </c>
      <c r="AF3405">
        <v>0.169840321137816</v>
      </c>
      <c r="AG3405">
        <v>-0.1131146</v>
      </c>
      <c r="AH3405">
        <v>0.42164648436059998</v>
      </c>
      <c r="AI3405">
        <v>103.973679555953</v>
      </c>
      <c r="AJ3405">
        <v>68.060293403165801</v>
      </c>
      <c r="AK3405">
        <v>0.46842972278775202</v>
      </c>
      <c r="AL3405">
        <v>85.603881424486502</v>
      </c>
      <c r="AM3405">
        <v>79.756833345197194</v>
      </c>
      <c r="AN3405">
        <v>0.99999994819203797</v>
      </c>
    </row>
    <row r="3406" spans="1:40" x14ac:dyDescent="0.25">
      <c r="A3406" t="str">
        <f>"20190312151339865"</f>
        <v>20190312151339865</v>
      </c>
      <c r="B3406" t="str">
        <f>"1552374819854130"</f>
        <v>1552374819854130</v>
      </c>
      <c r="C3406" t="s">
        <v>40</v>
      </c>
      <c r="D3406">
        <v>4.6171749999999996</v>
      </c>
      <c r="E3406">
        <v>0.51893100000000003</v>
      </c>
      <c r="F3406" t="s">
        <v>41</v>
      </c>
      <c r="G3406">
        <v>-214.15180000000001</v>
      </c>
      <c r="H3406">
        <v>1.000251</v>
      </c>
      <c r="I3406">
        <v>212.1635</v>
      </c>
      <c r="J3406">
        <v>-214.56020000000001</v>
      </c>
      <c r="K3406">
        <v>1.110867</v>
      </c>
      <c r="L3406">
        <v>212.3357</v>
      </c>
      <c r="M3406">
        <v>0.99984620000000002</v>
      </c>
      <c r="N3406">
        <v>0</v>
      </c>
      <c r="O3406">
        <v>9.6799980000000004E-3</v>
      </c>
      <c r="P3406">
        <v>0.98352740000000005</v>
      </c>
      <c r="Q3406">
        <v>6.1143839999999998E-2</v>
      </c>
      <c r="R3406">
        <v>-0.17010459999999999</v>
      </c>
      <c r="S3406">
        <v>2.9637600000000002</v>
      </c>
      <c r="T3406">
        <v>-0.43489149999999999</v>
      </c>
      <c r="U3406">
        <v>-0.66064449999999997</v>
      </c>
      <c r="V3406">
        <v>0.17949519999999999</v>
      </c>
      <c r="W3406">
        <v>7.5800899999999893E-2</v>
      </c>
      <c r="X3406">
        <v>0.98083419999999999</v>
      </c>
      <c r="Y3406">
        <v>0.2246147</v>
      </c>
      <c r="Z3406">
        <v>-1.7592650000000001E-2</v>
      </c>
      <c r="AA3406">
        <v>0.97428879999999995</v>
      </c>
      <c r="AB3406">
        <v>34</v>
      </c>
      <c r="AC3406">
        <v>0.40839999999999999</v>
      </c>
      <c r="AD3406">
        <v>-0.11061600000000001</v>
      </c>
      <c r="AE3406">
        <v>-0.17220000000000299</v>
      </c>
      <c r="AF3406">
        <v>0.16581737280165901</v>
      </c>
      <c r="AG3406">
        <v>-0.11061600000000001</v>
      </c>
      <c r="AH3406">
        <v>0.38286614652966</v>
      </c>
      <c r="AI3406">
        <v>104.848607602136</v>
      </c>
      <c r="AJ3406">
        <v>66.582810022684299</v>
      </c>
      <c r="AK3406">
        <v>0.43164544100142599</v>
      </c>
      <c r="AL3406">
        <v>85.652758570853507</v>
      </c>
      <c r="AM3406">
        <v>79.629477172704497</v>
      </c>
      <c r="AN3406">
        <v>1.0000000155767399</v>
      </c>
    </row>
    <row r="3407" spans="1:40" x14ac:dyDescent="0.25">
      <c r="A3407" t="str">
        <f>"20190312151339890"</f>
        <v>20190312151339890</v>
      </c>
      <c r="B3407" t="str">
        <f>"1552374819883409"</f>
        <v>1552374819883409</v>
      </c>
      <c r="C3407" t="s">
        <v>40</v>
      </c>
      <c r="D3407">
        <v>4.5995509999999999</v>
      </c>
      <c r="E3407">
        <v>0.52500550000000001</v>
      </c>
      <c r="F3407" t="s">
        <v>41</v>
      </c>
      <c r="G3407">
        <v>-213.8426</v>
      </c>
      <c r="H3407">
        <v>1.005239</v>
      </c>
      <c r="I3407">
        <v>212.173</v>
      </c>
      <c r="J3407">
        <v>-214.1951</v>
      </c>
      <c r="K3407">
        <v>1.110665</v>
      </c>
      <c r="L3407">
        <v>212.33959999999999</v>
      </c>
      <c r="M3407">
        <v>0.99984320000000004</v>
      </c>
      <c r="N3407">
        <v>0</v>
      </c>
      <c r="O3407">
        <v>9.9772999999999997E-3</v>
      </c>
      <c r="P3407">
        <v>0.98319939999999995</v>
      </c>
      <c r="Q3407">
        <v>6.0625510000000001E-2</v>
      </c>
      <c r="R3407">
        <v>-0.1721741</v>
      </c>
      <c r="S3407">
        <v>2.9614720000000001</v>
      </c>
      <c r="T3407">
        <v>-0.43605660000000002</v>
      </c>
      <c r="U3407">
        <v>-0.67005919999999997</v>
      </c>
      <c r="V3407">
        <v>0.18189130000000001</v>
      </c>
      <c r="W3407">
        <v>7.5184699999999993E-2</v>
      </c>
      <c r="X3407">
        <v>0.98044010000000004</v>
      </c>
      <c r="Y3407">
        <v>0.22795950000000001</v>
      </c>
      <c r="Z3407">
        <v>-1.793144E-2</v>
      </c>
      <c r="AA3407">
        <v>0.97350550000000002</v>
      </c>
      <c r="AB3407">
        <v>34</v>
      </c>
      <c r="AC3407">
        <v>0.35249999999999199</v>
      </c>
      <c r="AD3407">
        <v>-0.10542600000000001</v>
      </c>
      <c r="AE3407">
        <v>-0.16659999999998801</v>
      </c>
      <c r="AF3407">
        <v>0.15851867668467801</v>
      </c>
      <c r="AG3407">
        <v>-0.10542600000000001</v>
      </c>
      <c r="AH3407">
        <v>0.32691688569325</v>
      </c>
      <c r="AI3407">
        <v>106.18127085438501</v>
      </c>
      <c r="AJ3407">
        <v>64.131724713734897</v>
      </c>
      <c r="AK3407">
        <v>0.378308686769462</v>
      </c>
      <c r="AL3407">
        <v>85.688165144795605</v>
      </c>
      <c r="AM3407">
        <v>79.489973706874693</v>
      </c>
      <c r="AN3407">
        <v>0.99999998690889402</v>
      </c>
    </row>
    <row r="3408" spans="1:40" x14ac:dyDescent="0.25">
      <c r="A3408" t="str">
        <f>"20190312151339910"</f>
        <v>20190312151339910</v>
      </c>
      <c r="B3408" t="str">
        <f>"1552374819903906"</f>
        <v>1552374819903906</v>
      </c>
      <c r="C3408" t="s">
        <v>40</v>
      </c>
      <c r="D3408">
        <v>4.6156540000000001</v>
      </c>
      <c r="E3408">
        <v>0.52609309999999998</v>
      </c>
      <c r="F3408" t="s">
        <v>53</v>
      </c>
      <c r="G3408">
        <v>-206.60470000000001</v>
      </c>
      <c r="H3408" s="1">
        <v>5.5076660000000001E-6</v>
      </c>
      <c r="I3408">
        <v>210.47800000000001</v>
      </c>
      <c r="J3408">
        <v>-213.86969999999999</v>
      </c>
      <c r="K3408">
        <v>1.110473</v>
      </c>
      <c r="L3408">
        <v>212.34299999999999</v>
      </c>
      <c r="M3408">
        <v>0.99984280000000003</v>
      </c>
      <c r="N3408">
        <v>0</v>
      </c>
      <c r="O3408">
        <v>1.0030280000000001E-2</v>
      </c>
      <c r="P3408">
        <v>0.98269949999999995</v>
      </c>
      <c r="Q3408">
        <v>6.0287159999999999E-2</v>
      </c>
      <c r="R3408">
        <v>-0.1751209</v>
      </c>
      <c r="S3408">
        <v>2.9511569999999998</v>
      </c>
      <c r="T3408">
        <v>-0.43182229999999999</v>
      </c>
      <c r="U3408">
        <v>-0.72377009999999997</v>
      </c>
      <c r="V3408">
        <v>0.1849191</v>
      </c>
      <c r="W3408">
        <v>7.4754829999999994E-2</v>
      </c>
      <c r="X3408">
        <v>0.97990639999999996</v>
      </c>
      <c r="Y3408">
        <v>0.24535409999999999</v>
      </c>
      <c r="Z3408">
        <v>-1.903815E-2</v>
      </c>
      <c r="AA3408">
        <v>0.96924659999999996</v>
      </c>
      <c r="AB3408">
        <v>34</v>
      </c>
      <c r="AC3408">
        <v>7.2649999999999801</v>
      </c>
      <c r="AD3408">
        <v>-1.1104674923340001</v>
      </c>
      <c r="AE3408">
        <v>-1.865</v>
      </c>
      <c r="AF3408">
        <v>1.8962203754582101</v>
      </c>
      <c r="AG3408">
        <v>-1.1104674923340001</v>
      </c>
      <c r="AH3408">
        <v>7.0905079975950098</v>
      </c>
      <c r="AI3408">
        <v>98.6033938906386</v>
      </c>
      <c r="AJ3408">
        <v>75.027714526067697</v>
      </c>
      <c r="AK3408">
        <v>7.4232131471346197</v>
      </c>
      <c r="AL3408">
        <v>85.712864255398799</v>
      </c>
      <c r="AM3408">
        <v>79.313331683198001</v>
      </c>
      <c r="AN3408">
        <v>0.99999995545704801</v>
      </c>
    </row>
    <row r="3409" spans="1:40" x14ac:dyDescent="0.25">
      <c r="A3409" t="str">
        <f>"20190312151339931"</f>
        <v>20190312151339931</v>
      </c>
      <c r="B3409" t="str">
        <f>"1552374819923426"</f>
        <v>1552374819923426</v>
      </c>
      <c r="C3409" t="s">
        <v>40</v>
      </c>
      <c r="D3409">
        <v>4.5659219999999996</v>
      </c>
      <c r="E3409">
        <v>0.52689739999999996</v>
      </c>
      <c r="F3409" t="s">
        <v>53</v>
      </c>
      <c r="G3409">
        <v>-206.3672</v>
      </c>
      <c r="H3409" s="1">
        <v>5.4042499999999898E-6</v>
      </c>
      <c r="I3409">
        <v>210.4563</v>
      </c>
      <c r="J3409">
        <v>-213.56450000000001</v>
      </c>
      <c r="K3409">
        <v>1.110314</v>
      </c>
      <c r="L3409">
        <v>212.346</v>
      </c>
      <c r="M3409">
        <v>0.99984399999999996</v>
      </c>
      <c r="N3409">
        <v>0</v>
      </c>
      <c r="O3409">
        <v>9.9138149999999994E-3</v>
      </c>
      <c r="P3409">
        <v>0.9820892</v>
      </c>
      <c r="Q3409">
        <v>5.9736749999999998E-2</v>
      </c>
      <c r="R3409">
        <v>-0.1786962</v>
      </c>
      <c r="S3409">
        <v>2.947479</v>
      </c>
      <c r="T3409">
        <v>-0.4362627</v>
      </c>
      <c r="U3409">
        <v>-0.74121090000000001</v>
      </c>
      <c r="V3409">
        <v>0.1884034</v>
      </c>
      <c r="W3409">
        <v>7.4120030000000003E-2</v>
      </c>
      <c r="X3409">
        <v>0.97929080000000002</v>
      </c>
      <c r="Y3409">
        <v>0.25080920000000001</v>
      </c>
      <c r="Z3409">
        <v>-1.9620240000000001E-2</v>
      </c>
      <c r="AA3409">
        <v>0.96783770000000002</v>
      </c>
      <c r="AB3409">
        <v>34</v>
      </c>
      <c r="AC3409">
        <v>7.19730000000001</v>
      </c>
      <c r="AD3409">
        <v>-1.1103085957500001</v>
      </c>
      <c r="AE3409">
        <v>-1.88969999999997</v>
      </c>
      <c r="AF3409">
        <v>1.9182599623586101</v>
      </c>
      <c r="AG3409">
        <v>-1.1103085957500001</v>
      </c>
      <c r="AH3409">
        <v>7.0218774329009603</v>
      </c>
      <c r="AI3409">
        <v>98.672596903522205</v>
      </c>
      <c r="AJ3409">
        <v>74.720562190199303</v>
      </c>
      <c r="AK3409">
        <v>7.3633734893504004</v>
      </c>
      <c r="AL3409">
        <v>85.749337188113401</v>
      </c>
      <c r="AM3409">
        <v>79.110058296141304</v>
      </c>
      <c r="AN3409">
        <v>1.00000004547169</v>
      </c>
    </row>
    <row r="3410" spans="1:40" x14ac:dyDescent="0.25">
      <c r="A3410" t="str">
        <f>"20190312151339953"</f>
        <v>20190312151339953</v>
      </c>
      <c r="B3410" t="str">
        <f>"1552374819943921"</f>
        <v>1552374819943921</v>
      </c>
      <c r="C3410" t="s">
        <v>40</v>
      </c>
      <c r="D3410">
        <v>4.5600759999999996</v>
      </c>
      <c r="E3410">
        <v>0.52770779999999995</v>
      </c>
      <c r="F3410" t="s">
        <v>53</v>
      </c>
      <c r="G3410">
        <v>-206.10769999999999</v>
      </c>
      <c r="H3410" s="1">
        <v>5.2918899999999901E-6</v>
      </c>
      <c r="I3410">
        <v>210.4254</v>
      </c>
      <c r="J3410">
        <v>-213.2225</v>
      </c>
      <c r="K3410">
        <v>1.1101430000000001</v>
      </c>
      <c r="L3410">
        <v>212.34909999999999</v>
      </c>
      <c r="M3410">
        <v>0.99984740000000005</v>
      </c>
      <c r="N3410">
        <v>0</v>
      </c>
      <c r="O3410">
        <v>9.5715130000000002E-3</v>
      </c>
      <c r="P3410">
        <v>0.98142430000000003</v>
      </c>
      <c r="Q3410">
        <v>5.9533379999999997E-2</v>
      </c>
      <c r="R3410">
        <v>-0.18237909999999999</v>
      </c>
      <c r="S3410">
        <v>2.9434360000000002</v>
      </c>
      <c r="T3410">
        <v>-0.43827490000000002</v>
      </c>
      <c r="U3410">
        <v>-0.75808719999999996</v>
      </c>
      <c r="V3410">
        <v>0.1917761</v>
      </c>
      <c r="W3410">
        <v>7.3821869999999998E-2</v>
      </c>
      <c r="X3410">
        <v>0.97865840000000004</v>
      </c>
      <c r="Y3410">
        <v>0.25592359999999997</v>
      </c>
      <c r="Z3410">
        <v>-2.0045029999999998E-2</v>
      </c>
      <c r="AA3410">
        <v>0.96648920000000005</v>
      </c>
      <c r="AB3410">
        <v>34</v>
      </c>
      <c r="AC3410">
        <v>7.1147999999999998</v>
      </c>
      <c r="AD3410">
        <v>-1.1101377081099999</v>
      </c>
      <c r="AE3410">
        <v>-1.92369999999999</v>
      </c>
      <c r="AF3410">
        <v>1.9475339287065201</v>
      </c>
      <c r="AG3410">
        <v>-1.1101377081099999</v>
      </c>
      <c r="AH3410">
        <v>6.9386392048281902</v>
      </c>
      <c r="AI3410">
        <v>98.757059275083805</v>
      </c>
      <c r="AJ3410">
        <v>74.321656719023196</v>
      </c>
      <c r="AK3410">
        <v>7.2917767484481804</v>
      </c>
      <c r="AL3410">
        <v>85.766467244637795</v>
      </c>
      <c r="AM3410">
        <v>78.912913014239194</v>
      </c>
      <c r="AN3410">
        <v>1.00000000245603</v>
      </c>
    </row>
    <row r="3411" spans="1:40" x14ac:dyDescent="0.25">
      <c r="A3411" t="str">
        <f>"20190312151339980"</f>
        <v>20190312151339980</v>
      </c>
      <c r="B3411" t="str">
        <f>"1552374819974178"</f>
        <v>1552374819974178</v>
      </c>
      <c r="C3411" t="s">
        <v>40</v>
      </c>
      <c r="D3411">
        <v>4.5485389999999999</v>
      </c>
      <c r="E3411">
        <v>0.5288716</v>
      </c>
      <c r="F3411" t="s">
        <v>53</v>
      </c>
      <c r="G3411">
        <v>-205.81880000000001</v>
      </c>
      <c r="H3411" s="1">
        <v>5.1662849999999998E-6</v>
      </c>
      <c r="I3411">
        <v>210.3965</v>
      </c>
      <c r="J3411">
        <v>-212.8175</v>
      </c>
      <c r="K3411">
        <v>1.10992</v>
      </c>
      <c r="L3411">
        <v>212.35239999999999</v>
      </c>
      <c r="M3411">
        <v>0.99985389999999996</v>
      </c>
      <c r="N3411">
        <v>0</v>
      </c>
      <c r="O3411">
        <v>8.8760309999999995E-3</v>
      </c>
      <c r="P3411">
        <v>0.98067130000000002</v>
      </c>
      <c r="Q3411">
        <v>5.9097330000000003E-2</v>
      </c>
      <c r="R3411">
        <v>-0.1865252</v>
      </c>
      <c r="S3411">
        <v>2.9394840000000002</v>
      </c>
      <c r="T3411">
        <v>-0.44075700000000001</v>
      </c>
      <c r="U3411">
        <v>-0.77525330000000003</v>
      </c>
      <c r="V3411">
        <v>0.19527359999999999</v>
      </c>
      <c r="W3411">
        <v>7.3265010000000005E-2</v>
      </c>
      <c r="X3411">
        <v>0.9780084</v>
      </c>
      <c r="Y3411">
        <v>0.26077020000000001</v>
      </c>
      <c r="Z3411">
        <v>-2.0422260000000001E-2</v>
      </c>
      <c r="AA3411">
        <v>0.96518490000000001</v>
      </c>
      <c r="AB3411">
        <v>34</v>
      </c>
      <c r="AC3411">
        <v>6.9986999999999799</v>
      </c>
      <c r="AD3411">
        <v>-1.109914833715</v>
      </c>
      <c r="AE3411">
        <v>-1.95589999999998</v>
      </c>
      <c r="AF3411">
        <v>1.9719478529910499</v>
      </c>
      <c r="AG3411">
        <v>-1.109914833715</v>
      </c>
      <c r="AH3411">
        <v>6.8219173403926403</v>
      </c>
      <c r="AI3411">
        <v>98.883426102387403</v>
      </c>
      <c r="AJ3411">
        <v>73.877499105128905</v>
      </c>
      <c r="AK3411">
        <v>7.1874227280831597</v>
      </c>
      <c r="AL3411">
        <v>85.798459536278997</v>
      </c>
      <c r="AM3411">
        <v>78.708549760091898</v>
      </c>
      <c r="AN3411">
        <v>0.99999998550891001</v>
      </c>
    </row>
    <row r="3412" spans="1:40" x14ac:dyDescent="0.25">
      <c r="A3412" t="str">
        <f>"20190312151340008"</f>
        <v>20190312151340008</v>
      </c>
      <c r="B3412" t="str">
        <f>"1552374820003458"</f>
        <v>1552374820003458</v>
      </c>
      <c r="C3412" t="s">
        <v>40</v>
      </c>
      <c r="D3412">
        <v>4.5335929999999998</v>
      </c>
      <c r="E3412">
        <v>0.52951369999999998</v>
      </c>
      <c r="F3412" t="s">
        <v>53</v>
      </c>
      <c r="G3412">
        <v>-205.4734</v>
      </c>
      <c r="H3412" s="1">
        <v>5.0164790000000002E-6</v>
      </c>
      <c r="I3412">
        <v>210.358</v>
      </c>
      <c r="J3412">
        <v>-212.387</v>
      </c>
      <c r="K3412">
        <v>1.1096549999999901</v>
      </c>
      <c r="L3412">
        <v>212.3553</v>
      </c>
      <c r="M3412">
        <v>0.9998629</v>
      </c>
      <c r="N3412">
        <v>0</v>
      </c>
      <c r="O3412">
        <v>7.8000200000000004E-3</v>
      </c>
      <c r="P3412">
        <v>0.97988900000000001</v>
      </c>
      <c r="Q3412">
        <v>5.7993490000000002E-2</v>
      </c>
      <c r="R3412">
        <v>-0.1909303</v>
      </c>
      <c r="S3412">
        <v>2.9342800000000002</v>
      </c>
      <c r="T3412">
        <v>-0.44345659999999998</v>
      </c>
      <c r="U3412">
        <v>-0.79684449999999996</v>
      </c>
      <c r="V3412">
        <v>0.19866420000000001</v>
      </c>
      <c r="W3412">
        <v>7.2019470000000002E-2</v>
      </c>
      <c r="X3412">
        <v>0.97741789999999995</v>
      </c>
      <c r="Y3412">
        <v>0.2666869</v>
      </c>
      <c r="Z3412">
        <v>-2.0839759999999999E-2</v>
      </c>
      <c r="AA3412">
        <v>0.96355789999999997</v>
      </c>
      <c r="AB3412">
        <v>34</v>
      </c>
      <c r="AC3412">
        <v>6.9135999999999997</v>
      </c>
      <c r="AD3412">
        <v>-1.1096499835210001</v>
      </c>
      <c r="AE3412">
        <v>-1.9972999999999901</v>
      </c>
      <c r="AF3412">
        <v>2.0035338759400201</v>
      </c>
      <c r="AG3412">
        <v>-1.1096499835210001</v>
      </c>
      <c r="AH3412">
        <v>6.73761117507041</v>
      </c>
      <c r="AI3412">
        <v>98.970856507863701</v>
      </c>
      <c r="AJ3412">
        <v>73.439332364800507</v>
      </c>
      <c r="AK3412">
        <v>7.11624025904137</v>
      </c>
      <c r="AL3412">
        <v>85.870012867024201</v>
      </c>
      <c r="AM3412">
        <v>78.5109047911955</v>
      </c>
      <c r="AN3412">
        <v>1.0000000098305599</v>
      </c>
    </row>
    <row r="3413" spans="1:40" x14ac:dyDescent="0.25">
      <c r="A3413" t="str">
        <f>"20190312151340029"</f>
        <v>20190312151340029</v>
      </c>
      <c r="B3413" t="str">
        <f>"1552374820023953"</f>
        <v>1552374820023953</v>
      </c>
      <c r="C3413" t="s">
        <v>40</v>
      </c>
      <c r="D3413">
        <v>4.5278479999999997</v>
      </c>
      <c r="E3413">
        <v>0.52947840000000002</v>
      </c>
      <c r="F3413" t="s">
        <v>53</v>
      </c>
      <c r="G3413">
        <v>-205.15430000000001</v>
      </c>
      <c r="H3413" s="1">
        <v>4.876345E-6</v>
      </c>
      <c r="I3413">
        <v>210.3426</v>
      </c>
      <c r="J3413">
        <v>-212.054</v>
      </c>
      <c r="K3413">
        <v>1.1094349999999999</v>
      </c>
      <c r="L3413">
        <v>212.35679999999999</v>
      </c>
      <c r="M3413">
        <v>0.99987090000000001</v>
      </c>
      <c r="N3413">
        <v>0</v>
      </c>
      <c r="O3413">
        <v>6.7009610000000001E-3</v>
      </c>
      <c r="P3413">
        <v>0.97892999999999997</v>
      </c>
      <c r="Q3413">
        <v>5.7608340000000001E-2</v>
      </c>
      <c r="R3413">
        <v>-0.19590250000000001</v>
      </c>
      <c r="S3413">
        <v>2.9293520000000002</v>
      </c>
      <c r="T3413">
        <v>-0.44942799999999999</v>
      </c>
      <c r="U3413">
        <v>-0.81515499999999996</v>
      </c>
      <c r="V3413">
        <v>0.20259160000000001</v>
      </c>
      <c r="W3413">
        <v>7.1508189999999999E-2</v>
      </c>
      <c r="X3413">
        <v>0.97664899999999999</v>
      </c>
      <c r="Y3413">
        <v>0.27151170000000002</v>
      </c>
      <c r="Z3413">
        <v>-2.1330869999999998E-2</v>
      </c>
      <c r="AA3413">
        <v>0.96219869999999996</v>
      </c>
      <c r="AB3413">
        <v>34</v>
      </c>
      <c r="AC3413">
        <v>6.8996999999999904</v>
      </c>
      <c r="AD3413">
        <v>-1.1094301236549999</v>
      </c>
      <c r="AE3413">
        <v>-2.0141999999999798</v>
      </c>
      <c r="AF3413">
        <v>2.0124489881504299</v>
      </c>
      <c r="AG3413">
        <v>-1.1094301236549999</v>
      </c>
      <c r="AH3413">
        <v>6.7258083856695601</v>
      </c>
      <c r="AI3413">
        <v>98.980119760140298</v>
      </c>
      <c r="AJ3413">
        <v>73.342135799010407</v>
      </c>
      <c r="AK3413">
        <v>7.10755123582826</v>
      </c>
      <c r="AL3413">
        <v>85.899382834848794</v>
      </c>
      <c r="AM3413">
        <v>78.281026245511299</v>
      </c>
      <c r="AN3413">
        <v>1.00000002341431</v>
      </c>
    </row>
    <row r="3414" spans="1:40" x14ac:dyDescent="0.25">
      <c r="A3414" t="str">
        <f>"20190312151340048"</f>
        <v>20190312151340048</v>
      </c>
      <c r="B3414" t="str">
        <f>"1552374820043473"</f>
        <v>1552374820043473</v>
      </c>
      <c r="C3414" t="s">
        <v>40</v>
      </c>
      <c r="D3414">
        <v>4.523911</v>
      </c>
      <c r="E3414">
        <v>0.52934939999999997</v>
      </c>
      <c r="F3414" t="s">
        <v>53</v>
      </c>
      <c r="G3414">
        <v>-204.90889999999999</v>
      </c>
      <c r="H3414" s="1">
        <v>4.7684400000000002E-6</v>
      </c>
      <c r="I3414">
        <v>210.33179999999999</v>
      </c>
      <c r="J3414">
        <v>-211.77289999999999</v>
      </c>
      <c r="K3414">
        <v>1.109256</v>
      </c>
      <c r="L3414">
        <v>212.35769999999999</v>
      </c>
      <c r="M3414">
        <v>0.99987749999999997</v>
      </c>
      <c r="N3414">
        <v>0</v>
      </c>
      <c r="O3414">
        <v>5.6277430000000002E-3</v>
      </c>
      <c r="P3414">
        <v>0.97776249999999998</v>
      </c>
      <c r="Q3414">
        <v>5.7373420000000001E-2</v>
      </c>
      <c r="R3414">
        <v>-0.20171529999999999</v>
      </c>
      <c r="S3414">
        <v>2.9253999999999998</v>
      </c>
      <c r="T3414">
        <v>-0.45422699999999999</v>
      </c>
      <c r="U3414">
        <v>-0.82910159999999999</v>
      </c>
      <c r="V3414">
        <v>0.20737839999999999</v>
      </c>
      <c r="W3414">
        <v>7.1160029999999999E-2</v>
      </c>
      <c r="X3414">
        <v>0.97566920000000001</v>
      </c>
      <c r="Y3414">
        <v>0.27497090000000002</v>
      </c>
      <c r="Z3414">
        <v>-2.1669750000000002E-2</v>
      </c>
      <c r="AA3414">
        <v>0.96120830000000002</v>
      </c>
      <c r="AB3414">
        <v>34</v>
      </c>
      <c r="AC3414">
        <v>6.8639999999999999</v>
      </c>
      <c r="AD3414">
        <v>-1.1092512315600001</v>
      </c>
      <c r="AE3414">
        <v>-2.0259</v>
      </c>
      <c r="AF3414">
        <v>2.0160684592105298</v>
      </c>
      <c r="AG3414">
        <v>-1.1092512315600001</v>
      </c>
      <c r="AH3414">
        <v>6.6917320513987004</v>
      </c>
      <c r="AI3414">
        <v>99.018621893726106</v>
      </c>
      <c r="AJ3414">
        <v>73.233626469146301</v>
      </c>
      <c r="AK3414">
        <v>7.0763160030242798</v>
      </c>
      <c r="AL3414">
        <v>85.919381659669497</v>
      </c>
      <c r="AM3414">
        <v>78.000364675161904</v>
      </c>
      <c r="AN3414">
        <v>0.99999996924239998</v>
      </c>
    </row>
    <row r="3415" spans="1:40" x14ac:dyDescent="0.25">
      <c r="A3415" t="str">
        <f>"20190312151340066"</f>
        <v>20190312151340066</v>
      </c>
      <c r="B3415" t="str">
        <f>"1552374820054210"</f>
        <v>1552374820054210</v>
      </c>
      <c r="C3415" t="s">
        <v>40</v>
      </c>
      <c r="D3415">
        <v>4.5517629999999896</v>
      </c>
      <c r="E3415">
        <v>0.52754690000000004</v>
      </c>
      <c r="F3415" t="s">
        <v>53</v>
      </c>
      <c r="G3415">
        <v>-204.68090000000001</v>
      </c>
      <c r="H3415" s="1">
        <v>4.6694489999999996E-6</v>
      </c>
      <c r="I3415">
        <v>210.30779999999999</v>
      </c>
      <c r="J3415">
        <v>-211.49440000000001</v>
      </c>
      <c r="K3415">
        <v>1.109084</v>
      </c>
      <c r="L3415">
        <v>212.35810000000001</v>
      </c>
      <c r="M3415">
        <v>0.99988379999999999</v>
      </c>
      <c r="N3415">
        <v>0</v>
      </c>
      <c r="O3415">
        <v>4.4122939999999998E-3</v>
      </c>
      <c r="P3415">
        <v>0.97654240000000003</v>
      </c>
      <c r="Q3415">
        <v>5.6092589999999998E-2</v>
      </c>
      <c r="R3415">
        <v>-0.2078913</v>
      </c>
      <c r="S3415">
        <v>2.920868</v>
      </c>
      <c r="T3415">
        <v>-0.45685360000000003</v>
      </c>
      <c r="U3415">
        <v>-0.84426880000000004</v>
      </c>
      <c r="V3415">
        <v>0.2123871</v>
      </c>
      <c r="W3415">
        <v>6.9766850000000005E-2</v>
      </c>
      <c r="X3415">
        <v>0.97469190000000006</v>
      </c>
      <c r="Y3415">
        <v>0.27873690000000001</v>
      </c>
      <c r="Z3415">
        <v>-2.191243E-2</v>
      </c>
      <c r="AA3415">
        <v>0.96011749999999996</v>
      </c>
      <c r="AB3415">
        <v>34</v>
      </c>
      <c r="AC3415">
        <v>6.8135000000000003</v>
      </c>
      <c r="AD3415">
        <v>-1.1090793305509901</v>
      </c>
      <c r="AE3415">
        <v>-2.05030000000002</v>
      </c>
      <c r="AF3415">
        <v>2.0310007709919602</v>
      </c>
      <c r="AG3415">
        <v>-1.1090793305509901</v>
      </c>
      <c r="AH3415">
        <v>6.64298673342733</v>
      </c>
      <c r="AI3415">
        <v>99.071256149767393</v>
      </c>
      <c r="AJ3415">
        <v>72.999716751670206</v>
      </c>
      <c r="AK3415">
        <v>7.0345073625462202</v>
      </c>
      <c r="AL3415">
        <v>85.999404019406697</v>
      </c>
      <c r="AM3415">
        <v>77.707300990982901</v>
      </c>
      <c r="AN3415">
        <v>0.99999999676547102</v>
      </c>
    </row>
    <row r="3416" spans="1:40" x14ac:dyDescent="0.25">
      <c r="A3416" t="str">
        <f>"20190312151340086"</f>
        <v>20190312151340086</v>
      </c>
      <c r="B3416" t="str">
        <f>"1552374820083490"</f>
        <v>1552374820083490</v>
      </c>
      <c r="C3416" t="s">
        <v>40</v>
      </c>
      <c r="D3416">
        <v>4.5349370000000002</v>
      </c>
      <c r="E3416">
        <v>0.52738450000000003</v>
      </c>
      <c r="F3416" t="s">
        <v>53</v>
      </c>
      <c r="G3416">
        <v>-202.80019999999999</v>
      </c>
      <c r="H3416" s="1">
        <v>3.876843E-6</v>
      </c>
      <c r="I3416">
        <v>209.8338</v>
      </c>
      <c r="J3416">
        <v>-211.1874</v>
      </c>
      <c r="K3416">
        <v>1.108889</v>
      </c>
      <c r="L3416">
        <v>212.358</v>
      </c>
      <c r="M3416">
        <v>0.99988920000000003</v>
      </c>
      <c r="N3416">
        <v>0</v>
      </c>
      <c r="O3416">
        <v>2.8652579999999999E-3</v>
      </c>
      <c r="P3416">
        <v>0.97540979999999999</v>
      </c>
      <c r="Q3416">
        <v>5.3178700000000002E-2</v>
      </c>
      <c r="R3416">
        <v>-0.21388760000000001</v>
      </c>
      <c r="S3416">
        <v>2.9133610000000001</v>
      </c>
      <c r="T3416">
        <v>-0.37164330000000001</v>
      </c>
      <c r="U3416">
        <v>-0.84587099999999904</v>
      </c>
      <c r="V3416">
        <v>0.21689220000000001</v>
      </c>
      <c r="W3416">
        <v>6.673171E-2</v>
      </c>
      <c r="X3416">
        <v>0.97391209999999995</v>
      </c>
      <c r="Y3416">
        <v>0.27946710000000002</v>
      </c>
      <c r="Z3416">
        <v>-1.7754989999999998E-2</v>
      </c>
      <c r="AA3416">
        <v>0.95999109999999999</v>
      </c>
      <c r="AB3416">
        <v>34</v>
      </c>
      <c r="AC3416">
        <v>8.3872</v>
      </c>
      <c r="AD3416">
        <v>-1.1088851231570001</v>
      </c>
      <c r="AE3416">
        <v>-2.5242</v>
      </c>
      <c r="AF3416">
        <v>2.5080247193335401</v>
      </c>
      <c r="AG3416">
        <v>-1.1088851231570001</v>
      </c>
      <c r="AH3416">
        <v>8.2477364281506507</v>
      </c>
      <c r="AI3416">
        <v>97.329792105620498</v>
      </c>
      <c r="AJ3416">
        <v>73.0861952014031</v>
      </c>
      <c r="AK3416">
        <v>8.69166096884768</v>
      </c>
      <c r="AL3416">
        <v>86.173711486364198</v>
      </c>
      <c r="AM3416">
        <v>77.444997781767498</v>
      </c>
      <c r="AN3416">
        <v>1.0000000630333801</v>
      </c>
    </row>
    <row r="3417" spans="1:40" x14ac:dyDescent="0.25">
      <c r="A3417" t="str">
        <f>"20190312151340106"</f>
        <v>20190312151340106</v>
      </c>
      <c r="B3417" t="str">
        <f>"1552374820103986"</f>
        <v>1552374820103986</v>
      </c>
      <c r="C3417" t="s">
        <v>40</v>
      </c>
      <c r="D3417">
        <v>4.5219040000000001</v>
      </c>
      <c r="E3417">
        <v>0.52731700000000004</v>
      </c>
      <c r="F3417" t="s">
        <v>53</v>
      </c>
      <c r="G3417">
        <v>-201.3039</v>
      </c>
      <c r="H3417" s="1">
        <v>3.2655809999999998E-6</v>
      </c>
      <c r="I3417">
        <v>209.42740000000001</v>
      </c>
      <c r="J3417">
        <v>-210.87610000000001</v>
      </c>
      <c r="K3417">
        <v>1.10869</v>
      </c>
      <c r="L3417">
        <v>212.3571</v>
      </c>
      <c r="M3417">
        <v>0.99989289999999997</v>
      </c>
      <c r="N3417">
        <v>0</v>
      </c>
      <c r="O3417">
        <v>1.0732020000000001E-3</v>
      </c>
      <c r="P3417">
        <v>0.97419270000000002</v>
      </c>
      <c r="Q3417">
        <v>5.1649880000000002E-2</v>
      </c>
      <c r="R3417">
        <v>-0.21973039999999999</v>
      </c>
      <c r="S3417">
        <v>2.904541</v>
      </c>
      <c r="T3417">
        <v>-0.32587559999999999</v>
      </c>
      <c r="U3417">
        <v>-0.86122129999999997</v>
      </c>
      <c r="V3417">
        <v>0.22101209999999999</v>
      </c>
      <c r="W3417">
        <v>6.5074030000000005E-2</v>
      </c>
      <c r="X3417">
        <v>0.97309769999999896</v>
      </c>
      <c r="Y3417">
        <v>0.28366170000000002</v>
      </c>
      <c r="Z3417">
        <v>-1.5649369999999999E-2</v>
      </c>
      <c r="AA3417">
        <v>0.95879669999999895</v>
      </c>
      <c r="AB3417">
        <v>34</v>
      </c>
      <c r="AC3417">
        <v>9.5722000000000094</v>
      </c>
      <c r="AD3417">
        <v>-1.1086867344189999</v>
      </c>
      <c r="AE3417">
        <v>-2.9296999999999902</v>
      </c>
      <c r="AF3417">
        <v>2.9043473398445401</v>
      </c>
      <c r="AG3417">
        <v>-1.1086867344189999</v>
      </c>
      <c r="AH3417">
        <v>9.4530974944273591</v>
      </c>
      <c r="AI3417">
        <v>96.396768164955006</v>
      </c>
      <c r="AJ3417">
        <v>72.921071730082801</v>
      </c>
      <c r="AK3417">
        <v>9.9511543041341497</v>
      </c>
      <c r="AL3417">
        <v>86.268896460050399</v>
      </c>
      <c r="AM3417">
        <v>77.203934639538701</v>
      </c>
      <c r="AN3417">
        <v>1.00000005573606</v>
      </c>
    </row>
    <row r="3418" spans="1:40" x14ac:dyDescent="0.25">
      <c r="A3418" t="str">
        <f>"20190312151340131"</f>
        <v>20190312151340131</v>
      </c>
      <c r="B3418" t="str">
        <f>"1552374820123506"</f>
        <v>1552374820123506</v>
      </c>
      <c r="C3418" t="s">
        <v>40</v>
      </c>
      <c r="D3418">
        <v>4.4982410000000002</v>
      </c>
      <c r="E3418">
        <v>0.52718999999999905</v>
      </c>
      <c r="F3418" t="s">
        <v>53</v>
      </c>
      <c r="G3418">
        <v>-200.91079999999999</v>
      </c>
      <c r="H3418" s="1">
        <v>3.1070390000000001E-6</v>
      </c>
      <c r="I3418">
        <v>209.33789999999999</v>
      </c>
      <c r="J3418">
        <v>-210.51329999999999</v>
      </c>
      <c r="K3418">
        <v>1.108439</v>
      </c>
      <c r="L3418">
        <v>212.3552</v>
      </c>
      <c r="M3418">
        <v>0.99989249999999996</v>
      </c>
      <c r="N3418">
        <v>0</v>
      </c>
      <c r="O3418">
        <v>-1.313495E-3</v>
      </c>
      <c r="P3418">
        <v>0.97281130000000005</v>
      </c>
      <c r="Q3418">
        <v>5.156326E-2</v>
      </c>
      <c r="R3418">
        <v>-0.2257855</v>
      </c>
      <c r="S3418">
        <v>2.898514</v>
      </c>
      <c r="T3418">
        <v>-0.32247379999999998</v>
      </c>
      <c r="U3418">
        <v>-0.8781738</v>
      </c>
      <c r="V3418">
        <v>0.2247818</v>
      </c>
      <c r="W3418">
        <v>6.483042E-2</v>
      </c>
      <c r="X3418">
        <v>0.97224999999999995</v>
      </c>
      <c r="Y3418">
        <v>0.28708529999999999</v>
      </c>
      <c r="Z3418">
        <v>-1.5431739999999999E-2</v>
      </c>
      <c r="AA3418">
        <v>0.95778070000000004</v>
      </c>
      <c r="AB3418">
        <v>34</v>
      </c>
      <c r="AC3418">
        <v>9.6024999999999903</v>
      </c>
      <c r="AD3418">
        <v>-1.1084358929610001</v>
      </c>
      <c r="AE3418">
        <v>-3.0173000000000001</v>
      </c>
      <c r="AF3418">
        <v>2.9686814813796101</v>
      </c>
      <c r="AG3418">
        <v>-1.1084358929610001</v>
      </c>
      <c r="AH3418">
        <v>9.4913520126691893</v>
      </c>
      <c r="AI3418">
        <v>96.359878375813295</v>
      </c>
      <c r="AJ3418">
        <v>72.631490783148607</v>
      </c>
      <c r="AK3418">
        <v>10.006371115199</v>
      </c>
      <c r="AL3418">
        <v>86.282883433084294</v>
      </c>
      <c r="AM3418">
        <v>76.982086349015404</v>
      </c>
      <c r="AN3418">
        <v>0.999999951734307</v>
      </c>
    </row>
    <row r="3419" spans="1:40" x14ac:dyDescent="0.25">
      <c r="A3419" t="str">
        <f>"20190312151340153"</f>
        <v>20190312151340153</v>
      </c>
      <c r="B3419" t="str">
        <f>"1552374820144002"</f>
        <v>1552374820144002</v>
      </c>
      <c r="C3419" t="s">
        <v>40</v>
      </c>
      <c r="D3419">
        <v>4.4584830000000002</v>
      </c>
      <c r="E3419">
        <v>0.52732690000000004</v>
      </c>
      <c r="F3419" t="s">
        <v>53</v>
      </c>
      <c r="G3419">
        <v>-200.3759</v>
      </c>
      <c r="H3419" s="1">
        <v>2.8913580000000001E-6</v>
      </c>
      <c r="I3419">
        <v>209.2158</v>
      </c>
      <c r="J3419">
        <v>-210.16929999999999</v>
      </c>
      <c r="K3419">
        <v>1.1081939999999999</v>
      </c>
      <c r="L3419">
        <v>212.35220000000001</v>
      </c>
      <c r="M3419">
        <v>0.99988589999999999</v>
      </c>
      <c r="N3419">
        <v>0</v>
      </c>
      <c r="O3419">
        <v>-3.870643E-3</v>
      </c>
      <c r="P3419">
        <v>0.9713946</v>
      </c>
      <c r="Q3419">
        <v>5.0856449999999997E-2</v>
      </c>
      <c r="R3419">
        <v>-0.23196220000000001</v>
      </c>
      <c r="S3419">
        <v>2.8927</v>
      </c>
      <c r="T3419">
        <v>-0.31629350000000001</v>
      </c>
      <c r="U3419">
        <v>-0.89582819999999996</v>
      </c>
      <c r="V3419">
        <v>0.2285102</v>
      </c>
      <c r="W3419">
        <v>6.3960089999999997E-2</v>
      </c>
      <c r="X3419">
        <v>0.97143820000000003</v>
      </c>
      <c r="Y3419">
        <v>0.29056579999999999</v>
      </c>
      <c r="Z3419">
        <v>-1.506644E-2</v>
      </c>
      <c r="AA3419">
        <v>0.95673640000000004</v>
      </c>
      <c r="AB3419">
        <v>34</v>
      </c>
      <c r="AC3419">
        <v>9.7933999999999894</v>
      </c>
      <c r="AD3419">
        <v>-1.108191108642</v>
      </c>
      <c r="AE3419">
        <v>-3.1364000000000001</v>
      </c>
      <c r="AF3419">
        <v>3.06289515438583</v>
      </c>
      <c r="AG3419">
        <v>-1.108191108642</v>
      </c>
      <c r="AH3419">
        <v>9.6929005155013908</v>
      </c>
      <c r="AI3419">
        <v>96.221637840838795</v>
      </c>
      <c r="AJ3419">
        <v>72.4637938647205</v>
      </c>
      <c r="AK3419">
        <v>10.2255432453948</v>
      </c>
      <c r="AL3419">
        <v>86.332853529360605</v>
      </c>
      <c r="AM3419">
        <v>76.763028588648595</v>
      </c>
      <c r="AN3419">
        <v>0.999999990518044</v>
      </c>
    </row>
    <row r="3420" spans="1:40" x14ac:dyDescent="0.25">
      <c r="A3420" t="str">
        <f>"20190312151340179"</f>
        <v>20190312151340179</v>
      </c>
      <c r="B3420" t="str">
        <f>"1552374820174257"</f>
        <v>1552374820174257</v>
      </c>
      <c r="C3420" t="s">
        <v>40</v>
      </c>
      <c r="D3420">
        <v>4.4461539999999999</v>
      </c>
      <c r="E3420">
        <v>0.52705249999999904</v>
      </c>
      <c r="F3420" t="s">
        <v>53</v>
      </c>
      <c r="G3420">
        <v>-195.98050000000001</v>
      </c>
      <c r="H3420" s="1">
        <v>3.8076089999999998E-6</v>
      </c>
      <c r="I3420">
        <v>207.8537</v>
      </c>
      <c r="J3420">
        <v>-209.7825</v>
      </c>
      <c r="K3420">
        <v>1.1078889999999999</v>
      </c>
      <c r="L3420">
        <v>212.3475</v>
      </c>
      <c r="M3420">
        <v>0.99986779999999997</v>
      </c>
      <c r="N3420">
        <v>0</v>
      </c>
      <c r="O3420">
        <v>-7.1234899999999997E-3</v>
      </c>
      <c r="P3420">
        <v>0.96986070000000002</v>
      </c>
      <c r="Q3420">
        <v>5.1299560000000001E-2</v>
      </c>
      <c r="R3420">
        <v>-0.23819940000000001</v>
      </c>
      <c r="S3420">
        <v>2.8819430000000001</v>
      </c>
      <c r="T3420">
        <v>-0.2250897</v>
      </c>
      <c r="U3420">
        <v>-0.91369630000000002</v>
      </c>
      <c r="V3420">
        <v>0.23164370000000001</v>
      </c>
      <c r="W3420">
        <v>6.4210390000000006E-2</v>
      </c>
      <c r="X3420">
        <v>0.97067930000000002</v>
      </c>
      <c r="Y3420">
        <v>0.29462270000000002</v>
      </c>
      <c r="Z3420">
        <v>-1.0671999999999999E-2</v>
      </c>
      <c r="AA3420">
        <v>0.95555409999999996</v>
      </c>
      <c r="AB3420">
        <v>34</v>
      </c>
      <c r="AC3420">
        <v>13.8019999999999</v>
      </c>
      <c r="AD3420">
        <v>-1.10788519239099</v>
      </c>
      <c r="AE3420">
        <v>-4.4937999999999896</v>
      </c>
      <c r="AF3420">
        <v>4.3698994019305797</v>
      </c>
      <c r="AG3420">
        <v>-1.10788519239099</v>
      </c>
      <c r="AH3420">
        <v>13.753540945125801</v>
      </c>
      <c r="AI3420">
        <v>94.390032001212901</v>
      </c>
      <c r="AJ3420">
        <v>72.373436047851499</v>
      </c>
      <c r="AK3420">
        <v>14.473538576027799</v>
      </c>
      <c r="AL3420">
        <v>86.318483040591403</v>
      </c>
      <c r="AM3420">
        <v>76.577923587983193</v>
      </c>
      <c r="AN3420">
        <v>1.0000000406910601</v>
      </c>
    </row>
    <row r="3421" spans="1:40" x14ac:dyDescent="0.25">
      <c r="A3421" t="str">
        <f>"20190312151340216"</f>
        <v>20190312151340216</v>
      </c>
      <c r="B3421" t="str">
        <f>"1552374820203538"</f>
        <v>1552374820203538</v>
      </c>
      <c r="C3421" t="s">
        <v>40</v>
      </c>
      <c r="D3421">
        <v>4.3380799999999997</v>
      </c>
      <c r="E3421">
        <v>0.52692530000000004</v>
      </c>
      <c r="F3421" t="s">
        <v>53</v>
      </c>
      <c r="G3421">
        <v>-195.56469999999999</v>
      </c>
      <c r="H3421" s="1">
        <v>3.9080940000000002E-6</v>
      </c>
      <c r="I3421">
        <v>207.75280000000001</v>
      </c>
      <c r="J3421">
        <v>-209.23670000000001</v>
      </c>
      <c r="K3421">
        <v>1.1074029999999999</v>
      </c>
      <c r="L3421">
        <v>212.33779999999999</v>
      </c>
      <c r="M3421">
        <v>0.99981500000000001</v>
      </c>
      <c r="N3421">
        <v>0</v>
      </c>
      <c r="O3421">
        <v>-1.249921E-2</v>
      </c>
      <c r="P3421">
        <v>0.96666680000000005</v>
      </c>
      <c r="Q3421">
        <v>4.983804E-2</v>
      </c>
      <c r="R3421">
        <v>-0.251141</v>
      </c>
      <c r="S3421">
        <v>2.8767550000000002</v>
      </c>
      <c r="T3421">
        <v>-0.22416420000000001</v>
      </c>
      <c r="U3421">
        <v>-0.92965699999999996</v>
      </c>
      <c r="V3421">
        <v>0.23946139999999999</v>
      </c>
      <c r="W3421">
        <v>6.241584E-2</v>
      </c>
      <c r="X3421">
        <v>0.96889760000000003</v>
      </c>
      <c r="Y3421">
        <v>0.29481049999999998</v>
      </c>
      <c r="Z3421">
        <v>-1.023722E-2</v>
      </c>
      <c r="AA3421">
        <v>0.95550089999999999</v>
      </c>
      <c r="AB3421">
        <v>34</v>
      </c>
      <c r="AC3421">
        <v>13.672000000000001</v>
      </c>
      <c r="AD3421">
        <v>-1.1073990919059999</v>
      </c>
      <c r="AE3421">
        <v>-4.5849999999999804</v>
      </c>
      <c r="AF3421">
        <v>4.3878574811467503</v>
      </c>
      <c r="AG3421">
        <v>-1.1073990919059999</v>
      </c>
      <c r="AH3421">
        <v>13.647760888769399</v>
      </c>
      <c r="AI3421">
        <v>94.417166561450202</v>
      </c>
      <c r="AJ3421">
        <v>72.177012389414898</v>
      </c>
      <c r="AK3421">
        <v>14.378490995255101</v>
      </c>
      <c r="AL3421">
        <v>86.421509851989697</v>
      </c>
      <c r="AM3421">
        <v>76.117638296728003</v>
      </c>
      <c r="AN3421">
        <v>1.0000000292293101</v>
      </c>
    </row>
    <row r="3422" spans="1:40" x14ac:dyDescent="0.25">
      <c r="A3422" t="str">
        <f>"20190312151340245"</f>
        <v>20190312151340245</v>
      </c>
      <c r="B3422" t="str">
        <f>"1552374820233793"</f>
        <v>1552374820233793</v>
      </c>
      <c r="C3422" t="s">
        <v>40</v>
      </c>
      <c r="D3422">
        <v>4.2891949999999897</v>
      </c>
      <c r="E3422">
        <v>0.52650909999999995</v>
      </c>
      <c r="F3422" t="s">
        <v>53</v>
      </c>
      <c r="G3422">
        <v>-195.27879999999999</v>
      </c>
      <c r="H3422" s="1">
        <v>3.9906450000000001E-6</v>
      </c>
      <c r="I3422">
        <v>207.6326</v>
      </c>
      <c r="J3422">
        <v>-208.78559999999999</v>
      </c>
      <c r="K3422">
        <v>1.1069990000000001</v>
      </c>
      <c r="L3422">
        <v>212.327</v>
      </c>
      <c r="M3422">
        <v>0.99973800000000002</v>
      </c>
      <c r="N3422">
        <v>0</v>
      </c>
      <c r="O3422">
        <v>-1.7592770000000001E-2</v>
      </c>
      <c r="P3422">
        <v>0.96450130000000001</v>
      </c>
      <c r="Q3422">
        <v>4.7554819999999998E-2</v>
      </c>
      <c r="R3422">
        <v>-0.25976120000000003</v>
      </c>
      <c r="S3422">
        <v>2.8643040000000002</v>
      </c>
      <c r="T3422">
        <v>-0.2272489</v>
      </c>
      <c r="U3422">
        <v>-0.96554569999999995</v>
      </c>
      <c r="V3422">
        <v>0.2432175</v>
      </c>
      <c r="W3422">
        <v>5.9874770000000001E-2</v>
      </c>
      <c r="X3422">
        <v>0.96812209999999999</v>
      </c>
      <c r="Y3422">
        <v>0.3019116</v>
      </c>
      <c r="Z3422">
        <v>-1.028215E-2</v>
      </c>
      <c r="AA3422">
        <v>0.95328040000000003</v>
      </c>
      <c r="AB3422">
        <v>34</v>
      </c>
      <c r="AC3422">
        <v>13.506799999999901</v>
      </c>
      <c r="AD3422">
        <v>-1.1069950093550001</v>
      </c>
      <c r="AE3422">
        <v>-4.6943999999999999</v>
      </c>
      <c r="AF3422">
        <v>4.4294790107155801</v>
      </c>
      <c r="AG3422">
        <v>-1.1069950093550001</v>
      </c>
      <c r="AH3422">
        <v>13.506359078606</v>
      </c>
      <c r="AI3422">
        <v>94.453194941004</v>
      </c>
      <c r="AJ3422">
        <v>71.842833529587097</v>
      </c>
      <c r="AK3422">
        <v>14.257189688622001</v>
      </c>
      <c r="AL3422">
        <v>86.567375548230103</v>
      </c>
      <c r="AM3422">
        <v>75.897659848421895</v>
      </c>
      <c r="AN3422">
        <v>1.0000000704486001</v>
      </c>
    </row>
    <row r="3423" spans="1:40" x14ac:dyDescent="0.25">
      <c r="A3423" t="str">
        <f>"20190312151340263"</f>
        <v>20190312151340263</v>
      </c>
      <c r="B3423" t="str">
        <f>"1552374820253314"</f>
        <v>1552374820253314</v>
      </c>
      <c r="C3423" t="s">
        <v>40</v>
      </c>
      <c r="D3423">
        <v>4.2331409999999998</v>
      </c>
      <c r="E3423">
        <v>0.52629759999999903</v>
      </c>
      <c r="F3423" t="s">
        <v>53</v>
      </c>
      <c r="G3423">
        <v>-195.28720000000001</v>
      </c>
      <c r="H3423" s="1">
        <v>3.9825950000000003E-6</v>
      </c>
      <c r="I3423">
        <v>207.6574</v>
      </c>
      <c r="J3423">
        <v>-208.50980000000001</v>
      </c>
      <c r="K3423">
        <v>1.106754</v>
      </c>
      <c r="L3423">
        <v>212.31880000000001</v>
      </c>
      <c r="M3423">
        <v>0.99967139999999999</v>
      </c>
      <c r="N3423">
        <v>0</v>
      </c>
      <c r="O3423">
        <v>-2.1038310000000001E-2</v>
      </c>
      <c r="P3423">
        <v>0.96250219999999997</v>
      </c>
      <c r="Q3423">
        <v>4.5860480000000002E-2</v>
      </c>
      <c r="R3423">
        <v>-0.267370099999999</v>
      </c>
      <c r="S3423">
        <v>2.8558650000000001</v>
      </c>
      <c r="T3423">
        <v>-0.2342072</v>
      </c>
      <c r="U3423">
        <v>-0.98794559999999998</v>
      </c>
      <c r="V3423">
        <v>0.2475465</v>
      </c>
      <c r="W3423">
        <v>5.7998340000000002E-2</v>
      </c>
      <c r="X3423">
        <v>0.96713850000000001</v>
      </c>
      <c r="Y3423">
        <v>0.30611630000000001</v>
      </c>
      <c r="Z3423">
        <v>-1.050616E-2</v>
      </c>
      <c r="AA3423">
        <v>0.95193609999999995</v>
      </c>
      <c r="AB3423">
        <v>34</v>
      </c>
      <c r="AC3423">
        <v>13.2226</v>
      </c>
      <c r="AD3423">
        <v>-1.106750017405</v>
      </c>
      <c r="AE3423">
        <v>-4.6614000000000102</v>
      </c>
      <c r="AF3423">
        <v>4.3550188699011203</v>
      </c>
      <c r="AG3423">
        <v>-1.106750017405</v>
      </c>
      <c r="AH3423">
        <v>13.2352759739644</v>
      </c>
      <c r="AI3423">
        <v>94.541561507994004</v>
      </c>
      <c r="AJ3423">
        <v>71.786399683834503</v>
      </c>
      <c r="AK3423">
        <v>13.9772534879075</v>
      </c>
      <c r="AL3423">
        <v>86.675073976693696</v>
      </c>
      <c r="AM3423">
        <v>75.642940585549795</v>
      </c>
      <c r="AN3423">
        <v>0.99999997764362702</v>
      </c>
    </row>
    <row r="3424" spans="1:40" x14ac:dyDescent="0.25">
      <c r="A3424" t="str">
        <f>"20190312151340285"</f>
        <v>20190312151340285</v>
      </c>
      <c r="B3424" t="str">
        <f>"1552374820273809"</f>
        <v>1552374820273809</v>
      </c>
      <c r="C3424" t="s">
        <v>40</v>
      </c>
      <c r="D3424">
        <v>4.2088029999999996</v>
      </c>
      <c r="E3424">
        <v>0.52621269999999998</v>
      </c>
      <c r="F3424" t="s">
        <v>53</v>
      </c>
      <c r="G3424">
        <v>-195.26689999999999</v>
      </c>
      <c r="H3424" s="1">
        <v>3.9948850000000003E-6</v>
      </c>
      <c r="I3424">
        <v>207.62450000000001</v>
      </c>
      <c r="J3424">
        <v>-208.18129999999999</v>
      </c>
      <c r="K3424">
        <v>1.106454</v>
      </c>
      <c r="L3424">
        <v>212.30760000000001</v>
      </c>
      <c r="M3424">
        <v>0.99956849999999997</v>
      </c>
      <c r="N3424">
        <v>0</v>
      </c>
      <c r="O3424">
        <v>-2.5454790000000001E-2</v>
      </c>
      <c r="P3424">
        <v>0.96025769999999999</v>
      </c>
      <c r="Q3424">
        <v>4.4664420000000003E-2</v>
      </c>
      <c r="R3424">
        <v>-0.275518599999999</v>
      </c>
      <c r="S3424">
        <v>2.8478089999999998</v>
      </c>
      <c r="T3424">
        <v>-0.2380004</v>
      </c>
      <c r="U3424">
        <v>-1.009476</v>
      </c>
      <c r="V3424">
        <v>0.25150129999999998</v>
      </c>
      <c r="W3424">
        <v>5.6588270000000003E-2</v>
      </c>
      <c r="X3424">
        <v>0.96620119999999998</v>
      </c>
      <c r="Y3424">
        <v>0.30912529999999999</v>
      </c>
      <c r="Z3424">
        <v>-1.045629E-2</v>
      </c>
      <c r="AA3424">
        <v>0.95096389999999997</v>
      </c>
      <c r="AB3424">
        <v>34</v>
      </c>
      <c r="AC3424">
        <v>12.914400000000001</v>
      </c>
      <c r="AD3424">
        <v>-1.1064500051149999</v>
      </c>
      <c r="AE3424">
        <v>-4.6830999999999898</v>
      </c>
      <c r="AF3424">
        <v>4.3247577312347998</v>
      </c>
      <c r="AG3424">
        <v>-1.1064500051149999</v>
      </c>
      <c r="AH3424">
        <v>12.9454540906984</v>
      </c>
      <c r="AI3424">
        <v>94.634607623525696</v>
      </c>
      <c r="AJ3424">
        <v>71.526794229017298</v>
      </c>
      <c r="AK3424">
        <v>13.6935219232334</v>
      </c>
      <c r="AL3424">
        <v>86.755997873954996</v>
      </c>
      <c r="AM3424">
        <v>75.409733076759593</v>
      </c>
      <c r="AN3424">
        <v>0.99999994754235999</v>
      </c>
    </row>
    <row r="3425" spans="1:40" x14ac:dyDescent="0.25">
      <c r="A3425" t="str">
        <f>"20190312151340309"</f>
        <v>20190312151340309</v>
      </c>
      <c r="B3425" t="str">
        <f>"1552374820304066"</f>
        <v>1552374820304066</v>
      </c>
      <c r="C3425" t="s">
        <v>40</v>
      </c>
      <c r="D3425">
        <v>4.177155</v>
      </c>
      <c r="E3425">
        <v>0.52615639999999997</v>
      </c>
      <c r="F3425" t="s">
        <v>53</v>
      </c>
      <c r="G3425">
        <v>-194.9785</v>
      </c>
      <c r="H3425" s="1">
        <v>4.0788949999999997E-6</v>
      </c>
      <c r="I3425">
        <v>207.50049999999999</v>
      </c>
      <c r="J3425">
        <v>-207.80869999999999</v>
      </c>
      <c r="K3425">
        <v>1.106109</v>
      </c>
      <c r="L3425">
        <v>212.29259999999999</v>
      </c>
      <c r="M3425">
        <v>0.99941409999999997</v>
      </c>
      <c r="N3425">
        <v>0</v>
      </c>
      <c r="O3425">
        <v>-3.091942E-2</v>
      </c>
      <c r="P3425">
        <v>0.9574397</v>
      </c>
      <c r="Q3425">
        <v>4.416088E-2</v>
      </c>
      <c r="R3425">
        <v>-0.28523539999999997</v>
      </c>
      <c r="S3425">
        <v>2.8386689999999999</v>
      </c>
      <c r="T3425">
        <v>-0.23789360000000001</v>
      </c>
      <c r="U3425">
        <v>-1.033569</v>
      </c>
      <c r="V3425">
        <v>0.25605169999999999</v>
      </c>
      <c r="W3425">
        <v>5.5833679999999997E-2</v>
      </c>
      <c r="X3425">
        <v>0.9650493</v>
      </c>
      <c r="Y3425">
        <v>0.31204270000000001</v>
      </c>
      <c r="Z3425">
        <v>-1.014518E-2</v>
      </c>
      <c r="AA3425">
        <v>0.95001389999999997</v>
      </c>
      <c r="AB3425">
        <v>34</v>
      </c>
      <c r="AC3425">
        <v>12.8301999999999</v>
      </c>
      <c r="AD3425">
        <v>-1.106104921105</v>
      </c>
      <c r="AE3425">
        <v>-4.7920999999999996</v>
      </c>
      <c r="AF3425">
        <v>4.3645954099547497</v>
      </c>
      <c r="AG3425">
        <v>-1.106104921105</v>
      </c>
      <c r="AH3425">
        <v>12.888186786658199</v>
      </c>
      <c r="AI3425">
        <v>94.647263787972605</v>
      </c>
      <c r="AJ3425">
        <v>71.291285854282293</v>
      </c>
      <c r="AK3425">
        <v>13.6520518544607</v>
      </c>
      <c r="AL3425">
        <v>86.799301372839807</v>
      </c>
      <c r="AM3425">
        <v>75.140375384046607</v>
      </c>
      <c r="AN3425">
        <v>1.0000000121628601</v>
      </c>
    </row>
    <row r="3426" spans="1:40" x14ac:dyDescent="0.25">
      <c r="A3426" t="str">
        <f>"20190312151340334"</f>
        <v>20190312151340334</v>
      </c>
      <c r="B3426" t="str">
        <f>"1552374820323586"</f>
        <v>1552374820323586</v>
      </c>
      <c r="C3426" t="s">
        <v>40</v>
      </c>
      <c r="D3426">
        <v>4.1628850000000002</v>
      </c>
      <c r="E3426">
        <v>0.5260686</v>
      </c>
      <c r="F3426" t="s">
        <v>53</v>
      </c>
      <c r="G3426">
        <v>-195.0171</v>
      </c>
      <c r="H3426" s="1">
        <v>4.0758309999999998E-6</v>
      </c>
      <c r="I3426">
        <v>207.4862</v>
      </c>
      <c r="J3426">
        <v>-207.4496</v>
      </c>
      <c r="K3426">
        <v>1.105791</v>
      </c>
      <c r="L3426">
        <v>212.27590000000001</v>
      </c>
      <c r="M3426">
        <v>0.99922339999999998</v>
      </c>
      <c r="N3426">
        <v>0</v>
      </c>
      <c r="O3426">
        <v>-3.6558979999999998E-2</v>
      </c>
      <c r="P3426">
        <v>0.95456649999999998</v>
      </c>
      <c r="Q3426">
        <v>4.4295510000000003E-2</v>
      </c>
      <c r="R3426">
        <v>-0.29468889999999998</v>
      </c>
      <c r="S3426">
        <v>2.8280639999999999</v>
      </c>
      <c r="T3426">
        <v>-0.24454590000000001</v>
      </c>
      <c r="U3426">
        <v>-1.0626370000000001</v>
      </c>
      <c r="V3426">
        <v>0.26019320000000001</v>
      </c>
      <c r="W3426">
        <v>5.5730370000000001E-2</v>
      </c>
      <c r="X3426">
        <v>0.96394690000000005</v>
      </c>
      <c r="Y3426">
        <v>0.3163629</v>
      </c>
      <c r="Z3426">
        <v>-1.0157799999999899E-2</v>
      </c>
      <c r="AA3426">
        <v>0.94858390000000004</v>
      </c>
      <c r="AB3426">
        <v>33</v>
      </c>
      <c r="AC3426">
        <v>12.432499999999999</v>
      </c>
      <c r="AD3426">
        <v>-1.1057869241689999</v>
      </c>
      <c r="AE3426">
        <v>-4.7897000000000096</v>
      </c>
      <c r="AF3426">
        <v>4.3022924404741802</v>
      </c>
      <c r="AG3426">
        <v>-1.1057869241689999</v>
      </c>
      <c r="AH3426">
        <v>12.5131159816415</v>
      </c>
      <c r="AI3426">
        <v>94.777032531313793</v>
      </c>
      <c r="AJ3426">
        <v>71.025870668887805</v>
      </c>
      <c r="AK3426">
        <v>13.278198542537201</v>
      </c>
      <c r="AL3426">
        <v>86.805229794012902</v>
      </c>
      <c r="AM3426">
        <v>74.8944394085255</v>
      </c>
      <c r="AN3426">
        <v>1.00000000074309</v>
      </c>
    </row>
    <row r="3427" spans="1:40" x14ac:dyDescent="0.25">
      <c r="A3427" t="str">
        <f>"20190312151340354"</f>
        <v>20190312151340354</v>
      </c>
      <c r="B3427" t="str">
        <f>"1552374820344082"</f>
        <v>1552374820344082</v>
      </c>
      <c r="C3427" t="s">
        <v>40</v>
      </c>
      <c r="D3427">
        <v>4.1570790000000004</v>
      </c>
      <c r="E3427">
        <v>0.54793119999999995</v>
      </c>
      <c r="F3427" t="s">
        <v>53</v>
      </c>
      <c r="G3427">
        <v>-194.80799999999999</v>
      </c>
      <c r="H3427" s="1">
        <v>4.1401670000000003E-6</v>
      </c>
      <c r="I3427">
        <v>207.38329999999999</v>
      </c>
      <c r="J3427">
        <v>-207.13890000000001</v>
      </c>
      <c r="K3427">
        <v>1.10554</v>
      </c>
      <c r="L3427">
        <v>212.2595</v>
      </c>
      <c r="M3427">
        <v>0.99902210000000002</v>
      </c>
      <c r="N3427">
        <v>0</v>
      </c>
      <c r="O3427">
        <v>-4.1693420000000002E-2</v>
      </c>
      <c r="P3427">
        <v>0.95159280000000002</v>
      </c>
      <c r="Q3427">
        <v>4.4346700000000003E-2</v>
      </c>
      <c r="R3427">
        <v>-0.30414619999999998</v>
      </c>
      <c r="S3427">
        <v>2.8175810000000001</v>
      </c>
      <c r="T3427">
        <v>-0.2464606</v>
      </c>
      <c r="U3427">
        <v>-1.0904689999999999</v>
      </c>
      <c r="V3427">
        <v>0.26483959999999901</v>
      </c>
      <c r="W3427">
        <v>5.5568970000000002E-2</v>
      </c>
      <c r="X3427">
        <v>0.96269000000000005</v>
      </c>
      <c r="Y3427">
        <v>0.32080989999999998</v>
      </c>
      <c r="Z3427">
        <v>-1.001178E-2</v>
      </c>
      <c r="AA3427">
        <v>0.94709069999999995</v>
      </c>
      <c r="AB3427">
        <v>33</v>
      </c>
      <c r="AC3427">
        <v>12.3309</v>
      </c>
      <c r="AD3427">
        <v>-1.1055358598330001</v>
      </c>
      <c r="AE3427">
        <v>-4.8762000000000096</v>
      </c>
      <c r="AF3427">
        <v>4.3277034216330401</v>
      </c>
      <c r="AG3427">
        <v>-1.1055358598330001</v>
      </c>
      <c r="AH3427">
        <v>12.4370510317128</v>
      </c>
      <c r="AI3427">
        <v>94.798904559377107</v>
      </c>
      <c r="AJ3427">
        <v>70.813707392968993</v>
      </c>
      <c r="AK3427">
        <v>13.214819893151001</v>
      </c>
      <c r="AL3427">
        <v>86.814491619721394</v>
      </c>
      <c r="AM3427">
        <v>74.618224011284994</v>
      </c>
      <c r="AN3427">
        <v>0.99999998012751001</v>
      </c>
    </row>
    <row r="3428" spans="1:40" x14ac:dyDescent="0.25">
      <c r="A3428" t="str">
        <f>"20190312151340382"</f>
        <v>20190312151340382</v>
      </c>
      <c r="B3428" t="str">
        <f>"1552374820373362"</f>
        <v>1552374820373362</v>
      </c>
      <c r="C3428" t="s">
        <v>40</v>
      </c>
      <c r="D3428">
        <v>4.1195599999999999</v>
      </c>
      <c r="E3428">
        <v>0.56940519999999994</v>
      </c>
      <c r="F3428" t="s">
        <v>53</v>
      </c>
      <c r="G3428">
        <v>-196.98519999999999</v>
      </c>
      <c r="H3428" s="1">
        <v>3.7172320000000002E-6</v>
      </c>
      <c r="I3428">
        <v>207.52199999999999</v>
      </c>
      <c r="J3428">
        <v>-206.7287</v>
      </c>
      <c r="K3428">
        <v>1.1052150000000001</v>
      </c>
      <c r="L3428">
        <v>212.23519999999999</v>
      </c>
      <c r="M3428">
        <v>0.99869699999999995</v>
      </c>
      <c r="N3428">
        <v>0</v>
      </c>
      <c r="O3428">
        <v>-4.8857320000000003E-2</v>
      </c>
      <c r="P3428">
        <v>0.94810039999999995</v>
      </c>
      <c r="Q3428">
        <v>4.379388E-2</v>
      </c>
      <c r="R3428">
        <v>-0.31494149999999999</v>
      </c>
      <c r="S3428">
        <v>2.7556609999999999</v>
      </c>
      <c r="T3428">
        <v>-0.30003550000000001</v>
      </c>
      <c r="U3428">
        <v>-1.2857209999999999</v>
      </c>
      <c r="V3428">
        <v>0.26891140000000002</v>
      </c>
      <c r="W3428">
        <v>5.4770060000000002E-2</v>
      </c>
      <c r="X3428">
        <v>0.96160639999999997</v>
      </c>
      <c r="Y3428">
        <v>0.3764497</v>
      </c>
      <c r="Z3428">
        <v>-1.4405589999999999E-2</v>
      </c>
      <c r="AA3428">
        <v>0.92632499999999995</v>
      </c>
      <c r="AB3428">
        <v>33</v>
      </c>
      <c r="AC3428">
        <v>9.7435000000000098</v>
      </c>
      <c r="AD3428">
        <v>-1.1052112827680001</v>
      </c>
      <c r="AE3428">
        <v>-4.7131999999999703</v>
      </c>
      <c r="AF3428">
        <v>4.1878119159419196</v>
      </c>
      <c r="AG3428">
        <v>-1.1052112827680001</v>
      </c>
      <c r="AH3428">
        <v>9.8593599205203102</v>
      </c>
      <c r="AI3428">
        <v>95.890708531523302</v>
      </c>
      <c r="AJ3428">
        <v>66.986401396529899</v>
      </c>
      <c r="AK3428">
        <v>10.768762169591501</v>
      </c>
      <c r="AL3428">
        <v>86.860335627172304</v>
      </c>
      <c r="AM3428">
        <v>74.376451973657097</v>
      </c>
      <c r="AN3428">
        <v>0.99999998452166095</v>
      </c>
    </row>
    <row r="3429" spans="1:40" x14ac:dyDescent="0.25">
      <c r="A3429" t="str">
        <f>"20190312151340406"</f>
        <v>20190312151340406</v>
      </c>
      <c r="B3429" t="str">
        <f>"1552374820393858"</f>
        <v>1552374820393858</v>
      </c>
      <c r="C3429" t="s">
        <v>40</v>
      </c>
      <c r="D3429">
        <v>4.0915309999999998</v>
      </c>
      <c r="E3429">
        <v>0.57448120000000003</v>
      </c>
      <c r="F3429" t="s">
        <v>53</v>
      </c>
      <c r="G3429">
        <v>-197.74170000000001</v>
      </c>
      <c r="H3429" s="1">
        <v>3.646165E-6</v>
      </c>
      <c r="I3429">
        <v>207.28370000000001</v>
      </c>
      <c r="J3429">
        <v>-206.36600000000001</v>
      </c>
      <c r="K3429">
        <v>1.1049329999999999</v>
      </c>
      <c r="L3429">
        <v>212.21090000000001</v>
      </c>
      <c r="M3429">
        <v>0.99834540000000005</v>
      </c>
      <c r="N3429">
        <v>0</v>
      </c>
      <c r="O3429">
        <v>-5.5577229999999998E-2</v>
      </c>
      <c r="P3429">
        <v>0.94464709999999996</v>
      </c>
      <c r="Q3429">
        <v>4.341064E-2</v>
      </c>
      <c r="R3429">
        <v>-0.3252041</v>
      </c>
      <c r="S3429">
        <v>2.6876069999999999</v>
      </c>
      <c r="T3429">
        <v>-0.3305188</v>
      </c>
      <c r="U3429">
        <v>-1.4807589999999999</v>
      </c>
      <c r="V3429">
        <v>0.27289960000000002</v>
      </c>
      <c r="W3429">
        <v>5.4157280000000002E-2</v>
      </c>
      <c r="X3429">
        <v>0.96051690000000001</v>
      </c>
      <c r="Y3429">
        <v>0.43097829999999898</v>
      </c>
      <c r="Z3429">
        <v>-1.8332210000000002E-2</v>
      </c>
      <c r="AA3429">
        <v>0.90217599999999998</v>
      </c>
      <c r="AB3429">
        <v>33</v>
      </c>
      <c r="AC3429">
        <v>8.6242999999999697</v>
      </c>
      <c r="AD3429">
        <v>-1.104929353835</v>
      </c>
      <c r="AE3429">
        <v>-4.9271999999999903</v>
      </c>
      <c r="AF3429">
        <v>4.3859398204201501</v>
      </c>
      <c r="AG3429">
        <v>-1.104929353835</v>
      </c>
      <c r="AH3429">
        <v>8.7762311309256198</v>
      </c>
      <c r="AI3429">
        <v>96.425561385181496</v>
      </c>
      <c r="AJ3429">
        <v>63.446313461617002</v>
      </c>
      <c r="AK3429">
        <v>9.8731742539439402</v>
      </c>
      <c r="AL3429">
        <v>86.895497445436604</v>
      </c>
      <c r="AM3429">
        <v>74.1392273056844</v>
      </c>
      <c r="AN3429">
        <v>0.99999995892138305</v>
      </c>
    </row>
    <row r="3430" spans="1:40" x14ac:dyDescent="0.25">
      <c r="A3430" t="str">
        <f>"20190312151340426"</f>
        <v>20190312151340426</v>
      </c>
      <c r="B3430" t="str">
        <f>"1552374820414354"</f>
        <v>1552374820414354</v>
      </c>
      <c r="C3430" t="s">
        <v>40</v>
      </c>
      <c r="D3430">
        <v>4.068702</v>
      </c>
      <c r="E3430">
        <v>0.5767253</v>
      </c>
      <c r="F3430" t="s">
        <v>53</v>
      </c>
      <c r="G3430">
        <v>-197.49690000000001</v>
      </c>
      <c r="H3430" s="1">
        <v>3.7527710000000001E-6</v>
      </c>
      <c r="I3430">
        <v>207.04509999999999</v>
      </c>
      <c r="J3430">
        <v>-206.0718</v>
      </c>
      <c r="K3430">
        <v>1.1046940000000001</v>
      </c>
      <c r="L3430">
        <v>212.18899999999999</v>
      </c>
      <c r="M3430">
        <v>0.99800880000000003</v>
      </c>
      <c r="N3430">
        <v>0</v>
      </c>
      <c r="O3430">
        <v>-6.1319039999999998E-2</v>
      </c>
      <c r="P3430">
        <v>0.94121719999999998</v>
      </c>
      <c r="Q3430">
        <v>4.3090669999999998E-2</v>
      </c>
      <c r="R3430">
        <v>-0.33504250000000002</v>
      </c>
      <c r="S3430">
        <v>2.65802</v>
      </c>
      <c r="T3430">
        <v>-0.33114339999999998</v>
      </c>
      <c r="U3430">
        <v>-1.5481720000000001</v>
      </c>
      <c r="V3430">
        <v>0.27742280000000002</v>
      </c>
      <c r="W3430">
        <v>5.3617810000000002E-2</v>
      </c>
      <c r="X3430">
        <v>0.95925059999999995</v>
      </c>
      <c r="Y3430">
        <v>0.44715389999999999</v>
      </c>
      <c r="Z3430">
        <v>-1.8714479999999999E-2</v>
      </c>
      <c r="AA3430">
        <v>0.89426119999999898</v>
      </c>
      <c r="AB3430">
        <v>33</v>
      </c>
      <c r="AC3430">
        <v>8.57489999999998</v>
      </c>
      <c r="AD3430">
        <v>-1.1046902472290001</v>
      </c>
      <c r="AE3430">
        <v>-5.1439000000000297</v>
      </c>
      <c r="AF3430">
        <v>4.5527902441889001</v>
      </c>
      <c r="AG3430">
        <v>-1.1046902472290001</v>
      </c>
      <c r="AH3430">
        <v>8.7672118124595002</v>
      </c>
      <c r="AI3430">
        <v>96.380515675130496</v>
      </c>
      <c r="AJ3430">
        <v>62.557265439588498</v>
      </c>
      <c r="AK3430">
        <v>9.9404347246201397</v>
      </c>
      <c r="AL3430">
        <v>86.926451893356699</v>
      </c>
      <c r="AM3430">
        <v>73.869715977876496</v>
      </c>
      <c r="AN3430">
        <v>0.99999999655469796</v>
      </c>
    </row>
    <row r="3431" spans="1:40" x14ac:dyDescent="0.25">
      <c r="A3431" t="str">
        <f>"20190312151340462"</f>
        <v>20190312151340462</v>
      </c>
      <c r="B3431" t="str">
        <f>"1552374820453394"</f>
        <v>1552374820453394</v>
      </c>
      <c r="C3431" t="s">
        <v>40</v>
      </c>
      <c r="D3431">
        <v>4.1203120000000002</v>
      </c>
      <c r="E3431">
        <v>0.57893219999999901</v>
      </c>
      <c r="F3431" t="s">
        <v>53</v>
      </c>
      <c r="G3431">
        <v>-197.34219999999999</v>
      </c>
      <c r="H3431" s="1">
        <v>3.8147930000000003E-6</v>
      </c>
      <c r="I3431">
        <v>206.9145</v>
      </c>
      <c r="J3431">
        <v>-205.53829999999999</v>
      </c>
      <c r="K3431">
        <v>1.104284</v>
      </c>
      <c r="L3431">
        <v>212.14420000000001</v>
      </c>
      <c r="M3431">
        <v>0.99727279999999996</v>
      </c>
      <c r="N3431">
        <v>0</v>
      </c>
      <c r="O3431">
        <v>-7.2299580000000002E-2</v>
      </c>
      <c r="P3431">
        <v>0.93456830000000002</v>
      </c>
      <c r="Q3431">
        <v>4.2893769999999998E-2</v>
      </c>
      <c r="R3431">
        <v>-0.35318850000000002</v>
      </c>
      <c r="S3431">
        <v>2.6357270000000002</v>
      </c>
      <c r="T3431">
        <v>-0.33353899999999997</v>
      </c>
      <c r="U3431">
        <v>-1.5925290000000001</v>
      </c>
      <c r="V3431">
        <v>0.28547040000000001</v>
      </c>
      <c r="W3431">
        <v>5.3028319999999997E-2</v>
      </c>
      <c r="X3431">
        <v>0.95691939999999998</v>
      </c>
      <c r="Y3431">
        <v>0.45170460000000001</v>
      </c>
      <c r="Z3431">
        <v>-1.791278E-2</v>
      </c>
      <c r="AA3431">
        <v>0.89198770000000005</v>
      </c>
      <c r="AB3431">
        <v>33</v>
      </c>
      <c r="AC3431">
        <v>8.1960999999999995</v>
      </c>
      <c r="AD3431">
        <v>-1.1042801852069899</v>
      </c>
      <c r="AE3431">
        <v>-5.2297000000000002</v>
      </c>
      <c r="AF3431">
        <v>4.5644865836010799</v>
      </c>
      <c r="AG3431">
        <v>-1.1042801852069899</v>
      </c>
      <c r="AH3431">
        <v>8.4438619905157903</v>
      </c>
      <c r="AI3431">
        <v>96.5627877207789</v>
      </c>
      <c r="AJ3431">
        <v>61.6057368033606</v>
      </c>
      <c r="AK3431">
        <v>9.6619241258763999</v>
      </c>
      <c r="AL3431">
        <v>86.960275450689295</v>
      </c>
      <c r="AM3431">
        <v>73.388984425998999</v>
      </c>
      <c r="AN3431">
        <v>1.0000000450472699</v>
      </c>
    </row>
    <row r="3432" spans="1:40" x14ac:dyDescent="0.25">
      <c r="A3432" t="str">
        <f>"20190312151340490"</f>
        <v>20190312151340490</v>
      </c>
      <c r="B3432" t="str">
        <f>"1552374820483650"</f>
        <v>1552374820483650</v>
      </c>
      <c r="C3432" t="s">
        <v>40</v>
      </c>
      <c r="D3432">
        <v>4.1317339999999998</v>
      </c>
      <c r="E3432">
        <v>0.57979389999999997</v>
      </c>
      <c r="F3432" t="s">
        <v>53</v>
      </c>
      <c r="G3432">
        <v>-197.28649999999999</v>
      </c>
      <c r="H3432" s="1">
        <v>3.8355059999999997E-6</v>
      </c>
      <c r="I3432">
        <v>206.87360000000001</v>
      </c>
      <c r="J3432">
        <v>-205.11709999999999</v>
      </c>
      <c r="K3432">
        <v>1.10397099999999</v>
      </c>
      <c r="L3432">
        <v>212.10419999999999</v>
      </c>
      <c r="M3432">
        <v>0.99656369999999905</v>
      </c>
      <c r="N3432">
        <v>0</v>
      </c>
      <c r="O3432">
        <v>-8.1490110000000004E-2</v>
      </c>
      <c r="P3432">
        <v>0.9301161</v>
      </c>
      <c r="Q3432">
        <v>4.3337300000000002E-2</v>
      </c>
      <c r="R3432">
        <v>-0.36470059999999999</v>
      </c>
      <c r="S3432">
        <v>2.5987089999999999</v>
      </c>
      <c r="T3432">
        <v>-0.3477691</v>
      </c>
      <c r="U3432">
        <v>-1.6598820000000001</v>
      </c>
      <c r="V3432">
        <v>0.28851399999999999</v>
      </c>
      <c r="W3432">
        <v>5.3219269999999999E-2</v>
      </c>
      <c r="X3432">
        <v>0.9559955</v>
      </c>
      <c r="Y3432">
        <v>0.46541769999999999</v>
      </c>
      <c r="Z3432">
        <v>-1.8511880000000001E-2</v>
      </c>
      <c r="AA3432">
        <v>0.88489759999999995</v>
      </c>
      <c r="AB3432">
        <v>33</v>
      </c>
      <c r="AC3432">
        <v>7.8305999999999996</v>
      </c>
      <c r="AD3432">
        <v>-1.1039671644939999</v>
      </c>
      <c r="AE3432">
        <v>-5.2305999999999804</v>
      </c>
      <c r="AF3432">
        <v>4.5129887669174797</v>
      </c>
      <c r="AG3432">
        <v>-1.1039671644939999</v>
      </c>
      <c r="AH3432">
        <v>8.1192525799187791</v>
      </c>
      <c r="AI3432">
        <v>96.777476183496802</v>
      </c>
      <c r="AJ3432">
        <v>60.933033104159001</v>
      </c>
      <c r="AK3432">
        <v>9.3545750072957397</v>
      </c>
      <c r="AL3432">
        <v>86.949319236553904</v>
      </c>
      <c r="AM3432">
        <v>73.206484743052101</v>
      </c>
      <c r="AN3432">
        <v>1.0000000074577899</v>
      </c>
    </row>
    <row r="3433" spans="1:40" x14ac:dyDescent="0.25">
      <c r="A3433" t="str">
        <f>"20190312151340511"</f>
        <v>20190312151340511</v>
      </c>
      <c r="B3433" t="str">
        <f>"1552374820504146"</f>
        <v>1552374820504146</v>
      </c>
      <c r="C3433" t="s">
        <v>40</v>
      </c>
      <c r="D3433">
        <v>4.1184799999999999</v>
      </c>
      <c r="E3433">
        <v>0.58035829999999999</v>
      </c>
      <c r="F3433" t="s">
        <v>53</v>
      </c>
      <c r="G3433">
        <v>-197.00450000000001</v>
      </c>
      <c r="H3433" s="1">
        <v>3.917701E-6</v>
      </c>
      <c r="I3433">
        <v>206.75210000000001</v>
      </c>
      <c r="J3433">
        <v>-204.8</v>
      </c>
      <c r="K3433">
        <v>1.1037159999999999</v>
      </c>
      <c r="L3433">
        <v>212.0712</v>
      </c>
      <c r="M3433">
        <v>0.99594249999999995</v>
      </c>
      <c r="N3433">
        <v>0</v>
      </c>
      <c r="O3433">
        <v>-8.8753460000000006E-2</v>
      </c>
      <c r="P3433">
        <v>0.92587459999999999</v>
      </c>
      <c r="Q3433">
        <v>4.2451339999999997E-2</v>
      </c>
      <c r="R3433">
        <v>-0.37543860000000001</v>
      </c>
      <c r="S3433">
        <v>2.5754999999999999</v>
      </c>
      <c r="T3433">
        <v>-0.35047460000000003</v>
      </c>
      <c r="U3433">
        <v>-1.6991270000000001</v>
      </c>
      <c r="V3433">
        <v>0.29262139999999998</v>
      </c>
      <c r="W3433">
        <v>5.2101210000000002E-2</v>
      </c>
      <c r="X3433">
        <v>0.95480790000000004</v>
      </c>
      <c r="Y3433">
        <v>0.4719873</v>
      </c>
      <c r="Z3433">
        <v>-1.8249149999999999E-2</v>
      </c>
      <c r="AA3433">
        <v>0.88141639999999999</v>
      </c>
      <c r="AB3433">
        <v>33</v>
      </c>
      <c r="AC3433">
        <v>7.7954999999999997</v>
      </c>
      <c r="AD3433">
        <v>-1.1037120822990001</v>
      </c>
      <c r="AE3433">
        <v>-5.3190999999999899</v>
      </c>
      <c r="AF3433">
        <v>4.54399812868495</v>
      </c>
      <c r="AG3433">
        <v>-1.1037120822990001</v>
      </c>
      <c r="AH3433">
        <v>8.1257279756758791</v>
      </c>
      <c r="AI3433">
        <v>96.760958230732697</v>
      </c>
      <c r="AJ3433">
        <v>60.785590419389003</v>
      </c>
      <c r="AK3433">
        <v>9.3751562381000699</v>
      </c>
      <c r="AL3433">
        <v>87.013468263029594</v>
      </c>
      <c r="AM3433">
        <v>72.961191096687202</v>
      </c>
      <c r="AN3433">
        <v>0.999999972861916</v>
      </c>
    </row>
    <row r="3434" spans="1:40" x14ac:dyDescent="0.25">
      <c r="A3434" t="str">
        <f>"20190312151340533"</f>
        <v>20190312151340533</v>
      </c>
      <c r="B3434" t="str">
        <f>"1552374820523666"</f>
        <v>1552374820523666</v>
      </c>
      <c r="C3434" t="s">
        <v>40</v>
      </c>
      <c r="D3434">
        <v>4.128787</v>
      </c>
      <c r="E3434">
        <v>0.58048979999999994</v>
      </c>
      <c r="F3434" t="s">
        <v>53</v>
      </c>
      <c r="G3434">
        <v>-196.8389</v>
      </c>
      <c r="H3434" s="1">
        <v>3.9688750000000002E-6</v>
      </c>
      <c r="I3434">
        <v>206.66980000000001</v>
      </c>
      <c r="J3434">
        <v>-204.4845</v>
      </c>
      <c r="K3434">
        <v>1.103472</v>
      </c>
      <c r="L3434">
        <v>212.03569999999999</v>
      </c>
      <c r="M3434">
        <v>0.99524579999999996</v>
      </c>
      <c r="N3434">
        <v>0</v>
      </c>
      <c r="O3434">
        <v>-9.6249249999999995E-2</v>
      </c>
      <c r="P3434">
        <v>0.92120060000000004</v>
      </c>
      <c r="Q3434">
        <v>4.0365999999999999E-2</v>
      </c>
      <c r="R3434">
        <v>-0.38698880000000002</v>
      </c>
      <c r="S3434">
        <v>2.5538020000000001</v>
      </c>
      <c r="T3434">
        <v>-0.35405419999999999</v>
      </c>
      <c r="U3434">
        <v>-1.7326809999999999</v>
      </c>
      <c r="V3434">
        <v>0.29736180000000001</v>
      </c>
      <c r="W3434">
        <v>4.9772499999999997E-2</v>
      </c>
      <c r="X3434">
        <v>0.9534667</v>
      </c>
      <c r="Y3434">
        <v>0.47672310000000001</v>
      </c>
      <c r="Z3434">
        <v>-1.7878970000000001E-2</v>
      </c>
      <c r="AA3434">
        <v>0.87887169999999903</v>
      </c>
      <c r="AB3434">
        <v>33</v>
      </c>
      <c r="AC3434">
        <v>7.6456</v>
      </c>
      <c r="AD3434">
        <v>-1.103468031125</v>
      </c>
      <c r="AE3434">
        <v>-5.3658999999999804</v>
      </c>
      <c r="AF3434">
        <v>4.5416336524774996</v>
      </c>
      <c r="AG3434">
        <v>-1.103468031125</v>
      </c>
      <c r="AH3434">
        <v>8.0147620491911606</v>
      </c>
      <c r="AI3434">
        <v>96.830606320467098</v>
      </c>
      <c r="AJ3434">
        <v>60.461568614284197</v>
      </c>
      <c r="AK3434">
        <v>9.2779571369017404</v>
      </c>
      <c r="AL3434">
        <v>87.1470671853357</v>
      </c>
      <c r="AM3434">
        <v>72.678639438858397</v>
      </c>
      <c r="AN3434">
        <v>1.00000004493218</v>
      </c>
    </row>
    <row r="3435" spans="1:40" x14ac:dyDescent="0.25">
      <c r="A3435" t="str">
        <f>"20190312151340556"</f>
        <v>20190312151340556</v>
      </c>
      <c r="B3435" t="str">
        <f>"1552374820553923"</f>
        <v>1552374820553923</v>
      </c>
      <c r="C3435" t="s">
        <v>40</v>
      </c>
      <c r="D3435">
        <v>4.1775169999999999</v>
      </c>
      <c r="E3435">
        <v>0.5803682</v>
      </c>
      <c r="F3435" t="s">
        <v>53</v>
      </c>
      <c r="G3435">
        <v>-196.83029999999999</v>
      </c>
      <c r="H3435" s="1">
        <v>3.9621149999999999E-6</v>
      </c>
      <c r="I3435">
        <v>206.70099999999999</v>
      </c>
      <c r="J3435">
        <v>-204.1309</v>
      </c>
      <c r="K3435">
        <v>1.103202</v>
      </c>
      <c r="L3435">
        <v>211.99279999999999</v>
      </c>
      <c r="M3435">
        <v>0.99436119999999995</v>
      </c>
      <c r="N3435">
        <v>0</v>
      </c>
      <c r="O3435">
        <v>-0.10498879999999999</v>
      </c>
      <c r="P3435">
        <v>0.91614700000000004</v>
      </c>
      <c r="Q3435">
        <v>3.9203109999999999E-2</v>
      </c>
      <c r="R3435">
        <v>-0.39892090000000002</v>
      </c>
      <c r="S3435">
        <v>2.5314179999999999</v>
      </c>
      <c r="T3435">
        <v>-0.3649442</v>
      </c>
      <c r="U3435">
        <v>-1.764313</v>
      </c>
      <c r="V3435">
        <v>0.30137819999999998</v>
      </c>
      <c r="W3435">
        <v>4.8354660000000001E-2</v>
      </c>
      <c r="X3435">
        <v>0.95227779999999995</v>
      </c>
      <c r="Y3435">
        <v>0.47991840000000002</v>
      </c>
      <c r="Z3435">
        <v>-1.759873E-2</v>
      </c>
      <c r="AA3435">
        <v>0.87713660000000004</v>
      </c>
      <c r="AB3435">
        <v>33</v>
      </c>
      <c r="AC3435">
        <v>7.3006000000000002</v>
      </c>
      <c r="AD3435">
        <v>-1.1031980378849999</v>
      </c>
      <c r="AE3435">
        <v>-5.2917999999999896</v>
      </c>
      <c r="AF3435">
        <v>4.4296712445007502</v>
      </c>
      <c r="AG3435">
        <v>-1.1031980378849999</v>
      </c>
      <c r="AH3435">
        <v>7.7006112213149498</v>
      </c>
      <c r="AI3435">
        <v>97.078823489332393</v>
      </c>
      <c r="AJ3435">
        <v>60.090923517601702</v>
      </c>
      <c r="AK3435">
        <v>8.9520079550340004</v>
      </c>
      <c r="AL3435">
        <v>87.228401267514201</v>
      </c>
      <c r="AM3435">
        <v>72.4383899178261</v>
      </c>
      <c r="AN3435">
        <v>1.00000000047589</v>
      </c>
    </row>
    <row r="3436" spans="1:40" x14ac:dyDescent="0.25">
      <c r="A3436" t="str">
        <f>"20190312151340596"</f>
        <v>20190312151340596</v>
      </c>
      <c r="B3436" t="str">
        <f>"1552374820584178"</f>
        <v>1552374820584178</v>
      </c>
      <c r="C3436" t="s">
        <v>40</v>
      </c>
      <c r="D3436">
        <v>4.1806299999999998</v>
      </c>
      <c r="E3436">
        <v>0.57997200000000004</v>
      </c>
      <c r="F3436" t="s">
        <v>53</v>
      </c>
      <c r="G3436">
        <v>-196.71190000000001</v>
      </c>
      <c r="H3436" s="1">
        <v>3.9890229999999998E-6</v>
      </c>
      <c r="I3436">
        <v>206.67869999999999</v>
      </c>
      <c r="J3436">
        <v>-203.55170000000001</v>
      </c>
      <c r="K3436">
        <v>1.102741</v>
      </c>
      <c r="L3436">
        <v>211.91489999999999</v>
      </c>
      <c r="M3436">
        <v>0.99264330000000001</v>
      </c>
      <c r="N3436">
        <v>0</v>
      </c>
      <c r="O3436">
        <v>-0.120144</v>
      </c>
      <c r="P3436">
        <v>0.9062344</v>
      </c>
      <c r="Q3436">
        <v>4.1711600000000001E-2</v>
      </c>
      <c r="R3436">
        <v>-0.42071310000000001</v>
      </c>
      <c r="S3436">
        <v>2.5082239999999998</v>
      </c>
      <c r="T3436">
        <v>-0.37297190000000002</v>
      </c>
      <c r="U3436">
        <v>-1.796616</v>
      </c>
      <c r="V3436">
        <v>0.30973289999999998</v>
      </c>
      <c r="W3436">
        <v>5.0377320000000003E-2</v>
      </c>
      <c r="X3436">
        <v>0.94948809999999995</v>
      </c>
      <c r="Y3436">
        <v>0.47786020000000001</v>
      </c>
      <c r="Z3436">
        <v>-1.59556E-2</v>
      </c>
      <c r="AA3436">
        <v>0.87829099999999904</v>
      </c>
      <c r="AB3436">
        <v>33</v>
      </c>
      <c r="AC3436">
        <v>6.8397999999999897</v>
      </c>
      <c r="AD3436">
        <v>-1.1027370109770001</v>
      </c>
      <c r="AE3436">
        <v>-5.2361999999999904</v>
      </c>
      <c r="AF3436">
        <v>4.3058438023413599</v>
      </c>
      <c r="AG3436">
        <v>-1.1027370109770001</v>
      </c>
      <c r="AH3436">
        <v>7.29978163344237</v>
      </c>
      <c r="AI3436">
        <v>97.413398473029801</v>
      </c>
      <c r="AJ3436">
        <v>59.465377070921598</v>
      </c>
      <c r="AK3436">
        <v>8.5465274621616096</v>
      </c>
      <c r="AL3436">
        <v>87.112369888194294</v>
      </c>
      <c r="AM3436">
        <v>71.933134904157399</v>
      </c>
      <c r="AN3436">
        <v>0.99999999787720095</v>
      </c>
    </row>
    <row r="3437" spans="1:40" x14ac:dyDescent="0.25">
      <c r="A3437" t="str">
        <f>"20190312151340624"</f>
        <v>20190312151340624</v>
      </c>
      <c r="B3437" t="str">
        <f>"1552374820613458"</f>
        <v>1552374820613458</v>
      </c>
      <c r="C3437" t="s">
        <v>40</v>
      </c>
      <c r="D3437">
        <v>4.1379789999999996</v>
      </c>
      <c r="E3437">
        <v>0.57941540000000002</v>
      </c>
      <c r="F3437" t="s">
        <v>53</v>
      </c>
      <c r="G3437">
        <v>-196.12860000000001</v>
      </c>
      <c r="H3437" s="1">
        <v>4.2025220000000002E-6</v>
      </c>
      <c r="I3437">
        <v>206.3304</v>
      </c>
      <c r="J3437">
        <v>-203.14779999999999</v>
      </c>
      <c r="K3437">
        <v>1.1024080000000001</v>
      </c>
      <c r="L3437">
        <v>211.85480000000001</v>
      </c>
      <c r="M3437">
        <v>0.99122690000000002</v>
      </c>
      <c r="N3437">
        <v>0</v>
      </c>
      <c r="O3437">
        <v>-0.13131370000000001</v>
      </c>
      <c r="P3437">
        <v>0.89975910000000003</v>
      </c>
      <c r="Q3437">
        <v>4.261964E-2</v>
      </c>
      <c r="R3437">
        <v>-0.4343013</v>
      </c>
      <c r="S3437">
        <v>2.4659879999999998</v>
      </c>
      <c r="T3437">
        <v>-0.36633250000000001</v>
      </c>
      <c r="U3437">
        <v>-1.855194</v>
      </c>
      <c r="V3437">
        <v>0.31339349999999999</v>
      </c>
      <c r="W3437">
        <v>5.098594E-2</v>
      </c>
      <c r="X3437">
        <v>0.94825360000000003</v>
      </c>
      <c r="Y3437">
        <v>0.48857539999999999</v>
      </c>
      <c r="Z3437">
        <v>-1.507118E-2</v>
      </c>
      <c r="AA3437">
        <v>0.87239149999999999</v>
      </c>
      <c r="AB3437">
        <v>33</v>
      </c>
      <c r="AC3437">
        <v>7.0191999999999801</v>
      </c>
      <c r="AD3437">
        <v>-1.1024037974779901</v>
      </c>
      <c r="AE3437">
        <v>-5.5244000000000097</v>
      </c>
      <c r="AF3437">
        <v>4.4863967592540401</v>
      </c>
      <c r="AG3437">
        <v>-1.1024037974779901</v>
      </c>
      <c r="AH3437">
        <v>7.56863563945402</v>
      </c>
      <c r="AI3437">
        <v>97.141703735688495</v>
      </c>
      <c r="AJ3437">
        <v>59.342164814827797</v>
      </c>
      <c r="AK3437">
        <v>8.86720336165539</v>
      </c>
      <c r="AL3437">
        <v>87.077453579156497</v>
      </c>
      <c r="AM3437">
        <v>71.711514429385304</v>
      </c>
      <c r="AN3437">
        <v>0.99999997091644599</v>
      </c>
    </row>
    <row r="3438" spans="1:40" x14ac:dyDescent="0.25">
      <c r="A3438" t="str">
        <f>"20190312151340642"</f>
        <v>20190312151340642</v>
      </c>
      <c r="B3438" t="str">
        <f>"1552374820633954"</f>
        <v>1552374820633954</v>
      </c>
      <c r="C3438" t="s">
        <v>40</v>
      </c>
      <c r="D3438">
        <v>4.2369070000000004</v>
      </c>
      <c r="E3438">
        <v>0.57887379999999999</v>
      </c>
      <c r="F3438" t="s">
        <v>53</v>
      </c>
      <c r="G3438">
        <v>-195.83529999999999</v>
      </c>
      <c r="H3438" s="1">
        <v>4.3156349999999997E-6</v>
      </c>
      <c r="I3438">
        <v>206.1944</v>
      </c>
      <c r="J3438">
        <v>-202.86949999999999</v>
      </c>
      <c r="K3438">
        <v>1.1021650000000001</v>
      </c>
      <c r="L3438">
        <v>211.81020000000001</v>
      </c>
      <c r="M3438">
        <v>0.99012869999999997</v>
      </c>
      <c r="N3438">
        <v>0</v>
      </c>
      <c r="O3438">
        <v>-0.1393489</v>
      </c>
      <c r="P3438">
        <v>0.8943757</v>
      </c>
      <c r="Q3438">
        <v>4.2550119999999997E-2</v>
      </c>
      <c r="R3438">
        <v>-0.44528879999999998</v>
      </c>
      <c r="S3438">
        <v>2.4399570000000002</v>
      </c>
      <c r="T3438">
        <v>-0.36783739999999998</v>
      </c>
      <c r="U3438">
        <v>-1.8887020000000001</v>
      </c>
      <c r="V3438">
        <v>0.31734479999999998</v>
      </c>
      <c r="W3438">
        <v>5.0668299999999999E-2</v>
      </c>
      <c r="X3438">
        <v>0.94695569999999896</v>
      </c>
      <c r="Y3438">
        <v>0.49348560000000002</v>
      </c>
      <c r="Z3438">
        <v>-1.449982E-2</v>
      </c>
      <c r="AA3438">
        <v>0.86963310000000005</v>
      </c>
      <c r="AB3438">
        <v>33</v>
      </c>
      <c r="AC3438">
        <v>7.0341999999999896</v>
      </c>
      <c r="AD3438">
        <v>-1.102160684365</v>
      </c>
      <c r="AE3438">
        <v>-5.6158000000000001</v>
      </c>
      <c r="AF3438">
        <v>4.5130094360910098</v>
      </c>
      <c r="AG3438">
        <v>-1.102160684365</v>
      </c>
      <c r="AH3438">
        <v>7.6337394596806298</v>
      </c>
      <c r="AI3438">
        <v>97.084693423006897</v>
      </c>
      <c r="AJ3438">
        <v>59.408739439803298</v>
      </c>
      <c r="AK3438">
        <v>8.9362179070729706</v>
      </c>
      <c r="AL3438">
        <v>87.095676789743607</v>
      </c>
      <c r="AM3438">
        <v>71.472914286394598</v>
      </c>
      <c r="AN3438">
        <v>1.0000000482372</v>
      </c>
    </row>
    <row r="3439" spans="1:40" x14ac:dyDescent="0.25">
      <c r="A3439" t="str">
        <f>"20190312151340668"</f>
        <v>20190312151340668</v>
      </c>
      <c r="B3439" t="str">
        <f>"1552374820664211"</f>
        <v>1552374820664211</v>
      </c>
      <c r="C3439" t="s">
        <v>40</v>
      </c>
      <c r="D3439">
        <v>4.1942529999999998</v>
      </c>
      <c r="E3439">
        <v>0.57829719999999996</v>
      </c>
      <c r="F3439" t="s">
        <v>53</v>
      </c>
      <c r="G3439">
        <v>-195.6549</v>
      </c>
      <c r="H3439" s="1">
        <v>4.3904079999999997E-6</v>
      </c>
      <c r="I3439">
        <v>206.096</v>
      </c>
      <c r="J3439">
        <v>-202.50649999999999</v>
      </c>
      <c r="K3439">
        <v>1.1018129999999999</v>
      </c>
      <c r="L3439">
        <v>211.7482</v>
      </c>
      <c r="M3439">
        <v>0.98853000000000002</v>
      </c>
      <c r="N3439">
        <v>0</v>
      </c>
      <c r="O3439">
        <v>-0.1502657</v>
      </c>
      <c r="P3439">
        <v>0.88758110000000001</v>
      </c>
      <c r="Q3439">
        <v>4.1943630000000003E-2</v>
      </c>
      <c r="R3439">
        <v>-0.45873819999999998</v>
      </c>
      <c r="S3439">
        <v>2.4182739999999998</v>
      </c>
      <c r="T3439">
        <v>-0.36943520000000002</v>
      </c>
      <c r="U3439">
        <v>-1.9153439999999999</v>
      </c>
      <c r="V3439">
        <v>0.32121569999999999</v>
      </c>
      <c r="W3439">
        <v>4.9747739999999999E-2</v>
      </c>
      <c r="X3439">
        <v>0.9456985</v>
      </c>
      <c r="Y3439">
        <v>0.4936277</v>
      </c>
      <c r="Z3439">
        <v>-1.3221460000000001E-2</v>
      </c>
      <c r="AA3439">
        <v>0.86957289999999998</v>
      </c>
      <c r="AB3439">
        <v>33</v>
      </c>
      <c r="AC3439">
        <v>6.8515999999999897</v>
      </c>
      <c r="AD3439">
        <v>-1.1018086095920001</v>
      </c>
      <c r="AE3439">
        <v>-5.6522000000000201</v>
      </c>
      <c r="AF3439">
        <v>4.4892496647491598</v>
      </c>
      <c r="AG3439">
        <v>-1.1018086095920001</v>
      </c>
      <c r="AH3439">
        <v>7.5076876847347602</v>
      </c>
      <c r="AI3439">
        <v>97.178997764187201</v>
      </c>
      <c r="AJ3439">
        <v>59.122530186366497</v>
      </c>
      <c r="AK3439">
        <v>8.81661608192959</v>
      </c>
      <c r="AL3439">
        <v>87.148487483633104</v>
      </c>
      <c r="AM3439">
        <v>71.239444264917395</v>
      </c>
      <c r="AN3439">
        <v>1.00000000823192</v>
      </c>
    </row>
    <row r="3440" spans="1:40" x14ac:dyDescent="0.25">
      <c r="A3440" t="str">
        <f>"20190312151340689"</f>
        <v>20190312151340689</v>
      </c>
      <c r="B3440" t="str">
        <f>"1552374820683731"</f>
        <v>1552374820683731</v>
      </c>
      <c r="C3440" t="s">
        <v>40</v>
      </c>
      <c r="D3440">
        <v>4.172879</v>
      </c>
      <c r="E3440">
        <v>0.57782519999999904</v>
      </c>
      <c r="F3440" t="s">
        <v>53</v>
      </c>
      <c r="G3440">
        <v>-195.40899999999999</v>
      </c>
      <c r="H3440" s="1">
        <v>4.4925480000000002E-6</v>
      </c>
      <c r="I3440">
        <v>205.96129999999999</v>
      </c>
      <c r="J3440">
        <v>-202.19130000000001</v>
      </c>
      <c r="K3440">
        <v>1.101494</v>
      </c>
      <c r="L3440">
        <v>211.69049999999999</v>
      </c>
      <c r="M3440">
        <v>0.98697230000000002</v>
      </c>
      <c r="N3440">
        <v>0</v>
      </c>
      <c r="O3440">
        <v>-0.1601735</v>
      </c>
      <c r="P3440">
        <v>0.88113770000000002</v>
      </c>
      <c r="Q3440">
        <v>4.1095489999999998E-2</v>
      </c>
      <c r="R3440">
        <v>-0.47107090000000001</v>
      </c>
      <c r="S3440">
        <v>2.390228</v>
      </c>
      <c r="T3440">
        <v>-0.37105929999999998</v>
      </c>
      <c r="U3440">
        <v>-1.948868</v>
      </c>
      <c r="V3440">
        <v>0.32493139999999998</v>
      </c>
      <c r="W3440">
        <v>4.8606620000000003E-2</v>
      </c>
      <c r="X3440">
        <v>0.94448770000000004</v>
      </c>
      <c r="Y3440">
        <v>0.49724230000000003</v>
      </c>
      <c r="Z3440">
        <v>-1.230854E-2</v>
      </c>
      <c r="AA3440">
        <v>0.86752439999999997</v>
      </c>
      <c r="AB3440">
        <v>33</v>
      </c>
      <c r="AC3440">
        <v>6.7822999999999896</v>
      </c>
      <c r="AD3440">
        <v>-1.1014895074519999</v>
      </c>
      <c r="AE3440">
        <v>-5.7291999999999899</v>
      </c>
      <c r="AF3440">
        <v>4.4994848897031501</v>
      </c>
      <c r="AG3440">
        <v>-1.1014895074519999</v>
      </c>
      <c r="AH3440">
        <v>7.4970861718073802</v>
      </c>
      <c r="AI3440">
        <v>97.180054948334401</v>
      </c>
      <c r="AJ3440">
        <v>59.029314181591303</v>
      </c>
      <c r="AK3440">
        <v>8.8127716681642898</v>
      </c>
      <c r="AL3440">
        <v>87.213948073242193</v>
      </c>
      <c r="AM3440">
        <v>71.015284119465605</v>
      </c>
      <c r="AN3440">
        <v>1.00000001683253</v>
      </c>
    </row>
    <row r="3441" spans="1:40" x14ac:dyDescent="0.25">
      <c r="A3441" t="str">
        <f>"20190312151340713"</f>
        <v>20190312151340713</v>
      </c>
      <c r="B3441" t="str">
        <f>"1552374820704227"</f>
        <v>1552374820704227</v>
      </c>
      <c r="C3441" t="s">
        <v>40</v>
      </c>
      <c r="D3441">
        <v>4.0360100000000001</v>
      </c>
      <c r="E3441">
        <v>0.57763219999999904</v>
      </c>
      <c r="F3441" t="s">
        <v>53</v>
      </c>
      <c r="G3441">
        <v>-195.23560000000001</v>
      </c>
      <c r="H3441" s="1">
        <v>4.5652020000000004E-6</v>
      </c>
      <c r="I3441">
        <v>205.8646</v>
      </c>
      <c r="J3441">
        <v>-201.8502</v>
      </c>
      <c r="K3441">
        <v>1.1011679999999999</v>
      </c>
      <c r="L3441">
        <v>211.62389999999999</v>
      </c>
      <c r="M3441">
        <v>0.98510339999999996</v>
      </c>
      <c r="N3441">
        <v>0</v>
      </c>
      <c r="O3441">
        <v>-0.1712872</v>
      </c>
      <c r="P3441">
        <v>0.87386070000000005</v>
      </c>
      <c r="Q3441">
        <v>4.0564410000000002E-2</v>
      </c>
      <c r="R3441">
        <v>-0.48448150000000001</v>
      </c>
      <c r="S3441">
        <v>2.3637079999999999</v>
      </c>
      <c r="T3441">
        <v>-0.3743088</v>
      </c>
      <c r="U3441">
        <v>-1.9797670000000001</v>
      </c>
      <c r="V3441">
        <v>0.3287429</v>
      </c>
      <c r="W3441">
        <v>4.7772170000000003E-2</v>
      </c>
      <c r="X3441">
        <v>0.94321049999999995</v>
      </c>
      <c r="Y3441">
        <v>0.4989439</v>
      </c>
      <c r="Z3441">
        <v>-1.113838E-2</v>
      </c>
      <c r="AA3441">
        <v>0.86656270000000002</v>
      </c>
      <c r="AB3441">
        <v>33</v>
      </c>
      <c r="AC3441">
        <v>6.6145999999999896</v>
      </c>
      <c r="AD3441">
        <v>-1.1011634347979999</v>
      </c>
      <c r="AE3441">
        <v>-5.7592999999999899</v>
      </c>
      <c r="AF3441">
        <v>4.47056508010757</v>
      </c>
      <c r="AG3441">
        <v>-1.1011634347979999</v>
      </c>
      <c r="AH3441">
        <v>7.3869855891267902</v>
      </c>
      <c r="AI3441">
        <v>97.267788884301893</v>
      </c>
      <c r="AJ3441">
        <v>58.817892981122199</v>
      </c>
      <c r="AK3441">
        <v>8.7043706917605697</v>
      </c>
      <c r="AL3441">
        <v>87.261814267885597</v>
      </c>
      <c r="AM3441">
        <v>70.784710219683006</v>
      </c>
      <c r="AN3441">
        <v>1.00000006091858</v>
      </c>
    </row>
    <row r="3442" spans="1:40" x14ac:dyDescent="0.25">
      <c r="A3442" t="str">
        <f>"20190312151340735"</f>
        <v>20190312151340735</v>
      </c>
      <c r="B3442" t="str">
        <f>"1552374820723276"</f>
        <v>1552374820723276</v>
      </c>
      <c r="C3442" t="s">
        <v>40</v>
      </c>
      <c r="D3442">
        <v>4.3174710000000003</v>
      </c>
      <c r="E3442">
        <v>0.60189029999999999</v>
      </c>
      <c r="F3442" t="s">
        <v>53</v>
      </c>
      <c r="G3442">
        <v>-194.98220000000001</v>
      </c>
      <c r="H3442" s="1">
        <v>4.6827430000000002E-6</v>
      </c>
      <c r="I3442">
        <v>205.691</v>
      </c>
      <c r="J3442">
        <v>-201.5223</v>
      </c>
      <c r="K3442">
        <v>1.100862</v>
      </c>
      <c r="L3442">
        <v>211.55590000000001</v>
      </c>
      <c r="M3442">
        <v>0.98311440000000005</v>
      </c>
      <c r="N3442">
        <v>0</v>
      </c>
      <c r="O3442">
        <v>-0.18235290000000001</v>
      </c>
      <c r="P3442">
        <v>0.86657450000000003</v>
      </c>
      <c r="Q3442">
        <v>4.0981900000000002E-2</v>
      </c>
      <c r="R3442">
        <v>-0.49736269999999999</v>
      </c>
      <c r="S3442">
        <v>2.3330229999999998</v>
      </c>
      <c r="T3442">
        <v>-0.37406270000000003</v>
      </c>
      <c r="U3442">
        <v>-2.0154109999999998</v>
      </c>
      <c r="V3442">
        <v>0.33214690000000002</v>
      </c>
      <c r="W3442">
        <v>4.7904090000000003E-2</v>
      </c>
      <c r="X3442">
        <v>0.94201040000000003</v>
      </c>
      <c r="Y3442">
        <v>0.50247129999999995</v>
      </c>
      <c r="Z3442">
        <v>-9.9888070000000006E-3</v>
      </c>
      <c r="AA3442">
        <v>0.86453619999999898</v>
      </c>
      <c r="AB3442">
        <v>33</v>
      </c>
      <c r="AC3442">
        <v>6.54009999999999</v>
      </c>
      <c r="AD3442">
        <v>-1.100857317257</v>
      </c>
      <c r="AE3442">
        <v>-5.8649000000000298</v>
      </c>
      <c r="AF3442">
        <v>4.5030785406333997</v>
      </c>
      <c r="AG3442">
        <v>-1.100857317257</v>
      </c>
      <c r="AH3442">
        <v>7.3840634082895402</v>
      </c>
      <c r="AI3442">
        <v>97.2538351189163</v>
      </c>
      <c r="AJ3442">
        <v>58.623596354998</v>
      </c>
      <c r="AK3442">
        <v>8.7186005524804102</v>
      </c>
      <c r="AL3442">
        <v>87.254246921417007</v>
      </c>
      <c r="AM3442">
        <v>70.577672491302295</v>
      </c>
      <c r="AN3442">
        <v>0.99999997936324803</v>
      </c>
    </row>
    <row r="3443" spans="1:40" x14ac:dyDescent="0.25">
      <c r="A3443" t="str">
        <f>"20190312151340757"</f>
        <v>20190312151340757</v>
      </c>
      <c r="B3443" t="str">
        <f>"1552374820743772"</f>
        <v>1552374820743772</v>
      </c>
      <c r="C3443" t="s">
        <v>40</v>
      </c>
      <c r="D3443">
        <v>4.3398269999999997</v>
      </c>
      <c r="E3443">
        <v>0.61790049999999996</v>
      </c>
      <c r="F3443" t="s">
        <v>53</v>
      </c>
      <c r="G3443">
        <v>-196.19159999999999</v>
      </c>
      <c r="H3443" s="1">
        <v>4.2371989999999996E-6</v>
      </c>
      <c r="I3443">
        <v>206.19280000000001</v>
      </c>
      <c r="J3443">
        <v>-201.21039999999999</v>
      </c>
      <c r="K3443">
        <v>1.100576</v>
      </c>
      <c r="L3443">
        <v>211.4873</v>
      </c>
      <c r="M3443">
        <v>0.98102909999999999</v>
      </c>
      <c r="N3443">
        <v>0</v>
      </c>
      <c r="O3443">
        <v>-0.19325300000000001</v>
      </c>
      <c r="P3443">
        <v>0.85945530000000003</v>
      </c>
      <c r="Q3443">
        <v>4.1359199999999999E-2</v>
      </c>
      <c r="R3443">
        <v>-0.50953519999999997</v>
      </c>
      <c r="S3443">
        <v>2.2083279999999998</v>
      </c>
      <c r="T3443">
        <v>-0.45604359999999999</v>
      </c>
      <c r="U3443">
        <v>-2.2217250000000002</v>
      </c>
      <c r="V3443">
        <v>0.3350244</v>
      </c>
      <c r="W3443">
        <v>4.801602E-2</v>
      </c>
      <c r="X3443">
        <v>0.94098510000000002</v>
      </c>
      <c r="Y3443">
        <v>0.55594080000000001</v>
      </c>
      <c r="Z3443">
        <v>-1.516181E-2</v>
      </c>
      <c r="AA3443">
        <v>0.83108359999999903</v>
      </c>
      <c r="AB3443">
        <v>33</v>
      </c>
      <c r="AC3443">
        <v>5.0187999999999899</v>
      </c>
      <c r="AD3443">
        <v>-1.1005717628010001</v>
      </c>
      <c r="AE3443">
        <v>-5.2944999999999904</v>
      </c>
      <c r="AF3443">
        <v>4.1306461190188202</v>
      </c>
      <c r="AG3443">
        <v>-1.1005717628010001</v>
      </c>
      <c r="AH3443">
        <v>5.8151175684323997</v>
      </c>
      <c r="AI3443">
        <v>98.771327174658794</v>
      </c>
      <c r="AJ3443">
        <v>54.612720943200202</v>
      </c>
      <c r="AK3443">
        <v>7.2172770419550396</v>
      </c>
      <c r="AL3443">
        <v>87.247826259961599</v>
      </c>
      <c r="AM3443">
        <v>70.402449126903207</v>
      </c>
      <c r="AN3443">
        <v>0.99999992259700199</v>
      </c>
    </row>
    <row r="3444" spans="1:40" x14ac:dyDescent="0.25">
      <c r="A3444" t="str">
        <f>"20190312151340784"</f>
        <v>20190312151340784</v>
      </c>
      <c r="B3444" t="str">
        <f>"1552374820774028"</f>
        <v>1552374820774028</v>
      </c>
      <c r="C3444" t="s">
        <v>40</v>
      </c>
      <c r="D3444">
        <v>4.4419769999999996</v>
      </c>
      <c r="E3444">
        <v>0.62470760000000003</v>
      </c>
      <c r="F3444" t="s">
        <v>53</v>
      </c>
      <c r="G3444">
        <v>-195.86799999999999</v>
      </c>
      <c r="H3444" s="1">
        <v>4.5506629999999999E-6</v>
      </c>
      <c r="I3444">
        <v>205.50899999999999</v>
      </c>
      <c r="J3444">
        <v>-200.82400000000001</v>
      </c>
      <c r="K3444">
        <v>1.100206</v>
      </c>
      <c r="L3444">
        <v>211.39709999999999</v>
      </c>
      <c r="M3444">
        <v>0.97816510000000001</v>
      </c>
      <c r="N3444">
        <v>0</v>
      </c>
      <c r="O3444">
        <v>-0.207257</v>
      </c>
      <c r="P3444">
        <v>0.85091090000000003</v>
      </c>
      <c r="Q3444">
        <v>4.1936889999999998E-2</v>
      </c>
      <c r="R3444">
        <v>-0.52363300000000002</v>
      </c>
      <c r="S3444">
        <v>2.1110229999999999</v>
      </c>
      <c r="T3444">
        <v>-0.4348786</v>
      </c>
      <c r="U3444">
        <v>-2.362244</v>
      </c>
      <c r="V3444">
        <v>0.33714850000000002</v>
      </c>
      <c r="W3444">
        <v>4.8297989999999999E-2</v>
      </c>
      <c r="X3444">
        <v>0.94021180000000004</v>
      </c>
      <c r="Y3444">
        <v>0.58791890000000002</v>
      </c>
      <c r="Z3444">
        <v>-1.513629E-2</v>
      </c>
      <c r="AA3444">
        <v>0.80877829999999995</v>
      </c>
      <c r="AB3444">
        <v>32</v>
      </c>
      <c r="AC3444">
        <v>4.9560000000000102</v>
      </c>
      <c r="AD3444">
        <v>-1.100201449337</v>
      </c>
      <c r="AE3444">
        <v>-5.8880999999999801</v>
      </c>
      <c r="AF3444">
        <v>4.6381464824237399</v>
      </c>
      <c r="AG3444">
        <v>-1.100201449337</v>
      </c>
      <c r="AH3444">
        <v>5.9473192021506698</v>
      </c>
      <c r="AI3444">
        <v>98.299483786595701</v>
      </c>
      <c r="AJ3444">
        <v>52.0503365503073</v>
      </c>
      <c r="AK3444">
        <v>7.6219060420483498</v>
      </c>
      <c r="AL3444">
        <v>87.231652065716204</v>
      </c>
      <c r="AM3444">
        <v>70.272784697917601</v>
      </c>
      <c r="AN3444">
        <v>1.0000000178747599</v>
      </c>
    </row>
    <row r="3445" spans="1:40" x14ac:dyDescent="0.25">
      <c r="A3445" t="str">
        <f>"20190312151340808"</f>
        <v>20190312151340808</v>
      </c>
      <c r="B3445" t="str">
        <f>"1552374820804285"</f>
        <v>1552374820804285</v>
      </c>
      <c r="C3445" t="s">
        <v>40</v>
      </c>
      <c r="D3445">
        <v>4.3296849999999996</v>
      </c>
      <c r="E3445">
        <v>0.62566860000000002</v>
      </c>
      <c r="F3445" t="s">
        <v>53</v>
      </c>
      <c r="G3445">
        <v>-195.6343</v>
      </c>
      <c r="H3445" s="1">
        <v>4.7157770000000002E-6</v>
      </c>
      <c r="I3445">
        <v>205.1885</v>
      </c>
      <c r="J3445">
        <v>-200.50489999999999</v>
      </c>
      <c r="K3445">
        <v>1.0998950000000001</v>
      </c>
      <c r="L3445">
        <v>211.3175</v>
      </c>
      <c r="M3445">
        <v>0.97553679999999998</v>
      </c>
      <c r="N3445">
        <v>0</v>
      </c>
      <c r="O3445">
        <v>-0.21929109999999999</v>
      </c>
      <c r="P3445">
        <v>0.84301029999999999</v>
      </c>
      <c r="Q3445">
        <v>4.2454310000000002E-2</v>
      </c>
      <c r="R3445">
        <v>-0.53621980000000002</v>
      </c>
      <c r="S3445">
        <v>2.0429529999999998</v>
      </c>
      <c r="T3445">
        <v>-0.43309799999999998</v>
      </c>
      <c r="U3445">
        <v>-2.4440309999999998</v>
      </c>
      <c r="V3445">
        <v>0.33959400000000001</v>
      </c>
      <c r="W3445">
        <v>4.8545650000000003E-2</v>
      </c>
      <c r="X3445">
        <v>0.93931849999999995</v>
      </c>
      <c r="Y3445">
        <v>0.60454759999999996</v>
      </c>
      <c r="Z3445">
        <v>-1.476645E-2</v>
      </c>
      <c r="AA3445">
        <v>0.79643219999999904</v>
      </c>
      <c r="AB3445">
        <v>32</v>
      </c>
      <c r="AC3445">
        <v>4.8705999999999898</v>
      </c>
      <c r="AD3445">
        <v>-1.0998902842230001</v>
      </c>
      <c r="AE3445">
        <v>-6.1289999999999898</v>
      </c>
      <c r="AF3445">
        <v>4.8165002374771904</v>
      </c>
      <c r="AG3445">
        <v>-1.0998902842230001</v>
      </c>
      <c r="AH3445">
        <v>5.9782097850753102</v>
      </c>
      <c r="AI3445">
        <v>98.153239090051599</v>
      </c>
      <c r="AJ3445">
        <v>51.142440239935702</v>
      </c>
      <c r="AK3445">
        <v>7.7554771232539998</v>
      </c>
      <c r="AL3445">
        <v>87.217445491894594</v>
      </c>
      <c r="AM3445">
        <v>70.123438824910295</v>
      </c>
      <c r="AN3445">
        <v>1.00000000470608</v>
      </c>
    </row>
    <row r="3446" spans="1:40" x14ac:dyDescent="0.25">
      <c r="A3446" t="str">
        <f>"20190312151340842"</f>
        <v>20190312151340842</v>
      </c>
      <c r="B3446" t="str">
        <f>"1552374820834074"</f>
        <v>1552374820834074</v>
      </c>
      <c r="C3446" t="s">
        <v>40</v>
      </c>
      <c r="D3446">
        <v>4.4849269999999999</v>
      </c>
      <c r="E3446">
        <v>0.62616149999999904</v>
      </c>
      <c r="F3446" t="s">
        <v>53</v>
      </c>
      <c r="G3446">
        <v>-195.42670000000001</v>
      </c>
      <c r="H3446" s="1">
        <v>4.8201120000000001E-6</v>
      </c>
      <c r="I3446">
        <v>205.02350000000001</v>
      </c>
      <c r="J3446">
        <v>-200.001</v>
      </c>
      <c r="K3446">
        <v>1.099391</v>
      </c>
      <c r="L3446">
        <v>211.1823</v>
      </c>
      <c r="M3446">
        <v>0.97085909999999997</v>
      </c>
      <c r="N3446">
        <v>0</v>
      </c>
      <c r="O3446">
        <v>-0.2391432</v>
      </c>
      <c r="P3446">
        <v>0.82816000000000001</v>
      </c>
      <c r="Q3446">
        <v>4.3394259999999997E-2</v>
      </c>
      <c r="R3446">
        <v>-0.55880929999999995</v>
      </c>
      <c r="S3446">
        <v>2.0021059999999999</v>
      </c>
      <c r="T3446">
        <v>-0.43363770000000001</v>
      </c>
      <c r="U3446">
        <v>-2.4814449999999999</v>
      </c>
      <c r="V3446">
        <v>0.34591729999999998</v>
      </c>
      <c r="W3446">
        <v>4.8978580000000001E-2</v>
      </c>
      <c r="X3446">
        <v>0.93698570000000003</v>
      </c>
      <c r="Y3446">
        <v>0.60233230000000004</v>
      </c>
      <c r="Z3446">
        <v>-1.166216E-2</v>
      </c>
      <c r="AA3446">
        <v>0.79816030000000004</v>
      </c>
      <c r="AB3446">
        <v>32</v>
      </c>
      <c r="AC3446">
        <v>4.5742999999999601</v>
      </c>
      <c r="AD3446">
        <v>-1.099386179888</v>
      </c>
      <c r="AE3446">
        <v>-6.1587999999999798</v>
      </c>
      <c r="AF3446">
        <v>4.7876881081825298</v>
      </c>
      <c r="AG3446">
        <v>-1.099386179888</v>
      </c>
      <c r="AH3446">
        <v>5.7955375451332998</v>
      </c>
      <c r="AI3446">
        <v>98.320348278247906</v>
      </c>
      <c r="AJ3446">
        <v>50.439919901503103</v>
      </c>
      <c r="AK3446">
        <v>7.59729312523947</v>
      </c>
      <c r="AL3446">
        <v>87.192610707902702</v>
      </c>
      <c r="AM3446">
        <v>69.736812972900694</v>
      </c>
      <c r="AN3446">
        <v>0.99999994087129596</v>
      </c>
    </row>
    <row r="3447" spans="1:40" x14ac:dyDescent="0.25">
      <c r="A3447" t="str">
        <f>"20190312151340873"</f>
        <v>20190312151340873</v>
      </c>
      <c r="B3447" t="str">
        <f>"1552374820863354"</f>
        <v>1552374820863354</v>
      </c>
      <c r="C3447" t="s">
        <v>40</v>
      </c>
      <c r="D3447">
        <v>4.4011659999999999</v>
      </c>
      <c r="E3447">
        <v>0.62550240000000001</v>
      </c>
      <c r="F3447" t="s">
        <v>53</v>
      </c>
      <c r="G3447">
        <v>-195.08760000000001</v>
      </c>
      <c r="H3447" s="1">
        <v>5.0010180000000001E-6</v>
      </c>
      <c r="I3447">
        <v>204.72450000000001</v>
      </c>
      <c r="J3447">
        <v>-199.57859999999999</v>
      </c>
      <c r="K3447">
        <v>1.0989910000000001</v>
      </c>
      <c r="L3447">
        <v>211.05959999999999</v>
      </c>
      <c r="M3447">
        <v>0.96641659999999996</v>
      </c>
      <c r="N3447">
        <v>0</v>
      </c>
      <c r="O3447">
        <v>-0.25650129999999999</v>
      </c>
      <c r="P3447">
        <v>0.81602699999999995</v>
      </c>
      <c r="Q3447">
        <v>4.3901099999999998E-2</v>
      </c>
      <c r="R3447">
        <v>-0.57634410000000003</v>
      </c>
      <c r="S3447">
        <v>1.931854</v>
      </c>
      <c r="T3447">
        <v>-0.4322588</v>
      </c>
      <c r="U3447">
        <v>-2.5390779999999999</v>
      </c>
      <c r="V3447">
        <v>0.34917949999999998</v>
      </c>
      <c r="W3447">
        <v>4.913812E-2</v>
      </c>
      <c r="X3447">
        <v>0.9357666</v>
      </c>
      <c r="Y3447">
        <v>0.61082069999999999</v>
      </c>
      <c r="Z3447">
        <v>-9.8493209999999994E-3</v>
      </c>
      <c r="AA3447">
        <v>0.79170759999999996</v>
      </c>
      <c r="AB3447">
        <v>32</v>
      </c>
      <c r="AC3447">
        <v>4.4909999999999801</v>
      </c>
      <c r="AD3447">
        <v>-1.0989859989819999</v>
      </c>
      <c r="AE3447">
        <v>-6.3350999999999802</v>
      </c>
      <c r="AF3447">
        <v>4.8734030666830401</v>
      </c>
      <c r="AG3447">
        <v>-1.0989859989819999</v>
      </c>
      <c r="AH3447">
        <v>5.8487309758806303</v>
      </c>
      <c r="AI3447">
        <v>98.214277083545994</v>
      </c>
      <c r="AJ3447">
        <v>50.197547617320801</v>
      </c>
      <c r="AK3447">
        <v>7.6919101466761601</v>
      </c>
      <c r="AL3447">
        <v>87.183458896479607</v>
      </c>
      <c r="AM3447">
        <v>69.537037405848395</v>
      </c>
      <c r="AN3447">
        <v>1.00000000386647</v>
      </c>
    </row>
    <row r="3448" spans="1:40" x14ac:dyDescent="0.25">
      <c r="A3448" t="str">
        <f>"20190312151340892"</f>
        <v>20190312151340892</v>
      </c>
      <c r="B3448" t="str">
        <f>"1552374820883850"</f>
        <v>1552374820883850</v>
      </c>
      <c r="C3448" t="s">
        <v>40</v>
      </c>
      <c r="D3448">
        <v>4.4198269999999997</v>
      </c>
      <c r="E3448">
        <v>0.62513200000000002</v>
      </c>
      <c r="F3448" t="s">
        <v>53</v>
      </c>
      <c r="G3448">
        <v>-194.7269</v>
      </c>
      <c r="H3448" s="1">
        <v>5.1730399999999997E-6</v>
      </c>
      <c r="I3448">
        <v>204.41319999999999</v>
      </c>
      <c r="J3448">
        <v>-199.28919999999999</v>
      </c>
      <c r="K3448">
        <v>1.0987209999999901</v>
      </c>
      <c r="L3448">
        <v>210.97049999999999</v>
      </c>
      <c r="M3448">
        <v>0.96307480000000001</v>
      </c>
      <c r="N3448">
        <v>0</v>
      </c>
      <c r="O3448">
        <v>-0.26877319999999999</v>
      </c>
      <c r="P3448">
        <v>0.80646870000000004</v>
      </c>
      <c r="Q3448">
        <v>4.4441559999999998E-2</v>
      </c>
      <c r="R3448">
        <v>-0.58960429999999997</v>
      </c>
      <c r="S3448">
        <v>1.8801570000000001</v>
      </c>
      <c r="T3448">
        <v>-0.42588160000000003</v>
      </c>
      <c r="U3448">
        <v>-2.5756380000000001</v>
      </c>
      <c r="V3448">
        <v>0.35262569999999999</v>
      </c>
      <c r="W3448">
        <v>4.9401970000000003E-2</v>
      </c>
      <c r="X3448">
        <v>0.9344595</v>
      </c>
      <c r="Y3448">
        <v>0.6165794</v>
      </c>
      <c r="Z3448">
        <v>-8.4470699999999992E-3</v>
      </c>
      <c r="AA3448">
        <v>0.78724740000000004</v>
      </c>
      <c r="AB3448">
        <v>32</v>
      </c>
      <c r="AC3448">
        <v>4.5622999999999898</v>
      </c>
      <c r="AD3448">
        <v>-1.0987158269599999</v>
      </c>
      <c r="AE3448">
        <v>-6.5572999999999899</v>
      </c>
      <c r="AF3448">
        <v>4.9950829355652004</v>
      </c>
      <c r="AG3448">
        <v>-1.0987158269599999</v>
      </c>
      <c r="AH3448">
        <v>6.0427129841752398</v>
      </c>
      <c r="AI3448">
        <v>97.977631556571893</v>
      </c>
      <c r="AJ3448">
        <v>50.421870892715901</v>
      </c>
      <c r="AK3448">
        <v>7.9165908199620301</v>
      </c>
      <c r="AL3448">
        <v>87.168323005945595</v>
      </c>
      <c r="AM3448">
        <v>69.325603492647602</v>
      </c>
      <c r="AN3448">
        <v>0.99999999804031003</v>
      </c>
    </row>
    <row r="3449" spans="1:40" x14ac:dyDescent="0.25">
      <c r="A3449" t="str">
        <f>"20190312151340914"</f>
        <v>20190312151340914</v>
      </c>
      <c r="B3449" t="str">
        <f>"1552374820903370"</f>
        <v>1552374820903370</v>
      </c>
      <c r="C3449" t="s">
        <v>40</v>
      </c>
      <c r="D3449">
        <v>4.3872439999999999</v>
      </c>
      <c r="E3449">
        <v>0.62439979999999995</v>
      </c>
      <c r="F3449" t="s">
        <v>53</v>
      </c>
      <c r="G3449">
        <v>-194.6009</v>
      </c>
      <c r="H3449" s="1">
        <v>5.2222669999999997E-6</v>
      </c>
      <c r="I3449">
        <v>204.33269999999999</v>
      </c>
      <c r="J3449">
        <v>-198.99539999999999</v>
      </c>
      <c r="K3449">
        <v>1.0984640000000001</v>
      </c>
      <c r="L3449">
        <v>210.87569999999999</v>
      </c>
      <c r="M3449">
        <v>0.9594203</v>
      </c>
      <c r="N3449">
        <v>0</v>
      </c>
      <c r="O3449">
        <v>-0.28153650000000002</v>
      </c>
      <c r="P3449">
        <v>0.79689679999999996</v>
      </c>
      <c r="Q3449">
        <v>4.3731869999999999E-2</v>
      </c>
      <c r="R3449">
        <v>-0.60253059999999903</v>
      </c>
      <c r="S3449">
        <v>1.8395539999999999</v>
      </c>
      <c r="T3449">
        <v>-0.43110349999999997</v>
      </c>
      <c r="U3449">
        <v>-2.6044770000000002</v>
      </c>
      <c r="V3449">
        <v>0.35528569999999998</v>
      </c>
      <c r="W3449">
        <v>4.8446589999999998E-2</v>
      </c>
      <c r="X3449">
        <v>0.93350149999999998</v>
      </c>
      <c r="Y3449">
        <v>0.61844330000000003</v>
      </c>
      <c r="Z3449">
        <v>-6.8322610000000001E-3</v>
      </c>
      <c r="AA3449">
        <v>0.78579969999999999</v>
      </c>
      <c r="AB3449">
        <v>32</v>
      </c>
      <c r="AC3449">
        <v>4.3944999999999901</v>
      </c>
      <c r="AD3449">
        <v>-1.0984587777329999</v>
      </c>
      <c r="AE3449">
        <v>-6.5430000000000001</v>
      </c>
      <c r="AF3449">
        <v>4.9448601832022003</v>
      </c>
      <c r="AG3449">
        <v>-1.0984587777329999</v>
      </c>
      <c r="AH3449">
        <v>5.9435801067126803</v>
      </c>
      <c r="AI3449">
        <v>98.086110215486102</v>
      </c>
      <c r="AJ3449">
        <v>50.240674285466604</v>
      </c>
      <c r="AK3449">
        <v>7.8092508221152599</v>
      </c>
      <c r="AL3449">
        <v>87.223127955950901</v>
      </c>
      <c r="AM3449">
        <v>69.163441740136406</v>
      </c>
      <c r="AN3449">
        <v>1.0000000256046799</v>
      </c>
    </row>
    <row r="3450" spans="1:40" x14ac:dyDescent="0.25">
      <c r="A3450" t="str">
        <f>"20190312151340935"</f>
        <v>20190312151340935</v>
      </c>
      <c r="B3450" t="str">
        <f>"1552374820923866"</f>
        <v>1552374820923866</v>
      </c>
      <c r="C3450" t="s">
        <v>40</v>
      </c>
      <c r="D3450">
        <v>4.3792799999999996</v>
      </c>
      <c r="E3450">
        <v>0.62352750000000001</v>
      </c>
      <c r="F3450" t="s">
        <v>53</v>
      </c>
      <c r="G3450">
        <v>-194.40430000000001</v>
      </c>
      <c r="H3450" s="1">
        <v>5.3090590000000001E-6</v>
      </c>
      <c r="I3450">
        <v>204.1696</v>
      </c>
      <c r="J3450">
        <v>-198.69409999999999</v>
      </c>
      <c r="K3450">
        <v>1.0982050000000001</v>
      </c>
      <c r="L3450">
        <v>210.77369999999999</v>
      </c>
      <c r="M3450">
        <v>0.95538509999999999</v>
      </c>
      <c r="N3450">
        <v>0</v>
      </c>
      <c r="O3450">
        <v>-0.29493629999999998</v>
      </c>
      <c r="P3450">
        <v>0.78630199999999995</v>
      </c>
      <c r="Q3450">
        <v>4.4181100000000001E-2</v>
      </c>
      <c r="R3450">
        <v>-0.6162609</v>
      </c>
      <c r="S3450">
        <v>1.8001400000000001</v>
      </c>
      <c r="T3450">
        <v>-0.43070649999999999</v>
      </c>
      <c r="U3450">
        <v>-2.6294710000000001</v>
      </c>
      <c r="V3450">
        <v>0.35846230000000001</v>
      </c>
      <c r="W3450">
        <v>4.8631380000000002E-2</v>
      </c>
      <c r="X3450">
        <v>0.93227669999999996</v>
      </c>
      <c r="Y3450">
        <v>0.61905410000000005</v>
      </c>
      <c r="Z3450">
        <v>-4.8930980000000002E-3</v>
      </c>
      <c r="AA3450">
        <v>0.78533310000000001</v>
      </c>
      <c r="AB3450">
        <v>32</v>
      </c>
      <c r="AC3450">
        <v>4.2897999999999801</v>
      </c>
      <c r="AD3450">
        <v>-1.0981996909409999</v>
      </c>
      <c r="AE3450">
        <v>-6.6040999999999803</v>
      </c>
      <c r="AF3450">
        <v>4.9486396392462897</v>
      </c>
      <c r="AG3450">
        <v>-1.0981996909409999</v>
      </c>
      <c r="AH3450">
        <v>5.9316087603640204</v>
      </c>
      <c r="AI3450">
        <v>98.091228077629196</v>
      </c>
      <c r="AJ3450">
        <v>50.162336021778401</v>
      </c>
      <c r="AK3450">
        <v>7.8025034012379502</v>
      </c>
      <c r="AL3450">
        <v>87.2125278105391</v>
      </c>
      <c r="AM3450">
        <v>68.968146105080194</v>
      </c>
      <c r="AN3450">
        <v>1.0000000385024399</v>
      </c>
    </row>
    <row r="3451" spans="1:40" x14ac:dyDescent="0.25">
      <c r="A3451" t="str">
        <f>"20190312151340958"</f>
        <v>20190312151340958</v>
      </c>
      <c r="B3451" t="str">
        <f>"1552374820954122"</f>
        <v>1552374820954122</v>
      </c>
      <c r="C3451" t="s">
        <v>40</v>
      </c>
      <c r="D3451">
        <v>4.3979720000000002</v>
      </c>
      <c r="E3451">
        <v>0.64600709999999995</v>
      </c>
      <c r="F3451" t="s">
        <v>53</v>
      </c>
      <c r="G3451">
        <v>-194.20679999999999</v>
      </c>
      <c r="H3451" s="1">
        <v>5.3988769999999997E-6</v>
      </c>
      <c r="I3451">
        <v>203.9958</v>
      </c>
      <c r="J3451">
        <v>-198.3912</v>
      </c>
      <c r="K3451">
        <v>1.0979540000000001</v>
      </c>
      <c r="L3451">
        <v>210.6661</v>
      </c>
      <c r="M3451">
        <v>0.951017</v>
      </c>
      <c r="N3451">
        <v>0</v>
      </c>
      <c r="O3451">
        <v>-0.30872719999999998</v>
      </c>
      <c r="P3451">
        <v>0.7749414</v>
      </c>
      <c r="Q3451">
        <v>4.4942459999999997E-2</v>
      </c>
      <c r="R3451">
        <v>-0.63043340000000003</v>
      </c>
      <c r="S3451">
        <v>1.7581789999999999</v>
      </c>
      <c r="T3451">
        <v>-0.43028100000000002</v>
      </c>
      <c r="U3451">
        <v>-2.6555939999999998</v>
      </c>
      <c r="V3451">
        <v>0.36196460000000003</v>
      </c>
      <c r="W3451">
        <v>4.9116689999999998E-2</v>
      </c>
      <c r="X3451">
        <v>0.93089690000000003</v>
      </c>
      <c r="Y3451">
        <v>0.61998189999999997</v>
      </c>
      <c r="Z3451">
        <v>-2.9153040000000001E-3</v>
      </c>
      <c r="AA3451">
        <v>0.78461069999999999</v>
      </c>
      <c r="AB3451">
        <v>32</v>
      </c>
      <c r="AC3451">
        <v>4.1844000000000099</v>
      </c>
      <c r="AD3451">
        <v>-1.097948601123</v>
      </c>
      <c r="AE3451">
        <v>-6.6702999999999903</v>
      </c>
      <c r="AF3451">
        <v>4.9560142292790497</v>
      </c>
      <c r="AG3451">
        <v>-1.097948601123</v>
      </c>
      <c r="AH3451">
        <v>5.9243211262584499</v>
      </c>
      <c r="AI3451">
        <v>98.090296252036694</v>
      </c>
      <c r="AJ3451">
        <v>50.085699694011701</v>
      </c>
      <c r="AK3451">
        <v>7.8016119474475696</v>
      </c>
      <c r="AL3451">
        <v>87.184688020341099</v>
      </c>
      <c r="AM3451">
        <v>68.752213755065796</v>
      </c>
      <c r="AN3451">
        <v>0.99999992965966</v>
      </c>
    </row>
    <row r="3452" spans="1:40" x14ac:dyDescent="0.25">
      <c r="A3452" t="str">
        <f>"20190312151340985"</f>
        <v>20190312151340985</v>
      </c>
      <c r="B3452" t="str">
        <f>"1552374820973642"</f>
        <v>1552374820973642</v>
      </c>
      <c r="C3452" t="s">
        <v>40</v>
      </c>
      <c r="D3452">
        <v>4.3992740000000001</v>
      </c>
      <c r="E3452">
        <v>0.64683610000000002</v>
      </c>
      <c r="F3452" t="s">
        <v>53</v>
      </c>
      <c r="G3452">
        <v>-194.5325</v>
      </c>
      <c r="H3452" s="1">
        <v>5.370275E-6</v>
      </c>
      <c r="I3452">
        <v>203.83109999999999</v>
      </c>
      <c r="J3452">
        <v>-198.02969999999999</v>
      </c>
      <c r="K3452">
        <v>1.097647</v>
      </c>
      <c r="L3452">
        <v>210.53110000000001</v>
      </c>
      <c r="M3452">
        <v>0.94538089999999997</v>
      </c>
      <c r="N3452">
        <v>0</v>
      </c>
      <c r="O3452">
        <v>-0.32557320000000001</v>
      </c>
      <c r="P3452">
        <v>0.76105809999999996</v>
      </c>
      <c r="Q3452">
        <v>4.5362199999999998E-2</v>
      </c>
      <c r="R3452">
        <v>-0.64709559999999999</v>
      </c>
      <c r="S3452">
        <v>1.596741</v>
      </c>
      <c r="T3452">
        <v>-0.45433269999999998</v>
      </c>
      <c r="U3452">
        <v>-2.8283230000000001</v>
      </c>
      <c r="V3452">
        <v>0.36567739999999999</v>
      </c>
      <c r="W3452">
        <v>4.9224810000000001E-2</v>
      </c>
      <c r="X3452">
        <v>0.92943909999999996</v>
      </c>
      <c r="Y3452">
        <v>0.66027259999999999</v>
      </c>
      <c r="Z3452">
        <v>-4.3070840000000001E-3</v>
      </c>
      <c r="AA3452">
        <v>0.75101379999999995</v>
      </c>
      <c r="AB3452">
        <v>32</v>
      </c>
      <c r="AC3452">
        <v>3.4971999999999901</v>
      </c>
      <c r="AD3452">
        <v>-1.097641629725</v>
      </c>
      <c r="AE3452">
        <v>-6.7000000000000099</v>
      </c>
      <c r="AF3452">
        <v>5.0887895634162801</v>
      </c>
      <c r="AG3452">
        <v>-1.097641629725</v>
      </c>
      <c r="AH3452">
        <v>5.3748621851369096</v>
      </c>
      <c r="AI3452">
        <v>98.435269803932698</v>
      </c>
      <c r="AJ3452">
        <v>46.566056697049099</v>
      </c>
      <c r="AK3452">
        <v>7.48262920885798</v>
      </c>
      <c r="AL3452">
        <v>87.178486014188806</v>
      </c>
      <c r="AM3452">
        <v>68.523398921120105</v>
      </c>
      <c r="AN3452">
        <v>1.00000004169955</v>
      </c>
    </row>
    <row r="3453" spans="1:40" x14ac:dyDescent="0.25">
      <c r="A3453" t="str">
        <f>"20190312151341009"</f>
        <v>20190312151341009</v>
      </c>
      <c r="B3453" t="str">
        <f>"1552374821003899"</f>
        <v>1552374821003899</v>
      </c>
      <c r="C3453" t="s">
        <v>40</v>
      </c>
      <c r="D3453">
        <v>4.4501989999999996</v>
      </c>
      <c r="E3453">
        <v>0.64715449999999997</v>
      </c>
      <c r="F3453" t="s">
        <v>53</v>
      </c>
      <c r="G3453">
        <v>-194.38579999999999</v>
      </c>
      <c r="H3453" s="1">
        <v>5.4362989999999997E-6</v>
      </c>
      <c r="I3453">
        <v>203.7046</v>
      </c>
      <c r="J3453">
        <v>-197.70400000000001</v>
      </c>
      <c r="K3453">
        <v>1.0973820000000001</v>
      </c>
      <c r="L3453">
        <v>210.4024</v>
      </c>
      <c r="M3453">
        <v>0.93986670000000005</v>
      </c>
      <c r="N3453">
        <v>0</v>
      </c>
      <c r="O3453">
        <v>-0.34116069999999998</v>
      </c>
      <c r="P3453">
        <v>0.74805369999999904</v>
      </c>
      <c r="Q3453">
        <v>4.6167630000000001E-2</v>
      </c>
      <c r="R3453">
        <v>-0.66203020000000001</v>
      </c>
      <c r="S3453">
        <v>1.5308379999999999</v>
      </c>
      <c r="T3453">
        <v>-0.46113880000000002</v>
      </c>
      <c r="U3453">
        <v>-2.867966</v>
      </c>
      <c r="V3453">
        <v>0.36877569999999998</v>
      </c>
      <c r="W3453">
        <v>4.9762029999999999E-2</v>
      </c>
      <c r="X3453">
        <v>0.9281855</v>
      </c>
      <c r="Y3453">
        <v>0.66559849999999998</v>
      </c>
      <c r="Z3453">
        <v>-2.4109859999999999E-3</v>
      </c>
      <c r="AA3453">
        <v>0.74630609999999997</v>
      </c>
      <c r="AB3453">
        <v>32</v>
      </c>
      <c r="AC3453">
        <v>3.3182000000000098</v>
      </c>
      <c r="AD3453">
        <v>-1.097376563701</v>
      </c>
      <c r="AE3453">
        <v>-6.6978</v>
      </c>
      <c r="AF3453">
        <v>5.0547221880757798</v>
      </c>
      <c r="AG3453">
        <v>-1.097376563701</v>
      </c>
      <c r="AH3453">
        <v>5.2903665063956904</v>
      </c>
      <c r="AI3453">
        <v>98.529460536715902</v>
      </c>
      <c r="AJ3453">
        <v>46.304879149909198</v>
      </c>
      <c r="AK3453">
        <v>7.3988127083457904</v>
      </c>
      <c r="AL3453">
        <v>87.147667829366</v>
      </c>
      <c r="AM3453">
        <v>68.331670191327504</v>
      </c>
      <c r="AN3453">
        <v>1.0000000494752199</v>
      </c>
    </row>
    <row r="3454" spans="1:40" x14ac:dyDescent="0.25">
      <c r="A3454" t="str">
        <f>"20190312151341043"</f>
        <v>20190312151341043</v>
      </c>
      <c r="B3454" t="str">
        <f>"1552374821034154"</f>
        <v>1552374821034154</v>
      </c>
      <c r="C3454" t="s">
        <v>40</v>
      </c>
      <c r="D3454">
        <v>4.4456170000000004</v>
      </c>
      <c r="E3454">
        <v>0.64643109999999904</v>
      </c>
      <c r="F3454" t="s">
        <v>53</v>
      </c>
      <c r="G3454">
        <v>-194.25200000000001</v>
      </c>
      <c r="H3454" s="1">
        <v>5.4941020000000001E-6</v>
      </c>
      <c r="I3454">
        <v>203.5984</v>
      </c>
      <c r="J3454">
        <v>-197.2379</v>
      </c>
      <c r="K3454">
        <v>1.0970299999999999</v>
      </c>
      <c r="L3454">
        <v>210.20689999999999</v>
      </c>
      <c r="M3454">
        <v>0.93123909999999999</v>
      </c>
      <c r="N3454">
        <v>0</v>
      </c>
      <c r="O3454">
        <v>-0.36404769999999997</v>
      </c>
      <c r="P3454">
        <v>0.72843150000000001</v>
      </c>
      <c r="Q3454">
        <v>4.7228600000000003E-2</v>
      </c>
      <c r="R3454">
        <v>-0.68348920000000002</v>
      </c>
      <c r="S3454">
        <v>1.471832</v>
      </c>
      <c r="T3454">
        <v>-0.46788790000000002</v>
      </c>
      <c r="U3454">
        <v>-2.9010310000000001</v>
      </c>
      <c r="V3454">
        <v>0.37314700000000001</v>
      </c>
      <c r="W3454">
        <v>5.0450179999999997E-2</v>
      </c>
      <c r="X3454">
        <v>0.92639950000000004</v>
      </c>
      <c r="Y3454">
        <v>0.66301639999999995</v>
      </c>
      <c r="Z3454">
        <v>1.5682579999999999E-3</v>
      </c>
      <c r="AA3454">
        <v>0.74860319999999902</v>
      </c>
      <c r="AB3454">
        <v>32</v>
      </c>
      <c r="AC3454">
        <v>2.98589999999998</v>
      </c>
      <c r="AD3454">
        <v>-1.0970245058979999</v>
      </c>
      <c r="AE3454">
        <v>-6.6084999999999896</v>
      </c>
      <c r="AF3454">
        <v>4.9543702856863199</v>
      </c>
      <c r="AG3454">
        <v>-1.0970245058979999</v>
      </c>
      <c r="AH3454">
        <v>5.07102876264437</v>
      </c>
      <c r="AI3454">
        <v>98.796138475967595</v>
      </c>
      <c r="AJ3454">
        <v>45.666680367146299</v>
      </c>
      <c r="AK3454">
        <v>7.1738818226814196</v>
      </c>
      <c r="AL3454">
        <v>87.108189918859097</v>
      </c>
      <c r="AM3454">
        <v>68.060781550612006</v>
      </c>
      <c r="AN3454">
        <v>0.99999996893564003</v>
      </c>
    </row>
    <row r="3455" spans="1:40" x14ac:dyDescent="0.25">
      <c r="A3455" t="str">
        <f>"20190312151341069"</f>
        <v>20190312151341069</v>
      </c>
      <c r="B3455" t="str">
        <f>"1552374821063434"</f>
        <v>1552374821063434</v>
      </c>
      <c r="C3455" t="s">
        <v>40</v>
      </c>
      <c r="D3455">
        <v>4.4060319999999997</v>
      </c>
      <c r="E3455">
        <v>0.6452312</v>
      </c>
      <c r="F3455" t="s">
        <v>53</v>
      </c>
      <c r="G3455">
        <v>-193.97460000000001</v>
      </c>
      <c r="H3455" s="1">
        <v>5.6317060000000004E-6</v>
      </c>
      <c r="I3455">
        <v>203.31100000000001</v>
      </c>
      <c r="J3455">
        <v>-196.90049999999999</v>
      </c>
      <c r="K3455">
        <v>1.096789</v>
      </c>
      <c r="L3455">
        <v>210.0564</v>
      </c>
      <c r="M3455">
        <v>0.92441600000000002</v>
      </c>
      <c r="N3455">
        <v>0</v>
      </c>
      <c r="O3455">
        <v>-0.38103690000000001</v>
      </c>
      <c r="P3455">
        <v>0.71432700000000005</v>
      </c>
      <c r="Q3455">
        <v>4.6529510000000003E-2</v>
      </c>
      <c r="R3455">
        <v>-0.69826350000000004</v>
      </c>
      <c r="S3455">
        <v>1.3909</v>
      </c>
      <c r="T3455">
        <v>-0.46757480000000001</v>
      </c>
      <c r="U3455">
        <v>-2.9391940000000001</v>
      </c>
      <c r="V3455">
        <v>0.37514769999999997</v>
      </c>
      <c r="W3455">
        <v>4.9539130000000001E-2</v>
      </c>
      <c r="X3455">
        <v>0.92564029999999997</v>
      </c>
      <c r="Y3455">
        <v>0.66995179999999999</v>
      </c>
      <c r="Z3455">
        <v>3.66497E-3</v>
      </c>
      <c r="AA3455">
        <v>0.74239560000000004</v>
      </c>
      <c r="AB3455">
        <v>32</v>
      </c>
      <c r="AC3455">
        <v>2.92589999999998</v>
      </c>
      <c r="AD3455">
        <v>-1.096783368294</v>
      </c>
      <c r="AE3455">
        <v>-6.7454000000000098</v>
      </c>
      <c r="AF3455">
        <v>5.0098844764884101</v>
      </c>
      <c r="AG3455">
        <v>-1.096783368294</v>
      </c>
      <c r="AH3455">
        <v>5.1608608404616598</v>
      </c>
      <c r="AI3455">
        <v>98.670120941898205</v>
      </c>
      <c r="AJ3455">
        <v>45.850446345099499</v>
      </c>
      <c r="AK3455">
        <v>7.2757378209592298</v>
      </c>
      <c r="AL3455">
        <v>87.160454527983404</v>
      </c>
      <c r="AM3455">
        <v>67.938048430456703</v>
      </c>
      <c r="AN3455">
        <v>0.99999994360026601</v>
      </c>
    </row>
    <row r="3456" spans="1:40" x14ac:dyDescent="0.25">
      <c r="A3456" t="str">
        <f>"20190312151341090"</f>
        <v>20190312151341090</v>
      </c>
      <c r="B3456" t="str">
        <f>"1552374821083930"</f>
        <v>1552374821083930</v>
      </c>
      <c r="C3456" t="s">
        <v>40</v>
      </c>
      <c r="D3456">
        <v>4.3730209999999996</v>
      </c>
      <c r="E3456">
        <v>0.64406869999999905</v>
      </c>
      <c r="F3456" t="s">
        <v>53</v>
      </c>
      <c r="G3456">
        <v>-193.81030000000001</v>
      </c>
      <c r="H3456" s="1">
        <v>5.6931690000000002E-6</v>
      </c>
      <c r="I3456">
        <v>203.2165</v>
      </c>
      <c r="J3456">
        <v>-196.6129</v>
      </c>
      <c r="K3456">
        <v>1.0965929999999999</v>
      </c>
      <c r="L3456">
        <v>209.92189999999999</v>
      </c>
      <c r="M3456">
        <v>0.91819039999999996</v>
      </c>
      <c r="N3456">
        <v>0</v>
      </c>
      <c r="O3456">
        <v>-0.39580100000000001</v>
      </c>
      <c r="P3456">
        <v>0.70225190000000004</v>
      </c>
      <c r="Q3456">
        <v>4.5670710000000003E-2</v>
      </c>
      <c r="R3456">
        <v>-0.7104625</v>
      </c>
      <c r="S3456">
        <v>1.33729599999999</v>
      </c>
      <c r="T3456">
        <v>-0.4746283</v>
      </c>
      <c r="U3456">
        <v>-2.959946</v>
      </c>
      <c r="V3456">
        <v>0.37623099999999998</v>
      </c>
      <c r="W3456">
        <v>4.8526600000000003E-2</v>
      </c>
      <c r="X3456">
        <v>0.92525429999999997</v>
      </c>
      <c r="Y3456">
        <v>0.67119110000000004</v>
      </c>
      <c r="Z3456">
        <v>6.0909240000000002E-3</v>
      </c>
      <c r="AA3456">
        <v>0.74125929999999995</v>
      </c>
      <c r="AB3456">
        <v>32</v>
      </c>
      <c r="AC3456">
        <v>2.80259999999998</v>
      </c>
      <c r="AD3456">
        <v>-1.0965873068309999</v>
      </c>
      <c r="AE3456">
        <v>-6.7053999999999903</v>
      </c>
      <c r="AF3456">
        <v>4.9358617858067202</v>
      </c>
      <c r="AG3456">
        <v>-1.0965873068309999</v>
      </c>
      <c r="AH3456">
        <v>5.1116461406373102</v>
      </c>
      <c r="AI3456">
        <v>98.772904442236793</v>
      </c>
      <c r="AJ3456">
        <v>46.002305675768397</v>
      </c>
      <c r="AK3456">
        <v>7.1898651974277197</v>
      </c>
      <c r="AL3456">
        <v>87.2185384126645</v>
      </c>
      <c r="AM3456">
        <v>67.872139988353098</v>
      </c>
      <c r="AN3456">
        <v>1.00000005796852</v>
      </c>
    </row>
    <row r="3457" spans="1:40" x14ac:dyDescent="0.25">
      <c r="A3457" t="str">
        <f>"20190312151341113"</f>
        <v>20190312151341113</v>
      </c>
      <c r="B3457" t="str">
        <f>"1552374821103450"</f>
        <v>1552374821103450</v>
      </c>
      <c r="C3457" t="s">
        <v>40</v>
      </c>
      <c r="D3457">
        <v>4.3088430000000004</v>
      </c>
      <c r="E3457">
        <v>0.64305509999999999</v>
      </c>
      <c r="F3457" t="s">
        <v>53</v>
      </c>
      <c r="G3457">
        <v>-193.64089999999999</v>
      </c>
      <c r="H3457" s="1">
        <v>5.7669489999999997E-6</v>
      </c>
      <c r="I3457">
        <v>203.0797</v>
      </c>
      <c r="J3457">
        <v>-196.33369999999999</v>
      </c>
      <c r="K3457">
        <v>1.0964160000000001</v>
      </c>
      <c r="L3457">
        <v>209.78579999999999</v>
      </c>
      <c r="M3457">
        <v>0.91178150000000002</v>
      </c>
      <c r="N3457">
        <v>0</v>
      </c>
      <c r="O3457">
        <v>-0.41034619999999999</v>
      </c>
      <c r="P3457">
        <v>0.69024960000000002</v>
      </c>
      <c r="Q3457">
        <v>4.610496E-2</v>
      </c>
      <c r="R3457">
        <v>-0.72210129999999995</v>
      </c>
      <c r="S3457">
        <v>1.292511</v>
      </c>
      <c r="T3457">
        <v>-0.47690959999999899</v>
      </c>
      <c r="U3457">
        <v>-2.9756930000000001</v>
      </c>
      <c r="V3457">
        <v>0.37703730000000002</v>
      </c>
      <c r="W3457">
        <v>4.882951E-2</v>
      </c>
      <c r="X3457">
        <v>0.92491000000000001</v>
      </c>
      <c r="Y3457">
        <v>0.67032409999999998</v>
      </c>
      <c r="Z3457">
        <v>8.704692E-3</v>
      </c>
      <c r="AA3457">
        <v>0.74201729999999999</v>
      </c>
      <c r="AB3457">
        <v>32</v>
      </c>
      <c r="AC3457">
        <v>2.6928000000000001</v>
      </c>
      <c r="AD3457">
        <v>-1.0964102330509999</v>
      </c>
      <c r="AE3457">
        <v>-6.7060999999999904</v>
      </c>
      <c r="AF3457">
        <v>4.8974611057983202</v>
      </c>
      <c r="AG3457">
        <v>-1.0964102330509999</v>
      </c>
      <c r="AH3457">
        <v>5.0905923632027896</v>
      </c>
      <c r="AI3457">
        <v>98.8226093383593</v>
      </c>
      <c r="AJ3457">
        <v>46.107746086849303</v>
      </c>
      <c r="AK3457">
        <v>7.1485223151533104</v>
      </c>
      <c r="AL3457">
        <v>87.201162124308397</v>
      </c>
      <c r="AM3457">
        <v>67.821854426993198</v>
      </c>
      <c r="AN3457">
        <v>0.99999997736906399</v>
      </c>
    </row>
    <row r="3458" spans="1:40" x14ac:dyDescent="0.25">
      <c r="A3458" t="str">
        <f>"20190312151341137"</f>
        <v>20190312151341137</v>
      </c>
      <c r="B3458" t="str">
        <f>"1552374821133706"</f>
        <v>1552374821133706</v>
      </c>
      <c r="C3458" t="s">
        <v>40</v>
      </c>
      <c r="D3458">
        <v>4.3475359999999998</v>
      </c>
      <c r="E3458">
        <v>0.64156250000000004</v>
      </c>
      <c r="F3458" t="s">
        <v>53</v>
      </c>
      <c r="G3458">
        <v>-193.43940000000001</v>
      </c>
      <c r="H3458" s="1">
        <v>5.8759599999999999E-6</v>
      </c>
      <c r="I3458">
        <v>202.84649999999999</v>
      </c>
      <c r="J3458">
        <v>-196.0164</v>
      </c>
      <c r="K3458">
        <v>1.096225</v>
      </c>
      <c r="L3458">
        <v>209.6241</v>
      </c>
      <c r="M3458">
        <v>0.90402749999999998</v>
      </c>
      <c r="N3458">
        <v>0</v>
      </c>
      <c r="O3458">
        <v>-0.42715500000000001</v>
      </c>
      <c r="P3458">
        <v>0.67626009999999903</v>
      </c>
      <c r="Q3458">
        <v>4.7144329999999998E-2</v>
      </c>
      <c r="R3458">
        <v>-0.73515280000000005</v>
      </c>
      <c r="S3458">
        <v>1.2478940000000001</v>
      </c>
      <c r="T3458">
        <v>-0.47271619999999998</v>
      </c>
      <c r="U3458">
        <v>-2.9918819999999999</v>
      </c>
      <c r="V3458">
        <v>0.37767070000000003</v>
      </c>
      <c r="W3458">
        <v>4.9735349999999998E-2</v>
      </c>
      <c r="X3458">
        <v>0.92460330000000002</v>
      </c>
      <c r="Y3458">
        <v>0.66764269999999903</v>
      </c>
      <c r="Z3458">
        <v>1.1777579999999999E-2</v>
      </c>
      <c r="AA3458">
        <v>0.74438859999999996</v>
      </c>
      <c r="AB3458">
        <v>32</v>
      </c>
      <c r="AC3458">
        <v>2.5769999999999902</v>
      </c>
      <c r="AD3458">
        <v>-1.0962191240399899</v>
      </c>
      <c r="AE3458">
        <v>-6.7775999999999996</v>
      </c>
      <c r="AF3458">
        <v>4.9147134915263999</v>
      </c>
      <c r="AG3458">
        <v>-1.0962191240399899</v>
      </c>
      <c r="AH3458">
        <v>5.1087127627225399</v>
      </c>
      <c r="AI3458">
        <v>98.7904499292559</v>
      </c>
      <c r="AJ3458">
        <v>46.1087976868032</v>
      </c>
      <c r="AK3458">
        <v>7.17321762974656</v>
      </c>
      <c r="AL3458">
        <v>87.149198270434098</v>
      </c>
      <c r="AM3458">
        <v>67.781564985603893</v>
      </c>
      <c r="AN3458">
        <v>1.0000000125245001</v>
      </c>
    </row>
    <row r="3459" spans="1:40" x14ac:dyDescent="0.25">
      <c r="A3459" t="str">
        <f>"20190312151341159"</f>
        <v>20190312151341159</v>
      </c>
      <c r="B3459" t="str">
        <f>"1552374821154202"</f>
        <v>1552374821154202</v>
      </c>
      <c r="C3459" t="s">
        <v>40</v>
      </c>
      <c r="D3459">
        <v>4.4870650000000003</v>
      </c>
      <c r="E3459">
        <v>0.64060969999999995</v>
      </c>
      <c r="F3459" t="s">
        <v>53</v>
      </c>
      <c r="G3459">
        <v>-193.19290000000001</v>
      </c>
      <c r="H3459" s="1">
        <v>6.0489709999999999E-6</v>
      </c>
      <c r="I3459">
        <v>202.54249999999999</v>
      </c>
      <c r="J3459">
        <v>-195.75229999999999</v>
      </c>
      <c r="K3459">
        <v>1.0960650000000001</v>
      </c>
      <c r="L3459">
        <v>209.4837</v>
      </c>
      <c r="M3459">
        <v>0.89717599999999997</v>
      </c>
      <c r="N3459">
        <v>0</v>
      </c>
      <c r="O3459">
        <v>-0.44136209999999998</v>
      </c>
      <c r="P3459">
        <v>0.66438390000000003</v>
      </c>
      <c r="Q3459">
        <v>4.7438290000000001E-2</v>
      </c>
      <c r="R3459">
        <v>-0.74588449999999995</v>
      </c>
      <c r="S3459">
        <v>1.1991579999999999</v>
      </c>
      <c r="T3459">
        <v>-0.46557880000000001</v>
      </c>
      <c r="U3459">
        <v>-3.0076290000000001</v>
      </c>
      <c r="V3459">
        <v>0.37792690000000001</v>
      </c>
      <c r="W3459">
        <v>4.993156E-2</v>
      </c>
      <c r="X3459">
        <v>0.92448799999999998</v>
      </c>
      <c r="Y3459">
        <v>0.66781459999999904</v>
      </c>
      <c r="Z3459">
        <v>1.4004590000000001E-2</v>
      </c>
      <c r="AA3459">
        <v>0.74419590000000002</v>
      </c>
      <c r="AB3459">
        <v>31</v>
      </c>
      <c r="AC3459">
        <v>2.5593999999999801</v>
      </c>
      <c r="AD3459">
        <v>-1.096058951029</v>
      </c>
      <c r="AE3459">
        <v>-6.9412000000000003</v>
      </c>
      <c r="AF3459">
        <v>4.98904630814818</v>
      </c>
      <c r="AG3459">
        <v>-1.096058951029</v>
      </c>
      <c r="AH3459">
        <v>5.2454139776212703</v>
      </c>
      <c r="AI3459">
        <v>98.609625667405098</v>
      </c>
      <c r="AJ3459">
        <v>46.434928069214202</v>
      </c>
      <c r="AK3459">
        <v>7.3216320643421096</v>
      </c>
      <c r="AL3459">
        <v>87.137942193941996</v>
      </c>
      <c r="AM3459">
        <v>67.765457597965707</v>
      </c>
      <c r="AN3459">
        <v>0.99999998228582099</v>
      </c>
    </row>
    <row r="3460" spans="1:40" x14ac:dyDescent="0.25">
      <c r="A3460" t="str">
        <f>"20190312151341184"</f>
        <v>20190312151341184</v>
      </c>
      <c r="B3460" t="str">
        <f>"1552374821173722"</f>
        <v>1552374821173722</v>
      </c>
      <c r="C3460" t="s">
        <v>40</v>
      </c>
      <c r="D3460">
        <v>4.3859009999999996</v>
      </c>
      <c r="E3460">
        <v>0.63967640000000003</v>
      </c>
      <c r="F3460" t="s">
        <v>53</v>
      </c>
      <c r="G3460">
        <v>-193.0419</v>
      </c>
      <c r="H3460" s="1">
        <v>6.1396759999999899E-6</v>
      </c>
      <c r="I3460">
        <v>202.39959999999999</v>
      </c>
      <c r="J3460">
        <v>-195.4255</v>
      </c>
      <c r="K3460">
        <v>1.09587099999999</v>
      </c>
      <c r="L3460">
        <v>209.30260000000001</v>
      </c>
      <c r="M3460">
        <v>0.88817500000000005</v>
      </c>
      <c r="N3460">
        <v>0</v>
      </c>
      <c r="O3460">
        <v>-0.459204</v>
      </c>
      <c r="P3460">
        <v>0.64950580000000002</v>
      </c>
      <c r="Q3460">
        <v>4.7472489999999999E-2</v>
      </c>
      <c r="R3460">
        <v>-0.75887360000000004</v>
      </c>
      <c r="S3460">
        <v>1.156204</v>
      </c>
      <c r="T3460">
        <v>-0.46755970000000002</v>
      </c>
      <c r="U3460">
        <v>-3.021957</v>
      </c>
      <c r="V3460">
        <v>0.37775510000000001</v>
      </c>
      <c r="W3460">
        <v>4.9867269999999998E-2</v>
      </c>
      <c r="X3460">
        <v>0.92456170000000004</v>
      </c>
      <c r="Y3460">
        <v>0.66349089999999999</v>
      </c>
      <c r="Z3460">
        <v>1.7554630000000002E-2</v>
      </c>
      <c r="AA3460">
        <v>0.74797840000000004</v>
      </c>
      <c r="AB3460">
        <v>31</v>
      </c>
      <c r="AC3460">
        <v>2.3835999999999999</v>
      </c>
      <c r="AD3460">
        <v>-1.09586486032399</v>
      </c>
      <c r="AE3460">
        <v>-6.9030000000000102</v>
      </c>
      <c r="AF3460">
        <v>4.9262835886016596</v>
      </c>
      <c r="AG3460">
        <v>-1.09586486032399</v>
      </c>
      <c r="AH3460">
        <v>5.1712285092310903</v>
      </c>
      <c r="AI3460">
        <v>98.723255666455898</v>
      </c>
      <c r="AJ3460">
        <v>46.3896054968885</v>
      </c>
      <c r="AK3460">
        <v>7.22570370843584</v>
      </c>
      <c r="AL3460">
        <v>87.141630380994002</v>
      </c>
      <c r="AM3460">
        <v>67.7761802877191</v>
      </c>
      <c r="AN3460">
        <v>0.99999999865007605</v>
      </c>
    </row>
    <row r="3461" spans="1:40" x14ac:dyDescent="0.25">
      <c r="A3461" t="str">
        <f>"20190312151341222"</f>
        <v>20190312151341222</v>
      </c>
      <c r="B3461" t="str">
        <f>"1552374821213742"</f>
        <v>1552374821213742</v>
      </c>
      <c r="C3461" t="s">
        <v>40</v>
      </c>
      <c r="D3461">
        <v>4.348179</v>
      </c>
      <c r="E3461">
        <v>0.63809479999999996</v>
      </c>
      <c r="F3461" t="s">
        <v>53</v>
      </c>
      <c r="G3461">
        <v>-192.8501</v>
      </c>
      <c r="H3461" s="1">
        <v>6.2630909999999998E-6</v>
      </c>
      <c r="I3461">
        <v>202.19489999999999</v>
      </c>
      <c r="J3461">
        <v>-194.95660000000001</v>
      </c>
      <c r="K3461">
        <v>1.0955919999999999</v>
      </c>
      <c r="L3461">
        <v>209.02610000000001</v>
      </c>
      <c r="M3461">
        <v>0.87412869999999998</v>
      </c>
      <c r="N3461">
        <v>0</v>
      </c>
      <c r="O3461">
        <v>-0.48540559999999999</v>
      </c>
      <c r="P3461">
        <v>0.62791430000000004</v>
      </c>
      <c r="Q3461">
        <v>4.7802409999999997E-2</v>
      </c>
      <c r="R3461">
        <v>-0.77681350000000005</v>
      </c>
      <c r="S3461">
        <v>1.10144</v>
      </c>
      <c r="T3461">
        <v>-0.46867720000000002</v>
      </c>
      <c r="U3461">
        <v>-3.0398100000000001</v>
      </c>
      <c r="V3461">
        <v>0.37628980000000001</v>
      </c>
      <c r="W3461">
        <v>5.0112539999999997E-2</v>
      </c>
      <c r="X3461">
        <v>0.92514580000000002</v>
      </c>
      <c r="Y3461">
        <v>0.65478389999999997</v>
      </c>
      <c r="Z3461">
        <v>2.2982329999999999E-2</v>
      </c>
      <c r="AA3461">
        <v>0.75546669999999905</v>
      </c>
      <c r="AB3461">
        <v>31</v>
      </c>
      <c r="AC3461">
        <v>2.1065000000000098</v>
      </c>
      <c r="AD3461">
        <v>-1.0955857369090001</v>
      </c>
      <c r="AE3461">
        <v>-6.8312000000000204</v>
      </c>
      <c r="AF3461">
        <v>4.8359474764902899</v>
      </c>
      <c r="AG3461">
        <v>-1.0955857369090001</v>
      </c>
      <c r="AH3461">
        <v>5.0396068770296898</v>
      </c>
      <c r="AI3461">
        <v>98.914679375319395</v>
      </c>
      <c r="AJ3461">
        <v>46.1814192802767</v>
      </c>
      <c r="AK3461">
        <v>7.0699599417037904</v>
      </c>
      <c r="AL3461">
        <v>87.1275599022119</v>
      </c>
      <c r="AM3461">
        <v>67.866670632685995</v>
      </c>
      <c r="AN3461">
        <v>1.0000000157534601</v>
      </c>
    </row>
    <row r="3462" spans="1:40" x14ac:dyDescent="0.25">
      <c r="A3462" t="str">
        <f>"20190312151341250"</f>
        <v>20190312151341250</v>
      </c>
      <c r="B3462" t="str">
        <f>"1552374821243994"</f>
        <v>1552374821243994</v>
      </c>
      <c r="C3462" t="s">
        <v>40</v>
      </c>
      <c r="D3462">
        <v>4.4542999999999999</v>
      </c>
      <c r="E3462">
        <v>0.62611070000000002</v>
      </c>
      <c r="F3462" t="s">
        <v>53</v>
      </c>
      <c r="G3462">
        <v>-192.54929999999999</v>
      </c>
      <c r="H3462" s="1">
        <v>6.4710140000000003E-6</v>
      </c>
      <c r="I3462">
        <v>201.8331</v>
      </c>
      <c r="J3462">
        <v>-194.61689999999999</v>
      </c>
      <c r="K3462">
        <v>1.0954079999999999</v>
      </c>
      <c r="L3462">
        <v>208.8133</v>
      </c>
      <c r="M3462">
        <v>0.86307809999999996</v>
      </c>
      <c r="N3462">
        <v>0</v>
      </c>
      <c r="O3462">
        <v>-0.50478979999999996</v>
      </c>
      <c r="P3462">
        <v>0.61150260000000001</v>
      </c>
      <c r="Q3462">
        <v>4.8049389999999997E-2</v>
      </c>
      <c r="R3462">
        <v>-0.78978199999999998</v>
      </c>
      <c r="S3462">
        <v>1.024872</v>
      </c>
      <c r="T3462">
        <v>-0.46641300000000002</v>
      </c>
      <c r="U3462">
        <v>-3.0621800000000001</v>
      </c>
      <c r="V3462">
        <v>0.37504710000000002</v>
      </c>
      <c r="W3462">
        <v>5.0316359999999997E-2</v>
      </c>
      <c r="X3462">
        <v>0.9256392</v>
      </c>
      <c r="Y3462">
        <v>0.6566786</v>
      </c>
      <c r="Z3462">
        <v>2.6095839999999999E-2</v>
      </c>
      <c r="AA3462">
        <v>0.75371899999999903</v>
      </c>
      <c r="AB3462">
        <v>31</v>
      </c>
      <c r="AC3462">
        <v>2.0675999999999899</v>
      </c>
      <c r="AD3462">
        <v>-1.095401528986</v>
      </c>
      <c r="AE3462">
        <v>-6.9801999999999902</v>
      </c>
      <c r="AF3462">
        <v>4.8711746187185998</v>
      </c>
      <c r="AG3462">
        <v>-1.095401528986</v>
      </c>
      <c r="AH3462">
        <v>5.1912539372943396</v>
      </c>
      <c r="AI3462">
        <v>98.747734341771604</v>
      </c>
      <c r="AJ3462">
        <v>46.8219272119739</v>
      </c>
      <c r="AK3462">
        <v>7.2025942629879696</v>
      </c>
      <c r="AL3462">
        <v>87.115867068480895</v>
      </c>
      <c r="AM3462">
        <v>67.943373411203893</v>
      </c>
      <c r="AN3462">
        <v>0.99999999593934896</v>
      </c>
    </row>
    <row r="3463" spans="1:40" x14ac:dyDescent="0.25">
      <c r="A3463" t="str">
        <f>"20190312151341270"</f>
        <v>20190312151341270</v>
      </c>
      <c r="B3463" t="str">
        <f>"1552374821263514"</f>
        <v>1552374821263514</v>
      </c>
      <c r="C3463" t="s">
        <v>40</v>
      </c>
      <c r="D3463">
        <v>4.4634470000000004</v>
      </c>
      <c r="E3463">
        <v>0.62543289999999996</v>
      </c>
      <c r="F3463" t="s">
        <v>53</v>
      </c>
      <c r="G3463">
        <v>-192.53139999999999</v>
      </c>
      <c r="H3463" s="1">
        <v>6.166485E-6</v>
      </c>
      <c r="I3463">
        <v>202.7081</v>
      </c>
      <c r="J3463">
        <v>-194.3801</v>
      </c>
      <c r="K3463">
        <v>1.0952839999999999</v>
      </c>
      <c r="L3463">
        <v>208.65860000000001</v>
      </c>
      <c r="M3463">
        <v>0.85491170000000005</v>
      </c>
      <c r="N3463">
        <v>0</v>
      </c>
      <c r="O3463">
        <v>-0.51849829999999997</v>
      </c>
      <c r="P3463">
        <v>0.59957069999999901</v>
      </c>
      <c r="Q3463">
        <v>4.9192130000000001E-2</v>
      </c>
      <c r="R3463">
        <v>-0.79880850000000003</v>
      </c>
      <c r="S3463">
        <v>1.03508</v>
      </c>
      <c r="T3463">
        <v>-0.54366899999999996</v>
      </c>
      <c r="U3463">
        <v>-3.0301670000000001</v>
      </c>
      <c r="V3463">
        <v>0.3741778</v>
      </c>
      <c r="W3463">
        <v>5.1432619999999998E-2</v>
      </c>
      <c r="X3463">
        <v>0.92592969999999997</v>
      </c>
      <c r="Y3463">
        <v>0.63952219999999904</v>
      </c>
      <c r="Z3463">
        <v>3.5264610000000002E-2</v>
      </c>
      <c r="AA3463">
        <v>0.76796339999999996</v>
      </c>
      <c r="AB3463">
        <v>31</v>
      </c>
      <c r="AC3463">
        <v>1.8487</v>
      </c>
      <c r="AD3463">
        <v>-1.095277833515</v>
      </c>
      <c r="AE3463">
        <v>-5.9504999999999999</v>
      </c>
      <c r="AF3463">
        <v>4.0054355104230996</v>
      </c>
      <c r="AG3463">
        <v>-1.095277833515</v>
      </c>
      <c r="AH3463">
        <v>4.5266044851005098</v>
      </c>
      <c r="AI3463">
        <v>100.271008364903</v>
      </c>
      <c r="AJ3463">
        <v>48.495497736767703</v>
      </c>
      <c r="AK3463">
        <v>6.1427433061523704</v>
      </c>
      <c r="AL3463">
        <v>87.051827382762895</v>
      </c>
      <c r="AM3463">
        <v>67.995855224645297</v>
      </c>
      <c r="AN3463">
        <v>1.00000007487749</v>
      </c>
    </row>
    <row r="3464" spans="1:40" x14ac:dyDescent="0.25">
      <c r="A3464" t="str">
        <f>"20190312151341293"</f>
        <v>20190312151341293</v>
      </c>
      <c r="B3464" t="str">
        <f>"1552374821284010"</f>
        <v>1552374821284010</v>
      </c>
      <c r="C3464" t="s">
        <v>40</v>
      </c>
      <c r="D3464">
        <v>4.4515669999999998</v>
      </c>
      <c r="E3464">
        <v>0.62552229999999998</v>
      </c>
      <c r="F3464" t="s">
        <v>53</v>
      </c>
      <c r="G3464">
        <v>-192.32509999999999</v>
      </c>
      <c r="H3464" s="1">
        <v>6.3409879999999996E-6</v>
      </c>
      <c r="I3464">
        <v>202.36969999999999</v>
      </c>
      <c r="J3464">
        <v>-194.10720000000001</v>
      </c>
      <c r="K3464">
        <v>1.095145</v>
      </c>
      <c r="L3464">
        <v>208.47309999999999</v>
      </c>
      <c r="M3464">
        <v>0.84499500000000005</v>
      </c>
      <c r="N3464">
        <v>0</v>
      </c>
      <c r="O3464">
        <v>-0.53450540000000002</v>
      </c>
      <c r="P3464">
        <v>0.58478140000000001</v>
      </c>
      <c r="Q3464">
        <v>4.982205E-2</v>
      </c>
      <c r="R3464">
        <v>-0.80965980000000004</v>
      </c>
      <c r="S3464">
        <v>0.99404910000000002</v>
      </c>
      <c r="T3464">
        <v>-0.52981669999999903</v>
      </c>
      <c r="U3464">
        <v>-3.0421299999999998</v>
      </c>
      <c r="V3464">
        <v>0.3737762</v>
      </c>
      <c r="W3464">
        <v>5.2013589999999998E-2</v>
      </c>
      <c r="X3464">
        <v>0.92605939999999998</v>
      </c>
      <c r="Y3464">
        <v>0.63556579999999996</v>
      </c>
      <c r="Z3464">
        <v>3.8010710000000003E-2</v>
      </c>
      <c r="AA3464">
        <v>0.77111039999999997</v>
      </c>
      <c r="AB3464">
        <v>31</v>
      </c>
      <c r="AC3464">
        <v>1.78210000000001</v>
      </c>
      <c r="AD3464">
        <v>-1.095138659012</v>
      </c>
      <c r="AE3464">
        <v>-6.1033999999999899</v>
      </c>
      <c r="AF3464">
        <v>4.0842407054030803</v>
      </c>
      <c r="AG3464">
        <v>-1.095138659012</v>
      </c>
      <c r="AH3464">
        <v>4.6314533743867701</v>
      </c>
      <c r="AI3464">
        <v>100.056761093706</v>
      </c>
      <c r="AJ3464">
        <v>48.592585545260903</v>
      </c>
      <c r="AK3464">
        <v>6.2714201885420398</v>
      </c>
      <c r="AL3464">
        <v>87.018495526348502</v>
      </c>
      <c r="AM3464">
        <v>68.020006077041899</v>
      </c>
      <c r="AN3464">
        <v>1.0000000367797399</v>
      </c>
    </row>
    <row r="3465" spans="1:40" x14ac:dyDescent="0.25">
      <c r="A3465" t="str">
        <f>"20190312151341315"</f>
        <v>20190312151341315</v>
      </c>
      <c r="B3465" t="str">
        <f>"1552374821303531"</f>
        <v>1552374821303531</v>
      </c>
      <c r="C3465" t="s">
        <v>40</v>
      </c>
      <c r="D3465">
        <v>4.3651739999999997</v>
      </c>
      <c r="E3465">
        <v>0.62473919999999905</v>
      </c>
      <c r="F3465" t="s">
        <v>53</v>
      </c>
      <c r="G3465">
        <v>-192.11879999999999</v>
      </c>
      <c r="H3465" s="1">
        <v>6.53428199999999E-6</v>
      </c>
      <c r="I3465">
        <v>201.97819999999999</v>
      </c>
      <c r="J3465">
        <v>-193.85599999999999</v>
      </c>
      <c r="K3465">
        <v>1.095021</v>
      </c>
      <c r="L3465">
        <v>208.2954</v>
      </c>
      <c r="M3465">
        <v>0.83537159999999999</v>
      </c>
      <c r="N3465">
        <v>0</v>
      </c>
      <c r="O3465">
        <v>-0.54942209999999903</v>
      </c>
      <c r="P3465">
        <v>0.57076289999999996</v>
      </c>
      <c r="Q3465">
        <v>5.031128E-2</v>
      </c>
      <c r="R3465">
        <v>-0.81957209999999903</v>
      </c>
      <c r="S3465">
        <v>0.93693539999999997</v>
      </c>
      <c r="T3465">
        <v>-0.51602420000000004</v>
      </c>
      <c r="U3465">
        <v>-3.060349</v>
      </c>
      <c r="V3465">
        <v>0.37328050000000002</v>
      </c>
      <c r="W3465">
        <v>5.2466909999999999E-2</v>
      </c>
      <c r="X3465">
        <v>0.92623370000000005</v>
      </c>
      <c r="Y3465">
        <v>0.63650319999999905</v>
      </c>
      <c r="Z3465">
        <v>3.9875649999999999E-2</v>
      </c>
      <c r="AA3465">
        <v>0.7702426</v>
      </c>
      <c r="AB3465">
        <v>31</v>
      </c>
      <c r="AC3465">
        <v>1.7372000000000001</v>
      </c>
      <c r="AD3465">
        <v>-1.0950144657179901</v>
      </c>
      <c r="AE3465">
        <v>-6.3172000000000104</v>
      </c>
      <c r="AF3465">
        <v>4.2058928358951304</v>
      </c>
      <c r="AG3465">
        <v>-1.0950144657179901</v>
      </c>
      <c r="AH3465">
        <v>4.78895588668904</v>
      </c>
      <c r="AI3465">
        <v>99.748412090475199</v>
      </c>
      <c r="AJ3465">
        <v>48.708831562347797</v>
      </c>
      <c r="AK3465">
        <v>6.4670464442293296</v>
      </c>
      <c r="AL3465">
        <v>86.992486542608603</v>
      </c>
      <c r="AM3465">
        <v>68.050122534724693</v>
      </c>
      <c r="AN3465">
        <v>0.99999998767044396</v>
      </c>
    </row>
    <row r="3466" spans="1:40" x14ac:dyDescent="0.25">
      <c r="A3466" t="str">
        <f>"20190312151341336"</f>
        <v>20190312151341336</v>
      </c>
      <c r="B3466" t="str">
        <f>"1552374821333786"</f>
        <v>1552374821333786</v>
      </c>
      <c r="C3466" t="s">
        <v>40</v>
      </c>
      <c r="D3466">
        <v>4.5820119999999998</v>
      </c>
      <c r="E3466">
        <v>0.62647540000000002</v>
      </c>
      <c r="F3466" t="s">
        <v>53</v>
      </c>
      <c r="G3466">
        <v>-191.92660000000001</v>
      </c>
      <c r="H3466" s="1">
        <v>6.7094779999999997E-6</v>
      </c>
      <c r="I3466">
        <v>201.62719999999999</v>
      </c>
      <c r="J3466">
        <v>-193.61770000000001</v>
      </c>
      <c r="K3466">
        <v>1.094894</v>
      </c>
      <c r="L3466">
        <v>208.1206</v>
      </c>
      <c r="M3466">
        <v>0.82577780000000001</v>
      </c>
      <c r="N3466">
        <v>0</v>
      </c>
      <c r="O3466">
        <v>-0.5637373</v>
      </c>
      <c r="P3466">
        <v>0.55657670000000004</v>
      </c>
      <c r="Q3466">
        <v>5.0307940000000002E-2</v>
      </c>
      <c r="R3466">
        <v>-0.82927209999999996</v>
      </c>
      <c r="S3466">
        <v>0.88896180000000002</v>
      </c>
      <c r="T3466">
        <v>-0.50452259999999904</v>
      </c>
      <c r="U3466">
        <v>-3.0723419999999999</v>
      </c>
      <c r="V3466">
        <v>0.37327090000000002</v>
      </c>
      <c r="W3466">
        <v>5.2412630000000002E-2</v>
      </c>
      <c r="X3466">
        <v>0.92624070000000003</v>
      </c>
      <c r="Y3466">
        <v>0.63528759999999995</v>
      </c>
      <c r="Z3466">
        <v>4.1915840000000003E-2</v>
      </c>
      <c r="AA3466">
        <v>0.77113719999999997</v>
      </c>
      <c r="AB3466">
        <v>31</v>
      </c>
      <c r="AC3466">
        <v>1.6911</v>
      </c>
      <c r="AD3466">
        <v>-1.094887290522</v>
      </c>
      <c r="AE3466">
        <v>-6.4934000000000003</v>
      </c>
      <c r="AF3466">
        <v>4.2950546327726302</v>
      </c>
      <c r="AG3466">
        <v>-1.094887290522</v>
      </c>
      <c r="AH3466">
        <v>4.9266089621718496</v>
      </c>
      <c r="AI3466">
        <v>99.509722421458406</v>
      </c>
      <c r="AJ3466">
        <v>48.917837835068397</v>
      </c>
      <c r="AK3466">
        <v>6.6270467286416599</v>
      </c>
      <c r="AL3466">
        <v>86.995601004293704</v>
      </c>
      <c r="AM3466">
        <v>68.050783529280693</v>
      </c>
      <c r="AN3466">
        <v>1.0000000414534</v>
      </c>
    </row>
    <row r="3467" spans="1:40" x14ac:dyDescent="0.25">
      <c r="A3467" t="str">
        <f>"20190312151341358"</f>
        <v>20190312151341358</v>
      </c>
      <c r="B3467" t="str">
        <f>"1552374821354282"</f>
        <v>1552374821354282</v>
      </c>
      <c r="C3467" t="s">
        <v>40</v>
      </c>
      <c r="D3467">
        <v>4.4350529999999999</v>
      </c>
      <c r="E3467">
        <v>0.65157189999999998</v>
      </c>
      <c r="F3467" t="s">
        <v>53</v>
      </c>
      <c r="G3467">
        <v>-191.81610000000001</v>
      </c>
      <c r="H3467" s="1">
        <v>6.8349109999999997E-6</v>
      </c>
      <c r="I3467">
        <v>201.35560000000001</v>
      </c>
      <c r="J3467">
        <v>-193.37090000000001</v>
      </c>
      <c r="K3467">
        <v>1.0947739999999999</v>
      </c>
      <c r="L3467">
        <v>207.9324</v>
      </c>
      <c r="M3467">
        <v>0.81532939999999998</v>
      </c>
      <c r="N3467">
        <v>0</v>
      </c>
      <c r="O3467">
        <v>-0.57874409999999998</v>
      </c>
      <c r="P3467">
        <v>0.54131499999999999</v>
      </c>
      <c r="Q3467">
        <v>5.0267600000000003E-2</v>
      </c>
      <c r="R3467">
        <v>-0.83931639999999996</v>
      </c>
      <c r="S3467">
        <v>0.82421880000000003</v>
      </c>
      <c r="T3467">
        <v>-0.50088469999999996</v>
      </c>
      <c r="U3467">
        <v>-3.0948180000000001</v>
      </c>
      <c r="V3467">
        <v>0.37329129999999999</v>
      </c>
      <c r="W3467">
        <v>5.232026E-2</v>
      </c>
      <c r="X3467">
        <v>0.92623759999999999</v>
      </c>
      <c r="Y3467">
        <v>0.6377488</v>
      </c>
      <c r="Z3467">
        <v>4.4238710000000001E-2</v>
      </c>
      <c r="AA3467">
        <v>0.76897289999999996</v>
      </c>
      <c r="AB3467">
        <v>31</v>
      </c>
      <c r="AC3467">
        <v>1.5548</v>
      </c>
      <c r="AD3467">
        <v>-1.0947671650889901</v>
      </c>
      <c r="AE3467">
        <v>-6.5767999999999898</v>
      </c>
      <c r="AF3467">
        <v>4.3489563318022801</v>
      </c>
      <c r="AG3467">
        <v>-1.0947671650889901</v>
      </c>
      <c r="AH3467">
        <v>4.9449375715408399</v>
      </c>
      <c r="AI3467">
        <v>99.438799883121206</v>
      </c>
      <c r="AJ3467">
        <v>48.669131471756501</v>
      </c>
      <c r="AK3467">
        <v>6.6756530697839898</v>
      </c>
      <c r="AL3467">
        <v>87.000900406071807</v>
      </c>
      <c r="AM3467">
        <v>68.049631449222801</v>
      </c>
      <c r="AN3467">
        <v>0.99999994795795699</v>
      </c>
    </row>
    <row r="3468" spans="1:40" x14ac:dyDescent="0.25">
      <c r="A3468" t="str">
        <f>"20190312151341384"</f>
        <v>20190312151341384</v>
      </c>
      <c r="B3468" t="str">
        <f>"1552374821373803"</f>
        <v>1552374821373803</v>
      </c>
      <c r="C3468" t="s">
        <v>40</v>
      </c>
      <c r="D3468">
        <v>4.4493140000000002</v>
      </c>
      <c r="E3468">
        <v>0.65045200000000003</v>
      </c>
      <c r="F3468" t="s">
        <v>42</v>
      </c>
      <c r="G3468">
        <v>-191.74940000000001</v>
      </c>
      <c r="H3468" s="1">
        <v>-4.4821230000000003E-6</v>
      </c>
      <c r="I3468">
        <v>199.2458</v>
      </c>
      <c r="J3468">
        <v>-193.07849999999999</v>
      </c>
      <c r="K3468">
        <v>1.0946340000000001</v>
      </c>
      <c r="L3468">
        <v>207.7004</v>
      </c>
      <c r="M3468">
        <v>0.80226359999999997</v>
      </c>
      <c r="N3468">
        <v>0</v>
      </c>
      <c r="O3468">
        <v>-0.59672239999999999</v>
      </c>
      <c r="P3468">
        <v>0.52294929999999995</v>
      </c>
      <c r="Q3468">
        <v>5.0112379999999998E-2</v>
      </c>
      <c r="R3468">
        <v>-0.85088999999999904</v>
      </c>
      <c r="S3468">
        <v>0.59956359999999997</v>
      </c>
      <c r="T3468">
        <v>-0.40479890000000002</v>
      </c>
      <c r="U3468">
        <v>-3.2118989999999998</v>
      </c>
      <c r="V3468">
        <v>0.3728515</v>
      </c>
      <c r="W3468">
        <v>5.2127399999999997E-2</v>
      </c>
      <c r="X3468">
        <v>0.92642559999999996</v>
      </c>
      <c r="Y3468">
        <v>0.67827769999999898</v>
      </c>
      <c r="Z3468">
        <v>3.4901540000000002E-2</v>
      </c>
      <c r="AA3468">
        <v>0.73397630000000003</v>
      </c>
      <c r="AB3468">
        <v>31</v>
      </c>
      <c r="AC3468">
        <v>1.32909999999998</v>
      </c>
      <c r="AD3468">
        <v>-1.094638482123</v>
      </c>
      <c r="AE3468">
        <v>-8.4545999999999992</v>
      </c>
      <c r="AF3468">
        <v>5.8941772445765199</v>
      </c>
      <c r="AG3468">
        <v>-1.094638482123</v>
      </c>
      <c r="AH3468">
        <v>6.0138609918255996</v>
      </c>
      <c r="AI3468">
        <v>97.406578238804997</v>
      </c>
      <c r="AJ3468">
        <v>45.57584150892</v>
      </c>
      <c r="AK3468">
        <v>8.4915300638948299</v>
      </c>
      <c r="AL3468">
        <v>87.011965575111702</v>
      </c>
      <c r="AM3468">
        <v>68.077067195069901</v>
      </c>
      <c r="AN3468">
        <v>0.99999994960918304</v>
      </c>
    </row>
    <row r="3469" spans="1:40" x14ac:dyDescent="0.25">
      <c r="A3469" t="str">
        <f>"20190312151341409"</f>
        <v>20190312151341409</v>
      </c>
      <c r="B3469" t="str">
        <f>"1552374821404060"</f>
        <v>1552374821404060</v>
      </c>
      <c r="C3469" t="s">
        <v>40</v>
      </c>
      <c r="D3469">
        <v>4.4352589999999896</v>
      </c>
      <c r="E3469">
        <v>0.64849979999999996</v>
      </c>
      <c r="F3469" t="s">
        <v>42</v>
      </c>
      <c r="G3469">
        <v>-191.55850000000001</v>
      </c>
      <c r="H3469" s="1">
        <v>-4.2247009999999998E-6</v>
      </c>
      <c r="I3469">
        <v>198.5889</v>
      </c>
      <c r="J3469">
        <v>-192.8152</v>
      </c>
      <c r="K3469">
        <v>1.0945149999999999</v>
      </c>
      <c r="L3469">
        <v>207.4811</v>
      </c>
      <c r="M3469">
        <v>0.78976579999999996</v>
      </c>
      <c r="N3469">
        <v>0</v>
      </c>
      <c r="O3469">
        <v>-0.61316559999999998</v>
      </c>
      <c r="P3469">
        <v>0.50523689999999999</v>
      </c>
      <c r="Q3469">
        <v>4.9929109999999999E-2</v>
      </c>
      <c r="R3469">
        <v>-0.8615353</v>
      </c>
      <c r="S3469">
        <v>0.53692629999999997</v>
      </c>
      <c r="T3469">
        <v>-0.38666739999999999</v>
      </c>
      <c r="U3469">
        <v>-3.218521</v>
      </c>
      <c r="V3469">
        <v>0.37289650000000002</v>
      </c>
      <c r="W3469">
        <v>5.189597E-2</v>
      </c>
      <c r="X3469">
        <v>0.92642049999999998</v>
      </c>
      <c r="Y3469">
        <v>0.67737080000000005</v>
      </c>
      <c r="Z3469">
        <v>3.597537E-2</v>
      </c>
      <c r="AA3469">
        <v>0.73476169999999996</v>
      </c>
      <c r="AB3469">
        <v>31</v>
      </c>
      <c r="AC3469">
        <v>1.2566999999999899</v>
      </c>
      <c r="AD3469">
        <v>-1.0945192247009901</v>
      </c>
      <c r="AE3469">
        <v>-8.8922000000000008</v>
      </c>
      <c r="AF3469">
        <v>6.16159821383508</v>
      </c>
      <c r="AG3469">
        <v>-1.0945192247009901</v>
      </c>
      <c r="AH3469">
        <v>6.3515056568991204</v>
      </c>
      <c r="AI3469">
        <v>97.050920802365894</v>
      </c>
      <c r="AJ3469">
        <v>45.8694932774631</v>
      </c>
      <c r="AK3469">
        <v>8.9165514068835598</v>
      </c>
      <c r="AL3469">
        <v>87.025243562193396</v>
      </c>
      <c r="AM3469">
        <v>68.074562857224095</v>
      </c>
      <c r="AN3469">
        <v>0.99999996711736905</v>
      </c>
    </row>
    <row r="3470" spans="1:40" x14ac:dyDescent="0.25">
      <c r="A3470" t="str">
        <f>"20190312151341430"</f>
        <v>20190312151341430</v>
      </c>
      <c r="B3470" t="str">
        <f>"1552374821423579"</f>
        <v>1552374821423579</v>
      </c>
      <c r="C3470" t="s">
        <v>40</v>
      </c>
      <c r="D3470">
        <v>4.5004369999999998</v>
      </c>
      <c r="E3470">
        <v>0.64708429999999995</v>
      </c>
      <c r="F3470" t="s">
        <v>42</v>
      </c>
      <c r="G3470">
        <v>-191.40530000000001</v>
      </c>
      <c r="H3470" s="1">
        <v>-4.0247620000000002E-6</v>
      </c>
      <c r="I3470">
        <v>198.0993</v>
      </c>
      <c r="J3470">
        <v>-192.58340000000001</v>
      </c>
      <c r="K3470">
        <v>1.0944149999999999</v>
      </c>
      <c r="L3470">
        <v>207.2801</v>
      </c>
      <c r="M3470">
        <v>0.77818069999999995</v>
      </c>
      <c r="N3470">
        <v>0</v>
      </c>
      <c r="O3470">
        <v>-0.62780170000000002</v>
      </c>
      <c r="P3470">
        <v>0.48962909999999998</v>
      </c>
      <c r="Q3470">
        <v>4.8985000000000001E-2</v>
      </c>
      <c r="R3470">
        <v>-0.87055389999999999</v>
      </c>
      <c r="S3470">
        <v>0.48391719999999999</v>
      </c>
      <c r="T3470">
        <v>-0.37567479999999998</v>
      </c>
      <c r="U3470">
        <v>-3.2201390000000001</v>
      </c>
      <c r="V3470">
        <v>0.3723166</v>
      </c>
      <c r="W3470">
        <v>5.0941180000000003E-2</v>
      </c>
      <c r="X3470">
        <v>0.92670669999999999</v>
      </c>
      <c r="Y3470">
        <v>0.67559380000000002</v>
      </c>
      <c r="Z3470">
        <v>3.7354100000000001E-2</v>
      </c>
      <c r="AA3470">
        <v>0.73632719999999996</v>
      </c>
      <c r="AB3470">
        <v>31</v>
      </c>
      <c r="AC3470">
        <v>1.1780999999999999</v>
      </c>
      <c r="AD3470">
        <v>-1.09441902476199</v>
      </c>
      <c r="AE3470">
        <v>-9.1807999999999996</v>
      </c>
      <c r="AF3470">
        <v>6.3173507730798404</v>
      </c>
      <c r="AG3470">
        <v>-1.09441902476199</v>
      </c>
      <c r="AH3470">
        <v>6.5893774831144496</v>
      </c>
      <c r="AI3470">
        <v>96.836608090227301</v>
      </c>
      <c r="AJ3470">
        <v>46.207407088460798</v>
      </c>
      <c r="AK3470">
        <v>9.1938332270533003</v>
      </c>
      <c r="AL3470">
        <v>87.080021505147798</v>
      </c>
      <c r="AM3470">
        <v>68.111556536013495</v>
      </c>
      <c r="AN3470">
        <v>0.99999998114012101</v>
      </c>
    </row>
    <row r="3471" spans="1:40" x14ac:dyDescent="0.25">
      <c r="A3471" t="str">
        <f>"20190312151341449"</f>
        <v>20190312151341449</v>
      </c>
      <c r="B3471" t="str">
        <f>"1552374821444075"</f>
        <v>1552374821444075</v>
      </c>
      <c r="C3471" t="s">
        <v>40</v>
      </c>
      <c r="D3471">
        <v>4.4610059999999896</v>
      </c>
      <c r="E3471">
        <v>0.64592649999999996</v>
      </c>
      <c r="F3471" t="s">
        <v>42</v>
      </c>
      <c r="G3471">
        <v>-191.322</v>
      </c>
      <c r="H3471" s="1">
        <v>-3.9336879999999998E-6</v>
      </c>
      <c r="I3471">
        <v>197.93870000000001</v>
      </c>
      <c r="J3471">
        <v>-192.38740000000001</v>
      </c>
      <c r="K3471">
        <v>1.0943369999999999</v>
      </c>
      <c r="L3471">
        <v>207.10419999999999</v>
      </c>
      <c r="M3471">
        <v>0.76794249999999997</v>
      </c>
      <c r="N3471">
        <v>0</v>
      </c>
      <c r="O3471">
        <v>-0.64028350000000001</v>
      </c>
      <c r="P3471">
        <v>0.47628930000000003</v>
      </c>
      <c r="Q3471">
        <v>4.8934489999999997E-2</v>
      </c>
      <c r="R3471">
        <v>-0.87792590000000004</v>
      </c>
      <c r="S3471">
        <v>0.43516539999999998</v>
      </c>
      <c r="T3471">
        <v>-0.37755060000000001</v>
      </c>
      <c r="U3471">
        <v>-3.2225799999999998</v>
      </c>
      <c r="V3471">
        <v>0.37150490000000003</v>
      </c>
      <c r="W3471">
        <v>5.0900689999999998E-2</v>
      </c>
      <c r="X3471">
        <v>0.92703460000000004</v>
      </c>
      <c r="Y3471">
        <v>0.67472209999999999</v>
      </c>
      <c r="Z3471">
        <v>3.954999E-2</v>
      </c>
      <c r="AA3471">
        <v>0.73701149999999904</v>
      </c>
      <c r="AB3471">
        <v>31</v>
      </c>
      <c r="AC3471">
        <v>1.0654000000000099</v>
      </c>
      <c r="AD3471">
        <v>-1.0943409336879999</v>
      </c>
      <c r="AE3471">
        <v>-9.1654999999999802</v>
      </c>
      <c r="AF3471">
        <v>6.2691957364325797</v>
      </c>
      <c r="AG3471">
        <v>-1.0943409336879999</v>
      </c>
      <c r="AH3471">
        <v>6.5949292281780396</v>
      </c>
      <c r="AI3471">
        <v>96.8578808527528</v>
      </c>
      <c r="AJ3471">
        <v>46.450480871259003</v>
      </c>
      <c r="AK3471">
        <v>9.1647961671565099</v>
      </c>
      <c r="AL3471">
        <v>87.082344363946603</v>
      </c>
      <c r="AM3471">
        <v>68.161779924072604</v>
      </c>
      <c r="AN3471">
        <v>0.99999996028182203</v>
      </c>
    </row>
    <row r="3472" spans="1:40" x14ac:dyDescent="0.25">
      <c r="A3472" t="str">
        <f>"20190312151341473"</f>
        <v>20190312151341473</v>
      </c>
      <c r="B3472" t="str">
        <f>"1552374821463594"</f>
        <v>1552374821463594</v>
      </c>
      <c r="C3472" t="s">
        <v>40</v>
      </c>
      <c r="D3472">
        <v>4.4481950000000001</v>
      </c>
      <c r="E3472">
        <v>0.64451569999999903</v>
      </c>
      <c r="F3472" t="s">
        <v>42</v>
      </c>
      <c r="G3472">
        <v>-191.22669999999999</v>
      </c>
      <c r="H3472" s="1">
        <v>-3.7712130000000001E-6</v>
      </c>
      <c r="I3472">
        <v>197.6191</v>
      </c>
      <c r="J3472">
        <v>-192.1429</v>
      </c>
      <c r="K3472">
        <v>1.094244</v>
      </c>
      <c r="L3472">
        <v>206.87610000000001</v>
      </c>
      <c r="M3472">
        <v>0.75455150000000004</v>
      </c>
      <c r="N3472">
        <v>0</v>
      </c>
      <c r="O3472">
        <v>-0.65600990000000003</v>
      </c>
      <c r="P3472">
        <v>0.45808320000000002</v>
      </c>
      <c r="Q3472">
        <v>4.9921140000000003E-2</v>
      </c>
      <c r="R3472">
        <v>-0.88750689999999999</v>
      </c>
      <c r="S3472">
        <v>0.39448549999999999</v>
      </c>
      <c r="T3472">
        <v>-0.371948</v>
      </c>
      <c r="U3472">
        <v>-3.223846</v>
      </c>
      <c r="V3472">
        <v>0.37148150000000002</v>
      </c>
      <c r="W3472">
        <v>5.1861690000000002E-2</v>
      </c>
      <c r="X3472">
        <v>0.92699069999999995</v>
      </c>
      <c r="Y3472">
        <v>0.66872940000000003</v>
      </c>
      <c r="Z3472">
        <v>4.1796E-2</v>
      </c>
      <c r="AA3472">
        <v>0.74233019999999905</v>
      </c>
      <c r="AB3472">
        <v>31</v>
      </c>
      <c r="AC3472">
        <v>0.91620000000000301</v>
      </c>
      <c r="AD3472">
        <v>-1.0942477712129901</v>
      </c>
      <c r="AE3472">
        <v>-9.2569999999999997</v>
      </c>
      <c r="AF3472">
        <v>6.2976705417053402</v>
      </c>
      <c r="AG3472">
        <v>-1.0942477712129901</v>
      </c>
      <c r="AH3472">
        <v>6.6726955170343096</v>
      </c>
      <c r="AI3472">
        <v>96.801006378306298</v>
      </c>
      <c r="AJ3472">
        <v>46.656187902660001</v>
      </c>
      <c r="AK3472">
        <v>9.2402866784379398</v>
      </c>
      <c r="AL3472">
        <v>87.0272102555533</v>
      </c>
      <c r="AM3472">
        <v>68.162089195036501</v>
      </c>
      <c r="AN3472">
        <v>0.99999994880919596</v>
      </c>
    </row>
    <row r="3473" spans="1:40" x14ac:dyDescent="0.25">
      <c r="A3473" t="str">
        <f>"20190312151341492"</f>
        <v>20190312151341492</v>
      </c>
      <c r="B3473" t="str">
        <f>"1552374821484091"</f>
        <v>1552374821484091</v>
      </c>
      <c r="C3473" t="s">
        <v>40</v>
      </c>
      <c r="D3473">
        <v>4.5007849999999996</v>
      </c>
      <c r="E3473">
        <v>0.64354419999999901</v>
      </c>
      <c r="F3473" t="s">
        <v>42</v>
      </c>
      <c r="G3473">
        <v>-191.13030000000001</v>
      </c>
      <c r="H3473" s="1">
        <v>-3.584271E-6</v>
      </c>
      <c r="I3473">
        <v>197.2431</v>
      </c>
      <c r="J3473">
        <v>-191.946</v>
      </c>
      <c r="K3473">
        <v>1.0941809999999901</v>
      </c>
      <c r="L3473">
        <v>206.68539999999999</v>
      </c>
      <c r="M3473">
        <v>0.74325589999999997</v>
      </c>
      <c r="N3473">
        <v>0</v>
      </c>
      <c r="O3473">
        <v>-0.66877969999999998</v>
      </c>
      <c r="P3473">
        <v>0.4427297</v>
      </c>
      <c r="Q3473">
        <v>4.9333740000000001E-2</v>
      </c>
      <c r="R3473">
        <v>-0.89529749999999997</v>
      </c>
      <c r="S3473">
        <v>0.33909610000000001</v>
      </c>
      <c r="T3473">
        <v>-0.3664365</v>
      </c>
      <c r="U3473">
        <v>-3.2258610000000001</v>
      </c>
      <c r="V3473">
        <v>0.37165199999999998</v>
      </c>
      <c r="W3473">
        <v>5.1248809999999999E-2</v>
      </c>
      <c r="X3473">
        <v>0.92695649999999996</v>
      </c>
      <c r="Y3473">
        <v>0.66874330000000004</v>
      </c>
      <c r="Z3473">
        <v>4.3154919999999999E-2</v>
      </c>
      <c r="AA3473">
        <v>0.74223989999999995</v>
      </c>
      <c r="AB3473">
        <v>31</v>
      </c>
      <c r="AC3473">
        <v>0.81569999999999199</v>
      </c>
      <c r="AD3473">
        <v>-1.0941845842709901</v>
      </c>
      <c r="AE3473">
        <v>-9.4422999999999799</v>
      </c>
      <c r="AF3473">
        <v>6.3883566551331699</v>
      </c>
      <c r="AG3473">
        <v>-1.0941845842709901</v>
      </c>
      <c r="AH3473">
        <v>6.8310945152775897</v>
      </c>
      <c r="AI3473">
        <v>96.672701108067699</v>
      </c>
      <c r="AJ3473">
        <v>46.918198597390699</v>
      </c>
      <c r="AK3473">
        <v>9.4165913649417803</v>
      </c>
      <c r="AL3473">
        <v>87.062372610147904</v>
      </c>
      <c r="AM3473">
        <v>68.152279488471393</v>
      </c>
      <c r="AN3473">
        <v>1.0000000012613299</v>
      </c>
    </row>
    <row r="3474" spans="1:40" x14ac:dyDescent="0.25">
      <c r="A3474" t="str">
        <f>"20190312151341514"</f>
        <v>20190312151341514</v>
      </c>
      <c r="B3474" t="str">
        <f>"1552374821503611"</f>
        <v>1552374821503611</v>
      </c>
      <c r="C3474" t="s">
        <v>40</v>
      </c>
      <c r="D3474">
        <v>4.5687189999999998</v>
      </c>
      <c r="E3474">
        <v>0.63145549999999995</v>
      </c>
      <c r="F3474" t="s">
        <v>42</v>
      </c>
      <c r="G3474">
        <v>-191.0889</v>
      </c>
      <c r="H3474" s="1">
        <v>-3.5405790000000001E-6</v>
      </c>
      <c r="I3474">
        <v>197.1669</v>
      </c>
      <c r="J3474">
        <v>-191.73779999999999</v>
      </c>
      <c r="K3474">
        <v>1.094128</v>
      </c>
      <c r="L3474">
        <v>206.47620000000001</v>
      </c>
      <c r="M3474">
        <v>0.73077650000000005</v>
      </c>
      <c r="N3474">
        <v>0</v>
      </c>
      <c r="O3474">
        <v>-0.68239259999999902</v>
      </c>
      <c r="P3474">
        <v>0.42683330000000003</v>
      </c>
      <c r="Q3474">
        <v>4.9490949999999999E-2</v>
      </c>
      <c r="R3474">
        <v>-0.90297490000000002</v>
      </c>
      <c r="S3474">
        <v>0.2906647</v>
      </c>
      <c r="T3474">
        <v>-0.37102499999999999</v>
      </c>
      <c r="U3474">
        <v>-3.2275849999999999</v>
      </c>
      <c r="V3474">
        <v>0.37092649999999999</v>
      </c>
      <c r="W3474">
        <v>5.1424999999999998E-2</v>
      </c>
      <c r="X3474">
        <v>0.92723730000000004</v>
      </c>
      <c r="Y3474">
        <v>0.66610800000000003</v>
      </c>
      <c r="Z3474">
        <v>4.5991690000000002E-2</v>
      </c>
      <c r="AA3474">
        <v>0.74443599999999999</v>
      </c>
      <c r="AB3474">
        <v>30</v>
      </c>
      <c r="AC3474">
        <v>0.64889999999999703</v>
      </c>
      <c r="AD3474">
        <v>-1.094131540579</v>
      </c>
      <c r="AE3474">
        <v>-9.3093000000000004</v>
      </c>
      <c r="AF3474">
        <v>6.2749267509873601</v>
      </c>
      <c r="AG3474">
        <v>-1.094131540579</v>
      </c>
      <c r="AH3474">
        <v>6.7352553327744298</v>
      </c>
      <c r="AI3474">
        <v>96.778278273022707</v>
      </c>
      <c r="AJ3474">
        <v>47.026404149388</v>
      </c>
      <c r="AK3474">
        <v>9.2701399102717392</v>
      </c>
      <c r="AL3474">
        <v>87.052264348253203</v>
      </c>
      <c r="AM3474">
        <v>68.1969083014624</v>
      </c>
      <c r="AN3474">
        <v>1.0000000047692601</v>
      </c>
    </row>
    <row r="3475" spans="1:40" x14ac:dyDescent="0.25">
      <c r="A3475" t="str">
        <f>"20190312151341536"</f>
        <v>20190312151341536</v>
      </c>
      <c r="B3475" t="str">
        <f>"1552374821533867"</f>
        <v>1552374821533867</v>
      </c>
      <c r="C3475" t="s">
        <v>40</v>
      </c>
      <c r="D3475">
        <v>4.6176979999999999</v>
      </c>
      <c r="E3475">
        <v>0.63033569999999906</v>
      </c>
      <c r="F3475" t="s">
        <v>42</v>
      </c>
      <c r="G3475">
        <v>-190.762</v>
      </c>
      <c r="H3475" s="1">
        <v>-3.2849449999999999E-6</v>
      </c>
      <c r="I3475">
        <v>196.77379999999999</v>
      </c>
      <c r="J3475">
        <v>-191.52010000000001</v>
      </c>
      <c r="K3475">
        <v>1.0940749999999999</v>
      </c>
      <c r="L3475">
        <v>206.249</v>
      </c>
      <c r="M3475">
        <v>0.71712140000000002</v>
      </c>
      <c r="N3475">
        <v>0</v>
      </c>
      <c r="O3475">
        <v>-0.69672789999999996</v>
      </c>
      <c r="P3475">
        <v>0.40957700000000002</v>
      </c>
      <c r="Q3475">
        <v>5.0313980000000001E-2</v>
      </c>
      <c r="R3475">
        <v>-0.91088740000000001</v>
      </c>
      <c r="S3475">
        <v>0.32086179999999997</v>
      </c>
      <c r="T3475">
        <v>-0.35977480000000001</v>
      </c>
      <c r="U3475">
        <v>-3.190369</v>
      </c>
      <c r="V3475">
        <v>0.37021520000000002</v>
      </c>
      <c r="W3475">
        <v>5.2269290000000003E-2</v>
      </c>
      <c r="X3475">
        <v>0.92747429999999997</v>
      </c>
      <c r="Y3475">
        <v>0.64341590000000004</v>
      </c>
      <c r="Z3475">
        <v>4.862884E-2</v>
      </c>
      <c r="AA3475">
        <v>0.763970699999999</v>
      </c>
      <c r="AB3475">
        <v>30</v>
      </c>
      <c r="AC3475">
        <v>0.75810000000001299</v>
      </c>
      <c r="AD3475">
        <v>-1.0940782849449999</v>
      </c>
      <c r="AE3475">
        <v>-9.4752000000000294</v>
      </c>
      <c r="AF3475">
        <v>6.1856940505861999</v>
      </c>
      <c r="AG3475">
        <v>-1.0940782849449999</v>
      </c>
      <c r="AH3475">
        <v>7.0529463506088401</v>
      </c>
      <c r="AI3475">
        <v>96.652046556576593</v>
      </c>
      <c r="AJ3475">
        <v>48.748043374604002</v>
      </c>
      <c r="AK3475">
        <v>9.4447800612619996</v>
      </c>
      <c r="AL3475">
        <v>87.003824854860895</v>
      </c>
      <c r="AM3475">
        <v>68.239849675200603</v>
      </c>
      <c r="AN3475">
        <v>0.99999997507431604</v>
      </c>
    </row>
    <row r="3476" spans="1:40" x14ac:dyDescent="0.25">
      <c r="A3476" t="str">
        <f>"20190312151341559"</f>
        <v>20190312151341559</v>
      </c>
      <c r="B3476" t="str">
        <f>"1552374821553387"</f>
        <v>1552374821553387</v>
      </c>
      <c r="C3476" t="s">
        <v>40</v>
      </c>
      <c r="D3476">
        <v>4.5992600000000001</v>
      </c>
      <c r="E3476">
        <v>0.62926700000000002</v>
      </c>
      <c r="F3476" t="s">
        <v>42</v>
      </c>
      <c r="G3476">
        <v>-190.70849999999999</v>
      </c>
      <c r="H3476" s="1">
        <v>-3.1871610000000001E-6</v>
      </c>
      <c r="I3476">
        <v>196.57900000000001</v>
      </c>
      <c r="J3476">
        <v>-191.30889999999999</v>
      </c>
      <c r="K3476">
        <v>1.0940350000000001</v>
      </c>
      <c r="L3476">
        <v>206.01949999999999</v>
      </c>
      <c r="M3476">
        <v>0.70323849999999999</v>
      </c>
      <c r="N3476">
        <v>0</v>
      </c>
      <c r="O3476">
        <v>-0.7107369</v>
      </c>
      <c r="P3476">
        <v>0.39219559999999998</v>
      </c>
      <c r="Q3476">
        <v>5.0712840000000002E-2</v>
      </c>
      <c r="R3476">
        <v>-0.91848289999999999</v>
      </c>
      <c r="S3476">
        <v>0.2680054</v>
      </c>
      <c r="T3476">
        <v>-0.36125790000000002</v>
      </c>
      <c r="U3476">
        <v>-3.1929470000000002</v>
      </c>
      <c r="V3476">
        <v>0.36954969999999998</v>
      </c>
      <c r="W3476">
        <v>5.2693579999999997E-2</v>
      </c>
      <c r="X3476">
        <v>0.92771570000000003</v>
      </c>
      <c r="Y3476">
        <v>0.64094799999999996</v>
      </c>
      <c r="Z3476">
        <v>5.1140989999999997E-2</v>
      </c>
      <c r="AA3476">
        <v>0.76587869999999902</v>
      </c>
      <c r="AB3476">
        <v>30</v>
      </c>
      <c r="AC3476">
        <v>0.60040000000000704</v>
      </c>
      <c r="AD3476">
        <v>-1.0940381871610001</v>
      </c>
      <c r="AE3476">
        <v>-9.4404999999999806</v>
      </c>
      <c r="AF3476">
        <v>6.1311462205942799</v>
      </c>
      <c r="AG3476">
        <v>-1.0940381871610001</v>
      </c>
      <c r="AH3476">
        <v>7.0388858735947002</v>
      </c>
      <c r="AI3476">
        <v>96.684630023254201</v>
      </c>
      <c r="AJ3476">
        <v>48.9428549220086</v>
      </c>
      <c r="AK3476">
        <v>9.3986056346016102</v>
      </c>
      <c r="AL3476">
        <v>86.979481376674698</v>
      </c>
      <c r="AM3476">
        <v>68.280446930695305</v>
      </c>
      <c r="AN3476">
        <v>1.00000000708489</v>
      </c>
    </row>
    <row r="3477" spans="1:40" x14ac:dyDescent="0.25">
      <c r="A3477" t="str">
        <f>"20190312151341581"</f>
        <v>20190312151341581</v>
      </c>
      <c r="B3477" t="str">
        <f>"1552374821573883"</f>
        <v>1552374821573883</v>
      </c>
      <c r="C3477" t="s">
        <v>40</v>
      </c>
      <c r="D3477">
        <v>4.6482000000000001</v>
      </c>
      <c r="E3477">
        <v>0.62812290000000004</v>
      </c>
      <c r="F3477" t="s">
        <v>42</v>
      </c>
      <c r="G3477">
        <v>-190.6842</v>
      </c>
      <c r="H3477" s="1">
        <v>-3.249178E-6</v>
      </c>
      <c r="I3477">
        <v>196.73869999999999</v>
      </c>
      <c r="J3477">
        <v>-191.10390000000001</v>
      </c>
      <c r="K3477">
        <v>1.094004</v>
      </c>
      <c r="L3477">
        <v>205.7878</v>
      </c>
      <c r="M3477">
        <v>0.68912659999999903</v>
      </c>
      <c r="N3477">
        <v>0</v>
      </c>
      <c r="O3477">
        <v>-0.72442709999999999</v>
      </c>
      <c r="P3477">
        <v>0.37518049999999997</v>
      </c>
      <c r="Q3477">
        <v>5.085224E-2</v>
      </c>
      <c r="R3477">
        <v>-0.92555580000000004</v>
      </c>
      <c r="S3477">
        <v>0.2150879</v>
      </c>
      <c r="T3477">
        <v>-0.37665320000000002</v>
      </c>
      <c r="U3477">
        <v>-3.1951900000000002</v>
      </c>
      <c r="V3477">
        <v>0.36843130000000002</v>
      </c>
      <c r="W3477">
        <v>5.2882619999999998E-2</v>
      </c>
      <c r="X3477">
        <v>0.92814960000000002</v>
      </c>
      <c r="Y3477">
        <v>0.63850220000000002</v>
      </c>
      <c r="Z3477">
        <v>5.5667179999999997E-2</v>
      </c>
      <c r="AA3477">
        <v>0.76760410000000001</v>
      </c>
      <c r="AB3477">
        <v>30</v>
      </c>
      <c r="AC3477">
        <v>0.41970000000000601</v>
      </c>
      <c r="AD3477">
        <v>-1.094007249178</v>
      </c>
      <c r="AE3477">
        <v>-9.0491000000000099</v>
      </c>
      <c r="AF3477">
        <v>5.8475680366304097</v>
      </c>
      <c r="AG3477">
        <v>-1.094007249178</v>
      </c>
      <c r="AH3477">
        <v>6.7472935450407601</v>
      </c>
      <c r="AI3477">
        <v>96.9855363298675</v>
      </c>
      <c r="AJ3477">
        <v>49.086035612428901</v>
      </c>
      <c r="AK3477">
        <v>8.9953807027398494</v>
      </c>
      <c r="AL3477">
        <v>86.968634847750707</v>
      </c>
      <c r="AM3477">
        <v>68.349273635394297</v>
      </c>
      <c r="AN3477">
        <v>0.99999993714895496</v>
      </c>
    </row>
    <row r="3478" spans="1:40" x14ac:dyDescent="0.25">
      <c r="A3478" t="str">
        <f>"20190312151341613"</f>
        <v>20190312151341613</v>
      </c>
      <c r="B3478" t="str">
        <f>"1552374821604139"</f>
        <v>1552374821604139</v>
      </c>
      <c r="C3478" t="s">
        <v>40</v>
      </c>
      <c r="D3478">
        <v>4.4877900000000004</v>
      </c>
      <c r="E3478">
        <v>0.62511680000000003</v>
      </c>
      <c r="F3478" t="s">
        <v>42</v>
      </c>
      <c r="G3478">
        <v>-190.63579999999999</v>
      </c>
      <c r="H3478" s="1">
        <v>-3.2151840000000001E-6</v>
      </c>
      <c r="I3478">
        <v>196.68940000000001</v>
      </c>
      <c r="J3478">
        <v>-190.8246</v>
      </c>
      <c r="K3478">
        <v>1.0939680000000001</v>
      </c>
      <c r="L3478">
        <v>205.45590000000001</v>
      </c>
      <c r="M3478">
        <v>0.66879960000000005</v>
      </c>
      <c r="N3478">
        <v>0</v>
      </c>
      <c r="O3478">
        <v>-0.74323339999999904</v>
      </c>
      <c r="P3478">
        <v>0.35112939999999998</v>
      </c>
      <c r="Q3478">
        <v>5.0601930000000003E-2</v>
      </c>
      <c r="R3478">
        <v>-0.93495859999999997</v>
      </c>
      <c r="S3478">
        <v>0.16441349999999999</v>
      </c>
      <c r="T3478">
        <v>-0.38426549999999998</v>
      </c>
      <c r="U3478">
        <v>-3.1957550000000001</v>
      </c>
      <c r="V3478">
        <v>0.36672329999999997</v>
      </c>
      <c r="W3478">
        <v>5.2714520000000001E-2</v>
      </c>
      <c r="X3478">
        <v>0.92883539999999998</v>
      </c>
      <c r="Y3478">
        <v>0.62932540000000003</v>
      </c>
      <c r="Z3478">
        <v>6.0470469999999998E-2</v>
      </c>
      <c r="AA3478">
        <v>0.77478570000000002</v>
      </c>
      <c r="AB3478">
        <v>30</v>
      </c>
      <c r="AC3478">
        <v>0.18880000000001401</v>
      </c>
      <c r="AD3478">
        <v>-1.093971215184</v>
      </c>
      <c r="AE3478">
        <v>-8.7665000000000006</v>
      </c>
      <c r="AF3478">
        <v>5.6358757287025201</v>
      </c>
      <c r="AG3478">
        <v>-1.093971215184</v>
      </c>
      <c r="AH3478">
        <v>6.5410452689182597</v>
      </c>
      <c r="AI3478">
        <v>97.221068462569505</v>
      </c>
      <c r="AJ3478">
        <v>49.251254077624203</v>
      </c>
      <c r="AK3478">
        <v>8.7031684724051601</v>
      </c>
      <c r="AL3478">
        <v>86.978279911344899</v>
      </c>
      <c r="AM3478">
        <v>68.4548748466555</v>
      </c>
      <c r="AN3478">
        <v>0.99999999983744003</v>
      </c>
    </row>
    <row r="3479" spans="1:40" x14ac:dyDescent="0.25">
      <c r="A3479" t="str">
        <f>"20190312151341634"</f>
        <v>20190312151341634</v>
      </c>
      <c r="B3479" t="str">
        <f>"1552374821623658"</f>
        <v>1552374821623658</v>
      </c>
      <c r="C3479" t="s">
        <v>40</v>
      </c>
      <c r="D3479">
        <v>4.494319</v>
      </c>
      <c r="E3479">
        <v>0.62275170000000002</v>
      </c>
      <c r="F3479" t="s">
        <v>42</v>
      </c>
      <c r="G3479">
        <v>-190.52520000000001</v>
      </c>
      <c r="H3479" s="1">
        <v>-3.0143659999999998E-6</v>
      </c>
      <c r="I3479">
        <v>196.28989999999999</v>
      </c>
      <c r="J3479">
        <v>-190.63480000000001</v>
      </c>
      <c r="K3479">
        <v>1.09395</v>
      </c>
      <c r="L3479">
        <v>205.2193</v>
      </c>
      <c r="M3479">
        <v>0.65421569999999996</v>
      </c>
      <c r="N3479">
        <v>0</v>
      </c>
      <c r="O3479">
        <v>-0.7561021</v>
      </c>
      <c r="P3479">
        <v>0.3350648</v>
      </c>
      <c r="Q3479">
        <v>5.0220019999999997E-2</v>
      </c>
      <c r="R3479">
        <v>-0.94085589999999997</v>
      </c>
      <c r="S3479">
        <v>0.1042023</v>
      </c>
      <c r="T3479">
        <v>-0.38075360000000003</v>
      </c>
      <c r="U3479">
        <v>-3.1902159999999999</v>
      </c>
      <c r="V3479">
        <v>0.36456359999999999</v>
      </c>
      <c r="W3479">
        <v>5.243739E-2</v>
      </c>
      <c r="X3479">
        <v>0.92970090000000005</v>
      </c>
      <c r="Y3479">
        <v>0.62876989999999999</v>
      </c>
      <c r="Z3479">
        <v>6.2238340000000003E-2</v>
      </c>
      <c r="AA3479">
        <v>0.77509669999999997</v>
      </c>
      <c r="AB3479">
        <v>30</v>
      </c>
      <c r="AC3479">
        <v>0.1096</v>
      </c>
      <c r="AD3479">
        <v>-1.0939530143659999</v>
      </c>
      <c r="AE3479">
        <v>-8.92940000000001</v>
      </c>
      <c r="AF3479">
        <v>5.6746240381973303</v>
      </c>
      <c r="AG3479">
        <v>-1.0939530143659999</v>
      </c>
      <c r="AH3479">
        <v>6.7234062273012603</v>
      </c>
      <c r="AI3479">
        <v>97.087808285037795</v>
      </c>
      <c r="AJ3479">
        <v>49.835289895431103</v>
      </c>
      <c r="AK3479">
        <v>8.8657928280464997</v>
      </c>
      <c r="AL3479">
        <v>86.994180375550201</v>
      </c>
      <c r="AM3479">
        <v>68.588365254728402</v>
      </c>
      <c r="AN3479">
        <v>1.00000003088789</v>
      </c>
    </row>
    <row r="3480" spans="1:40" x14ac:dyDescent="0.25">
      <c r="A3480" t="str">
        <f>"20190312151341652"</f>
        <v>20190312151341652</v>
      </c>
      <c r="B3480" t="str">
        <f>"1552374821644155"</f>
        <v>1552374821644155</v>
      </c>
      <c r="C3480" t="s">
        <v>40</v>
      </c>
      <c r="D3480">
        <v>4.545331</v>
      </c>
      <c r="E3480">
        <v>0.59895589999999999</v>
      </c>
      <c r="F3480" t="s">
        <v>42</v>
      </c>
      <c r="G3480">
        <v>-190.44049999999999</v>
      </c>
      <c r="H3480" s="1">
        <v>-2.8886479999999998E-6</v>
      </c>
      <c r="I3480">
        <v>196.04939999999999</v>
      </c>
      <c r="J3480">
        <v>-190.48240000000001</v>
      </c>
      <c r="K3480">
        <v>1.0939380000000001</v>
      </c>
      <c r="L3480">
        <v>205.0222</v>
      </c>
      <c r="M3480">
        <v>0.64201900000000001</v>
      </c>
      <c r="N3480">
        <v>0</v>
      </c>
      <c r="O3480">
        <v>-0.76648530000000004</v>
      </c>
      <c r="P3480">
        <v>0.322272</v>
      </c>
      <c r="Q3480">
        <v>4.991694E-2</v>
      </c>
      <c r="R3480">
        <v>-0.94533029999999996</v>
      </c>
      <c r="S3480">
        <v>6.748962E-2</v>
      </c>
      <c r="T3480">
        <v>-0.37994280000000002</v>
      </c>
      <c r="U3480">
        <v>-3.1848139999999998</v>
      </c>
      <c r="V3480">
        <v>0.36227920000000002</v>
      </c>
      <c r="W3480">
        <v>5.2245970000000003E-2</v>
      </c>
      <c r="X3480">
        <v>0.93060419999999999</v>
      </c>
      <c r="Y3480">
        <v>0.62522049999999996</v>
      </c>
      <c r="Z3480">
        <v>6.4163750000000006E-2</v>
      </c>
      <c r="AA3480">
        <v>0.77780609999999994</v>
      </c>
      <c r="AB3480">
        <v>30</v>
      </c>
      <c r="AC3480">
        <v>4.1900000000026603E-2</v>
      </c>
      <c r="AD3480">
        <v>-1.09394088864799</v>
      </c>
      <c r="AE3480">
        <v>-8.9727999999999994</v>
      </c>
      <c r="AF3480">
        <v>5.6455727017684199</v>
      </c>
      <c r="AG3480">
        <v>-1.09394088864799</v>
      </c>
      <c r="AH3480">
        <v>6.8043599737002802</v>
      </c>
      <c r="AI3480">
        <v>97.053258860963595</v>
      </c>
      <c r="AJ3480">
        <v>50.317529603941097</v>
      </c>
      <c r="AK3480">
        <v>8.9089007431053595</v>
      </c>
      <c r="AL3480">
        <v>87.005162951078503</v>
      </c>
      <c r="AM3480">
        <v>68.729304883656198</v>
      </c>
      <c r="AN3480">
        <v>1.00000001859576</v>
      </c>
    </row>
    <row r="3481" spans="1:40" x14ac:dyDescent="0.25">
      <c r="A3481" t="str">
        <f>"20190312151341671"</f>
        <v>20190312151341671</v>
      </c>
      <c r="B3481" t="str">
        <f>"1552374821663675"</f>
        <v>1552374821663675</v>
      </c>
      <c r="C3481" t="s">
        <v>40</v>
      </c>
      <c r="D3481">
        <v>4.4988109999999999</v>
      </c>
      <c r="E3481">
        <v>0.59727129999999995</v>
      </c>
      <c r="F3481" t="s">
        <v>42</v>
      </c>
      <c r="G3481">
        <v>-189.64619999999999</v>
      </c>
      <c r="H3481" s="1">
        <v>-1.2654880000000001E-6</v>
      </c>
      <c r="I3481">
        <v>192.43639999999999</v>
      </c>
      <c r="J3481">
        <v>-190.32859999999999</v>
      </c>
      <c r="K3481">
        <v>1.0939299999999901</v>
      </c>
      <c r="L3481">
        <v>204.81649999999999</v>
      </c>
      <c r="M3481">
        <v>0.62923769999999901</v>
      </c>
      <c r="N3481">
        <v>0</v>
      </c>
      <c r="O3481">
        <v>-0.77701180000000003</v>
      </c>
      <c r="P3481">
        <v>0.309363</v>
      </c>
      <c r="Q3481">
        <v>5.035879E-2</v>
      </c>
      <c r="R3481">
        <v>-0.9496097</v>
      </c>
      <c r="S3481">
        <v>0.2071075</v>
      </c>
      <c r="T3481">
        <v>-0.27093840000000002</v>
      </c>
      <c r="U3481">
        <v>-3.1171720000000001</v>
      </c>
      <c r="V3481">
        <v>0.35954819999999998</v>
      </c>
      <c r="W3481">
        <v>5.2821670000000001E-2</v>
      </c>
      <c r="X3481">
        <v>0.93163030000000002</v>
      </c>
      <c r="Y3481">
        <v>0.57628880000000005</v>
      </c>
      <c r="Z3481">
        <v>4.9932669999999998E-2</v>
      </c>
      <c r="AA3481">
        <v>0.81571919999999898</v>
      </c>
      <c r="AB3481">
        <v>30</v>
      </c>
      <c r="AC3481">
        <v>0.68240000000000101</v>
      </c>
      <c r="AD3481">
        <v>-1.09393126548799</v>
      </c>
      <c r="AE3481">
        <v>-12.380100000000001</v>
      </c>
      <c r="AF3481">
        <v>7.2048437162265104</v>
      </c>
      <c r="AG3481">
        <v>-1.09393126548799</v>
      </c>
      <c r="AH3481">
        <v>9.9728160543568496</v>
      </c>
      <c r="AI3481">
        <v>95.081087994547502</v>
      </c>
      <c r="AJ3481">
        <v>54.153836127165697</v>
      </c>
      <c r="AK3481">
        <v>12.3516605621632</v>
      </c>
      <c r="AL3481">
        <v>86.972132183938101</v>
      </c>
      <c r="AM3481">
        <v>68.896681965529595</v>
      </c>
      <c r="AN3481">
        <v>1.0000000264114499</v>
      </c>
    </row>
    <row r="3482" spans="1:40" x14ac:dyDescent="0.25">
      <c r="A3482" t="str">
        <f>"20190312151341693"</f>
        <v>20190312151341693</v>
      </c>
      <c r="B3482" t="str">
        <f>"1552374821684171"</f>
        <v>1552374821684171</v>
      </c>
      <c r="C3482" t="s">
        <v>40</v>
      </c>
      <c r="D3482">
        <v>4.4708699999999997</v>
      </c>
      <c r="E3482">
        <v>0.59812399999999999</v>
      </c>
      <c r="F3482" t="s">
        <v>42</v>
      </c>
      <c r="G3482">
        <v>-189.5847</v>
      </c>
      <c r="H3482" s="1">
        <v>-1.0028289999999999E-6</v>
      </c>
      <c r="I3482">
        <v>191.7987</v>
      </c>
      <c r="J3482">
        <v>-190.14959999999999</v>
      </c>
      <c r="K3482">
        <v>1.0939270000000001</v>
      </c>
      <c r="L3482">
        <v>204.56729999999999</v>
      </c>
      <c r="M3482">
        <v>0.61371149999999997</v>
      </c>
      <c r="N3482">
        <v>0</v>
      </c>
      <c r="O3482">
        <v>-0.78933209999999998</v>
      </c>
      <c r="P3482">
        <v>0.29293039999999998</v>
      </c>
      <c r="Q3482">
        <v>5.0832099999999998E-2</v>
      </c>
      <c r="R3482">
        <v>-0.95478180000000001</v>
      </c>
      <c r="S3482">
        <v>0.178009</v>
      </c>
      <c r="T3482">
        <v>-0.26177040000000001</v>
      </c>
      <c r="U3482">
        <v>-3.1150669999999998</v>
      </c>
      <c r="V3482">
        <v>0.3571589</v>
      </c>
      <c r="W3482">
        <v>5.3415919999999999E-2</v>
      </c>
      <c r="X3482">
        <v>0.93251499999999998</v>
      </c>
      <c r="Y3482">
        <v>0.56764130000000002</v>
      </c>
      <c r="Z3482">
        <v>5.005101E-2</v>
      </c>
      <c r="AA3482">
        <v>0.82175319999999996</v>
      </c>
      <c r="AB3482">
        <v>30</v>
      </c>
      <c r="AC3482">
        <v>0.56489999999999396</v>
      </c>
      <c r="AD3482">
        <v>-1.0939280028289999</v>
      </c>
      <c r="AE3482">
        <v>-12.7685999999999</v>
      </c>
      <c r="AF3482">
        <v>7.3377467173460698</v>
      </c>
      <c r="AG3482">
        <v>-1.0939280028289999</v>
      </c>
      <c r="AH3482">
        <v>10.3511554263949</v>
      </c>
      <c r="AI3482">
        <v>94.927659775777201</v>
      </c>
      <c r="AJ3482">
        <v>54.667862527417697</v>
      </c>
      <c r="AK3482">
        <v>12.735211974077201</v>
      </c>
      <c r="AL3482">
        <v>86.938035896726504</v>
      </c>
      <c r="AM3482">
        <v>69.042857142390304</v>
      </c>
      <c r="AN3482">
        <v>0.999999982791828</v>
      </c>
    </row>
    <row r="3483" spans="1:40" x14ac:dyDescent="0.25">
      <c r="A3483" t="str">
        <f>"20190312151341718"</f>
        <v>20190312151341718</v>
      </c>
      <c r="B3483" t="str">
        <f>"1552374821713451"</f>
        <v>1552374821713451</v>
      </c>
      <c r="C3483" t="s">
        <v>40</v>
      </c>
      <c r="D3483">
        <v>4.6561050000000002</v>
      </c>
      <c r="E3483">
        <v>0.59652640000000001</v>
      </c>
      <c r="F3483" t="s">
        <v>42</v>
      </c>
      <c r="G3483">
        <v>-189.7158</v>
      </c>
      <c r="H3483" s="1">
        <v>-1.4978770000000001E-6</v>
      </c>
      <c r="I3483">
        <v>193.0069</v>
      </c>
      <c r="J3483">
        <v>-189.96369999999999</v>
      </c>
      <c r="K3483">
        <v>1.093928</v>
      </c>
      <c r="L3483">
        <v>204.29689999999999</v>
      </c>
      <c r="M3483">
        <v>0.59679329999999997</v>
      </c>
      <c r="N3483">
        <v>0</v>
      </c>
      <c r="O3483">
        <v>-0.80220000000000002</v>
      </c>
      <c r="P3483">
        <v>0.27607530000000002</v>
      </c>
      <c r="Q3483">
        <v>5.052947E-2</v>
      </c>
      <c r="R3483">
        <v>-0.95980719999999997</v>
      </c>
      <c r="S3483">
        <v>0.117157</v>
      </c>
      <c r="T3483">
        <v>-0.295409599999999</v>
      </c>
      <c r="U3483">
        <v>-3.1218409999999999</v>
      </c>
      <c r="V3483">
        <v>0.35374719999999998</v>
      </c>
      <c r="W3483">
        <v>5.3283070000000002E-2</v>
      </c>
      <c r="X3483">
        <v>0.93382220000000005</v>
      </c>
      <c r="Y3483">
        <v>0.56619419999999898</v>
      </c>
      <c r="Z3483">
        <v>5.8126909999999997E-2</v>
      </c>
      <c r="AA3483">
        <v>0.82221979999999995</v>
      </c>
      <c r="AB3483">
        <v>30</v>
      </c>
      <c r="AC3483">
        <v>0.24789999999998699</v>
      </c>
      <c r="AD3483">
        <v>-1.093929497877</v>
      </c>
      <c r="AE3483">
        <v>-11.2899999999999</v>
      </c>
      <c r="AF3483">
        <v>6.47915481731639</v>
      </c>
      <c r="AG3483">
        <v>-1.093929497877</v>
      </c>
      <c r="AH3483">
        <v>9.1206367997001596</v>
      </c>
      <c r="AI3483">
        <v>95.584590644871895</v>
      </c>
      <c r="AJ3483">
        <v>54.610621546485703</v>
      </c>
      <c r="AK3483">
        <v>11.241091785281499</v>
      </c>
      <c r="AL3483">
        <v>86.945658653470701</v>
      </c>
      <c r="AM3483">
        <v>69.252488710787205</v>
      </c>
      <c r="AN3483">
        <v>1.00000003413465</v>
      </c>
    </row>
    <row r="3484" spans="1:40" x14ac:dyDescent="0.25">
      <c r="A3484" t="str">
        <f>"20190312151341737"</f>
        <v>20190312151341737</v>
      </c>
      <c r="B3484" t="str">
        <f>"1552374821733947"</f>
        <v>1552374821733947</v>
      </c>
      <c r="C3484" t="s">
        <v>40</v>
      </c>
      <c r="D3484">
        <v>4.5120399999999998</v>
      </c>
      <c r="E3484">
        <v>0.59531709999999904</v>
      </c>
      <c r="F3484" t="s">
        <v>42</v>
      </c>
      <c r="G3484">
        <v>-189.71420000000001</v>
      </c>
      <c r="H3484" s="1">
        <v>-1.7934989999999901E-6</v>
      </c>
      <c r="I3484">
        <v>193.6953</v>
      </c>
      <c r="J3484">
        <v>-189.81</v>
      </c>
      <c r="K3484">
        <v>1.0939289999999999</v>
      </c>
      <c r="L3484">
        <v>204.06360000000001</v>
      </c>
      <c r="M3484">
        <v>0.58214709999999903</v>
      </c>
      <c r="N3484">
        <v>0</v>
      </c>
      <c r="O3484">
        <v>-0.81289069999999997</v>
      </c>
      <c r="P3484">
        <v>0.26194600000000001</v>
      </c>
      <c r="Q3484">
        <v>5.00711E-2</v>
      </c>
      <c r="R3484">
        <v>-0.96378280000000005</v>
      </c>
      <c r="S3484">
        <v>7.3440549999999993E-2</v>
      </c>
      <c r="T3484">
        <v>-0.32208999999999999</v>
      </c>
      <c r="U3484">
        <v>-3.1214599999999999</v>
      </c>
      <c r="V3484">
        <v>0.35052250000000001</v>
      </c>
      <c r="W3484">
        <v>5.2985940000000002E-2</v>
      </c>
      <c r="X3484">
        <v>0.93505419999999995</v>
      </c>
      <c r="Y3484">
        <v>0.5627181</v>
      </c>
      <c r="Z3484">
        <v>6.5064869999999997E-2</v>
      </c>
      <c r="AA3484">
        <v>0.82408429999999999</v>
      </c>
      <c r="AB3484">
        <v>30</v>
      </c>
      <c r="AC3484">
        <v>9.5799999999996999E-2</v>
      </c>
      <c r="AD3484">
        <v>-1.0939307934989999</v>
      </c>
      <c r="AE3484">
        <v>-10.3683</v>
      </c>
      <c r="AF3484">
        <v>5.8933371482796</v>
      </c>
      <c r="AG3484">
        <v>-1.0939307934989999</v>
      </c>
      <c r="AH3484">
        <v>8.3919846274362602</v>
      </c>
      <c r="AI3484">
        <v>96.089117913330995</v>
      </c>
      <c r="AJ3484">
        <v>54.921249228395503</v>
      </c>
      <c r="AK3484">
        <v>10.3127839748238</v>
      </c>
      <c r="AL3484">
        <v>86.962706759748798</v>
      </c>
      <c r="AM3484">
        <v>69.450553330046404</v>
      </c>
      <c r="AN3484">
        <v>0.99999994489078503</v>
      </c>
    </row>
    <row r="3485" spans="1:40" x14ac:dyDescent="0.25">
      <c r="A3485" t="str">
        <f>"20190312151341759"</f>
        <v>20190312151341759</v>
      </c>
      <c r="B3485" t="str">
        <f>"1552374821753467"</f>
        <v>1552374821753467</v>
      </c>
      <c r="C3485" t="s">
        <v>40</v>
      </c>
      <c r="D3485">
        <v>4.4575589999999998</v>
      </c>
      <c r="E3485">
        <v>0.59472579999999997</v>
      </c>
      <c r="F3485" t="s">
        <v>42</v>
      </c>
      <c r="G3485">
        <v>-189.68690000000001</v>
      </c>
      <c r="H3485" s="1">
        <v>-1.775517E-6</v>
      </c>
      <c r="I3485">
        <v>193.6421</v>
      </c>
      <c r="J3485">
        <v>-189.65369999999999</v>
      </c>
      <c r="K3485">
        <v>1.093942</v>
      </c>
      <c r="L3485">
        <v>203.81639999999999</v>
      </c>
      <c r="M3485">
        <v>0.56657979999999997</v>
      </c>
      <c r="N3485">
        <v>0</v>
      </c>
      <c r="O3485">
        <v>-0.82381669999999996</v>
      </c>
      <c r="P3485">
        <v>0.2466865</v>
      </c>
      <c r="Q3485">
        <v>4.979894E-2</v>
      </c>
      <c r="R3485">
        <v>-0.96781539999999999</v>
      </c>
      <c r="S3485">
        <v>3.6849979999999997E-2</v>
      </c>
      <c r="T3485">
        <v>-0.32747419999999999</v>
      </c>
      <c r="U3485">
        <v>-3.1197360000000001</v>
      </c>
      <c r="V3485">
        <v>0.34750310000000001</v>
      </c>
      <c r="W3485">
        <v>5.2866900000000001E-2</v>
      </c>
      <c r="X3485">
        <v>0.93618729999999994</v>
      </c>
      <c r="Y3485">
        <v>0.55664119999999995</v>
      </c>
      <c r="Z3485">
        <v>6.8068210000000004E-2</v>
      </c>
      <c r="AA3485">
        <v>0.82795980000000002</v>
      </c>
      <c r="AB3485">
        <v>30</v>
      </c>
      <c r="AC3485">
        <v>-3.3200000000022101E-2</v>
      </c>
      <c r="AD3485">
        <v>-1.0939437755170001</v>
      </c>
      <c r="AE3485">
        <v>-10.174299999999899</v>
      </c>
      <c r="AF3485">
        <v>5.7266088922305398</v>
      </c>
      <c r="AG3485">
        <v>-1.0939437755170001</v>
      </c>
      <c r="AH3485">
        <v>8.2686686055170906</v>
      </c>
      <c r="AI3485">
        <v>96.207244982428307</v>
      </c>
      <c r="AJ3485">
        <v>55.294795381755897</v>
      </c>
      <c r="AK3485">
        <v>10.1173930879664</v>
      </c>
      <c r="AL3485">
        <v>86.969536950832506</v>
      </c>
      <c r="AM3485">
        <v>69.635591889746806</v>
      </c>
      <c r="AN3485">
        <v>0.999999987153254</v>
      </c>
    </row>
    <row r="3486" spans="1:40" x14ac:dyDescent="0.25">
      <c r="A3486" t="str">
        <f>"20190312151341782"</f>
        <v>20190312151341782</v>
      </c>
      <c r="B3486" t="str">
        <f>"1552374821773963"</f>
        <v>1552374821773963</v>
      </c>
      <c r="C3486" t="s">
        <v>40</v>
      </c>
      <c r="D3486">
        <v>4.435759</v>
      </c>
      <c r="E3486">
        <v>0.59442419999999996</v>
      </c>
      <c r="F3486" t="s">
        <v>42</v>
      </c>
      <c r="G3486">
        <v>-189.67840000000001</v>
      </c>
      <c r="H3486" s="1">
        <v>-1.665165E-6</v>
      </c>
      <c r="I3486">
        <v>193.38130000000001</v>
      </c>
      <c r="J3486">
        <v>-189.48949999999999</v>
      </c>
      <c r="K3486">
        <v>1.0939719999999999</v>
      </c>
      <c r="L3486">
        <v>203.54499999999999</v>
      </c>
      <c r="M3486">
        <v>0.54943050000000004</v>
      </c>
      <c r="N3486">
        <v>0</v>
      </c>
      <c r="O3486">
        <v>-0.83535159999999997</v>
      </c>
      <c r="P3486">
        <v>0.23032169999999999</v>
      </c>
      <c r="Q3486">
        <v>4.9925730000000001E-2</v>
      </c>
      <c r="R3486">
        <v>-0.97183299999999995</v>
      </c>
      <c r="S3486">
        <v>-7.385254E-3</v>
      </c>
      <c r="T3486">
        <v>-0.32691999999999999</v>
      </c>
      <c r="U3486">
        <v>-3.1184690000000002</v>
      </c>
      <c r="V3486">
        <v>0.34394439999999998</v>
      </c>
      <c r="W3486">
        <v>5.317355E-2</v>
      </c>
      <c r="X3486">
        <v>0.93748330000000002</v>
      </c>
      <c r="Y3486">
        <v>0.55121589999999998</v>
      </c>
      <c r="Z3486">
        <v>6.9933449999999994E-2</v>
      </c>
      <c r="AA3486">
        <v>0.83142669999999996</v>
      </c>
      <c r="AB3486">
        <v>30</v>
      </c>
      <c r="AC3486">
        <v>-0.188900000000018</v>
      </c>
      <c r="AD3486">
        <v>-1.0939736651650001</v>
      </c>
      <c r="AE3486">
        <v>-10.163699999999899</v>
      </c>
      <c r="AF3486">
        <v>5.6771961859125399</v>
      </c>
      <c r="AG3486">
        <v>-1.0939736651650001</v>
      </c>
      <c r="AH3486">
        <v>8.2917619176858608</v>
      </c>
      <c r="AI3486">
        <v>96.212932034607206</v>
      </c>
      <c r="AJ3486">
        <v>55.601372251447799</v>
      </c>
      <c r="AK3486">
        <v>10.108444519954499</v>
      </c>
      <c r="AL3486">
        <v>86.951942665852201</v>
      </c>
      <c r="AM3486">
        <v>69.852894408248702</v>
      </c>
      <c r="AN3486">
        <v>1.0000000572449199</v>
      </c>
    </row>
    <row r="3487" spans="1:40" x14ac:dyDescent="0.25">
      <c r="A3487" t="str">
        <f>"20190312151341810"</f>
        <v>20190312151341810</v>
      </c>
      <c r="B3487" t="str">
        <f>"1552374821804219"</f>
        <v>1552374821804219</v>
      </c>
      <c r="C3487" t="s">
        <v>40</v>
      </c>
      <c r="D3487">
        <v>4.5012220000000003</v>
      </c>
      <c r="E3487">
        <v>0.59288609999999997</v>
      </c>
      <c r="F3487" t="s">
        <v>42</v>
      </c>
      <c r="G3487">
        <v>-189.68190000000001</v>
      </c>
      <c r="H3487" s="1">
        <v>-1.546664E-6</v>
      </c>
      <c r="I3487">
        <v>193.10659999999999</v>
      </c>
      <c r="J3487">
        <v>-189.30860000000001</v>
      </c>
      <c r="K3487">
        <v>1.094004</v>
      </c>
      <c r="L3487">
        <v>203.22970000000001</v>
      </c>
      <c r="M3487">
        <v>0.52944250000000004</v>
      </c>
      <c r="N3487">
        <v>0</v>
      </c>
      <c r="O3487">
        <v>-0.84816059999999904</v>
      </c>
      <c r="P3487">
        <v>0.21157239999999999</v>
      </c>
      <c r="Q3487">
        <v>5.0283790000000002E-2</v>
      </c>
      <c r="R3487">
        <v>-0.97606780000000004</v>
      </c>
      <c r="S3487">
        <v>-5.7449340000000002E-2</v>
      </c>
      <c r="T3487">
        <v>-0.32670500000000002</v>
      </c>
      <c r="U3487">
        <v>-3.1173549999999999</v>
      </c>
      <c r="V3487">
        <v>0.33972829999999998</v>
      </c>
      <c r="W3487">
        <v>5.3744930000000003E-2</v>
      </c>
      <c r="X3487">
        <v>0.93898680000000001</v>
      </c>
      <c r="Y3487">
        <v>0.54475859999999998</v>
      </c>
      <c r="Z3487">
        <v>7.2090890000000005E-2</v>
      </c>
      <c r="AA3487">
        <v>0.83548849999999997</v>
      </c>
      <c r="AB3487">
        <v>30</v>
      </c>
      <c r="AC3487">
        <v>-0.37330000000000002</v>
      </c>
      <c r="AD3487">
        <v>-1.094005546664</v>
      </c>
      <c r="AE3487">
        <v>-10.123100000000001</v>
      </c>
      <c r="AF3487">
        <v>5.6116592474347398</v>
      </c>
      <c r="AG3487">
        <v>-1.094005546664</v>
      </c>
      <c r="AH3487">
        <v>8.2929684957974406</v>
      </c>
      <c r="AI3487">
        <v>96.2351996622115</v>
      </c>
      <c r="AJ3487">
        <v>55.914700379051801</v>
      </c>
      <c r="AK3487">
        <v>10.072779860482401</v>
      </c>
      <c r="AL3487">
        <v>86.919158018185598</v>
      </c>
      <c r="AM3487">
        <v>70.109720971082396</v>
      </c>
      <c r="AN3487">
        <v>1.00000002294791</v>
      </c>
    </row>
    <row r="3488" spans="1:40" x14ac:dyDescent="0.25">
      <c r="A3488" t="str">
        <f>"20190312151341833"</f>
        <v>20190312151341833</v>
      </c>
      <c r="B3488" t="str">
        <f>"1552374821823739"</f>
        <v>1552374821823739</v>
      </c>
      <c r="C3488" t="s">
        <v>40</v>
      </c>
      <c r="D3488">
        <v>4.5722500000000004</v>
      </c>
      <c r="E3488">
        <v>0.59165540000000005</v>
      </c>
      <c r="F3488" t="s">
        <v>42</v>
      </c>
      <c r="G3488">
        <v>-189.6628</v>
      </c>
      <c r="H3488" s="1">
        <v>-1.409207E-6</v>
      </c>
      <c r="I3488">
        <v>192.7782</v>
      </c>
      <c r="J3488">
        <v>-189.15710000000001</v>
      </c>
      <c r="K3488">
        <v>1.0940299999999901</v>
      </c>
      <c r="L3488">
        <v>202.95079999999999</v>
      </c>
      <c r="M3488">
        <v>0.5117159</v>
      </c>
      <c r="N3488">
        <v>0</v>
      </c>
      <c r="O3488">
        <v>-0.85897199999999996</v>
      </c>
      <c r="P3488">
        <v>0.19622880000000001</v>
      </c>
      <c r="Q3488">
        <v>5.0265289999999997E-2</v>
      </c>
      <c r="R3488">
        <v>-0.97926930000000001</v>
      </c>
      <c r="S3488">
        <v>-0.10548399999999999</v>
      </c>
      <c r="T3488">
        <v>-0.32587480000000002</v>
      </c>
      <c r="U3488">
        <v>-3.1132049999999998</v>
      </c>
      <c r="V3488">
        <v>0.33495639999999999</v>
      </c>
      <c r="W3488">
        <v>5.3963009999999999E-2</v>
      </c>
      <c r="X3488">
        <v>0.9406871</v>
      </c>
      <c r="Y3488">
        <v>0.54025249999999903</v>
      </c>
      <c r="Z3488">
        <v>7.3799530000000002E-2</v>
      </c>
      <c r="AA3488">
        <v>0.83826069999999997</v>
      </c>
      <c r="AB3488">
        <v>30</v>
      </c>
      <c r="AC3488">
        <v>-0.50569999999999005</v>
      </c>
      <c r="AD3488">
        <v>-1.09403140920699</v>
      </c>
      <c r="AE3488">
        <v>-10.1725999999999</v>
      </c>
      <c r="AF3488">
        <v>5.57640920730866</v>
      </c>
      <c r="AG3488">
        <v>-1.09403140920699</v>
      </c>
      <c r="AH3488">
        <v>8.3838043211360702</v>
      </c>
      <c r="AI3488">
        <v>96.201064591562996</v>
      </c>
      <c r="AJ3488">
        <v>56.370505844574602</v>
      </c>
      <c r="AK3488">
        <v>10.128248578445699</v>
      </c>
      <c r="AL3488">
        <v>86.906644750360201</v>
      </c>
      <c r="AM3488">
        <v>70.400389684057501</v>
      </c>
      <c r="AN3488">
        <v>1.00000000822781</v>
      </c>
    </row>
    <row r="3489" spans="1:40" x14ac:dyDescent="0.25">
      <c r="A3489" t="str">
        <f>"20190312151341873"</f>
        <v>20190312151341873</v>
      </c>
      <c r="B3489" t="str">
        <f>"1552374821863755"</f>
        <v>1552374821863755</v>
      </c>
      <c r="C3489" t="s">
        <v>40</v>
      </c>
      <c r="D3489">
        <v>4.6180029999999999</v>
      </c>
      <c r="E3489">
        <v>0.58929750000000003</v>
      </c>
      <c r="F3489" t="s">
        <v>42</v>
      </c>
      <c r="G3489">
        <v>-189.64340000000001</v>
      </c>
      <c r="H3489" s="1">
        <v>-1.308238E-6</v>
      </c>
      <c r="I3489">
        <v>192.53489999999999</v>
      </c>
      <c r="J3489">
        <v>-188.9136</v>
      </c>
      <c r="K3489">
        <v>1.09406</v>
      </c>
      <c r="L3489">
        <v>202.47149999999999</v>
      </c>
      <c r="M3489">
        <v>0.48111670000000001</v>
      </c>
      <c r="N3489">
        <v>0</v>
      </c>
      <c r="O3489">
        <v>-0.87647749999999902</v>
      </c>
      <c r="P3489">
        <v>0.1721616</v>
      </c>
      <c r="Q3489">
        <v>4.8008769999999999E-2</v>
      </c>
      <c r="R3489">
        <v>-0.9838981</v>
      </c>
      <c r="S3489">
        <v>-0.14518739999999999</v>
      </c>
      <c r="T3489">
        <v>-0.32659110000000002</v>
      </c>
      <c r="U3489">
        <v>-3.109375</v>
      </c>
      <c r="V3489">
        <v>0.32479239999999998</v>
      </c>
      <c r="W3489">
        <v>5.2200730000000001E-2</v>
      </c>
      <c r="X3489">
        <v>0.94434370000000001</v>
      </c>
      <c r="Y3489">
        <v>0.52119359999999904</v>
      </c>
      <c r="Z3489">
        <v>7.7383069999999998E-2</v>
      </c>
      <c r="AA3489">
        <v>0.84992299999999998</v>
      </c>
      <c r="AB3489">
        <v>29</v>
      </c>
      <c r="AC3489">
        <v>-0.729800000000011</v>
      </c>
      <c r="AD3489">
        <v>-1.094061308238</v>
      </c>
      <c r="AE3489">
        <v>-9.9366000000000003</v>
      </c>
      <c r="AF3489">
        <v>5.3565793924466698</v>
      </c>
      <c r="AG3489">
        <v>-1.094061308238</v>
      </c>
      <c r="AH3489">
        <v>8.2598037229147998</v>
      </c>
      <c r="AI3489">
        <v>96.341401148034805</v>
      </c>
      <c r="AJ3489">
        <v>57.036119116625599</v>
      </c>
      <c r="AK3489">
        <v>9.9052647857008402</v>
      </c>
      <c r="AL3489">
        <v>87.007758562735802</v>
      </c>
      <c r="AM3489">
        <v>71.020137596056102</v>
      </c>
      <c r="AN3489">
        <v>1.00000002151999</v>
      </c>
    </row>
    <row r="3490" spans="1:40" x14ac:dyDescent="0.25">
      <c r="A3490" t="str">
        <f>"20190312151341894"</f>
        <v>20190312151341894</v>
      </c>
      <c r="B3490" t="str">
        <f>"1552374821883275"</f>
        <v>1552374821883275</v>
      </c>
      <c r="C3490" t="s">
        <v>40</v>
      </c>
      <c r="D3490">
        <v>4.6672570000000002</v>
      </c>
      <c r="E3490">
        <v>0.58817919999999901</v>
      </c>
      <c r="F3490" t="s">
        <v>42</v>
      </c>
      <c r="G3490">
        <v>-189.5615</v>
      </c>
      <c r="H3490" s="1">
        <v>-1.351219E-6</v>
      </c>
      <c r="I3490">
        <v>192.60120000000001</v>
      </c>
      <c r="J3490">
        <v>-188.79259999999999</v>
      </c>
      <c r="K3490">
        <v>1.094082</v>
      </c>
      <c r="L3490">
        <v>202.21610000000001</v>
      </c>
      <c r="M3490">
        <v>0.46476260000000003</v>
      </c>
      <c r="N3490">
        <v>0</v>
      </c>
      <c r="O3490">
        <v>-0.88525810000000005</v>
      </c>
      <c r="P3490">
        <v>0.1590596</v>
      </c>
      <c r="Q3490">
        <v>4.7190000000000003E-2</v>
      </c>
      <c r="R3490">
        <v>-0.98614049999999998</v>
      </c>
      <c r="S3490">
        <v>-0.203598</v>
      </c>
      <c r="T3490">
        <v>-0.3437829</v>
      </c>
      <c r="U3490">
        <v>-3.1015009999999998</v>
      </c>
      <c r="V3490">
        <v>0.31979950000000001</v>
      </c>
      <c r="W3490">
        <v>5.1626440000000003E-2</v>
      </c>
      <c r="X3490">
        <v>0.94607770000000002</v>
      </c>
      <c r="Y3490">
        <v>0.52136309999999997</v>
      </c>
      <c r="Z3490">
        <v>8.2993059999999994E-2</v>
      </c>
      <c r="AA3490">
        <v>0.84928950000000003</v>
      </c>
      <c r="AB3490">
        <v>29</v>
      </c>
      <c r="AC3490">
        <v>-0.76890000000000203</v>
      </c>
      <c r="AD3490">
        <v>-1.094083351219</v>
      </c>
      <c r="AE3490">
        <v>-9.6149000000000004</v>
      </c>
      <c r="AF3490">
        <v>5.0847093023340602</v>
      </c>
      <c r="AG3490">
        <v>-1.094083351219</v>
      </c>
      <c r="AH3490">
        <v>8.0519951669697498</v>
      </c>
      <c r="AI3490">
        <v>96.553843285707899</v>
      </c>
      <c r="AJ3490">
        <v>57.728228494714699</v>
      </c>
      <c r="AK3490">
        <v>9.58571401813977</v>
      </c>
      <c r="AL3490">
        <v>87.040707356246202</v>
      </c>
      <c r="AM3490">
        <v>71.323375048300093</v>
      </c>
      <c r="AN3490">
        <v>1.0000000119723</v>
      </c>
    </row>
    <row r="3491" spans="1:40" x14ac:dyDescent="0.25">
      <c r="A3491" t="str">
        <f>"20190312151341915"</f>
        <v>20190312151341915</v>
      </c>
      <c r="B3491" t="str">
        <f>"1552374821903772"</f>
        <v>1552374821903772</v>
      </c>
      <c r="C3491" t="s">
        <v>40</v>
      </c>
      <c r="D3491">
        <v>4.6542949999999896</v>
      </c>
      <c r="E3491">
        <v>0.58708359999999904</v>
      </c>
      <c r="F3491" t="s">
        <v>42</v>
      </c>
      <c r="G3491">
        <v>-189.5239</v>
      </c>
      <c r="H3491" s="1">
        <v>-1.366761E-6</v>
      </c>
      <c r="I3491">
        <v>192.62190000000001</v>
      </c>
      <c r="J3491">
        <v>-188.6695</v>
      </c>
      <c r="K3491">
        <v>1.0941179999999999</v>
      </c>
      <c r="L3491">
        <v>201.94290000000001</v>
      </c>
      <c r="M3491">
        <v>0.44722430000000002</v>
      </c>
      <c r="N3491">
        <v>0</v>
      </c>
      <c r="O3491">
        <v>-0.8942466</v>
      </c>
      <c r="P3491">
        <v>0.144336299999999</v>
      </c>
      <c r="Q3491">
        <v>4.7218789999999997E-2</v>
      </c>
      <c r="R3491">
        <v>-0.98840170000000005</v>
      </c>
      <c r="S3491">
        <v>-0.23609920000000001</v>
      </c>
      <c r="T3491">
        <v>-0.35318450000000001</v>
      </c>
      <c r="U3491">
        <v>-3.097153</v>
      </c>
      <c r="V3491">
        <v>0.31525219999999998</v>
      </c>
      <c r="W3491">
        <v>5.1880719999999998E-2</v>
      </c>
      <c r="X3491">
        <v>0.94758869999999895</v>
      </c>
      <c r="Y3491">
        <v>0.51344909999999999</v>
      </c>
      <c r="Z3491">
        <v>8.7112869999999995E-2</v>
      </c>
      <c r="AA3491">
        <v>0.85368690000000003</v>
      </c>
      <c r="AB3491">
        <v>29</v>
      </c>
      <c r="AC3491">
        <v>-0.85439999999999805</v>
      </c>
      <c r="AD3491">
        <v>-1.0941193667610001</v>
      </c>
      <c r="AE3491">
        <v>-9.3209999999999908</v>
      </c>
      <c r="AF3491">
        <v>4.8668950874583397</v>
      </c>
      <c r="AG3491">
        <v>-1.0941193667610001</v>
      </c>
      <c r="AH3491">
        <v>7.8471886566186901</v>
      </c>
      <c r="AI3491">
        <v>96.757431410805495</v>
      </c>
      <c r="AJ3491">
        <v>58.1924484009295</v>
      </c>
      <c r="AK3491">
        <v>9.2985017499386799</v>
      </c>
      <c r="AL3491">
        <v>87.0261184551306</v>
      </c>
      <c r="AM3491">
        <v>71.598290878655803</v>
      </c>
      <c r="AN3491">
        <v>0.999999951540122</v>
      </c>
    </row>
    <row r="3492" spans="1:40" x14ac:dyDescent="0.25">
      <c r="A3492" t="str">
        <f>"20190312151341938"</f>
        <v>20190312151341938</v>
      </c>
      <c r="B3492" t="str">
        <f>"1552374821933557"</f>
        <v>1552374821933557</v>
      </c>
      <c r="C3492" t="s">
        <v>40</v>
      </c>
      <c r="D3492">
        <v>4.6380910000000002</v>
      </c>
      <c r="E3492">
        <v>0.58584890000000001</v>
      </c>
      <c r="F3492" t="s">
        <v>42</v>
      </c>
      <c r="G3492">
        <v>-189.50890000000001</v>
      </c>
      <c r="H3492" s="1">
        <v>-1.296399E-6</v>
      </c>
      <c r="I3492">
        <v>192.45160000000001</v>
      </c>
      <c r="J3492">
        <v>-188.5504</v>
      </c>
      <c r="K3492">
        <v>1.0941559999999999</v>
      </c>
      <c r="L3492">
        <v>201.66370000000001</v>
      </c>
      <c r="M3492">
        <v>0.42926209999999998</v>
      </c>
      <c r="N3492">
        <v>0</v>
      </c>
      <c r="O3492">
        <v>-0.90300659999999999</v>
      </c>
      <c r="P3492">
        <v>0.12948680000000001</v>
      </c>
      <c r="Q3492">
        <v>4.6975509999999998E-2</v>
      </c>
      <c r="R3492">
        <v>-0.99046800000000002</v>
      </c>
      <c r="S3492">
        <v>-0.27346799999999999</v>
      </c>
      <c r="T3492">
        <v>-0.3564504</v>
      </c>
      <c r="U3492">
        <v>-3.0921479999999999</v>
      </c>
      <c r="V3492">
        <v>0.3105195</v>
      </c>
      <c r="W3492">
        <v>5.1872630000000003E-2</v>
      </c>
      <c r="X3492">
        <v>0.94915059999999996</v>
      </c>
      <c r="Y3492">
        <v>0.50663080000000005</v>
      </c>
      <c r="Z3492">
        <v>8.973333E-2</v>
      </c>
      <c r="AA3492">
        <v>0.85748069999999899</v>
      </c>
      <c r="AB3492">
        <v>29</v>
      </c>
      <c r="AC3492">
        <v>-0.95850000000001501</v>
      </c>
      <c r="AD3492">
        <v>-1.0941572963989901</v>
      </c>
      <c r="AE3492">
        <v>-9.2120999999999906</v>
      </c>
      <c r="AF3492">
        <v>4.7543397171262098</v>
      </c>
      <c r="AG3492">
        <v>-1.0941572963989901</v>
      </c>
      <c r="AH3492">
        <v>7.7995262370641196</v>
      </c>
      <c r="AI3492">
        <v>96.830624087434003</v>
      </c>
      <c r="AJ3492">
        <v>58.634861881288501</v>
      </c>
      <c r="AK3492">
        <v>9.1996486812137803</v>
      </c>
      <c r="AL3492">
        <v>87.026582733967899</v>
      </c>
      <c r="AM3492">
        <v>71.884225279919704</v>
      </c>
      <c r="AN3492">
        <v>0.99999999555186303</v>
      </c>
    </row>
    <row r="3493" spans="1:40" x14ac:dyDescent="0.25">
      <c r="A3493" t="str">
        <f>"20190312151341960"</f>
        <v>20190312151341960</v>
      </c>
      <c r="B3493" t="str">
        <f>"1552374821954054"</f>
        <v>1552374821954054</v>
      </c>
      <c r="C3493" t="s">
        <v>40</v>
      </c>
      <c r="D3493">
        <v>4.6310779999999996</v>
      </c>
      <c r="E3493">
        <v>0.56467309999999904</v>
      </c>
      <c r="F3493" t="s">
        <v>42</v>
      </c>
      <c r="G3493">
        <v>-189.4896</v>
      </c>
      <c r="H3493" s="1">
        <v>-1.2372349999999999E-6</v>
      </c>
      <c r="I3493">
        <v>192.3058</v>
      </c>
      <c r="J3493">
        <v>-188.43680000000001</v>
      </c>
      <c r="K3493">
        <v>1.094203</v>
      </c>
      <c r="L3493">
        <v>201.38210000000001</v>
      </c>
      <c r="M3493">
        <v>0.4111165</v>
      </c>
      <c r="N3493">
        <v>0</v>
      </c>
      <c r="O3493">
        <v>-0.91141090000000002</v>
      </c>
      <c r="P3493">
        <v>0.114343899999999</v>
      </c>
      <c r="Q3493">
        <v>4.6473420000000001E-2</v>
      </c>
      <c r="R3493">
        <v>-0.99235370000000001</v>
      </c>
      <c r="S3493">
        <v>-0.3097839</v>
      </c>
      <c r="T3493">
        <v>-0.36087720000000001</v>
      </c>
      <c r="U3493">
        <v>-3.0864720000000001</v>
      </c>
      <c r="V3493">
        <v>0.30601339999999999</v>
      </c>
      <c r="W3493">
        <v>5.1597860000000002E-2</v>
      </c>
      <c r="X3493">
        <v>0.95062789999999997</v>
      </c>
      <c r="Y3493">
        <v>0.49949909999999997</v>
      </c>
      <c r="Z3493">
        <v>9.2647119999999999E-2</v>
      </c>
      <c r="AA3493">
        <v>0.861346099999999</v>
      </c>
      <c r="AB3493">
        <v>29</v>
      </c>
      <c r="AC3493">
        <v>-1.05279999999999</v>
      </c>
      <c r="AD3493">
        <v>-1.094204237235</v>
      </c>
      <c r="AE3493">
        <v>-9.0762999999999998</v>
      </c>
      <c r="AF3493">
        <v>4.6253538320697603</v>
      </c>
      <c r="AG3493">
        <v>-1.094204237235</v>
      </c>
      <c r="AH3493">
        <v>7.7297922485381001</v>
      </c>
      <c r="AI3493">
        <v>96.925823811177807</v>
      </c>
      <c r="AJ3493">
        <v>59.1045375593011</v>
      </c>
      <c r="AK3493">
        <v>9.0741869713040995</v>
      </c>
      <c r="AL3493">
        <v>87.0423469372423</v>
      </c>
      <c r="AM3493">
        <v>72.156290011524405</v>
      </c>
      <c r="AN3493">
        <v>0.99999997219727399</v>
      </c>
    </row>
    <row r="3494" spans="1:40" x14ac:dyDescent="0.25">
      <c r="A3494" t="str">
        <f>"20190312151341983"</f>
        <v>20190312151341983</v>
      </c>
      <c r="B3494" t="str">
        <f>"1552374821973577"</f>
        <v>1552374821973577</v>
      </c>
      <c r="C3494" t="s">
        <v>40</v>
      </c>
      <c r="D3494">
        <v>4.6463109999999999</v>
      </c>
      <c r="E3494">
        <v>0.56286919999999996</v>
      </c>
      <c r="F3494" t="s">
        <v>42</v>
      </c>
      <c r="G3494">
        <v>-188.96510000000001</v>
      </c>
      <c r="H3494" s="1">
        <v>-1.5728720000000001E-6</v>
      </c>
      <c r="I3494">
        <v>192.87119999999999</v>
      </c>
      <c r="J3494">
        <v>-188.33090000000001</v>
      </c>
      <c r="K3494">
        <v>1.0942529999999999</v>
      </c>
      <c r="L3494">
        <v>201.1037</v>
      </c>
      <c r="M3494">
        <v>0.39315260000000002</v>
      </c>
      <c r="N3494">
        <v>0</v>
      </c>
      <c r="O3494">
        <v>-0.91930310000000004</v>
      </c>
      <c r="P3494">
        <v>9.9938669999999993E-2</v>
      </c>
      <c r="Q3494">
        <v>4.5914570000000002E-2</v>
      </c>
      <c r="R3494">
        <v>-0.99393350000000003</v>
      </c>
      <c r="S3494">
        <v>-0.19015499999999999</v>
      </c>
      <c r="T3494">
        <v>-0.39385690000000001</v>
      </c>
      <c r="U3494">
        <v>-3.0634769999999998</v>
      </c>
      <c r="V3494">
        <v>0.3011239</v>
      </c>
      <c r="W3494">
        <v>5.1283559999999999E-2</v>
      </c>
      <c r="X3494">
        <v>0.95220499999999997</v>
      </c>
      <c r="Y3494">
        <v>0.44887100000000002</v>
      </c>
      <c r="Z3494">
        <v>0.1051941</v>
      </c>
      <c r="AA3494">
        <v>0.88738329999999999</v>
      </c>
      <c r="AB3494">
        <v>29</v>
      </c>
      <c r="AC3494">
        <v>-0.63419999999999199</v>
      </c>
      <c r="AD3494">
        <v>-1.0942545728719999</v>
      </c>
      <c r="AE3494">
        <v>-8.2325000000000106</v>
      </c>
      <c r="AF3494">
        <v>3.75431072966976</v>
      </c>
      <c r="AG3494">
        <v>-1.0942545728719999</v>
      </c>
      <c r="AH3494">
        <v>7.1936274010750303</v>
      </c>
      <c r="AI3494">
        <v>97.680220313418204</v>
      </c>
      <c r="AJ3494">
        <v>62.440215665312003</v>
      </c>
      <c r="AK3494">
        <v>8.1878273864720796</v>
      </c>
      <c r="AL3494">
        <v>87.060378910458596</v>
      </c>
      <c r="AM3494">
        <v>72.451039240973003</v>
      </c>
      <c r="AN3494">
        <v>0.99999998435124104</v>
      </c>
    </row>
    <row r="3495" spans="1:40" x14ac:dyDescent="0.25">
      <c r="A3495" t="str">
        <f>"20190312151342012"</f>
        <v>20190312151342012</v>
      </c>
      <c r="B3495" t="str">
        <f>"1552374822003830"</f>
        <v>1552374822003830</v>
      </c>
      <c r="C3495" t="s">
        <v>40</v>
      </c>
      <c r="D3495">
        <v>4.633375</v>
      </c>
      <c r="E3495">
        <v>0.5542108</v>
      </c>
      <c r="F3495" t="s">
        <v>42</v>
      </c>
      <c r="G3495">
        <v>-188.94649999999999</v>
      </c>
      <c r="H3495" s="1">
        <v>-1.44372E-6</v>
      </c>
      <c r="I3495">
        <v>192.5625</v>
      </c>
      <c r="J3495">
        <v>-188.20249999999999</v>
      </c>
      <c r="K3495">
        <v>1.094341</v>
      </c>
      <c r="L3495">
        <v>200.74</v>
      </c>
      <c r="M3495">
        <v>0.36970449999999999</v>
      </c>
      <c r="N3495">
        <v>0</v>
      </c>
      <c r="O3495">
        <v>-0.92898150000000002</v>
      </c>
      <c r="P3495">
        <v>8.0834799999999998E-2</v>
      </c>
      <c r="Q3495">
        <v>4.4714709999999998E-2</v>
      </c>
      <c r="R3495">
        <v>-0.99572439999999995</v>
      </c>
      <c r="S3495">
        <v>-0.22047420000000001</v>
      </c>
      <c r="T3495">
        <v>-0.39185300000000001</v>
      </c>
      <c r="U3495">
        <v>-3.0585779999999998</v>
      </c>
      <c r="V3495">
        <v>0.29520760000000001</v>
      </c>
      <c r="W3495">
        <v>5.0384949999999998E-2</v>
      </c>
      <c r="X3495">
        <v>0.95410360000000005</v>
      </c>
      <c r="Y3495">
        <v>0.43500949999999999</v>
      </c>
      <c r="Z3495">
        <v>0.1070714</v>
      </c>
      <c r="AA3495">
        <v>0.89403719999999998</v>
      </c>
      <c r="AB3495">
        <v>29</v>
      </c>
      <c r="AC3495">
        <v>-0.743999999999999</v>
      </c>
      <c r="AD3495">
        <v>-1.09434244372</v>
      </c>
      <c r="AE3495">
        <v>-8.1775000000000002</v>
      </c>
      <c r="AF3495">
        <v>3.65016700682783</v>
      </c>
      <c r="AG3495">
        <v>-1.09434244372</v>
      </c>
      <c r="AH3495">
        <v>7.1950321380930804</v>
      </c>
      <c r="AI3495">
        <v>97.724474631555694</v>
      </c>
      <c r="AJ3495">
        <v>63.100513835364701</v>
      </c>
      <c r="AK3495">
        <v>8.1418543360867002</v>
      </c>
      <c r="AL3495">
        <v>87.1119319545991</v>
      </c>
      <c r="AM3495">
        <v>72.8074970775059</v>
      </c>
      <c r="AN3495">
        <v>0.99999992490860801</v>
      </c>
    </row>
    <row r="3496" spans="1:40" x14ac:dyDescent="0.25">
      <c r="A3496" t="str">
        <f>"20190312151342033"</f>
        <v>20190312151342033</v>
      </c>
      <c r="B3496" t="str">
        <f>"1552374822024325"</f>
        <v>1552374822024325</v>
      </c>
      <c r="C3496" t="s">
        <v>40</v>
      </c>
      <c r="D3496">
        <v>4.6347100000000001</v>
      </c>
      <c r="E3496">
        <v>0.55355129999999997</v>
      </c>
      <c r="F3496" t="s">
        <v>42</v>
      </c>
      <c r="G3496">
        <v>-188.95930000000001</v>
      </c>
      <c r="H3496" s="1">
        <v>-2.6639520000000001E-7</v>
      </c>
      <c r="I3496">
        <v>189.6172</v>
      </c>
      <c r="J3496">
        <v>-188.11760000000001</v>
      </c>
      <c r="K3496">
        <v>1.0944100000000001</v>
      </c>
      <c r="L3496">
        <v>200.48230000000001</v>
      </c>
      <c r="M3496">
        <v>0.35309279999999998</v>
      </c>
      <c r="N3496">
        <v>0</v>
      </c>
      <c r="O3496">
        <v>-0.93542179999999997</v>
      </c>
      <c r="P3496">
        <v>6.909535E-2</v>
      </c>
      <c r="Q3496">
        <v>4.4188779999999997E-2</v>
      </c>
      <c r="R3496">
        <v>-0.99663109999999999</v>
      </c>
      <c r="S3496">
        <v>-0.20706179999999999</v>
      </c>
      <c r="T3496">
        <v>-0.29940719999999998</v>
      </c>
      <c r="U3496">
        <v>-3.0431520000000001</v>
      </c>
      <c r="V3496">
        <v>0.2894234</v>
      </c>
      <c r="W3496">
        <v>5.0142539999999999E-2</v>
      </c>
      <c r="X3496">
        <v>0.95588689999999998</v>
      </c>
      <c r="Y3496">
        <v>0.41551009999999999</v>
      </c>
      <c r="Z3496">
        <v>8.3901760000000006E-2</v>
      </c>
      <c r="AA3496">
        <v>0.90571069999999998</v>
      </c>
      <c r="AB3496">
        <v>29</v>
      </c>
      <c r="AC3496">
        <v>-0.841700000000003</v>
      </c>
      <c r="AD3496">
        <v>-1.0944102663952</v>
      </c>
      <c r="AE3496">
        <v>-10.8651</v>
      </c>
      <c r="AF3496">
        <v>4.5782795895175603</v>
      </c>
      <c r="AG3496">
        <v>-1.0944102663952</v>
      </c>
      <c r="AH3496">
        <v>9.7692631741914298</v>
      </c>
      <c r="AI3496">
        <v>95.792217736106593</v>
      </c>
      <c r="AJ3496">
        <v>64.890274338406101</v>
      </c>
      <c r="AK3496">
        <v>10.8442095515347</v>
      </c>
      <c r="AL3496">
        <v>87.125838739890099</v>
      </c>
      <c r="AM3496">
        <v>73.154739240055093</v>
      </c>
      <c r="AN3496">
        <v>0.99999997218840997</v>
      </c>
    </row>
    <row r="3497" spans="1:40" x14ac:dyDescent="0.25">
      <c r="A3497" t="str">
        <f>"20190312151342053"</f>
        <v>20190312151342053</v>
      </c>
      <c r="B3497" t="str">
        <f>"1552374822043846"</f>
        <v>1552374822043846</v>
      </c>
      <c r="C3497" t="s">
        <v>40</v>
      </c>
      <c r="D3497">
        <v>4.6141120000000004</v>
      </c>
      <c r="E3497">
        <v>0.55213959999999995</v>
      </c>
      <c r="F3497" t="s">
        <v>42</v>
      </c>
      <c r="G3497">
        <v>-188.97200000000001</v>
      </c>
      <c r="H3497" s="1">
        <v>-4.4509970000000004E-6</v>
      </c>
      <c r="I3497">
        <v>189.5831</v>
      </c>
      <c r="J3497">
        <v>-188.03720000000001</v>
      </c>
      <c r="K3497">
        <v>1.094492</v>
      </c>
      <c r="L3497">
        <v>200.2227</v>
      </c>
      <c r="M3497">
        <v>0.3363698</v>
      </c>
      <c r="N3497">
        <v>0</v>
      </c>
      <c r="O3497">
        <v>-0.94156490000000004</v>
      </c>
      <c r="P3497">
        <v>5.691094E-2</v>
      </c>
      <c r="Q3497">
        <v>4.400246E-2</v>
      </c>
      <c r="R3497">
        <v>-0.99740899999999999</v>
      </c>
      <c r="S3497">
        <v>-0.23834230000000001</v>
      </c>
      <c r="T3497">
        <v>-0.30527169999999998</v>
      </c>
      <c r="U3497">
        <v>-3.0401760000000002</v>
      </c>
      <c r="V3497">
        <v>0.28405370000000002</v>
      </c>
      <c r="W3497">
        <v>5.0219689999999997E-2</v>
      </c>
      <c r="X3497">
        <v>0.95749229999999996</v>
      </c>
      <c r="Y3497">
        <v>0.40860839999999998</v>
      </c>
      <c r="Z3497">
        <v>8.665407E-2</v>
      </c>
      <c r="AA3497">
        <v>0.90858689999999998</v>
      </c>
      <c r="AB3497">
        <v>29</v>
      </c>
      <c r="AC3497">
        <v>-0.93479999999999497</v>
      </c>
      <c r="AD3497">
        <v>-1.0944964509970001</v>
      </c>
      <c r="AE3497">
        <v>-10.6396</v>
      </c>
      <c r="AF3497">
        <v>4.4133627451536297</v>
      </c>
      <c r="AG3497">
        <v>-1.0944964509970001</v>
      </c>
      <c r="AH3497">
        <v>9.6040897951937492</v>
      </c>
      <c r="AI3497">
        <v>95.911988266277106</v>
      </c>
      <c r="AJ3497">
        <v>65.319822580769596</v>
      </c>
      <c r="AK3497">
        <v>10.626110953481501</v>
      </c>
      <c r="AL3497">
        <v>87.121412912299306</v>
      </c>
      <c r="AM3497">
        <v>73.4762617585599</v>
      </c>
      <c r="AN3497">
        <v>1.00000001315333</v>
      </c>
    </row>
    <row r="3498" spans="1:40" x14ac:dyDescent="0.25">
      <c r="A3498" t="str">
        <f>"20190312151342073"</f>
        <v>20190312151342073</v>
      </c>
      <c r="B3498" t="str">
        <f>"1552374822063366"</f>
        <v>1552374822063366</v>
      </c>
      <c r="C3498" t="s">
        <v>40</v>
      </c>
      <c r="D3498">
        <v>4.6060800000000004</v>
      </c>
      <c r="E3498">
        <v>0.55039169999999904</v>
      </c>
      <c r="F3498" t="s">
        <v>42</v>
      </c>
      <c r="G3498">
        <v>-188.75479999999999</v>
      </c>
      <c r="H3498" s="1">
        <v>-1.2833939999999999E-6</v>
      </c>
      <c r="I3498">
        <v>192.1095</v>
      </c>
      <c r="J3498">
        <v>-187.96190000000001</v>
      </c>
      <c r="K3498">
        <v>1.094573</v>
      </c>
      <c r="L3498">
        <v>199.96369999999999</v>
      </c>
      <c r="M3498">
        <v>0.31971169999999999</v>
      </c>
      <c r="N3498">
        <v>0</v>
      </c>
      <c r="O3498">
        <v>-0.94735100000000005</v>
      </c>
      <c r="P3498">
        <v>4.4929570000000002E-2</v>
      </c>
      <c r="Q3498">
        <v>4.4214110000000001E-2</v>
      </c>
      <c r="R3498">
        <v>-0.99801110000000004</v>
      </c>
      <c r="S3498">
        <v>-0.26902769999999998</v>
      </c>
      <c r="T3498">
        <v>-0.4102769</v>
      </c>
      <c r="U3498">
        <v>-3.0412599999999999</v>
      </c>
      <c r="V3498">
        <v>0.2786535</v>
      </c>
      <c r="W3498">
        <v>5.069734E-2</v>
      </c>
      <c r="X3498">
        <v>0.95905260000000003</v>
      </c>
      <c r="Y3498">
        <v>0.40124270000000001</v>
      </c>
      <c r="Z3498">
        <v>0.1172942</v>
      </c>
      <c r="AA3498">
        <v>0.90843079999999998</v>
      </c>
      <c r="AB3498">
        <v>29</v>
      </c>
      <c r="AC3498">
        <v>-0.79289999999997396</v>
      </c>
      <c r="AD3498">
        <v>-1.094574283394</v>
      </c>
      <c r="AE3498">
        <v>-7.8541999999999899</v>
      </c>
      <c r="AF3498">
        <v>3.20119551016005</v>
      </c>
      <c r="AG3498">
        <v>-1.094574283394</v>
      </c>
      <c r="AH3498">
        <v>7.0527074577415698</v>
      </c>
      <c r="AI3498">
        <v>98.043923494845998</v>
      </c>
      <c r="AJ3498">
        <v>65.586893327955707</v>
      </c>
      <c r="AK3498">
        <v>7.8221754033401698</v>
      </c>
      <c r="AL3498">
        <v>87.094010468658993</v>
      </c>
      <c r="AM3498">
        <v>73.798734948614594</v>
      </c>
      <c r="AN3498">
        <v>0.99999994145604099</v>
      </c>
    </row>
    <row r="3499" spans="1:40" x14ac:dyDescent="0.25">
      <c r="A3499" t="str">
        <f>"20190312151342095"</f>
        <v>20190312151342095</v>
      </c>
      <c r="B3499" t="str">
        <f>"1552374822083862"</f>
        <v>1552374822083862</v>
      </c>
      <c r="C3499" t="s">
        <v>40</v>
      </c>
      <c r="D3499">
        <v>4.6474949999999904</v>
      </c>
      <c r="E3499">
        <v>0.54914269999999998</v>
      </c>
      <c r="F3499" t="s">
        <v>42</v>
      </c>
      <c r="G3499">
        <v>-188.7354</v>
      </c>
      <c r="H3499" s="1">
        <v>-1.2040179999999999E-6</v>
      </c>
      <c r="I3499">
        <v>191.91650000000001</v>
      </c>
      <c r="J3499">
        <v>-187.886</v>
      </c>
      <c r="K3499">
        <v>1.09467</v>
      </c>
      <c r="L3499">
        <v>199.68270000000001</v>
      </c>
      <c r="M3499">
        <v>0.30169259999999998</v>
      </c>
      <c r="N3499">
        <v>0</v>
      </c>
      <c r="O3499">
        <v>-0.95324310000000001</v>
      </c>
      <c r="P3499">
        <v>3.209029E-2</v>
      </c>
      <c r="Q3499">
        <v>4.3744400000000003E-2</v>
      </c>
      <c r="R3499">
        <v>-0.99852750000000001</v>
      </c>
      <c r="S3499">
        <v>-0.29194639999999999</v>
      </c>
      <c r="T3499">
        <v>-0.41315099999999999</v>
      </c>
      <c r="U3499">
        <v>-3.037445</v>
      </c>
      <c r="V3499">
        <v>0.2727735</v>
      </c>
      <c r="W3499">
        <v>5.0516859999999997E-2</v>
      </c>
      <c r="X3499">
        <v>0.96075109999999997</v>
      </c>
      <c r="Y3499">
        <v>0.3907388</v>
      </c>
      <c r="Z3499">
        <v>0.1197005</v>
      </c>
      <c r="AA3499">
        <v>0.91268559999999999</v>
      </c>
      <c r="AB3499">
        <v>29</v>
      </c>
      <c r="AC3499">
        <v>-0.84940000000000204</v>
      </c>
      <c r="AD3499">
        <v>-1.094671204018</v>
      </c>
      <c r="AE3499">
        <v>-7.7661999999999898</v>
      </c>
      <c r="AF3499">
        <v>3.0924629940341402</v>
      </c>
      <c r="AG3499">
        <v>-1.094671204018</v>
      </c>
      <c r="AH3499">
        <v>7.0102910734720298</v>
      </c>
      <c r="AI3499">
        <v>98.130747161652295</v>
      </c>
      <c r="AJ3499">
        <v>66.196194342694596</v>
      </c>
      <c r="AK3499">
        <v>7.7398845824197098</v>
      </c>
      <c r="AL3499">
        <v>87.104364665255503</v>
      </c>
      <c r="AM3499">
        <v>74.149858143784499</v>
      </c>
      <c r="AN3499">
        <v>1.0000000057988501</v>
      </c>
    </row>
    <row r="3500" spans="1:40" x14ac:dyDescent="0.25">
      <c r="A3500" t="str">
        <f>"20190312151342118"</f>
        <v>20190312151342118</v>
      </c>
      <c r="B3500" t="str">
        <f>"1552374822114118"</f>
        <v>1552374822114118</v>
      </c>
      <c r="C3500" t="s">
        <v>40</v>
      </c>
      <c r="D3500">
        <v>4.626614</v>
      </c>
      <c r="E3500">
        <v>0.54837429999999998</v>
      </c>
      <c r="F3500" t="s">
        <v>42</v>
      </c>
      <c r="G3500">
        <v>-188.72399999999999</v>
      </c>
      <c r="H3500" s="1">
        <v>-1.1426899999999901E-6</v>
      </c>
      <c r="I3500">
        <v>191.7688</v>
      </c>
      <c r="J3500">
        <v>-187.81460000000001</v>
      </c>
      <c r="K3500">
        <v>1.094787</v>
      </c>
      <c r="L3500">
        <v>199.39769999999999</v>
      </c>
      <c r="M3500">
        <v>0.2834816</v>
      </c>
      <c r="N3500">
        <v>0</v>
      </c>
      <c r="O3500">
        <v>-0.95881700000000003</v>
      </c>
      <c r="P3500">
        <v>1.9530450000000001E-2</v>
      </c>
      <c r="Q3500">
        <v>4.2793709999999999E-2</v>
      </c>
      <c r="R3500">
        <v>-0.99889309999999998</v>
      </c>
      <c r="S3500">
        <v>-0.32118229999999998</v>
      </c>
      <c r="T3500">
        <v>-0.41954849999999999</v>
      </c>
      <c r="U3500">
        <v>-3.0331269999999999</v>
      </c>
      <c r="V3500">
        <v>0.26651079999999999</v>
      </c>
      <c r="W3500">
        <v>4.9872510000000002E-2</v>
      </c>
      <c r="X3500">
        <v>0.96254079999999997</v>
      </c>
      <c r="Y3500">
        <v>0.38199480000000002</v>
      </c>
      <c r="Z3500">
        <v>0.123025</v>
      </c>
      <c r="AA3500">
        <v>0.91593930000000001</v>
      </c>
      <c r="AB3500">
        <v>29</v>
      </c>
      <c r="AC3500">
        <v>-0.90940000000000498</v>
      </c>
      <c r="AD3500">
        <v>-1.0947881426899999</v>
      </c>
      <c r="AE3500">
        <v>-7.6288999999999803</v>
      </c>
      <c r="AF3500">
        <v>2.9746672209592799</v>
      </c>
      <c r="AG3500">
        <v>-1.0947881426899999</v>
      </c>
      <c r="AH3500">
        <v>6.9175458014364004</v>
      </c>
      <c r="AI3500">
        <v>98.2722686756385</v>
      </c>
      <c r="AJ3500">
        <v>66.731438713219404</v>
      </c>
      <c r="AK3500">
        <v>7.6091816950178401</v>
      </c>
      <c r="AL3500">
        <v>87.141329874542805</v>
      </c>
      <c r="AM3500">
        <v>74.5235157950614</v>
      </c>
      <c r="AN3500">
        <v>1.0000000327174801</v>
      </c>
    </row>
    <row r="3501" spans="1:40" x14ac:dyDescent="0.25">
      <c r="A3501" t="str">
        <f>"20190312151342140"</f>
        <v>20190312151342140</v>
      </c>
      <c r="B3501" t="str">
        <f>"1552374822133638"</f>
        <v>1552374822133638</v>
      </c>
      <c r="C3501" t="s">
        <v>40</v>
      </c>
      <c r="D3501">
        <v>4.6008610000000001</v>
      </c>
      <c r="E3501">
        <v>0.5477474</v>
      </c>
      <c r="F3501" t="s">
        <v>42</v>
      </c>
      <c r="G3501">
        <v>-188.7432</v>
      </c>
      <c r="H3501" s="1">
        <v>-9.9627950000000006E-7</v>
      </c>
      <c r="I3501">
        <v>191.43549999999999</v>
      </c>
      <c r="J3501">
        <v>-187.7482</v>
      </c>
      <c r="K3501">
        <v>1.0949139999999999</v>
      </c>
      <c r="L3501">
        <v>199.10939999999999</v>
      </c>
      <c r="M3501">
        <v>0.2651502</v>
      </c>
      <c r="N3501">
        <v>0</v>
      </c>
      <c r="O3501">
        <v>-0.96404809999999996</v>
      </c>
      <c r="P3501">
        <v>6.377583E-3</v>
      </c>
      <c r="Q3501">
        <v>4.2844199999999902E-2</v>
      </c>
      <c r="R3501">
        <v>-0.99906150000000005</v>
      </c>
      <c r="S3501">
        <v>-0.35313420000000001</v>
      </c>
      <c r="T3501">
        <v>-0.41634850000000001</v>
      </c>
      <c r="U3501">
        <v>-3.0280610000000001</v>
      </c>
      <c r="V3501">
        <v>0.2608104</v>
      </c>
      <c r="W3501">
        <v>5.0206349999999997E-2</v>
      </c>
      <c r="X3501">
        <v>0.96408369999999999</v>
      </c>
      <c r="Y3501">
        <v>0.37408439999999998</v>
      </c>
      <c r="Z3501">
        <v>0.1235187</v>
      </c>
      <c r="AA3501">
        <v>0.91913219999999995</v>
      </c>
      <c r="AB3501">
        <v>29</v>
      </c>
      <c r="AC3501">
        <v>-0.99500000000000399</v>
      </c>
      <c r="AD3501">
        <v>-1.0949149962795</v>
      </c>
      <c r="AE3501">
        <v>-7.6738999999999997</v>
      </c>
      <c r="AF3501">
        <v>2.9356481977437801</v>
      </c>
      <c r="AG3501">
        <v>-1.0949149962795</v>
      </c>
      <c r="AH3501">
        <v>6.9952261705860197</v>
      </c>
      <c r="AI3501">
        <v>98.212721195054499</v>
      </c>
      <c r="AJ3501">
        <v>67.233935803300795</v>
      </c>
      <c r="AK3501">
        <v>7.6648586658623801</v>
      </c>
      <c r="AL3501">
        <v>87.122178342534596</v>
      </c>
      <c r="AM3501">
        <v>74.862300391183396</v>
      </c>
      <c r="AN3501">
        <v>1.0000000614670801</v>
      </c>
    </row>
    <row r="3502" spans="1:40" x14ac:dyDescent="0.25">
      <c r="A3502" t="str">
        <f>"20190312151342163"</f>
        <v>20190312151342163</v>
      </c>
      <c r="B3502" t="str">
        <f>"1552374822154133"</f>
        <v>1552374822154133</v>
      </c>
      <c r="C3502" t="s">
        <v>40</v>
      </c>
      <c r="D3502">
        <v>4.6217319999999997</v>
      </c>
      <c r="E3502">
        <v>0.54694719999999997</v>
      </c>
      <c r="F3502" t="s">
        <v>42</v>
      </c>
      <c r="G3502">
        <v>-188.77279999999999</v>
      </c>
      <c r="H3502" s="1">
        <v>-8.4999250000000002E-7</v>
      </c>
      <c r="I3502">
        <v>191.10669999999999</v>
      </c>
      <c r="J3502">
        <v>-187.68459999999999</v>
      </c>
      <c r="K3502">
        <v>1.095067</v>
      </c>
      <c r="L3502">
        <v>198.80760000000001</v>
      </c>
      <c r="M3502">
        <v>0.246087</v>
      </c>
      <c r="N3502">
        <v>0</v>
      </c>
      <c r="O3502">
        <v>-0.96909049999999997</v>
      </c>
      <c r="P3502">
        <v>-7.1269519999999998E-3</v>
      </c>
      <c r="Q3502">
        <v>4.1842610000000002E-2</v>
      </c>
      <c r="R3502">
        <v>-0.99909919999999997</v>
      </c>
      <c r="S3502">
        <v>-0.38705440000000002</v>
      </c>
      <c r="T3502">
        <v>-0.41360469999999999</v>
      </c>
      <c r="U3502">
        <v>-3.0230260000000002</v>
      </c>
      <c r="V3502">
        <v>0.2547759</v>
      </c>
      <c r="W3502">
        <v>4.9504840000000001E-2</v>
      </c>
      <c r="X3502">
        <v>0.96573209999999998</v>
      </c>
      <c r="Y3502">
        <v>0.36613289999999998</v>
      </c>
      <c r="Z3502">
        <v>0.1240734</v>
      </c>
      <c r="AA3502">
        <v>0.92225400000000002</v>
      </c>
      <c r="AB3502">
        <v>29</v>
      </c>
      <c r="AC3502">
        <v>-1.0882000000000001</v>
      </c>
      <c r="AD3502">
        <v>-1.0950678499925</v>
      </c>
      <c r="AE3502">
        <v>-7.7009000000000096</v>
      </c>
      <c r="AF3502">
        <v>2.8927564668141201</v>
      </c>
      <c r="AG3502">
        <v>-1.0950678499925</v>
      </c>
      <c r="AH3502">
        <v>7.0562833003202998</v>
      </c>
      <c r="AI3502">
        <v>98.171391214795904</v>
      </c>
      <c r="AJ3502">
        <v>67.708593114045101</v>
      </c>
      <c r="AK3502">
        <v>7.7044368766809503</v>
      </c>
      <c r="AL3502">
        <v>87.162421741964906</v>
      </c>
      <c r="AM3502">
        <v>75.221160598705197</v>
      </c>
      <c r="AN3502">
        <v>0.99999998868732198</v>
      </c>
    </row>
    <row r="3503" spans="1:40" x14ac:dyDescent="0.25">
      <c r="A3503" t="str">
        <f>"20190312151342185"</f>
        <v>20190312151342185</v>
      </c>
      <c r="B3503" t="str">
        <f>"1552374822173658"</f>
        <v>1552374822173658</v>
      </c>
      <c r="C3503" t="s">
        <v>40</v>
      </c>
      <c r="D3503">
        <v>4.533353</v>
      </c>
      <c r="E3503">
        <v>0.54651830000000001</v>
      </c>
      <c r="F3503" t="s">
        <v>42</v>
      </c>
      <c r="G3503">
        <v>-188.7955</v>
      </c>
      <c r="H3503" s="1">
        <v>-7.3060359999999997E-7</v>
      </c>
      <c r="I3503">
        <v>190.83779999999999</v>
      </c>
      <c r="J3503">
        <v>-187.63149999999999</v>
      </c>
      <c r="K3503">
        <v>1.0952309999999901</v>
      </c>
      <c r="L3503">
        <v>198.52930000000001</v>
      </c>
      <c r="M3503">
        <v>0.22866529999999999</v>
      </c>
      <c r="N3503">
        <v>0</v>
      </c>
      <c r="O3503">
        <v>-0.97334929999999997</v>
      </c>
      <c r="P3503">
        <v>-1.8012279999999999E-2</v>
      </c>
      <c r="Q3503">
        <v>3.9612870000000001E-2</v>
      </c>
      <c r="R3503">
        <v>-0.99905299999999997</v>
      </c>
      <c r="S3503">
        <v>-0.42051699999999997</v>
      </c>
      <c r="T3503">
        <v>-0.414553</v>
      </c>
      <c r="U3503">
        <v>-3.0170750000000002</v>
      </c>
      <c r="V3503">
        <v>0.24788740000000001</v>
      </c>
      <c r="W3503">
        <v>4.7606410000000002E-2</v>
      </c>
      <c r="X3503">
        <v>0.96761850000000005</v>
      </c>
      <c r="Y3503">
        <v>0.35970429999999998</v>
      </c>
      <c r="Z3503">
        <v>0.1255386</v>
      </c>
      <c r="AA3503">
        <v>0.92458249999999997</v>
      </c>
      <c r="AB3503">
        <v>29</v>
      </c>
      <c r="AC3503">
        <v>-1.1640000000000099</v>
      </c>
      <c r="AD3503">
        <v>-1.0952317306035999</v>
      </c>
      <c r="AE3503">
        <v>-7.6915000000000102</v>
      </c>
      <c r="AF3503">
        <v>2.8359805358207502</v>
      </c>
      <c r="AG3503">
        <v>-1.0952317306035999</v>
      </c>
      <c r="AH3503">
        <v>7.0810811765992998</v>
      </c>
      <c r="AI3503">
        <v>98.170843016419894</v>
      </c>
      <c r="AJ3503">
        <v>68.173845847333993</v>
      </c>
      <c r="AK3503">
        <v>7.7061033455867998</v>
      </c>
      <c r="AL3503">
        <v>87.271322397156595</v>
      </c>
      <c r="AM3503">
        <v>75.630824216621505</v>
      </c>
      <c r="AN3503">
        <v>1.0000000474470401</v>
      </c>
    </row>
    <row r="3504" spans="1:40" x14ac:dyDescent="0.25">
      <c r="A3504" t="str">
        <f>"20190312151342208"</f>
        <v>20190312151342208</v>
      </c>
      <c r="B3504" t="str">
        <f>"1552374822203910"</f>
        <v>1552374822203910</v>
      </c>
      <c r="C3504" t="s">
        <v>40</v>
      </c>
      <c r="D3504">
        <v>4.5072960000000002</v>
      </c>
      <c r="E3504">
        <v>0.54187629999999998</v>
      </c>
      <c r="F3504" t="s">
        <v>42</v>
      </c>
      <c r="G3504">
        <v>-188.79910000000001</v>
      </c>
      <c r="H3504" s="1">
        <v>-6.8099449999999998E-7</v>
      </c>
      <c r="I3504">
        <v>190.71029999999999</v>
      </c>
      <c r="J3504">
        <v>-187.57980000000001</v>
      </c>
      <c r="K3504">
        <v>1.095434</v>
      </c>
      <c r="L3504">
        <v>198.22730000000001</v>
      </c>
      <c r="M3504">
        <v>0.20997360000000001</v>
      </c>
      <c r="N3504">
        <v>0</v>
      </c>
      <c r="O3504">
        <v>-0.97755320000000001</v>
      </c>
      <c r="P3504">
        <v>-2.96942E-2</v>
      </c>
      <c r="Q3504">
        <v>3.7607199999999903E-2</v>
      </c>
      <c r="R3504">
        <v>-0.99885170000000001</v>
      </c>
      <c r="S3504">
        <v>-0.44970700000000002</v>
      </c>
      <c r="T3504">
        <v>-0.42182039999999998</v>
      </c>
      <c r="U3504">
        <v>-3.011444</v>
      </c>
      <c r="V3504">
        <v>0.24057390000000001</v>
      </c>
      <c r="W3504">
        <v>4.5952180000000002E-2</v>
      </c>
      <c r="X3504">
        <v>0.96954240000000003</v>
      </c>
      <c r="Y3504">
        <v>0.3507788</v>
      </c>
      <c r="Z3504">
        <v>0.12895009999999901</v>
      </c>
      <c r="AA3504">
        <v>0.92753770000000002</v>
      </c>
      <c r="AB3504">
        <v>29</v>
      </c>
      <c r="AC3504">
        <v>-1.2193000000000001</v>
      </c>
      <c r="AD3504">
        <v>-1.0954346809944999</v>
      </c>
      <c r="AE3504">
        <v>-7.5170000000000199</v>
      </c>
      <c r="AF3504">
        <v>2.71454917295608</v>
      </c>
      <c r="AG3504">
        <v>-1.0954346809944999</v>
      </c>
      <c r="AH3504">
        <v>6.9495134316352098</v>
      </c>
      <c r="AI3504">
        <v>98.352720327037304</v>
      </c>
      <c r="AJ3504">
        <v>68.663888291417507</v>
      </c>
      <c r="AK3504">
        <v>7.5408548115714504</v>
      </c>
      <c r="AL3504">
        <v>87.366206378612105</v>
      </c>
      <c r="AM3504">
        <v>76.064566554964102</v>
      </c>
      <c r="AN3504">
        <v>0.99999993480285898</v>
      </c>
    </row>
    <row r="3505" spans="1:40" x14ac:dyDescent="0.25">
      <c r="A3505" t="str">
        <f>"20190312151342231"</f>
        <v>20190312151342231</v>
      </c>
      <c r="B3505" t="str">
        <f>"1552374822223430"</f>
        <v>1552374822223430</v>
      </c>
      <c r="C3505" t="s">
        <v>40</v>
      </c>
      <c r="D3505">
        <v>4.5327699999999904</v>
      </c>
      <c r="E3505">
        <v>0.54153809999999902</v>
      </c>
      <c r="F3505" t="s">
        <v>42</v>
      </c>
      <c r="G3505">
        <v>-188.97989999999999</v>
      </c>
      <c r="H3505" s="1">
        <v>-4.0971150000000003E-6</v>
      </c>
      <c r="I3505">
        <v>188.76140000000001</v>
      </c>
      <c r="J3505">
        <v>-187.535</v>
      </c>
      <c r="K3505">
        <v>1.0956490000000001</v>
      </c>
      <c r="L3505">
        <v>197.93209999999999</v>
      </c>
      <c r="M3505">
        <v>0.1919265</v>
      </c>
      <c r="N3505">
        <v>0</v>
      </c>
      <c r="O3505">
        <v>-0.9812573</v>
      </c>
      <c r="P3505">
        <v>-4.0299080000000001E-2</v>
      </c>
      <c r="Q3505">
        <v>3.6845210000000003E-2</v>
      </c>
      <c r="R3505">
        <v>-0.99850830000000002</v>
      </c>
      <c r="S3505">
        <v>-0.4441986</v>
      </c>
      <c r="T3505">
        <v>-0.3475645</v>
      </c>
      <c r="U3505">
        <v>-3.0033569999999998</v>
      </c>
      <c r="V3505">
        <v>0.2329485</v>
      </c>
      <c r="W3505">
        <v>4.554776E-2</v>
      </c>
      <c r="X3505">
        <v>0.9714218</v>
      </c>
      <c r="Y3505">
        <v>0.33257229999999999</v>
      </c>
      <c r="Z3505">
        <v>0.107886999999999</v>
      </c>
      <c r="AA3505">
        <v>0.93688640000000001</v>
      </c>
      <c r="AB3505">
        <v>29</v>
      </c>
      <c r="AC3505">
        <v>-1.4448999999999901</v>
      </c>
      <c r="AD3505">
        <v>-1.09565309711499</v>
      </c>
      <c r="AE3505">
        <v>-9.1706999999999805</v>
      </c>
      <c r="AF3505">
        <v>3.13473229819986</v>
      </c>
      <c r="AG3505">
        <v>-1.09565309711499</v>
      </c>
      <c r="AH3505">
        <v>8.6029797826845407</v>
      </c>
      <c r="AI3505">
        <v>96.823632666468598</v>
      </c>
      <c r="AJ3505">
        <v>69.979397529760604</v>
      </c>
      <c r="AK3505">
        <v>9.2216193497603296</v>
      </c>
      <c r="AL3505">
        <v>87.389402287389203</v>
      </c>
      <c r="AM3505">
        <v>76.515015686008397</v>
      </c>
      <c r="AN3505">
        <v>0.99999995780425299</v>
      </c>
    </row>
    <row r="3506" spans="1:40" x14ac:dyDescent="0.25">
      <c r="A3506" t="str">
        <f>"20190312151342263"</f>
        <v>20190312151342263</v>
      </c>
      <c r="B3506" t="str">
        <f>"1552374822253685"</f>
        <v>1552374822253685</v>
      </c>
      <c r="C3506" t="s">
        <v>40</v>
      </c>
      <c r="D3506">
        <v>4.5566529999999998</v>
      </c>
      <c r="E3506">
        <v>0.54082369999999902</v>
      </c>
      <c r="F3506" t="s">
        <v>42</v>
      </c>
      <c r="G3506">
        <v>-189.06700000000001</v>
      </c>
      <c r="H3506" s="1">
        <v>-3.8509480000000003E-6</v>
      </c>
      <c r="I3506">
        <v>188.22370000000001</v>
      </c>
      <c r="J3506">
        <v>-187.48079999999999</v>
      </c>
      <c r="K3506">
        <v>1.095963</v>
      </c>
      <c r="L3506">
        <v>197.51929999999999</v>
      </c>
      <c r="M3506">
        <v>0.16701849999999999</v>
      </c>
      <c r="N3506">
        <v>0</v>
      </c>
      <c r="O3506">
        <v>-0.98580409999999996</v>
      </c>
      <c r="P3506">
        <v>-5.4221100000000001E-2</v>
      </c>
      <c r="Q3506">
        <v>3.689332E-2</v>
      </c>
      <c r="R3506">
        <v>-0.99784709999999999</v>
      </c>
      <c r="S3506">
        <v>-0.47308349999999999</v>
      </c>
      <c r="T3506">
        <v>-0.338327299999999</v>
      </c>
      <c r="U3506">
        <v>-2.9978790000000002</v>
      </c>
      <c r="V3506">
        <v>0.22184470000000001</v>
      </c>
      <c r="W3506">
        <v>4.6093170000000003E-2</v>
      </c>
      <c r="X3506">
        <v>0.97399199999999997</v>
      </c>
      <c r="Y3506">
        <v>0.31776729999999997</v>
      </c>
      <c r="Z3506">
        <v>0.1062149</v>
      </c>
      <c r="AA3506">
        <v>0.94220079999999995</v>
      </c>
      <c r="AB3506">
        <v>28</v>
      </c>
      <c r="AC3506">
        <v>-1.58620000000001</v>
      </c>
      <c r="AD3506">
        <v>-1.0959668509480001</v>
      </c>
      <c r="AE3506">
        <v>-9.2955999999999808</v>
      </c>
      <c r="AF3506">
        <v>3.0751420607945299</v>
      </c>
      <c r="AG3506">
        <v>-1.0959668509480001</v>
      </c>
      <c r="AH3506">
        <v>8.7814142199051002</v>
      </c>
      <c r="AI3506">
        <v>96.718006053576104</v>
      </c>
      <c r="AJ3506">
        <v>70.700380470861404</v>
      </c>
      <c r="AK3506">
        <v>9.3686113023220301</v>
      </c>
      <c r="AL3506">
        <v>87.358119938748601</v>
      </c>
      <c r="AM3506">
        <v>77.168726140591204</v>
      </c>
      <c r="AN3506">
        <v>1.0000000336513599</v>
      </c>
    </row>
    <row r="3507" spans="1:40" x14ac:dyDescent="0.25">
      <c r="A3507" t="str">
        <f>"20190312151342284"</f>
        <v>20190312151342284</v>
      </c>
      <c r="B3507" t="str">
        <f>"1552374822274194"</f>
        <v>1552374822274194</v>
      </c>
      <c r="C3507" t="s">
        <v>40</v>
      </c>
      <c r="D3507">
        <v>4.5816999999999997</v>
      </c>
      <c r="E3507">
        <v>0.54000749999999997</v>
      </c>
      <c r="F3507" t="s">
        <v>42</v>
      </c>
      <c r="G3507">
        <v>-189.16120000000001</v>
      </c>
      <c r="H3507" s="1">
        <v>-3.5818409999999998E-6</v>
      </c>
      <c r="I3507">
        <v>187.6353</v>
      </c>
      <c r="J3507">
        <v>-187.4495</v>
      </c>
      <c r="K3507">
        <v>1.09619</v>
      </c>
      <c r="L3507">
        <v>197.23490000000001</v>
      </c>
      <c r="M3507">
        <v>0.15012349999999999</v>
      </c>
      <c r="N3507">
        <v>0</v>
      </c>
      <c r="O3507">
        <v>-0.98851929999999999</v>
      </c>
      <c r="P3507">
        <v>-6.4213950000000006E-2</v>
      </c>
      <c r="Q3507">
        <v>3.7177189999999999E-2</v>
      </c>
      <c r="R3507">
        <v>-0.99724349999999995</v>
      </c>
      <c r="S3507">
        <v>-0.50851440000000003</v>
      </c>
      <c r="T3507">
        <v>-0.33166479999999998</v>
      </c>
      <c r="U3507">
        <v>-2.9911189999999999</v>
      </c>
      <c r="V3507">
        <v>0.21490690000000001</v>
      </c>
      <c r="W3507">
        <v>4.6683330000000002E-2</v>
      </c>
      <c r="X3507">
        <v>0.9755182</v>
      </c>
      <c r="Y3507">
        <v>0.31276880000000001</v>
      </c>
      <c r="Z3507">
        <v>0.1048178</v>
      </c>
      <c r="AA3507">
        <v>0.94402799999999998</v>
      </c>
      <c r="AB3507">
        <v>28</v>
      </c>
      <c r="AC3507">
        <v>-1.7117</v>
      </c>
      <c r="AD3507">
        <v>-1.096193581841</v>
      </c>
      <c r="AE3507">
        <v>-9.5996000000000095</v>
      </c>
      <c r="AF3507">
        <v>3.09452410341274</v>
      </c>
      <c r="AG3507">
        <v>-1.096193581841</v>
      </c>
      <c r="AH3507">
        <v>9.1185349589602893</v>
      </c>
      <c r="AI3507">
        <v>96.494545524646298</v>
      </c>
      <c r="AJ3507">
        <v>71.254515510487906</v>
      </c>
      <c r="AK3507">
        <v>9.6915117289952608</v>
      </c>
      <c r="AL3507">
        <v>87.324269822283895</v>
      </c>
      <c r="AM3507">
        <v>77.576173825336994</v>
      </c>
      <c r="AN3507">
        <v>1.00000003374936</v>
      </c>
    </row>
    <row r="3508" spans="1:40" x14ac:dyDescent="0.25">
      <c r="A3508" t="str">
        <f>"20190312151342308"</f>
        <v>20190312151342308</v>
      </c>
      <c r="B3508" t="str">
        <f>"1552374822303462"</f>
        <v>1552374822303462</v>
      </c>
      <c r="C3508" t="s">
        <v>40</v>
      </c>
      <c r="D3508">
        <v>4.5908119999999997</v>
      </c>
      <c r="E3508">
        <v>0.538742099999999</v>
      </c>
      <c r="F3508" t="s">
        <v>42</v>
      </c>
      <c r="G3508">
        <v>-189.20859999999999</v>
      </c>
      <c r="H3508" s="1">
        <v>-3.4424319999999999E-6</v>
      </c>
      <c r="I3508">
        <v>187.33</v>
      </c>
      <c r="J3508">
        <v>-187.42259999999999</v>
      </c>
      <c r="K3508">
        <v>1.0964370000000001</v>
      </c>
      <c r="L3508">
        <v>196.94450000000001</v>
      </c>
      <c r="M3508">
        <v>0.1331513</v>
      </c>
      <c r="N3508">
        <v>0</v>
      </c>
      <c r="O3508">
        <v>-0.99094950000000004</v>
      </c>
      <c r="P3508">
        <v>-7.4169379999999993E-2</v>
      </c>
      <c r="Q3508">
        <v>3.7412149999999998E-2</v>
      </c>
      <c r="R3508">
        <v>-0.99654350000000003</v>
      </c>
      <c r="S3508">
        <v>-0.53041079999999996</v>
      </c>
      <c r="T3508">
        <v>-0.33051710000000001</v>
      </c>
      <c r="U3508">
        <v>-2.9864649999999999</v>
      </c>
      <c r="V3508">
        <v>0.2078912</v>
      </c>
      <c r="W3508">
        <v>4.7222989999999999E-2</v>
      </c>
      <c r="X3508">
        <v>0.97701139999999997</v>
      </c>
      <c r="Y3508">
        <v>0.30343360000000003</v>
      </c>
      <c r="Z3508">
        <v>0.105118</v>
      </c>
      <c r="AA3508">
        <v>0.94703660000000001</v>
      </c>
      <c r="AB3508">
        <v>28</v>
      </c>
      <c r="AC3508">
        <v>-1.786</v>
      </c>
      <c r="AD3508">
        <v>-1.096440442432</v>
      </c>
      <c r="AE3508">
        <v>-9.6144999999999907</v>
      </c>
      <c r="AF3508">
        <v>3.01258863904207</v>
      </c>
      <c r="AG3508">
        <v>-1.096440442432</v>
      </c>
      <c r="AH3508">
        <v>9.1756712952764303</v>
      </c>
      <c r="AI3508">
        <v>96.477154725351994</v>
      </c>
      <c r="AJ3508">
        <v>71.823775645706903</v>
      </c>
      <c r="AK3508">
        <v>9.7196098517813798</v>
      </c>
      <c r="AL3508">
        <v>87.2933154021935</v>
      </c>
      <c r="AM3508">
        <v>77.987599599233604</v>
      </c>
      <c r="AN3508">
        <v>1.0000000187759699</v>
      </c>
    </row>
    <row r="3509" spans="1:40" x14ac:dyDescent="0.25">
      <c r="A3509" t="str">
        <f>"20190312151342329"</f>
        <v>20190312151342329</v>
      </c>
      <c r="B3509" t="str">
        <f>"1552374822323958"</f>
        <v>1552374822323958</v>
      </c>
      <c r="C3509" t="s">
        <v>40</v>
      </c>
      <c r="D3509">
        <v>4.6262280000000002</v>
      </c>
      <c r="E3509">
        <v>0.53790830000000001</v>
      </c>
      <c r="F3509" t="s">
        <v>42</v>
      </c>
      <c r="G3509">
        <v>-189.25810000000001</v>
      </c>
      <c r="H3509" s="1">
        <v>-3.28566999999999E-6</v>
      </c>
      <c r="I3509">
        <v>186.98500000000001</v>
      </c>
      <c r="J3509">
        <v>-187.40049999999999</v>
      </c>
      <c r="K3509">
        <v>1.096706</v>
      </c>
      <c r="L3509">
        <v>196.65170000000001</v>
      </c>
      <c r="M3509">
        <v>0.116323</v>
      </c>
      <c r="N3509">
        <v>0</v>
      </c>
      <c r="O3509">
        <v>-0.99306700000000003</v>
      </c>
      <c r="P3509">
        <v>-8.3821969999999996E-2</v>
      </c>
      <c r="Q3509">
        <v>3.8282330000000003E-2</v>
      </c>
      <c r="R3509">
        <v>-0.99574510000000005</v>
      </c>
      <c r="S3509">
        <v>-0.54952999999999996</v>
      </c>
      <c r="T3509">
        <v>-0.32826660000000002</v>
      </c>
      <c r="U3509">
        <v>-2.9818120000000001</v>
      </c>
      <c r="V3509">
        <v>0.20077039999999999</v>
      </c>
      <c r="W3509">
        <v>4.8394199999999998E-2</v>
      </c>
      <c r="X3509">
        <v>0.97844229999999999</v>
      </c>
      <c r="Y3509">
        <v>0.29339999999999999</v>
      </c>
      <c r="Z3509">
        <v>0.10502690000000001</v>
      </c>
      <c r="AA3509">
        <v>0.95020300000000002</v>
      </c>
      <c r="AB3509">
        <v>28</v>
      </c>
      <c r="AC3509">
        <v>-1.8576000000000099</v>
      </c>
      <c r="AD3509">
        <v>-1.09670928567</v>
      </c>
      <c r="AE3509">
        <v>-9.6666999999999899</v>
      </c>
      <c r="AF3509">
        <v>2.93319691621921</v>
      </c>
      <c r="AG3509">
        <v>-1.09670928567</v>
      </c>
      <c r="AH3509">
        <v>9.2698781093372702</v>
      </c>
      <c r="AI3509">
        <v>96.435580075193897</v>
      </c>
      <c r="AJ3509">
        <v>72.441462954097503</v>
      </c>
      <c r="AK3509">
        <v>9.7845314434858395</v>
      </c>
      <c r="AL3509">
        <v>87.2261332558259</v>
      </c>
      <c r="AM3509">
        <v>78.404212104191203</v>
      </c>
      <c r="AN3509">
        <v>1.00000004326954</v>
      </c>
    </row>
    <row r="3510" spans="1:40" x14ac:dyDescent="0.25">
      <c r="A3510" t="str">
        <f>"20190312151342353"</f>
        <v>20190312151342353</v>
      </c>
      <c r="B3510" t="str">
        <f>"1552374822343481"</f>
        <v>1552374822343481</v>
      </c>
      <c r="C3510" t="s">
        <v>40</v>
      </c>
      <c r="D3510">
        <v>4.5809610000000003</v>
      </c>
      <c r="E3510">
        <v>0.53700969999999904</v>
      </c>
      <c r="F3510" t="s">
        <v>42</v>
      </c>
      <c r="G3510">
        <v>-189.3211</v>
      </c>
      <c r="H3510" s="1">
        <v>-3.1311349999999999E-6</v>
      </c>
      <c r="I3510">
        <v>186.6508</v>
      </c>
      <c r="J3510">
        <v>-187.38319999999999</v>
      </c>
      <c r="K3510">
        <v>1.096962</v>
      </c>
      <c r="L3510">
        <v>196.35929999999999</v>
      </c>
      <c r="M3510">
        <v>9.9764259999999994E-2</v>
      </c>
      <c r="N3510">
        <v>0</v>
      </c>
      <c r="O3510">
        <v>-0.99486850000000004</v>
      </c>
      <c r="P3510">
        <v>-9.3649189999999993E-2</v>
      </c>
      <c r="Q3510">
        <v>3.8889069999999998E-2</v>
      </c>
      <c r="R3510">
        <v>-0.9948456</v>
      </c>
      <c r="S3510">
        <v>-0.57176210000000005</v>
      </c>
      <c r="T3510">
        <v>-0.32648749999999999</v>
      </c>
      <c r="U3510">
        <v>-2.9772340000000002</v>
      </c>
      <c r="V3510">
        <v>0.19411020000000001</v>
      </c>
      <c r="W3510">
        <v>4.9271479999999999E-2</v>
      </c>
      <c r="X3510">
        <v>0.97974159999999999</v>
      </c>
      <c r="Y3510">
        <v>0.284585799999999</v>
      </c>
      <c r="Z3510">
        <v>0.1049862</v>
      </c>
      <c r="AA3510">
        <v>0.95288450000000002</v>
      </c>
      <c r="AB3510">
        <v>28</v>
      </c>
      <c r="AC3510">
        <v>-1.9379000000000099</v>
      </c>
      <c r="AD3510">
        <v>-1.0969651311349999</v>
      </c>
      <c r="AE3510">
        <v>-9.7084999999999795</v>
      </c>
      <c r="AF3510">
        <v>2.8617921010921599</v>
      </c>
      <c r="AG3510">
        <v>-1.0969651311349999</v>
      </c>
      <c r="AH3510">
        <v>9.3518723868569804</v>
      </c>
      <c r="AI3510">
        <v>96.399816385678704</v>
      </c>
      <c r="AJ3510">
        <v>72.985221799466899</v>
      </c>
      <c r="AK3510">
        <v>9.8412755102607292</v>
      </c>
      <c r="AL3510">
        <v>87.175808726208501</v>
      </c>
      <c r="AM3510">
        <v>78.793464505585604</v>
      </c>
      <c r="AN3510">
        <v>1.00000002562799</v>
      </c>
    </row>
    <row r="3511" spans="1:40" x14ac:dyDescent="0.25">
      <c r="A3511" t="str">
        <f>"20190312151342385"</f>
        <v>20190312151342385</v>
      </c>
      <c r="B3511" t="str">
        <f>"1552374822373737"</f>
        <v>1552374822373737</v>
      </c>
      <c r="C3511" t="s">
        <v>40</v>
      </c>
      <c r="D3511">
        <v>4.6123180000000001</v>
      </c>
      <c r="E3511">
        <v>0.52842939999999905</v>
      </c>
      <c r="F3511" t="s">
        <v>42</v>
      </c>
      <c r="G3511">
        <v>-189.38300000000001</v>
      </c>
      <c r="H3511" s="1">
        <v>-2.9899049999999999E-6</v>
      </c>
      <c r="I3511">
        <v>186.34719999999999</v>
      </c>
      <c r="J3511">
        <v>-187.36600000000001</v>
      </c>
      <c r="K3511">
        <v>1.0973329999999999</v>
      </c>
      <c r="L3511">
        <v>195.93889999999999</v>
      </c>
      <c r="M3511">
        <v>7.6376699999999895E-2</v>
      </c>
      <c r="N3511">
        <v>0</v>
      </c>
      <c r="O3511">
        <v>-0.99693849999999995</v>
      </c>
      <c r="P3511">
        <v>-0.10651289999999999</v>
      </c>
      <c r="Q3511">
        <v>3.8992539999999999E-2</v>
      </c>
      <c r="R3511">
        <v>-0.99354679999999995</v>
      </c>
      <c r="S3511">
        <v>-0.59370419999999902</v>
      </c>
      <c r="T3511">
        <v>-0.32566460000000003</v>
      </c>
      <c r="U3511">
        <v>-2.9723820000000001</v>
      </c>
      <c r="V3511">
        <v>0.18372340000000001</v>
      </c>
      <c r="W3511">
        <v>4.9779650000000002E-2</v>
      </c>
      <c r="X3511">
        <v>0.9817167</v>
      </c>
      <c r="Y3511">
        <v>0.26910450000000002</v>
      </c>
      <c r="Z3511">
        <v>0.1053943</v>
      </c>
      <c r="AA3511">
        <v>0.95732689999999998</v>
      </c>
      <c r="AB3511">
        <v>28</v>
      </c>
      <c r="AC3511">
        <v>-2.0169999999999901</v>
      </c>
      <c r="AD3511">
        <v>-1.0973359899049999</v>
      </c>
      <c r="AE3511">
        <v>-9.5916999999999994</v>
      </c>
      <c r="AF3511">
        <v>2.70982636101555</v>
      </c>
      <c r="AG3511">
        <v>-1.0973359899049999</v>
      </c>
      <c r="AH3511">
        <v>9.2931200554732296</v>
      </c>
      <c r="AI3511">
        <v>96.4674088450531</v>
      </c>
      <c r="AJ3511">
        <v>73.743585213699006</v>
      </c>
      <c r="AK3511">
        <v>9.7421448124647707</v>
      </c>
      <c r="AL3511">
        <v>87.146656855668695</v>
      </c>
      <c r="AM3511">
        <v>79.399993606924497</v>
      </c>
      <c r="AN3511">
        <v>0.99999999016028596</v>
      </c>
    </row>
    <row r="3512" spans="1:40" x14ac:dyDescent="0.25">
      <c r="A3512" t="str">
        <f>"20190312151342409"</f>
        <v>20190312151342409</v>
      </c>
      <c r="B3512" t="str">
        <f>"1552374822403990"</f>
        <v>1552374822403990</v>
      </c>
      <c r="C3512" t="s">
        <v>40</v>
      </c>
      <c r="D3512">
        <v>4.6858469999999999</v>
      </c>
      <c r="E3512">
        <v>0.52747670000000002</v>
      </c>
      <c r="F3512" t="s">
        <v>42</v>
      </c>
      <c r="G3512">
        <v>-189.24459999999999</v>
      </c>
      <c r="H3512" s="1">
        <v>-2.8782330000000001E-6</v>
      </c>
      <c r="I3512">
        <v>186.02969999999999</v>
      </c>
      <c r="J3512">
        <v>-187.35990000000001</v>
      </c>
      <c r="K3512">
        <v>1.097604</v>
      </c>
      <c r="L3512">
        <v>195.63339999999999</v>
      </c>
      <c r="M3512">
        <v>5.9779390000000002E-2</v>
      </c>
      <c r="N3512">
        <v>0</v>
      </c>
      <c r="O3512">
        <v>-0.99807279999999998</v>
      </c>
      <c r="P3512">
        <v>-0.1157603</v>
      </c>
      <c r="Q3512">
        <v>3.8852499999999998E-2</v>
      </c>
      <c r="R3512">
        <v>-0.99251710000000004</v>
      </c>
      <c r="S3512">
        <v>-0.563446</v>
      </c>
      <c r="T3512">
        <v>-0.32911689999999999</v>
      </c>
      <c r="U3512">
        <v>-2.9720149999999999</v>
      </c>
      <c r="V3512">
        <v>0.17648520000000001</v>
      </c>
      <c r="W3512">
        <v>4.9913939999999997E-2</v>
      </c>
      <c r="X3512">
        <v>0.98303689999999999</v>
      </c>
      <c r="Y3512">
        <v>0.24359420000000001</v>
      </c>
      <c r="Z3512">
        <v>0.107167899999999</v>
      </c>
      <c r="AA3512">
        <v>0.96393819999999997</v>
      </c>
      <c r="AB3512">
        <v>28</v>
      </c>
      <c r="AC3512">
        <v>-1.8846999999999801</v>
      </c>
      <c r="AD3512">
        <v>-1.097606878233</v>
      </c>
      <c r="AE3512">
        <v>-9.6036999999999999</v>
      </c>
      <c r="AF3512">
        <v>2.4250100999081599</v>
      </c>
      <c r="AG3512">
        <v>-1.097606878233</v>
      </c>
      <c r="AH3512">
        <v>9.3561584249777194</v>
      </c>
      <c r="AI3512">
        <v>96.478832263297505</v>
      </c>
      <c r="AJ3512">
        <v>75.469335632397403</v>
      </c>
      <c r="AK3512">
        <v>9.7274413551088799</v>
      </c>
      <c r="AL3512">
        <v>87.138953019474599</v>
      </c>
      <c r="AM3512">
        <v>79.822079261030893</v>
      </c>
      <c r="AN3512">
        <v>0.99999998699348602</v>
      </c>
    </row>
    <row r="3513" spans="1:40" x14ac:dyDescent="0.25">
      <c r="A3513" t="str">
        <f>"20190312151342431"</f>
        <v>20190312151342431</v>
      </c>
      <c r="B3513" t="str">
        <f>"1552374822423511"</f>
        <v>1552374822423511</v>
      </c>
      <c r="C3513" t="s">
        <v>40</v>
      </c>
      <c r="D3513">
        <v>4.7109290000000001</v>
      </c>
      <c r="E3513">
        <v>0.5029053</v>
      </c>
      <c r="F3513" t="s">
        <v>42</v>
      </c>
      <c r="G3513">
        <v>-189.26259999999999</v>
      </c>
      <c r="H3513" s="1">
        <v>-2.8452650000000002E-6</v>
      </c>
      <c r="I3513">
        <v>185.96029999999999</v>
      </c>
      <c r="J3513">
        <v>-187.35849999999999</v>
      </c>
      <c r="K3513">
        <v>1.09788</v>
      </c>
      <c r="L3513">
        <v>195.3493</v>
      </c>
      <c r="M3513">
        <v>4.4648229999999997E-2</v>
      </c>
      <c r="N3513">
        <v>0</v>
      </c>
      <c r="O3513">
        <v>-0.99886549999999996</v>
      </c>
      <c r="P3513">
        <v>-0.1234662</v>
      </c>
      <c r="Q3513">
        <v>3.8130530000000003E-2</v>
      </c>
      <c r="R3513">
        <v>-0.99161600000000005</v>
      </c>
      <c r="S3513">
        <v>-0.58375549999999998</v>
      </c>
      <c r="T3513">
        <v>-0.33674369999999998</v>
      </c>
      <c r="U3513">
        <v>-2.9677120000000001</v>
      </c>
      <c r="V3513">
        <v>0.1691617</v>
      </c>
      <c r="W3513">
        <v>4.946151E-2</v>
      </c>
      <c r="X3513">
        <v>0.98434639999999995</v>
      </c>
      <c r="Y3513">
        <v>0.23545079999999999</v>
      </c>
      <c r="Z3513">
        <v>0.10995050000000001</v>
      </c>
      <c r="AA3513">
        <v>0.96564680000000003</v>
      </c>
      <c r="AB3513">
        <v>28</v>
      </c>
      <c r="AC3513">
        <v>-1.9040999999999999</v>
      </c>
      <c r="AD3513">
        <v>-1.097882845265</v>
      </c>
      <c r="AE3513">
        <v>-9.38900000000001</v>
      </c>
      <c r="AF3513">
        <v>2.2913674961204298</v>
      </c>
      <c r="AG3513">
        <v>-1.097882845265</v>
      </c>
      <c r="AH3513">
        <v>9.1741229111242095</v>
      </c>
      <c r="AI3513">
        <v>96.622676092144303</v>
      </c>
      <c r="AJ3513">
        <v>75.9764727001278</v>
      </c>
      <c r="AK3513">
        <v>9.5194665256315005</v>
      </c>
      <c r="AL3513">
        <v>87.164907384141401</v>
      </c>
      <c r="AM3513">
        <v>80.248866221917496</v>
      </c>
      <c r="AN3513">
        <v>0.99999997845566402</v>
      </c>
    </row>
    <row r="3514" spans="1:40" x14ac:dyDescent="0.25">
      <c r="A3514" t="str">
        <f>"20190312151342452"</f>
        <v>20190312151342452</v>
      </c>
      <c r="B3514" t="str">
        <f>"1552374822444005"</f>
        <v>1552374822444005</v>
      </c>
      <c r="C3514" t="s">
        <v>40</v>
      </c>
      <c r="D3514">
        <v>4.7192150000000002</v>
      </c>
      <c r="E3514">
        <v>0.49898439999999999</v>
      </c>
      <c r="F3514" t="s">
        <v>41</v>
      </c>
      <c r="G3514">
        <v>-187.48419999999999</v>
      </c>
      <c r="H3514">
        <v>1.0215160000000001</v>
      </c>
      <c r="I3514">
        <v>194.42949999999999</v>
      </c>
      <c r="J3514">
        <v>-187.36109999999999</v>
      </c>
      <c r="K3514">
        <v>1.09815</v>
      </c>
      <c r="L3514">
        <v>195.06780000000001</v>
      </c>
      <c r="M3514">
        <v>2.9927309999999999E-2</v>
      </c>
      <c r="N3514">
        <v>0</v>
      </c>
      <c r="O3514">
        <v>-0.99941639999999998</v>
      </c>
      <c r="P3514">
        <v>-0.1302391</v>
      </c>
      <c r="Q3514">
        <v>3.6591940000000003E-2</v>
      </c>
      <c r="R3514">
        <v>-0.99080749999999995</v>
      </c>
      <c r="S3514">
        <v>-0.40777590000000002</v>
      </c>
      <c r="T3514">
        <v>-0.247721</v>
      </c>
      <c r="U3514">
        <v>-2.9841310000000001</v>
      </c>
      <c r="V3514">
        <v>0.16129979999999999</v>
      </c>
      <c r="W3514">
        <v>4.819797E-2</v>
      </c>
      <c r="X3514">
        <v>0.98572780000000004</v>
      </c>
      <c r="Y3514">
        <v>0.16453119999999999</v>
      </c>
      <c r="Z3514">
        <v>8.1731470000000001E-2</v>
      </c>
      <c r="AA3514">
        <v>0.98297990000000002</v>
      </c>
      <c r="AB3514">
        <v>28</v>
      </c>
      <c r="AC3514">
        <v>-0.12309999999999301</v>
      </c>
      <c r="AD3514">
        <v>-7.66339999999998E-2</v>
      </c>
      <c r="AE3514">
        <v>-0.63830000000001497</v>
      </c>
      <c r="AF3514">
        <v>0.14020160113194099</v>
      </c>
      <c r="AG3514">
        <v>-7.66339999999998E-2</v>
      </c>
      <c r="AH3514">
        <v>0.62563476591767397</v>
      </c>
      <c r="AI3514">
        <v>96.815974234207502</v>
      </c>
      <c r="AJ3514">
        <v>77.368982086481296</v>
      </c>
      <c r="AK3514">
        <v>0.64571519979076197</v>
      </c>
      <c r="AL3514">
        <v>87.237389374201896</v>
      </c>
      <c r="AM3514">
        <v>80.706754391583004</v>
      </c>
      <c r="AN3514">
        <v>0.99999998274250002</v>
      </c>
    </row>
    <row r="3515" spans="1:40" x14ac:dyDescent="0.25">
      <c r="A3515" t="str">
        <f>"20190312151342475"</f>
        <v>20190312151342475</v>
      </c>
      <c r="B3515" t="str">
        <f>"1552374822463526"</f>
        <v>1552374822463526</v>
      </c>
      <c r="C3515" t="s">
        <v>40</v>
      </c>
      <c r="D3515">
        <v>4.7305669999999997</v>
      </c>
      <c r="E3515">
        <v>0.49791220000000003</v>
      </c>
      <c r="F3515" t="s">
        <v>41</v>
      </c>
      <c r="G3515">
        <v>-187.47970000000001</v>
      </c>
      <c r="H3515">
        <v>1.0230840000000001</v>
      </c>
      <c r="I3515">
        <v>194.1755</v>
      </c>
      <c r="J3515">
        <v>-187.36779999999999</v>
      </c>
      <c r="K3515">
        <v>1.0984370000000001</v>
      </c>
      <c r="L3515">
        <v>194.7833</v>
      </c>
      <c r="M3515">
        <v>1.5338269999999999E-2</v>
      </c>
      <c r="N3515">
        <v>0</v>
      </c>
      <c r="O3515">
        <v>-0.99974810000000003</v>
      </c>
      <c r="P3515">
        <v>-0.13639979999999999</v>
      </c>
      <c r="Q3515">
        <v>3.6389119999999997E-2</v>
      </c>
      <c r="R3515">
        <v>-0.98998560000000002</v>
      </c>
      <c r="S3515">
        <v>-0.39639279999999999</v>
      </c>
      <c r="T3515">
        <v>-0.25098280000000001</v>
      </c>
      <c r="U3515">
        <v>-2.985001</v>
      </c>
      <c r="V3515">
        <v>0.15299599999999999</v>
      </c>
      <c r="W3515">
        <v>4.8275600000000002E-2</v>
      </c>
      <c r="X3515">
        <v>0.98704700000000001</v>
      </c>
      <c r="Y3515">
        <v>0.14637649999999999</v>
      </c>
      <c r="Z3515">
        <v>8.2957920000000004E-2</v>
      </c>
      <c r="AA3515">
        <v>0.98574439999999997</v>
      </c>
      <c r="AB3515">
        <v>28</v>
      </c>
      <c r="AC3515">
        <v>-0.111900000000019</v>
      </c>
      <c r="AD3515">
        <v>-7.5353000000000003E-2</v>
      </c>
      <c r="AE3515">
        <v>-0.60779999999999701</v>
      </c>
      <c r="AF3515">
        <v>0.119435125428353</v>
      </c>
      <c r="AG3515">
        <v>-7.5353000000000003E-2</v>
      </c>
      <c r="AH3515">
        <v>0.59713470816791303</v>
      </c>
      <c r="AI3515">
        <v>97.053928260255006</v>
      </c>
      <c r="AJ3515">
        <v>78.689312484931094</v>
      </c>
      <c r="AK3515">
        <v>0.61360629355790097</v>
      </c>
      <c r="AL3515">
        <v>87.232936491187203</v>
      </c>
      <c r="AM3515">
        <v>81.189056426407404</v>
      </c>
      <c r="AN3515">
        <v>1.00000004489017</v>
      </c>
    </row>
    <row r="3516" spans="1:40" x14ac:dyDescent="0.25">
      <c r="A3516" t="str">
        <f>"20190312151342497"</f>
        <v>20190312151342497</v>
      </c>
      <c r="B3516" t="str">
        <f>"1552374822493782"</f>
        <v>1552374822493782</v>
      </c>
      <c r="C3516" t="s">
        <v>40</v>
      </c>
      <c r="D3516">
        <v>4.6792809999999996</v>
      </c>
      <c r="E3516">
        <v>0.49638070000000001</v>
      </c>
      <c r="F3516" t="s">
        <v>41</v>
      </c>
      <c r="G3516">
        <v>-187.4854</v>
      </c>
      <c r="H3516">
        <v>1.0283310000000001</v>
      </c>
      <c r="I3516">
        <v>193.9188</v>
      </c>
      <c r="J3516">
        <v>-187.3783</v>
      </c>
      <c r="K3516">
        <v>1.0987359999999999</v>
      </c>
      <c r="L3516">
        <v>194.49700000000001</v>
      </c>
      <c r="M3516">
        <v>9.8352040000000002E-4</v>
      </c>
      <c r="N3516">
        <v>0</v>
      </c>
      <c r="O3516">
        <v>-0.99986660000000005</v>
      </c>
      <c r="P3516">
        <v>-0.14152290000000001</v>
      </c>
      <c r="Q3516">
        <v>3.5682369999999998E-2</v>
      </c>
      <c r="R3516">
        <v>-0.9892919</v>
      </c>
      <c r="S3516">
        <v>-0.40570070000000003</v>
      </c>
      <c r="T3516">
        <v>-0.2418044</v>
      </c>
      <c r="U3516">
        <v>-2.9833370000000001</v>
      </c>
      <c r="V3516">
        <v>0.14386860000000001</v>
      </c>
      <c r="W3516">
        <v>4.7865999999999999E-2</v>
      </c>
      <c r="X3516">
        <v>0.9884385</v>
      </c>
      <c r="Y3516">
        <v>0.13529079999999999</v>
      </c>
      <c r="Z3516">
        <v>8.0049270000000006E-2</v>
      </c>
      <c r="AA3516">
        <v>0.98756690000000003</v>
      </c>
      <c r="AB3516">
        <v>28</v>
      </c>
      <c r="AC3516">
        <v>-0.107100000000002</v>
      </c>
      <c r="AD3516">
        <v>-7.0405000000000204E-2</v>
      </c>
      <c r="AE3516">
        <v>-0.57820000000000904</v>
      </c>
      <c r="AF3516">
        <v>0.106147068839753</v>
      </c>
      <c r="AG3516">
        <v>-7.0405000000000204E-2</v>
      </c>
      <c r="AH3516">
        <v>0.56992446004327901</v>
      </c>
      <c r="AI3516">
        <v>96.924405335953296</v>
      </c>
      <c r="AJ3516">
        <v>79.449680034376996</v>
      </c>
      <c r="AK3516">
        <v>0.58398454979895997</v>
      </c>
      <c r="AL3516">
        <v>87.256431875695895</v>
      </c>
      <c r="AM3516">
        <v>81.718673291668097</v>
      </c>
      <c r="AN3516">
        <v>0.99999999815210405</v>
      </c>
    </row>
    <row r="3517" spans="1:40" x14ac:dyDescent="0.25">
      <c r="A3517" t="str">
        <f>"20190312151342520"</f>
        <v>20190312151342520</v>
      </c>
      <c r="B3517" t="str">
        <f>"1552374822514278"</f>
        <v>1552374822514278</v>
      </c>
      <c r="C3517" t="s">
        <v>40</v>
      </c>
      <c r="D3517">
        <v>4.8634000000000004</v>
      </c>
      <c r="E3517">
        <v>0.49570829999999999</v>
      </c>
      <c r="F3517" t="s">
        <v>41</v>
      </c>
      <c r="G3517">
        <v>-187.49260000000001</v>
      </c>
      <c r="H3517">
        <v>1.0309410000000001</v>
      </c>
      <c r="I3517">
        <v>193.66380000000001</v>
      </c>
      <c r="J3517">
        <v>-187.3929</v>
      </c>
      <c r="K3517">
        <v>1.0990679999999999</v>
      </c>
      <c r="L3517">
        <v>194.20609999999999</v>
      </c>
      <c r="M3517">
        <v>-1.3237209999999999E-2</v>
      </c>
      <c r="N3517">
        <v>0</v>
      </c>
      <c r="O3517">
        <v>-0.99978080000000003</v>
      </c>
      <c r="P3517">
        <v>-0.14591560000000001</v>
      </c>
      <c r="Q3517">
        <v>3.4379729999999997E-2</v>
      </c>
      <c r="R3517">
        <v>-0.98869940000000001</v>
      </c>
      <c r="S3517">
        <v>-0.40885929999999998</v>
      </c>
      <c r="T3517">
        <v>-0.24256159999999999</v>
      </c>
      <c r="U3517">
        <v>-2.9827119999999998</v>
      </c>
      <c r="V3517">
        <v>0.13411519999999999</v>
      </c>
      <c r="W3517">
        <v>4.6867190000000003E-2</v>
      </c>
      <c r="X3517">
        <v>0.98985679999999998</v>
      </c>
      <c r="Y3517">
        <v>0.122239</v>
      </c>
      <c r="Z3517">
        <v>8.0367170000000002E-2</v>
      </c>
      <c r="AA3517">
        <v>0.9892415</v>
      </c>
      <c r="AB3517">
        <v>28</v>
      </c>
      <c r="AC3517">
        <v>-9.9700000000012695E-2</v>
      </c>
      <c r="AD3517">
        <v>-6.8126999999999993E-2</v>
      </c>
      <c r="AE3517">
        <v>-0.54229999999998302</v>
      </c>
      <c r="AF3517">
        <v>9.1120736946276107E-2</v>
      </c>
      <c r="AG3517">
        <v>-6.8126999999999993E-2</v>
      </c>
      <c r="AH3517">
        <v>0.535399038227931</v>
      </c>
      <c r="AI3517">
        <v>97.149922849692103</v>
      </c>
      <c r="AJ3517">
        <v>80.341252427632398</v>
      </c>
      <c r="AK3517">
        <v>0.54735400516121702</v>
      </c>
      <c r="AL3517">
        <v>87.313723658833396</v>
      </c>
      <c r="AM3517">
        <v>82.284009895360498</v>
      </c>
      <c r="AN3517">
        <v>0.99999995243788597</v>
      </c>
    </row>
    <row r="3518" spans="1:40" x14ac:dyDescent="0.25">
      <c r="A3518" t="str">
        <f>"20190312151342542"</f>
        <v>20190312151342542</v>
      </c>
      <c r="B3518" t="str">
        <f>"1552374822534272"</f>
        <v>1552374822534272</v>
      </c>
      <c r="C3518" t="s">
        <v>40</v>
      </c>
      <c r="D3518">
        <v>4.9831120000000002</v>
      </c>
      <c r="E3518">
        <v>0.4952397</v>
      </c>
      <c r="F3518" t="s">
        <v>41</v>
      </c>
      <c r="G3518">
        <v>-187.50450000000001</v>
      </c>
      <c r="H3518">
        <v>1.0342629999999999</v>
      </c>
      <c r="I3518">
        <v>193.40870000000001</v>
      </c>
      <c r="J3518">
        <v>-187.4102</v>
      </c>
      <c r="K3518">
        <v>1.0993999999999999</v>
      </c>
      <c r="L3518">
        <v>193.93</v>
      </c>
      <c r="M3518">
        <v>-2.6354320000000001E-2</v>
      </c>
      <c r="N3518">
        <v>0</v>
      </c>
      <c r="O3518">
        <v>-0.99952269999999999</v>
      </c>
      <c r="P3518">
        <v>-0.15100520000000001</v>
      </c>
      <c r="Q3518">
        <v>3.4845889999999997E-2</v>
      </c>
      <c r="R3518">
        <v>-0.98791879999999999</v>
      </c>
      <c r="S3518">
        <v>-0.41697689999999998</v>
      </c>
      <c r="T3518">
        <v>-0.2419683</v>
      </c>
      <c r="U3518">
        <v>-2.9811709999999998</v>
      </c>
      <c r="V3518">
        <v>0.1261902</v>
      </c>
      <c r="W3518">
        <v>4.7572120000000002E-2</v>
      </c>
      <c r="X3518">
        <v>0.99086479999999999</v>
      </c>
      <c r="Y3518">
        <v>0.1119237</v>
      </c>
      <c r="Z3518">
        <v>8.0215599999999998E-2</v>
      </c>
      <c r="AA3518">
        <v>0.99047390000000002</v>
      </c>
      <c r="AB3518">
        <v>28</v>
      </c>
      <c r="AC3518">
        <v>-9.4300000000004006E-2</v>
      </c>
      <c r="AD3518">
        <v>-6.5137E-2</v>
      </c>
      <c r="AE3518">
        <v>-0.52129999999999599</v>
      </c>
      <c r="AF3518">
        <v>7.9327664377401103E-2</v>
      </c>
      <c r="AG3518">
        <v>-6.5137E-2</v>
      </c>
      <c r="AH3518">
        <v>0.51580642432938095</v>
      </c>
      <c r="AI3518">
        <v>97.1145464327345</v>
      </c>
      <c r="AJ3518">
        <v>81.256786037753699</v>
      </c>
      <c r="AK3518">
        <v>0.52592012177139102</v>
      </c>
      <c r="AL3518">
        <v>87.273289339015705</v>
      </c>
      <c r="AM3518">
        <v>82.742245594294204</v>
      </c>
      <c r="AN3518">
        <v>1.00000006252818</v>
      </c>
    </row>
    <row r="3519" spans="1:40" x14ac:dyDescent="0.25">
      <c r="A3519" t="str">
        <f>"20190312151342563"</f>
        <v>20190312151342563</v>
      </c>
      <c r="B3519" t="str">
        <f>"1552374822553789"</f>
        <v>1552374822553789</v>
      </c>
      <c r="C3519" t="s">
        <v>40</v>
      </c>
      <c r="D3519">
        <v>5.1331519999999999</v>
      </c>
      <c r="E3519">
        <v>0.4946682</v>
      </c>
      <c r="F3519" t="s">
        <v>41</v>
      </c>
      <c r="G3519">
        <v>-187.52170000000001</v>
      </c>
      <c r="H3519">
        <v>1.0378940000000001</v>
      </c>
      <c r="I3519">
        <v>193.15389999999999</v>
      </c>
      <c r="J3519">
        <v>-187.4307</v>
      </c>
      <c r="K3519">
        <v>1.099769</v>
      </c>
      <c r="L3519">
        <v>193.6559</v>
      </c>
      <c r="M3519">
        <v>-3.896881E-2</v>
      </c>
      <c r="N3519">
        <v>0</v>
      </c>
      <c r="O3519">
        <v>-0.999112</v>
      </c>
      <c r="P3519">
        <v>-0.1602343</v>
      </c>
      <c r="Q3519">
        <v>3.4897909999999997E-2</v>
      </c>
      <c r="R3519">
        <v>-0.98646219999999996</v>
      </c>
      <c r="S3519">
        <v>-0.42750549999999998</v>
      </c>
      <c r="T3519">
        <v>-0.23582790000000001</v>
      </c>
      <c r="U3519">
        <v>-2.9796749999999999</v>
      </c>
      <c r="V3519">
        <v>0.1229015</v>
      </c>
      <c r="W3519">
        <v>4.772883E-2</v>
      </c>
      <c r="X3519">
        <v>0.99127050000000005</v>
      </c>
      <c r="Y3519">
        <v>0.102898</v>
      </c>
      <c r="Z3519">
        <v>7.8202079999999993E-2</v>
      </c>
      <c r="AA3519">
        <v>0.99161299999999997</v>
      </c>
      <c r="AB3519">
        <v>28</v>
      </c>
      <c r="AC3519">
        <v>-9.1000000000008199E-2</v>
      </c>
      <c r="AD3519">
        <v>-6.1874999999999902E-2</v>
      </c>
      <c r="AE3519">
        <v>-0.50200000000000899</v>
      </c>
      <c r="AF3519">
        <v>7.0331506090796594E-2</v>
      </c>
      <c r="AG3519">
        <v>-6.1874999999999902E-2</v>
      </c>
      <c r="AH3519">
        <v>0.49784247991167901</v>
      </c>
      <c r="AI3519">
        <v>97.015789944937595</v>
      </c>
      <c r="AJ3519">
        <v>81.958888666736001</v>
      </c>
      <c r="AK3519">
        <v>0.50657888939296603</v>
      </c>
      <c r="AL3519">
        <v>87.264300168841302</v>
      </c>
      <c r="AM3519">
        <v>82.932318076739193</v>
      </c>
      <c r="AN3519">
        <v>1.0000000120428301</v>
      </c>
    </row>
    <row r="3520" spans="1:40" x14ac:dyDescent="0.25">
      <c r="A3520" t="str">
        <f>"20190312151342586"</f>
        <v>20190312151342586</v>
      </c>
      <c r="B3520" t="str">
        <f>"1552374822584045"</f>
        <v>1552374822584045</v>
      </c>
      <c r="C3520" t="s">
        <v>40</v>
      </c>
      <c r="D3520">
        <v>4.8122339999999904</v>
      </c>
      <c r="E3520">
        <v>0.49455510000000003</v>
      </c>
      <c r="F3520" t="s">
        <v>41</v>
      </c>
      <c r="G3520">
        <v>-187.54499999999999</v>
      </c>
      <c r="H3520">
        <v>1.040732</v>
      </c>
      <c r="I3520">
        <v>192.8991</v>
      </c>
      <c r="J3520">
        <v>-187.45590000000001</v>
      </c>
      <c r="K3520">
        <v>1.100195</v>
      </c>
      <c r="L3520">
        <v>193.36340000000001</v>
      </c>
      <c r="M3520">
        <v>-5.1925480000000003E-2</v>
      </c>
      <c r="N3520">
        <v>0</v>
      </c>
      <c r="O3520">
        <v>-0.99852399999999997</v>
      </c>
      <c r="P3520">
        <v>-0.16525239999999999</v>
      </c>
      <c r="Q3520">
        <v>3.3553739999999999E-2</v>
      </c>
      <c r="R3520">
        <v>-0.98568049999999996</v>
      </c>
      <c r="S3520">
        <v>-0.44938660000000002</v>
      </c>
      <c r="T3520">
        <v>-0.23206280000000001</v>
      </c>
      <c r="U3520">
        <v>-2.9763950000000001</v>
      </c>
      <c r="V3520">
        <v>0.114994899999999</v>
      </c>
      <c r="W3520">
        <v>4.6609030000000003E-2</v>
      </c>
      <c r="X3520">
        <v>0.99227200000000004</v>
      </c>
      <c r="Y3520">
        <v>9.7297010000000003E-2</v>
      </c>
      <c r="Z3520">
        <v>7.6957449999999997E-2</v>
      </c>
      <c r="AA3520">
        <v>0.99227560000000004</v>
      </c>
      <c r="AB3520">
        <v>28</v>
      </c>
      <c r="AC3520">
        <v>-8.9099999999973506E-2</v>
      </c>
      <c r="AD3520">
        <v>-5.9463000000000002E-2</v>
      </c>
      <c r="AE3520">
        <v>-0.46430000000000798</v>
      </c>
      <c r="AF3520">
        <v>6.3857524366360205E-2</v>
      </c>
      <c r="AG3520">
        <v>-5.9463000000000002E-2</v>
      </c>
      <c r="AH3520">
        <v>0.461007759359501</v>
      </c>
      <c r="AI3520">
        <v>97.280944114296204</v>
      </c>
      <c r="AJ3520">
        <v>82.113729044101802</v>
      </c>
      <c r="AK3520">
        <v>0.46919269599692998</v>
      </c>
      <c r="AL3520">
        <v>87.328531381402598</v>
      </c>
      <c r="AM3520">
        <v>83.389452665321997</v>
      </c>
      <c r="AN3520">
        <v>0.99999997534377505</v>
      </c>
    </row>
    <row r="3521" spans="1:40" x14ac:dyDescent="0.25">
      <c r="A3521" t="str">
        <f>"20190312151342611"</f>
        <v>20190312151342611</v>
      </c>
      <c r="B3521" t="str">
        <f>"1552374822603567"</f>
        <v>1552374822603567</v>
      </c>
      <c r="C3521" t="s">
        <v>40</v>
      </c>
      <c r="D3521">
        <v>4.700456</v>
      </c>
      <c r="E3521">
        <v>0.4937339</v>
      </c>
      <c r="F3521" t="s">
        <v>41</v>
      </c>
      <c r="G3521">
        <v>-187.60489999999999</v>
      </c>
      <c r="H3521">
        <v>1.0227040000000001</v>
      </c>
      <c r="I3521">
        <v>192.4067</v>
      </c>
      <c r="J3521">
        <v>-187.4854</v>
      </c>
      <c r="K3521">
        <v>1.100646</v>
      </c>
      <c r="L3521">
        <v>193.06270000000001</v>
      </c>
      <c r="M3521">
        <v>-6.4644309999999996E-2</v>
      </c>
      <c r="N3521">
        <v>0</v>
      </c>
      <c r="O3521">
        <v>-0.99778319999999998</v>
      </c>
      <c r="P3521">
        <v>-0.168493</v>
      </c>
      <c r="Q3521">
        <v>3.027053E-2</v>
      </c>
      <c r="R3521">
        <v>-0.98523830000000001</v>
      </c>
      <c r="S3521">
        <v>-0.46322629999999998</v>
      </c>
      <c r="T3521">
        <v>-0.2408497</v>
      </c>
      <c r="U3521">
        <v>-2.9741360000000001</v>
      </c>
      <c r="V3521">
        <v>0.10546949999999999</v>
      </c>
      <c r="W3521">
        <v>4.3576570000000002E-2</v>
      </c>
      <c r="X3521">
        <v>0.99346730000000005</v>
      </c>
      <c r="Y3521">
        <v>8.9200189999999999E-2</v>
      </c>
      <c r="Z3521">
        <v>7.9826229999999998E-2</v>
      </c>
      <c r="AA3521">
        <v>0.99280970000000002</v>
      </c>
      <c r="AB3521">
        <v>28</v>
      </c>
      <c r="AC3521">
        <v>-0.11949999999998701</v>
      </c>
      <c r="AD3521">
        <v>-7.79419999999999E-2</v>
      </c>
      <c r="AE3521">
        <v>-0.65600000000000502</v>
      </c>
      <c r="AF3521">
        <v>7.5802307855243195E-2</v>
      </c>
      <c r="AG3521">
        <v>-7.79419999999999E-2</v>
      </c>
      <c r="AH3521">
        <v>0.65342551388657499</v>
      </c>
      <c r="AI3521">
        <v>96.757329984456703</v>
      </c>
      <c r="AJ3521">
        <v>83.3828339752923</v>
      </c>
      <c r="AK3521">
        <v>0.66240912390917095</v>
      </c>
      <c r="AL3521">
        <v>87.502455600517493</v>
      </c>
      <c r="AM3521">
        <v>83.940004917989896</v>
      </c>
      <c r="AN3521">
        <v>1.00000000452625</v>
      </c>
    </row>
    <row r="3522" spans="1:40" x14ac:dyDescent="0.25">
      <c r="A3522" t="str">
        <f>"20190312151342632"</f>
        <v>20190312151342632</v>
      </c>
      <c r="B3522" t="str">
        <f>"1552374822624062"</f>
        <v>1552374822624062</v>
      </c>
      <c r="C3522" t="s">
        <v>40</v>
      </c>
      <c r="D3522">
        <v>4.6136169999999996</v>
      </c>
      <c r="E3522">
        <v>0.4928227</v>
      </c>
      <c r="F3522" t="s">
        <v>41</v>
      </c>
      <c r="G3522">
        <v>-187.62780000000001</v>
      </c>
      <c r="H3522">
        <v>1.024459</v>
      </c>
      <c r="I3522">
        <v>192.155</v>
      </c>
      <c r="J3522">
        <v>-187.51509999999999</v>
      </c>
      <c r="K3522">
        <v>1.1010340000000001</v>
      </c>
      <c r="L3522">
        <v>192.78899999999999</v>
      </c>
      <c r="M3522">
        <v>-7.579263E-2</v>
      </c>
      <c r="N3522">
        <v>0</v>
      </c>
      <c r="O3522">
        <v>-0.99699979999999999</v>
      </c>
      <c r="P3522">
        <v>-0.1694398</v>
      </c>
      <c r="Q3522">
        <v>2.7801610000000001E-2</v>
      </c>
      <c r="R3522">
        <v>-0.98514829999999998</v>
      </c>
      <c r="S3522">
        <v>-0.46595760000000003</v>
      </c>
      <c r="T3522">
        <v>-0.24930730000000001</v>
      </c>
      <c r="U3522">
        <v>-2.9729160000000001</v>
      </c>
      <c r="V3522">
        <v>9.5207589999999995E-2</v>
      </c>
      <c r="W3522">
        <v>4.1350320000000003E-2</v>
      </c>
      <c r="X3522">
        <v>0.99459830000000005</v>
      </c>
      <c r="Y3522">
        <v>7.8980649999999999E-2</v>
      </c>
      <c r="Z3522">
        <v>8.2576440000000001E-2</v>
      </c>
      <c r="AA3522">
        <v>0.99345019999999995</v>
      </c>
      <c r="AB3522">
        <v>28</v>
      </c>
      <c r="AC3522">
        <v>-0.11270000000001799</v>
      </c>
      <c r="AD3522">
        <v>-7.6575000000000004E-2</v>
      </c>
      <c r="AE3522">
        <v>-0.634000000000014</v>
      </c>
      <c r="AF3522">
        <v>6.3420451656593699E-2</v>
      </c>
      <c r="AG3522">
        <v>-7.6575000000000004E-2</v>
      </c>
      <c r="AH3522">
        <v>0.63178463571502796</v>
      </c>
      <c r="AI3522">
        <v>96.876557742500395</v>
      </c>
      <c r="AJ3522">
        <v>84.267679365877896</v>
      </c>
      <c r="AK3522">
        <v>0.63956056025907104</v>
      </c>
      <c r="AL3522">
        <v>87.630125633845907</v>
      </c>
      <c r="AM3522">
        <v>84.5320413856643</v>
      </c>
      <c r="AN3522">
        <v>1.00000005626029</v>
      </c>
    </row>
    <row r="3523" spans="1:40" x14ac:dyDescent="0.25">
      <c r="A3523" t="str">
        <f>"20190312151342653"</f>
        <v>20190312151342653</v>
      </c>
      <c r="B3523" t="str">
        <f>"1552374822643581"</f>
        <v>1552374822643581</v>
      </c>
      <c r="C3523" t="s">
        <v>40</v>
      </c>
      <c r="D3523">
        <v>4.5755109999999997</v>
      </c>
      <c r="E3523">
        <v>0.49180570000000001</v>
      </c>
      <c r="F3523" t="s">
        <v>41</v>
      </c>
      <c r="G3523">
        <v>-187.6525</v>
      </c>
      <c r="H3523">
        <v>1.0242549999999999</v>
      </c>
      <c r="I3523">
        <v>191.90459999999999</v>
      </c>
      <c r="J3523">
        <v>-187.54660000000001</v>
      </c>
      <c r="K3523">
        <v>1.101405</v>
      </c>
      <c r="L3523">
        <v>192.52199999999999</v>
      </c>
      <c r="M3523">
        <v>-8.6225789999999997E-2</v>
      </c>
      <c r="N3523">
        <v>0</v>
      </c>
      <c r="O3523">
        <v>-0.99615339999999997</v>
      </c>
      <c r="P3523">
        <v>-0.17072689999999999</v>
      </c>
      <c r="Q3523">
        <v>2.6942890000000001E-2</v>
      </c>
      <c r="R3523">
        <v>-0.98495029999999995</v>
      </c>
      <c r="S3523">
        <v>-0.46202090000000001</v>
      </c>
      <c r="T3523">
        <v>-0.25807869999999999</v>
      </c>
      <c r="U3523">
        <v>-2.9730530000000002</v>
      </c>
      <c r="V3523">
        <v>8.6028350000000003E-2</v>
      </c>
      <c r="W3523">
        <v>4.0690940000000002E-2</v>
      </c>
      <c r="X3523">
        <v>0.99546140000000005</v>
      </c>
      <c r="Y3523">
        <v>6.7211499999999993E-2</v>
      </c>
      <c r="Z3523">
        <v>8.5393769999999994E-2</v>
      </c>
      <c r="AA3523">
        <v>0.99407769999999995</v>
      </c>
      <c r="AB3523">
        <v>28</v>
      </c>
      <c r="AC3523">
        <v>-0.105899999999991</v>
      </c>
      <c r="AD3523">
        <v>-7.7149999999999996E-2</v>
      </c>
      <c r="AE3523">
        <v>-0.61740000000003104</v>
      </c>
      <c r="AF3523">
        <v>5.1482291800170901E-2</v>
      </c>
      <c r="AG3523">
        <v>-7.7149999999999996E-2</v>
      </c>
      <c r="AH3523">
        <v>0.61490517867199601</v>
      </c>
      <c r="AI3523">
        <v>97.126655526878494</v>
      </c>
      <c r="AJ3523">
        <v>85.214132565604999</v>
      </c>
      <c r="AK3523">
        <v>0.62186085873500496</v>
      </c>
      <c r="AL3523">
        <v>87.667937051429803</v>
      </c>
      <c r="AM3523">
        <v>85.060737519309995</v>
      </c>
      <c r="AN3523">
        <v>1.00000001424588</v>
      </c>
    </row>
    <row r="3524" spans="1:40" x14ac:dyDescent="0.25">
      <c r="A3524" t="str">
        <f>"20190312151342676"</f>
        <v>20190312151342676</v>
      </c>
      <c r="B3524" t="str">
        <f>"1552374822673838"</f>
        <v>1552374822673838</v>
      </c>
      <c r="C3524" t="s">
        <v>40</v>
      </c>
      <c r="D3524">
        <v>4.5988939999999996</v>
      </c>
      <c r="E3524">
        <v>0.47692790000000002</v>
      </c>
      <c r="F3524" t="s">
        <v>41</v>
      </c>
      <c r="G3524">
        <v>-187.68010000000001</v>
      </c>
      <c r="H3524">
        <v>1.0238179999999999</v>
      </c>
      <c r="I3524">
        <v>191.655</v>
      </c>
      <c r="J3524">
        <v>-187.58359999999999</v>
      </c>
      <c r="K3524">
        <v>1.1018380000000001</v>
      </c>
      <c r="L3524">
        <v>192.2321</v>
      </c>
      <c r="M3524">
        <v>-9.6987210000000004E-2</v>
      </c>
      <c r="N3524">
        <v>0</v>
      </c>
      <c r="O3524">
        <v>-0.99516479999999996</v>
      </c>
      <c r="P3524">
        <v>-0.17298810000000001</v>
      </c>
      <c r="Q3524">
        <v>2.6595750000000001E-2</v>
      </c>
      <c r="R3524">
        <v>-0.98456500000000002</v>
      </c>
      <c r="S3524">
        <v>-0.45736690000000002</v>
      </c>
      <c r="T3524">
        <v>-0.26600289999999999</v>
      </c>
      <c r="U3524">
        <v>-2.9738159999999998</v>
      </c>
      <c r="V3524">
        <v>7.7497330000000003E-2</v>
      </c>
      <c r="W3524">
        <v>4.0511320000000003E-2</v>
      </c>
      <c r="X3524">
        <v>0.99616910000000003</v>
      </c>
      <c r="Y3524">
        <v>5.483155E-2</v>
      </c>
      <c r="Z3524">
        <v>8.7886510000000001E-2</v>
      </c>
      <c r="AA3524">
        <v>0.99462030000000001</v>
      </c>
      <c r="AB3524">
        <v>28</v>
      </c>
      <c r="AC3524">
        <v>-9.6500000000020195E-2</v>
      </c>
      <c r="AD3524">
        <v>-7.8019999999999701E-2</v>
      </c>
      <c r="AE3524">
        <v>-0.57710000000000095</v>
      </c>
      <c r="AF3524">
        <v>3.9366956021469703E-2</v>
      </c>
      <c r="AG3524">
        <v>-7.8019999999999701E-2</v>
      </c>
      <c r="AH3524">
        <v>0.57354147207587403</v>
      </c>
      <c r="AI3524">
        <v>97.728547799382994</v>
      </c>
      <c r="AJ3524">
        <v>86.073469193044104</v>
      </c>
      <c r="AK3524">
        <v>0.58016092406965603</v>
      </c>
      <c r="AL3524">
        <v>87.678236838571493</v>
      </c>
      <c r="AM3524">
        <v>85.551614036264695</v>
      </c>
      <c r="AN3524">
        <v>0.99999993950003896</v>
      </c>
    </row>
    <row r="3525" spans="1:40" x14ac:dyDescent="0.25">
      <c r="A3525" t="str">
        <f>"20190312151342698"</f>
        <v>20190312151342698</v>
      </c>
      <c r="B3525" t="str">
        <f>"1552374822694333"</f>
        <v>1552374822694333</v>
      </c>
      <c r="C3525" t="s">
        <v>40</v>
      </c>
      <c r="D3525">
        <v>4.5516009999999998</v>
      </c>
      <c r="E3525">
        <v>0.4753347</v>
      </c>
      <c r="F3525" t="s">
        <v>41</v>
      </c>
      <c r="G3525">
        <v>-187.6797</v>
      </c>
      <c r="H3525">
        <v>1.023093</v>
      </c>
      <c r="I3525">
        <v>191.40260000000001</v>
      </c>
      <c r="J3525">
        <v>-187.61969999999999</v>
      </c>
      <c r="K3525">
        <v>1.1022689999999999</v>
      </c>
      <c r="L3525">
        <v>191.96629999999999</v>
      </c>
      <c r="M3525">
        <v>-0.1062964</v>
      </c>
      <c r="N3525">
        <v>0</v>
      </c>
      <c r="O3525">
        <v>-0.99421510000000002</v>
      </c>
      <c r="P3525">
        <v>-0.17422699999999999</v>
      </c>
      <c r="Q3525">
        <v>2.6357180000000001E-2</v>
      </c>
      <c r="R3525">
        <v>-0.98435280000000003</v>
      </c>
      <c r="S3525">
        <v>-0.3466187</v>
      </c>
      <c r="T3525">
        <v>-0.28414299999999998</v>
      </c>
      <c r="U3525">
        <v>-2.9937900000000002</v>
      </c>
      <c r="V3525">
        <v>6.9373850000000001E-2</v>
      </c>
      <c r="W3525">
        <v>4.0417450000000001E-2</v>
      </c>
      <c r="X3525">
        <v>0.99677159999999998</v>
      </c>
      <c r="Y3525">
        <v>8.2502180000000001E-3</v>
      </c>
      <c r="Z3525">
        <v>9.3376410000000007E-2</v>
      </c>
      <c r="AA3525">
        <v>0.9955967</v>
      </c>
      <c r="AB3525">
        <v>28</v>
      </c>
      <c r="AC3525">
        <v>-6.0000000000002197E-2</v>
      </c>
      <c r="AD3525">
        <v>-7.9175999999999899E-2</v>
      </c>
      <c r="AE3525">
        <v>-0.56369999999998299</v>
      </c>
      <c r="AF3525">
        <v>-2.6130886060838401E-4</v>
      </c>
      <c r="AG3525">
        <v>-7.9175999999999899E-2</v>
      </c>
      <c r="AH3525">
        <v>0.556037313895968</v>
      </c>
      <c r="AI3525">
        <v>98.104056275246407</v>
      </c>
      <c r="AJ3525">
        <v>90.026926059431403</v>
      </c>
      <c r="AK3525">
        <v>0.56164615346583102</v>
      </c>
      <c r="AL3525">
        <v>87.683619654331196</v>
      </c>
      <c r="AM3525">
        <v>86.018717391607495</v>
      </c>
      <c r="AN3525">
        <v>0.99999996194744101</v>
      </c>
    </row>
    <row r="3526" spans="1:40" x14ac:dyDescent="0.25">
      <c r="A3526" t="str">
        <f>"20190312151342721"</f>
        <v>20190312151342721</v>
      </c>
      <c r="B3526" t="str">
        <f>"1552374822713853"</f>
        <v>1552374822713853</v>
      </c>
      <c r="C3526" t="s">
        <v>40</v>
      </c>
      <c r="D3526">
        <v>4.6244649999999998</v>
      </c>
      <c r="E3526">
        <v>0.47049980000000002</v>
      </c>
      <c r="F3526" t="s">
        <v>41</v>
      </c>
      <c r="G3526">
        <v>-187.7115</v>
      </c>
      <c r="H3526">
        <v>1.0269680000000001</v>
      </c>
      <c r="I3526">
        <v>191.15119999999999</v>
      </c>
      <c r="J3526">
        <v>-187.66030000000001</v>
      </c>
      <c r="K3526">
        <v>1.1027800000000001</v>
      </c>
      <c r="L3526">
        <v>191.68350000000001</v>
      </c>
      <c r="M3526">
        <v>-0.11556520000000001</v>
      </c>
      <c r="N3526">
        <v>0</v>
      </c>
      <c r="O3526">
        <v>-0.99318220000000002</v>
      </c>
      <c r="P3526">
        <v>-0.1751849</v>
      </c>
      <c r="Q3526">
        <v>2.518161E-2</v>
      </c>
      <c r="R3526">
        <v>-0.98421380000000003</v>
      </c>
      <c r="S3526">
        <v>-0.3368835</v>
      </c>
      <c r="T3526">
        <v>-0.2764373</v>
      </c>
      <c r="U3526">
        <v>-2.9954529999999999</v>
      </c>
      <c r="V3526">
        <v>6.0964860000000003E-2</v>
      </c>
      <c r="W3526">
        <v>3.9376870000000001E-2</v>
      </c>
      <c r="X3526">
        <v>0.99736290000000005</v>
      </c>
      <c r="Y3526">
        <v>-4.3069220000000004E-3</v>
      </c>
      <c r="Z3526">
        <v>9.069199E-2</v>
      </c>
      <c r="AA3526">
        <v>0.99586969999999997</v>
      </c>
      <c r="AB3526">
        <v>28</v>
      </c>
      <c r="AC3526">
        <v>-5.1199999999994299E-2</v>
      </c>
      <c r="AD3526">
        <v>-7.5811999999999699E-2</v>
      </c>
      <c r="AE3526">
        <v>-0.53230000000001998</v>
      </c>
      <c r="AF3526">
        <v>-1.0455533777768099E-2</v>
      </c>
      <c r="AG3526">
        <v>-7.5811999999999699E-2</v>
      </c>
      <c r="AH3526">
        <v>0.52411638018390405</v>
      </c>
      <c r="AI3526">
        <v>98.228977279990204</v>
      </c>
      <c r="AJ3526">
        <v>91.142834937153495</v>
      </c>
      <c r="AK3526">
        <v>0.52967419939775895</v>
      </c>
      <c r="AL3526">
        <v>87.743288103096006</v>
      </c>
      <c r="AM3526">
        <v>86.502087195695296</v>
      </c>
      <c r="AN3526">
        <v>1.00000000317111</v>
      </c>
    </row>
    <row r="3527" spans="1:40" x14ac:dyDescent="0.25">
      <c r="A3527" t="str">
        <f>"20190312151342743"</f>
        <v>20190312151342743</v>
      </c>
      <c r="B3527" t="str">
        <f>"1552374822733714"</f>
        <v>1552374822733714</v>
      </c>
      <c r="C3527" t="s">
        <v>40</v>
      </c>
      <c r="D3527">
        <v>4.4785760000000003</v>
      </c>
      <c r="E3527">
        <v>0.4670975</v>
      </c>
      <c r="F3527" t="s">
        <v>42</v>
      </c>
      <c r="G3527">
        <v>-188.87860000000001</v>
      </c>
      <c r="H3527" s="1">
        <v>-4.4492830000000001E-6</v>
      </c>
      <c r="I3527">
        <v>179.54050000000001</v>
      </c>
      <c r="J3527">
        <v>-187.70169999999999</v>
      </c>
      <c r="K3527">
        <v>1.1033470000000001</v>
      </c>
      <c r="L3527">
        <v>191.40770000000001</v>
      </c>
      <c r="M3527">
        <v>-0.123908199999999</v>
      </c>
      <c r="N3527">
        <v>0</v>
      </c>
      <c r="O3527">
        <v>-0.99217739999999999</v>
      </c>
      <c r="P3527">
        <v>-0.17508180000000001</v>
      </c>
      <c r="Q3527">
        <v>2.4274440000000001E-2</v>
      </c>
      <c r="R3527">
        <v>-0.98425490000000004</v>
      </c>
      <c r="S3527">
        <v>-0.30114750000000001</v>
      </c>
      <c r="T3527">
        <v>-0.27258569999999999</v>
      </c>
      <c r="U3527">
        <v>-3.0015109999999998</v>
      </c>
      <c r="V3527">
        <v>5.239999E-2</v>
      </c>
      <c r="W3527">
        <v>3.8593549999999997E-2</v>
      </c>
      <c r="X3527">
        <v>0.99788019999999999</v>
      </c>
      <c r="Y3527">
        <v>-2.4642859999999999E-2</v>
      </c>
      <c r="Z3527">
        <v>8.9167209999999997E-2</v>
      </c>
      <c r="AA3527">
        <v>0.99571180000000004</v>
      </c>
      <c r="AB3527">
        <v>28</v>
      </c>
      <c r="AC3527">
        <v>-1.17690000000001</v>
      </c>
      <c r="AD3527">
        <v>-1.1033514492830001</v>
      </c>
      <c r="AE3527">
        <v>-11.867199999999899</v>
      </c>
      <c r="AF3527">
        <v>-0.30021486664346397</v>
      </c>
      <c r="AG3527">
        <v>-1.1033514492830001</v>
      </c>
      <c r="AH3527">
        <v>11.8203866913986</v>
      </c>
      <c r="AI3527">
        <v>95.3310039903063</v>
      </c>
      <c r="AJ3527">
        <v>91.454888753571893</v>
      </c>
      <c r="AK3527">
        <v>11.8755654568943</v>
      </c>
      <c r="AL3527">
        <v>87.788203298895397</v>
      </c>
      <c r="AM3527">
        <v>86.994084780231603</v>
      </c>
      <c r="AN3527">
        <v>1.0000000573028101</v>
      </c>
    </row>
    <row r="3528" spans="1:40" x14ac:dyDescent="0.25">
      <c r="A3528" t="str">
        <f>"20190312151342765"</f>
        <v>20190312151342765</v>
      </c>
      <c r="B3528" t="str">
        <f>"1552374822754207"</f>
        <v>1552374822754207</v>
      </c>
      <c r="C3528" t="s">
        <v>40</v>
      </c>
      <c r="D3528">
        <v>4.4818790000000002</v>
      </c>
      <c r="E3528">
        <v>0.46471249999999997</v>
      </c>
      <c r="F3528" t="s">
        <v>42</v>
      </c>
      <c r="G3528">
        <v>-188.85470000000001</v>
      </c>
      <c r="H3528" s="1">
        <v>-4.1136870000000004E-6</v>
      </c>
      <c r="I3528">
        <v>178.7483</v>
      </c>
      <c r="J3528">
        <v>-187.7448</v>
      </c>
      <c r="K3528">
        <v>1.1039669999999999</v>
      </c>
      <c r="L3528">
        <v>191.13159999999999</v>
      </c>
      <c r="M3528">
        <v>-0.13150689999999901</v>
      </c>
      <c r="N3528">
        <v>0</v>
      </c>
      <c r="O3528">
        <v>-0.99120039999999998</v>
      </c>
      <c r="P3528">
        <v>-0.17386450000000001</v>
      </c>
      <c r="Q3528">
        <v>2.277759E-2</v>
      </c>
      <c r="R3528">
        <v>-0.98450599999999999</v>
      </c>
      <c r="S3528">
        <v>-0.27374270000000001</v>
      </c>
      <c r="T3528">
        <v>-0.26197169999999997</v>
      </c>
      <c r="U3528">
        <v>-3.0057529999999999</v>
      </c>
      <c r="V3528">
        <v>4.3428500000000002E-2</v>
      </c>
      <c r="W3528">
        <v>3.7209319999999997E-2</v>
      </c>
      <c r="X3528">
        <v>0.99836340000000001</v>
      </c>
      <c r="Y3528">
        <v>-4.140489E-2</v>
      </c>
      <c r="Z3528">
        <v>8.5488090000000003E-2</v>
      </c>
      <c r="AA3528">
        <v>0.99547850000000004</v>
      </c>
      <c r="AB3528">
        <v>28</v>
      </c>
      <c r="AC3528">
        <v>-1.1099000000000101</v>
      </c>
      <c r="AD3528">
        <v>-1.1039711136869901</v>
      </c>
      <c r="AE3528">
        <v>-12.383299999999901</v>
      </c>
      <c r="AF3528">
        <v>-0.52428258998775401</v>
      </c>
      <c r="AG3528">
        <v>-1.1039711136869901</v>
      </c>
      <c r="AH3528">
        <v>12.324534371209401</v>
      </c>
      <c r="AI3528">
        <v>95.114012376282403</v>
      </c>
      <c r="AJ3528">
        <v>92.435879400200704</v>
      </c>
      <c r="AK3528">
        <v>12.3849817085509</v>
      </c>
      <c r="AL3528">
        <v>87.867570791996897</v>
      </c>
      <c r="AM3528">
        <v>87.509221505780104</v>
      </c>
      <c r="AN3528">
        <v>1.0000000232833299</v>
      </c>
    </row>
    <row r="3529" spans="1:40" x14ac:dyDescent="0.25">
      <c r="A3529" t="str">
        <f>"20190312151342787"</f>
        <v>20190312151342787</v>
      </c>
      <c r="B3529" t="str">
        <f>"1552374822783487"</f>
        <v>1552374822783487</v>
      </c>
      <c r="C3529" t="s">
        <v>40</v>
      </c>
      <c r="D3529">
        <v>4.4529189999999996</v>
      </c>
      <c r="E3529">
        <v>0.46276830000000002</v>
      </c>
      <c r="F3529" t="s">
        <v>42</v>
      </c>
      <c r="G3529">
        <v>-188.81890000000001</v>
      </c>
      <c r="H3529" s="1">
        <v>-3.9051930000000003E-6</v>
      </c>
      <c r="I3529">
        <v>178.2475</v>
      </c>
      <c r="J3529">
        <v>-187.78809999999999</v>
      </c>
      <c r="K3529">
        <v>1.104611</v>
      </c>
      <c r="L3529">
        <v>190.86240000000001</v>
      </c>
      <c r="M3529">
        <v>-0.138076799999999</v>
      </c>
      <c r="N3529">
        <v>0</v>
      </c>
      <c r="O3529">
        <v>-0.99030819999999997</v>
      </c>
      <c r="P3529">
        <v>-0.17155509999999999</v>
      </c>
      <c r="Q3529">
        <v>2.1585050000000001E-2</v>
      </c>
      <c r="R3529">
        <v>-0.98493839999999999</v>
      </c>
      <c r="S3529">
        <v>-0.25083919999999998</v>
      </c>
      <c r="T3529">
        <v>-0.2578146</v>
      </c>
      <c r="U3529">
        <v>-3.0088810000000001</v>
      </c>
      <c r="V3529">
        <v>3.4383829999999997E-2</v>
      </c>
      <c r="W3529">
        <v>3.6108580000000001E-2</v>
      </c>
      <c r="X3529">
        <v>0.99875619999999998</v>
      </c>
      <c r="Y3529">
        <v>-5.5628440000000001E-2</v>
      </c>
      <c r="Z3529">
        <v>8.3938949999999998E-2</v>
      </c>
      <c r="AA3529">
        <v>0.99491700000000005</v>
      </c>
      <c r="AB3529">
        <v>28</v>
      </c>
      <c r="AC3529">
        <v>-1.0308000000000199</v>
      </c>
      <c r="AD3529">
        <v>-1.1046149051930001</v>
      </c>
      <c r="AE3529">
        <v>-12.6149</v>
      </c>
      <c r="AF3529">
        <v>-0.71564544595625401</v>
      </c>
      <c r="AG3529">
        <v>-1.1046149051930001</v>
      </c>
      <c r="AH3529">
        <v>12.540867374814299</v>
      </c>
      <c r="AI3529">
        <v>95.025557338479601</v>
      </c>
      <c r="AJ3529">
        <v>93.266045403758795</v>
      </c>
      <c r="AK3529">
        <v>12.6097453188308</v>
      </c>
      <c r="AL3529">
        <v>87.9306809475422</v>
      </c>
      <c r="AM3529">
        <v>88.028276972047905</v>
      </c>
      <c r="AN3529">
        <v>1.00000001217676</v>
      </c>
    </row>
    <row r="3530" spans="1:40" x14ac:dyDescent="0.25">
      <c r="A3530" t="str">
        <f>"20190312151342811"</f>
        <v>20190312151342811</v>
      </c>
      <c r="B3530" t="str">
        <f>"1552374822803983"</f>
        <v>1552374822803983</v>
      </c>
      <c r="C3530" t="s">
        <v>40</v>
      </c>
      <c r="D3530">
        <v>4.3493620000000002</v>
      </c>
      <c r="E3530">
        <v>0.46044420000000003</v>
      </c>
      <c r="F3530" t="s">
        <v>42</v>
      </c>
      <c r="G3530">
        <v>-188.77680000000001</v>
      </c>
      <c r="H3530" s="1">
        <v>-3.7231060000000001E-6</v>
      </c>
      <c r="I3530">
        <v>177.8056</v>
      </c>
      <c r="J3530">
        <v>-187.83590000000001</v>
      </c>
      <c r="K3530">
        <v>1.1052360000000001</v>
      </c>
      <c r="L3530">
        <v>190.5728</v>
      </c>
      <c r="M3530">
        <v>-0.14440829999999999</v>
      </c>
      <c r="N3530">
        <v>0</v>
      </c>
      <c r="O3530">
        <v>-0.98940609999999996</v>
      </c>
      <c r="P3530">
        <v>-0.1697545</v>
      </c>
      <c r="Q3530">
        <v>2.172704E-2</v>
      </c>
      <c r="R3530">
        <v>-0.98524699999999998</v>
      </c>
      <c r="S3530">
        <v>-0.22805790000000001</v>
      </c>
      <c r="T3530">
        <v>-0.25479560000000001</v>
      </c>
      <c r="U3530">
        <v>-3.0117340000000001</v>
      </c>
      <c r="V3530">
        <v>2.611277E-2</v>
      </c>
      <c r="W3530">
        <v>3.6302050000000002E-2</v>
      </c>
      <c r="X3530">
        <v>0.99899970000000005</v>
      </c>
      <c r="Y3530">
        <v>-6.9557899999999895E-2</v>
      </c>
      <c r="Z3530">
        <v>8.2759150000000004E-2</v>
      </c>
      <c r="AA3530">
        <v>0.99413910000000005</v>
      </c>
      <c r="AB3530">
        <v>28</v>
      </c>
      <c r="AC3530">
        <v>-0.94089999999999896</v>
      </c>
      <c r="AD3530">
        <v>-1.105239723106</v>
      </c>
      <c r="AE3530">
        <v>-12.767200000000001</v>
      </c>
      <c r="AF3530">
        <v>-0.90610490208557903</v>
      </c>
      <c r="AG3530">
        <v>-1.105239723106</v>
      </c>
      <c r="AH3530">
        <v>12.674762287868001</v>
      </c>
      <c r="AI3530">
        <v>94.970965576563202</v>
      </c>
      <c r="AJ3530">
        <v>94.089056189116903</v>
      </c>
      <c r="AK3530">
        <v>12.755084476124599</v>
      </c>
      <c r="AL3530">
        <v>87.919588756363396</v>
      </c>
      <c r="AM3530">
        <v>88.502691335128404</v>
      </c>
      <c r="AN3530">
        <v>1.00000005809568</v>
      </c>
    </row>
    <row r="3531" spans="1:40" x14ac:dyDescent="0.25">
      <c r="A3531" t="str">
        <f>"20190312151342835"</f>
        <v>20190312151342835</v>
      </c>
      <c r="B3531" t="str">
        <f>"1552374822823503"</f>
        <v>1552374822823503</v>
      </c>
      <c r="C3531" t="s">
        <v>40</v>
      </c>
      <c r="D3531">
        <v>4.329993</v>
      </c>
      <c r="E3531">
        <v>0.45928289999999999</v>
      </c>
      <c r="F3531" t="s">
        <v>42</v>
      </c>
      <c r="G3531">
        <v>-188.71789999999999</v>
      </c>
      <c r="H3531" s="1">
        <v>-3.6153599999999999E-6</v>
      </c>
      <c r="I3531">
        <v>177.5301</v>
      </c>
      <c r="J3531">
        <v>-187.8854</v>
      </c>
      <c r="K3531">
        <v>1.105818</v>
      </c>
      <c r="L3531">
        <v>190.27930000000001</v>
      </c>
      <c r="M3531">
        <v>-0.15003259999999999</v>
      </c>
      <c r="N3531">
        <v>0</v>
      </c>
      <c r="O3531">
        <v>-0.98857039999999996</v>
      </c>
      <c r="P3531">
        <v>-0.16850499999999999</v>
      </c>
      <c r="Q3531">
        <v>2.1569729999999999E-2</v>
      </c>
      <c r="R3531">
        <v>-0.98546500000000004</v>
      </c>
      <c r="S3531">
        <v>-0.20390320000000001</v>
      </c>
      <c r="T3531">
        <v>-0.25552859999999999</v>
      </c>
      <c r="U3531">
        <v>-3.0154269999999999</v>
      </c>
      <c r="V3531">
        <v>1.910827E-2</v>
      </c>
      <c r="W3531">
        <v>3.6160989999999997E-2</v>
      </c>
      <c r="X3531">
        <v>0.99916329999999998</v>
      </c>
      <c r="Y3531">
        <v>-8.3238179999999995E-2</v>
      </c>
      <c r="Z3531">
        <v>8.2768399999999895E-2</v>
      </c>
      <c r="AA3531">
        <v>0.99308649999999998</v>
      </c>
      <c r="AB3531">
        <v>28</v>
      </c>
      <c r="AC3531">
        <v>-0.83249999999998103</v>
      </c>
      <c r="AD3531">
        <v>-1.10582161536</v>
      </c>
      <c r="AE3531">
        <v>-12.7492</v>
      </c>
      <c r="AF3531">
        <v>-1.08182573431854</v>
      </c>
      <c r="AG3531">
        <v>-1.10582161536</v>
      </c>
      <c r="AH3531">
        <v>12.635123153224701</v>
      </c>
      <c r="AI3531">
        <v>94.983620711923095</v>
      </c>
      <c r="AJ3531">
        <v>94.893758852640005</v>
      </c>
      <c r="AK3531">
        <v>12.729474673433501</v>
      </c>
      <c r="AL3531">
        <v>87.927676132978704</v>
      </c>
      <c r="AM3531">
        <v>88.904393524712006</v>
      </c>
      <c r="AN3531">
        <v>1.0000000216235301</v>
      </c>
    </row>
    <row r="3532" spans="1:40" x14ac:dyDescent="0.25">
      <c r="A3532" t="str">
        <f>"20190312151342856"</f>
        <v>20190312151342856</v>
      </c>
      <c r="B3532" t="str">
        <f>"1552374822854267"</f>
        <v>1552374822854267</v>
      </c>
      <c r="C3532" t="s">
        <v>40</v>
      </c>
      <c r="D3532">
        <v>4.3008150000000001</v>
      </c>
      <c r="E3532">
        <v>0.4585263</v>
      </c>
      <c r="F3532" t="s">
        <v>42</v>
      </c>
      <c r="G3532">
        <v>-188.7182</v>
      </c>
      <c r="H3532" s="1">
        <v>-3.420772E-6</v>
      </c>
      <c r="I3532">
        <v>177.07669999999999</v>
      </c>
      <c r="J3532">
        <v>-187.9289</v>
      </c>
      <c r="K3532">
        <v>1.106311</v>
      </c>
      <c r="L3532">
        <v>190.0256</v>
      </c>
      <c r="M3532">
        <v>-0.15420349999999999</v>
      </c>
      <c r="N3532">
        <v>0</v>
      </c>
      <c r="O3532">
        <v>-0.98792950000000002</v>
      </c>
      <c r="P3532">
        <v>-0.16593569999999999</v>
      </c>
      <c r="Q3532">
        <v>2.03079E-2</v>
      </c>
      <c r="R3532">
        <v>-0.98592769999999996</v>
      </c>
      <c r="S3532">
        <v>-0.19030759999999999</v>
      </c>
      <c r="T3532">
        <v>-0.25271589999999999</v>
      </c>
      <c r="U3532">
        <v>-3.0172270000000001</v>
      </c>
      <c r="V3532">
        <v>1.222461E-2</v>
      </c>
      <c r="W3532">
        <v>3.4908660000000001E-2</v>
      </c>
      <c r="X3532">
        <v>0.99931570000000003</v>
      </c>
      <c r="Y3532">
        <v>-9.193076E-2</v>
      </c>
      <c r="Z3532">
        <v>8.1715109999999994E-2</v>
      </c>
      <c r="AA3532">
        <v>0.99240680000000003</v>
      </c>
      <c r="AB3532">
        <v>28</v>
      </c>
      <c r="AC3532">
        <v>-0.789299999999997</v>
      </c>
      <c r="AD3532">
        <v>-1.1063144207719999</v>
      </c>
      <c r="AE3532">
        <v>-12.9489</v>
      </c>
      <c r="AF3532">
        <v>-1.20833718653039</v>
      </c>
      <c r="AG3532">
        <v>-1.1063144207719999</v>
      </c>
      <c r="AH3532">
        <v>12.8224611560714</v>
      </c>
      <c r="AI3532">
        <v>94.909589749599107</v>
      </c>
      <c r="AJ3532">
        <v>95.383425772435103</v>
      </c>
      <c r="AK3532">
        <v>12.9266979717528</v>
      </c>
      <c r="AL3532">
        <v>87.999474585469002</v>
      </c>
      <c r="AM3532">
        <v>89.299136775202797</v>
      </c>
      <c r="AN3532">
        <v>0.99999996194956797</v>
      </c>
    </row>
    <row r="3533" spans="1:40" x14ac:dyDescent="0.25">
      <c r="A3533" t="str">
        <f>"20190312151342877"</f>
        <v>20190312151342877</v>
      </c>
      <c r="B3533" t="str">
        <f>"1552374822873786"</f>
        <v>1552374822873786</v>
      </c>
      <c r="C3533" t="s">
        <v>40</v>
      </c>
      <c r="D3533">
        <v>4.2574249999999996</v>
      </c>
      <c r="E3533">
        <v>0.45810109999999898</v>
      </c>
      <c r="F3533" t="s">
        <v>42</v>
      </c>
      <c r="G3533">
        <v>-188.70269999999999</v>
      </c>
      <c r="H3533" s="1">
        <v>-3.266003E-6</v>
      </c>
      <c r="I3533">
        <v>176.70949999999999</v>
      </c>
      <c r="J3533">
        <v>-187.97499999999999</v>
      </c>
      <c r="K3533">
        <v>1.1068639999999901</v>
      </c>
      <c r="L3533">
        <v>189.75980000000001</v>
      </c>
      <c r="M3533">
        <v>-0.15786439999999999</v>
      </c>
      <c r="N3533">
        <v>0</v>
      </c>
      <c r="O3533">
        <v>-0.98735229999999996</v>
      </c>
      <c r="P3533">
        <v>-0.16253870000000001</v>
      </c>
      <c r="Q3533">
        <v>2.0197079999999999E-2</v>
      </c>
      <c r="R3533">
        <v>-0.98649560000000003</v>
      </c>
      <c r="S3533">
        <v>-0.17539979999999999</v>
      </c>
      <c r="T3533">
        <v>-0.25077529999999998</v>
      </c>
      <c r="U3533">
        <v>-3.0184479999999998</v>
      </c>
      <c r="V3533">
        <v>5.0277619999999999E-3</v>
      </c>
      <c r="W3533">
        <v>3.4792379999999998E-2</v>
      </c>
      <c r="X3533">
        <v>0.99938190000000005</v>
      </c>
      <c r="Y3533">
        <v>-0.1005231</v>
      </c>
      <c r="Z3533">
        <v>8.0965280000000001E-2</v>
      </c>
      <c r="AA3533">
        <v>0.99163480000000004</v>
      </c>
      <c r="AB3533">
        <v>27</v>
      </c>
      <c r="AC3533">
        <v>-0.72769999999999802</v>
      </c>
      <c r="AD3533">
        <v>-1.1068672660029999</v>
      </c>
      <c r="AE3533">
        <v>-13.0503</v>
      </c>
      <c r="AF3533">
        <v>-1.3322710703429801</v>
      </c>
      <c r="AG3533">
        <v>-1.1068672660029999</v>
      </c>
      <c r="AH3533">
        <v>12.908939894480399</v>
      </c>
      <c r="AI3533">
        <v>94.875028072154194</v>
      </c>
      <c r="AJ3533">
        <v>95.892366929362595</v>
      </c>
      <c r="AK3533">
        <v>13.024624007960099</v>
      </c>
      <c r="AL3533">
        <v>88.006141034689406</v>
      </c>
      <c r="AM3533">
        <v>89.711754722875895</v>
      </c>
      <c r="AN3533">
        <v>0.999999985072201</v>
      </c>
    </row>
    <row r="3534" spans="1:40" x14ac:dyDescent="0.25">
      <c r="A3534" t="str">
        <f>"20190312151342899"</f>
        <v>20190312151342899</v>
      </c>
      <c r="B3534" t="str">
        <f>"1552374822894282"</f>
        <v>1552374822894282</v>
      </c>
      <c r="C3534" t="s">
        <v>40</v>
      </c>
      <c r="D3534">
        <v>4.2528309999999996</v>
      </c>
      <c r="E3534">
        <v>0.45762380000000003</v>
      </c>
      <c r="F3534" t="s">
        <v>42</v>
      </c>
      <c r="G3534">
        <v>-188.69390000000001</v>
      </c>
      <c r="H3534" s="1">
        <v>-3.0907630000000002E-6</v>
      </c>
      <c r="I3534">
        <v>176.29740000000001</v>
      </c>
      <c r="J3534">
        <v>-188.01929999999999</v>
      </c>
      <c r="K3534">
        <v>1.1074379999999999</v>
      </c>
      <c r="L3534">
        <v>189.50559999999999</v>
      </c>
      <c r="M3534">
        <v>-0.16069339999999999</v>
      </c>
      <c r="N3534">
        <v>0</v>
      </c>
      <c r="O3534">
        <v>-0.98689689999999997</v>
      </c>
      <c r="P3534">
        <v>-0.15842339999999999</v>
      </c>
      <c r="Q3534">
        <v>2.1271100000000001E-2</v>
      </c>
      <c r="R3534">
        <v>-0.98714239999999998</v>
      </c>
      <c r="S3534">
        <v>-0.16123959999999901</v>
      </c>
      <c r="T3534">
        <v>-0.2482673</v>
      </c>
      <c r="U3534">
        <v>-3.019577</v>
      </c>
      <c r="V3534">
        <v>-2.0436640000000002E-3</v>
      </c>
      <c r="W3534">
        <v>3.5849819999999998E-2</v>
      </c>
      <c r="X3534">
        <v>0.99935510000000005</v>
      </c>
      <c r="Y3534">
        <v>-0.1080246</v>
      </c>
      <c r="Z3534">
        <v>8.0053280000000004E-2</v>
      </c>
      <c r="AA3534">
        <v>0.99091980000000002</v>
      </c>
      <c r="AB3534">
        <v>27</v>
      </c>
      <c r="AC3534">
        <v>-0.67460000000002596</v>
      </c>
      <c r="AD3534">
        <v>-1.1074410907629999</v>
      </c>
      <c r="AE3534">
        <v>-13.2081999999999</v>
      </c>
      <c r="AF3534">
        <v>-1.44672050234148</v>
      </c>
      <c r="AG3534">
        <v>-1.1074410907629999</v>
      </c>
      <c r="AH3534">
        <v>13.05340336872</v>
      </c>
      <c r="AI3534">
        <v>94.819946952650497</v>
      </c>
      <c r="AJ3534">
        <v>96.324332391645299</v>
      </c>
      <c r="AK3534">
        <v>13.179937992567201</v>
      </c>
      <c r="AL3534">
        <v>87.945516385774397</v>
      </c>
      <c r="AM3534">
        <v>90.117168720824907</v>
      </c>
      <c r="AN3534">
        <v>1.0000000010262899</v>
      </c>
    </row>
    <row r="3535" spans="1:40" x14ac:dyDescent="0.25">
      <c r="A3535" t="str">
        <f>"20190312151342922"</f>
        <v>20190312151342922</v>
      </c>
      <c r="B3535" t="str">
        <f>"1552374822913802"</f>
        <v>1552374822913802</v>
      </c>
      <c r="C3535" t="s">
        <v>40</v>
      </c>
      <c r="D3535">
        <v>4.2367599999999896</v>
      </c>
      <c r="E3535">
        <v>0.45712799999999998</v>
      </c>
      <c r="F3535" t="s">
        <v>42</v>
      </c>
      <c r="G3535">
        <v>-188.6797</v>
      </c>
      <c r="H3535" s="1">
        <v>-2.833144E-6</v>
      </c>
      <c r="I3535">
        <v>175.69099999999901</v>
      </c>
      <c r="J3535">
        <v>-188.0694</v>
      </c>
      <c r="K3535">
        <v>1.1081190000000001</v>
      </c>
      <c r="L3535">
        <v>189.21879999999999</v>
      </c>
      <c r="M3535">
        <v>-0.1631369</v>
      </c>
      <c r="N3535">
        <v>0</v>
      </c>
      <c r="O3535">
        <v>-0.98649699999999996</v>
      </c>
      <c r="P3535">
        <v>-0.15504960000000001</v>
      </c>
      <c r="Q3535">
        <v>2.3139110000000001E-2</v>
      </c>
      <c r="R3535">
        <v>-0.98763599999999996</v>
      </c>
      <c r="S3535">
        <v>-0.14442439999999901</v>
      </c>
      <c r="T3535">
        <v>-0.24218609999999999</v>
      </c>
      <c r="U3535">
        <v>-3.021118</v>
      </c>
      <c r="V3535">
        <v>-7.9763290000000008E-3</v>
      </c>
      <c r="W3535">
        <v>3.7672009999999999E-2</v>
      </c>
      <c r="X3535">
        <v>0.99925830000000004</v>
      </c>
      <c r="Y3535">
        <v>-0.116003</v>
      </c>
      <c r="Z3535">
        <v>7.7992249999999999E-2</v>
      </c>
      <c r="AA3535">
        <v>0.99018200000000001</v>
      </c>
      <c r="AB3535">
        <v>27</v>
      </c>
      <c r="AC3535">
        <v>-0.61029999999999496</v>
      </c>
      <c r="AD3535">
        <v>-1.1081218331439999</v>
      </c>
      <c r="AE3535">
        <v>-13.527799999999999</v>
      </c>
      <c r="AF3535">
        <v>-1.5943166961881701</v>
      </c>
      <c r="AG3535">
        <v>-1.1081218331439999</v>
      </c>
      <c r="AH3535">
        <v>13.356667802597199</v>
      </c>
      <c r="AI3535">
        <v>94.709343860571906</v>
      </c>
      <c r="AJ3535">
        <v>96.806896105239602</v>
      </c>
      <c r="AK3535">
        <v>13.497049844828</v>
      </c>
      <c r="AL3535">
        <v>87.841041905735395</v>
      </c>
      <c r="AM3535">
        <v>90.457339490449499</v>
      </c>
      <c r="AN3535">
        <v>0.99999997614032199</v>
      </c>
    </row>
    <row r="3536" spans="1:40" x14ac:dyDescent="0.25">
      <c r="A3536" t="str">
        <f>"20190312151342943"</f>
        <v>20190312151342943</v>
      </c>
      <c r="B3536" t="str">
        <f>"1552374822933833"</f>
        <v>1552374822933833</v>
      </c>
      <c r="C3536" t="s">
        <v>40</v>
      </c>
      <c r="D3536">
        <v>4.2790280000000003</v>
      </c>
      <c r="E3536">
        <v>0.45671840000000002</v>
      </c>
      <c r="F3536" t="s">
        <v>42</v>
      </c>
      <c r="G3536">
        <v>-188.6824</v>
      </c>
      <c r="H3536" s="1">
        <v>-2.499569E-6</v>
      </c>
      <c r="I3536">
        <v>174.9145</v>
      </c>
      <c r="J3536">
        <v>-188.11420000000001</v>
      </c>
      <c r="K3536">
        <v>1.1087119999999999</v>
      </c>
      <c r="L3536">
        <v>188.9607</v>
      </c>
      <c r="M3536">
        <v>-0.164632</v>
      </c>
      <c r="N3536">
        <v>0</v>
      </c>
      <c r="O3536">
        <v>-0.98624959999999995</v>
      </c>
      <c r="P3536">
        <v>-0.15112600000000001</v>
      </c>
      <c r="Q3536">
        <v>2.459824E-2</v>
      </c>
      <c r="R3536">
        <v>-0.98820850000000005</v>
      </c>
      <c r="S3536">
        <v>-0.1295471</v>
      </c>
      <c r="T3536">
        <v>-0.2341628</v>
      </c>
      <c r="U3536">
        <v>-3.0227050000000002</v>
      </c>
      <c r="V3536">
        <v>-1.3503609999999999E-2</v>
      </c>
      <c r="W3536">
        <v>3.9083359999999998E-2</v>
      </c>
      <c r="X3536">
        <v>0.9991447</v>
      </c>
      <c r="Y3536">
        <v>-0.1223853</v>
      </c>
      <c r="Z3536">
        <v>7.5334529999999997E-2</v>
      </c>
      <c r="AA3536">
        <v>0.98961940000000004</v>
      </c>
      <c r="AB3536">
        <v>27</v>
      </c>
      <c r="AC3536">
        <v>-0.56819999999999005</v>
      </c>
      <c r="AD3536">
        <v>-1.1087144995689999</v>
      </c>
      <c r="AE3536">
        <v>-14.046200000000001</v>
      </c>
      <c r="AF3536">
        <v>-1.7414171011155599</v>
      </c>
      <c r="AG3536">
        <v>-1.1087144995689999</v>
      </c>
      <c r="AH3536">
        <v>13.861829121179699</v>
      </c>
      <c r="AI3536">
        <v>94.537454706888596</v>
      </c>
      <c r="AJ3536">
        <v>97.160373560411401</v>
      </c>
      <c r="AK3536">
        <v>14.014709698969799</v>
      </c>
      <c r="AL3536">
        <v>87.7601179224161</v>
      </c>
      <c r="AM3536">
        <v>90.774315030042104</v>
      </c>
      <c r="AN3536">
        <v>0.99999999402500495</v>
      </c>
    </row>
    <row r="3537" spans="1:40" x14ac:dyDescent="0.25">
      <c r="A3537" t="str">
        <f>"20190312151342967"</f>
        <v>20190312151342967</v>
      </c>
      <c r="B3537" t="str">
        <f>"1552374822964085"</f>
        <v>1552374822964085</v>
      </c>
      <c r="C3537" t="s">
        <v>40</v>
      </c>
      <c r="D3537">
        <v>4.2856730000000001</v>
      </c>
      <c r="E3537">
        <v>0.4562234</v>
      </c>
      <c r="F3537" t="s">
        <v>42</v>
      </c>
      <c r="G3537">
        <v>-188.66829999999999</v>
      </c>
      <c r="H3537" s="1">
        <v>-2.2177240000000002E-6</v>
      </c>
      <c r="I3537">
        <v>174.2517</v>
      </c>
      <c r="J3537">
        <v>-188.16130000000001</v>
      </c>
      <c r="K3537">
        <v>1.109305</v>
      </c>
      <c r="L3537">
        <v>188.68700000000001</v>
      </c>
      <c r="M3537">
        <v>-0.1654996</v>
      </c>
      <c r="N3537">
        <v>0</v>
      </c>
      <c r="O3537">
        <v>-0.9861048</v>
      </c>
      <c r="P3537">
        <v>-0.1476806</v>
      </c>
      <c r="Q3537">
        <v>2.5332239999999999E-2</v>
      </c>
      <c r="R3537">
        <v>-0.98871070000000005</v>
      </c>
      <c r="S3537">
        <v>-0.1139221</v>
      </c>
      <c r="T3537">
        <v>-0.2279418</v>
      </c>
      <c r="U3537">
        <v>-3.0240330000000002</v>
      </c>
      <c r="V3537">
        <v>-1.791711E-2</v>
      </c>
      <c r="W3537">
        <v>3.9755180000000001E-2</v>
      </c>
      <c r="X3537">
        <v>0.99904879999999996</v>
      </c>
      <c r="Y3537">
        <v>-0.12837380000000001</v>
      </c>
      <c r="Z3537">
        <v>7.3275030000000005E-2</v>
      </c>
      <c r="AA3537">
        <v>0.98901519999999998</v>
      </c>
      <c r="AB3537">
        <v>27</v>
      </c>
      <c r="AC3537">
        <v>-0.50699999999997603</v>
      </c>
      <c r="AD3537">
        <v>-1.109307217724</v>
      </c>
      <c r="AE3537">
        <v>-14.4353</v>
      </c>
      <c r="AF3537">
        <v>-1.87819906593676</v>
      </c>
      <c r="AG3537">
        <v>-1.109307217724</v>
      </c>
      <c r="AH3537">
        <v>14.236143527565501</v>
      </c>
      <c r="AI3537">
        <v>94.417466327959602</v>
      </c>
      <c r="AJ3537">
        <v>97.515725782794902</v>
      </c>
      <c r="AK3537">
        <v>14.4022906779451</v>
      </c>
      <c r="AL3537">
        <v>87.721595545505593</v>
      </c>
      <c r="AM3537">
        <v>91.027442047587897</v>
      </c>
      <c r="AN3537">
        <v>1.00000000097451</v>
      </c>
    </row>
    <row r="3538" spans="1:40" x14ac:dyDescent="0.25">
      <c r="A3538" t="str">
        <f>"20190312151342990"</f>
        <v>20190312151342990</v>
      </c>
      <c r="B3538" t="str">
        <f>"1552374822983608"</f>
        <v>1552374822983608</v>
      </c>
      <c r="C3538" t="s">
        <v>40</v>
      </c>
      <c r="D3538">
        <v>4.2560560000000001</v>
      </c>
      <c r="E3538">
        <v>0.45586270000000001</v>
      </c>
      <c r="F3538" t="s">
        <v>42</v>
      </c>
      <c r="G3538">
        <v>-188.6491</v>
      </c>
      <c r="H3538" s="1">
        <v>-1.9899330000000001E-6</v>
      </c>
      <c r="I3538">
        <v>173.71279999999999</v>
      </c>
      <c r="J3538">
        <v>-188.20920000000001</v>
      </c>
      <c r="K3538">
        <v>1.109858</v>
      </c>
      <c r="L3538">
        <v>188.405</v>
      </c>
      <c r="M3538">
        <v>-0.1656328</v>
      </c>
      <c r="N3538">
        <v>0</v>
      </c>
      <c r="O3538">
        <v>-0.9860833</v>
      </c>
      <c r="P3538">
        <v>-0.1428555</v>
      </c>
      <c r="Q3538">
        <v>2.6826719999999998E-2</v>
      </c>
      <c r="R3538">
        <v>-0.98938009999999998</v>
      </c>
      <c r="S3538">
        <v>-9.8556519999999995E-2</v>
      </c>
      <c r="T3538">
        <v>-0.22411819999999999</v>
      </c>
      <c r="U3538">
        <v>-3.0253139999999998</v>
      </c>
      <c r="V3538">
        <v>-2.297186E-2</v>
      </c>
      <c r="W3538">
        <v>4.1183089999999999E-2</v>
      </c>
      <c r="X3538">
        <v>0.99888750000000004</v>
      </c>
      <c r="Y3538">
        <v>-0.1335355</v>
      </c>
      <c r="Z3538">
        <v>7.2000759999999997E-2</v>
      </c>
      <c r="AA3538">
        <v>0.98842509999999995</v>
      </c>
      <c r="AB3538">
        <v>27</v>
      </c>
      <c r="AC3538">
        <v>-0.43989999999999402</v>
      </c>
      <c r="AD3538">
        <v>-1.1098599899329999</v>
      </c>
      <c r="AE3538">
        <v>-14.6922</v>
      </c>
      <c r="AF3538">
        <v>-1.9886000884042401</v>
      </c>
      <c r="AG3538">
        <v>-1.1098599899329999</v>
      </c>
      <c r="AH3538">
        <v>14.4795391330318</v>
      </c>
      <c r="AI3538">
        <v>94.342558937989295</v>
      </c>
      <c r="AJ3538">
        <v>97.820002133753206</v>
      </c>
      <c r="AK3538">
        <v>14.6575363896479</v>
      </c>
      <c r="AL3538">
        <v>87.639715231787093</v>
      </c>
      <c r="AM3538">
        <v>91.317424296987795</v>
      </c>
      <c r="AN3538">
        <v>0.99999999545502805</v>
      </c>
    </row>
    <row r="3539" spans="1:40" x14ac:dyDescent="0.25">
      <c r="A3539" t="str">
        <f>"20190312151343012"</f>
        <v>20190312151343012</v>
      </c>
      <c r="B3539" t="str">
        <f>"1552374823004101"</f>
        <v>1552374823004101</v>
      </c>
      <c r="C3539" t="s">
        <v>40</v>
      </c>
      <c r="D3539">
        <v>4.2602270000000004</v>
      </c>
      <c r="E3539">
        <v>0.4555766</v>
      </c>
      <c r="F3539" t="s">
        <v>42</v>
      </c>
      <c r="G3539">
        <v>-188.61330000000001</v>
      </c>
      <c r="H3539" s="1">
        <v>-1.7484859999999999E-6</v>
      </c>
      <c r="I3539">
        <v>173.13509999999999</v>
      </c>
      <c r="J3539">
        <v>-188.25370000000001</v>
      </c>
      <c r="K3539">
        <v>1.1102939999999999</v>
      </c>
      <c r="L3539">
        <v>188.1405</v>
      </c>
      <c r="M3539">
        <v>-0.16524249999999999</v>
      </c>
      <c r="N3539">
        <v>0</v>
      </c>
      <c r="O3539">
        <v>-0.98614919999999995</v>
      </c>
      <c r="P3539">
        <v>-0.1379331</v>
      </c>
      <c r="Q3539">
        <v>2.81485E-2</v>
      </c>
      <c r="R3539">
        <v>-0.99004159999999997</v>
      </c>
      <c r="S3539">
        <v>-8.0078129999999997E-2</v>
      </c>
      <c r="T3539">
        <v>-0.21998180000000001</v>
      </c>
      <c r="U3539">
        <v>-3.0265960000000001</v>
      </c>
      <c r="V3539">
        <v>-2.7582220000000001E-2</v>
      </c>
      <c r="W3539">
        <v>4.2440840000000001E-2</v>
      </c>
      <c r="X3539">
        <v>0.9987182</v>
      </c>
      <c r="Y3539">
        <v>-0.1391812</v>
      </c>
      <c r="Z3539">
        <v>7.0634069999999993E-2</v>
      </c>
      <c r="AA3539">
        <v>0.98774459999999997</v>
      </c>
      <c r="AB3539">
        <v>27</v>
      </c>
      <c r="AC3539">
        <v>-0.35959999999999998</v>
      </c>
      <c r="AD3539">
        <v>-1.1102957484860001</v>
      </c>
      <c r="AE3539">
        <v>-15.0054</v>
      </c>
      <c r="AF3539">
        <v>-2.1135629807530401</v>
      </c>
      <c r="AG3539">
        <v>-1.1102957484860001</v>
      </c>
      <c r="AH3539">
        <v>14.777644238110501</v>
      </c>
      <c r="AI3539">
        <v>94.253633421013106</v>
      </c>
      <c r="AJ3539">
        <v>98.139490865057198</v>
      </c>
      <c r="AK3539">
        <v>14.9692576419432</v>
      </c>
      <c r="AL3539">
        <v>87.567588452858601</v>
      </c>
      <c r="AM3539">
        <v>91.581970956067195</v>
      </c>
      <c r="AN3539">
        <v>1.0000000233856301</v>
      </c>
    </row>
    <row r="3540" spans="1:40" x14ac:dyDescent="0.25">
      <c r="A3540" t="str">
        <f>"20190312151343035"</f>
        <v>20190312151343035</v>
      </c>
      <c r="B3540" t="str">
        <f>"1552374823023622"</f>
        <v>1552374823023622</v>
      </c>
      <c r="C3540" t="s">
        <v>40</v>
      </c>
      <c r="D3540">
        <v>4.2992119999999998</v>
      </c>
      <c r="E3540">
        <v>0.455372</v>
      </c>
      <c r="F3540" t="s">
        <v>42</v>
      </c>
      <c r="G3540">
        <v>-188.5744</v>
      </c>
      <c r="H3540" s="1">
        <v>-1.5715919999999999E-6</v>
      </c>
      <c r="I3540">
        <v>172.70670000000001</v>
      </c>
      <c r="J3540">
        <v>-188.2989</v>
      </c>
      <c r="K3540">
        <v>1.1106799999999999</v>
      </c>
      <c r="L3540">
        <v>187.8672</v>
      </c>
      <c r="M3540">
        <v>-0.16434360000000001</v>
      </c>
      <c r="N3540">
        <v>0</v>
      </c>
      <c r="O3540">
        <v>-0.98629979999999995</v>
      </c>
      <c r="P3540">
        <v>-0.1326282</v>
      </c>
      <c r="Q3540">
        <v>2.8535100000000001E-2</v>
      </c>
      <c r="R3540">
        <v>-0.9907551</v>
      </c>
      <c r="S3540">
        <v>-6.2911990000000001E-2</v>
      </c>
      <c r="T3540">
        <v>-0.2178022</v>
      </c>
      <c r="U3540">
        <v>-3.0275880000000002</v>
      </c>
      <c r="V3540">
        <v>-3.206088E-2</v>
      </c>
      <c r="W3540">
        <v>4.2759560000000002E-2</v>
      </c>
      <c r="X3540">
        <v>0.99857090000000004</v>
      </c>
      <c r="Y3540">
        <v>-0.1438817</v>
      </c>
      <c r="Z3540">
        <v>6.9911440000000005E-2</v>
      </c>
      <c r="AA3540">
        <v>0.98712230000000001</v>
      </c>
      <c r="AB3540">
        <v>27</v>
      </c>
      <c r="AC3540">
        <v>-0.27549999999999297</v>
      </c>
      <c r="AD3540">
        <v>-1.110681571592</v>
      </c>
      <c r="AE3540">
        <v>-15.1604999999999</v>
      </c>
      <c r="AF3540">
        <v>-2.2081839111802699</v>
      </c>
      <c r="AG3540">
        <v>-1.110681571592</v>
      </c>
      <c r="AH3540">
        <v>14.919553374368901</v>
      </c>
      <c r="AI3540">
        <v>94.211799565956596</v>
      </c>
      <c r="AJ3540">
        <v>98.419001141698899</v>
      </c>
      <c r="AK3540">
        <v>15.122921762335199</v>
      </c>
      <c r="AL3540">
        <v>87.549310642306494</v>
      </c>
      <c r="AM3540">
        <v>91.838950341322203</v>
      </c>
      <c r="AN3540">
        <v>1.0000000611622799</v>
      </c>
    </row>
    <row r="3541" spans="1:40" x14ac:dyDescent="0.25">
      <c r="A3541" t="str">
        <f>"20190312151343055"</f>
        <v>20190312151343055</v>
      </c>
      <c r="B3541" t="str">
        <f>"1552374823044118"</f>
        <v>1552374823044118</v>
      </c>
      <c r="C3541" t="s">
        <v>40</v>
      </c>
      <c r="D3541">
        <v>4.3086339999999996</v>
      </c>
      <c r="E3541">
        <v>0.45516040000000002</v>
      </c>
      <c r="F3541" t="s">
        <v>42</v>
      </c>
      <c r="G3541">
        <v>-188.52799999999999</v>
      </c>
      <c r="H3541" s="1">
        <v>-1.4608719999999999E-6</v>
      </c>
      <c r="I3541">
        <v>172.42939999999999</v>
      </c>
      <c r="J3541">
        <v>-188.33920000000001</v>
      </c>
      <c r="K3541">
        <v>1.1110100000000001</v>
      </c>
      <c r="L3541">
        <v>187.61940000000001</v>
      </c>
      <c r="M3541">
        <v>-0.1631088</v>
      </c>
      <c r="N3541">
        <v>0</v>
      </c>
      <c r="O3541">
        <v>-0.98650539999999998</v>
      </c>
      <c r="P3541">
        <v>-0.1283762</v>
      </c>
      <c r="Q3541">
        <v>2.7989130000000001E-2</v>
      </c>
      <c r="R3541">
        <v>-0.99133070000000001</v>
      </c>
      <c r="S3541">
        <v>-4.4937129999999999E-2</v>
      </c>
      <c r="T3541">
        <v>-0.21786920000000001</v>
      </c>
      <c r="U3541">
        <v>-3.0282439999999999</v>
      </c>
      <c r="V3541">
        <v>-3.5131870000000003E-2</v>
      </c>
      <c r="W3541">
        <v>4.2154039999999997E-2</v>
      </c>
      <c r="X3541">
        <v>0.99849330000000003</v>
      </c>
      <c r="Y3541">
        <v>-0.14850289999999999</v>
      </c>
      <c r="Z3541">
        <v>6.9918679999999997E-2</v>
      </c>
      <c r="AA3541">
        <v>0.98643709999999996</v>
      </c>
      <c r="AB3541">
        <v>27</v>
      </c>
      <c r="AC3541">
        <v>-0.18879999999998601</v>
      </c>
      <c r="AD3541">
        <v>-1.1110114608720001</v>
      </c>
      <c r="AE3541">
        <v>-15.19</v>
      </c>
      <c r="AF3541">
        <v>-2.27941056349438</v>
      </c>
      <c r="AG3541">
        <v>-1.1110114608720001</v>
      </c>
      <c r="AH3541">
        <v>14.937436406663499</v>
      </c>
      <c r="AI3541">
        <v>94.205191858622399</v>
      </c>
      <c r="AJ3541">
        <v>98.676242423709596</v>
      </c>
      <c r="AK3541">
        <v>15.1511407288783</v>
      </c>
      <c r="AL3541">
        <v>87.584035643263405</v>
      </c>
      <c r="AM3541">
        <v>92.015114022266602</v>
      </c>
      <c r="AN3541">
        <v>1.00000004076145</v>
      </c>
    </row>
    <row r="3542" spans="1:40" x14ac:dyDescent="0.25">
      <c r="A3542" t="str">
        <f>"20190312151343078"</f>
        <v>20190312151343078</v>
      </c>
      <c r="B3542" t="str">
        <f>"1552374823074374"</f>
        <v>1552374823074374</v>
      </c>
      <c r="C3542" t="s">
        <v>40</v>
      </c>
      <c r="D3542">
        <v>4.3167980000000004</v>
      </c>
      <c r="E3542">
        <v>0.45487670000000002</v>
      </c>
      <c r="F3542" t="s">
        <v>42</v>
      </c>
      <c r="G3542">
        <v>-188.49010000000001</v>
      </c>
      <c r="H3542" s="1">
        <v>-1.4345849999999901E-6</v>
      </c>
      <c r="I3542">
        <v>172.35249999999999</v>
      </c>
      <c r="J3542">
        <v>-188.38159999999999</v>
      </c>
      <c r="K3542">
        <v>1.111367</v>
      </c>
      <c r="L3542">
        <v>187.3536</v>
      </c>
      <c r="M3542">
        <v>-0.1613742</v>
      </c>
      <c r="N3542">
        <v>0</v>
      </c>
      <c r="O3542">
        <v>-0.98679110000000003</v>
      </c>
      <c r="P3542">
        <v>-0.1229711</v>
      </c>
      <c r="Q3542">
        <v>2.8102479999999999E-2</v>
      </c>
      <c r="R3542">
        <v>-0.99201240000000002</v>
      </c>
      <c r="S3542">
        <v>-2.9937740000000001E-2</v>
      </c>
      <c r="T3542">
        <v>-0.22039690000000001</v>
      </c>
      <c r="U3542">
        <v>-3.0285799999999998</v>
      </c>
      <c r="V3542">
        <v>-3.8855750000000001E-2</v>
      </c>
      <c r="W3542">
        <v>4.220169E-2</v>
      </c>
      <c r="X3542">
        <v>0.99835320000000005</v>
      </c>
      <c r="Y3542">
        <v>-0.15165020000000001</v>
      </c>
      <c r="Z3542">
        <v>7.0733480000000001E-2</v>
      </c>
      <c r="AA3542">
        <v>0.98590009999999995</v>
      </c>
      <c r="AB3542">
        <v>27</v>
      </c>
      <c r="AC3542">
        <v>-0.10850000000002</v>
      </c>
      <c r="AD3542">
        <v>-1.1113684345849999</v>
      </c>
      <c r="AE3542">
        <v>-15.001099999999999</v>
      </c>
      <c r="AF3542">
        <v>-2.3013264016003201</v>
      </c>
      <c r="AG3542">
        <v>-1.1113684345849999</v>
      </c>
      <c r="AH3542">
        <v>14.7410508356893</v>
      </c>
      <c r="AI3542">
        <v>94.260121118672998</v>
      </c>
      <c r="AJ3542">
        <v>98.873211802692197</v>
      </c>
      <c r="AK3542">
        <v>14.960943243808901</v>
      </c>
      <c r="AL3542">
        <v>87.581302804469004</v>
      </c>
      <c r="AM3542">
        <v>92.228817838369295</v>
      </c>
      <c r="AN3542">
        <v>0.99999993194857695</v>
      </c>
    </row>
    <row r="3543" spans="1:40" x14ac:dyDescent="0.25">
      <c r="A3543" t="str">
        <f>"20190312151343100"</f>
        <v>20190312151343100</v>
      </c>
      <c r="B3543" t="str">
        <f>"1552374823093895"</f>
        <v>1552374823093895</v>
      </c>
      <c r="C3543" t="s">
        <v>40</v>
      </c>
      <c r="D3543">
        <v>4.7259349999999998</v>
      </c>
      <c r="E3543">
        <v>0.45502429999999999</v>
      </c>
      <c r="F3543" t="s">
        <v>42</v>
      </c>
      <c r="G3543">
        <v>-188.4367</v>
      </c>
      <c r="H3543" s="1">
        <v>-1.3985109999999999E-6</v>
      </c>
      <c r="I3543">
        <v>172.24629999999999</v>
      </c>
      <c r="J3543">
        <v>-188.42240000000001</v>
      </c>
      <c r="K3543">
        <v>1.11171</v>
      </c>
      <c r="L3543">
        <v>187.09190000000001</v>
      </c>
      <c r="M3543">
        <v>-0.159292299999999</v>
      </c>
      <c r="N3543">
        <v>0</v>
      </c>
      <c r="O3543">
        <v>-0.98712960000000005</v>
      </c>
      <c r="P3543">
        <v>-0.115432199999999</v>
      </c>
      <c r="Q3543">
        <v>2.8415760000000002E-2</v>
      </c>
      <c r="R3543">
        <v>-0.99290929999999999</v>
      </c>
      <c r="S3543">
        <v>-1.1047360000000001E-2</v>
      </c>
      <c r="T3543">
        <v>-0.22283819999999999</v>
      </c>
      <c r="U3543">
        <v>-3.0291290000000002</v>
      </c>
      <c r="V3543">
        <v>-4.4369730000000003E-2</v>
      </c>
      <c r="W3543">
        <v>4.2443219999999997E-2</v>
      </c>
      <c r="X3543">
        <v>0.99811320000000003</v>
      </c>
      <c r="Y3543">
        <v>-0.15571370000000001</v>
      </c>
      <c r="Z3543">
        <v>7.1515099999999998E-2</v>
      </c>
      <c r="AA3543">
        <v>0.98521009999999998</v>
      </c>
      <c r="AB3543">
        <v>27</v>
      </c>
      <c r="AC3543">
        <v>-1.42999999999915E-2</v>
      </c>
      <c r="AD3543">
        <v>-1.1117113985110001</v>
      </c>
      <c r="AE3543">
        <v>-14.845599999999999</v>
      </c>
      <c r="AF3543">
        <v>-2.3378004431044701</v>
      </c>
      <c r="AG3543">
        <v>-1.1117113985110001</v>
      </c>
      <c r="AH3543">
        <v>14.576541632501799</v>
      </c>
      <c r="AI3543">
        <v>94.306519518299496</v>
      </c>
      <c r="AJ3543">
        <v>99.111560913970493</v>
      </c>
      <c r="AK3543">
        <v>14.8046201947033</v>
      </c>
      <c r="AL3543">
        <v>87.567451981873901</v>
      </c>
      <c r="AM3543">
        <v>92.545328209599703</v>
      </c>
      <c r="AN3543">
        <v>1.00000002993924</v>
      </c>
    </row>
    <row r="3544" spans="1:40" x14ac:dyDescent="0.25">
      <c r="A3544" t="str">
        <f>"20190312151343134"</f>
        <v>20190312151343134</v>
      </c>
      <c r="B3544" t="str">
        <f>"1552374823124150"</f>
        <v>1552374823124150</v>
      </c>
      <c r="C3544" t="s">
        <v>40</v>
      </c>
      <c r="D3544">
        <v>4.4780170000000004</v>
      </c>
      <c r="E3544">
        <v>0.5191268</v>
      </c>
      <c r="F3544" t="s">
        <v>42</v>
      </c>
      <c r="G3544">
        <v>-188.37260000000001</v>
      </c>
      <c r="H3544" s="1">
        <v>-1.319407E-6</v>
      </c>
      <c r="I3544">
        <v>172.03540000000001</v>
      </c>
      <c r="J3544">
        <v>-188.4837</v>
      </c>
      <c r="K3544">
        <v>1.1121730000000001</v>
      </c>
      <c r="L3544">
        <v>186.68510000000001</v>
      </c>
      <c r="M3544">
        <v>-0.15535760000000001</v>
      </c>
      <c r="N3544">
        <v>0</v>
      </c>
      <c r="O3544">
        <v>-0.98775650000000004</v>
      </c>
      <c r="P3544">
        <v>-0.1098606</v>
      </c>
      <c r="Q3544">
        <v>2.7607449999999999E-2</v>
      </c>
      <c r="R3544">
        <v>-0.99356369999999905</v>
      </c>
      <c r="S3544">
        <v>1.0009769999999999E-2</v>
      </c>
      <c r="T3544">
        <v>-0.2236485</v>
      </c>
      <c r="U3544">
        <v>-3.0289760000000001</v>
      </c>
      <c r="V3544">
        <v>-4.6040020000000001E-2</v>
      </c>
      <c r="W3544">
        <v>4.155756E-2</v>
      </c>
      <c r="X3544">
        <v>0.99807480000000004</v>
      </c>
      <c r="Y3544">
        <v>-0.1586255</v>
      </c>
      <c r="Z3544">
        <v>7.1829240000000003E-2</v>
      </c>
      <c r="AA3544">
        <v>0.9847226</v>
      </c>
      <c r="AB3544">
        <v>27</v>
      </c>
      <c r="AC3544">
        <v>0.111099999999993</v>
      </c>
      <c r="AD3544">
        <v>-1.112174319407</v>
      </c>
      <c r="AE3544">
        <v>-14.6496999999999</v>
      </c>
      <c r="AF3544">
        <v>-2.3722501722461602</v>
      </c>
      <c r="AG3544">
        <v>-1.112174319407</v>
      </c>
      <c r="AH3544">
        <v>14.371702817040999</v>
      </c>
      <c r="AI3544">
        <v>94.366245857028801</v>
      </c>
      <c r="AJ3544">
        <v>99.372952546444395</v>
      </c>
      <c r="AK3544">
        <v>14.6085709245571</v>
      </c>
      <c r="AL3544">
        <v>87.6182413321919</v>
      </c>
      <c r="AM3544">
        <v>92.641114860068896</v>
      </c>
      <c r="AN3544">
        <v>1.0000000103148901</v>
      </c>
    </row>
    <row r="3545" spans="1:40" x14ac:dyDescent="0.25">
      <c r="A3545" t="str">
        <f>"20190312151343156"</f>
        <v>20190312151343156</v>
      </c>
      <c r="B3545" t="str">
        <f>"1552374823143670"</f>
        <v>1552374823143670</v>
      </c>
      <c r="C3545" t="s">
        <v>40</v>
      </c>
      <c r="D3545">
        <v>4.5426630000000001</v>
      </c>
      <c r="E3545">
        <v>0.52693979999999996</v>
      </c>
      <c r="F3545" t="s">
        <v>42</v>
      </c>
      <c r="G3545">
        <v>-191.22319999999999</v>
      </c>
      <c r="H3545" s="1">
        <v>-4.189152E-7</v>
      </c>
      <c r="I3545">
        <v>169.80699999999999</v>
      </c>
      <c r="J3545">
        <v>-188.52119999999999</v>
      </c>
      <c r="K3545">
        <v>1.112412</v>
      </c>
      <c r="L3545">
        <v>186.42699999999999</v>
      </c>
      <c r="M3545">
        <v>-0.15248059999999999</v>
      </c>
      <c r="N3545">
        <v>0</v>
      </c>
      <c r="O3545">
        <v>-0.98820479999999999</v>
      </c>
      <c r="P3545">
        <v>-0.1074509</v>
      </c>
      <c r="Q3545">
        <v>2.7232329999999999E-2</v>
      </c>
      <c r="R3545">
        <v>-0.99383750000000004</v>
      </c>
      <c r="S3545">
        <v>-0.4823151</v>
      </c>
      <c r="T3545">
        <v>-0.19580829999999999</v>
      </c>
      <c r="U3545">
        <v>-2.9715419999999999</v>
      </c>
      <c r="V3545">
        <v>-4.5577239999999998E-2</v>
      </c>
      <c r="W3545">
        <v>4.1149739999999997E-2</v>
      </c>
      <c r="X3545">
        <v>0.99811289999999997</v>
      </c>
      <c r="Y3545">
        <v>7.480469E-3</v>
      </c>
      <c r="Z3545">
        <v>6.4185619999999999E-2</v>
      </c>
      <c r="AA3545">
        <v>0.99790999999999996</v>
      </c>
      <c r="AB3545">
        <v>27</v>
      </c>
      <c r="AC3545">
        <v>-2.7019999999999902</v>
      </c>
      <c r="AD3545">
        <v>-1.1124124189152</v>
      </c>
      <c r="AE3545">
        <v>-16.62</v>
      </c>
      <c r="AF3545">
        <v>0.13532482105866001</v>
      </c>
      <c r="AG3545">
        <v>-1.1124124189152</v>
      </c>
      <c r="AH3545">
        <v>16.764488585673799</v>
      </c>
      <c r="AI3545">
        <v>93.796189243208104</v>
      </c>
      <c r="AJ3545">
        <v>89.537512124351494</v>
      </c>
      <c r="AK3545">
        <v>16.801900241822</v>
      </c>
      <c r="AL3545">
        <v>87.641627615463705</v>
      </c>
      <c r="AM3545">
        <v>92.614504553184901</v>
      </c>
      <c r="AN3545">
        <v>0.99999997352724701</v>
      </c>
    </row>
    <row r="3546" spans="1:40" x14ac:dyDescent="0.25">
      <c r="A3546" t="str">
        <f>"20190312151343177"</f>
        <v>20190312151343177</v>
      </c>
      <c r="B3546" t="str">
        <f>"1552374823173926"</f>
        <v>1552374823173926</v>
      </c>
      <c r="C3546" t="s">
        <v>40</v>
      </c>
      <c r="D3546">
        <v>4.5393569999999999</v>
      </c>
      <c r="E3546">
        <v>0.53298389999999995</v>
      </c>
      <c r="F3546" t="s">
        <v>41</v>
      </c>
      <c r="G3546">
        <v>-188.67269999999999</v>
      </c>
      <c r="H3546">
        <v>1.0477510000000001</v>
      </c>
      <c r="I3546">
        <v>185.59129999999999</v>
      </c>
      <c r="J3546">
        <v>-188.55699999999999</v>
      </c>
      <c r="K3546">
        <v>1.1125940000000001</v>
      </c>
      <c r="L3546">
        <v>186.17330000000001</v>
      </c>
      <c r="M3546">
        <v>-0.1494135</v>
      </c>
      <c r="N3546">
        <v>0</v>
      </c>
      <c r="O3546">
        <v>-0.98867329999999998</v>
      </c>
      <c r="P3546">
        <v>-0.10613400000000001</v>
      </c>
      <c r="Q3546">
        <v>2.7045779999999998E-2</v>
      </c>
      <c r="R3546">
        <v>-0.99398390000000003</v>
      </c>
      <c r="S3546">
        <v>-0.53765869999999905</v>
      </c>
      <c r="T3546">
        <v>-0.22965150000000001</v>
      </c>
      <c r="U3546">
        <v>-2.9667659999999998</v>
      </c>
      <c r="V3546">
        <v>-4.3819429999999999E-2</v>
      </c>
      <c r="W3546">
        <v>4.0946780000000002E-2</v>
      </c>
      <c r="X3546">
        <v>0.99819999999999998</v>
      </c>
      <c r="Y3546">
        <v>2.8775490000000001E-2</v>
      </c>
      <c r="Z3546">
        <v>7.5260599999999997E-2</v>
      </c>
      <c r="AA3546">
        <v>0.99674859999999998</v>
      </c>
      <c r="AB3546">
        <v>27</v>
      </c>
      <c r="AC3546">
        <v>-0.115699999999975</v>
      </c>
      <c r="AD3546">
        <v>-6.4842999999999901E-2</v>
      </c>
      <c r="AE3546">
        <v>-0.58200000000002095</v>
      </c>
      <c r="AF3546">
        <v>2.71098732039965E-2</v>
      </c>
      <c r="AG3546">
        <v>-6.4842999999999901E-2</v>
      </c>
      <c r="AH3546">
        <v>0.585759828574137</v>
      </c>
      <c r="AI3546">
        <v>96.310163843625006</v>
      </c>
      <c r="AJ3546">
        <v>87.350153370648002</v>
      </c>
      <c r="AK3546">
        <v>0.58996113146997997</v>
      </c>
      <c r="AL3546">
        <v>87.653266263681999</v>
      </c>
      <c r="AM3546">
        <v>92.513581961713996</v>
      </c>
      <c r="AN3546">
        <v>1.0000000106189399</v>
      </c>
    </row>
    <row r="3547" spans="1:40" x14ac:dyDescent="0.25">
      <c r="A3547" t="str">
        <f>"20190312151343201"</f>
        <v>20190312151343201</v>
      </c>
      <c r="B3547" t="str">
        <f>"1552374823194422"</f>
        <v>1552374823194422</v>
      </c>
      <c r="C3547" t="s">
        <v>40</v>
      </c>
      <c r="D3547">
        <v>4.5787050000000002</v>
      </c>
      <c r="E3547">
        <v>0.53564419999999902</v>
      </c>
      <c r="F3547" t="s">
        <v>41</v>
      </c>
      <c r="G3547">
        <v>-188.7167</v>
      </c>
      <c r="H3547">
        <v>1.0431509999999999</v>
      </c>
      <c r="I3547">
        <v>185.3613</v>
      </c>
      <c r="J3547">
        <v>-188.59520000000001</v>
      </c>
      <c r="K3547">
        <v>1.112743</v>
      </c>
      <c r="L3547">
        <v>185.89449999999999</v>
      </c>
      <c r="M3547">
        <v>-0.14580099999999999</v>
      </c>
      <c r="N3547">
        <v>0</v>
      </c>
      <c r="O3547">
        <v>-0.9892128</v>
      </c>
      <c r="P3547">
        <v>-0.1035069</v>
      </c>
      <c r="Q3547">
        <v>2.6573510000000002E-2</v>
      </c>
      <c r="R3547">
        <v>-0.99427390000000004</v>
      </c>
      <c r="S3547">
        <v>-0.58213809999999999</v>
      </c>
      <c r="T3547">
        <v>-0.25367630000000002</v>
      </c>
      <c r="U3547">
        <v>-2.9629059999999998</v>
      </c>
      <c r="V3547">
        <v>-4.2825469999999997E-2</v>
      </c>
      <c r="W3547">
        <v>4.0457479999999997E-2</v>
      </c>
      <c r="X3547">
        <v>0.99826309999999996</v>
      </c>
      <c r="Y3547">
        <v>4.697486E-2</v>
      </c>
      <c r="Z3547">
        <v>8.3112019999999995E-2</v>
      </c>
      <c r="AA3547">
        <v>0.9954324</v>
      </c>
      <c r="AB3547">
        <v>27</v>
      </c>
      <c r="AC3547">
        <v>-0.121499999999997</v>
      </c>
      <c r="AD3547">
        <v>-6.9592000000000098E-2</v>
      </c>
      <c r="AE3547">
        <v>-0.53319999999999301</v>
      </c>
      <c r="AF3547">
        <v>4.1775989849539501E-2</v>
      </c>
      <c r="AG3547">
        <v>-6.9592000000000098E-2</v>
      </c>
      <c r="AH3547">
        <v>0.53652909431950702</v>
      </c>
      <c r="AI3547">
        <v>97.3683907586137</v>
      </c>
      <c r="AJ3547">
        <v>85.5477377883918</v>
      </c>
      <c r="AK3547">
        <v>0.54263408374633004</v>
      </c>
      <c r="AL3547">
        <v>87.681324367624498</v>
      </c>
      <c r="AM3547">
        <v>92.456481728187399</v>
      </c>
      <c r="AN3547">
        <v>1.00000002269514</v>
      </c>
    </row>
    <row r="3548" spans="1:40" x14ac:dyDescent="0.25">
      <c r="A3548" t="str">
        <f>"20190312151343225"</f>
        <v>20190312151343225</v>
      </c>
      <c r="B3548" t="str">
        <f>"1552374823213942"</f>
        <v>1552374823213942</v>
      </c>
      <c r="C3548" t="s">
        <v>40</v>
      </c>
      <c r="D3548">
        <v>4.6284280000000004</v>
      </c>
      <c r="E3548">
        <v>0.53723849999999995</v>
      </c>
      <c r="F3548" t="s">
        <v>41</v>
      </c>
      <c r="G3548">
        <v>-188.75</v>
      </c>
      <c r="H3548">
        <v>1.042726</v>
      </c>
      <c r="I3548">
        <v>185.1249</v>
      </c>
      <c r="J3548">
        <v>-188.6328</v>
      </c>
      <c r="K3548">
        <v>1.112879</v>
      </c>
      <c r="L3548">
        <v>185.6114</v>
      </c>
      <c r="M3548">
        <v>-0.14192399999999999</v>
      </c>
      <c r="N3548">
        <v>0</v>
      </c>
      <c r="O3548">
        <v>-0.98977649999999995</v>
      </c>
      <c r="P3548">
        <v>-9.9301319999999998E-2</v>
      </c>
      <c r="Q3548">
        <v>2.649754E-2</v>
      </c>
      <c r="R3548">
        <v>-0.99470479999999994</v>
      </c>
      <c r="S3548">
        <v>-0.59556580000000003</v>
      </c>
      <c r="T3548">
        <v>-0.2697369</v>
      </c>
      <c r="U3548">
        <v>-2.962494</v>
      </c>
      <c r="V3548">
        <v>-4.3148369999999998E-2</v>
      </c>
      <c r="W3548">
        <v>4.0359810000000003E-2</v>
      </c>
      <c r="X3548">
        <v>0.9982531</v>
      </c>
      <c r="Y3548">
        <v>5.5163959999999998E-2</v>
      </c>
      <c r="Z3548">
        <v>8.8363520000000001E-2</v>
      </c>
      <c r="AA3548">
        <v>0.99455959999999999</v>
      </c>
      <c r="AB3548">
        <v>27</v>
      </c>
      <c r="AC3548">
        <v>-0.117199999999996</v>
      </c>
      <c r="AD3548">
        <v>-7.0153000000000104E-2</v>
      </c>
      <c r="AE3548">
        <v>-0.48650000000000598</v>
      </c>
      <c r="AF3548">
        <v>4.60553558305263E-2</v>
      </c>
      <c r="AG3548">
        <v>-7.0153000000000104E-2</v>
      </c>
      <c r="AH3548">
        <v>0.48860704917000702</v>
      </c>
      <c r="AI3548">
        <v>98.134976157164203</v>
      </c>
      <c r="AJ3548">
        <v>84.615296619449396</v>
      </c>
      <c r="AK3548">
        <v>0.49576142216624502</v>
      </c>
      <c r="AL3548">
        <v>87.686924907711401</v>
      </c>
      <c r="AM3548">
        <v>92.475005185142706</v>
      </c>
      <c r="AN3548">
        <v>0.99999997387825101</v>
      </c>
    </row>
    <row r="3549" spans="1:40" x14ac:dyDescent="0.25">
      <c r="A3549" t="str">
        <f>"20190312151343247"</f>
        <v>20190312151343247</v>
      </c>
      <c r="B3549" t="str">
        <f>"1552374823244198"</f>
        <v>1552374823244198</v>
      </c>
      <c r="C3549" t="s">
        <v>40</v>
      </c>
      <c r="D3549">
        <v>4.6037419999999996</v>
      </c>
      <c r="E3549">
        <v>0.53875819999999996</v>
      </c>
      <c r="F3549" t="s">
        <v>41</v>
      </c>
      <c r="G3549">
        <v>-188.77889999999999</v>
      </c>
      <c r="H3549">
        <v>1.0453410000000001</v>
      </c>
      <c r="I3549">
        <v>184.886</v>
      </c>
      <c r="J3549">
        <v>-188.6653</v>
      </c>
      <c r="K3549">
        <v>1.1129869999999999</v>
      </c>
      <c r="L3549">
        <v>185.35669999999999</v>
      </c>
      <c r="M3549">
        <v>-0.138287299999999</v>
      </c>
      <c r="N3549">
        <v>0</v>
      </c>
      <c r="O3549">
        <v>-0.99029129999999999</v>
      </c>
      <c r="P3549">
        <v>-9.4114459999999997E-2</v>
      </c>
      <c r="Q3549">
        <v>2.7085540000000002E-2</v>
      </c>
      <c r="R3549">
        <v>-0.99519310000000005</v>
      </c>
      <c r="S3549">
        <v>-0.59594729999999996</v>
      </c>
      <c r="T3549">
        <v>-0.27638689999999999</v>
      </c>
      <c r="U3549">
        <v>-2.9638369999999998</v>
      </c>
      <c r="V3549">
        <v>-4.4698109999999999E-2</v>
      </c>
      <c r="W3549">
        <v>4.0922960000000001E-2</v>
      </c>
      <c r="X3549">
        <v>0.99816199999999999</v>
      </c>
      <c r="Y3549">
        <v>5.8828659999999998E-2</v>
      </c>
      <c r="Z3549">
        <v>9.0543709999999999E-2</v>
      </c>
      <c r="AA3549">
        <v>0.99415339999999996</v>
      </c>
      <c r="AB3549">
        <v>27</v>
      </c>
      <c r="AC3549">
        <v>-0.113599999999991</v>
      </c>
      <c r="AD3549">
        <v>-6.7646000000000095E-2</v>
      </c>
      <c r="AE3549">
        <v>-0.47069999999999301</v>
      </c>
      <c r="AF3549">
        <v>4.6502415854632502E-2</v>
      </c>
      <c r="AG3549">
        <v>-6.7646000000000095E-2</v>
      </c>
      <c r="AH3549">
        <v>0.47266281071758098</v>
      </c>
      <c r="AI3549">
        <v>98.106070262777394</v>
      </c>
      <c r="AJ3549">
        <v>84.381099757726503</v>
      </c>
      <c r="AK3549">
        <v>0.47973804167666401</v>
      </c>
      <c r="AL3549">
        <v>87.654632154961604</v>
      </c>
      <c r="AM3549">
        <v>92.564015918898903</v>
      </c>
      <c r="AN3549">
        <v>0.99999999396836603</v>
      </c>
    </row>
    <row r="3550" spans="1:40" x14ac:dyDescent="0.25">
      <c r="A3550" t="str">
        <f>"20190312151343267"</f>
        <v>20190312151343267</v>
      </c>
      <c r="B3550" t="str">
        <f>"1552374823263718"</f>
        <v>1552374823263718</v>
      </c>
      <c r="C3550" t="s">
        <v>40</v>
      </c>
      <c r="D3550">
        <v>4.6574949999999999</v>
      </c>
      <c r="E3550">
        <v>0.53968209999999905</v>
      </c>
      <c r="F3550" t="s">
        <v>41</v>
      </c>
      <c r="G3550">
        <v>-188.85130000000001</v>
      </c>
      <c r="H3550">
        <v>1.0243100000000001</v>
      </c>
      <c r="I3550">
        <v>184.42619999999999</v>
      </c>
      <c r="J3550">
        <v>-188.6962</v>
      </c>
      <c r="K3550">
        <v>1.113078</v>
      </c>
      <c r="L3550">
        <v>185.10599999999999</v>
      </c>
      <c r="M3550">
        <v>-0.13459939999999901</v>
      </c>
      <c r="N3550">
        <v>0</v>
      </c>
      <c r="O3550">
        <v>-0.99079910000000004</v>
      </c>
      <c r="P3550">
        <v>-8.9009260000000007E-2</v>
      </c>
      <c r="Q3550">
        <v>2.725671E-2</v>
      </c>
      <c r="R3550">
        <v>-0.99565780000000004</v>
      </c>
      <c r="S3550">
        <v>-0.59223939999999997</v>
      </c>
      <c r="T3550">
        <v>-0.28301989999999999</v>
      </c>
      <c r="U3550">
        <v>-2.966202</v>
      </c>
      <c r="V3550">
        <v>-4.6110909999999998E-2</v>
      </c>
      <c r="W3550">
        <v>4.1071610000000001E-2</v>
      </c>
      <c r="X3550">
        <v>0.99809159999999997</v>
      </c>
      <c r="Y3550">
        <v>6.1158190000000001E-2</v>
      </c>
      <c r="Z3550">
        <v>9.2701599999999995E-2</v>
      </c>
      <c r="AA3550">
        <v>0.99381390000000003</v>
      </c>
      <c r="AB3550">
        <v>27</v>
      </c>
      <c r="AC3550">
        <v>-0.15510000000000401</v>
      </c>
      <c r="AD3550">
        <v>-8.8767999999999903E-2</v>
      </c>
      <c r="AE3550">
        <v>-0.67979999999999996</v>
      </c>
      <c r="AF3550">
        <v>6.1186814491777597E-2</v>
      </c>
      <c r="AG3550">
        <v>-8.8767999999999903E-2</v>
      </c>
      <c r="AH3550">
        <v>0.683414752080437</v>
      </c>
      <c r="AI3550">
        <v>97.371494029437002</v>
      </c>
      <c r="AJ3550">
        <v>84.883891672630199</v>
      </c>
      <c r="AK3550">
        <v>0.69186653875788595</v>
      </c>
      <c r="AL3550">
        <v>87.646107908486101</v>
      </c>
      <c r="AM3550">
        <v>92.645131277530098</v>
      </c>
      <c r="AN3550">
        <v>0.99999996757978904</v>
      </c>
    </row>
    <row r="3551" spans="1:40" x14ac:dyDescent="0.25">
      <c r="A3551" t="str">
        <f>"20190312151343290"</f>
        <v>20190312151343290</v>
      </c>
      <c r="B3551" t="str">
        <f>"1552374823284214"</f>
        <v>1552374823284214</v>
      </c>
      <c r="C3551" t="s">
        <v>40</v>
      </c>
      <c r="D3551">
        <v>4.677003</v>
      </c>
      <c r="E3551">
        <v>0.54037060000000003</v>
      </c>
      <c r="F3551" t="s">
        <v>41</v>
      </c>
      <c r="G3551">
        <v>-188.87639999999999</v>
      </c>
      <c r="H3551">
        <v>1.024402</v>
      </c>
      <c r="I3551">
        <v>184.18960000000001</v>
      </c>
      <c r="J3551">
        <v>-188.72710000000001</v>
      </c>
      <c r="K3551">
        <v>1.1131549999999999</v>
      </c>
      <c r="L3551">
        <v>184.84639999999999</v>
      </c>
      <c r="M3551">
        <v>-0.13070129999999999</v>
      </c>
      <c r="N3551">
        <v>0</v>
      </c>
      <c r="O3551">
        <v>-0.99132070000000005</v>
      </c>
      <c r="P3551">
        <v>-8.3461999999999995E-2</v>
      </c>
      <c r="Q3551">
        <v>2.762158E-2</v>
      </c>
      <c r="R3551">
        <v>-0.99612809999999896</v>
      </c>
      <c r="S3551">
        <v>-0.58380129999999997</v>
      </c>
      <c r="T3551">
        <v>-0.28731830000000003</v>
      </c>
      <c r="U3551">
        <v>-2.9687649999999999</v>
      </c>
      <c r="V3551">
        <v>-4.7754020000000001E-2</v>
      </c>
      <c r="W3551">
        <v>4.1413690000000003E-2</v>
      </c>
      <c r="X3551">
        <v>0.9980002</v>
      </c>
      <c r="Y3551">
        <v>6.2175580000000001E-2</v>
      </c>
      <c r="Z3551">
        <v>9.4114329999999996E-2</v>
      </c>
      <c r="AA3551">
        <v>0.993618</v>
      </c>
      <c r="AB3551">
        <v>27</v>
      </c>
      <c r="AC3551">
        <v>-0.149299999999982</v>
      </c>
      <c r="AD3551">
        <v>-8.8752999999999804E-2</v>
      </c>
      <c r="AE3551">
        <v>-0.65679999999997496</v>
      </c>
      <c r="AF3551">
        <v>6.1104846455182202E-2</v>
      </c>
      <c r="AG3551">
        <v>-8.8752999999999804E-2</v>
      </c>
      <c r="AH3551">
        <v>0.65923421182964403</v>
      </c>
      <c r="AI3551">
        <v>97.635311307652898</v>
      </c>
      <c r="AJ3551">
        <v>84.704348425775905</v>
      </c>
      <c r="AK3551">
        <v>0.66798251722329005</v>
      </c>
      <c r="AL3551">
        <v>87.626491482022601</v>
      </c>
      <c r="AM3551">
        <v>92.739496921090904</v>
      </c>
      <c r="AN3551">
        <v>0.99999996967280702</v>
      </c>
    </row>
    <row r="3552" spans="1:40" x14ac:dyDescent="0.25">
      <c r="A3552" t="str">
        <f>"20190312151343312"</f>
        <v>20190312151343312</v>
      </c>
      <c r="B3552" t="str">
        <f>"1552374823303734"</f>
        <v>1552374823303734</v>
      </c>
      <c r="C3552" t="s">
        <v>40</v>
      </c>
      <c r="D3552">
        <v>4.6116890000000001</v>
      </c>
      <c r="E3552">
        <v>0.54107459999999996</v>
      </c>
      <c r="F3552" t="s">
        <v>41</v>
      </c>
      <c r="G3552">
        <v>-188.89940000000001</v>
      </c>
      <c r="H3552">
        <v>1.0274570000000001</v>
      </c>
      <c r="I3552">
        <v>183.95160000000001</v>
      </c>
      <c r="J3552">
        <v>-188.75810000000001</v>
      </c>
      <c r="K3552">
        <v>1.113213</v>
      </c>
      <c r="L3552">
        <v>184.57599999999999</v>
      </c>
      <c r="M3552">
        <v>-0.12656800000000001</v>
      </c>
      <c r="N3552">
        <v>0</v>
      </c>
      <c r="O3552">
        <v>-0.99185730000000005</v>
      </c>
      <c r="P3552">
        <v>-7.8090339999999994E-2</v>
      </c>
      <c r="Q3552">
        <v>2.8633470000000001E-2</v>
      </c>
      <c r="R3552">
        <v>-0.99653519999999896</v>
      </c>
      <c r="S3552">
        <v>-0.57192989999999999</v>
      </c>
      <c r="T3552">
        <v>-0.28476249999999997</v>
      </c>
      <c r="U3552">
        <v>-2.9716339999999999</v>
      </c>
      <c r="V3552">
        <v>-4.8983529999999997E-2</v>
      </c>
      <c r="W3552">
        <v>4.240654E-2</v>
      </c>
      <c r="X3552">
        <v>0.99789890000000003</v>
      </c>
      <c r="Y3552">
        <v>6.234431E-2</v>
      </c>
      <c r="Z3552">
        <v>9.3306620000000007E-2</v>
      </c>
      <c r="AA3552">
        <v>0.9936836</v>
      </c>
      <c r="AB3552">
        <v>27</v>
      </c>
      <c r="AC3552">
        <v>-0.14130000000000101</v>
      </c>
      <c r="AD3552">
        <v>-8.5755999999999902E-2</v>
      </c>
      <c r="AE3552">
        <v>-0.62439999999997997</v>
      </c>
      <c r="AF3552">
        <v>6.0048974479360299E-2</v>
      </c>
      <c r="AG3552">
        <v>-8.5755999999999902E-2</v>
      </c>
      <c r="AH3552">
        <v>0.62603003472920205</v>
      </c>
      <c r="AI3552">
        <v>97.764848122999695</v>
      </c>
      <c r="AJ3552">
        <v>84.520935656437004</v>
      </c>
      <c r="AK3552">
        <v>0.63472322728498698</v>
      </c>
      <c r="AL3552">
        <v>87.569555309275401</v>
      </c>
      <c r="AM3552">
        <v>92.810203177982302</v>
      </c>
      <c r="AN3552">
        <v>0.99999995773362005</v>
      </c>
    </row>
    <row r="3553" spans="1:40" x14ac:dyDescent="0.25">
      <c r="A3553" t="str">
        <f>"20190312151343333"</f>
        <v>20190312151343333</v>
      </c>
      <c r="B3553" t="str">
        <f>"1552374823324233"</f>
        <v>1552374823324233</v>
      </c>
      <c r="C3553" t="s">
        <v>40</v>
      </c>
      <c r="D3553">
        <v>4.6877069999999996</v>
      </c>
      <c r="E3553">
        <v>0.54177140000000001</v>
      </c>
      <c r="F3553" t="s">
        <v>41</v>
      </c>
      <c r="G3553">
        <v>-188.92070000000001</v>
      </c>
      <c r="H3553">
        <v>1.0285249999999999</v>
      </c>
      <c r="I3553">
        <v>183.71469999999999</v>
      </c>
      <c r="J3553">
        <v>-188.7859</v>
      </c>
      <c r="K3553">
        <v>1.1132550000000001</v>
      </c>
      <c r="L3553">
        <v>184.3244</v>
      </c>
      <c r="M3553">
        <v>-0.1226655</v>
      </c>
      <c r="N3553">
        <v>0</v>
      </c>
      <c r="O3553">
        <v>-0.99234739999999999</v>
      </c>
      <c r="P3553">
        <v>-7.3891680000000001E-2</v>
      </c>
      <c r="Q3553">
        <v>2.994838E-2</v>
      </c>
      <c r="R3553">
        <v>-0.99681679999999995</v>
      </c>
      <c r="S3553">
        <v>-0.56130979999999997</v>
      </c>
      <c r="T3553">
        <v>-0.29264240000000002</v>
      </c>
      <c r="U3553">
        <v>-2.974869</v>
      </c>
      <c r="V3553">
        <v>-4.9270540000000002E-2</v>
      </c>
      <c r="W3553">
        <v>4.3712340000000002E-2</v>
      </c>
      <c r="X3553">
        <v>0.99782850000000001</v>
      </c>
      <c r="Y3553">
        <v>6.2601249999999997E-2</v>
      </c>
      <c r="Z3553">
        <v>9.5864610000000003E-2</v>
      </c>
      <c r="AA3553">
        <v>0.99342390000000003</v>
      </c>
      <c r="AB3553">
        <v>27</v>
      </c>
      <c r="AC3553">
        <v>-0.13480000000001199</v>
      </c>
      <c r="AD3553">
        <v>-8.4729999999999903E-2</v>
      </c>
      <c r="AE3553">
        <v>-0.60970000000000302</v>
      </c>
      <c r="AF3553">
        <v>5.79187321657431E-2</v>
      </c>
      <c r="AG3553">
        <v>-8.4729999999999903E-2</v>
      </c>
      <c r="AH3553">
        <v>0.61039270168029403</v>
      </c>
      <c r="AI3553">
        <v>97.867960798884198</v>
      </c>
      <c r="AJ3553">
        <v>84.579566882953699</v>
      </c>
      <c r="AK3553">
        <v>0.61896122875367199</v>
      </c>
      <c r="AL3553">
        <v>87.494669209682797</v>
      </c>
      <c r="AM3553">
        <v>92.826841526177901</v>
      </c>
      <c r="AN3553">
        <v>1.0000000350961999</v>
      </c>
    </row>
    <row r="3554" spans="1:40" x14ac:dyDescent="0.25">
      <c r="A3554" t="str">
        <f>"20190312151343356"</f>
        <v>20190312151343356</v>
      </c>
      <c r="B3554" t="str">
        <f>"1552374823353510"</f>
        <v>1552374823353510</v>
      </c>
      <c r="C3554" t="s">
        <v>40</v>
      </c>
      <c r="D3554">
        <v>4.7809080000000002</v>
      </c>
      <c r="E3554">
        <v>0.54229090000000002</v>
      </c>
      <c r="F3554" t="s">
        <v>41</v>
      </c>
      <c r="G3554">
        <v>-188.9435</v>
      </c>
      <c r="H3554">
        <v>1.0294509999999999</v>
      </c>
      <c r="I3554">
        <v>183.47839999999999</v>
      </c>
      <c r="J3554">
        <v>-188.81389999999999</v>
      </c>
      <c r="K3554">
        <v>1.1132759999999999</v>
      </c>
      <c r="L3554">
        <v>184.06020000000001</v>
      </c>
      <c r="M3554">
        <v>-0.1185273</v>
      </c>
      <c r="N3554">
        <v>0</v>
      </c>
      <c r="O3554">
        <v>-0.99285020000000002</v>
      </c>
      <c r="P3554">
        <v>-7.0276969999999994E-2</v>
      </c>
      <c r="Q3554">
        <v>3.0333450000000001E-2</v>
      </c>
      <c r="R3554">
        <v>-0.99706649999999997</v>
      </c>
      <c r="S3554">
        <v>-0.55444340000000003</v>
      </c>
      <c r="T3554">
        <v>-0.29509990000000003</v>
      </c>
      <c r="U3554">
        <v>-2.977325</v>
      </c>
      <c r="V3554">
        <v>-4.8732049999999999E-2</v>
      </c>
      <c r="W3554">
        <v>4.4097259999999999E-2</v>
      </c>
      <c r="X3554">
        <v>0.997838</v>
      </c>
      <c r="Y3554">
        <v>6.4385120000000004E-2</v>
      </c>
      <c r="Z3554">
        <v>9.6672090000000002E-2</v>
      </c>
      <c r="AA3554">
        <v>0.99323170000000005</v>
      </c>
      <c r="AB3554">
        <v>27</v>
      </c>
      <c r="AC3554">
        <v>-0.12960000000001001</v>
      </c>
      <c r="AD3554">
        <v>-8.3824999999999802E-2</v>
      </c>
      <c r="AE3554">
        <v>-0.58180000000001497</v>
      </c>
      <c r="AF3554">
        <v>5.8561969430376497E-2</v>
      </c>
      <c r="AG3554">
        <v>-8.3824999999999802E-2</v>
      </c>
      <c r="AH3554">
        <v>0.581558947972312</v>
      </c>
      <c r="AI3554">
        <v>98.161320217530402</v>
      </c>
      <c r="AJ3554">
        <v>84.249798828656196</v>
      </c>
      <c r="AK3554">
        <v>0.59048026627079298</v>
      </c>
      <c r="AL3554">
        <v>87.4725936129621</v>
      </c>
      <c r="AM3554">
        <v>92.795968989583102</v>
      </c>
      <c r="AN3554">
        <v>1.00000002764035</v>
      </c>
    </row>
    <row r="3555" spans="1:40" x14ac:dyDescent="0.25">
      <c r="A3555" t="str">
        <f>"20190312151343378"</f>
        <v>20190312151343378</v>
      </c>
      <c r="B3555" t="str">
        <f>"1552374823374007"</f>
        <v>1552374823374007</v>
      </c>
      <c r="C3555" t="s">
        <v>40</v>
      </c>
      <c r="D3555">
        <v>4.8047709999999997</v>
      </c>
      <c r="E3555">
        <v>0.54275130000000005</v>
      </c>
      <c r="F3555" t="s">
        <v>41</v>
      </c>
      <c r="G3555">
        <v>-188.96420000000001</v>
      </c>
      <c r="H3555">
        <v>1.0304169999999999</v>
      </c>
      <c r="I3555">
        <v>183.24209999999999</v>
      </c>
      <c r="J3555">
        <v>-188.84020000000001</v>
      </c>
      <c r="K3555">
        <v>1.113283</v>
      </c>
      <c r="L3555">
        <v>183.80160000000001</v>
      </c>
      <c r="M3555">
        <v>-0.1144549</v>
      </c>
      <c r="N3555">
        <v>0</v>
      </c>
      <c r="O3555">
        <v>-0.99332779999999998</v>
      </c>
      <c r="P3555">
        <v>-6.832473E-2</v>
      </c>
      <c r="Q3555">
        <v>2.961252E-2</v>
      </c>
      <c r="R3555">
        <v>-0.99722379999999999</v>
      </c>
      <c r="S3555">
        <v>-0.54751590000000006</v>
      </c>
      <c r="T3555">
        <v>-0.3017126</v>
      </c>
      <c r="U3555">
        <v>-2.9794160000000001</v>
      </c>
      <c r="V3555">
        <v>-4.659083E-2</v>
      </c>
      <c r="W3555">
        <v>4.3390779999999997E-2</v>
      </c>
      <c r="X3555">
        <v>0.99797119999999995</v>
      </c>
      <c r="Y3555">
        <v>6.6080330000000007E-2</v>
      </c>
      <c r="Z3555">
        <v>9.883554E-2</v>
      </c>
      <c r="AA3555">
        <v>0.99290730000000005</v>
      </c>
      <c r="AB3555">
        <v>27</v>
      </c>
      <c r="AC3555">
        <v>-0.123999999999995</v>
      </c>
      <c r="AD3555">
        <v>-8.2866000000000106E-2</v>
      </c>
      <c r="AE3555">
        <v>-0.55950000000001399</v>
      </c>
      <c r="AF3555">
        <v>5.7929803888036903E-2</v>
      </c>
      <c r="AG3555">
        <v>-8.2866000000000106E-2</v>
      </c>
      <c r="AH3555">
        <v>0.55834206820926002</v>
      </c>
      <c r="AI3555">
        <v>98.397466209267805</v>
      </c>
      <c r="AJ3555">
        <v>84.076570741912903</v>
      </c>
      <c r="AK3555">
        <v>0.56742268307382704</v>
      </c>
      <c r="AL3555">
        <v>87.513110626999193</v>
      </c>
      <c r="AM3555">
        <v>92.672943926978704</v>
      </c>
      <c r="AN3555">
        <v>0.99999999062926803</v>
      </c>
    </row>
    <row r="3556" spans="1:40" x14ac:dyDescent="0.25">
      <c r="A3556" t="str">
        <f>"20190312151343401"</f>
        <v>20190312151343401</v>
      </c>
      <c r="B3556" t="str">
        <f>"1552374823393530"</f>
        <v>1552374823393530</v>
      </c>
      <c r="C3556" t="s">
        <v>40</v>
      </c>
      <c r="D3556">
        <v>4.8219789999999998</v>
      </c>
      <c r="E3556">
        <v>0.543408</v>
      </c>
      <c r="F3556" t="s">
        <v>41</v>
      </c>
      <c r="G3556">
        <v>-188.98570000000001</v>
      </c>
      <c r="H3556">
        <v>1.0303150000000001</v>
      </c>
      <c r="I3556">
        <v>183.0068</v>
      </c>
      <c r="J3556">
        <v>-188.8663</v>
      </c>
      <c r="K3556">
        <v>1.113289</v>
      </c>
      <c r="L3556">
        <v>183.53460000000001</v>
      </c>
      <c r="M3556">
        <v>-0.1102384</v>
      </c>
      <c r="N3556">
        <v>0</v>
      </c>
      <c r="O3556">
        <v>-0.99380469999999999</v>
      </c>
      <c r="P3556">
        <v>-6.6685960000000002E-2</v>
      </c>
      <c r="Q3556">
        <v>2.9877259999999999E-2</v>
      </c>
      <c r="R3556">
        <v>-0.99732690000000002</v>
      </c>
      <c r="S3556">
        <v>-0.54521180000000002</v>
      </c>
      <c r="T3556">
        <v>-0.31129869999999998</v>
      </c>
      <c r="U3556">
        <v>-2.9802550000000001</v>
      </c>
      <c r="V3556">
        <v>-4.399521E-2</v>
      </c>
      <c r="W3556">
        <v>4.367327E-2</v>
      </c>
      <c r="X3556">
        <v>0.99807670000000004</v>
      </c>
      <c r="Y3556">
        <v>6.9464910000000005E-2</v>
      </c>
      <c r="Z3556">
        <v>0.1019835</v>
      </c>
      <c r="AA3556">
        <v>0.99235779999999996</v>
      </c>
      <c r="AB3556">
        <v>27</v>
      </c>
      <c r="AC3556">
        <v>-0.119400000000013</v>
      </c>
      <c r="AD3556">
        <v>-8.2974000000000103E-2</v>
      </c>
      <c r="AE3556">
        <v>-0.52780000000001304</v>
      </c>
      <c r="AF3556">
        <v>5.9093158856452201E-2</v>
      </c>
      <c r="AG3556">
        <v>-8.2974000000000103E-2</v>
      </c>
      <c r="AH3556">
        <v>0.52539379303898803</v>
      </c>
      <c r="AI3556">
        <v>98.919119074799497</v>
      </c>
      <c r="AJ3556">
        <v>83.582682474553494</v>
      </c>
      <c r="AK3556">
        <v>0.53517784321058104</v>
      </c>
      <c r="AL3556">
        <v>87.496909847827894</v>
      </c>
      <c r="AM3556">
        <v>92.523963454085305</v>
      </c>
      <c r="AN3556">
        <v>1.00000001604916</v>
      </c>
    </row>
    <row r="3557" spans="1:40" x14ac:dyDescent="0.25">
      <c r="A3557" t="str">
        <f>"20190312151343437"</f>
        <v>20190312151343437</v>
      </c>
      <c r="B3557" t="str">
        <f>"1552374823433542"</f>
        <v>1552374823433542</v>
      </c>
      <c r="C3557" t="s">
        <v>40</v>
      </c>
      <c r="D3557">
        <v>4.8553360000000003</v>
      </c>
      <c r="E3557">
        <v>0.54450509999999996</v>
      </c>
      <c r="F3557" t="s">
        <v>41</v>
      </c>
      <c r="G3557">
        <v>-189.006</v>
      </c>
      <c r="H3557">
        <v>1.031741</v>
      </c>
      <c r="I3557">
        <v>182.77099999999999</v>
      </c>
      <c r="J3557">
        <v>-188.90379999999999</v>
      </c>
      <c r="K3557">
        <v>1.1132869999999999</v>
      </c>
      <c r="L3557">
        <v>183.12569999999999</v>
      </c>
      <c r="M3557">
        <v>-0.1037795</v>
      </c>
      <c r="N3557">
        <v>0</v>
      </c>
      <c r="O3557">
        <v>-0.99450000000000005</v>
      </c>
      <c r="P3557">
        <v>-6.5931890000000007E-2</v>
      </c>
      <c r="Q3557">
        <v>3.1183700000000002E-2</v>
      </c>
      <c r="R3557">
        <v>-0.99733689999999997</v>
      </c>
      <c r="S3557">
        <v>-0.54545589999999999</v>
      </c>
      <c r="T3557">
        <v>-0.31838949999999999</v>
      </c>
      <c r="U3557">
        <v>-2.981125</v>
      </c>
      <c r="V3557">
        <v>-3.8266429999999997E-2</v>
      </c>
      <c r="W3557">
        <v>4.5020440000000002E-2</v>
      </c>
      <c r="X3557">
        <v>0.9982529</v>
      </c>
      <c r="Y3557">
        <v>7.5928140000000005E-2</v>
      </c>
      <c r="Z3557">
        <v>0.104335</v>
      </c>
      <c r="AA3557">
        <v>0.99163959999999995</v>
      </c>
      <c r="AB3557">
        <v>27</v>
      </c>
      <c r="AC3557">
        <v>-0.102199999999982</v>
      </c>
      <c r="AD3557">
        <v>-8.1546000000000105E-2</v>
      </c>
      <c r="AE3557">
        <v>-0.35470000000000801</v>
      </c>
      <c r="AF3557">
        <v>6.1816927990918299E-2</v>
      </c>
      <c r="AG3557">
        <v>-8.1546000000000105E-2</v>
      </c>
      <c r="AH3557">
        <v>0.34648229350005899</v>
      </c>
      <c r="AI3557">
        <v>103.044985631673</v>
      </c>
      <c r="AJ3557">
        <v>79.884128159554606</v>
      </c>
      <c r="AK3557">
        <v>0.36127698848846601</v>
      </c>
      <c r="AL3557">
        <v>87.419646650055</v>
      </c>
      <c r="AM3557">
        <v>92.195267308138895</v>
      </c>
      <c r="AN3557">
        <v>1.00000000602057</v>
      </c>
    </row>
    <row r="3558" spans="1:40" x14ac:dyDescent="0.25">
      <c r="A3558" t="str">
        <f>"20190312151343457"</f>
        <v>20190312151343457</v>
      </c>
      <c r="B3558" t="str">
        <f>"1552374823454038"</f>
        <v>1552374823454038</v>
      </c>
      <c r="C3558" t="s">
        <v>40</v>
      </c>
      <c r="D3558">
        <v>4.8812259999999998</v>
      </c>
      <c r="E3558">
        <v>0.5523015</v>
      </c>
      <c r="F3558" t="s">
        <v>41</v>
      </c>
      <c r="G3558">
        <v>-189.0556</v>
      </c>
      <c r="H3558">
        <v>1.0239959999999999</v>
      </c>
      <c r="I3558">
        <v>182.30629999999999</v>
      </c>
      <c r="J3558">
        <v>-188.9263</v>
      </c>
      <c r="K3558">
        <v>1.113281</v>
      </c>
      <c r="L3558">
        <v>182.8665</v>
      </c>
      <c r="M3558">
        <v>-9.9688079999999998E-2</v>
      </c>
      <c r="N3558">
        <v>0</v>
      </c>
      <c r="O3558">
        <v>-0.99491859999999999</v>
      </c>
      <c r="P3558">
        <v>-6.6011130000000001E-2</v>
      </c>
      <c r="Q3558">
        <v>3.1596359999999997E-2</v>
      </c>
      <c r="R3558">
        <v>-0.9973187</v>
      </c>
      <c r="S3558">
        <v>-0.55186459999999904</v>
      </c>
      <c r="T3558">
        <v>-0.32502900000000001</v>
      </c>
      <c r="U3558">
        <v>-2.9817049999999998</v>
      </c>
      <c r="V3558">
        <v>-3.407897E-2</v>
      </c>
      <c r="W3558">
        <v>4.5463919999999998E-2</v>
      </c>
      <c r="X3558">
        <v>0.99838450000000001</v>
      </c>
      <c r="Y3558">
        <v>8.2013879999999997E-2</v>
      </c>
      <c r="Z3558">
        <v>0.1064866</v>
      </c>
      <c r="AA3558">
        <v>0.99092599999999997</v>
      </c>
      <c r="AB3558">
        <v>27</v>
      </c>
      <c r="AC3558">
        <v>-0.1293</v>
      </c>
      <c r="AD3558">
        <v>-8.9285000000000003E-2</v>
      </c>
      <c r="AE3558">
        <v>-0.56020000000000802</v>
      </c>
      <c r="AF3558">
        <v>7.1090453078983804E-2</v>
      </c>
      <c r="AG3558">
        <v>-8.9285000000000003E-2</v>
      </c>
      <c r="AH3558">
        <v>0.55686966903825197</v>
      </c>
      <c r="AI3558">
        <v>99.036805470158399</v>
      </c>
      <c r="AJ3558">
        <v>82.724923355156506</v>
      </c>
      <c r="AK3558">
        <v>0.56844480122413699</v>
      </c>
      <c r="AL3558">
        <v>87.394210997300604</v>
      </c>
      <c r="AM3558">
        <v>91.954981611668899</v>
      </c>
      <c r="AN3558">
        <v>0.99999997702913801</v>
      </c>
    </row>
    <row r="3559" spans="1:40" x14ac:dyDescent="0.25">
      <c r="A3559" t="str">
        <f>"20190312151343480"</f>
        <v>20190312151343480</v>
      </c>
      <c r="B3559" t="str">
        <f>"1552374823473558"</f>
        <v>1552374823473558</v>
      </c>
      <c r="C3559" t="s">
        <v>40</v>
      </c>
      <c r="D3559">
        <v>4.9559389999999999</v>
      </c>
      <c r="E3559">
        <v>0.55249950000000003</v>
      </c>
      <c r="F3559" t="s">
        <v>41</v>
      </c>
      <c r="G3559">
        <v>-189.0865</v>
      </c>
      <c r="H3559">
        <v>0.99007500000000004</v>
      </c>
      <c r="I3559">
        <v>182.0898</v>
      </c>
      <c r="J3559">
        <v>-188.94710000000001</v>
      </c>
      <c r="K3559">
        <v>1.113273</v>
      </c>
      <c r="L3559">
        <v>182.61449999999999</v>
      </c>
      <c r="M3559">
        <v>-9.5714530000000006E-2</v>
      </c>
      <c r="N3559">
        <v>0</v>
      </c>
      <c r="O3559">
        <v>-0.99530859999999999</v>
      </c>
      <c r="P3559">
        <v>-6.4818260000000003E-2</v>
      </c>
      <c r="Q3559">
        <v>3.1727989999999998E-2</v>
      </c>
      <c r="R3559">
        <v>-0.99739299999999997</v>
      </c>
      <c r="S3559">
        <v>-0.61470029999999998</v>
      </c>
      <c r="T3559">
        <v>-0.47336669999999997</v>
      </c>
      <c r="U3559">
        <v>-2.9823759999999999</v>
      </c>
      <c r="V3559">
        <v>-3.1284109999999997E-2</v>
      </c>
      <c r="W3559">
        <v>4.5614920000000003E-2</v>
      </c>
      <c r="X3559">
        <v>0.9984691</v>
      </c>
      <c r="Y3559">
        <v>0.1047811</v>
      </c>
      <c r="Z3559">
        <v>0.15368899999999999</v>
      </c>
      <c r="AA3559">
        <v>0.98254810000000004</v>
      </c>
      <c r="AB3559">
        <v>26</v>
      </c>
      <c r="AC3559">
        <v>-0.139399999999994</v>
      </c>
      <c r="AD3559">
        <v>-0.123197999999999</v>
      </c>
      <c r="AE3559">
        <v>-0.52469999999999495</v>
      </c>
      <c r="AF3559">
        <v>8.4197682178837496E-2</v>
      </c>
      <c r="AG3559">
        <v>-0.123197999999999</v>
      </c>
      <c r="AH3559">
        <v>0.50940279478557704</v>
      </c>
      <c r="AI3559">
        <v>103.420431614892</v>
      </c>
      <c r="AJ3559">
        <v>80.614605116291898</v>
      </c>
      <c r="AK3559">
        <v>0.530809009177166</v>
      </c>
      <c r="AL3559">
        <v>87.385550357261593</v>
      </c>
      <c r="AM3559">
        <v>91.794608632459699</v>
      </c>
      <c r="AN3559">
        <v>0.99999998005995405</v>
      </c>
    </row>
    <row r="3560" spans="1:40" x14ac:dyDescent="0.25">
      <c r="A3560" t="str">
        <f>"20190312151343501"</f>
        <v>20190312151343501</v>
      </c>
      <c r="B3560" t="str">
        <f>"1552374823494054"</f>
        <v>1552374823494054</v>
      </c>
      <c r="C3560" t="s">
        <v>40</v>
      </c>
      <c r="D3560">
        <v>4.9409159999999996</v>
      </c>
      <c r="E3560">
        <v>0.55267509999999997</v>
      </c>
      <c r="F3560" t="s">
        <v>41</v>
      </c>
      <c r="G3560">
        <v>-189.1045</v>
      </c>
      <c r="H3560">
        <v>1.0021789999999999</v>
      </c>
      <c r="I3560">
        <v>181.84960000000001</v>
      </c>
      <c r="J3560">
        <v>-188.96729999999999</v>
      </c>
      <c r="K3560">
        <v>1.1132610000000001</v>
      </c>
      <c r="L3560">
        <v>182.3563</v>
      </c>
      <c r="M3560">
        <v>-9.1647880000000001E-2</v>
      </c>
      <c r="N3560">
        <v>0</v>
      </c>
      <c r="O3560">
        <v>-0.9956912</v>
      </c>
      <c r="P3560">
        <v>-6.4024460000000005E-2</v>
      </c>
      <c r="Q3560">
        <v>3.2277479999999997E-2</v>
      </c>
      <c r="R3560">
        <v>-0.99742640000000005</v>
      </c>
      <c r="S3560">
        <v>-0.61344909999999997</v>
      </c>
      <c r="T3560">
        <v>-0.43321369999999998</v>
      </c>
      <c r="U3560">
        <v>-2.9817659999999999</v>
      </c>
      <c r="V3560">
        <v>-2.79995E-2</v>
      </c>
      <c r="W3560">
        <v>4.6187010000000001E-2</v>
      </c>
      <c r="X3560">
        <v>0.99854030000000005</v>
      </c>
      <c r="Y3560">
        <v>0.1088688</v>
      </c>
      <c r="Z3560">
        <v>0.141009299999999</v>
      </c>
      <c r="AA3560">
        <v>0.98400399999999999</v>
      </c>
      <c r="AB3560">
        <v>26</v>
      </c>
      <c r="AC3560">
        <v>-0.13720000000000701</v>
      </c>
      <c r="AD3560">
        <v>-0.111081999999999</v>
      </c>
      <c r="AE3560">
        <v>-0.50669999999999504</v>
      </c>
      <c r="AF3560">
        <v>8.6314912115560402E-2</v>
      </c>
      <c r="AG3560">
        <v>-0.111081999999999</v>
      </c>
      <c r="AH3560">
        <v>0.49497867422243103</v>
      </c>
      <c r="AI3560">
        <v>102.466510622538</v>
      </c>
      <c r="AJ3560">
        <v>80.108166284152603</v>
      </c>
      <c r="AK3560">
        <v>0.51458076403273401</v>
      </c>
      <c r="AL3560">
        <v>87.352737405487602</v>
      </c>
      <c r="AM3560">
        <v>91.606177457511805</v>
      </c>
      <c r="AN3560">
        <v>0.99999997130853902</v>
      </c>
    </row>
    <row r="3561" spans="1:40" x14ac:dyDescent="0.25">
      <c r="A3561" t="str">
        <f>"20190312151343524"</f>
        <v>20190312151343524</v>
      </c>
      <c r="B3561" t="str">
        <f>"1552374823513574"</f>
        <v>1552374823513574</v>
      </c>
      <c r="C3561" t="s">
        <v>40</v>
      </c>
      <c r="D3561">
        <v>4.9201560000000004</v>
      </c>
      <c r="E3561">
        <v>0.55284040000000001</v>
      </c>
      <c r="F3561" t="s">
        <v>41</v>
      </c>
      <c r="G3561">
        <v>-189.12010000000001</v>
      </c>
      <c r="H3561">
        <v>1.005309</v>
      </c>
      <c r="I3561">
        <v>181.6138</v>
      </c>
      <c r="J3561">
        <v>-188.98689999999999</v>
      </c>
      <c r="K3561">
        <v>1.1132629999999999</v>
      </c>
      <c r="L3561">
        <v>182.09289999999999</v>
      </c>
      <c r="M3561">
        <v>-8.7503890000000001E-2</v>
      </c>
      <c r="N3561">
        <v>0</v>
      </c>
      <c r="O3561">
        <v>-0.99606399999999995</v>
      </c>
      <c r="P3561">
        <v>-6.2628779999999995E-2</v>
      </c>
      <c r="Q3561">
        <v>3.3050540000000003E-2</v>
      </c>
      <c r="R3561">
        <v>-0.99748959999999998</v>
      </c>
      <c r="S3561">
        <v>-0.61323549999999905</v>
      </c>
      <c r="T3561">
        <v>-0.43381760000000003</v>
      </c>
      <c r="U3561">
        <v>-2.9824220000000001</v>
      </c>
      <c r="V3561">
        <v>-2.5241610000000001E-2</v>
      </c>
      <c r="W3561">
        <v>4.697817E-2</v>
      </c>
      <c r="X3561">
        <v>0.99857689999999999</v>
      </c>
      <c r="Y3561">
        <v>0.1128878</v>
      </c>
      <c r="Z3561">
        <v>0.14121989999999901</v>
      </c>
      <c r="AA3561">
        <v>0.98352090000000003</v>
      </c>
      <c r="AB3561">
        <v>26</v>
      </c>
      <c r="AC3561">
        <v>-0.133200000000016</v>
      </c>
      <c r="AD3561">
        <v>-0.107953999999999</v>
      </c>
      <c r="AE3561">
        <v>-0.47909999999998798</v>
      </c>
      <c r="AF3561">
        <v>8.6676665801460107E-2</v>
      </c>
      <c r="AG3561">
        <v>-0.107953999999999</v>
      </c>
      <c r="AH3561">
        <v>0.46691331604580399</v>
      </c>
      <c r="AI3561">
        <v>102.807061224553</v>
      </c>
      <c r="AJ3561">
        <v>79.483463214029499</v>
      </c>
      <c r="AK3561">
        <v>0.48700611414164702</v>
      </c>
      <c r="AL3561">
        <v>87.307357971589894</v>
      </c>
      <c r="AM3561">
        <v>91.447990446846703</v>
      </c>
      <c r="AN3561">
        <v>0.99999995627277405</v>
      </c>
    </row>
    <row r="3562" spans="1:40" x14ac:dyDescent="0.25">
      <c r="A3562" t="str">
        <f>"20190312151343547"</f>
        <v>20190312151343547</v>
      </c>
      <c r="B3562" t="str">
        <f>"1552374823543830"</f>
        <v>1552374823543830</v>
      </c>
      <c r="C3562" t="s">
        <v>40</v>
      </c>
      <c r="D3562">
        <v>4.9598409999999999</v>
      </c>
      <c r="E3562">
        <v>0.55212830000000002</v>
      </c>
      <c r="F3562" t="s">
        <v>41</v>
      </c>
      <c r="G3562">
        <v>-189.1335</v>
      </c>
      <c r="H3562">
        <v>1.0108950000000001</v>
      </c>
      <c r="I3562">
        <v>181.37700000000001</v>
      </c>
      <c r="J3562">
        <v>-189.00530000000001</v>
      </c>
      <c r="K3562">
        <v>1.113267</v>
      </c>
      <c r="L3562">
        <v>181.83109999999999</v>
      </c>
      <c r="M3562">
        <v>-8.338632E-2</v>
      </c>
      <c r="N3562">
        <v>0</v>
      </c>
      <c r="O3562">
        <v>-0.99641729999999995</v>
      </c>
      <c r="P3562">
        <v>-6.1230949999999999E-2</v>
      </c>
      <c r="Q3562">
        <v>3.4416620000000002E-2</v>
      </c>
      <c r="R3562">
        <v>-0.99753040000000004</v>
      </c>
      <c r="S3562">
        <v>-0.61071779999999998</v>
      </c>
      <c r="T3562">
        <v>-0.42669760000000001</v>
      </c>
      <c r="U3562">
        <v>-2.9833219999999998</v>
      </c>
      <c r="V3562">
        <v>-2.251688E-2</v>
      </c>
      <c r="W3562">
        <v>4.8361340000000003E-2</v>
      </c>
      <c r="X3562">
        <v>0.99857600000000002</v>
      </c>
      <c r="Y3562">
        <v>0.11620270000000001</v>
      </c>
      <c r="Z3562">
        <v>0.13896549999999999</v>
      </c>
      <c r="AA3562">
        <v>0.98345590000000005</v>
      </c>
      <c r="AB3562">
        <v>26</v>
      </c>
      <c r="AC3562">
        <v>-0.12819999999999199</v>
      </c>
      <c r="AD3562">
        <v>-0.10237199999999901</v>
      </c>
      <c r="AE3562">
        <v>-0.45409999999998202</v>
      </c>
      <c r="AF3562">
        <v>8.5843185731514601E-2</v>
      </c>
      <c r="AG3562">
        <v>-0.10237199999999901</v>
      </c>
      <c r="AH3562">
        <v>0.4423857557491</v>
      </c>
      <c r="AI3562">
        <v>102.79874968367101</v>
      </c>
      <c r="AJ3562">
        <v>79.018458357742105</v>
      </c>
      <c r="AK3562">
        <v>0.46211928742505198</v>
      </c>
      <c r="AL3562">
        <v>87.228017883552297</v>
      </c>
      <c r="AM3562">
        <v>91.291743043385097</v>
      </c>
      <c r="AN3562">
        <v>0.99999992843376195</v>
      </c>
    </row>
    <row r="3563" spans="1:40" x14ac:dyDescent="0.25">
      <c r="A3563" t="str">
        <f>"20190312151343569"</f>
        <v>20190312151343569</v>
      </c>
      <c r="B3563" t="str">
        <f>"1552374823564326"</f>
        <v>1552374823564326</v>
      </c>
      <c r="C3563" t="s">
        <v>40</v>
      </c>
      <c r="D3563">
        <v>4.4044749999999997</v>
      </c>
      <c r="E3563">
        <v>0.55199069999999995</v>
      </c>
      <c r="F3563" t="s">
        <v>41</v>
      </c>
      <c r="G3563">
        <v>-189.18889999999999</v>
      </c>
      <c r="H3563">
        <v>0.99437929999999997</v>
      </c>
      <c r="I3563">
        <v>180.91990000000001</v>
      </c>
      <c r="J3563">
        <v>-189.02189999999999</v>
      </c>
      <c r="K3563">
        <v>1.1132679999999999</v>
      </c>
      <c r="L3563">
        <v>181.5796</v>
      </c>
      <c r="M3563">
        <v>-7.9436279999999998E-2</v>
      </c>
      <c r="N3563">
        <v>0</v>
      </c>
      <c r="O3563">
        <v>-0.99673999999999996</v>
      </c>
      <c r="P3563">
        <v>-6.0280180000000003E-2</v>
      </c>
      <c r="Q3563">
        <v>3.6030920000000001E-2</v>
      </c>
      <c r="R3563">
        <v>-0.99753119999999995</v>
      </c>
      <c r="S3563">
        <v>-0.60118099999999997</v>
      </c>
      <c r="T3563">
        <v>-0.38944319999999999</v>
      </c>
      <c r="U3563">
        <v>-2.9839479999999998</v>
      </c>
      <c r="V3563">
        <v>-1.9514460000000001E-2</v>
      </c>
      <c r="W3563">
        <v>4.9994429999999999E-2</v>
      </c>
      <c r="X3563">
        <v>0.99855879999999997</v>
      </c>
      <c r="Y3563">
        <v>0.117394899999999</v>
      </c>
      <c r="Z3563">
        <v>0.12710589999999999</v>
      </c>
      <c r="AA3563">
        <v>0.9849175</v>
      </c>
      <c r="AB3563">
        <v>26</v>
      </c>
      <c r="AC3563">
        <v>-0.16700000000000101</v>
      </c>
      <c r="AD3563">
        <v>-0.118888699999999</v>
      </c>
      <c r="AE3563">
        <v>-0.65969999999998596</v>
      </c>
      <c r="AF3563">
        <v>0.11068451831041901</v>
      </c>
      <c r="AG3563">
        <v>-0.118888699999999</v>
      </c>
      <c r="AH3563">
        <v>0.65101189757072098</v>
      </c>
      <c r="AI3563">
        <v>100.20607138783301</v>
      </c>
      <c r="AJ3563">
        <v>80.350885824540001</v>
      </c>
      <c r="AK3563">
        <v>0.67097099517037995</v>
      </c>
      <c r="AL3563">
        <v>87.134335460214601</v>
      </c>
      <c r="AM3563">
        <v>91.119567411705702</v>
      </c>
      <c r="AN3563">
        <v>0.99999996711877703</v>
      </c>
    </row>
    <row r="3564" spans="1:40" x14ac:dyDescent="0.25">
      <c r="A3564" t="str">
        <f>"20190312151343591"</f>
        <v>20190312151343591</v>
      </c>
      <c r="B3564" t="str">
        <f>"1552374823583855"</f>
        <v>1552374823583855</v>
      </c>
      <c r="C3564" t="s">
        <v>40</v>
      </c>
      <c r="D3564">
        <v>5.053261</v>
      </c>
      <c r="E3564">
        <v>0.55730059999999904</v>
      </c>
      <c r="F3564" t="s">
        <v>41</v>
      </c>
      <c r="G3564">
        <v>-189.20150000000001</v>
      </c>
      <c r="H3564">
        <v>1.0011589999999999</v>
      </c>
      <c r="I3564">
        <v>180.6833</v>
      </c>
      <c r="J3564">
        <v>-189.03819999999999</v>
      </c>
      <c r="K3564">
        <v>1.1132629999999999</v>
      </c>
      <c r="L3564">
        <v>181.315</v>
      </c>
      <c r="M3564">
        <v>-7.528609E-2</v>
      </c>
      <c r="N3564">
        <v>0</v>
      </c>
      <c r="O3564">
        <v>-0.99706209999999995</v>
      </c>
      <c r="P3564">
        <v>-6.0075719999999999E-2</v>
      </c>
      <c r="Q3564">
        <v>3.6673879999999999E-2</v>
      </c>
      <c r="R3564">
        <v>-0.99752030000000003</v>
      </c>
      <c r="S3564">
        <v>-0.59764099999999998</v>
      </c>
      <c r="T3564">
        <v>-0.37361630000000001</v>
      </c>
      <c r="U3564">
        <v>-2.9847869999999999</v>
      </c>
      <c r="V3564">
        <v>-1.556127E-2</v>
      </c>
      <c r="W3564">
        <v>5.0663529999999998E-2</v>
      </c>
      <c r="X3564">
        <v>0.99859450000000005</v>
      </c>
      <c r="Y3564">
        <v>0.120477</v>
      </c>
      <c r="Z3564">
        <v>0.1220366</v>
      </c>
      <c r="AA3564">
        <v>0.98518649999999997</v>
      </c>
      <c r="AB3564">
        <v>26</v>
      </c>
      <c r="AC3564">
        <v>-0.16330000000002001</v>
      </c>
      <c r="AD3564">
        <v>-0.112103999999999</v>
      </c>
      <c r="AE3564">
        <v>-0.63169999999999504</v>
      </c>
      <c r="AF3564">
        <v>0.111968121598535</v>
      </c>
      <c r="AG3564">
        <v>-0.112103999999999</v>
      </c>
      <c r="AH3564">
        <v>0.62378766094649496</v>
      </c>
      <c r="AI3564">
        <v>100.03117141525099</v>
      </c>
      <c r="AJ3564">
        <v>79.823934450668105</v>
      </c>
      <c r="AK3564">
        <v>0.64359553526994195</v>
      </c>
      <c r="AL3564">
        <v>87.095950188251095</v>
      </c>
      <c r="AM3564">
        <v>90.892777734241903</v>
      </c>
      <c r="AN3564">
        <v>0.99999996091316101</v>
      </c>
    </row>
    <row r="3565" spans="1:40" x14ac:dyDescent="0.25">
      <c r="A3565" t="str">
        <f>"20190312151343613"</f>
        <v>20190312151343613</v>
      </c>
      <c r="B3565" t="str">
        <f>"1552374823603365"</f>
        <v>1552374823603365</v>
      </c>
      <c r="C3565" t="s">
        <v>40</v>
      </c>
      <c r="D3565">
        <v>5.0033190000000003</v>
      </c>
      <c r="E3565">
        <v>0.5634285</v>
      </c>
      <c r="F3565" t="s">
        <v>41</v>
      </c>
      <c r="G3565">
        <v>-189.2253</v>
      </c>
      <c r="H3565">
        <v>1.0164979999999999</v>
      </c>
      <c r="I3565">
        <v>180.44329999999999</v>
      </c>
      <c r="J3565">
        <v>-189.05289999999999</v>
      </c>
      <c r="K3565">
        <v>1.1132409999999999</v>
      </c>
      <c r="L3565">
        <v>181.06059999999999</v>
      </c>
      <c r="M3565">
        <v>-7.1305729999999998E-2</v>
      </c>
      <c r="N3565">
        <v>0</v>
      </c>
      <c r="O3565">
        <v>-0.99735479999999999</v>
      </c>
      <c r="P3565">
        <v>-6.2446260000000003E-2</v>
      </c>
      <c r="Q3565">
        <v>3.6854600000000001E-2</v>
      </c>
      <c r="R3565">
        <v>-0.99736769999999997</v>
      </c>
      <c r="S3565">
        <v>-0.63964840000000001</v>
      </c>
      <c r="T3565">
        <v>-0.33100889999999999</v>
      </c>
      <c r="U3565">
        <v>-2.9811399999999999</v>
      </c>
      <c r="V3565">
        <v>-9.1959680000000005E-3</v>
      </c>
      <c r="W3565">
        <v>5.088736E-2</v>
      </c>
      <c r="X3565">
        <v>0.9986621</v>
      </c>
      <c r="Y3565">
        <v>0.13829759999999999</v>
      </c>
      <c r="Z3565">
        <v>0.1081925</v>
      </c>
      <c r="AA3565">
        <v>0.98446339999999999</v>
      </c>
      <c r="AB3565">
        <v>26</v>
      </c>
      <c r="AC3565">
        <v>-0.17240000000000999</v>
      </c>
      <c r="AD3565">
        <v>-9.6742999999999996E-2</v>
      </c>
      <c r="AE3565">
        <v>-0.61729999999999996</v>
      </c>
      <c r="AF3565">
        <v>0.12508963055324801</v>
      </c>
      <c r="AG3565">
        <v>-9.6742999999999996E-2</v>
      </c>
      <c r="AH3565">
        <v>0.61403260657115699</v>
      </c>
      <c r="AI3565">
        <v>98.776183226294407</v>
      </c>
      <c r="AJ3565">
        <v>78.485370150234601</v>
      </c>
      <c r="AK3565">
        <v>0.63406834462344597</v>
      </c>
      <c r="AL3565">
        <v>87.083109339360107</v>
      </c>
      <c r="AM3565">
        <v>90.527581114345494</v>
      </c>
      <c r="AN3565">
        <v>1.00000003960581</v>
      </c>
    </row>
    <row r="3566" spans="1:40" x14ac:dyDescent="0.25">
      <c r="A3566" t="str">
        <f>"20190312151343637"</f>
        <v>20190312151343637</v>
      </c>
      <c r="B3566" t="str">
        <f>"1552374823633622"</f>
        <v>1552374823633622</v>
      </c>
      <c r="C3566" t="s">
        <v>40</v>
      </c>
      <c r="D3566">
        <v>5.1671139999999998</v>
      </c>
      <c r="E3566">
        <v>0.56898950000000004</v>
      </c>
      <c r="F3566" t="s">
        <v>41</v>
      </c>
      <c r="G3566">
        <v>-189.25219999999999</v>
      </c>
      <c r="H3566">
        <v>1.021401</v>
      </c>
      <c r="I3566">
        <v>180.2089</v>
      </c>
      <c r="J3566">
        <v>-189.0677</v>
      </c>
      <c r="K3566">
        <v>1.1132139999999999</v>
      </c>
      <c r="L3566">
        <v>180.78559999999999</v>
      </c>
      <c r="M3566">
        <v>-6.7030359999999997E-2</v>
      </c>
      <c r="N3566">
        <v>0</v>
      </c>
      <c r="O3566">
        <v>-0.99765139999999997</v>
      </c>
      <c r="P3566">
        <v>-6.4379980000000003E-2</v>
      </c>
      <c r="Q3566">
        <v>3.6468970000000003E-2</v>
      </c>
      <c r="R3566">
        <v>-0.99725909999999995</v>
      </c>
      <c r="S3566">
        <v>-0.69604489999999997</v>
      </c>
      <c r="T3566">
        <v>-0.32095400000000002</v>
      </c>
      <c r="U3566">
        <v>-2.9761959999999998</v>
      </c>
      <c r="V3566">
        <v>-2.971006E-3</v>
      </c>
      <c r="W3566">
        <v>5.0542579999999997E-2</v>
      </c>
      <c r="X3566">
        <v>0.99871750000000004</v>
      </c>
      <c r="Y3566">
        <v>0.1606842</v>
      </c>
      <c r="Z3566">
        <v>0.10476679999999999</v>
      </c>
      <c r="AA3566">
        <v>0.98142980000000002</v>
      </c>
      <c r="AB3566">
        <v>26</v>
      </c>
      <c r="AC3566">
        <v>-0.18449999999998501</v>
      </c>
      <c r="AD3566">
        <v>-9.1812999999999895E-2</v>
      </c>
      <c r="AE3566">
        <v>-0.576699999999988</v>
      </c>
      <c r="AF3566">
        <v>0.14215617410640999</v>
      </c>
      <c r="AG3566">
        <v>-9.1812999999999895E-2</v>
      </c>
      <c r="AH3566">
        <v>0.57456038742078896</v>
      </c>
      <c r="AI3566">
        <v>98.817426006217403</v>
      </c>
      <c r="AJ3566">
        <v>76.103114706585799</v>
      </c>
      <c r="AK3566">
        <v>0.59896380825447204</v>
      </c>
      <c r="AL3566">
        <v>87.102889150998394</v>
      </c>
      <c r="AM3566">
        <v>90.170444197251499</v>
      </c>
      <c r="AN3566">
        <v>1.00000001203797</v>
      </c>
    </row>
    <row r="3567" spans="1:40" x14ac:dyDescent="0.25">
      <c r="A3567" t="str">
        <f>"20190312151343659"</f>
        <v>20190312151343659</v>
      </c>
      <c r="B3567" t="str">
        <f>"1552374823654118"</f>
        <v>1552374823654118</v>
      </c>
      <c r="C3567" t="s">
        <v>40</v>
      </c>
      <c r="D3567">
        <v>5.1541930000000002</v>
      </c>
      <c r="E3567">
        <v>0.61778959999999905</v>
      </c>
      <c r="F3567" t="s">
        <v>41</v>
      </c>
      <c r="G3567">
        <v>-189.27109999999999</v>
      </c>
      <c r="H3567">
        <v>1.0241359999999999</v>
      </c>
      <c r="I3567">
        <v>179.9753</v>
      </c>
      <c r="J3567">
        <v>-189.08090000000001</v>
      </c>
      <c r="K3567">
        <v>1.113175</v>
      </c>
      <c r="L3567">
        <v>180.5224</v>
      </c>
      <c r="M3567">
        <v>-6.298281E-2</v>
      </c>
      <c r="N3567">
        <v>0</v>
      </c>
      <c r="O3567">
        <v>-0.99791510000000005</v>
      </c>
      <c r="P3567">
        <v>-6.4421800000000001E-2</v>
      </c>
      <c r="Q3567">
        <v>3.6273350000000003E-2</v>
      </c>
      <c r="R3567">
        <v>-0.99726340000000002</v>
      </c>
      <c r="S3567">
        <v>-0.74615480000000001</v>
      </c>
      <c r="T3567">
        <v>-0.3266462</v>
      </c>
      <c r="U3567">
        <v>-2.9720309999999999</v>
      </c>
      <c r="V3567">
        <v>1.130252E-3</v>
      </c>
      <c r="W3567">
        <v>5.0370659999999998E-2</v>
      </c>
      <c r="X3567">
        <v>0.99872989999999995</v>
      </c>
      <c r="Y3567">
        <v>0.1805435</v>
      </c>
      <c r="Z3567">
        <v>0.1063983</v>
      </c>
      <c r="AA3567">
        <v>0.97779519999999998</v>
      </c>
      <c r="AB3567">
        <v>26</v>
      </c>
      <c r="AC3567">
        <v>-0.190199999999975</v>
      </c>
      <c r="AD3567">
        <v>-8.9038999999999799E-2</v>
      </c>
      <c r="AE3567">
        <v>-0.54710000000000003</v>
      </c>
      <c r="AF3567">
        <v>0.15177446088212301</v>
      </c>
      <c r="AG3567">
        <v>-8.9038999999999799E-2</v>
      </c>
      <c r="AH3567">
        <v>0.54511274369112095</v>
      </c>
      <c r="AI3567">
        <v>98.942458311550496</v>
      </c>
      <c r="AJ3567">
        <v>74.4413270575929</v>
      </c>
      <c r="AK3567">
        <v>0.57281003293545896</v>
      </c>
      <c r="AL3567">
        <v>87.112751816157996</v>
      </c>
      <c r="AM3567">
        <v>89.935159003710297</v>
      </c>
      <c r="AN3567">
        <v>0.99999994700621297</v>
      </c>
    </row>
    <row r="3568" spans="1:40" x14ac:dyDescent="0.25">
      <c r="A3568" t="str">
        <f>"20190312151343680"</f>
        <v>20190312151343680</v>
      </c>
      <c r="B3568" t="str">
        <f>"1552374823673642"</f>
        <v>1552374823673642</v>
      </c>
      <c r="C3568" t="s">
        <v>40</v>
      </c>
      <c r="D3568">
        <v>5.1688780000000003</v>
      </c>
      <c r="E3568">
        <v>0.61781819999999998</v>
      </c>
      <c r="F3568" t="s">
        <v>42</v>
      </c>
      <c r="G3568">
        <v>-192.15539999999999</v>
      </c>
      <c r="H3568" s="1">
        <v>-1.8362559999999999E-6</v>
      </c>
      <c r="I3568">
        <v>172.5326</v>
      </c>
      <c r="J3568">
        <v>-189.09209999999999</v>
      </c>
      <c r="K3568">
        <v>1.1131200000000001</v>
      </c>
      <c r="L3568">
        <v>180.2799</v>
      </c>
      <c r="M3568">
        <v>-5.9312700000000003E-2</v>
      </c>
      <c r="N3568">
        <v>0</v>
      </c>
      <c r="O3568">
        <v>-0.99813989999999997</v>
      </c>
      <c r="P3568">
        <v>-6.7311789999999996E-2</v>
      </c>
      <c r="Q3568">
        <v>3.618528E-2</v>
      </c>
      <c r="R3568">
        <v>-0.99707579999999996</v>
      </c>
      <c r="S3568">
        <v>-1.1351469999999999</v>
      </c>
      <c r="T3568">
        <v>-0.41098990000000002</v>
      </c>
      <c r="U3568">
        <v>-2.949875</v>
      </c>
      <c r="V3568">
        <v>7.7075889999999999E-3</v>
      </c>
      <c r="W3568">
        <v>5.0321610000000003E-2</v>
      </c>
      <c r="X3568">
        <v>0.99870329999999996</v>
      </c>
      <c r="Y3568">
        <v>0.3001085</v>
      </c>
      <c r="Z3568">
        <v>0.12989899999999999</v>
      </c>
      <c r="AA3568">
        <v>0.9450191</v>
      </c>
      <c r="AB3568">
        <v>26</v>
      </c>
      <c r="AC3568">
        <v>-3.0632999999999901</v>
      </c>
      <c r="AD3568">
        <v>-1.113121836256</v>
      </c>
      <c r="AE3568">
        <v>-7.7472999999999903</v>
      </c>
      <c r="AF3568">
        <v>2.5527736088098099</v>
      </c>
      <c r="AG3568">
        <v>-1.113121836256</v>
      </c>
      <c r="AH3568">
        <v>7.7765381311477997</v>
      </c>
      <c r="AI3568">
        <v>97.744621066148795</v>
      </c>
      <c r="AJ3568">
        <v>71.826746717850796</v>
      </c>
      <c r="AK3568">
        <v>8.2601597215418092</v>
      </c>
      <c r="AL3568">
        <v>87.115565827677003</v>
      </c>
      <c r="AM3568">
        <v>89.557823076615705</v>
      </c>
      <c r="AN3568">
        <v>0.99999997639603699</v>
      </c>
    </row>
    <row r="3569" spans="1:40" x14ac:dyDescent="0.25">
      <c r="A3569" t="str">
        <f>"20190312151343703"</f>
        <v>20190312151343703</v>
      </c>
      <c r="B3569" t="str">
        <f>"1552374823694134"</f>
        <v>1552374823694134</v>
      </c>
      <c r="C3569" t="s">
        <v>40</v>
      </c>
      <c r="D3569">
        <v>5.1383970000000003</v>
      </c>
      <c r="E3569">
        <v>0.61715030000000004</v>
      </c>
      <c r="F3569" t="s">
        <v>42</v>
      </c>
      <c r="G3569">
        <v>-192.28389999999999</v>
      </c>
      <c r="H3569" s="1">
        <v>-1.666037E-6</v>
      </c>
      <c r="I3569">
        <v>172.05619999999999</v>
      </c>
      <c r="J3569">
        <v>-189.10319999999999</v>
      </c>
      <c r="K3569">
        <v>1.1130519999999999</v>
      </c>
      <c r="L3569">
        <v>180.01929999999999</v>
      </c>
      <c r="M3569">
        <v>-5.5454749999999997E-2</v>
      </c>
      <c r="N3569">
        <v>0</v>
      </c>
      <c r="O3569">
        <v>-0.99836179999999997</v>
      </c>
      <c r="P3569">
        <v>-7.0335739999999994E-2</v>
      </c>
      <c r="Q3569">
        <v>3.6022520000000002E-2</v>
      </c>
      <c r="R3569">
        <v>-0.9968728</v>
      </c>
      <c r="S3569">
        <v>-1.1434329999999999</v>
      </c>
      <c r="T3569">
        <v>-0.39876430000000002</v>
      </c>
      <c r="U3569">
        <v>-2.946075</v>
      </c>
      <c r="V3569">
        <v>1.460965E-2</v>
      </c>
      <c r="W3569">
        <v>5.0195879999999998E-2</v>
      </c>
      <c r="X3569">
        <v>0.99863259999999998</v>
      </c>
      <c r="Y3569">
        <v>0.30668250000000002</v>
      </c>
      <c r="Z3569">
        <v>0.1260955</v>
      </c>
      <c r="AA3569">
        <v>0.94342239999999999</v>
      </c>
      <c r="AB3569">
        <v>26</v>
      </c>
      <c r="AC3569">
        <v>-3.1806999999999999</v>
      </c>
      <c r="AD3569">
        <v>-1.1130536660370001</v>
      </c>
      <c r="AE3569">
        <v>-7.9630999999999901</v>
      </c>
      <c r="AF3569">
        <v>2.6888636851909</v>
      </c>
      <c r="AG3569">
        <v>-1.1130536660370001</v>
      </c>
      <c r="AH3569">
        <v>7.9925774598881301</v>
      </c>
      <c r="AI3569">
        <v>97.519106794576402</v>
      </c>
      <c r="AJ3569">
        <v>71.406026164671701</v>
      </c>
      <c r="AK3569">
        <v>8.5058903609985794</v>
      </c>
      <c r="AL3569">
        <v>87.122779008371694</v>
      </c>
      <c r="AM3569">
        <v>89.161842328930604</v>
      </c>
      <c r="AN3569">
        <v>1.00000006901242</v>
      </c>
    </row>
    <row r="3570" spans="1:40" x14ac:dyDescent="0.25">
      <c r="A3570" t="str">
        <f>"20190312151343726"</f>
        <v>20190312151343726</v>
      </c>
      <c r="B3570" t="str">
        <f>"1552374823723414"</f>
        <v>1552374823723414</v>
      </c>
      <c r="C3570" t="s">
        <v>40</v>
      </c>
      <c r="D3570">
        <v>5.1293490000000004</v>
      </c>
      <c r="E3570">
        <v>0.61667930000000004</v>
      </c>
      <c r="F3570" t="s">
        <v>42</v>
      </c>
      <c r="G3570">
        <v>-192.38079999999999</v>
      </c>
      <c r="H3570" s="1">
        <v>-1.4990200000000001E-6</v>
      </c>
      <c r="I3570">
        <v>171.60669999999999</v>
      </c>
      <c r="J3570">
        <v>-189.11359999999999</v>
      </c>
      <c r="K3570">
        <v>1.1129579999999999</v>
      </c>
      <c r="L3570">
        <v>179.7544</v>
      </c>
      <c r="M3570">
        <v>-5.1657099999999997E-2</v>
      </c>
      <c r="N3570">
        <v>0</v>
      </c>
      <c r="O3570">
        <v>-0.99856549999999999</v>
      </c>
      <c r="P3570">
        <v>-7.3123579999999994E-2</v>
      </c>
      <c r="Q3570">
        <v>3.6064239999999997E-2</v>
      </c>
      <c r="R3570">
        <v>-0.99667059999999996</v>
      </c>
      <c r="S3570">
        <v>-1.1464540000000001</v>
      </c>
      <c r="T3570">
        <v>-0.38933240000000002</v>
      </c>
      <c r="U3570">
        <v>-2.942612</v>
      </c>
      <c r="V3570">
        <v>2.1215589999999999E-2</v>
      </c>
      <c r="W3570">
        <v>5.0267319999999997E-2</v>
      </c>
      <c r="X3570">
        <v>0.99851040000000002</v>
      </c>
      <c r="Y3570">
        <v>0.31164259999999999</v>
      </c>
      <c r="Z3570">
        <v>0.1232082</v>
      </c>
      <c r="AA3570">
        <v>0.94217759999999995</v>
      </c>
      <c r="AB3570">
        <v>26</v>
      </c>
      <c r="AC3570">
        <v>-3.2671999999999999</v>
      </c>
      <c r="AD3570">
        <v>-1.11295949901999</v>
      </c>
      <c r="AE3570">
        <v>-8.1477000000000093</v>
      </c>
      <c r="AF3570">
        <v>2.7969497098001299</v>
      </c>
      <c r="AG3570">
        <v>-1.11295949901999</v>
      </c>
      <c r="AH3570">
        <v>8.1742157693637605</v>
      </c>
      <c r="AI3570">
        <v>97.340552514273497</v>
      </c>
      <c r="AJ3570">
        <v>71.110728330348493</v>
      </c>
      <c r="AK3570">
        <v>8.7108788287821497</v>
      </c>
      <c r="AL3570">
        <v>87.118680315215897</v>
      </c>
      <c r="AM3570">
        <v>88.782805971507898</v>
      </c>
      <c r="AN3570">
        <v>0.99999996181359396</v>
      </c>
    </row>
    <row r="3571" spans="1:40" x14ac:dyDescent="0.25">
      <c r="A3571" t="str">
        <f>"20190312151343747"</f>
        <v>20190312151343747</v>
      </c>
      <c r="B3571" t="str">
        <f>"1552374823743910"</f>
        <v>1552374823743910</v>
      </c>
      <c r="C3571" t="s">
        <v>40</v>
      </c>
      <c r="D3571">
        <v>5.1941949999999997</v>
      </c>
      <c r="E3571">
        <v>0.61717650000000002</v>
      </c>
      <c r="F3571" t="s">
        <v>42</v>
      </c>
      <c r="G3571">
        <v>-192.4708</v>
      </c>
      <c r="H3571" s="1">
        <v>-1.3389650000000001E-6</v>
      </c>
      <c r="I3571">
        <v>171.17779999999999</v>
      </c>
      <c r="J3571">
        <v>-189.12270000000001</v>
      </c>
      <c r="K3571">
        <v>1.112854</v>
      </c>
      <c r="L3571">
        <v>179.50299999999999</v>
      </c>
      <c r="M3571">
        <v>-4.8201649999999999E-2</v>
      </c>
      <c r="N3571">
        <v>0</v>
      </c>
      <c r="O3571">
        <v>-0.99873860000000003</v>
      </c>
      <c r="P3571">
        <v>-7.5735250000000004E-2</v>
      </c>
      <c r="Q3571">
        <v>3.5811519999999999E-2</v>
      </c>
      <c r="R3571">
        <v>-0.99648479999999995</v>
      </c>
      <c r="S3571">
        <v>-1.150574</v>
      </c>
      <c r="T3571">
        <v>-0.38143650000000001</v>
      </c>
      <c r="U3571">
        <v>-2.9394070000000001</v>
      </c>
      <c r="V3571">
        <v>2.7304640000000002E-2</v>
      </c>
      <c r="W3571">
        <v>5.0036339999999999E-2</v>
      </c>
      <c r="X3571">
        <v>0.99837410000000004</v>
      </c>
      <c r="Y3571">
        <v>0.31652529999999901</v>
      </c>
      <c r="Z3571">
        <v>0.120771</v>
      </c>
      <c r="AA3571">
        <v>0.94086460000000005</v>
      </c>
      <c r="AB3571">
        <v>26</v>
      </c>
      <c r="AC3571">
        <v>-3.3480999999999801</v>
      </c>
      <c r="AD3571">
        <v>-1.112855338965</v>
      </c>
      <c r="AE3571">
        <v>-8.3251999999999899</v>
      </c>
      <c r="AF3571">
        <v>2.8983010572215901</v>
      </c>
      <c r="AG3571">
        <v>-1.112855338965</v>
      </c>
      <c r="AH3571">
        <v>8.3485136970087499</v>
      </c>
      <c r="AI3571">
        <v>97.177312533286297</v>
      </c>
      <c r="AJ3571">
        <v>70.854853974526307</v>
      </c>
      <c r="AK3571">
        <v>8.9070913868050905</v>
      </c>
      <c r="AL3571">
        <v>87.131931311238603</v>
      </c>
      <c r="AM3571">
        <v>88.433402113872802</v>
      </c>
      <c r="AN3571">
        <v>1.0000000111184599</v>
      </c>
    </row>
    <row r="3572" spans="1:40" x14ac:dyDescent="0.25">
      <c r="A3572" t="str">
        <f>"20190312151343770"</f>
        <v>20190312151343770</v>
      </c>
      <c r="B3572" t="str">
        <f>"1552374823763430"</f>
        <v>1552374823763430</v>
      </c>
      <c r="C3572" t="s">
        <v>40</v>
      </c>
      <c r="D3572">
        <v>5.1888489999999896</v>
      </c>
      <c r="E3572">
        <v>0.61673529999999999</v>
      </c>
      <c r="F3572" t="s">
        <v>42</v>
      </c>
      <c r="G3572">
        <v>-192.4478</v>
      </c>
      <c r="H3572" s="1">
        <v>-1.3021190000000001E-6</v>
      </c>
      <c r="I3572">
        <v>171.1062</v>
      </c>
      <c r="J3572">
        <v>-189.13130000000001</v>
      </c>
      <c r="K3572">
        <v>1.1127419999999999</v>
      </c>
      <c r="L3572">
        <v>179.2458</v>
      </c>
      <c r="M3572">
        <v>-4.480075E-2</v>
      </c>
      <c r="N3572">
        <v>0</v>
      </c>
      <c r="O3572">
        <v>-0.99889709999999998</v>
      </c>
      <c r="P3572">
        <v>-7.8165410000000005E-2</v>
      </c>
      <c r="Q3572">
        <v>3.5219830000000001E-2</v>
      </c>
      <c r="R3572">
        <v>-0.99631820000000004</v>
      </c>
      <c r="S3572">
        <v>-1.162704</v>
      </c>
      <c r="T3572">
        <v>-0.38914490000000002</v>
      </c>
      <c r="U3572">
        <v>-2.936188</v>
      </c>
      <c r="V3572">
        <v>3.3157909999999999E-2</v>
      </c>
      <c r="W3572">
        <v>4.9461030000000003E-2</v>
      </c>
      <c r="X3572">
        <v>0.99822549999999999</v>
      </c>
      <c r="Y3572">
        <v>0.32335399999999997</v>
      </c>
      <c r="Z3572">
        <v>0.1230917</v>
      </c>
      <c r="AA3572">
        <v>0.93823800000000002</v>
      </c>
      <c r="AB3572">
        <v>26</v>
      </c>
      <c r="AC3572">
        <v>-3.3164999999999898</v>
      </c>
      <c r="AD3572">
        <v>-1.1127433021190001</v>
      </c>
      <c r="AE3572">
        <v>-8.1395999999999997</v>
      </c>
      <c r="AF3572">
        <v>2.9019606230159298</v>
      </c>
      <c r="AG3572">
        <v>-1.1127433021190001</v>
      </c>
      <c r="AH3572">
        <v>8.1494036418385605</v>
      </c>
      <c r="AI3572">
        <v>97.329754519557994</v>
      </c>
      <c r="AJ3572">
        <v>70.399447695642607</v>
      </c>
      <c r="AK3572">
        <v>8.7219466193939397</v>
      </c>
      <c r="AL3572">
        <v>87.164934965817096</v>
      </c>
      <c r="AM3572">
        <v>88.097513999662397</v>
      </c>
      <c r="AN3572">
        <v>0.99999999466723899</v>
      </c>
    </row>
    <row r="3573" spans="1:40" x14ac:dyDescent="0.25">
      <c r="A3573" t="str">
        <f>"20190312151343792"</f>
        <v>20190312151343792</v>
      </c>
      <c r="B3573" t="str">
        <f>"1552374823783939"</f>
        <v>1552374823783939</v>
      </c>
      <c r="C3573" t="s">
        <v>40</v>
      </c>
      <c r="D3573">
        <v>5.1030329999999999</v>
      </c>
      <c r="E3573">
        <v>0.61633059999999995</v>
      </c>
      <c r="F3573" t="s">
        <v>42</v>
      </c>
      <c r="G3573">
        <v>-192.55510000000001</v>
      </c>
      <c r="H3573" s="1">
        <v>-1.1289319999999999E-6</v>
      </c>
      <c r="I3573">
        <v>170.63589999999999</v>
      </c>
      <c r="J3573">
        <v>-189.13919999999999</v>
      </c>
      <c r="K3573">
        <v>1.1126210000000001</v>
      </c>
      <c r="L3573">
        <v>178.98349999999999</v>
      </c>
      <c r="M3573">
        <v>-4.1499090000000002E-2</v>
      </c>
      <c r="N3573">
        <v>0</v>
      </c>
      <c r="O3573">
        <v>-0.99903980000000003</v>
      </c>
      <c r="P3573">
        <v>-8.0334500000000003E-2</v>
      </c>
      <c r="Q3573">
        <v>3.5529739999999997E-2</v>
      </c>
      <c r="R3573">
        <v>-0.99613479999999999</v>
      </c>
      <c r="S3573">
        <v>-1.1663669999999999</v>
      </c>
      <c r="T3573">
        <v>-0.37906250000000002</v>
      </c>
      <c r="U3573">
        <v>-2.9329990000000001</v>
      </c>
      <c r="V3573">
        <v>3.8646050000000001E-2</v>
      </c>
      <c r="W3573">
        <v>4.9780119999999997E-2</v>
      </c>
      <c r="X3573">
        <v>0.99801220000000002</v>
      </c>
      <c r="Y3573">
        <v>0.3279765</v>
      </c>
      <c r="Z3573">
        <v>0.1199723</v>
      </c>
      <c r="AA3573">
        <v>0.9370368</v>
      </c>
      <c r="AB3573">
        <v>26</v>
      </c>
      <c r="AC3573">
        <v>-3.4159000000000201</v>
      </c>
      <c r="AD3573">
        <v>-1.112622128932</v>
      </c>
      <c r="AE3573">
        <v>-8.3475999999999999</v>
      </c>
      <c r="AF3573">
        <v>3.0205407328863401</v>
      </c>
      <c r="AG3573">
        <v>-1.112622128932</v>
      </c>
      <c r="AH3573">
        <v>8.3550382571711097</v>
      </c>
      <c r="AI3573">
        <v>97.138273527870595</v>
      </c>
      <c r="AJ3573">
        <v>70.1238977148261</v>
      </c>
      <c r="AK3573">
        <v>8.9536729111358309</v>
      </c>
      <c r="AL3573">
        <v>87.146629819769402</v>
      </c>
      <c r="AM3573">
        <v>87.782442122433594</v>
      </c>
      <c r="AN3573">
        <v>0.99999996443832795</v>
      </c>
    </row>
    <row r="3574" spans="1:40" x14ac:dyDescent="0.25">
      <c r="A3574" t="str">
        <f>"20190312151343816"</f>
        <v>20190312151343816</v>
      </c>
      <c r="B3574" t="str">
        <f>"1552374823803446"</f>
        <v>1552374823803446</v>
      </c>
      <c r="C3574" t="s">
        <v>40</v>
      </c>
      <c r="D3574">
        <v>5.1093679999999999</v>
      </c>
      <c r="E3574">
        <v>0.61570329999999995</v>
      </c>
      <c r="F3574" t="s">
        <v>42</v>
      </c>
      <c r="G3574">
        <v>-192.75579999999999</v>
      </c>
      <c r="H3574" s="1">
        <v>-8.7704589999999999E-7</v>
      </c>
      <c r="I3574">
        <v>169.92429999999999</v>
      </c>
      <c r="J3574">
        <v>-189.1465</v>
      </c>
      <c r="K3574">
        <v>1.112492</v>
      </c>
      <c r="L3574">
        <v>178.7234</v>
      </c>
      <c r="M3574">
        <v>-3.8420349999999999E-2</v>
      </c>
      <c r="N3574">
        <v>0</v>
      </c>
      <c r="O3574">
        <v>-0.99916300000000002</v>
      </c>
      <c r="P3574">
        <v>-8.2484650000000007E-2</v>
      </c>
      <c r="Q3574">
        <v>3.5642640000000003E-2</v>
      </c>
      <c r="R3574">
        <v>-0.99595480000000003</v>
      </c>
      <c r="S3574">
        <v>-1.1697850000000001</v>
      </c>
      <c r="T3574">
        <v>-0.35987019999999997</v>
      </c>
      <c r="U3574">
        <v>-2.930145</v>
      </c>
      <c r="V3574">
        <v>4.3893620000000001E-2</v>
      </c>
      <c r="W3574">
        <v>4.9895370000000001E-2</v>
      </c>
      <c r="X3574">
        <v>0.99778940000000005</v>
      </c>
      <c r="Y3574">
        <v>0.33239849999999999</v>
      </c>
      <c r="Z3574">
        <v>0.11399239999999999</v>
      </c>
      <c r="AA3574">
        <v>0.93622490000000003</v>
      </c>
      <c r="AB3574">
        <v>26</v>
      </c>
      <c r="AC3574">
        <v>-3.60929999999999</v>
      </c>
      <c r="AD3574">
        <v>-1.1124928770458999</v>
      </c>
      <c r="AE3574">
        <v>-8.7991000000000099</v>
      </c>
      <c r="AF3574">
        <v>3.2244171920173201</v>
      </c>
      <c r="AG3574">
        <v>-1.1124928770458999</v>
      </c>
      <c r="AH3574">
        <v>8.8107294115033792</v>
      </c>
      <c r="AI3574">
        <v>96.762258058754199</v>
      </c>
      <c r="AJ3574">
        <v>69.899150702937007</v>
      </c>
      <c r="AK3574">
        <v>9.4479341335757301</v>
      </c>
      <c r="AL3574">
        <v>87.140018201542304</v>
      </c>
      <c r="AM3574">
        <v>87.481133025482805</v>
      </c>
      <c r="AN3574">
        <v>0.99999994228824896</v>
      </c>
    </row>
    <row r="3575" spans="1:40" x14ac:dyDescent="0.25">
      <c r="A3575" t="str">
        <f>"20190312151343839"</f>
        <v>20190312151343839</v>
      </c>
      <c r="B3575" t="str">
        <f>"1552374823833704"</f>
        <v>1552374823833704</v>
      </c>
      <c r="C3575" t="s">
        <v>40</v>
      </c>
      <c r="D3575">
        <v>5.143669</v>
      </c>
      <c r="E3575">
        <v>0.61509550000000002</v>
      </c>
      <c r="F3575" t="s">
        <v>42</v>
      </c>
      <c r="G3575">
        <v>-192.91159999999999</v>
      </c>
      <c r="H3575" s="1">
        <v>-5.1338059999999996E-6</v>
      </c>
      <c r="I3575">
        <v>169.3099</v>
      </c>
      <c r="J3575">
        <v>-189.1533</v>
      </c>
      <c r="K3575">
        <v>1.1123419999999999</v>
      </c>
      <c r="L3575">
        <v>178.45570000000001</v>
      </c>
      <c r="M3575">
        <v>-3.5471839999999998E-2</v>
      </c>
      <c r="N3575">
        <v>0</v>
      </c>
      <c r="O3575">
        <v>-0.9992723</v>
      </c>
      <c r="P3575">
        <v>-8.4576699999999894E-2</v>
      </c>
      <c r="Q3575">
        <v>3.6355899999999997E-2</v>
      </c>
      <c r="R3575">
        <v>-0.99575389999999997</v>
      </c>
      <c r="S3575">
        <v>-1.1709590000000001</v>
      </c>
      <c r="T3575">
        <v>-0.34598570000000001</v>
      </c>
      <c r="U3575">
        <v>-2.927597</v>
      </c>
      <c r="V3575">
        <v>4.895236E-2</v>
      </c>
      <c r="W3575">
        <v>5.0602580000000001E-2</v>
      </c>
      <c r="X3575">
        <v>0.99751840000000003</v>
      </c>
      <c r="Y3575">
        <v>0.33596120000000002</v>
      </c>
      <c r="Z3575">
        <v>0.10967789999999999</v>
      </c>
      <c r="AA3575">
        <v>0.93546830000000003</v>
      </c>
      <c r="AB3575">
        <v>26</v>
      </c>
      <c r="AC3575">
        <v>-3.75829999999999</v>
      </c>
      <c r="AD3575">
        <v>-1.112347133806</v>
      </c>
      <c r="AE3575">
        <v>-9.1457999999999995</v>
      </c>
      <c r="AF3575">
        <v>3.3886002919304299</v>
      </c>
      <c r="AG3575">
        <v>-1.112347133806</v>
      </c>
      <c r="AH3575">
        <v>9.1574793402502106</v>
      </c>
      <c r="AI3575">
        <v>96.499089634662397</v>
      </c>
      <c r="AJ3575">
        <v>69.693694059631596</v>
      </c>
      <c r="AK3575">
        <v>9.8274796337446997</v>
      </c>
      <c r="AL3575">
        <v>87.099446838409705</v>
      </c>
      <c r="AM3575">
        <v>87.190512647224296</v>
      </c>
      <c r="AN3575">
        <v>0.99999995649539197</v>
      </c>
    </row>
    <row r="3576" spans="1:40" x14ac:dyDescent="0.25">
      <c r="A3576" t="str">
        <f>"20190312151343862"</f>
        <v>20190312151343862</v>
      </c>
      <c r="B3576" t="str">
        <f>"1552374823854199"</f>
        <v>1552374823854199</v>
      </c>
      <c r="C3576" t="s">
        <v>40</v>
      </c>
      <c r="D3576">
        <v>5.0818240000000001</v>
      </c>
      <c r="E3576">
        <v>0.6148536</v>
      </c>
      <c r="F3576" t="s">
        <v>42</v>
      </c>
      <c r="G3576">
        <v>-193.10839999999999</v>
      </c>
      <c r="H3576" s="1">
        <v>-4.8896109999999998E-6</v>
      </c>
      <c r="I3576">
        <v>168.5831</v>
      </c>
      <c r="J3576">
        <v>-189.15950000000001</v>
      </c>
      <c r="K3576">
        <v>1.112187</v>
      </c>
      <c r="L3576">
        <v>178.19309999999999</v>
      </c>
      <c r="M3576">
        <v>-3.2800370000000002E-2</v>
      </c>
      <c r="N3576">
        <v>0</v>
      </c>
      <c r="O3576">
        <v>-0.99936380000000002</v>
      </c>
      <c r="P3576">
        <v>-8.7104409999999993E-2</v>
      </c>
      <c r="Q3576">
        <v>3.6853469999999999E-2</v>
      </c>
      <c r="R3576">
        <v>-0.99551780000000001</v>
      </c>
      <c r="S3576">
        <v>-1.1719059999999999</v>
      </c>
      <c r="T3576">
        <v>-0.32959189999999999</v>
      </c>
      <c r="U3576">
        <v>-2.925262</v>
      </c>
      <c r="V3576">
        <v>5.4172419999999999E-2</v>
      </c>
      <c r="W3576">
        <v>5.1089280000000001E-2</v>
      </c>
      <c r="X3576">
        <v>0.99722370000000005</v>
      </c>
      <c r="Y3576">
        <v>0.33919759999999999</v>
      </c>
      <c r="Z3576">
        <v>0.1045652</v>
      </c>
      <c r="AA3576">
        <v>0.93488559999999998</v>
      </c>
      <c r="AB3576">
        <v>26</v>
      </c>
      <c r="AC3576">
        <v>-3.9488999999999801</v>
      </c>
      <c r="AD3576">
        <v>-1.1121918896109999</v>
      </c>
      <c r="AE3576">
        <v>-9.6099999999999799</v>
      </c>
      <c r="AF3576">
        <v>3.5903894085937602</v>
      </c>
      <c r="AG3576">
        <v>-1.1121918896109999</v>
      </c>
      <c r="AH3576">
        <v>9.6240821355298802</v>
      </c>
      <c r="AI3576">
        <v>96.179581341347998</v>
      </c>
      <c r="AJ3576">
        <v>69.541313533161897</v>
      </c>
      <c r="AK3576">
        <v>10.3320290289992</v>
      </c>
      <c r="AL3576">
        <v>87.071524806276898</v>
      </c>
      <c r="AM3576">
        <v>86.890564015699894</v>
      </c>
      <c r="AN3576">
        <v>0.99999993673063003</v>
      </c>
    </row>
    <row r="3577" spans="1:40" x14ac:dyDescent="0.25">
      <c r="A3577" t="str">
        <f>"20190312151343883"</f>
        <v>20190312151343883</v>
      </c>
      <c r="B3577" t="str">
        <f>"1552374823873718"</f>
        <v>1552374823873718</v>
      </c>
      <c r="C3577" t="s">
        <v>40</v>
      </c>
      <c r="D3577">
        <v>5.101826</v>
      </c>
      <c r="E3577">
        <v>0.6148188</v>
      </c>
      <c r="F3577" t="s">
        <v>42</v>
      </c>
      <c r="G3577">
        <v>-193.23179999999999</v>
      </c>
      <c r="H3577" s="1">
        <v>-4.7205329999999901E-6</v>
      </c>
      <c r="I3577">
        <v>168.08580000000001</v>
      </c>
      <c r="J3577">
        <v>-189.16499999999999</v>
      </c>
      <c r="K3577">
        <v>1.112039</v>
      </c>
      <c r="L3577">
        <v>177.94139999999999</v>
      </c>
      <c r="M3577">
        <v>-3.0437570000000001E-2</v>
      </c>
      <c r="N3577">
        <v>0</v>
      </c>
      <c r="O3577">
        <v>-0.99943850000000001</v>
      </c>
      <c r="P3577">
        <v>-9.061843E-2</v>
      </c>
      <c r="Q3577">
        <v>3.7748780000000003E-2</v>
      </c>
      <c r="R3577">
        <v>-0.9951702</v>
      </c>
      <c r="S3577">
        <v>-1.17746</v>
      </c>
      <c r="T3577">
        <v>-0.32157419999999998</v>
      </c>
      <c r="U3577">
        <v>-2.9223940000000002</v>
      </c>
      <c r="V3577">
        <v>6.0070239999999997E-2</v>
      </c>
      <c r="W3577">
        <v>5.1972150000000002E-2</v>
      </c>
      <c r="X3577">
        <v>0.99684019999999995</v>
      </c>
      <c r="Y3577">
        <v>0.34336080000000002</v>
      </c>
      <c r="Z3577">
        <v>0.10203950000000001</v>
      </c>
      <c r="AA3577">
        <v>0.93364409999999998</v>
      </c>
      <c r="AB3577">
        <v>26</v>
      </c>
      <c r="AC3577">
        <v>-4.0667999999999997</v>
      </c>
      <c r="AD3577">
        <v>-1.1120437205329901</v>
      </c>
      <c r="AE3577">
        <v>-9.8555999999999795</v>
      </c>
      <c r="AF3577">
        <v>3.72438757498912</v>
      </c>
      <c r="AG3577">
        <v>-1.1120437205329901</v>
      </c>
      <c r="AH3577">
        <v>9.8674794760082101</v>
      </c>
      <c r="AI3577">
        <v>96.018882052220206</v>
      </c>
      <c r="AJ3577">
        <v>69.321456221039199</v>
      </c>
      <c r="AK3577">
        <v>10.6054163168898</v>
      </c>
      <c r="AL3577">
        <v>87.020872853811497</v>
      </c>
      <c r="AM3577">
        <v>86.551489203164095</v>
      </c>
      <c r="AN3577">
        <v>0.999999961222659</v>
      </c>
    </row>
    <row r="3578" spans="1:40" x14ac:dyDescent="0.25">
      <c r="A3578" t="str">
        <f>"20190312151343903"</f>
        <v>20190312151343903</v>
      </c>
      <c r="B3578" t="str">
        <f>"1552374823894214"</f>
        <v>1552374823894214</v>
      </c>
      <c r="C3578" t="s">
        <v>40</v>
      </c>
      <c r="D3578">
        <v>5.1024890000000003</v>
      </c>
      <c r="E3578">
        <v>0.61488739999999997</v>
      </c>
      <c r="F3578" t="s">
        <v>42</v>
      </c>
      <c r="G3578">
        <v>-193.25049999999999</v>
      </c>
      <c r="H3578" s="1">
        <v>-4.6521849999999999E-6</v>
      </c>
      <c r="I3578">
        <v>167.89920000000001</v>
      </c>
      <c r="J3578">
        <v>-189.16980000000001</v>
      </c>
      <c r="K3578">
        <v>1.11192</v>
      </c>
      <c r="L3578">
        <v>177.70699999999999</v>
      </c>
      <c r="M3578">
        <v>-2.8407399999999999E-2</v>
      </c>
      <c r="N3578">
        <v>0</v>
      </c>
      <c r="O3578">
        <v>-0.99949860000000001</v>
      </c>
      <c r="P3578">
        <v>-9.4886650000000003E-2</v>
      </c>
      <c r="Q3578">
        <v>3.9706680000000001E-2</v>
      </c>
      <c r="R3578">
        <v>-0.99469640000000004</v>
      </c>
      <c r="S3578">
        <v>-1.1874389999999999</v>
      </c>
      <c r="T3578">
        <v>-0.32321060000000001</v>
      </c>
      <c r="U3578">
        <v>-2.9187159999999999</v>
      </c>
      <c r="V3578">
        <v>6.6385890000000003E-2</v>
      </c>
      <c r="W3578">
        <v>5.3917779999999998E-2</v>
      </c>
      <c r="X3578">
        <v>0.99633620000000001</v>
      </c>
      <c r="Y3578">
        <v>0.34839330000000002</v>
      </c>
      <c r="Z3578">
        <v>0.102519899999999</v>
      </c>
      <c r="AA3578">
        <v>0.93172509999999997</v>
      </c>
      <c r="AB3578">
        <v>26</v>
      </c>
      <c r="AC3578">
        <v>-4.08069999999997</v>
      </c>
      <c r="AD3578">
        <v>-1.1119246521849999</v>
      </c>
      <c r="AE3578">
        <v>-9.8077999999999808</v>
      </c>
      <c r="AF3578">
        <v>3.7592238870915602</v>
      </c>
      <c r="AG3578">
        <v>-1.1119246521849999</v>
      </c>
      <c r="AH3578">
        <v>9.8122672873448895</v>
      </c>
      <c r="AI3578">
        <v>96.040542178841704</v>
      </c>
      <c r="AJ3578">
        <v>69.037428987818004</v>
      </c>
      <c r="AK3578">
        <v>10.5663962628568</v>
      </c>
      <c r="AL3578">
        <v>86.909240048250197</v>
      </c>
      <c r="AM3578">
        <v>86.188016205344994</v>
      </c>
      <c r="AN3578">
        <v>1.00000001841083</v>
      </c>
    </row>
    <row r="3579" spans="1:40" x14ac:dyDescent="0.25">
      <c r="A3579" t="str">
        <f>"20190312151343927"</f>
        <v>20190312151343927</v>
      </c>
      <c r="B3579" t="str">
        <f>"1552374823923494"</f>
        <v>1552374823923494</v>
      </c>
      <c r="C3579" t="s">
        <v>40</v>
      </c>
      <c r="D3579">
        <v>5.1491069999999999</v>
      </c>
      <c r="E3579">
        <v>0.61485559999999995</v>
      </c>
      <c r="F3579" t="s">
        <v>42</v>
      </c>
      <c r="G3579">
        <v>-193.28280000000001</v>
      </c>
      <c r="H3579" s="1">
        <v>-4.5891270000000004E-6</v>
      </c>
      <c r="I3579">
        <v>167.7201</v>
      </c>
      <c r="J3579">
        <v>-189.1748</v>
      </c>
      <c r="K3579">
        <v>1.111799</v>
      </c>
      <c r="L3579">
        <v>177.44059999999999</v>
      </c>
      <c r="M3579">
        <v>-2.6282409999999999E-2</v>
      </c>
      <c r="N3579">
        <v>0</v>
      </c>
      <c r="O3579">
        <v>-0.99955700000000003</v>
      </c>
      <c r="P3579">
        <v>-9.8558930000000003E-2</v>
      </c>
      <c r="Q3579">
        <v>4.193318E-2</v>
      </c>
      <c r="R3579">
        <v>-0.99424769999999896</v>
      </c>
      <c r="S3579">
        <v>-1.200272</v>
      </c>
      <c r="T3579">
        <v>-0.32448650000000001</v>
      </c>
      <c r="U3579">
        <v>-2.9144290000000002</v>
      </c>
      <c r="V3579">
        <v>7.2198040000000005E-2</v>
      </c>
      <c r="W3579">
        <v>5.6126000000000002E-2</v>
      </c>
      <c r="X3579">
        <v>0.99580990000000003</v>
      </c>
      <c r="Y3579">
        <v>0.35435499999999998</v>
      </c>
      <c r="Z3579">
        <v>0.1028671</v>
      </c>
      <c r="AA3579">
        <v>0.92943580000000003</v>
      </c>
      <c r="AB3579">
        <v>26</v>
      </c>
      <c r="AC3579">
        <v>-4.1079999999999997</v>
      </c>
      <c r="AD3579">
        <v>-1.1118035891269999</v>
      </c>
      <c r="AE3579">
        <v>-9.7204999999999799</v>
      </c>
      <c r="AF3579">
        <v>3.80880092504426</v>
      </c>
      <c r="AG3579">
        <v>-1.1118035891269999</v>
      </c>
      <c r="AH3579">
        <v>9.7172612311973197</v>
      </c>
      <c r="AI3579">
        <v>96.080482023306004</v>
      </c>
      <c r="AJ3579">
        <v>68.596688521873304</v>
      </c>
      <c r="AK3579">
        <v>10.496105827531601</v>
      </c>
      <c r="AL3579">
        <v>86.782526393947293</v>
      </c>
      <c r="AM3579">
        <v>85.853206875714093</v>
      </c>
      <c r="AN3579">
        <v>1.00000002089692</v>
      </c>
    </row>
    <row r="3580" spans="1:40" x14ac:dyDescent="0.25">
      <c r="A3580" t="str">
        <f>"20190312151343949"</f>
        <v>20190312151343949</v>
      </c>
      <c r="B3580" t="str">
        <f>"1552374823943991"</f>
        <v>1552374823943991</v>
      </c>
      <c r="C3580" t="s">
        <v>40</v>
      </c>
      <c r="D3580">
        <v>5.0988360000000004</v>
      </c>
      <c r="E3580">
        <v>0.61483509999999997</v>
      </c>
      <c r="F3580" t="s">
        <v>42</v>
      </c>
      <c r="G3580">
        <v>-193.35400000000001</v>
      </c>
      <c r="H3580" s="1">
        <v>-4.4766529999999996E-6</v>
      </c>
      <c r="I3580">
        <v>167.39429999999999</v>
      </c>
      <c r="J3580">
        <v>-189.17939999999999</v>
      </c>
      <c r="K3580">
        <v>1.111693</v>
      </c>
      <c r="L3580">
        <v>177.18279999999999</v>
      </c>
      <c r="M3580">
        <v>-2.4396580000000001E-2</v>
      </c>
      <c r="N3580">
        <v>0</v>
      </c>
      <c r="O3580">
        <v>-0.99960479999999996</v>
      </c>
      <c r="P3580">
        <v>-0.1017385</v>
      </c>
      <c r="Q3580">
        <v>4.3725930000000003E-2</v>
      </c>
      <c r="R3580">
        <v>-0.99385009999999996</v>
      </c>
      <c r="S3580">
        <v>-1.210907</v>
      </c>
      <c r="T3580">
        <v>-0.3221406</v>
      </c>
      <c r="U3580">
        <v>-2.9108890000000001</v>
      </c>
      <c r="V3580">
        <v>7.7275510000000006E-2</v>
      </c>
      <c r="W3580">
        <v>5.7899340000000001E-2</v>
      </c>
      <c r="X3580">
        <v>0.99532719999999997</v>
      </c>
      <c r="Y3580">
        <v>0.35943989999999998</v>
      </c>
      <c r="Z3580">
        <v>0.1020821</v>
      </c>
      <c r="AA3580">
        <v>0.9275679</v>
      </c>
      <c r="AB3580">
        <v>26</v>
      </c>
      <c r="AC3580">
        <v>-4.1746000000000203</v>
      </c>
      <c r="AD3580">
        <v>-1.1116974766529999</v>
      </c>
      <c r="AE3580">
        <v>-9.7885000000000009</v>
      </c>
      <c r="AF3580">
        <v>3.8920519453426299</v>
      </c>
      <c r="AG3580">
        <v>-1.1116974766529999</v>
      </c>
      <c r="AH3580">
        <v>9.7806998129046594</v>
      </c>
      <c r="AI3580">
        <v>96.028546952417003</v>
      </c>
      <c r="AJ3580">
        <v>68.300815390123304</v>
      </c>
      <c r="AK3580">
        <v>10.5851796609691</v>
      </c>
      <c r="AL3580">
        <v>86.680756002711107</v>
      </c>
      <c r="AM3580">
        <v>85.560558770872703</v>
      </c>
      <c r="AN3580">
        <v>1.00000003653901</v>
      </c>
    </row>
    <row r="3581" spans="1:40" x14ac:dyDescent="0.25">
      <c r="A3581" t="str">
        <f>"20190312151343971"</f>
        <v>20190312151343971</v>
      </c>
      <c r="B3581" t="str">
        <f>"1552374823963514"</f>
        <v>1552374823963514</v>
      </c>
      <c r="C3581" t="s">
        <v>40</v>
      </c>
      <c r="D3581">
        <v>5.2591060000000001</v>
      </c>
      <c r="E3581">
        <v>0.61473149999999999</v>
      </c>
      <c r="F3581" t="s">
        <v>42</v>
      </c>
      <c r="G3581">
        <v>-193.41059999999999</v>
      </c>
      <c r="H3581" s="1">
        <v>-4.3742369999999999E-6</v>
      </c>
      <c r="I3581">
        <v>167.10140000000001</v>
      </c>
      <c r="J3581">
        <v>-189.1833</v>
      </c>
      <c r="K3581">
        <v>1.1116090000000001</v>
      </c>
      <c r="L3581">
        <v>176.93879999999999</v>
      </c>
      <c r="M3581">
        <v>-2.272103E-2</v>
      </c>
      <c r="N3581">
        <v>0</v>
      </c>
      <c r="O3581">
        <v>-0.99964419999999998</v>
      </c>
      <c r="P3581">
        <v>-0.1048789</v>
      </c>
      <c r="Q3581">
        <v>4.4332499999999997E-2</v>
      </c>
      <c r="R3581">
        <v>-0.9934965</v>
      </c>
      <c r="S3581">
        <v>-1.220413</v>
      </c>
      <c r="T3581">
        <v>-0.3206444</v>
      </c>
      <c r="U3581">
        <v>-2.9077449999999998</v>
      </c>
      <c r="V3581">
        <v>8.210278E-2</v>
      </c>
      <c r="W3581">
        <v>5.849008E-2</v>
      </c>
      <c r="X3581">
        <v>0.99490610000000002</v>
      </c>
      <c r="Y3581">
        <v>0.36395569999999999</v>
      </c>
      <c r="Z3581">
        <v>0.10156660000000001</v>
      </c>
      <c r="AA3581">
        <v>0.92586199999999996</v>
      </c>
      <c r="AB3581">
        <v>26</v>
      </c>
      <c r="AC3581">
        <v>-4.2272999999999801</v>
      </c>
      <c r="AD3581">
        <v>-1.111613374237</v>
      </c>
      <c r="AE3581">
        <v>-9.8373999999999704</v>
      </c>
      <c r="AF3581">
        <v>3.9599884636553999</v>
      </c>
      <c r="AG3581">
        <v>-1.111613374237</v>
      </c>
      <c r="AH3581">
        <v>9.8250199159363092</v>
      </c>
      <c r="AI3581">
        <v>95.990583612791994</v>
      </c>
      <c r="AJ3581">
        <v>68.048029578924798</v>
      </c>
      <c r="AK3581">
        <v>10.6512069398078</v>
      </c>
      <c r="AL3581">
        <v>86.6468516867955</v>
      </c>
      <c r="AM3581">
        <v>85.282461642284204</v>
      </c>
      <c r="AN3581">
        <v>1.0000000518796699</v>
      </c>
    </row>
    <row r="3582" spans="1:40" x14ac:dyDescent="0.25">
      <c r="A3582" t="str">
        <f>"20190312151343994"</f>
        <v>20190312151343994</v>
      </c>
      <c r="B3582" t="str">
        <f>"1552374823984007"</f>
        <v>1552374823984007</v>
      </c>
      <c r="C3582" t="s">
        <v>40</v>
      </c>
      <c r="D3582">
        <v>5.0384229999999999</v>
      </c>
      <c r="E3582">
        <v>0.56040509999999999</v>
      </c>
      <c r="F3582" t="s">
        <v>42</v>
      </c>
      <c r="G3582">
        <v>-193.4812</v>
      </c>
      <c r="H3582" s="1">
        <v>-4.2657130000000002E-6</v>
      </c>
      <c r="I3582">
        <v>166.78630000000001</v>
      </c>
      <c r="J3582">
        <v>-189.1874</v>
      </c>
      <c r="K3582">
        <v>1.111518</v>
      </c>
      <c r="L3582">
        <v>176.66990000000001</v>
      </c>
      <c r="M3582">
        <v>-2.0998559999999999E-2</v>
      </c>
      <c r="N3582">
        <v>0</v>
      </c>
      <c r="O3582">
        <v>-0.99968210000000002</v>
      </c>
      <c r="P3582">
        <v>-0.107155399999999</v>
      </c>
      <c r="Q3582">
        <v>4.3707700000000002E-2</v>
      </c>
      <c r="R3582">
        <v>-0.99328139999999998</v>
      </c>
      <c r="S3582">
        <v>-1.2293700000000001</v>
      </c>
      <c r="T3582">
        <v>-0.31797229999999999</v>
      </c>
      <c r="U3582">
        <v>-2.904083</v>
      </c>
      <c r="V3582">
        <v>8.6112800000000003E-2</v>
      </c>
      <c r="W3582">
        <v>5.7846010000000003E-2</v>
      </c>
      <c r="X3582">
        <v>0.99460459999999995</v>
      </c>
      <c r="Y3582">
        <v>0.36842999999999998</v>
      </c>
      <c r="Z3582">
        <v>0.10070179999999999</v>
      </c>
      <c r="AA3582">
        <v>0.92418529999999999</v>
      </c>
      <c r="AB3582">
        <v>26</v>
      </c>
      <c r="AC3582">
        <v>-4.2938000000000001</v>
      </c>
      <c r="AD3582">
        <v>-1.1115222657129999</v>
      </c>
      <c r="AE3582">
        <v>-9.8835999999999995</v>
      </c>
      <c r="AF3582">
        <v>4.0422836393269099</v>
      </c>
      <c r="AG3582">
        <v>-1.1115222657129999</v>
      </c>
      <c r="AH3582">
        <v>9.8666169227095608</v>
      </c>
      <c r="AI3582">
        <v>95.951322651082805</v>
      </c>
      <c r="AJ3582">
        <v>67.721432168604693</v>
      </c>
      <c r="AK3582">
        <v>10.7203389996513</v>
      </c>
      <c r="AL3582">
        <v>86.683816405055595</v>
      </c>
      <c r="AM3582">
        <v>85.051674962810395</v>
      </c>
      <c r="AN3582">
        <v>0.99999994276895798</v>
      </c>
    </row>
    <row r="3583" spans="1:40" x14ac:dyDescent="0.25">
      <c r="A3583" t="str">
        <f>"20190312151344016"</f>
        <v>20190312151344016</v>
      </c>
      <c r="B3583" t="str">
        <f>"1552374824014263"</f>
        <v>1552374824014263</v>
      </c>
      <c r="C3583" t="s">
        <v>40</v>
      </c>
      <c r="D3583">
        <v>5.0029599999999999</v>
      </c>
      <c r="E3583">
        <v>0.53302309999999997</v>
      </c>
      <c r="F3583" t="s">
        <v>42</v>
      </c>
      <c r="G3583">
        <v>-192.94049999999999</v>
      </c>
      <c r="H3583" s="1">
        <v>-2.3626520000000002E-6</v>
      </c>
      <c r="I3583">
        <v>162.93459999999999</v>
      </c>
      <c r="J3583">
        <v>-189.1908</v>
      </c>
      <c r="K3583">
        <v>1.111423</v>
      </c>
      <c r="L3583">
        <v>176.4228</v>
      </c>
      <c r="M3583">
        <v>-1.9545779999999999E-2</v>
      </c>
      <c r="N3583">
        <v>0</v>
      </c>
      <c r="O3583">
        <v>-0.99971149999999998</v>
      </c>
      <c r="P3583">
        <v>-0.1088575</v>
      </c>
      <c r="Q3583">
        <v>4.2776929999999998E-2</v>
      </c>
      <c r="R3583">
        <v>-0.99313649999999998</v>
      </c>
      <c r="S3583">
        <v>-0.80444340000000003</v>
      </c>
      <c r="T3583">
        <v>-0.23824039999999999</v>
      </c>
      <c r="U3583">
        <v>-2.9439850000000001</v>
      </c>
      <c r="V3583">
        <v>8.9278800000000005E-2</v>
      </c>
      <c r="W3583">
        <v>5.6893430000000002E-2</v>
      </c>
      <c r="X3583">
        <v>0.99438040000000005</v>
      </c>
      <c r="Y3583">
        <v>0.2438775</v>
      </c>
      <c r="Z3583">
        <v>7.7999699999999894E-2</v>
      </c>
      <c r="AA3583">
        <v>0.96666430000000003</v>
      </c>
      <c r="AB3583">
        <v>26</v>
      </c>
      <c r="AC3583">
        <v>-3.74969999999999</v>
      </c>
      <c r="AD3583">
        <v>-1.1114253626520001</v>
      </c>
      <c r="AE3583">
        <v>-13.488200000000001</v>
      </c>
      <c r="AF3583">
        <v>3.4634912964278799</v>
      </c>
      <c r="AG3583">
        <v>-1.1114253626520001</v>
      </c>
      <c r="AH3583">
        <v>13.473998897305201</v>
      </c>
      <c r="AI3583">
        <v>94.567633158730999</v>
      </c>
      <c r="AJ3583">
        <v>75.5842178117245</v>
      </c>
      <c r="AK3583">
        <v>13.956349256942501</v>
      </c>
      <c r="AL3583">
        <v>86.738485362843306</v>
      </c>
      <c r="AM3583">
        <v>84.869549271524406</v>
      </c>
      <c r="AN3583">
        <v>0.99999997320538203</v>
      </c>
    </row>
    <row r="3584" spans="1:40" x14ac:dyDescent="0.25">
      <c r="A3584" t="str">
        <f>"20190312151344039"</f>
        <v>20190312151344039</v>
      </c>
      <c r="B3584" t="str">
        <f>"1552374824033783"</f>
        <v>1552374824033783</v>
      </c>
      <c r="C3584" t="s">
        <v>40</v>
      </c>
      <c r="D3584">
        <v>4.9393640000000003</v>
      </c>
      <c r="E3584">
        <v>0.52465010000000001</v>
      </c>
      <c r="F3584" t="s">
        <v>42</v>
      </c>
      <c r="G3584">
        <v>-192.38399999999999</v>
      </c>
      <c r="H3584" s="1">
        <v>-1.030832E-6</v>
      </c>
      <c r="I3584">
        <v>160.43039999999999</v>
      </c>
      <c r="J3584">
        <v>-189.1942</v>
      </c>
      <c r="K3584">
        <v>1.1112879999999901</v>
      </c>
      <c r="L3584">
        <v>176.16079999999999</v>
      </c>
      <c r="M3584">
        <v>-1.8177260000000001E-2</v>
      </c>
      <c r="N3584">
        <v>0</v>
      </c>
      <c r="O3584">
        <v>-0.9997374</v>
      </c>
      <c r="P3584">
        <v>-0.1099955</v>
      </c>
      <c r="Q3584">
        <v>4.2178599999999997E-2</v>
      </c>
      <c r="R3584">
        <v>-0.99303699999999995</v>
      </c>
      <c r="S3584">
        <v>-0.59197999999999995</v>
      </c>
      <c r="T3584">
        <v>-0.20603969999999999</v>
      </c>
      <c r="U3584">
        <v>-2.9647220000000001</v>
      </c>
      <c r="V3584">
        <v>9.1799039999999998E-2</v>
      </c>
      <c r="W3584">
        <v>5.626312E-2</v>
      </c>
      <c r="X3584">
        <v>0.99418680000000004</v>
      </c>
      <c r="Y3584">
        <v>0.17749570000000001</v>
      </c>
      <c r="Z3584">
        <v>6.8093589999999996E-2</v>
      </c>
      <c r="AA3584">
        <v>0.98176289999999999</v>
      </c>
      <c r="AB3584">
        <v>26</v>
      </c>
      <c r="AC3584">
        <v>-3.1898000000000102</v>
      </c>
      <c r="AD3584">
        <v>-1.11128903083199</v>
      </c>
      <c r="AE3584">
        <v>-15.730399999999999</v>
      </c>
      <c r="AF3584">
        <v>2.8894581704955602</v>
      </c>
      <c r="AG3584">
        <v>-1.11128903083199</v>
      </c>
      <c r="AH3584">
        <v>15.7104761378475</v>
      </c>
      <c r="AI3584">
        <v>93.979581122955693</v>
      </c>
      <c r="AJ3584">
        <v>79.578669548143296</v>
      </c>
      <c r="AK3584">
        <v>16.012588557349702</v>
      </c>
      <c r="AL3584">
        <v>86.774657488390403</v>
      </c>
      <c r="AM3584">
        <v>84.724506831010999</v>
      </c>
      <c r="AN3584">
        <v>0.99999999785564797</v>
      </c>
    </row>
    <row r="3585" spans="1:40" x14ac:dyDescent="0.25">
      <c r="A3585" t="str">
        <f>"20190312151344063"</f>
        <v>20190312151344063</v>
      </c>
      <c r="B3585" t="str">
        <f>"1552374824054279"</f>
        <v>1552374824054279</v>
      </c>
      <c r="C3585" t="s">
        <v>40</v>
      </c>
      <c r="D3585">
        <v>4.9425980000000003</v>
      </c>
      <c r="E3585">
        <v>0.51983059999999903</v>
      </c>
      <c r="F3585" t="s">
        <v>42</v>
      </c>
      <c r="G3585">
        <v>-192.05619999999999</v>
      </c>
      <c r="H3585" s="1">
        <v>-7.8159369999999997E-7</v>
      </c>
      <c r="I3585">
        <v>160.08770000000001</v>
      </c>
      <c r="J3585">
        <v>-189.19759999999999</v>
      </c>
      <c r="K3585">
        <v>1.1111219999999999</v>
      </c>
      <c r="L3585">
        <v>175.89429999999999</v>
      </c>
      <c r="M3585">
        <v>-1.7009750000000001E-2</v>
      </c>
      <c r="N3585">
        <v>0</v>
      </c>
      <c r="O3585">
        <v>-0.99975820000000004</v>
      </c>
      <c r="P3585">
        <v>-0.1109459</v>
      </c>
      <c r="Q3585">
        <v>4.1564919999999998E-2</v>
      </c>
      <c r="R3585">
        <v>-0.99295719999999998</v>
      </c>
      <c r="S3585">
        <v>-0.52903750000000005</v>
      </c>
      <c r="T3585">
        <v>-0.205425</v>
      </c>
      <c r="U3585">
        <v>-2.9711609999999999</v>
      </c>
      <c r="V3585">
        <v>9.3936060000000002E-2</v>
      </c>
      <c r="W3585">
        <v>5.5605639999999998E-2</v>
      </c>
      <c r="X3585">
        <v>0.99402420000000002</v>
      </c>
      <c r="Y3585">
        <v>0.1581214</v>
      </c>
      <c r="Z3585">
        <v>6.7994100000000002E-2</v>
      </c>
      <c r="AA3585">
        <v>0.98507579999999995</v>
      </c>
      <c r="AB3585">
        <v>26</v>
      </c>
      <c r="AC3585">
        <v>-2.8585999999999898</v>
      </c>
      <c r="AD3585">
        <v>-1.1111227815936999</v>
      </c>
      <c r="AE3585">
        <v>-15.8065999999999</v>
      </c>
      <c r="AF3585">
        <v>2.57696347911868</v>
      </c>
      <c r="AG3585">
        <v>-1.1111227815936999</v>
      </c>
      <c r="AH3585">
        <v>15.7774484251263</v>
      </c>
      <c r="AI3585">
        <v>93.975878045981005</v>
      </c>
      <c r="AJ3585">
        <v>80.723671695694804</v>
      </c>
      <c r="AK3585">
        <v>16.0250807616065</v>
      </c>
      <c r="AL3585">
        <v>86.812387522105695</v>
      </c>
      <c r="AM3585">
        <v>84.601536323545702</v>
      </c>
      <c r="AN3585">
        <v>1.0000000403768801</v>
      </c>
    </row>
    <row r="3586" spans="1:40" x14ac:dyDescent="0.25">
      <c r="A3586" t="str">
        <f>"20190312151344082"</f>
        <v>20190312151344082</v>
      </c>
      <c r="B3586" t="str">
        <f>"1552374824073799"</f>
        <v>1552374824073799</v>
      </c>
      <c r="C3586" t="s">
        <v>40</v>
      </c>
      <c r="D3586">
        <v>4.9361699999999997</v>
      </c>
      <c r="E3586">
        <v>0.51658149999999903</v>
      </c>
      <c r="F3586" t="s">
        <v>42</v>
      </c>
      <c r="G3586">
        <v>-191.80430000000001</v>
      </c>
      <c r="H3586" s="1">
        <v>-7.6225309999999895E-7</v>
      </c>
      <c r="I3586">
        <v>160.18860000000001</v>
      </c>
      <c r="J3586">
        <v>-189.2004</v>
      </c>
      <c r="K3586">
        <v>1.1109599999999999</v>
      </c>
      <c r="L3586">
        <v>175.6688</v>
      </c>
      <c r="M3586">
        <v>-1.625275E-2</v>
      </c>
      <c r="N3586">
        <v>0</v>
      </c>
      <c r="O3586">
        <v>-0.99977090000000002</v>
      </c>
      <c r="P3586">
        <v>-0.1123273</v>
      </c>
      <c r="Q3586">
        <v>4.1634730000000002E-2</v>
      </c>
      <c r="R3586">
        <v>-0.99279899999999999</v>
      </c>
      <c r="S3586">
        <v>-0.49375920000000001</v>
      </c>
      <c r="T3586">
        <v>-0.21046590000000001</v>
      </c>
      <c r="U3586">
        <v>-2.9749300000000001</v>
      </c>
      <c r="V3586">
        <v>9.6095990000000006E-2</v>
      </c>
      <c r="W3586">
        <v>5.5630390000000002E-2</v>
      </c>
      <c r="X3586">
        <v>0.99381629999999999</v>
      </c>
      <c r="Y3586">
        <v>0.14727889999999999</v>
      </c>
      <c r="Z3586">
        <v>6.9697129999999996E-2</v>
      </c>
      <c r="AA3586">
        <v>0.98663630000000002</v>
      </c>
      <c r="AB3586">
        <v>26</v>
      </c>
      <c r="AC3586">
        <v>-2.6038999999999999</v>
      </c>
      <c r="AD3586">
        <v>-1.1109607622530999</v>
      </c>
      <c r="AE3586">
        <v>-15.4801999999999</v>
      </c>
      <c r="AF3586">
        <v>2.3402142856361001</v>
      </c>
      <c r="AG3586">
        <v>-1.1109607622530999</v>
      </c>
      <c r="AH3586">
        <v>15.4431291983637</v>
      </c>
      <c r="AI3586">
        <v>94.068414395299001</v>
      </c>
      <c r="AJ3586">
        <v>81.383096111635595</v>
      </c>
      <c r="AK3586">
        <v>15.658897667310899</v>
      </c>
      <c r="AL3586">
        <v>86.810967152620506</v>
      </c>
      <c r="AM3586">
        <v>84.477016762129196</v>
      </c>
      <c r="AN3586">
        <v>1.00000000886566</v>
      </c>
    </row>
    <row r="3587" spans="1:40" x14ac:dyDescent="0.25">
      <c r="A3587" t="str">
        <f>"20190312151344106"</f>
        <v>20190312151344106</v>
      </c>
      <c r="B3587" t="str">
        <f>"1552374824094298"</f>
        <v>1552374824094298</v>
      </c>
      <c r="C3587" t="s">
        <v>40</v>
      </c>
      <c r="D3587">
        <v>4.8825019999999997</v>
      </c>
      <c r="E3587">
        <v>0.51400489999999999</v>
      </c>
      <c r="F3587" t="s">
        <v>42</v>
      </c>
      <c r="G3587">
        <v>-191.68180000000001</v>
      </c>
      <c r="H3587" s="1">
        <v>-6.5481539999999897E-7</v>
      </c>
      <c r="I3587">
        <v>160.03020000000001</v>
      </c>
      <c r="J3587">
        <v>-189.2038</v>
      </c>
      <c r="K3587">
        <v>1.110746</v>
      </c>
      <c r="L3587">
        <v>175.4075</v>
      </c>
      <c r="M3587">
        <v>-1.565805E-2</v>
      </c>
      <c r="N3587">
        <v>0</v>
      </c>
      <c r="O3587">
        <v>-0.99978040000000001</v>
      </c>
      <c r="P3587">
        <v>-0.11390019999999999</v>
      </c>
      <c r="Q3587">
        <v>4.2787980000000003E-2</v>
      </c>
      <c r="R3587">
        <v>-0.99257059999999997</v>
      </c>
      <c r="S3587">
        <v>-0.47239690000000001</v>
      </c>
      <c r="T3587">
        <v>-0.21149850000000001</v>
      </c>
      <c r="U3587">
        <v>-2.9771879999999999</v>
      </c>
      <c r="V3587">
        <v>9.8293060000000002E-2</v>
      </c>
      <c r="W3587">
        <v>5.672253E-2</v>
      </c>
      <c r="X3587">
        <v>0.99353959999999997</v>
      </c>
      <c r="Y3587">
        <v>0.14084150000000001</v>
      </c>
      <c r="Z3587">
        <v>7.0058990000000002E-2</v>
      </c>
      <c r="AA3587">
        <v>0.98755020000000004</v>
      </c>
      <c r="AB3587">
        <v>25</v>
      </c>
      <c r="AC3587">
        <v>-2.4780000000000002</v>
      </c>
      <c r="AD3587">
        <v>-1.1107466548153999</v>
      </c>
      <c r="AE3587">
        <v>-15.3772999999999</v>
      </c>
      <c r="AF3587">
        <v>2.22557603639539</v>
      </c>
      <c r="AG3587">
        <v>-1.1107466548153999</v>
      </c>
      <c r="AH3587">
        <v>15.3362260819718</v>
      </c>
      <c r="AI3587">
        <v>94.099695101556307</v>
      </c>
      <c r="AJ3587">
        <v>81.742941513405498</v>
      </c>
      <c r="AK3587">
        <v>15.5366269589738</v>
      </c>
      <c r="AL3587">
        <v>86.748292987240703</v>
      </c>
      <c r="AM3587">
        <v>84.349987840712899</v>
      </c>
      <c r="AN3587">
        <v>0.99999995391096097</v>
      </c>
    </row>
    <row r="3588" spans="1:40" x14ac:dyDescent="0.25">
      <c r="A3588" t="str">
        <f>"20190312151344127"</f>
        <v>20190312151344127</v>
      </c>
      <c r="B3588" t="str">
        <f>"1552374824123575"</f>
        <v>1552374824123575</v>
      </c>
      <c r="C3588" t="s">
        <v>40</v>
      </c>
      <c r="D3588">
        <v>4.9453509999999996</v>
      </c>
      <c r="E3588">
        <v>0.51128479999999998</v>
      </c>
      <c r="F3588" t="s">
        <v>41</v>
      </c>
      <c r="G3588">
        <v>-189.35169999999999</v>
      </c>
      <c r="H3588">
        <v>1.042111</v>
      </c>
      <c r="I3588">
        <v>174.44450000000001</v>
      </c>
      <c r="J3588">
        <v>-189.2073</v>
      </c>
      <c r="K3588">
        <v>1.1105229999999999</v>
      </c>
      <c r="L3588">
        <v>175.15969999999999</v>
      </c>
      <c r="M3588">
        <v>-1.5433489999999999E-2</v>
      </c>
      <c r="N3588">
        <v>0</v>
      </c>
      <c r="O3588">
        <v>-0.99978409999999995</v>
      </c>
      <c r="P3588">
        <v>-0.11645659999999999</v>
      </c>
      <c r="Q3588">
        <v>4.4340959999999999E-2</v>
      </c>
      <c r="R3588">
        <v>-0.99220569999999997</v>
      </c>
      <c r="S3588">
        <v>-0.45686339999999998</v>
      </c>
      <c r="T3588">
        <v>-0.2124009</v>
      </c>
      <c r="U3588">
        <v>-2.9792019999999999</v>
      </c>
      <c r="V3588">
        <v>0.1011084</v>
      </c>
      <c r="W3588">
        <v>5.8212559999999997E-2</v>
      </c>
      <c r="X3588">
        <v>0.99317089999999997</v>
      </c>
      <c r="Y3588">
        <v>0.13592879999999999</v>
      </c>
      <c r="Z3588">
        <v>7.0362259999999996E-2</v>
      </c>
      <c r="AA3588">
        <v>0.98821680000000001</v>
      </c>
      <c r="AB3588">
        <v>25</v>
      </c>
      <c r="AC3588">
        <v>-0.14439999999999001</v>
      </c>
      <c r="AD3588">
        <v>-6.8411999999999903E-2</v>
      </c>
      <c r="AE3588">
        <v>-0.71519999999998096</v>
      </c>
      <c r="AF3588">
        <v>0.132181638265888</v>
      </c>
      <c r="AG3588">
        <v>-6.8411999999999903E-2</v>
      </c>
      <c r="AH3588">
        <v>0.71109212918441</v>
      </c>
      <c r="AI3588">
        <v>95.403341683913197</v>
      </c>
      <c r="AJ3588">
        <v>79.469739234004393</v>
      </c>
      <c r="AK3588">
        <v>0.72650134440802805</v>
      </c>
      <c r="AL3588">
        <v>86.662779455758496</v>
      </c>
      <c r="AM3588">
        <v>84.187108186418399</v>
      </c>
      <c r="AN3588">
        <v>1.0000000236495601</v>
      </c>
    </row>
    <row r="3589" spans="1:40" x14ac:dyDescent="0.25">
      <c r="A3589" t="str">
        <f>"20190312151344150"</f>
        <v>20190312151344150</v>
      </c>
      <c r="B3589" t="str">
        <f>"1552374824144070"</f>
        <v>1552374824144070</v>
      </c>
      <c r="C3589" t="s">
        <v>40</v>
      </c>
      <c r="D3589">
        <v>4.9285389999999998</v>
      </c>
      <c r="E3589">
        <v>0.5097604</v>
      </c>
      <c r="F3589" t="s">
        <v>41</v>
      </c>
      <c r="G3589">
        <v>-189.34700000000001</v>
      </c>
      <c r="H3589">
        <v>1.043712</v>
      </c>
      <c r="I3589">
        <v>174.22120000000001</v>
      </c>
      <c r="J3589">
        <v>-189.21129999999999</v>
      </c>
      <c r="K3589">
        <v>1.110311</v>
      </c>
      <c r="L3589">
        <v>174.89349999999999</v>
      </c>
      <c r="M3589">
        <v>-1.5489289999999999E-2</v>
      </c>
      <c r="N3589">
        <v>0</v>
      </c>
      <c r="O3589">
        <v>-0.99978330000000004</v>
      </c>
      <c r="P3589">
        <v>-0.119407399999999</v>
      </c>
      <c r="Q3589">
        <v>4.4990620000000002E-2</v>
      </c>
      <c r="R3589">
        <v>-0.99182559999999997</v>
      </c>
      <c r="S3589">
        <v>-0.44335940000000001</v>
      </c>
      <c r="T3589">
        <v>-0.2122704</v>
      </c>
      <c r="U3589">
        <v>-2.981033</v>
      </c>
      <c r="V3589">
        <v>0.10403949999999999</v>
      </c>
      <c r="W3589">
        <v>5.8799959999999998E-2</v>
      </c>
      <c r="X3589">
        <v>0.99283350000000004</v>
      </c>
      <c r="Y3589">
        <v>0.13140470000000001</v>
      </c>
      <c r="Z3589">
        <v>7.0321729999999999E-2</v>
      </c>
      <c r="AA3589">
        <v>0.98883149999999997</v>
      </c>
      <c r="AB3589">
        <v>25</v>
      </c>
      <c r="AC3589">
        <v>-0.135700000000014</v>
      </c>
      <c r="AD3589">
        <v>-6.6599000000000005E-2</v>
      </c>
      <c r="AE3589">
        <v>-0.67229999999997803</v>
      </c>
      <c r="AF3589">
        <v>0.124099127560288</v>
      </c>
      <c r="AG3589">
        <v>-6.6599000000000005E-2</v>
      </c>
      <c r="AH3589">
        <v>0.66802263369204795</v>
      </c>
      <c r="AI3589">
        <v>95.598176047145699</v>
      </c>
      <c r="AJ3589">
        <v>79.4760832821393</v>
      </c>
      <c r="AK3589">
        <v>0.68270803377950995</v>
      </c>
      <c r="AL3589">
        <v>86.629066105443698</v>
      </c>
      <c r="AM3589">
        <v>84.017780957579902</v>
      </c>
      <c r="AN3589">
        <v>1.00000000578925</v>
      </c>
    </row>
    <row r="3590" spans="1:40" x14ac:dyDescent="0.25">
      <c r="A3590" t="str">
        <f>"20190312151344173"</f>
        <v>20190312151344173</v>
      </c>
      <c r="B3590" t="str">
        <f>"1552374824163599"</f>
        <v>1552374824163599</v>
      </c>
      <c r="C3590" t="s">
        <v>40</v>
      </c>
      <c r="D3590">
        <v>5.144406</v>
      </c>
      <c r="E3590">
        <v>0.50855760000000005</v>
      </c>
      <c r="F3590" t="s">
        <v>41</v>
      </c>
      <c r="G3590">
        <v>-189.34399999999999</v>
      </c>
      <c r="H3590">
        <v>1.0450900000000001</v>
      </c>
      <c r="I3590">
        <v>173.99449999999999</v>
      </c>
      <c r="J3590">
        <v>-189.21530000000001</v>
      </c>
      <c r="K3590">
        <v>1.1101270000000001</v>
      </c>
      <c r="L3590">
        <v>174.6464</v>
      </c>
      <c r="M3590">
        <v>-1.583089E-2</v>
      </c>
      <c r="N3590">
        <v>0</v>
      </c>
      <c r="O3590">
        <v>-0.9997779</v>
      </c>
      <c r="P3590">
        <v>-0.1234451</v>
      </c>
      <c r="Q3590">
        <v>4.4504160000000001E-2</v>
      </c>
      <c r="R3590">
        <v>-0.99135320000000005</v>
      </c>
      <c r="S3590">
        <v>-0.43986510000000001</v>
      </c>
      <c r="T3590">
        <v>-0.21632970000000001</v>
      </c>
      <c r="U3590">
        <v>-2.9815670000000001</v>
      </c>
      <c r="V3590">
        <v>0.10777050000000001</v>
      </c>
      <c r="W3590">
        <v>5.8255880000000003E-2</v>
      </c>
      <c r="X3590">
        <v>0.99246749999999995</v>
      </c>
      <c r="Y3590">
        <v>0.12989220000000001</v>
      </c>
      <c r="Z3590">
        <v>7.1659669999999995E-2</v>
      </c>
      <c r="AA3590">
        <v>0.98893520000000001</v>
      </c>
      <c r="AB3590">
        <v>25</v>
      </c>
      <c r="AC3590">
        <v>-0.128700000000009</v>
      </c>
      <c r="AD3590">
        <v>-6.5036999999999998E-2</v>
      </c>
      <c r="AE3590">
        <v>-0.65190000000001103</v>
      </c>
      <c r="AF3590">
        <v>0.117239588210434</v>
      </c>
      <c r="AG3590">
        <v>-6.5036999999999998E-2</v>
      </c>
      <c r="AH3590">
        <v>0.64765159101455805</v>
      </c>
      <c r="AI3590">
        <v>95.643291676599802</v>
      </c>
      <c r="AJ3590">
        <v>79.739283370692505</v>
      </c>
      <c r="AK3590">
        <v>0.66138303255862396</v>
      </c>
      <c r="AL3590">
        <v>86.660293048708795</v>
      </c>
      <c r="AM3590">
        <v>83.802623106737997</v>
      </c>
      <c r="AN3590">
        <v>0.99999998339053697</v>
      </c>
    </row>
    <row r="3591" spans="1:40" x14ac:dyDescent="0.25">
      <c r="A3591" t="str">
        <f>"20190312151344206"</f>
        <v>20190312151344206</v>
      </c>
      <c r="B3591" t="str">
        <f>"1552374824203607"</f>
        <v>1552374824203607</v>
      </c>
      <c r="C3591" t="s">
        <v>40</v>
      </c>
      <c r="D3591">
        <v>4.952375</v>
      </c>
      <c r="E3591">
        <v>0.50685939999999996</v>
      </c>
      <c r="F3591" t="s">
        <v>41</v>
      </c>
      <c r="G3591">
        <v>-189.346</v>
      </c>
      <c r="H3591">
        <v>1.04575</v>
      </c>
      <c r="I3591">
        <v>173.76740000000001</v>
      </c>
      <c r="J3591">
        <v>-189.22219999999999</v>
      </c>
      <c r="K3591">
        <v>1.109815</v>
      </c>
      <c r="L3591">
        <v>174.27170000000001</v>
      </c>
      <c r="M3591">
        <v>-1.6936079999999999E-2</v>
      </c>
      <c r="N3591">
        <v>0</v>
      </c>
      <c r="O3591">
        <v>-0.99975970000000003</v>
      </c>
      <c r="P3591">
        <v>-0.12867880000000001</v>
      </c>
      <c r="Q3591">
        <v>4.177438E-2</v>
      </c>
      <c r="R3591">
        <v>-0.99080599999999996</v>
      </c>
      <c r="S3591">
        <v>-0.4425964</v>
      </c>
      <c r="T3591">
        <v>-0.21834229999999999</v>
      </c>
      <c r="U3591">
        <v>-2.9808500000000002</v>
      </c>
      <c r="V3591">
        <v>0.11195430000000001</v>
      </c>
      <c r="W3591">
        <v>5.5430430000000003E-2</v>
      </c>
      <c r="X3591">
        <v>0.9921662</v>
      </c>
      <c r="Y3591">
        <v>0.12971009999999999</v>
      </c>
      <c r="Z3591">
        <v>7.2334079999999995E-2</v>
      </c>
      <c r="AA3591">
        <v>0.98890999999999996</v>
      </c>
      <c r="AB3591">
        <v>25</v>
      </c>
      <c r="AC3591">
        <v>-0.123799999999988</v>
      </c>
      <c r="AD3591">
        <v>-6.4064999999999997E-2</v>
      </c>
      <c r="AE3591">
        <v>-0.50429999999999997</v>
      </c>
      <c r="AF3591">
        <v>0.113512745730495</v>
      </c>
      <c r="AG3591">
        <v>-6.4064999999999997E-2</v>
      </c>
      <c r="AH3591">
        <v>0.49873321923504599</v>
      </c>
      <c r="AI3591">
        <v>97.139243986560501</v>
      </c>
      <c r="AJ3591">
        <v>77.177788512052999</v>
      </c>
      <c r="AK3591">
        <v>0.51548452123883304</v>
      </c>
      <c r="AL3591">
        <v>86.8224417991254</v>
      </c>
      <c r="AM3591">
        <v>83.562075778353105</v>
      </c>
      <c r="AN3591">
        <v>1.0000000331404499</v>
      </c>
    </row>
    <row r="3592" spans="1:40" x14ac:dyDescent="0.25">
      <c r="A3592" t="str">
        <f>"20190312151344228"</f>
        <v>20190312151344228</v>
      </c>
      <c r="B3592" t="str">
        <f>"1552374824224103"</f>
        <v>1552374824224103</v>
      </c>
      <c r="C3592" t="s">
        <v>40</v>
      </c>
      <c r="D3592">
        <v>4.9705309999999896</v>
      </c>
      <c r="E3592">
        <v>0.506212</v>
      </c>
      <c r="F3592" t="s">
        <v>41</v>
      </c>
      <c r="G3592">
        <v>-189.36420000000001</v>
      </c>
      <c r="H3592">
        <v>1.0367470000000001</v>
      </c>
      <c r="I3592">
        <v>173.32239999999999</v>
      </c>
      <c r="J3592">
        <v>-189.22739999999999</v>
      </c>
      <c r="K3592">
        <v>1.1095619999999999</v>
      </c>
      <c r="L3592">
        <v>174.02510000000001</v>
      </c>
      <c r="M3592">
        <v>-1.8130190000000001E-2</v>
      </c>
      <c r="N3592">
        <v>0</v>
      </c>
      <c r="O3592">
        <v>-0.99973880000000004</v>
      </c>
      <c r="P3592">
        <v>-0.13295499999999999</v>
      </c>
      <c r="Q3592">
        <v>4.1587840000000001E-2</v>
      </c>
      <c r="R3592">
        <v>-0.99024909999999999</v>
      </c>
      <c r="S3592">
        <v>-0.44535829999999998</v>
      </c>
      <c r="T3592">
        <v>-0.2293365</v>
      </c>
      <c r="U3592">
        <v>-2.97966</v>
      </c>
      <c r="V3592">
        <v>0.1150876</v>
      </c>
      <c r="W3592">
        <v>5.5163329999999997E-2</v>
      </c>
      <c r="X3592">
        <v>0.99182250000000005</v>
      </c>
      <c r="Y3592">
        <v>0.1294399</v>
      </c>
      <c r="Z3592">
        <v>7.59793E-2</v>
      </c>
      <c r="AA3592">
        <v>0.98867210000000005</v>
      </c>
      <c r="AB3592">
        <v>25</v>
      </c>
      <c r="AC3592">
        <v>-0.13680000000002199</v>
      </c>
      <c r="AD3592">
        <v>-7.2815000000000296E-2</v>
      </c>
      <c r="AE3592">
        <v>-0.70270000000002097</v>
      </c>
      <c r="AF3592">
        <v>0.12276612980872099</v>
      </c>
      <c r="AG3592">
        <v>-7.2815000000000296E-2</v>
      </c>
      <c r="AH3592">
        <v>0.697845450281671</v>
      </c>
      <c r="AI3592">
        <v>95.867375998299195</v>
      </c>
      <c r="AJ3592">
        <v>80.022524480085096</v>
      </c>
      <c r="AK3592">
        <v>0.71229335202010702</v>
      </c>
      <c r="AL3592">
        <v>86.837768879572394</v>
      </c>
      <c r="AM3592">
        <v>83.381199238325607</v>
      </c>
      <c r="AN3592">
        <v>1.0000000100783399</v>
      </c>
    </row>
    <row r="3593" spans="1:40" x14ac:dyDescent="0.25">
      <c r="A3593" t="str">
        <f>"20190312151344252"</f>
        <v>20190312151344252</v>
      </c>
      <c r="B3593" t="str">
        <f>"1552374824243622"</f>
        <v>1552374824243622</v>
      </c>
      <c r="C3593" t="s">
        <v>40</v>
      </c>
      <c r="D3593">
        <v>4.9777639999999996</v>
      </c>
      <c r="E3593">
        <v>0.50545850000000003</v>
      </c>
      <c r="F3593" t="s">
        <v>41</v>
      </c>
      <c r="G3593">
        <v>-189.369</v>
      </c>
      <c r="H3593">
        <v>1.0370079999999999</v>
      </c>
      <c r="I3593">
        <v>173.09639999999999</v>
      </c>
      <c r="J3593">
        <v>-189.23410000000001</v>
      </c>
      <c r="K3593">
        <v>1.1092850000000001</v>
      </c>
      <c r="L3593">
        <v>173.74950000000001</v>
      </c>
      <c r="M3593">
        <v>-1.9817359999999999E-2</v>
      </c>
      <c r="N3593">
        <v>0</v>
      </c>
      <c r="O3593">
        <v>-0.99970689999999995</v>
      </c>
      <c r="P3593">
        <v>-0.13779089999999999</v>
      </c>
      <c r="Q3593">
        <v>4.1799030000000001E-2</v>
      </c>
      <c r="R3593">
        <v>-0.98957930000000005</v>
      </c>
      <c r="S3593">
        <v>-0.45394899999999999</v>
      </c>
      <c r="T3593">
        <v>-0.23269429999999999</v>
      </c>
      <c r="U3593">
        <v>-2.978348</v>
      </c>
      <c r="V3593">
        <v>0.1182996</v>
      </c>
      <c r="W3593">
        <v>5.5283789999999999E-2</v>
      </c>
      <c r="X3593">
        <v>0.99143780000000004</v>
      </c>
      <c r="Y3593">
        <v>0.13060539999999901</v>
      </c>
      <c r="Z3593">
        <v>7.7092469999999996E-2</v>
      </c>
      <c r="AA3593">
        <v>0.98843259999999999</v>
      </c>
      <c r="AB3593">
        <v>25</v>
      </c>
      <c r="AC3593">
        <v>-0.13490000000001601</v>
      </c>
      <c r="AD3593">
        <v>-7.2277000000000105E-2</v>
      </c>
      <c r="AE3593">
        <v>-0.653100000000023</v>
      </c>
      <c r="AF3593">
        <v>0.12051395562514</v>
      </c>
      <c r="AG3593">
        <v>-7.2277000000000105E-2</v>
      </c>
      <c r="AH3593">
        <v>0.648033425448723</v>
      </c>
      <c r="AI3593">
        <v>96.257642887292107</v>
      </c>
      <c r="AJ3593">
        <v>79.465123581688303</v>
      </c>
      <c r="AK3593">
        <v>0.66309493945303499</v>
      </c>
      <c r="AL3593">
        <v>86.830856456298505</v>
      </c>
      <c r="AM3593">
        <v>83.195566974066196</v>
      </c>
      <c r="AN3593">
        <v>1.0000000020328801</v>
      </c>
    </row>
    <row r="3594" spans="1:40" x14ac:dyDescent="0.25">
      <c r="A3594" t="str">
        <f>"20190312151344273"</f>
        <v>20190312151344273</v>
      </c>
      <c r="B3594" t="str">
        <f>"1552374824264119"</f>
        <v>1552374824264119</v>
      </c>
      <c r="C3594" t="s">
        <v>40</v>
      </c>
      <c r="D3594">
        <v>4.9437340000000001</v>
      </c>
      <c r="E3594">
        <v>0.50470680000000001</v>
      </c>
      <c r="F3594" t="s">
        <v>41</v>
      </c>
      <c r="G3594">
        <v>-189.37110000000001</v>
      </c>
      <c r="H3594">
        <v>1.0398080000000001</v>
      </c>
      <c r="I3594">
        <v>172.869</v>
      </c>
      <c r="J3594">
        <v>-189.24080000000001</v>
      </c>
      <c r="K3594">
        <v>1.1090370000000001</v>
      </c>
      <c r="L3594">
        <v>173.50530000000001</v>
      </c>
      <c r="M3594">
        <v>-2.1658719999999999E-2</v>
      </c>
      <c r="N3594">
        <v>0</v>
      </c>
      <c r="O3594">
        <v>-0.99966849999999996</v>
      </c>
      <c r="P3594">
        <v>-0.14315320000000001</v>
      </c>
      <c r="Q3594">
        <v>4.2400569999999999E-2</v>
      </c>
      <c r="R3594">
        <v>-0.988792</v>
      </c>
      <c r="S3594">
        <v>-0.46261600000000003</v>
      </c>
      <c r="T3594">
        <v>-0.234907</v>
      </c>
      <c r="U3594">
        <v>-2.9770970000000001</v>
      </c>
      <c r="V3594">
        <v>0.1218862</v>
      </c>
      <c r="W3594">
        <v>5.5796070000000003E-2</v>
      </c>
      <c r="X3594">
        <v>0.99097449999999998</v>
      </c>
      <c r="Y3594">
        <v>0.13164329999999999</v>
      </c>
      <c r="Z3594">
        <v>7.7826399999999907E-2</v>
      </c>
      <c r="AA3594">
        <v>0.98823740000000004</v>
      </c>
      <c r="AB3594">
        <v>25</v>
      </c>
      <c r="AC3594">
        <v>-0.130300000000005</v>
      </c>
      <c r="AD3594">
        <v>-6.9228999999999902E-2</v>
      </c>
      <c r="AE3594">
        <v>-0.636299999999977</v>
      </c>
      <c r="AF3594">
        <v>0.115178124261447</v>
      </c>
      <c r="AG3594">
        <v>-6.9228999999999902E-2</v>
      </c>
      <c r="AH3594">
        <v>0.63179536045976104</v>
      </c>
      <c r="AI3594">
        <v>96.152633052998198</v>
      </c>
      <c r="AJ3594">
        <v>79.668272423496205</v>
      </c>
      <c r="AK3594">
        <v>0.64592881360709098</v>
      </c>
      <c r="AL3594">
        <v>86.801459443409598</v>
      </c>
      <c r="AM3594">
        <v>82.988048555274005</v>
      </c>
      <c r="AN3594">
        <v>0.999999953414066</v>
      </c>
    </row>
    <row r="3595" spans="1:40" x14ac:dyDescent="0.25">
      <c r="A3595" t="str">
        <f>"20190312151344296"</f>
        <v>20190312151344296</v>
      </c>
      <c r="B3595" t="str">
        <f>"1552374824283639"</f>
        <v>1552374824283639</v>
      </c>
      <c r="C3595" t="s">
        <v>40</v>
      </c>
      <c r="D3595">
        <v>5.1502509999999999</v>
      </c>
      <c r="E3595">
        <v>0.50477910000000004</v>
      </c>
      <c r="F3595" t="s">
        <v>41</v>
      </c>
      <c r="G3595">
        <v>-189.37809999999999</v>
      </c>
      <c r="H3595">
        <v>1.0407630000000001</v>
      </c>
      <c r="I3595">
        <v>172.6431</v>
      </c>
      <c r="J3595">
        <v>-189.24860000000001</v>
      </c>
      <c r="K3595">
        <v>1.1087830000000001</v>
      </c>
      <c r="L3595">
        <v>173.2569</v>
      </c>
      <c r="M3595">
        <v>-2.3900379999999999E-2</v>
      </c>
      <c r="N3595">
        <v>0</v>
      </c>
      <c r="O3595">
        <v>-0.99961750000000005</v>
      </c>
      <c r="P3595">
        <v>-0.1501806</v>
      </c>
      <c r="Q3595">
        <v>4.2547170000000002E-2</v>
      </c>
      <c r="R3595">
        <v>-0.98774300000000004</v>
      </c>
      <c r="S3595">
        <v>-0.47357179999999999</v>
      </c>
      <c r="T3595">
        <v>-0.23560110000000001</v>
      </c>
      <c r="U3595">
        <v>-2.9755250000000002</v>
      </c>
      <c r="V3595">
        <v>0.12674739999999901</v>
      </c>
      <c r="W3595">
        <v>5.5844640000000001E-2</v>
      </c>
      <c r="X3595">
        <v>0.99036179999999996</v>
      </c>
      <c r="Y3595">
        <v>0.13304759999999999</v>
      </c>
      <c r="Z3595">
        <v>7.8060030000000002E-2</v>
      </c>
      <c r="AA3595">
        <v>0.98803090000000005</v>
      </c>
      <c r="AB3595">
        <v>25</v>
      </c>
      <c r="AC3595">
        <v>-0.12949999999997799</v>
      </c>
      <c r="AD3595">
        <v>-6.8020000000000094E-2</v>
      </c>
      <c r="AE3595">
        <v>-0.61379999999999701</v>
      </c>
      <c r="AF3595">
        <v>0.113457577932121</v>
      </c>
      <c r="AG3595">
        <v>-6.8020000000000094E-2</v>
      </c>
      <c r="AH3595">
        <v>0.60955335986600001</v>
      </c>
      <c r="AI3595">
        <v>96.260637023168002</v>
      </c>
      <c r="AJ3595">
        <v>79.456064650681597</v>
      </c>
      <c r="AK3595">
        <v>0.62374244758085196</v>
      </c>
      <c r="AL3595">
        <v>86.798672426282707</v>
      </c>
      <c r="AM3595">
        <v>82.706880088987305</v>
      </c>
      <c r="AN3595">
        <v>1.0000000110613601</v>
      </c>
    </row>
    <row r="3596" spans="1:40" x14ac:dyDescent="0.25">
      <c r="A3596" t="str">
        <f>"20190312151344316"</f>
        <v>20190312151344316</v>
      </c>
      <c r="B3596" t="str">
        <f>"1552374824313895"</f>
        <v>1552374824313895</v>
      </c>
      <c r="C3596" t="s">
        <v>40</v>
      </c>
      <c r="D3596">
        <v>5.3139760000000003</v>
      </c>
      <c r="E3596">
        <v>0.56716940000000005</v>
      </c>
      <c r="F3596" t="s">
        <v>41</v>
      </c>
      <c r="G3596">
        <v>-189.38900000000001</v>
      </c>
      <c r="H3596">
        <v>1.042624</v>
      </c>
      <c r="I3596">
        <v>172.41630000000001</v>
      </c>
      <c r="J3596">
        <v>-189.2569</v>
      </c>
      <c r="K3596">
        <v>1.10854599999999</v>
      </c>
      <c r="L3596">
        <v>173.01849999999999</v>
      </c>
      <c r="M3596">
        <v>-2.639447E-2</v>
      </c>
      <c r="N3596">
        <v>0</v>
      </c>
      <c r="O3596">
        <v>-0.99955479999999997</v>
      </c>
      <c r="P3596">
        <v>-0.1579863</v>
      </c>
      <c r="Q3596">
        <v>4.2597700000000002E-2</v>
      </c>
      <c r="R3596">
        <v>-0.98652229999999996</v>
      </c>
      <c r="S3596">
        <v>-0.49597170000000002</v>
      </c>
      <c r="T3596">
        <v>-0.23383689999999999</v>
      </c>
      <c r="U3596">
        <v>-2.9719090000000001</v>
      </c>
      <c r="V3596">
        <v>0.13214119999999999</v>
      </c>
      <c r="W3596">
        <v>5.5795589999999999E-2</v>
      </c>
      <c r="X3596">
        <v>0.98965930000000002</v>
      </c>
      <c r="Y3596">
        <v>0.138020899999999</v>
      </c>
      <c r="Z3596">
        <v>7.7491359999999995E-2</v>
      </c>
      <c r="AA3596">
        <v>0.98739319999999997</v>
      </c>
      <c r="AB3596">
        <v>25</v>
      </c>
      <c r="AC3596">
        <v>-0.13210000000000799</v>
      </c>
      <c r="AD3596">
        <v>-6.59219999999998E-2</v>
      </c>
      <c r="AE3596">
        <v>-0.60219999999998197</v>
      </c>
      <c r="AF3596">
        <v>0.11484463677208299</v>
      </c>
      <c r="AG3596">
        <v>-6.59219999999998E-2</v>
      </c>
      <c r="AH3596">
        <v>0.59863290529842605</v>
      </c>
      <c r="AI3596">
        <v>96.172474824660299</v>
      </c>
      <c r="AJ3596">
        <v>79.140048587584999</v>
      </c>
      <c r="AK3596">
        <v>0.613103870470042</v>
      </c>
      <c r="AL3596">
        <v>86.801487096915693</v>
      </c>
      <c r="AM3596">
        <v>82.394740973290695</v>
      </c>
      <c r="AN3596">
        <v>0.999999987338688</v>
      </c>
    </row>
    <row r="3597" spans="1:40" x14ac:dyDescent="0.25">
      <c r="A3597" t="str">
        <f>"20190312151344339"</f>
        <v>20190312151344339</v>
      </c>
      <c r="B3597" t="str">
        <f>"1552374824334393"</f>
        <v>1552374824334393</v>
      </c>
      <c r="C3597" t="s">
        <v>40</v>
      </c>
      <c r="D3597">
        <v>5.2318449999999999</v>
      </c>
      <c r="E3597">
        <v>0.58194029999999997</v>
      </c>
      <c r="F3597" t="s">
        <v>42</v>
      </c>
      <c r="G3597">
        <v>-193.80760000000001</v>
      </c>
      <c r="H3597" s="1">
        <v>-1.21572E-6</v>
      </c>
      <c r="I3597">
        <v>160.02019999999999</v>
      </c>
      <c r="J3597">
        <v>-189.26679999999999</v>
      </c>
      <c r="K3597">
        <v>1.1083000000000001</v>
      </c>
      <c r="L3597">
        <v>172.76410000000001</v>
      </c>
      <c r="M3597">
        <v>-2.9390079999999999E-2</v>
      </c>
      <c r="N3597">
        <v>0</v>
      </c>
      <c r="O3597">
        <v>-0.99947090000000005</v>
      </c>
      <c r="P3597">
        <v>-0.16645929999999901</v>
      </c>
      <c r="Q3597">
        <v>4.1408750000000001E-2</v>
      </c>
      <c r="R3597">
        <v>-0.98517849999999996</v>
      </c>
      <c r="S3597">
        <v>-1.011673</v>
      </c>
      <c r="T3597">
        <v>-0.24644099999999999</v>
      </c>
      <c r="U3597">
        <v>-2.8896480000000002</v>
      </c>
      <c r="V3597">
        <v>0.13770639999999901</v>
      </c>
      <c r="W3597">
        <v>5.4502960000000003E-2</v>
      </c>
      <c r="X3597">
        <v>0.98897239999999997</v>
      </c>
      <c r="Y3597">
        <v>0.30147950000000001</v>
      </c>
      <c r="Z3597">
        <v>8.0564049999999998E-2</v>
      </c>
      <c r="AA3597">
        <v>0.95006290000000004</v>
      </c>
      <c r="AB3597">
        <v>25</v>
      </c>
      <c r="AC3597">
        <v>-4.5408000000000097</v>
      </c>
      <c r="AD3597">
        <v>-1.1083012157200001</v>
      </c>
      <c r="AE3597">
        <v>-12.7439</v>
      </c>
      <c r="AF3597">
        <v>4.1364964264238804</v>
      </c>
      <c r="AG3597">
        <v>-1.1083012157200001</v>
      </c>
      <c r="AH3597">
        <v>12.786050893208399</v>
      </c>
      <c r="AI3597">
        <v>94.714627630970199</v>
      </c>
      <c r="AJ3597">
        <v>72.072758075604497</v>
      </c>
      <c r="AK3597">
        <v>13.484140006478</v>
      </c>
      <c r="AL3597">
        <v>86.875662323683201</v>
      </c>
      <c r="AM3597">
        <v>82.072994758582396</v>
      </c>
      <c r="AN3597">
        <v>1.0000000166057399</v>
      </c>
    </row>
    <row r="3598" spans="1:40" x14ac:dyDescent="0.25">
      <c r="A3598" t="str">
        <f>"20190312151344362"</f>
        <v>20190312151344362</v>
      </c>
      <c r="B3598" t="str">
        <f>"1552374824353911"</f>
        <v>1552374824353911</v>
      </c>
      <c r="C3598" t="s">
        <v>40</v>
      </c>
      <c r="D3598">
        <v>5.1418549999999996</v>
      </c>
      <c r="E3598">
        <v>0.58934900000000001</v>
      </c>
      <c r="F3598" t="s">
        <v>42</v>
      </c>
      <c r="G3598">
        <v>-193.53970000000001</v>
      </c>
      <c r="H3598" s="1">
        <v>-2.157505E-6</v>
      </c>
      <c r="I3598">
        <v>162.1634</v>
      </c>
      <c r="J3598">
        <v>-189.27799999999999</v>
      </c>
      <c r="K3598">
        <v>1.108082</v>
      </c>
      <c r="L3598">
        <v>172.50550000000001</v>
      </c>
      <c r="M3598">
        <v>-3.2746949999999997E-2</v>
      </c>
      <c r="N3598">
        <v>0</v>
      </c>
      <c r="O3598">
        <v>-0.99936630000000004</v>
      </c>
      <c r="P3598">
        <v>-0.17488879999999901</v>
      </c>
      <c r="Q3598">
        <v>3.9722710000000001E-2</v>
      </c>
      <c r="R3598">
        <v>-0.98378650000000001</v>
      </c>
      <c r="S3598">
        <v>-1.153915</v>
      </c>
      <c r="T3598">
        <v>-0.2992997</v>
      </c>
      <c r="U3598">
        <v>-2.862762</v>
      </c>
      <c r="V3598">
        <v>0.14287049999999901</v>
      </c>
      <c r="W3598">
        <v>5.2717380000000001E-2</v>
      </c>
      <c r="X3598">
        <v>0.9883364</v>
      </c>
      <c r="Y3598">
        <v>0.34151399999999998</v>
      </c>
      <c r="Z3598">
        <v>9.702202E-2</v>
      </c>
      <c r="AA3598">
        <v>0.93485560000000001</v>
      </c>
      <c r="AB3598">
        <v>25</v>
      </c>
      <c r="AC3598">
        <v>-4.26170000000001</v>
      </c>
      <c r="AD3598">
        <v>-1.108084157505</v>
      </c>
      <c r="AE3598">
        <v>-10.3421</v>
      </c>
      <c r="AF3598">
        <v>3.8826075281439301</v>
      </c>
      <c r="AG3598">
        <v>-1.108084157505</v>
      </c>
      <c r="AH3598">
        <v>10.374317212399101</v>
      </c>
      <c r="AI3598">
        <v>95.712533459591199</v>
      </c>
      <c r="AJ3598">
        <v>69.481544453086997</v>
      </c>
      <c r="AK3598">
        <v>11.132337999773201</v>
      </c>
      <c r="AL3598">
        <v>86.978115729253702</v>
      </c>
      <c r="AM3598">
        <v>81.774498963860196</v>
      </c>
      <c r="AN3598">
        <v>0.99999997074463598</v>
      </c>
    </row>
    <row r="3599" spans="1:40" x14ac:dyDescent="0.25">
      <c r="A3599" t="str">
        <f>"20190312151344385"</f>
        <v>20190312151344385</v>
      </c>
      <c r="B3599" t="str">
        <f>"1552374824374422"</f>
        <v>1552374824374422</v>
      </c>
      <c r="C3599" t="s">
        <v>40</v>
      </c>
      <c r="D3599">
        <v>5.1928369999999999</v>
      </c>
      <c r="E3599">
        <v>0.59316829999999998</v>
      </c>
      <c r="F3599" t="s">
        <v>42</v>
      </c>
      <c r="G3599">
        <v>-193.35220000000001</v>
      </c>
      <c r="H3599" s="1">
        <v>-2.5717880000000002E-6</v>
      </c>
      <c r="I3599">
        <v>163.14529999999999</v>
      </c>
      <c r="J3599">
        <v>-189.28989999999999</v>
      </c>
      <c r="K3599">
        <v>1.1079049999999999</v>
      </c>
      <c r="L3599">
        <v>172.25599999999901</v>
      </c>
      <c r="M3599">
        <v>-3.6252100000000002E-2</v>
      </c>
      <c r="N3599">
        <v>0</v>
      </c>
      <c r="O3599">
        <v>-0.99924550000000001</v>
      </c>
      <c r="P3599">
        <v>-0.1842221</v>
      </c>
      <c r="Q3599">
        <v>3.8459390000000003E-2</v>
      </c>
      <c r="R3599">
        <v>-0.98213189999999995</v>
      </c>
      <c r="S3599">
        <v>-1.237503</v>
      </c>
      <c r="T3599">
        <v>-0.33656419999999998</v>
      </c>
      <c r="U3599">
        <v>-2.8430330000000001</v>
      </c>
      <c r="V3599">
        <v>0.14880270000000001</v>
      </c>
      <c r="W3599">
        <v>5.1353570000000001E-2</v>
      </c>
      <c r="X3599">
        <v>0.98753259999999998</v>
      </c>
      <c r="Y3599">
        <v>0.36324689999999998</v>
      </c>
      <c r="Z3599">
        <v>0.10857890000000001</v>
      </c>
      <c r="AA3599">
        <v>0.92534450000000001</v>
      </c>
      <c r="AB3599">
        <v>25</v>
      </c>
      <c r="AC3599">
        <v>-4.06230000000002</v>
      </c>
      <c r="AD3599">
        <v>-1.10790757178799</v>
      </c>
      <c r="AE3599">
        <v>-9.11069999999998</v>
      </c>
      <c r="AF3599">
        <v>3.6838731442928201</v>
      </c>
      <c r="AG3599">
        <v>-1.10790757178799</v>
      </c>
      <c r="AH3599">
        <v>9.1392551053950797</v>
      </c>
      <c r="AI3599">
        <v>96.415098950667598</v>
      </c>
      <c r="AJ3599">
        <v>68.046502393453295</v>
      </c>
      <c r="AK3599">
        <v>9.9158642796458896</v>
      </c>
      <c r="AL3599">
        <v>87.056362487743996</v>
      </c>
      <c r="AM3599">
        <v>81.431061341578896</v>
      </c>
      <c r="AN3599">
        <v>1.0000000343708899</v>
      </c>
    </row>
    <row r="3600" spans="1:40" x14ac:dyDescent="0.25">
      <c r="A3600" t="str">
        <f>"20190312151344407"</f>
        <v>20190312151344407</v>
      </c>
      <c r="B3600" t="str">
        <f>"1552374824403687"</f>
        <v>1552374824403687</v>
      </c>
      <c r="C3600" t="s">
        <v>40</v>
      </c>
      <c r="D3600">
        <v>5.2308409999999999</v>
      </c>
      <c r="E3600">
        <v>0.59623729999999997</v>
      </c>
      <c r="F3600" t="s">
        <v>42</v>
      </c>
      <c r="G3600">
        <v>-193.28190000000001</v>
      </c>
      <c r="H3600" s="1">
        <v>-2.7421660000000001E-6</v>
      </c>
      <c r="I3600">
        <v>163.5453</v>
      </c>
      <c r="J3600">
        <v>-189.3032</v>
      </c>
      <c r="K3600">
        <v>1.1077490000000001</v>
      </c>
      <c r="L3600">
        <v>172.00409999999999</v>
      </c>
      <c r="M3600">
        <v>-4.0039419999999999E-2</v>
      </c>
      <c r="N3600">
        <v>0</v>
      </c>
      <c r="O3600">
        <v>-0.99910060000000001</v>
      </c>
      <c r="P3600">
        <v>-0.194382</v>
      </c>
      <c r="Q3600">
        <v>3.8546959999999998E-2</v>
      </c>
      <c r="R3600">
        <v>-0.98016829999999999</v>
      </c>
      <c r="S3600">
        <v>-1.2949980000000001</v>
      </c>
      <c r="T3600">
        <v>-0.35940169999999999</v>
      </c>
      <c r="U3600">
        <v>-2.8257289999999999</v>
      </c>
      <c r="V3600">
        <v>0.15530569999999999</v>
      </c>
      <c r="W3600">
        <v>5.1338809999999999E-2</v>
      </c>
      <c r="X3600">
        <v>0.98653159999999895</v>
      </c>
      <c r="Y3600">
        <v>0.37709480000000001</v>
      </c>
      <c r="Z3600">
        <v>0.1156722</v>
      </c>
      <c r="AA3600">
        <v>0.91892300000000005</v>
      </c>
      <c r="AB3600">
        <v>25</v>
      </c>
      <c r="AC3600">
        <v>-3.9786999999999999</v>
      </c>
      <c r="AD3600">
        <v>-1.1077517421659999</v>
      </c>
      <c r="AE3600">
        <v>-8.4587999999999894</v>
      </c>
      <c r="AF3600">
        <v>3.58642552099887</v>
      </c>
      <c r="AG3600">
        <v>-1.1077517421659999</v>
      </c>
      <c r="AH3600">
        <v>8.4920799453788192</v>
      </c>
      <c r="AI3600">
        <v>96.852273032536701</v>
      </c>
      <c r="AJ3600">
        <v>67.104405762588897</v>
      </c>
      <c r="AK3600">
        <v>9.2846639001446292</v>
      </c>
      <c r="AL3600">
        <v>87.0572093830895</v>
      </c>
      <c r="AM3600">
        <v>81.053579989630805</v>
      </c>
      <c r="AN3600">
        <v>1.0000000658316299</v>
      </c>
    </row>
    <row r="3601" spans="1:40" x14ac:dyDescent="0.25">
      <c r="A3601" t="str">
        <f>"20190312151344429"</f>
        <v>20190312151344429</v>
      </c>
      <c r="B3601" t="str">
        <f>"1552374824424184"</f>
        <v>1552374824424184</v>
      </c>
      <c r="C3601" t="s">
        <v>40</v>
      </c>
      <c r="D3601">
        <v>5.1752159999999998</v>
      </c>
      <c r="E3601">
        <v>0.59755019999999903</v>
      </c>
      <c r="F3601" t="s">
        <v>42</v>
      </c>
      <c r="G3601">
        <v>-193.30179999999999</v>
      </c>
      <c r="H3601" s="1">
        <v>-2.812434E-6</v>
      </c>
      <c r="I3601">
        <v>163.68270000000001</v>
      </c>
      <c r="J3601">
        <v>-189.31710000000001</v>
      </c>
      <c r="K3601">
        <v>1.1076250000000001</v>
      </c>
      <c r="L3601">
        <v>171.76249999999999</v>
      </c>
      <c r="M3601">
        <v>-4.3860299999999998E-2</v>
      </c>
      <c r="N3601">
        <v>0</v>
      </c>
      <c r="O3601">
        <v>-0.99894019999999994</v>
      </c>
      <c r="P3601">
        <v>-0.20410610000000001</v>
      </c>
      <c r="Q3601">
        <v>3.8244060000000003E-2</v>
      </c>
      <c r="R3601">
        <v>-0.97820149999999995</v>
      </c>
      <c r="S3601">
        <v>-1.349243</v>
      </c>
      <c r="T3601">
        <v>-0.37378220000000001</v>
      </c>
      <c r="U3601">
        <v>-2.8078159999999999</v>
      </c>
      <c r="V3601">
        <v>0.1613433</v>
      </c>
      <c r="W3601">
        <v>5.0943549999999997E-2</v>
      </c>
      <c r="X3601">
        <v>0.98558259999999998</v>
      </c>
      <c r="Y3601">
        <v>0.39004149999999999</v>
      </c>
      <c r="Z3601">
        <v>0.120085</v>
      </c>
      <c r="AA3601">
        <v>0.91293329999999995</v>
      </c>
      <c r="AB3601">
        <v>25</v>
      </c>
      <c r="AC3601">
        <v>-3.9846999999999699</v>
      </c>
      <c r="AD3601">
        <v>-1.107627812434</v>
      </c>
      <c r="AE3601">
        <v>-8.0797999999999703</v>
      </c>
      <c r="AF3601">
        <v>3.5724461853287299</v>
      </c>
      <c r="AG3601">
        <v>-1.107627812434</v>
      </c>
      <c r="AH3601">
        <v>8.1240067875526005</v>
      </c>
      <c r="AI3601">
        <v>97.114078384196901</v>
      </c>
      <c r="AJ3601">
        <v>66.263014297845302</v>
      </c>
      <c r="AK3601">
        <v>8.9436400532527998</v>
      </c>
      <c r="AL3601">
        <v>87.079885544743902</v>
      </c>
      <c r="AM3601">
        <v>80.702946322930302</v>
      </c>
      <c r="AN3601">
        <v>0.99999998358212605</v>
      </c>
    </row>
    <row r="3602" spans="1:40" x14ac:dyDescent="0.25">
      <c r="A3602" t="str">
        <f>"20190312151344452"</f>
        <v>20190312151344452</v>
      </c>
      <c r="B3602" t="str">
        <f>"1552374824444208"</f>
        <v>1552374824444208</v>
      </c>
      <c r="C3602" t="s">
        <v>40</v>
      </c>
      <c r="D3602">
        <v>5.1093580000000003</v>
      </c>
      <c r="E3602">
        <v>0.59789510000000001</v>
      </c>
      <c r="F3602" t="s">
        <v>42</v>
      </c>
      <c r="G3602">
        <v>-193.3827</v>
      </c>
      <c r="H3602" s="1">
        <v>-2.7866830000000001E-6</v>
      </c>
      <c r="I3602">
        <v>163.58269999999999</v>
      </c>
      <c r="J3602">
        <v>-189.3338</v>
      </c>
      <c r="K3602">
        <v>1.1075250000000001</v>
      </c>
      <c r="L3602">
        <v>171.49539999999999</v>
      </c>
      <c r="M3602">
        <v>-4.8241409999999998E-2</v>
      </c>
      <c r="N3602">
        <v>0</v>
      </c>
      <c r="O3602">
        <v>-0.99873809999999996</v>
      </c>
      <c r="P3602">
        <v>-0.21403249999999999</v>
      </c>
      <c r="Q3602">
        <v>3.7484280000000002E-2</v>
      </c>
      <c r="R3602">
        <v>-0.97610710000000001</v>
      </c>
      <c r="S3602">
        <v>-1.387756</v>
      </c>
      <c r="T3602">
        <v>-0.37807800000000003</v>
      </c>
      <c r="U3602">
        <v>-2.792084</v>
      </c>
      <c r="V3602">
        <v>0.1670394</v>
      </c>
      <c r="W3602">
        <v>5.0098249999999997E-2</v>
      </c>
      <c r="X3602">
        <v>0.98467660000000001</v>
      </c>
      <c r="Y3602">
        <v>0.39807999999999999</v>
      </c>
      <c r="Z3602">
        <v>0.12144870000000001</v>
      </c>
      <c r="AA3602">
        <v>0.90927579999999997</v>
      </c>
      <c r="AB3602">
        <v>25</v>
      </c>
      <c r="AC3602">
        <v>-4.0488999999999997</v>
      </c>
      <c r="AD3602">
        <v>-1.107527786683</v>
      </c>
      <c r="AE3602">
        <v>-7.9127000000000001</v>
      </c>
      <c r="AF3602">
        <v>3.6064346552024</v>
      </c>
      <c r="AG3602">
        <v>-1.107527786683</v>
      </c>
      <c r="AH3602">
        <v>7.9750096533322701</v>
      </c>
      <c r="AI3602">
        <v>97.211748839824907</v>
      </c>
      <c r="AJ3602">
        <v>65.666710186618204</v>
      </c>
      <c r="AK3602">
        <v>8.8223447955326897</v>
      </c>
      <c r="AL3602">
        <v>87.128379646755405</v>
      </c>
      <c r="AM3602">
        <v>80.372067383452105</v>
      </c>
      <c r="AN3602">
        <v>1.00000000119649</v>
      </c>
    </row>
    <row r="3603" spans="1:40" x14ac:dyDescent="0.25">
      <c r="A3603" t="str">
        <f>"20190312151344474"</f>
        <v>20190312151344474</v>
      </c>
      <c r="B3603" t="str">
        <f>"1552374824463728"</f>
        <v>1552374824463728</v>
      </c>
      <c r="C3603" t="s">
        <v>40</v>
      </c>
      <c r="D3603">
        <v>5.179322</v>
      </c>
      <c r="E3603">
        <v>0.59814599999999996</v>
      </c>
      <c r="F3603" t="s">
        <v>42</v>
      </c>
      <c r="G3603">
        <v>-193.4949</v>
      </c>
      <c r="H3603" s="1">
        <v>-2.708088E-6</v>
      </c>
      <c r="I3603">
        <v>163.35329999999999</v>
      </c>
      <c r="J3603">
        <v>-189.34989999999999</v>
      </c>
      <c r="K3603">
        <v>1.1074409999999999</v>
      </c>
      <c r="L3603">
        <v>171.255</v>
      </c>
      <c r="M3603">
        <v>-5.2301979999999998E-2</v>
      </c>
      <c r="N3603">
        <v>0</v>
      </c>
      <c r="O3603">
        <v>-0.99853349999999996</v>
      </c>
      <c r="P3603">
        <v>-0.22358990000000001</v>
      </c>
      <c r="Q3603">
        <v>3.7384729999999998E-2</v>
      </c>
      <c r="R3603">
        <v>-0.97396640000000001</v>
      </c>
      <c r="S3603">
        <v>-1.4191129999999901</v>
      </c>
      <c r="T3603">
        <v>-0.37771199999999999</v>
      </c>
      <c r="U3603">
        <v>-2.7767789999999999</v>
      </c>
      <c r="V3603">
        <v>0.17269590000000001</v>
      </c>
      <c r="W3603">
        <v>4.9921090000000001E-2</v>
      </c>
      <c r="X3603">
        <v>0.98370930000000001</v>
      </c>
      <c r="Y3603">
        <v>0.40452260000000001</v>
      </c>
      <c r="Z3603">
        <v>0.1214163</v>
      </c>
      <c r="AA3603">
        <v>0.90643229999999997</v>
      </c>
      <c r="AB3603">
        <v>25</v>
      </c>
      <c r="AC3603">
        <v>-4.1449999999999996</v>
      </c>
      <c r="AD3603">
        <v>-1.107443708088</v>
      </c>
      <c r="AE3603">
        <v>-7.9016999999999999</v>
      </c>
      <c r="AF3603">
        <v>3.6694861078479502</v>
      </c>
      <c r="AG3603">
        <v>-1.107443708088</v>
      </c>
      <c r="AH3603">
        <v>7.9846997546173597</v>
      </c>
      <c r="AI3603">
        <v>97.1828089017894</v>
      </c>
      <c r="AJ3603">
        <v>65.318158462950606</v>
      </c>
      <c r="AK3603">
        <v>8.8570305426626597</v>
      </c>
      <c r="AL3603">
        <v>87.138542846193999</v>
      </c>
      <c r="AM3603">
        <v>80.042857172901293</v>
      </c>
      <c r="AN3603">
        <v>0.99999998800504397</v>
      </c>
    </row>
    <row r="3604" spans="1:40" x14ac:dyDescent="0.25">
      <c r="A3604" t="str">
        <f>"20190312151344495"</f>
        <v>20190312151344495</v>
      </c>
      <c r="B3604" t="str">
        <f>"1552374824484224"</f>
        <v>1552374824484224</v>
      </c>
      <c r="C3604" t="s">
        <v>40</v>
      </c>
      <c r="D3604">
        <v>5.2287049999999997</v>
      </c>
      <c r="E3604">
        <v>0.59804639999999998</v>
      </c>
      <c r="F3604" t="s">
        <v>42</v>
      </c>
      <c r="G3604">
        <v>-193.59370000000001</v>
      </c>
      <c r="H3604" s="1">
        <v>-2.6450870000000002E-6</v>
      </c>
      <c r="I3604">
        <v>163.1644</v>
      </c>
      <c r="J3604">
        <v>-189.36709999999999</v>
      </c>
      <c r="K3604">
        <v>1.1073710000000001</v>
      </c>
      <c r="L3604">
        <v>171.01480000000001</v>
      </c>
      <c r="M3604">
        <v>-5.6475360000000002E-2</v>
      </c>
      <c r="N3604">
        <v>0</v>
      </c>
      <c r="O3604">
        <v>-0.99830620000000003</v>
      </c>
      <c r="P3604">
        <v>-0.23292550000000001</v>
      </c>
      <c r="Q3604">
        <v>3.66393E-2</v>
      </c>
      <c r="R3604">
        <v>-0.97180429999999995</v>
      </c>
      <c r="S3604">
        <v>-1.4488219999999901</v>
      </c>
      <c r="T3604">
        <v>-0.37807809999999997</v>
      </c>
      <c r="U3604">
        <v>-2.7621000000000002</v>
      </c>
      <c r="V3604">
        <v>0.1780253</v>
      </c>
      <c r="W3604">
        <v>4.9101449999999998E-2</v>
      </c>
      <c r="X3604">
        <v>0.98280009999999995</v>
      </c>
      <c r="Y3604">
        <v>0.4103174</v>
      </c>
      <c r="Z3604">
        <v>0.12161039999999999</v>
      </c>
      <c r="AA3604">
        <v>0.90379790000000004</v>
      </c>
      <c r="AB3604">
        <v>25</v>
      </c>
      <c r="AC3604">
        <v>-4.2266000000000101</v>
      </c>
      <c r="AD3604">
        <v>-1.107373645087</v>
      </c>
      <c r="AE3604">
        <v>-7.8503999999999996</v>
      </c>
      <c r="AF3604">
        <v>3.7190840851038001</v>
      </c>
      <c r="AG3604">
        <v>-1.107373645087</v>
      </c>
      <c r="AH3604">
        <v>7.9538917405249503</v>
      </c>
      <c r="AI3604">
        <v>97.188099164224099</v>
      </c>
      <c r="AJ3604">
        <v>64.940129720603807</v>
      </c>
      <c r="AK3604">
        <v>8.84998625094393</v>
      </c>
      <c r="AL3604">
        <v>87.185562455971393</v>
      </c>
      <c r="AM3604">
        <v>79.732721318392606</v>
      </c>
      <c r="AN3604">
        <v>0.99999999819610097</v>
      </c>
    </row>
    <row r="3605" spans="1:40" x14ac:dyDescent="0.25">
      <c r="A3605" t="str">
        <f>"20190312151344518"</f>
        <v>20190312151344518</v>
      </c>
      <c r="B3605" t="str">
        <f>"1552374824513505"</f>
        <v>1552374824513505</v>
      </c>
      <c r="C3605" t="s">
        <v>40</v>
      </c>
      <c r="D3605">
        <v>5.2211600000000002</v>
      </c>
      <c r="E3605">
        <v>0.59786450000000002</v>
      </c>
      <c r="F3605" t="s">
        <v>42</v>
      </c>
      <c r="G3605">
        <v>-193.65039999999999</v>
      </c>
      <c r="H3605" s="1">
        <v>-2.598669E-6</v>
      </c>
      <c r="I3605">
        <v>163.0343</v>
      </c>
      <c r="J3605">
        <v>-189.38640000000001</v>
      </c>
      <c r="K3605">
        <v>1.1072919999999999</v>
      </c>
      <c r="L3605">
        <v>170.76300000000001</v>
      </c>
      <c r="M3605">
        <v>-6.0982509999999997E-2</v>
      </c>
      <c r="N3605">
        <v>0</v>
      </c>
      <c r="O3605">
        <v>-0.99804079999999995</v>
      </c>
      <c r="P3605">
        <v>-0.24259720000000001</v>
      </c>
      <c r="Q3605">
        <v>3.5925029999999997E-2</v>
      </c>
      <c r="R3605">
        <v>-0.96946160000000003</v>
      </c>
      <c r="S3605">
        <v>-1.4748540000000001</v>
      </c>
      <c r="T3605">
        <v>-0.38129990000000002</v>
      </c>
      <c r="U3605">
        <v>-2.7479100000000001</v>
      </c>
      <c r="V3605">
        <v>0.18338309999999999</v>
      </c>
      <c r="W3605">
        <v>4.8307509999999998E-2</v>
      </c>
      <c r="X3605">
        <v>0.9818538</v>
      </c>
      <c r="Y3605">
        <v>0.41472750000000003</v>
      </c>
      <c r="Z3605">
        <v>0.122749499999999</v>
      </c>
      <c r="AA3605">
        <v>0.90162830000000005</v>
      </c>
      <c r="AB3605">
        <v>25</v>
      </c>
      <c r="AC3605">
        <v>-4.2639999999999798</v>
      </c>
      <c r="AD3605">
        <v>-1.1072945986689999</v>
      </c>
      <c r="AE3605">
        <v>-7.7286999999999999</v>
      </c>
      <c r="AF3605">
        <v>3.7260655664043099</v>
      </c>
      <c r="AG3605">
        <v>-1.1072945986689999</v>
      </c>
      <c r="AH3605">
        <v>7.8508232041653896</v>
      </c>
      <c r="AI3605">
        <v>97.261456629916097</v>
      </c>
      <c r="AJ3605">
        <v>64.610597662132704</v>
      </c>
      <c r="AK3605">
        <v>8.7604275532902598</v>
      </c>
      <c r="AL3605">
        <v>87.231105730993406</v>
      </c>
      <c r="AM3605">
        <v>79.420627714869099</v>
      </c>
      <c r="AN3605">
        <v>0.99999993073122195</v>
      </c>
    </row>
    <row r="3606" spans="1:40" x14ac:dyDescent="0.25">
      <c r="A3606" t="str">
        <f>"20190312151344541"</f>
        <v>20190312151344541</v>
      </c>
      <c r="B3606" t="str">
        <f>"1552374824534000"</f>
        <v>1552374824534000</v>
      </c>
      <c r="C3606" t="s">
        <v>40</v>
      </c>
      <c r="D3606">
        <v>5.2219980000000001</v>
      </c>
      <c r="E3606">
        <v>0.59774519999999998</v>
      </c>
      <c r="F3606" t="s">
        <v>42</v>
      </c>
      <c r="G3606">
        <v>-193.7073</v>
      </c>
      <c r="H3606" s="1">
        <v>-2.547441E-6</v>
      </c>
      <c r="I3606">
        <v>162.8939</v>
      </c>
      <c r="J3606">
        <v>-189.4068</v>
      </c>
      <c r="K3606">
        <v>1.1071949999999999</v>
      </c>
      <c r="L3606">
        <v>170.5129</v>
      </c>
      <c r="M3606">
        <v>-6.5600430000000001E-2</v>
      </c>
      <c r="N3606">
        <v>0</v>
      </c>
      <c r="O3606">
        <v>-0.99774770000000002</v>
      </c>
      <c r="P3606">
        <v>-0.25135210000000002</v>
      </c>
      <c r="Q3606">
        <v>3.52091E-2</v>
      </c>
      <c r="R3606">
        <v>-0.96725519999999998</v>
      </c>
      <c r="S3606">
        <v>-1.500793</v>
      </c>
      <c r="T3606">
        <v>-0.38460329999999998</v>
      </c>
      <c r="U3606">
        <v>-2.7332000000000001</v>
      </c>
      <c r="V3606">
        <v>0.1877201</v>
      </c>
      <c r="W3606">
        <v>4.7515920000000003E-2</v>
      </c>
      <c r="X3606">
        <v>0.98107259999999996</v>
      </c>
      <c r="Y3606">
        <v>0.41907060000000002</v>
      </c>
      <c r="Z3606">
        <v>0.1239267</v>
      </c>
      <c r="AA3606">
        <v>0.89945649999999999</v>
      </c>
      <c r="AB3606">
        <v>25</v>
      </c>
      <c r="AC3606">
        <v>-4.3005000000000004</v>
      </c>
      <c r="AD3606">
        <v>-1.1071975474410001</v>
      </c>
      <c r="AE3606">
        <v>-7.6189999999999998</v>
      </c>
      <c r="AF3606">
        <v>3.7316122304741501</v>
      </c>
      <c r="AG3606">
        <v>-1.1071975474410001</v>
      </c>
      <c r="AH3606">
        <v>7.76043976330278</v>
      </c>
      <c r="AI3606">
        <v>97.326856478885105</v>
      </c>
      <c r="AJ3606">
        <v>64.319396925373695</v>
      </c>
      <c r="AK3606">
        <v>8.6818915892525705</v>
      </c>
      <c r="AL3606">
        <v>87.276512898123002</v>
      </c>
      <c r="AM3606">
        <v>79.167855856208604</v>
      </c>
      <c r="AN3606">
        <v>1.0000000225340999</v>
      </c>
    </row>
    <row r="3607" spans="1:40" x14ac:dyDescent="0.25">
      <c r="A3607" t="str">
        <f>"20190312151344563"</f>
        <v>20190312151344563</v>
      </c>
      <c r="B3607" t="str">
        <f>"1552374824553521"</f>
        <v>1552374824553521</v>
      </c>
      <c r="C3607" t="s">
        <v>40</v>
      </c>
      <c r="D3607">
        <v>5.2844389999999999</v>
      </c>
      <c r="E3607">
        <v>0.5917869</v>
      </c>
      <c r="F3607" t="s">
        <v>42</v>
      </c>
      <c r="G3607">
        <v>-193.77879999999999</v>
      </c>
      <c r="H3607" s="1">
        <v>-2.482311E-6</v>
      </c>
      <c r="I3607">
        <v>162.7159</v>
      </c>
      <c r="J3607">
        <v>-189.42840000000001</v>
      </c>
      <c r="K3607">
        <v>1.107089</v>
      </c>
      <c r="L3607">
        <v>170.26580000000001</v>
      </c>
      <c r="M3607">
        <v>-7.031598E-2</v>
      </c>
      <c r="N3607">
        <v>0</v>
      </c>
      <c r="O3607">
        <v>-0.99742649999999999</v>
      </c>
      <c r="P3607">
        <v>-0.25998749999999998</v>
      </c>
      <c r="Q3607">
        <v>3.4314160000000003E-2</v>
      </c>
      <c r="R3607">
        <v>-0.96500209999999997</v>
      </c>
      <c r="S3607">
        <v>-1.524826</v>
      </c>
      <c r="T3607">
        <v>-0.38616070000000002</v>
      </c>
      <c r="U3607">
        <v>-2.719376</v>
      </c>
      <c r="V3607">
        <v>0.19185479999999999</v>
      </c>
      <c r="W3607">
        <v>4.6539959999999998E-2</v>
      </c>
      <c r="X3607">
        <v>0.98031919999999995</v>
      </c>
      <c r="Y3607">
        <v>0.4227436</v>
      </c>
      <c r="Z3607">
        <v>0.12454519999999999</v>
      </c>
      <c r="AA3607">
        <v>0.89765049999999902</v>
      </c>
      <c r="AB3607">
        <v>25</v>
      </c>
      <c r="AC3607">
        <v>-4.3503999999999703</v>
      </c>
      <c r="AD3607">
        <v>-1.1070914823109901</v>
      </c>
      <c r="AE3607">
        <v>-7.5499000000000001</v>
      </c>
      <c r="AF3607">
        <v>3.7481937364467401</v>
      </c>
      <c r="AG3607">
        <v>-1.1070914823109901</v>
      </c>
      <c r="AH3607">
        <v>7.7126398729307999</v>
      </c>
      <c r="AI3607">
        <v>97.3564291315422</v>
      </c>
      <c r="AJ3607">
        <v>64.081144959072603</v>
      </c>
      <c r="AK3607">
        <v>8.6463530835645503</v>
      </c>
      <c r="AL3607">
        <v>87.332493120674997</v>
      </c>
      <c r="AM3607">
        <v>78.926801780349393</v>
      </c>
      <c r="AN3607">
        <v>0.99999998302423998</v>
      </c>
    </row>
    <row r="3608" spans="1:40" x14ac:dyDescent="0.25">
      <c r="A3608" t="str">
        <f>"20190312151344586"</f>
        <v>20190312151344586</v>
      </c>
      <c r="B3608" t="str">
        <f>"1552374824583777"</f>
        <v>1552374824583777</v>
      </c>
      <c r="C3608" t="s">
        <v>40</v>
      </c>
      <c r="D3608">
        <v>4.9809229999999998</v>
      </c>
      <c r="E3608">
        <v>0.62384490000000004</v>
      </c>
      <c r="F3608" t="s">
        <v>58</v>
      </c>
      <c r="G3608">
        <v>-196.81950000000001</v>
      </c>
      <c r="H3608" s="1">
        <v>-1.4288650000000001E-5</v>
      </c>
      <c r="I3608">
        <v>156.87860000000001</v>
      </c>
      <c r="J3608">
        <v>-189.45150000000001</v>
      </c>
      <c r="K3608">
        <v>1.106975</v>
      </c>
      <c r="L3608">
        <v>170.0164</v>
      </c>
      <c r="M3608">
        <v>-7.5256660000000003E-2</v>
      </c>
      <c r="N3608">
        <v>0</v>
      </c>
      <c r="O3608">
        <v>-0.99706589999999995</v>
      </c>
      <c r="P3608">
        <v>-0.26934669999999999</v>
      </c>
      <c r="Q3608">
        <v>3.2618679999999997E-2</v>
      </c>
      <c r="R3608">
        <v>-0.96249099999999999</v>
      </c>
      <c r="S3608">
        <v>-1.4979709999999999</v>
      </c>
      <c r="T3608">
        <v>-0.22437869999999999</v>
      </c>
      <c r="U3608">
        <v>-2.7132109999999998</v>
      </c>
      <c r="V3608">
        <v>0.1965134</v>
      </c>
      <c r="W3608">
        <v>4.4750819999999997E-2</v>
      </c>
      <c r="X3608">
        <v>0.9794794</v>
      </c>
      <c r="Y3608">
        <v>0.41477999999999998</v>
      </c>
      <c r="Z3608">
        <v>7.3186329999999994E-2</v>
      </c>
      <c r="AA3608">
        <v>0.90697369999999999</v>
      </c>
      <c r="AB3608">
        <v>25</v>
      </c>
      <c r="AC3608">
        <v>-7.3679999999999897</v>
      </c>
      <c r="AD3608">
        <v>-1.1069892886499999</v>
      </c>
      <c r="AE3608">
        <v>-13.1378</v>
      </c>
      <c r="AF3608">
        <v>6.3241412370699299</v>
      </c>
      <c r="AG3608">
        <v>-1.1069892886499999</v>
      </c>
      <c r="AH3608">
        <v>13.5817271864858</v>
      </c>
      <c r="AI3608">
        <v>94.225809893693196</v>
      </c>
      <c r="AJ3608">
        <v>65.031617569312502</v>
      </c>
      <c r="AK3608">
        <v>15.022766091493301</v>
      </c>
      <c r="AL3608">
        <v>87.435110368660403</v>
      </c>
      <c r="AM3608">
        <v>78.655338523451704</v>
      </c>
      <c r="AN3608">
        <v>1.0000000236472899</v>
      </c>
    </row>
    <row r="3609" spans="1:40" x14ac:dyDescent="0.25">
      <c r="A3609" t="str">
        <f>"20190312151344608"</f>
        <v>20190312151344608</v>
      </c>
      <c r="B3609" t="str">
        <f>"1552374824603297"</f>
        <v>1552374824603297</v>
      </c>
      <c r="C3609" t="s">
        <v>40</v>
      </c>
      <c r="D3609">
        <v>4.973948</v>
      </c>
      <c r="E3609">
        <v>0.63119209999999903</v>
      </c>
      <c r="F3609" t="s">
        <v>42</v>
      </c>
      <c r="G3609">
        <v>-194.66059999999999</v>
      </c>
      <c r="H3609" s="1">
        <v>-2.5166350000000001E-6</v>
      </c>
      <c r="I3609">
        <v>162.29220000000001</v>
      </c>
      <c r="J3609">
        <v>-189.4761</v>
      </c>
      <c r="K3609">
        <v>1.1068530000000001</v>
      </c>
      <c r="L3609">
        <v>169.76830000000001</v>
      </c>
      <c r="M3609">
        <v>-8.0385120000000004E-2</v>
      </c>
      <c r="N3609">
        <v>0</v>
      </c>
      <c r="O3609">
        <v>-0.99666509999999997</v>
      </c>
      <c r="P3609">
        <v>-0.27946349999999998</v>
      </c>
      <c r="Q3609">
        <v>3.077676E-2</v>
      </c>
      <c r="R3609">
        <v>-0.95966300000000004</v>
      </c>
      <c r="S3609">
        <v>-1.77552799999999</v>
      </c>
      <c r="T3609">
        <v>-0.37731579999999998</v>
      </c>
      <c r="U3609">
        <v>-2.6328279999999999</v>
      </c>
      <c r="V3609">
        <v>0.20177800000000001</v>
      </c>
      <c r="W3609">
        <v>4.2801949999999998E-2</v>
      </c>
      <c r="X3609">
        <v>0.97849560000000002</v>
      </c>
      <c r="Y3609">
        <v>0.48663220000000001</v>
      </c>
      <c r="Z3609">
        <v>0.12008389999999999</v>
      </c>
      <c r="AA3609">
        <v>0.86531440000000004</v>
      </c>
      <c r="AB3609">
        <v>25</v>
      </c>
      <c r="AC3609">
        <v>-5.1844999999999803</v>
      </c>
      <c r="AD3609">
        <v>-1.106855516635</v>
      </c>
      <c r="AE3609">
        <v>-7.4760999999999997</v>
      </c>
      <c r="AF3609">
        <v>4.5000850506261703</v>
      </c>
      <c r="AG3609">
        <v>-1.106855516635</v>
      </c>
      <c r="AH3609">
        <v>7.7539302644460797</v>
      </c>
      <c r="AI3609">
        <v>97.038223464515696</v>
      </c>
      <c r="AJ3609">
        <v>59.870757058947703</v>
      </c>
      <c r="AK3609">
        <v>9.0332346998994399</v>
      </c>
      <c r="AL3609">
        <v>87.546879507734303</v>
      </c>
      <c r="AM3609">
        <v>78.348221694718006</v>
      </c>
      <c r="AN3609">
        <v>1.0000000037135801</v>
      </c>
    </row>
    <row r="3610" spans="1:40" x14ac:dyDescent="0.25">
      <c r="A3610" t="str">
        <f>"20190312151344630"</f>
        <v>20190312151344630</v>
      </c>
      <c r="B3610" t="str">
        <f>"1552374824623793"</f>
        <v>1552374824623793</v>
      </c>
      <c r="C3610" t="s">
        <v>40</v>
      </c>
      <c r="D3610">
        <v>4.9472170000000002</v>
      </c>
      <c r="E3610">
        <v>0.63340350000000001</v>
      </c>
      <c r="F3610" t="s">
        <v>42</v>
      </c>
      <c r="G3610">
        <v>-194.99549999999999</v>
      </c>
      <c r="H3610" s="1">
        <v>-2.4952030000000001E-6</v>
      </c>
      <c r="I3610">
        <v>162.0583</v>
      </c>
      <c r="J3610">
        <v>-189.50149999999999</v>
      </c>
      <c r="K3610">
        <v>1.1067450000000001</v>
      </c>
      <c r="L3610">
        <v>169.5265</v>
      </c>
      <c r="M3610">
        <v>-8.5552920000000005E-2</v>
      </c>
      <c r="N3610">
        <v>0</v>
      </c>
      <c r="O3610">
        <v>-0.99623479999999998</v>
      </c>
      <c r="P3610">
        <v>-0.290662799999999</v>
      </c>
      <c r="Q3610">
        <v>3.0455949999999999E-2</v>
      </c>
      <c r="R3610">
        <v>-0.95634079999999999</v>
      </c>
      <c r="S3610">
        <v>-1.8589169999999999</v>
      </c>
      <c r="T3610">
        <v>-0.37278850000000002</v>
      </c>
      <c r="U3610">
        <v>-2.5967250000000002</v>
      </c>
      <c r="V3610">
        <v>0.20814869999999999</v>
      </c>
      <c r="W3610">
        <v>4.2364619999999999E-2</v>
      </c>
      <c r="X3610">
        <v>0.97717929999999997</v>
      </c>
      <c r="Y3610">
        <v>0.50632379999999999</v>
      </c>
      <c r="Z3610">
        <v>0.1182327</v>
      </c>
      <c r="AA3610">
        <v>0.85419979999999995</v>
      </c>
      <c r="AB3610">
        <v>25</v>
      </c>
      <c r="AC3610">
        <v>-5.4939999999999998</v>
      </c>
      <c r="AD3610">
        <v>-1.1067474952030001</v>
      </c>
      <c r="AE3610">
        <v>-7.4681999999999897</v>
      </c>
      <c r="AF3610">
        <v>4.7669355829728604</v>
      </c>
      <c r="AG3610">
        <v>-1.1067474952030001</v>
      </c>
      <c r="AH3610">
        <v>7.7997422012747197</v>
      </c>
      <c r="AI3610">
        <v>96.903417465113193</v>
      </c>
      <c r="AJ3610">
        <v>58.568153543740898</v>
      </c>
      <c r="AK3610">
        <v>9.2078522618847796</v>
      </c>
      <c r="AL3610">
        <v>87.571959443967899</v>
      </c>
      <c r="AM3610">
        <v>77.975159974067196</v>
      </c>
      <c r="AN3610">
        <v>1.0000000133439599</v>
      </c>
    </row>
    <row r="3611" spans="1:40" x14ac:dyDescent="0.25">
      <c r="A3611" t="str">
        <f>"20190312151344654"</f>
        <v>20190312151344654</v>
      </c>
      <c r="B3611" t="str">
        <f>"1552374824643821"</f>
        <v>1552374824643821</v>
      </c>
      <c r="C3611" t="s">
        <v>40</v>
      </c>
      <c r="D3611">
        <v>4.9655129999999996</v>
      </c>
      <c r="E3611">
        <v>0.63406899999999999</v>
      </c>
      <c r="F3611" t="s">
        <v>42</v>
      </c>
      <c r="G3611">
        <v>-195.17429999999999</v>
      </c>
      <c r="H3611" s="1">
        <v>-2.4570919999999999E-6</v>
      </c>
      <c r="I3611">
        <v>161.87710000000001</v>
      </c>
      <c r="J3611">
        <v>-189.5307</v>
      </c>
      <c r="K3611">
        <v>1.106636</v>
      </c>
      <c r="L3611">
        <v>169.2646</v>
      </c>
      <c r="M3611">
        <v>-9.135335E-2</v>
      </c>
      <c r="N3611">
        <v>0</v>
      </c>
      <c r="O3611">
        <v>-0.99571949999999998</v>
      </c>
      <c r="P3611">
        <v>-0.30249140000000002</v>
      </c>
      <c r="Q3611">
        <v>3.1054459999999999E-2</v>
      </c>
      <c r="R3611">
        <v>-0.95264629999999995</v>
      </c>
      <c r="S3611">
        <v>-1.905624</v>
      </c>
      <c r="T3611">
        <v>-0.37178149999999999</v>
      </c>
      <c r="U3611">
        <v>-2.5696110000000001</v>
      </c>
      <c r="V3611">
        <v>0.21458459999999999</v>
      </c>
      <c r="W3611">
        <v>4.2840070000000001E-2</v>
      </c>
      <c r="X3611">
        <v>0.97576549999999995</v>
      </c>
      <c r="Y3611">
        <v>0.51566659999999997</v>
      </c>
      <c r="Z3611">
        <v>0.11790009999999999</v>
      </c>
      <c r="AA3611">
        <v>0.84863869999999897</v>
      </c>
      <c r="AB3611">
        <v>25</v>
      </c>
      <c r="AC3611">
        <v>-5.6435999999999904</v>
      </c>
      <c r="AD3611">
        <v>-1.106638457092</v>
      </c>
      <c r="AE3611">
        <v>-7.3874999999999797</v>
      </c>
      <c r="AF3611">
        <v>4.87596492561243</v>
      </c>
      <c r="AG3611">
        <v>-1.106638457092</v>
      </c>
      <c r="AH3611">
        <v>7.7622251520422099</v>
      </c>
      <c r="AI3611">
        <v>96.8836987386793</v>
      </c>
      <c r="AJ3611">
        <v>57.864363832202002</v>
      </c>
      <c r="AK3611">
        <v>9.23319131944716</v>
      </c>
      <c r="AL3611">
        <v>87.5446935418625</v>
      </c>
      <c r="AM3611">
        <v>77.597275588719995</v>
      </c>
      <c r="AN3611">
        <v>1.0000000665725</v>
      </c>
    </row>
    <row r="3612" spans="1:40" x14ac:dyDescent="0.25">
      <c r="A3612" t="str">
        <f>"20190312151344677"</f>
        <v>20190312151344677</v>
      </c>
      <c r="B3612" t="str">
        <f>"1552374824674073"</f>
        <v>1552374824674073</v>
      </c>
      <c r="C3612" t="s">
        <v>40</v>
      </c>
      <c r="D3612">
        <v>4.9767659999999996</v>
      </c>
      <c r="E3612">
        <v>0.63415379999999999</v>
      </c>
      <c r="F3612" t="s">
        <v>42</v>
      </c>
      <c r="G3612">
        <v>-195.26070000000001</v>
      </c>
      <c r="H3612" s="1">
        <v>-2.423172E-6</v>
      </c>
      <c r="I3612">
        <v>161.7567</v>
      </c>
      <c r="J3612">
        <v>-189.5598</v>
      </c>
      <c r="K3612">
        <v>1.1065339999999999</v>
      </c>
      <c r="L3612">
        <v>169.01689999999999</v>
      </c>
      <c r="M3612">
        <v>-9.7046579999999993E-2</v>
      </c>
      <c r="N3612">
        <v>0</v>
      </c>
      <c r="O3612">
        <v>-0.99518050000000002</v>
      </c>
      <c r="P3612">
        <v>-0.31284040000000002</v>
      </c>
      <c r="Q3612">
        <v>3.2724580000000003E-2</v>
      </c>
      <c r="R3612">
        <v>-0.94924200000000003</v>
      </c>
      <c r="S3612">
        <v>-1.9420930000000001</v>
      </c>
      <c r="T3612">
        <v>-0.37507620000000003</v>
      </c>
      <c r="U3612">
        <v>-2.5446780000000002</v>
      </c>
      <c r="V3612">
        <v>0.21965480000000001</v>
      </c>
      <c r="W3612">
        <v>4.4400229999999999E-2</v>
      </c>
      <c r="X3612">
        <v>0.97456679999999996</v>
      </c>
      <c r="Y3612">
        <v>0.52238790000000002</v>
      </c>
      <c r="Z3612">
        <v>0.1190287</v>
      </c>
      <c r="AA3612">
        <v>0.84435959999999999</v>
      </c>
      <c r="AB3612">
        <v>25</v>
      </c>
      <c r="AC3612">
        <v>-5.7009000000000096</v>
      </c>
      <c r="AD3612">
        <v>-1.1065364231720001</v>
      </c>
      <c r="AE3612">
        <v>-7.2601999999999904</v>
      </c>
      <c r="AF3612">
        <v>4.8989436493520504</v>
      </c>
      <c r="AG3612">
        <v>-1.1065364231720001</v>
      </c>
      <c r="AH3612">
        <v>7.6690324886105197</v>
      </c>
      <c r="AI3612">
        <v>96.932828133605696</v>
      </c>
      <c r="AJ3612">
        <v>57.4297417252617</v>
      </c>
      <c r="AK3612">
        <v>9.1672313730317097</v>
      </c>
      <c r="AL3612">
        <v>87.455217697170596</v>
      </c>
      <c r="AM3612">
        <v>77.298506930816899</v>
      </c>
      <c r="AN3612">
        <v>1.0000000296246601</v>
      </c>
    </row>
    <row r="3613" spans="1:40" x14ac:dyDescent="0.25">
      <c r="A3613" t="str">
        <f>"20190312151344698"</f>
        <v>20190312151344698</v>
      </c>
      <c r="B3613" t="str">
        <f>"1552374824693594"</f>
        <v>1552374824693594</v>
      </c>
      <c r="C3613" t="s">
        <v>40</v>
      </c>
      <c r="D3613">
        <v>4.9645479999999997</v>
      </c>
      <c r="E3613">
        <v>0.63439449999999997</v>
      </c>
      <c r="F3613" t="s">
        <v>42</v>
      </c>
      <c r="G3613">
        <v>-195.50239999999999</v>
      </c>
      <c r="H3613" s="1">
        <v>-2.3235490000000002E-6</v>
      </c>
      <c r="I3613">
        <v>161.40989999999999</v>
      </c>
      <c r="J3613">
        <v>-189.589</v>
      </c>
      <c r="K3613">
        <v>1.106422</v>
      </c>
      <c r="L3613">
        <v>168.78229999999999</v>
      </c>
      <c r="M3613">
        <v>-0.10264</v>
      </c>
      <c r="N3613">
        <v>0</v>
      </c>
      <c r="O3613">
        <v>-0.99461909999999998</v>
      </c>
      <c r="P3613">
        <v>-0.31994479999999997</v>
      </c>
      <c r="Q3613">
        <v>3.4160650000000001E-2</v>
      </c>
      <c r="R3613">
        <v>-0.94682040000000001</v>
      </c>
      <c r="S3613">
        <v>-1.971268</v>
      </c>
      <c r="T3613">
        <v>-0.36706109999999997</v>
      </c>
      <c r="U3613">
        <v>-2.5234070000000002</v>
      </c>
      <c r="V3613">
        <v>0.22151100000000001</v>
      </c>
      <c r="W3613">
        <v>4.5761639999999999E-2</v>
      </c>
      <c r="X3613">
        <v>0.97408349999999999</v>
      </c>
      <c r="Y3613">
        <v>0.52729419999999905</v>
      </c>
      <c r="Z3613">
        <v>0.11663560000000001</v>
      </c>
      <c r="AA3613">
        <v>0.84163949999999998</v>
      </c>
      <c r="AB3613">
        <v>25</v>
      </c>
      <c r="AC3613">
        <v>-5.9133999999999602</v>
      </c>
      <c r="AD3613">
        <v>-1.1064243235490001</v>
      </c>
      <c r="AE3613">
        <v>-7.3723999999999901</v>
      </c>
      <c r="AF3613">
        <v>5.0560888237168102</v>
      </c>
      <c r="AG3613">
        <v>-1.1064243235490001</v>
      </c>
      <c r="AH3613">
        <v>7.8331109216050203</v>
      </c>
      <c r="AI3613">
        <v>96.767898819092096</v>
      </c>
      <c r="AJ3613">
        <v>57.158708794201097</v>
      </c>
      <c r="AK3613">
        <v>9.3886013701308499</v>
      </c>
      <c r="AL3613">
        <v>87.377135074500003</v>
      </c>
      <c r="AM3613">
        <v>77.188553337757398</v>
      </c>
      <c r="AN3613">
        <v>0.99999995789436802</v>
      </c>
    </row>
    <row r="3614" spans="1:40" x14ac:dyDescent="0.25">
      <c r="A3614" t="str">
        <f>"20190312151344719"</f>
        <v>20190312151344719</v>
      </c>
      <c r="B3614" t="str">
        <f>"1552374824714090"</f>
        <v>1552374824714090</v>
      </c>
      <c r="C3614" t="s">
        <v>40</v>
      </c>
      <c r="D3614">
        <v>4.7561249999999999</v>
      </c>
      <c r="E3614">
        <v>0.63390179999999996</v>
      </c>
      <c r="F3614" t="s">
        <v>42</v>
      </c>
      <c r="G3614">
        <v>-195.70509999999999</v>
      </c>
      <c r="H3614" s="1">
        <v>-2.2229660000000001E-6</v>
      </c>
      <c r="I3614">
        <v>161.083</v>
      </c>
      <c r="J3614">
        <v>-189.6199</v>
      </c>
      <c r="K3614">
        <v>1.10629</v>
      </c>
      <c r="L3614">
        <v>168.54580000000001</v>
      </c>
      <c r="M3614">
        <v>-0.1084884</v>
      </c>
      <c r="N3614">
        <v>0</v>
      </c>
      <c r="O3614">
        <v>-0.99399780000000004</v>
      </c>
      <c r="P3614">
        <v>-0.32961449999999998</v>
      </c>
      <c r="Q3614">
        <v>3.468537E-2</v>
      </c>
      <c r="R3614">
        <v>-0.94347820000000004</v>
      </c>
      <c r="S3614">
        <v>-1.9924470000000001</v>
      </c>
      <c r="T3614">
        <v>-0.36043760000000002</v>
      </c>
      <c r="U3614">
        <v>-2.5082089999999999</v>
      </c>
      <c r="V3614">
        <v>0.22576969999999999</v>
      </c>
      <c r="W3614">
        <v>4.6173190000000003E-2</v>
      </c>
      <c r="X3614">
        <v>0.97308589999999995</v>
      </c>
      <c r="Y3614">
        <v>0.52929759999999904</v>
      </c>
      <c r="Z3614">
        <v>0.1146496</v>
      </c>
      <c r="AA3614">
        <v>0.84065429999999997</v>
      </c>
      <c r="AB3614">
        <v>24</v>
      </c>
      <c r="AC3614">
        <v>-6.08519999999998</v>
      </c>
      <c r="AD3614">
        <v>-1.1062922229659999</v>
      </c>
      <c r="AE3614">
        <v>-7.4628000000000103</v>
      </c>
      <c r="AF3614">
        <v>5.1713107409708403</v>
      </c>
      <c r="AG3614">
        <v>-1.1062922229659999</v>
      </c>
      <c r="AH3614">
        <v>7.9737348451369998</v>
      </c>
      <c r="AI3614">
        <v>96.639622656712902</v>
      </c>
      <c r="AJ3614">
        <v>57.0348527343629</v>
      </c>
      <c r="AK3614">
        <v>9.5680083947928996</v>
      </c>
      <c r="AL3614">
        <v>87.353530273615306</v>
      </c>
      <c r="AM3614">
        <v>76.937679478371905</v>
      </c>
      <c r="AN3614">
        <v>1.0000000448458299</v>
      </c>
    </row>
    <row r="3615" spans="1:40" x14ac:dyDescent="0.25">
      <c r="A3615" t="str">
        <f>"20190312151344743"</f>
        <v>20190312151344743</v>
      </c>
      <c r="B3615" t="str">
        <f>"1552374824734586"</f>
        <v>1552374824734586</v>
      </c>
      <c r="C3615" t="s">
        <v>40</v>
      </c>
      <c r="D3615">
        <v>4.9253229999999997</v>
      </c>
      <c r="E3615">
        <v>0.63372759999999995</v>
      </c>
      <c r="F3615" t="s">
        <v>42</v>
      </c>
      <c r="G3615">
        <v>-195.91579999999999</v>
      </c>
      <c r="H3615" s="1">
        <v>-2.1287940000000001E-6</v>
      </c>
      <c r="I3615">
        <v>160.76519999999999</v>
      </c>
      <c r="J3615">
        <v>-189.65549999999999</v>
      </c>
      <c r="K3615">
        <v>1.1061319999999999</v>
      </c>
      <c r="L3615">
        <v>168.28799999999899</v>
      </c>
      <c r="M3615">
        <v>-0.1151041</v>
      </c>
      <c r="N3615">
        <v>0</v>
      </c>
      <c r="O3615">
        <v>-0.99325339999999995</v>
      </c>
      <c r="P3615">
        <v>-0.33976099999999998</v>
      </c>
      <c r="Q3615">
        <v>3.4423130000000003E-2</v>
      </c>
      <c r="R3615">
        <v>-0.93988170000000004</v>
      </c>
      <c r="S3615">
        <v>-2.0140989999999999</v>
      </c>
      <c r="T3615">
        <v>-0.35391139999999999</v>
      </c>
      <c r="U3615">
        <v>-2.48909</v>
      </c>
      <c r="V3615">
        <v>0.2297903</v>
      </c>
      <c r="W3615">
        <v>4.5785449999999998E-2</v>
      </c>
      <c r="X3615">
        <v>0.97216259999999999</v>
      </c>
      <c r="Y3615">
        <v>0.53137129999999999</v>
      </c>
      <c r="Z3615">
        <v>0.11279069999999999</v>
      </c>
      <c r="AA3615">
        <v>0.83959680000000003</v>
      </c>
      <c r="AB3615">
        <v>24</v>
      </c>
      <c r="AC3615">
        <v>-6.2603</v>
      </c>
      <c r="AD3615">
        <v>-1.1061341287940001</v>
      </c>
      <c r="AE3615">
        <v>-7.5227999999999797</v>
      </c>
      <c r="AF3615">
        <v>5.2851787391851301</v>
      </c>
      <c r="AG3615">
        <v>-1.1061341287940001</v>
      </c>
      <c r="AH3615">
        <v>8.0901049432490399</v>
      </c>
      <c r="AI3615">
        <v>96.529961883423098</v>
      </c>
      <c r="AJ3615">
        <v>56.843845606724699</v>
      </c>
      <c r="AK3615">
        <v>9.7265844472147602</v>
      </c>
      <c r="AL3615">
        <v>87.375769554545201</v>
      </c>
      <c r="AM3615">
        <v>76.701071724490205</v>
      </c>
      <c r="AN3615">
        <v>1.0000000051222699</v>
      </c>
    </row>
    <row r="3616" spans="1:40" x14ac:dyDescent="0.25">
      <c r="A3616" t="str">
        <f>"20190312151344763"</f>
        <v>20190312151344763</v>
      </c>
      <c r="B3616" t="str">
        <f>"1552374824754105"</f>
        <v>1552374824754105</v>
      </c>
      <c r="C3616" t="s">
        <v>40</v>
      </c>
      <c r="D3616">
        <v>4.7909790000000001</v>
      </c>
      <c r="E3616">
        <v>0.62706399999999995</v>
      </c>
      <c r="F3616" t="s">
        <v>42</v>
      </c>
      <c r="G3616">
        <v>-196.3717</v>
      </c>
      <c r="H3616" s="1">
        <v>-1.9645559999999998E-6</v>
      </c>
      <c r="I3616">
        <v>160.1611</v>
      </c>
      <c r="J3616">
        <v>-189.68860000000001</v>
      </c>
      <c r="K3616">
        <v>1.1059859999999999</v>
      </c>
      <c r="L3616">
        <v>168.06129999999999</v>
      </c>
      <c r="M3616">
        <v>-0.1211515</v>
      </c>
      <c r="N3616">
        <v>0</v>
      </c>
      <c r="O3616">
        <v>-0.99253360000000002</v>
      </c>
      <c r="P3616">
        <v>-0.34876600000000002</v>
      </c>
      <c r="Q3616">
        <v>3.3852210000000001E-2</v>
      </c>
      <c r="R3616">
        <v>-0.9365985</v>
      </c>
      <c r="S3616">
        <v>-2.0388790000000001</v>
      </c>
      <c r="T3616">
        <v>-0.33579639999999999</v>
      </c>
      <c r="U3616">
        <v>-2.4671479999999999</v>
      </c>
      <c r="V3616">
        <v>0.23320830000000001</v>
      </c>
      <c r="W3616">
        <v>4.5101429999999998E-2</v>
      </c>
      <c r="X3616">
        <v>0.97138040000000003</v>
      </c>
      <c r="Y3616">
        <v>0.53528489999999995</v>
      </c>
      <c r="Z3616">
        <v>0.1072626</v>
      </c>
      <c r="AA3616">
        <v>0.83783339999999995</v>
      </c>
      <c r="AB3616">
        <v>24</v>
      </c>
      <c r="AC3616">
        <v>-6.6830999999999898</v>
      </c>
      <c r="AD3616">
        <v>-1.105987964556</v>
      </c>
      <c r="AE3616">
        <v>-7.9001999999999803</v>
      </c>
      <c r="AF3616">
        <v>5.6125305659787399</v>
      </c>
      <c r="AG3616">
        <v>-1.105987964556</v>
      </c>
      <c r="AH3616">
        <v>8.5540258678069296</v>
      </c>
      <c r="AI3616">
        <v>96.169853212936999</v>
      </c>
      <c r="AJ3616">
        <v>56.7300230946474</v>
      </c>
      <c r="AK3616">
        <v>10.290532895768701</v>
      </c>
      <c r="AL3616">
        <v>87.415001701329004</v>
      </c>
      <c r="AM3616">
        <v>76.499972172541504</v>
      </c>
      <c r="AN3616">
        <v>1.0000000658405399</v>
      </c>
    </row>
    <row r="3617" spans="1:40" x14ac:dyDescent="0.25">
      <c r="A3617" t="str">
        <f>"20190312151344787"</f>
        <v>20190312151344787</v>
      </c>
      <c r="B3617" t="str">
        <f>"1552374824784362"</f>
        <v>1552374824784362</v>
      </c>
      <c r="C3617" t="s">
        <v>40</v>
      </c>
      <c r="D3617">
        <v>5.0538319999999999</v>
      </c>
      <c r="E3617">
        <v>0.63004519999999997</v>
      </c>
      <c r="F3617" t="s">
        <v>58</v>
      </c>
      <c r="G3617">
        <v>-200.07149999999999</v>
      </c>
      <c r="H3617">
        <v>7.9984990000000006E-2</v>
      </c>
      <c r="I3617">
        <v>155.3235</v>
      </c>
      <c r="J3617">
        <v>-189.7268</v>
      </c>
      <c r="K3617">
        <v>1.1058250000000001</v>
      </c>
      <c r="L3617">
        <v>167.8126</v>
      </c>
      <c r="M3617">
        <v>-0.12804019999999999</v>
      </c>
      <c r="N3617">
        <v>0</v>
      </c>
      <c r="O3617">
        <v>-0.99166810000000005</v>
      </c>
      <c r="P3617">
        <v>-0.35802050000000002</v>
      </c>
      <c r="Q3617">
        <v>3.3476319999999997E-2</v>
      </c>
      <c r="R3617">
        <v>-0.93311350000000004</v>
      </c>
      <c r="S3617">
        <v>-2.007431</v>
      </c>
      <c r="T3617">
        <v>-0.19836799999999999</v>
      </c>
      <c r="U3617">
        <v>-2.4627379999999999</v>
      </c>
      <c r="V3617">
        <v>0.2360922</v>
      </c>
      <c r="W3617">
        <v>4.4611249999999998E-2</v>
      </c>
      <c r="X3617">
        <v>0.97070610000000002</v>
      </c>
      <c r="Y3617">
        <v>0.52606640000000005</v>
      </c>
      <c r="Z3617">
        <v>6.4072329999999997E-2</v>
      </c>
      <c r="AA3617">
        <v>0.84802649999999902</v>
      </c>
      <c r="AB3617">
        <v>24</v>
      </c>
      <c r="AC3617">
        <v>-10.3446999999999</v>
      </c>
      <c r="AD3617">
        <v>-1.02584001</v>
      </c>
      <c r="AE3617">
        <v>-12.489100000000001</v>
      </c>
      <c r="AF3617">
        <v>8.6257529063233704</v>
      </c>
      <c r="AG3617">
        <v>-1.02584001</v>
      </c>
      <c r="AH3617">
        <v>13.6563060154933</v>
      </c>
      <c r="AI3617">
        <v>93.633990071741096</v>
      </c>
      <c r="AJ3617">
        <v>57.722203727189999</v>
      </c>
      <c r="AK3617">
        <v>16.184889709721901</v>
      </c>
      <c r="AL3617">
        <v>87.443115103807102</v>
      </c>
      <c r="AM3617">
        <v>76.3301139301105</v>
      </c>
      <c r="AN3617">
        <v>1.0000000115523</v>
      </c>
    </row>
    <row r="3618" spans="1:40" x14ac:dyDescent="0.25">
      <c r="A3618" t="str">
        <f>"20190312151344809"</f>
        <v>20190312151344809</v>
      </c>
      <c r="B3618" t="str">
        <f>"1552374824803883"</f>
        <v>1552374824803883</v>
      </c>
      <c r="C3618" t="s">
        <v>40</v>
      </c>
      <c r="D3618">
        <v>4.9108999999999998</v>
      </c>
      <c r="E3618">
        <v>0.6293531</v>
      </c>
      <c r="F3618" t="s">
        <v>42</v>
      </c>
      <c r="G3618">
        <v>-196.03049999999999</v>
      </c>
      <c r="H3618" s="1">
        <v>-1.9646140000000002E-6</v>
      </c>
      <c r="I3618">
        <v>160.35329999999999</v>
      </c>
      <c r="J3618">
        <v>-189.76609999999999</v>
      </c>
      <c r="K3618">
        <v>1.105666</v>
      </c>
      <c r="L3618">
        <v>167.5701</v>
      </c>
      <c r="M3618">
        <v>-0.13502259999999999</v>
      </c>
      <c r="N3618">
        <v>0</v>
      </c>
      <c r="O3618">
        <v>-0.99074130000000005</v>
      </c>
      <c r="P3618">
        <v>-0.3675641</v>
      </c>
      <c r="Q3618">
        <v>3.2840000000000001E-2</v>
      </c>
      <c r="R3618">
        <v>-0.92941810000000002</v>
      </c>
      <c r="S3618">
        <v>-2.0599820000000002</v>
      </c>
      <c r="T3618">
        <v>-0.36137019999999997</v>
      </c>
      <c r="U3618">
        <v>-2.4376069999999999</v>
      </c>
      <c r="V3618">
        <v>0.23920910000000001</v>
      </c>
      <c r="W3618">
        <v>4.3860969999999999E-2</v>
      </c>
      <c r="X3618">
        <v>0.96997690000000003</v>
      </c>
      <c r="Y3618">
        <v>0.53208759999999999</v>
      </c>
      <c r="Z3618">
        <v>0.11588519999999899</v>
      </c>
      <c r="AA3618">
        <v>0.8387213</v>
      </c>
      <c r="AB3618">
        <v>24</v>
      </c>
      <c r="AC3618">
        <v>-6.2643999999999904</v>
      </c>
      <c r="AD3618">
        <v>-1.105667964614</v>
      </c>
      <c r="AE3618">
        <v>-7.2168000000000001</v>
      </c>
      <c r="AF3618">
        <v>5.1633750458960801</v>
      </c>
      <c r="AG3618">
        <v>-1.105667964614</v>
      </c>
      <c r="AH3618">
        <v>7.8909883346654404</v>
      </c>
      <c r="AI3618">
        <v>96.687278666542298</v>
      </c>
      <c r="AJ3618">
        <v>56.801743957357701</v>
      </c>
      <c r="AK3618">
        <v>9.4947691077973104</v>
      </c>
      <c r="AL3618">
        <v>87.4861450302663</v>
      </c>
      <c r="AM3618">
        <v>76.146536650116801</v>
      </c>
      <c r="AN3618">
        <v>0.99999998237288001</v>
      </c>
    </row>
    <row r="3619" spans="1:40" x14ac:dyDescent="0.25">
      <c r="A3619" t="str">
        <f>"20190312151344833"</f>
        <v>20190312151344833</v>
      </c>
      <c r="B3619" t="str">
        <f>"1552374824824378"</f>
        <v>1552374824824378</v>
      </c>
      <c r="C3619" t="s">
        <v>40</v>
      </c>
      <c r="D3619">
        <v>4.7650750000000004</v>
      </c>
      <c r="E3619">
        <v>0.62802849999999999</v>
      </c>
      <c r="F3619" t="s">
        <v>42</v>
      </c>
      <c r="G3619">
        <v>-196.24879999999999</v>
      </c>
      <c r="H3619" s="1">
        <v>-1.871123E-6</v>
      </c>
      <c r="I3619">
        <v>160.03270000000001</v>
      </c>
      <c r="J3619">
        <v>-189.80860000000001</v>
      </c>
      <c r="K3619">
        <v>1.105523</v>
      </c>
      <c r="L3619">
        <v>167.321</v>
      </c>
      <c r="M3619">
        <v>-0.1424117</v>
      </c>
      <c r="N3619">
        <v>0</v>
      </c>
      <c r="O3619">
        <v>-0.98970590000000003</v>
      </c>
      <c r="P3619">
        <v>-0.37753700000000001</v>
      </c>
      <c r="Q3619">
        <v>3.2082520000000003E-2</v>
      </c>
      <c r="R3619">
        <v>-0.92543869999999895</v>
      </c>
      <c r="S3619">
        <v>-2.0795750000000002</v>
      </c>
      <c r="T3619">
        <v>-0.354688</v>
      </c>
      <c r="U3619">
        <v>-2.4179379999999999</v>
      </c>
      <c r="V3619">
        <v>0.24240390000000001</v>
      </c>
      <c r="W3619">
        <v>4.2996800000000002E-2</v>
      </c>
      <c r="X3619">
        <v>0.96922220000000003</v>
      </c>
      <c r="Y3619">
        <v>0.53320610000000002</v>
      </c>
      <c r="Z3619">
        <v>0.113981399999999</v>
      </c>
      <c r="AA3619">
        <v>0.83827169999999895</v>
      </c>
      <c r="AB3619">
        <v>24</v>
      </c>
      <c r="AC3619">
        <v>-6.4401999999999697</v>
      </c>
      <c r="AD3619">
        <v>-1.1055248711229999</v>
      </c>
      <c r="AE3619">
        <v>-7.2882999999999898</v>
      </c>
      <c r="AF3619">
        <v>5.26843267185291</v>
      </c>
      <c r="AG3619">
        <v>-1.1055248711229999</v>
      </c>
      <c r="AH3619">
        <v>8.0275344208904702</v>
      </c>
      <c r="AI3619">
        <v>96.567847165752696</v>
      </c>
      <c r="AJ3619">
        <v>56.7233000520541</v>
      </c>
      <c r="AK3619">
        <v>9.6653958499949795</v>
      </c>
      <c r="AL3619">
        <v>87.535705188635006</v>
      </c>
      <c r="AM3619">
        <v>75.958284680172298</v>
      </c>
      <c r="AN3619">
        <v>1.00000002425914</v>
      </c>
    </row>
    <row r="3620" spans="1:40" x14ac:dyDescent="0.25">
      <c r="A3620" t="str">
        <f>"20190312151344855"</f>
        <v>20190312151344855</v>
      </c>
      <c r="B3620" t="str">
        <f>"1552374824843898"</f>
        <v>1552374824843898</v>
      </c>
      <c r="C3620" t="s">
        <v>40</v>
      </c>
      <c r="D3620">
        <v>4.9369690000000004</v>
      </c>
      <c r="E3620">
        <v>0.62724919999999995</v>
      </c>
      <c r="F3620" t="s">
        <v>42</v>
      </c>
      <c r="G3620">
        <v>-196.5069</v>
      </c>
      <c r="H3620" s="1">
        <v>-1.759122E-6</v>
      </c>
      <c r="I3620">
        <v>159.65049999999999</v>
      </c>
      <c r="J3620">
        <v>-189.85130000000001</v>
      </c>
      <c r="K3620">
        <v>1.1054029999999999</v>
      </c>
      <c r="L3620">
        <v>167.0822</v>
      </c>
      <c r="M3620">
        <v>-0.149692299999999</v>
      </c>
      <c r="N3620">
        <v>0</v>
      </c>
      <c r="O3620">
        <v>-0.98863060000000003</v>
      </c>
      <c r="P3620">
        <v>-0.3864184</v>
      </c>
      <c r="Q3620">
        <v>3.1387569999999997E-2</v>
      </c>
      <c r="R3620">
        <v>-0.92178950000000004</v>
      </c>
      <c r="S3620">
        <v>-2.0949399999999998</v>
      </c>
      <c r="T3620">
        <v>-0.34576259999999998</v>
      </c>
      <c r="U3620">
        <v>-2.3990480000000001</v>
      </c>
      <c r="V3620">
        <v>0.24459059999999999</v>
      </c>
      <c r="W3620">
        <v>4.2220269999999997E-2</v>
      </c>
      <c r="X3620">
        <v>0.96870679999999998</v>
      </c>
      <c r="Y3620">
        <v>0.53349749999999996</v>
      </c>
      <c r="Z3620">
        <v>0.1114067</v>
      </c>
      <c r="AA3620">
        <v>0.83843250000000002</v>
      </c>
      <c r="AB3620">
        <v>24</v>
      </c>
      <c r="AC3620">
        <v>-6.65559999999999</v>
      </c>
      <c r="AD3620">
        <v>-1.105404759122</v>
      </c>
      <c r="AE3620">
        <v>-7.4317000000000002</v>
      </c>
      <c r="AF3620">
        <v>5.4016952305997004</v>
      </c>
      <c r="AG3620">
        <v>-1.105404759122</v>
      </c>
      <c r="AH3620">
        <v>8.2431368646069192</v>
      </c>
      <c r="AI3620">
        <v>96.399723732689694</v>
      </c>
      <c r="AJ3620">
        <v>56.763331897171803</v>
      </c>
      <c r="AK3620">
        <v>9.9171334776947901</v>
      </c>
      <c r="AL3620">
        <v>87.580237436281294</v>
      </c>
      <c r="AM3620">
        <v>75.829459856573706</v>
      </c>
      <c r="AN3620">
        <v>0.999999988586736</v>
      </c>
    </row>
    <row r="3621" spans="1:40" x14ac:dyDescent="0.25">
      <c r="A3621" t="str">
        <f>"20190312151344880"</f>
        <v>20190312151344880</v>
      </c>
      <c r="B3621" t="str">
        <f>"1552374824874154"</f>
        <v>1552374824874154</v>
      </c>
      <c r="C3621" t="s">
        <v>40</v>
      </c>
      <c r="D3621">
        <v>4.7984080000000002</v>
      </c>
      <c r="E3621">
        <v>0.59335230000000005</v>
      </c>
      <c r="F3621" t="s">
        <v>58</v>
      </c>
      <c r="G3621">
        <v>-196.5111</v>
      </c>
      <c r="H3621" s="1">
        <v>-1.496713E-5</v>
      </c>
      <c r="I3621">
        <v>159.57509999999999</v>
      </c>
      <c r="J3621">
        <v>-189.90280000000001</v>
      </c>
      <c r="K3621">
        <v>1.105281</v>
      </c>
      <c r="L3621">
        <v>166.8083</v>
      </c>
      <c r="M3621">
        <v>-0.15827759999999999</v>
      </c>
      <c r="N3621">
        <v>0</v>
      </c>
      <c r="O3621">
        <v>-0.98729210000000001</v>
      </c>
      <c r="P3621">
        <v>-0.39590579999999997</v>
      </c>
      <c r="Q3621">
        <v>3.0745950000000001E-2</v>
      </c>
      <c r="R3621">
        <v>-0.91777600000000004</v>
      </c>
      <c r="S3621">
        <v>-2.1122589999999999</v>
      </c>
      <c r="T3621">
        <v>-0.35060200000000002</v>
      </c>
      <c r="U3621">
        <v>-2.3810120000000001</v>
      </c>
      <c r="V3621">
        <v>0.24616640000000001</v>
      </c>
      <c r="W3621">
        <v>4.1504199999999998E-2</v>
      </c>
      <c r="X3621">
        <v>0.96833849999999999</v>
      </c>
      <c r="Y3621">
        <v>0.53259979999999996</v>
      </c>
      <c r="Z3621">
        <v>0.1131392</v>
      </c>
      <c r="AA3621">
        <v>0.83877109999999899</v>
      </c>
      <c r="AB3621">
        <v>24</v>
      </c>
      <c r="AC3621">
        <v>-6.6082999999999803</v>
      </c>
      <c r="AD3621">
        <v>-1.10529596713</v>
      </c>
      <c r="AE3621">
        <v>-7.2332000000000098</v>
      </c>
      <c r="AF3621">
        <v>5.3124010654329004</v>
      </c>
      <c r="AG3621">
        <v>-1.10529596713</v>
      </c>
      <c r="AH3621">
        <v>8.0851539622869097</v>
      </c>
      <c r="AI3621">
        <v>96.517850158452603</v>
      </c>
      <c r="AJ3621">
        <v>56.692834343031599</v>
      </c>
      <c r="AK3621">
        <v>9.7371966627387305</v>
      </c>
      <c r="AL3621">
        <v>87.621301185828202</v>
      </c>
      <c r="AM3621">
        <v>75.736674509722306</v>
      </c>
      <c r="AN3621">
        <v>0.99999997284442399</v>
      </c>
    </row>
    <row r="3622" spans="1:40" x14ac:dyDescent="0.25">
      <c r="A3622" t="str">
        <f>"20190312151344901"</f>
        <v>20190312151344901</v>
      </c>
      <c r="B3622" t="str">
        <f>"1552374824893674"</f>
        <v>1552374824893674</v>
      </c>
      <c r="C3622" t="s">
        <v>40</v>
      </c>
      <c r="D3622">
        <v>4.6722769999999896</v>
      </c>
      <c r="E3622">
        <v>0.5863448</v>
      </c>
      <c r="F3622" t="s">
        <v>42</v>
      </c>
      <c r="G3622">
        <v>-194.71279999999999</v>
      </c>
      <c r="H3622" s="1">
        <v>-1.6992949999999901E-6</v>
      </c>
      <c r="I3622">
        <v>160.53370000000001</v>
      </c>
      <c r="J3622">
        <v>-189.94710000000001</v>
      </c>
      <c r="K3622">
        <v>1.105181</v>
      </c>
      <c r="L3622">
        <v>166.58359999999999</v>
      </c>
      <c r="M3622">
        <v>-0.1654997</v>
      </c>
      <c r="N3622">
        <v>0</v>
      </c>
      <c r="O3622">
        <v>-0.98610690000000001</v>
      </c>
      <c r="P3622">
        <v>-0.40361960000000002</v>
      </c>
      <c r="Q3622">
        <v>3.0445590000000002E-2</v>
      </c>
      <c r="R3622">
        <v>-0.91442049999999997</v>
      </c>
      <c r="S3622">
        <v>-1.8914489999999999</v>
      </c>
      <c r="T3622">
        <v>-0.43463829999999998</v>
      </c>
      <c r="U3622">
        <v>-2.4673769999999999</v>
      </c>
      <c r="V3622">
        <v>0.24723709999999999</v>
      </c>
      <c r="W3622">
        <v>4.1146410000000001E-2</v>
      </c>
      <c r="X3622">
        <v>0.96808099999999997</v>
      </c>
      <c r="Y3622">
        <v>0.46245540000000002</v>
      </c>
      <c r="Z3622">
        <v>0.1422194</v>
      </c>
      <c r="AA3622">
        <v>0.87516209999999905</v>
      </c>
      <c r="AB3622">
        <v>24</v>
      </c>
      <c r="AC3622">
        <v>-4.7656999999999803</v>
      </c>
      <c r="AD3622">
        <v>-1.105182699295</v>
      </c>
      <c r="AE3622">
        <v>-6.0498999999999796</v>
      </c>
      <c r="AF3622">
        <v>3.6239803438198299</v>
      </c>
      <c r="AG3622">
        <v>-1.105182699295</v>
      </c>
      <c r="AH3622">
        <v>6.6189526153970402</v>
      </c>
      <c r="AI3622">
        <v>98.332147191691604</v>
      </c>
      <c r="AJ3622">
        <v>61.298603831970603</v>
      </c>
      <c r="AK3622">
        <v>7.6266110465976196</v>
      </c>
      <c r="AL3622">
        <v>87.641818673813603</v>
      </c>
      <c r="AM3622">
        <v>75.6735305360083</v>
      </c>
      <c r="AN3622">
        <v>1.0000000166166401</v>
      </c>
    </row>
    <row r="3623" spans="1:40" x14ac:dyDescent="0.25">
      <c r="A3623" t="str">
        <f>"20190312151344921"</f>
        <v>20190312151344921</v>
      </c>
      <c r="B3623" t="str">
        <f>"1552374824914170"</f>
        <v>1552374824914170</v>
      </c>
      <c r="C3623" t="s">
        <v>40</v>
      </c>
      <c r="D3623">
        <v>4.681305</v>
      </c>
      <c r="E3623">
        <v>0.583157699999999</v>
      </c>
      <c r="F3623" t="s">
        <v>42</v>
      </c>
      <c r="G3623">
        <v>-195.0617</v>
      </c>
      <c r="H3623" s="1">
        <v>-1.436019E-6</v>
      </c>
      <c r="I3623">
        <v>159.78039999999999</v>
      </c>
      <c r="J3623">
        <v>-189.99270000000001</v>
      </c>
      <c r="K3623">
        <v>1.105084</v>
      </c>
      <c r="L3623">
        <v>166.3614</v>
      </c>
      <c r="M3623">
        <v>-0.1727977</v>
      </c>
      <c r="N3623">
        <v>0</v>
      </c>
      <c r="O3623">
        <v>-0.98485400000000001</v>
      </c>
      <c r="P3623">
        <v>-0.41065699999999999</v>
      </c>
      <c r="Q3623">
        <v>3.0015199999999999E-2</v>
      </c>
      <c r="R3623">
        <v>-0.91129579999999999</v>
      </c>
      <c r="S3623">
        <v>-1.859467</v>
      </c>
      <c r="T3623">
        <v>-0.40179740000000003</v>
      </c>
      <c r="U3623">
        <v>-2.4733890000000001</v>
      </c>
      <c r="V3623">
        <v>0.24753330000000001</v>
      </c>
      <c r="W3623">
        <v>4.0671880000000001E-2</v>
      </c>
      <c r="X3623">
        <v>0.96802529999999998</v>
      </c>
      <c r="Y3623">
        <v>0.44846439999999999</v>
      </c>
      <c r="Z3623">
        <v>0.13214409999999999</v>
      </c>
      <c r="AA3623">
        <v>0.88397829999999999</v>
      </c>
      <c r="AB3623">
        <v>24</v>
      </c>
      <c r="AC3623">
        <v>-5.0689999999999804</v>
      </c>
      <c r="AD3623">
        <v>-1.1050854360189999</v>
      </c>
      <c r="AE3623">
        <v>-6.5810000000000102</v>
      </c>
      <c r="AF3623">
        <v>3.7883901024570501</v>
      </c>
      <c r="AG3623">
        <v>-1.1050854360189999</v>
      </c>
      <c r="AH3623">
        <v>7.2300301368491402</v>
      </c>
      <c r="AI3623">
        <v>97.7102146864014</v>
      </c>
      <c r="AJ3623">
        <v>62.346367357257002</v>
      </c>
      <c r="AK3623">
        <v>8.2368956026553199</v>
      </c>
      <c r="AL3623">
        <v>87.669029884762793</v>
      </c>
      <c r="AM3623">
        <v>75.656283331646094</v>
      </c>
      <c r="AN3623">
        <v>0.99999995893585603</v>
      </c>
    </row>
    <row r="3624" spans="1:40" x14ac:dyDescent="0.25">
      <c r="A3624" t="str">
        <f>"20190312151344943"</f>
        <v>20190312151344943</v>
      </c>
      <c r="B3624" t="str">
        <f>"1552374824933693"</f>
        <v>1552374824933693</v>
      </c>
      <c r="C3624" t="s">
        <v>40</v>
      </c>
      <c r="D3624">
        <v>4.6618620000000002</v>
      </c>
      <c r="E3624">
        <v>0.58115479999999997</v>
      </c>
      <c r="F3624" t="s">
        <v>58</v>
      </c>
      <c r="G3624">
        <v>-195.23929999999999</v>
      </c>
      <c r="H3624" s="1">
        <v>-1.4917239999999999E-5</v>
      </c>
      <c r="I3624">
        <v>159.3768</v>
      </c>
      <c r="J3624">
        <v>-190.04300000000001</v>
      </c>
      <c r="K3624">
        <v>1.1049850000000001</v>
      </c>
      <c r="L3624">
        <v>166.12639999999999</v>
      </c>
      <c r="M3624">
        <v>-0.18066199999999999</v>
      </c>
      <c r="N3624">
        <v>0</v>
      </c>
      <c r="O3624">
        <v>-0.98344140000000002</v>
      </c>
      <c r="P3624">
        <v>-0.4180315</v>
      </c>
      <c r="Q3624">
        <v>3.0708010000000001E-2</v>
      </c>
      <c r="R3624">
        <v>-0.90791339999999998</v>
      </c>
      <c r="S3624">
        <v>-1.8546750000000001</v>
      </c>
      <c r="T3624">
        <v>-0.39065850000000002</v>
      </c>
      <c r="U3624">
        <v>-2.4690859999999999</v>
      </c>
      <c r="V3624">
        <v>0.24766920000000001</v>
      </c>
      <c r="W3624">
        <v>4.1321740000000003E-2</v>
      </c>
      <c r="X3624">
        <v>0.96796300000000002</v>
      </c>
      <c r="Y3624">
        <v>0.44123289999999998</v>
      </c>
      <c r="Z3624">
        <v>0.1287575</v>
      </c>
      <c r="AA3624">
        <v>0.88810750000000005</v>
      </c>
      <c r="AB3624">
        <v>24</v>
      </c>
      <c r="AC3624">
        <v>-5.1962999999999804</v>
      </c>
      <c r="AD3624">
        <v>-1.10499991724</v>
      </c>
      <c r="AE3624">
        <v>-6.7495999999999796</v>
      </c>
      <c r="AF3624">
        <v>3.8268589248089002</v>
      </c>
      <c r="AG3624">
        <v>-1.10499991724</v>
      </c>
      <c r="AH3624">
        <v>7.4519811476403097</v>
      </c>
      <c r="AI3624">
        <v>97.514288507492097</v>
      </c>
      <c r="AJ3624">
        <v>62.817879525296298</v>
      </c>
      <c r="AK3624">
        <v>8.4497276330232403</v>
      </c>
      <c r="AL3624">
        <v>87.631764282130106</v>
      </c>
      <c r="AM3624">
        <v>75.647848050040395</v>
      </c>
      <c r="AN3624">
        <v>0.999999944097132</v>
      </c>
    </row>
    <row r="3625" spans="1:40" x14ac:dyDescent="0.25">
      <c r="A3625" t="str">
        <f>"20190312151344965"</f>
        <v>20190312151344965</v>
      </c>
      <c r="B3625" t="str">
        <f>"1552374824963946"</f>
        <v>1552374824963946</v>
      </c>
      <c r="C3625" t="s">
        <v>40</v>
      </c>
      <c r="D3625">
        <v>4.7279949999999999</v>
      </c>
      <c r="E3625">
        <v>0.57937309999999997</v>
      </c>
      <c r="F3625" t="s">
        <v>58</v>
      </c>
      <c r="G3625">
        <v>-195.39009999999999</v>
      </c>
      <c r="H3625" s="1">
        <v>-1.483545E-5</v>
      </c>
      <c r="I3625">
        <v>159.05179999999999</v>
      </c>
      <c r="J3625">
        <v>-190.096</v>
      </c>
      <c r="K3625">
        <v>1.104895</v>
      </c>
      <c r="L3625">
        <v>165.88929999999999</v>
      </c>
      <c r="M3625">
        <v>-0.18874060000000001</v>
      </c>
      <c r="N3625">
        <v>0</v>
      </c>
      <c r="O3625">
        <v>-0.98192290000000004</v>
      </c>
      <c r="P3625">
        <v>-0.42526730000000001</v>
      </c>
      <c r="Q3625">
        <v>3.2175509999999997E-2</v>
      </c>
      <c r="R3625">
        <v>-0.90449610000000003</v>
      </c>
      <c r="S3625">
        <v>-1.859985</v>
      </c>
      <c r="T3625">
        <v>-0.38437280000000001</v>
      </c>
      <c r="U3625">
        <v>-2.4609070000000002</v>
      </c>
      <c r="V3625">
        <v>0.24747810000000001</v>
      </c>
      <c r="W3625">
        <v>4.2758129999999998E-2</v>
      </c>
      <c r="X3625">
        <v>0.96794959999999997</v>
      </c>
      <c r="Y3625">
        <v>0.43665019999999999</v>
      </c>
      <c r="Z3625">
        <v>0.12683549999999999</v>
      </c>
      <c r="AA3625">
        <v>0.89064539999999903</v>
      </c>
      <c r="AB3625">
        <v>24</v>
      </c>
      <c r="AC3625">
        <v>-5.29410000000001</v>
      </c>
      <c r="AD3625">
        <v>-1.10490983545</v>
      </c>
      <c r="AE3625">
        <v>-6.8375000000000004</v>
      </c>
      <c r="AF3625">
        <v>3.8455027013306098</v>
      </c>
      <c r="AG3625">
        <v>-1.10490983545</v>
      </c>
      <c r="AH3625">
        <v>7.5899852389945703</v>
      </c>
      <c r="AI3625">
        <v>97.398937192177698</v>
      </c>
      <c r="AJ3625">
        <v>63.130726448228302</v>
      </c>
      <c r="AK3625">
        <v>8.5800112295130795</v>
      </c>
      <c r="AL3625">
        <v>87.549392617749405</v>
      </c>
      <c r="AM3625">
        <v>75.658274775149494</v>
      </c>
      <c r="AN3625">
        <v>1.0000000479004301</v>
      </c>
    </row>
    <row r="3626" spans="1:40" x14ac:dyDescent="0.25">
      <c r="A3626" t="str">
        <f>"20190312151344989"</f>
        <v>20190312151344989</v>
      </c>
      <c r="B3626" t="str">
        <f>"1552374824984442"</f>
        <v>1552374824984442</v>
      </c>
      <c r="C3626" t="s">
        <v>40</v>
      </c>
      <c r="D3626">
        <v>4.7425560000000004</v>
      </c>
      <c r="E3626">
        <v>0.57855429999999997</v>
      </c>
      <c r="F3626" t="s">
        <v>58</v>
      </c>
      <c r="G3626">
        <v>-195.92609999999999</v>
      </c>
      <c r="H3626" s="1">
        <v>-1.462754E-5</v>
      </c>
      <c r="I3626">
        <v>158.22550000000001</v>
      </c>
      <c r="J3626">
        <v>-190.1534</v>
      </c>
      <c r="K3626">
        <v>1.104822</v>
      </c>
      <c r="L3626">
        <v>165.64340000000001</v>
      </c>
      <c r="M3626">
        <v>-0.19724240000000001</v>
      </c>
      <c r="N3626">
        <v>0</v>
      </c>
      <c r="O3626">
        <v>-0.98025019999999996</v>
      </c>
      <c r="P3626">
        <v>-0.43330740000000001</v>
      </c>
      <c r="Q3626">
        <v>3.2058389999999999E-2</v>
      </c>
      <c r="R3626">
        <v>-0.90067619999999904</v>
      </c>
      <c r="S3626">
        <v>-1.865494</v>
      </c>
      <c r="T3626">
        <v>-0.35354269999999999</v>
      </c>
      <c r="U3626">
        <v>-2.4522089999999999</v>
      </c>
      <c r="V3626">
        <v>0.2477172</v>
      </c>
      <c r="W3626">
        <v>4.2613779999999997E-2</v>
      </c>
      <c r="X3626">
        <v>0.9678947</v>
      </c>
      <c r="Y3626">
        <v>0.43238989999999999</v>
      </c>
      <c r="Z3626">
        <v>0.1169063</v>
      </c>
      <c r="AA3626">
        <v>0.89407599999999998</v>
      </c>
      <c r="AB3626">
        <v>24</v>
      </c>
      <c r="AC3626">
        <v>-5.77269999999998</v>
      </c>
      <c r="AD3626">
        <v>-1.1048366275399999</v>
      </c>
      <c r="AE3626">
        <v>-7.4179000000000004</v>
      </c>
      <c r="AF3626">
        <v>4.13881276153593</v>
      </c>
      <c r="AG3626">
        <v>-1.1048366275399999</v>
      </c>
      <c r="AH3626">
        <v>8.2962573355974296</v>
      </c>
      <c r="AI3626">
        <v>96.7957154029923</v>
      </c>
      <c r="AJ3626">
        <v>63.486442097457399</v>
      </c>
      <c r="AK3626">
        <v>9.3369331596119292</v>
      </c>
      <c r="AL3626">
        <v>87.557670563886106</v>
      </c>
      <c r="AM3626">
        <v>75.644210347408205</v>
      </c>
      <c r="AN3626">
        <v>0.99999994785490698</v>
      </c>
    </row>
    <row r="3627" spans="1:40" x14ac:dyDescent="0.25">
      <c r="A3627" t="str">
        <f>"20190312151345010"</f>
        <v>20190312151345010</v>
      </c>
      <c r="B3627" t="str">
        <f>"1552374825003962"</f>
        <v>1552374825003962</v>
      </c>
      <c r="C3627" t="s">
        <v>40</v>
      </c>
      <c r="D3627">
        <v>4.7304570000000004</v>
      </c>
      <c r="E3627">
        <v>0.57794309999999904</v>
      </c>
      <c r="F3627" t="s">
        <v>58</v>
      </c>
      <c r="G3627">
        <v>-196.1508</v>
      </c>
      <c r="H3627" s="1">
        <v>-1.453754E-5</v>
      </c>
      <c r="I3627">
        <v>157.86779999999999</v>
      </c>
      <c r="J3627">
        <v>-190.20769999999999</v>
      </c>
      <c r="K3627">
        <v>1.1047819999999999</v>
      </c>
      <c r="L3627">
        <v>165.41929999999999</v>
      </c>
      <c r="M3627">
        <v>-0.205072</v>
      </c>
      <c r="N3627">
        <v>0</v>
      </c>
      <c r="O3627">
        <v>-0.97864200000000001</v>
      </c>
      <c r="P3627">
        <v>-0.44034590000000001</v>
      </c>
      <c r="Q3627">
        <v>3.0910480000000001E-2</v>
      </c>
      <c r="R3627">
        <v>-0.89729619999999999</v>
      </c>
      <c r="S3627">
        <v>-1.880722</v>
      </c>
      <c r="T3627">
        <v>-0.34646460000000001</v>
      </c>
      <c r="U3627">
        <v>-2.4383699999999999</v>
      </c>
      <c r="V3627">
        <v>0.24753800000000001</v>
      </c>
      <c r="W3627">
        <v>4.14618E-2</v>
      </c>
      <c r="X3627">
        <v>0.96799060000000003</v>
      </c>
      <c r="Y3627">
        <v>0.43130540000000001</v>
      </c>
      <c r="Z3627">
        <v>0.1146641</v>
      </c>
      <c r="AA3627">
        <v>0.89488979999999996</v>
      </c>
      <c r="AB3627">
        <v>24</v>
      </c>
      <c r="AC3627">
        <v>-5.94310000000001</v>
      </c>
      <c r="AD3627">
        <v>-1.10479653754</v>
      </c>
      <c r="AE3627">
        <v>-7.5514999999999999</v>
      </c>
      <c r="AF3627">
        <v>4.2123278857359896</v>
      </c>
      <c r="AG3627">
        <v>-1.10479653754</v>
      </c>
      <c r="AH3627">
        <v>8.4975462669651591</v>
      </c>
      <c r="AI3627">
        <v>96.644260358818499</v>
      </c>
      <c r="AJ3627">
        <v>63.631875239745803</v>
      </c>
      <c r="AK3627">
        <v>9.5484330738358807</v>
      </c>
      <c r="AL3627">
        <v>87.623732617882595</v>
      </c>
      <c r="AM3627">
        <v>75.655529243341306</v>
      </c>
      <c r="AN3627">
        <v>0.99999997199579904</v>
      </c>
    </row>
    <row r="3628" spans="1:40" x14ac:dyDescent="0.25">
      <c r="A3628" t="str">
        <f>"20190312151345034"</f>
        <v>20190312151345034</v>
      </c>
      <c r="B3628" t="str">
        <f>"1552374825024462"</f>
        <v>1552374825024462</v>
      </c>
      <c r="C3628" t="s">
        <v>40</v>
      </c>
      <c r="D3628">
        <v>4.7264160000000004</v>
      </c>
      <c r="E3628">
        <v>0.57753989999999999</v>
      </c>
      <c r="F3628" t="s">
        <v>58</v>
      </c>
      <c r="G3628">
        <v>-196.1841</v>
      </c>
      <c r="H3628" s="1">
        <v>-1.4513329999999999E-5</v>
      </c>
      <c r="I3628">
        <v>157.77160000000001</v>
      </c>
      <c r="J3628">
        <v>-190.26949999999999</v>
      </c>
      <c r="K3628">
        <v>1.1047629999999999</v>
      </c>
      <c r="L3628">
        <v>165.17359999999999</v>
      </c>
      <c r="M3628">
        <v>-0.2137058</v>
      </c>
      <c r="N3628">
        <v>0</v>
      </c>
      <c r="O3628">
        <v>-0.97679280000000002</v>
      </c>
      <c r="P3628">
        <v>-0.44850669999999998</v>
      </c>
      <c r="Q3628">
        <v>3.0122610000000001E-2</v>
      </c>
      <c r="R3628">
        <v>-0.893271699999999</v>
      </c>
      <c r="S3628">
        <v>-1.8953089999999999</v>
      </c>
      <c r="T3628">
        <v>-0.3503677</v>
      </c>
      <c r="U3628">
        <v>-2.4253390000000001</v>
      </c>
      <c r="V3628">
        <v>0.2477985</v>
      </c>
      <c r="W3628">
        <v>4.067378E-2</v>
      </c>
      <c r="X3628">
        <v>0.96795739999999997</v>
      </c>
      <c r="Y3628">
        <v>0.42892659999999999</v>
      </c>
      <c r="Z3628">
        <v>0.1159713</v>
      </c>
      <c r="AA3628">
        <v>0.8958642</v>
      </c>
      <c r="AB3628">
        <v>24</v>
      </c>
      <c r="AC3628">
        <v>-5.9146000000000001</v>
      </c>
      <c r="AD3628">
        <v>-1.10477751333</v>
      </c>
      <c r="AE3628">
        <v>-7.4019999999999797</v>
      </c>
      <c r="AF3628">
        <v>4.1396377037558301</v>
      </c>
      <c r="AG3628">
        <v>-1.10477751333</v>
      </c>
      <c r="AH3628">
        <v>8.3811291335424496</v>
      </c>
      <c r="AI3628">
        <v>96.7403378507978</v>
      </c>
      <c r="AJ3628">
        <v>63.7141456214651</v>
      </c>
      <c r="AK3628">
        <v>9.4127816943468101</v>
      </c>
      <c r="AL3628">
        <v>87.668921006469702</v>
      </c>
      <c r="AM3628">
        <v>75.640585372149999</v>
      </c>
      <c r="AN3628">
        <v>0.99999999059824896</v>
      </c>
    </row>
    <row r="3629" spans="1:40" x14ac:dyDescent="0.25">
      <c r="A3629" t="str">
        <f>"20190312151345055"</f>
        <v>20190312151345055</v>
      </c>
      <c r="B3629" t="str">
        <f>"1552374825043994"</f>
        <v>1552374825043994</v>
      </c>
      <c r="C3629" t="s">
        <v>40</v>
      </c>
      <c r="D3629">
        <v>4.7079849999999999</v>
      </c>
      <c r="E3629">
        <v>0.57707799999999998</v>
      </c>
      <c r="F3629" t="s">
        <v>58</v>
      </c>
      <c r="G3629">
        <v>-196.238</v>
      </c>
      <c r="H3629" s="1">
        <v>-1.448682E-5</v>
      </c>
      <c r="I3629">
        <v>157.6662</v>
      </c>
      <c r="J3629">
        <v>-190.32910000000001</v>
      </c>
      <c r="K3629">
        <v>1.1047709999999999</v>
      </c>
      <c r="L3629">
        <v>164.9451</v>
      </c>
      <c r="M3629">
        <v>-0.22176319999999999</v>
      </c>
      <c r="N3629">
        <v>0</v>
      </c>
      <c r="O3629">
        <v>-0.97499480000000005</v>
      </c>
      <c r="P3629">
        <v>-0.4561463</v>
      </c>
      <c r="Q3629">
        <v>3.0103250000000002E-2</v>
      </c>
      <c r="R3629">
        <v>-0.88939559999999995</v>
      </c>
      <c r="S3629">
        <v>-1.915054</v>
      </c>
      <c r="T3629">
        <v>-0.35448220000000003</v>
      </c>
      <c r="U3629">
        <v>-2.4088590000000001</v>
      </c>
      <c r="V3629">
        <v>0.24810170000000001</v>
      </c>
      <c r="W3629">
        <v>4.0663299999999999E-2</v>
      </c>
      <c r="X3629">
        <v>0.96788019999999997</v>
      </c>
      <c r="Y3629">
        <v>0.42886160000000001</v>
      </c>
      <c r="Z3629">
        <v>0.11734700000000001</v>
      </c>
      <c r="AA3629">
        <v>0.89571610000000002</v>
      </c>
      <c r="AB3629">
        <v>24</v>
      </c>
      <c r="AC3629">
        <v>-5.9088999999999796</v>
      </c>
      <c r="AD3629">
        <v>-1.10478548682</v>
      </c>
      <c r="AE3629">
        <v>-7.2788999999999904</v>
      </c>
      <c r="AF3629">
        <v>4.0905801832303696</v>
      </c>
      <c r="AG3629">
        <v>-1.10478548682</v>
      </c>
      <c r="AH3629">
        <v>8.2929763592547001</v>
      </c>
      <c r="AI3629">
        <v>96.813147142362098</v>
      </c>
      <c r="AJ3629">
        <v>63.744793904158101</v>
      </c>
      <c r="AK3629">
        <v>9.3127253853253205</v>
      </c>
      <c r="AL3629">
        <v>87.669522030884806</v>
      </c>
      <c r="AM3629">
        <v>75.622644194062104</v>
      </c>
      <c r="AN3629">
        <v>1.0000000195309</v>
      </c>
    </row>
    <row r="3630" spans="1:40" x14ac:dyDescent="0.25">
      <c r="A3630" t="str">
        <f>"20190312151345080"</f>
        <v>20190312151345080</v>
      </c>
      <c r="B3630" t="str">
        <f>"1552374825074235"</f>
        <v>1552374825074235</v>
      </c>
      <c r="C3630" t="s">
        <v>40</v>
      </c>
      <c r="D3630">
        <v>4.7556209999999997</v>
      </c>
      <c r="E3630">
        <v>0.57636259999999995</v>
      </c>
      <c r="F3630" t="s">
        <v>58</v>
      </c>
      <c r="G3630">
        <v>-196.34649999999999</v>
      </c>
      <c r="H3630" s="1">
        <v>-1.444316E-5</v>
      </c>
      <c r="I3630">
        <v>157.49270000000001</v>
      </c>
      <c r="J3630">
        <v>-190.39599999999999</v>
      </c>
      <c r="K3630">
        <v>1.104806</v>
      </c>
      <c r="L3630">
        <v>164.69739999999999</v>
      </c>
      <c r="M3630">
        <v>-0.2305006</v>
      </c>
      <c r="N3630">
        <v>0</v>
      </c>
      <c r="O3630">
        <v>-0.97296609999999994</v>
      </c>
      <c r="P3630">
        <v>-0.46437539999999999</v>
      </c>
      <c r="Q3630">
        <v>3.0054460000000002E-2</v>
      </c>
      <c r="R3630">
        <v>-0.88512839999999904</v>
      </c>
      <c r="S3630">
        <v>-1.9328460000000001</v>
      </c>
      <c r="T3630">
        <v>-0.35486669999999998</v>
      </c>
      <c r="U3630">
        <v>-2.393799</v>
      </c>
      <c r="V3630">
        <v>0.24839230000000001</v>
      </c>
      <c r="W3630">
        <v>4.0630899999999998E-2</v>
      </c>
      <c r="X3630">
        <v>0.96780699999999997</v>
      </c>
      <c r="Y3630">
        <v>0.42754300000000001</v>
      </c>
      <c r="Z3630">
        <v>0.1174718</v>
      </c>
      <c r="AA3630">
        <v>0.89632990000000001</v>
      </c>
      <c r="AB3630">
        <v>24</v>
      </c>
      <c r="AC3630">
        <v>-5.9504999999999999</v>
      </c>
      <c r="AD3630">
        <v>-1.1048204431599999</v>
      </c>
      <c r="AE3630">
        <v>-7.2046999999999697</v>
      </c>
      <c r="AF3630">
        <v>4.0724430177145301</v>
      </c>
      <c r="AG3630">
        <v>-1.1048204431599999</v>
      </c>
      <c r="AH3630">
        <v>8.2668226668965197</v>
      </c>
      <c r="AI3630">
        <v>96.836413418567702</v>
      </c>
      <c r="AJ3630">
        <v>63.773992929001302</v>
      </c>
      <c r="AK3630">
        <v>9.2814749555267397</v>
      </c>
      <c r="AL3630">
        <v>87.671379897039103</v>
      </c>
      <c r="AM3630">
        <v>75.605459897293798</v>
      </c>
      <c r="AN3630">
        <v>0.99999999699154896</v>
      </c>
    </row>
    <row r="3631" spans="1:40" x14ac:dyDescent="0.25">
      <c r="A3631" t="str">
        <f>"20190312151345101"</f>
        <v>20190312151345101</v>
      </c>
      <c r="B3631" t="str">
        <f>"1552374825093754"</f>
        <v>1552374825093754</v>
      </c>
      <c r="C3631" t="s">
        <v>40</v>
      </c>
      <c r="D3631">
        <v>4.7206250000000001</v>
      </c>
      <c r="E3631">
        <v>0.57593119999999998</v>
      </c>
      <c r="F3631" t="s">
        <v>58</v>
      </c>
      <c r="G3631">
        <v>-196.4409</v>
      </c>
      <c r="H3631" s="1">
        <v>-1.4401180000000001E-5</v>
      </c>
      <c r="I3631">
        <v>157.32579999999999</v>
      </c>
      <c r="J3631">
        <v>-190.45959999999999</v>
      </c>
      <c r="K3631">
        <v>1.104843</v>
      </c>
      <c r="L3631">
        <v>164.4692</v>
      </c>
      <c r="M3631">
        <v>-0.23852319999999999</v>
      </c>
      <c r="N3631">
        <v>0</v>
      </c>
      <c r="O3631">
        <v>-0.97103059999999997</v>
      </c>
      <c r="P3631">
        <v>-0.47181519999999999</v>
      </c>
      <c r="Q3631">
        <v>3.0495379999999999E-2</v>
      </c>
      <c r="R3631">
        <v>-0.88117000000000001</v>
      </c>
      <c r="S3631">
        <v>-1.950272</v>
      </c>
      <c r="T3631">
        <v>-0.35644510000000001</v>
      </c>
      <c r="U3631">
        <v>-2.3782649999999999</v>
      </c>
      <c r="V3631">
        <v>0.24856310000000001</v>
      </c>
      <c r="W3631">
        <v>4.1092570000000002E-2</v>
      </c>
      <c r="X3631">
        <v>0.96774360000000004</v>
      </c>
      <c r="Y3631">
        <v>0.42684719999999998</v>
      </c>
      <c r="Z3631">
        <v>0.1180035</v>
      </c>
      <c r="AA3631">
        <v>0.89659169999999999</v>
      </c>
      <c r="AB3631">
        <v>24</v>
      </c>
      <c r="AC3631">
        <v>-5.9813000000000001</v>
      </c>
      <c r="AD3631">
        <v>-1.1048574011799901</v>
      </c>
      <c r="AE3631">
        <v>-7.1434000000000104</v>
      </c>
      <c r="AF3631">
        <v>4.0476605350810804</v>
      </c>
      <c r="AG3631">
        <v>-1.1048574011799901</v>
      </c>
      <c r="AH3631">
        <v>8.24801118917315</v>
      </c>
      <c r="AI3631">
        <v>96.8571414419376</v>
      </c>
      <c r="AJ3631">
        <v>63.860789619898398</v>
      </c>
      <c r="AK3631">
        <v>9.2538615864362601</v>
      </c>
      <c r="AL3631">
        <v>87.644905920210206</v>
      </c>
      <c r="AM3631">
        <v>75.5950691742202</v>
      </c>
      <c r="AN3631">
        <v>0.99999994466588604</v>
      </c>
    </row>
    <row r="3632" spans="1:40" x14ac:dyDescent="0.25">
      <c r="A3632" t="str">
        <f>"20190312151345123"</f>
        <v>20190312151345123</v>
      </c>
      <c r="B3632" t="str">
        <f>"1552374825114265"</f>
        <v>1552374825114265</v>
      </c>
      <c r="C3632" t="s">
        <v>40</v>
      </c>
      <c r="D3632">
        <v>4.7649819999999998</v>
      </c>
      <c r="E3632">
        <v>0.57543290000000002</v>
      </c>
      <c r="F3632" t="s">
        <v>58</v>
      </c>
      <c r="G3632">
        <v>-196.4776</v>
      </c>
      <c r="H3632" s="1">
        <v>-1.437986E-5</v>
      </c>
      <c r="I3632">
        <v>157.24109999999999</v>
      </c>
      <c r="J3632">
        <v>-190.52369999999999</v>
      </c>
      <c r="K3632">
        <v>1.104892</v>
      </c>
      <c r="L3632">
        <v>164.24629999999999</v>
      </c>
      <c r="M3632">
        <v>-0.2463205</v>
      </c>
      <c r="N3632">
        <v>0</v>
      </c>
      <c r="O3632">
        <v>-0.96908209999999995</v>
      </c>
      <c r="P3632">
        <v>-0.4788269</v>
      </c>
      <c r="Q3632">
        <v>3.033185E-2</v>
      </c>
      <c r="R3632">
        <v>-0.87738539999999998</v>
      </c>
      <c r="S3632">
        <v>-1.9677579999999999</v>
      </c>
      <c r="T3632">
        <v>-0.36126740000000002</v>
      </c>
      <c r="U3632">
        <v>-2.363464</v>
      </c>
      <c r="V3632">
        <v>0.24849360000000001</v>
      </c>
      <c r="W3632">
        <v>4.0957260000000002E-2</v>
      </c>
      <c r="X3632">
        <v>0.96776719999999905</v>
      </c>
      <c r="Y3632">
        <v>0.42614649999999998</v>
      </c>
      <c r="Z3632">
        <v>0.1195575</v>
      </c>
      <c r="AA3632">
        <v>0.89671909999999899</v>
      </c>
      <c r="AB3632">
        <v>24</v>
      </c>
      <c r="AC3632">
        <v>-5.9539</v>
      </c>
      <c r="AD3632">
        <v>-1.1049063798600001</v>
      </c>
      <c r="AE3632">
        <v>-7.0052000000000003</v>
      </c>
      <c r="AF3632">
        <v>3.9871210545698701</v>
      </c>
      <c r="AG3632">
        <v>-1.1049063798600001</v>
      </c>
      <c r="AH3632">
        <v>8.1384814873868194</v>
      </c>
      <c r="AI3632">
        <v>96.951104394477895</v>
      </c>
      <c r="AJ3632">
        <v>63.899318055932198</v>
      </c>
      <c r="AK3632">
        <v>9.1297772882249202</v>
      </c>
      <c r="AL3632">
        <v>87.652665180638607</v>
      </c>
      <c r="AM3632">
        <v>75.599265950014896</v>
      </c>
      <c r="AN3632">
        <v>0.99999995989175205</v>
      </c>
    </row>
    <row r="3633" spans="1:40" x14ac:dyDescent="0.25">
      <c r="A3633" t="str">
        <f>"20190312151345144"</f>
        <v>20190312151345144</v>
      </c>
      <c r="B3633" t="str">
        <f>"1552374825133773"</f>
        <v>1552374825133773</v>
      </c>
      <c r="C3633" t="s">
        <v>40</v>
      </c>
      <c r="D3633">
        <v>4.7518640000000003</v>
      </c>
      <c r="E3633">
        <v>0.57521610000000001</v>
      </c>
      <c r="F3633" t="s">
        <v>58</v>
      </c>
      <c r="G3633">
        <v>-196.512</v>
      </c>
      <c r="H3633" s="1">
        <v>-1.4357180000000001E-5</v>
      </c>
      <c r="I3633">
        <v>157.15090000000001</v>
      </c>
      <c r="J3633">
        <v>-190.59020000000001</v>
      </c>
      <c r="K3633">
        <v>1.104949</v>
      </c>
      <c r="L3633">
        <v>164.02180000000001</v>
      </c>
      <c r="M3633">
        <v>-0.25411539999999999</v>
      </c>
      <c r="N3633">
        <v>0</v>
      </c>
      <c r="O3633">
        <v>-0.96706740000000002</v>
      </c>
      <c r="P3633">
        <v>-0.4855698</v>
      </c>
      <c r="Q3633">
        <v>3.052825E-2</v>
      </c>
      <c r="R3633">
        <v>-0.87366489999999997</v>
      </c>
      <c r="S3633">
        <v>-1.983047</v>
      </c>
      <c r="T3633">
        <v>-0.3658961</v>
      </c>
      <c r="U3633">
        <v>-2.3496700000000001</v>
      </c>
      <c r="V3633">
        <v>0.24815290000000001</v>
      </c>
      <c r="W3633">
        <v>4.1190240000000003E-2</v>
      </c>
      <c r="X3633">
        <v>0.96784479999999995</v>
      </c>
      <c r="Y3633">
        <v>0.4247553</v>
      </c>
      <c r="Z3633">
        <v>0.121044899999999</v>
      </c>
      <c r="AA3633">
        <v>0.89717950000000002</v>
      </c>
      <c r="AB3633">
        <v>24</v>
      </c>
      <c r="AC3633">
        <v>-5.9217999999999904</v>
      </c>
      <c r="AD3633">
        <v>-1.1049633571799999</v>
      </c>
      <c r="AE3633">
        <v>-6.8708999999999998</v>
      </c>
      <c r="AF3633">
        <v>3.9229736092473302</v>
      </c>
      <c r="AG3633">
        <v>-1.1049633571799999</v>
      </c>
      <c r="AH3633">
        <v>8.0311064356708801</v>
      </c>
      <c r="AI3633">
        <v>97.047429263568304</v>
      </c>
      <c r="AJ3633">
        <v>63.965768896307402</v>
      </c>
      <c r="AK3633">
        <v>9.00607220383203</v>
      </c>
      <c r="AL3633">
        <v>87.639305294197399</v>
      </c>
      <c r="AM3633">
        <v>75.619296049389703</v>
      </c>
      <c r="AN3633">
        <v>1.00000002726835</v>
      </c>
    </row>
    <row r="3634" spans="1:40" x14ac:dyDescent="0.25">
      <c r="A3634" t="str">
        <f>"20190312151345167"</f>
        <v>20190312151345167</v>
      </c>
      <c r="B3634" t="str">
        <f>"1552374825164026"</f>
        <v>1552374825164026</v>
      </c>
      <c r="C3634" t="s">
        <v>40</v>
      </c>
      <c r="D3634">
        <v>4.7269730000000001</v>
      </c>
      <c r="E3634">
        <v>0.57481309999999997</v>
      </c>
      <c r="F3634" t="s">
        <v>58</v>
      </c>
      <c r="G3634">
        <v>-196.60149999999999</v>
      </c>
      <c r="H3634" s="1">
        <v>-1.431964E-5</v>
      </c>
      <c r="I3634">
        <v>157.0018</v>
      </c>
      <c r="J3634">
        <v>-190.66239999999999</v>
      </c>
      <c r="K3634">
        <v>1.1050260000000001</v>
      </c>
      <c r="L3634">
        <v>163.78540000000001</v>
      </c>
      <c r="M3634">
        <v>-0.26224199999999998</v>
      </c>
      <c r="N3634">
        <v>0</v>
      </c>
      <c r="O3634">
        <v>-0.96489519999999995</v>
      </c>
      <c r="P3634">
        <v>-0.49186540000000001</v>
      </c>
      <c r="Q3634">
        <v>3.1245220000000001E-2</v>
      </c>
      <c r="R3634">
        <v>-0.87011050000000001</v>
      </c>
      <c r="S3634">
        <v>-1.9996799999999999</v>
      </c>
      <c r="T3634">
        <v>-0.36757050000000002</v>
      </c>
      <c r="U3634">
        <v>-2.335251</v>
      </c>
      <c r="V3634">
        <v>0.2470068</v>
      </c>
      <c r="W3634">
        <v>4.1964429999999997E-2</v>
      </c>
      <c r="X3634">
        <v>0.96810469999999904</v>
      </c>
      <c r="Y3634">
        <v>0.42353299999999999</v>
      </c>
      <c r="Z3634">
        <v>0.1215378</v>
      </c>
      <c r="AA3634">
        <v>0.89769059999999901</v>
      </c>
      <c r="AB3634">
        <v>24</v>
      </c>
      <c r="AC3634">
        <v>-5.9390999999999901</v>
      </c>
      <c r="AD3634">
        <v>-1.10504031964</v>
      </c>
      <c r="AE3634">
        <v>-6.7835999999999999</v>
      </c>
      <c r="AF3634">
        <v>3.8935839429361301</v>
      </c>
      <c r="AG3634">
        <v>-1.10504031964</v>
      </c>
      <c r="AH3634">
        <v>7.9838500313092702</v>
      </c>
      <c r="AI3634">
        <v>97.091393656129497</v>
      </c>
      <c r="AJ3634">
        <v>64.002318409396693</v>
      </c>
      <c r="AK3634">
        <v>8.9511435778428403</v>
      </c>
      <c r="AL3634">
        <v>87.594909118850595</v>
      </c>
      <c r="AM3634">
        <v>75.686662980948697</v>
      </c>
      <c r="AN3634">
        <v>1.00000004139677</v>
      </c>
    </row>
    <row r="3635" spans="1:40" x14ac:dyDescent="0.25">
      <c r="A3635" t="str">
        <f>"20190312151345189"</f>
        <v>20190312151345189</v>
      </c>
      <c r="B3635" t="str">
        <f>"1552374825183546"</f>
        <v>1552374825183546</v>
      </c>
      <c r="C3635" t="s">
        <v>40</v>
      </c>
      <c r="D3635">
        <v>4.7621830000000003</v>
      </c>
      <c r="E3635">
        <v>0.57447179999999998</v>
      </c>
      <c r="F3635" t="s">
        <v>58</v>
      </c>
      <c r="G3635">
        <v>-196.69309999999999</v>
      </c>
      <c r="H3635" s="1">
        <v>-1.4277099999999999E-5</v>
      </c>
      <c r="I3635">
        <v>156.83269999999999</v>
      </c>
      <c r="J3635">
        <v>-190.73320000000001</v>
      </c>
      <c r="K3635">
        <v>1.10511</v>
      </c>
      <c r="L3635">
        <v>163.5598</v>
      </c>
      <c r="M3635">
        <v>-0.26990189999999997</v>
      </c>
      <c r="N3635">
        <v>0</v>
      </c>
      <c r="O3635">
        <v>-0.96278109999999995</v>
      </c>
      <c r="P3635">
        <v>-0.49799389999999999</v>
      </c>
      <c r="Q3635">
        <v>3.179444E-2</v>
      </c>
      <c r="R3635">
        <v>-0.86659779999999997</v>
      </c>
      <c r="S3635">
        <v>-2.0144039999999999</v>
      </c>
      <c r="T3635">
        <v>-0.3691083</v>
      </c>
      <c r="U3635">
        <v>-2.3223419999999999</v>
      </c>
      <c r="V3635">
        <v>0.2461487</v>
      </c>
      <c r="W3635">
        <v>4.2568990000000001E-2</v>
      </c>
      <c r="X3635">
        <v>0.96829679999999996</v>
      </c>
      <c r="Y3635">
        <v>0.42202529999999999</v>
      </c>
      <c r="Z3635">
        <v>0.12197139999999999</v>
      </c>
      <c r="AA3635">
        <v>0.89834159999999996</v>
      </c>
      <c r="AB3635">
        <v>24</v>
      </c>
      <c r="AC3635">
        <v>-5.95989999999997</v>
      </c>
      <c r="AD3635">
        <v>-1.1051242770999901</v>
      </c>
      <c r="AE3635">
        <v>-6.7271000000000001</v>
      </c>
      <c r="AF3635">
        <v>3.8643958255133701</v>
      </c>
      <c r="AG3635">
        <v>-1.1051242770999901</v>
      </c>
      <c r="AH3635">
        <v>7.9657033411898999</v>
      </c>
      <c r="AI3635">
        <v>97.114986917435203</v>
      </c>
      <c r="AJ3635">
        <v>64.120619027745093</v>
      </c>
      <c r="AK3635">
        <v>8.9222914368409292</v>
      </c>
      <c r="AL3635">
        <v>87.560239293159199</v>
      </c>
      <c r="AM3635">
        <v>75.737069084208002</v>
      </c>
      <c r="AN3635">
        <v>0.99999999715577403</v>
      </c>
    </row>
    <row r="3636" spans="1:40" x14ac:dyDescent="0.25">
      <c r="A3636" t="str">
        <f>"20190312151345211"</f>
        <v>20190312151345211</v>
      </c>
      <c r="B3636" t="str">
        <f>"1552374825204042"</f>
        <v>1552374825204042</v>
      </c>
      <c r="C3636" t="s">
        <v>40</v>
      </c>
      <c r="D3636">
        <v>4.7931470000000003</v>
      </c>
      <c r="E3636">
        <v>0.574090199999999</v>
      </c>
      <c r="F3636" t="s">
        <v>58</v>
      </c>
      <c r="G3636">
        <v>-196.8141</v>
      </c>
      <c r="H3636" s="1">
        <v>-1.42282E-5</v>
      </c>
      <c r="I3636">
        <v>156.63829999999999</v>
      </c>
      <c r="J3636">
        <v>-190.80699999999999</v>
      </c>
      <c r="K3636">
        <v>1.105194</v>
      </c>
      <c r="L3636">
        <v>163.33070000000001</v>
      </c>
      <c r="M3636">
        <v>-0.27759539999999999</v>
      </c>
      <c r="N3636">
        <v>0</v>
      </c>
      <c r="O3636">
        <v>-0.96059099999999997</v>
      </c>
      <c r="P3636">
        <v>-0.50322540000000004</v>
      </c>
      <c r="Q3636">
        <v>3.1116350000000001E-2</v>
      </c>
      <c r="R3636">
        <v>-0.86359459999999999</v>
      </c>
      <c r="S3636">
        <v>-2.0289459999999999</v>
      </c>
      <c r="T3636">
        <v>-0.36873400000000001</v>
      </c>
      <c r="U3636">
        <v>-2.309402</v>
      </c>
      <c r="V3636">
        <v>0.24423239999999999</v>
      </c>
      <c r="W3636">
        <v>4.1964429999999997E-2</v>
      </c>
      <c r="X3636">
        <v>0.96880829999999996</v>
      </c>
      <c r="Y3636">
        <v>0.42048609999999997</v>
      </c>
      <c r="Z3636">
        <v>0.1217718</v>
      </c>
      <c r="AA3636">
        <v>0.89909019999999995</v>
      </c>
      <c r="AB3636">
        <v>24</v>
      </c>
      <c r="AC3636">
        <v>-6.0070999999999799</v>
      </c>
      <c r="AD3636">
        <v>-1.1052082282</v>
      </c>
      <c r="AE3636">
        <v>-6.6924000000000197</v>
      </c>
      <c r="AF3636">
        <v>3.8547681598926902</v>
      </c>
      <c r="AG3636">
        <v>-1.1052082282</v>
      </c>
      <c r="AH3636">
        <v>7.9765602185013798</v>
      </c>
      <c r="AI3636">
        <v>97.111089216378204</v>
      </c>
      <c r="AJ3636">
        <v>64.207288372108195</v>
      </c>
      <c r="AK3636">
        <v>8.9278348838664296</v>
      </c>
      <c r="AL3636">
        <v>87.594909020124106</v>
      </c>
      <c r="AM3636">
        <v>75.850801198418296</v>
      </c>
      <c r="AN3636">
        <v>1.00000000037193</v>
      </c>
    </row>
    <row r="3637" spans="1:40" x14ac:dyDescent="0.25">
      <c r="A3637" t="str">
        <f>"20190312151345245"</f>
        <v>20190312151345245</v>
      </c>
      <c r="B3637" t="str">
        <f>"1552374825234301"</f>
        <v>1552374825234301</v>
      </c>
      <c r="C3637" t="s">
        <v>40</v>
      </c>
      <c r="D3637">
        <v>4.7830789999999999</v>
      </c>
      <c r="E3637">
        <v>0.56814629999999999</v>
      </c>
      <c r="F3637" t="s">
        <v>58</v>
      </c>
      <c r="G3637">
        <v>-196.8811</v>
      </c>
      <c r="H3637" s="1">
        <v>-1.419126E-5</v>
      </c>
      <c r="I3637">
        <v>156.4915</v>
      </c>
      <c r="J3637">
        <v>-190.9178</v>
      </c>
      <c r="K3637">
        <v>1.105308</v>
      </c>
      <c r="L3637">
        <v>162.99690000000001</v>
      </c>
      <c r="M3637">
        <v>-0.28863260000000002</v>
      </c>
      <c r="N3637">
        <v>0</v>
      </c>
      <c r="O3637">
        <v>-0.95733279999999998</v>
      </c>
      <c r="P3637">
        <v>-0.51077819999999996</v>
      </c>
      <c r="Q3637">
        <v>2.966823E-2</v>
      </c>
      <c r="R3637">
        <v>-0.85920059999999998</v>
      </c>
      <c r="S3637">
        <v>-2.0408940000000002</v>
      </c>
      <c r="T3637">
        <v>-0.37135099999999999</v>
      </c>
      <c r="U3637">
        <v>-2.2979889999999998</v>
      </c>
      <c r="V3637">
        <v>0.24152879999999999</v>
      </c>
      <c r="W3637">
        <v>4.0621850000000001E-2</v>
      </c>
      <c r="X3637">
        <v>0.96954300000000004</v>
      </c>
      <c r="Y3637">
        <v>0.41482049999999998</v>
      </c>
      <c r="Z3637">
        <v>0.1224413</v>
      </c>
      <c r="AA3637">
        <v>0.90162750000000003</v>
      </c>
      <c r="AB3637">
        <v>24</v>
      </c>
      <c r="AC3637">
        <v>-5.9633000000000003</v>
      </c>
      <c r="AD3637">
        <v>-1.10532219126</v>
      </c>
      <c r="AE3637">
        <v>-6.5053999999999998</v>
      </c>
      <c r="AF3637">
        <v>3.7724067040122802</v>
      </c>
      <c r="AG3637">
        <v>-1.10532219126</v>
      </c>
      <c r="AH3637">
        <v>7.8270662976165601</v>
      </c>
      <c r="AI3637">
        <v>97.249845535269998</v>
      </c>
      <c r="AJ3637">
        <v>64.267354495772096</v>
      </c>
      <c r="AK3637">
        <v>8.75875312554553</v>
      </c>
      <c r="AL3637">
        <v>87.671898771685406</v>
      </c>
      <c r="AM3637">
        <v>76.011429515434799</v>
      </c>
      <c r="AN3637">
        <v>0.99999996238792999</v>
      </c>
    </row>
    <row r="3638" spans="1:40" x14ac:dyDescent="0.25">
      <c r="A3638" t="str">
        <f>"20190312151345269"</f>
        <v>20190312151345269</v>
      </c>
      <c r="B3638" t="str">
        <f>"1552374825263578"</f>
        <v>1552374825263578</v>
      </c>
      <c r="C3638" t="s">
        <v>40</v>
      </c>
      <c r="D3638">
        <v>4.7883300000000002</v>
      </c>
      <c r="E3638">
        <v>0.56833369999999905</v>
      </c>
      <c r="F3638" t="s">
        <v>58</v>
      </c>
      <c r="G3638">
        <v>-195.43860000000001</v>
      </c>
      <c r="H3638" s="1">
        <v>-1.453422E-5</v>
      </c>
      <c r="I3638">
        <v>157.8546</v>
      </c>
      <c r="J3638">
        <v>-190.99809999999999</v>
      </c>
      <c r="K3638">
        <v>1.1054109999999999</v>
      </c>
      <c r="L3638">
        <v>162.76259999999999</v>
      </c>
      <c r="M3638">
        <v>-0.29619699999999999</v>
      </c>
      <c r="N3638">
        <v>0</v>
      </c>
      <c r="O3638">
        <v>-0.95501979999999997</v>
      </c>
      <c r="P3638">
        <v>-0.51776959999999905</v>
      </c>
      <c r="Q3638">
        <v>2.9676359999999999E-2</v>
      </c>
      <c r="R3638">
        <v>-0.85500529999999997</v>
      </c>
      <c r="S3638">
        <v>-2.0258639999999999</v>
      </c>
      <c r="T3638">
        <v>-0.49531340000000001</v>
      </c>
      <c r="U3638">
        <v>-2.3043819999999999</v>
      </c>
      <c r="V3638">
        <v>0.24175640000000001</v>
      </c>
      <c r="W3638">
        <v>4.067664E-2</v>
      </c>
      <c r="X3638">
        <v>0.96948400000000001</v>
      </c>
      <c r="Y3638">
        <v>0.39915430000000002</v>
      </c>
      <c r="Z3638">
        <v>0.16221969999999999</v>
      </c>
      <c r="AA3638">
        <v>0.90241930000000004</v>
      </c>
      <c r="AB3638">
        <v>24</v>
      </c>
      <c r="AC3638">
        <v>-4.4405000000000099</v>
      </c>
      <c r="AD3638">
        <v>-1.1054255342199999</v>
      </c>
      <c r="AE3638">
        <v>-4.9079999999999799</v>
      </c>
      <c r="AF3638">
        <v>2.7116744717509</v>
      </c>
      <c r="AG3638">
        <v>-1.1054255342199999</v>
      </c>
      <c r="AH3638">
        <v>5.8402036259546399</v>
      </c>
      <c r="AI3638">
        <v>99.741332240444606</v>
      </c>
      <c r="AJ3638">
        <v>65.094009606696005</v>
      </c>
      <c r="AK3638">
        <v>6.5332321591280396</v>
      </c>
      <c r="AL3638">
        <v>87.6687569943672</v>
      </c>
      <c r="AM3638">
        <v>75.9979474167219</v>
      </c>
      <c r="AN3638">
        <v>0.99999998611932395</v>
      </c>
    </row>
    <row r="3639" spans="1:40" x14ac:dyDescent="0.25">
      <c r="A3639" t="str">
        <f>"20190312151345291"</f>
        <v>20190312151345291</v>
      </c>
      <c r="B3639" t="str">
        <f>"1552374825284074"</f>
        <v>1552374825284074</v>
      </c>
      <c r="C3639" t="s">
        <v>40</v>
      </c>
      <c r="D3639">
        <v>4.8134980000000001</v>
      </c>
      <c r="E3639">
        <v>0.56851180000000001</v>
      </c>
      <c r="F3639" t="s">
        <v>58</v>
      </c>
      <c r="G3639">
        <v>-195.59719999999999</v>
      </c>
      <c r="H3639" s="1">
        <v>-1.4474319999999999E-5</v>
      </c>
      <c r="I3639">
        <v>157.6165</v>
      </c>
      <c r="J3639">
        <v>-191.08150000000001</v>
      </c>
      <c r="K3639">
        <v>1.1055349999999999</v>
      </c>
      <c r="L3639">
        <v>162.5249</v>
      </c>
      <c r="M3639">
        <v>-0.30367519999999998</v>
      </c>
      <c r="N3639">
        <v>0</v>
      </c>
      <c r="O3639">
        <v>-0.95266859999999998</v>
      </c>
      <c r="P3639">
        <v>-0.52444519999999994</v>
      </c>
      <c r="Q3639">
        <v>2.7691520000000001E-2</v>
      </c>
      <c r="R3639">
        <v>-0.85099400000000003</v>
      </c>
      <c r="S3639">
        <v>-2.0445099999999998</v>
      </c>
      <c r="T3639">
        <v>-0.4914113</v>
      </c>
      <c r="U3639">
        <v>-2.2876889999999999</v>
      </c>
      <c r="V3639">
        <v>0.24168580000000001</v>
      </c>
      <c r="W3639">
        <v>3.8757939999999998E-2</v>
      </c>
      <c r="X3639">
        <v>0.9695802</v>
      </c>
      <c r="Y3639">
        <v>0.39949289999999998</v>
      </c>
      <c r="Z3639">
        <v>0.16086779999999901</v>
      </c>
      <c r="AA3639">
        <v>0.90251150000000002</v>
      </c>
      <c r="AB3639">
        <v>24</v>
      </c>
      <c r="AC3639">
        <v>-4.5156999999999803</v>
      </c>
      <c r="AD3639">
        <v>-1.1055494743199901</v>
      </c>
      <c r="AE3639">
        <v>-4.9084000000000003</v>
      </c>
      <c r="AF3639">
        <v>2.73650478510271</v>
      </c>
      <c r="AG3639">
        <v>-1.1055494743199901</v>
      </c>
      <c r="AH3639">
        <v>5.8862702885216196</v>
      </c>
      <c r="AI3639">
        <v>99.665484127090707</v>
      </c>
      <c r="AJ3639">
        <v>65.066461740335697</v>
      </c>
      <c r="AK3639">
        <v>6.58474570417048</v>
      </c>
      <c r="AL3639">
        <v>87.778777231066698</v>
      </c>
      <c r="AM3639">
        <v>76.0032098913927</v>
      </c>
      <c r="AN3639">
        <v>0.99999998403336099</v>
      </c>
    </row>
    <row r="3640" spans="1:40" x14ac:dyDescent="0.25">
      <c r="A3640" t="str">
        <f>"20190312151345313"</f>
        <v>20190312151345313</v>
      </c>
      <c r="B3640" t="str">
        <f>"1552374825303594"</f>
        <v>1552374825303594</v>
      </c>
      <c r="C3640" t="s">
        <v>40</v>
      </c>
      <c r="D3640">
        <v>4.7725799999999996</v>
      </c>
      <c r="E3640">
        <v>0.5688358</v>
      </c>
      <c r="F3640" t="s">
        <v>58</v>
      </c>
      <c r="G3640">
        <v>-195.6652</v>
      </c>
      <c r="H3640" s="1">
        <v>-1.4440170000000001E-5</v>
      </c>
      <c r="I3640">
        <v>157.48079999999999</v>
      </c>
      <c r="J3640">
        <v>-191.1593</v>
      </c>
      <c r="K3640">
        <v>1.105661</v>
      </c>
      <c r="L3640">
        <v>162.30760000000001</v>
      </c>
      <c r="M3640">
        <v>-0.31035299999999999</v>
      </c>
      <c r="N3640">
        <v>0</v>
      </c>
      <c r="O3640">
        <v>-0.95051430000000003</v>
      </c>
      <c r="P3640">
        <v>-0.52887139999999999</v>
      </c>
      <c r="Q3640">
        <v>2.4607939999999998E-2</v>
      </c>
      <c r="R3640">
        <v>-0.84834509999999996</v>
      </c>
      <c r="S3640">
        <v>-2.0629270000000002</v>
      </c>
      <c r="T3640">
        <v>-0.4975599</v>
      </c>
      <c r="U3640">
        <v>-2.2701419999999999</v>
      </c>
      <c r="V3640">
        <v>0.23985429999999999</v>
      </c>
      <c r="W3640">
        <v>3.5765949999999998E-2</v>
      </c>
      <c r="X3640">
        <v>0.97014979999999995</v>
      </c>
      <c r="Y3640">
        <v>0.40033530000000001</v>
      </c>
      <c r="Z3640">
        <v>0.162778799999999</v>
      </c>
      <c r="AA3640">
        <v>0.90179529999999997</v>
      </c>
      <c r="AB3640">
        <v>24</v>
      </c>
      <c r="AC3640">
        <v>-4.5058999999999898</v>
      </c>
      <c r="AD3640">
        <v>-1.10567544017</v>
      </c>
      <c r="AE3640">
        <v>-4.82680000000002</v>
      </c>
      <c r="AF3640">
        <v>2.7092307916979101</v>
      </c>
      <c r="AG3640">
        <v>-1.10567544017</v>
      </c>
      <c r="AH3640">
        <v>5.8236830724540498</v>
      </c>
      <c r="AI3640">
        <v>99.767313867781496</v>
      </c>
      <c r="AJ3640">
        <v>65.051719045913103</v>
      </c>
      <c r="AK3640">
        <v>6.5174944718094698</v>
      </c>
      <c r="AL3640">
        <v>87.950324785308993</v>
      </c>
      <c r="AM3640">
        <v>76.112995273035096</v>
      </c>
      <c r="AN3640">
        <v>0.99999996142396497</v>
      </c>
    </row>
    <row r="3641" spans="1:40" x14ac:dyDescent="0.25">
      <c r="A3641" t="str">
        <f>"20190312151345334"</f>
        <v>20190312151345334</v>
      </c>
      <c r="B3641" t="str">
        <f>"1552374825324090"</f>
        <v>1552374825324090</v>
      </c>
      <c r="C3641" t="s">
        <v>40</v>
      </c>
      <c r="D3641">
        <v>4.7582620000000002</v>
      </c>
      <c r="E3641">
        <v>0.56876260000000001</v>
      </c>
      <c r="F3641" t="s">
        <v>58</v>
      </c>
      <c r="G3641">
        <v>-195.75739999999999</v>
      </c>
      <c r="H3641" s="1">
        <v>-1.4397749999999999E-5</v>
      </c>
      <c r="I3641">
        <v>157.31219999999999</v>
      </c>
      <c r="J3641">
        <v>-191.2371</v>
      </c>
      <c r="K3641">
        <v>1.105796</v>
      </c>
      <c r="L3641">
        <v>162.0943</v>
      </c>
      <c r="M3641">
        <v>-0.3167276</v>
      </c>
      <c r="N3641">
        <v>0</v>
      </c>
      <c r="O3641">
        <v>-0.94840939999999996</v>
      </c>
      <c r="P3641">
        <v>-0.53245050000000005</v>
      </c>
      <c r="Q3641">
        <v>2.28615E-2</v>
      </c>
      <c r="R3641">
        <v>-0.84615249999999997</v>
      </c>
      <c r="S3641">
        <v>-2.0766909999999998</v>
      </c>
      <c r="T3641">
        <v>-0.49937029999999899</v>
      </c>
      <c r="U3641">
        <v>-2.256119</v>
      </c>
      <c r="V3641">
        <v>0.23738980000000001</v>
      </c>
      <c r="W3641">
        <v>3.4123300000000002E-2</v>
      </c>
      <c r="X3641">
        <v>0.97081490000000004</v>
      </c>
      <c r="Y3641">
        <v>0.3999047</v>
      </c>
      <c r="Z3641">
        <v>0.16328139999999999</v>
      </c>
      <c r="AA3641">
        <v>0.90189549999999996</v>
      </c>
      <c r="AB3641">
        <v>23</v>
      </c>
      <c r="AC3641">
        <v>-4.52029999999999</v>
      </c>
      <c r="AD3641">
        <v>-1.10581039775</v>
      </c>
      <c r="AE3641">
        <v>-4.7821000000000096</v>
      </c>
      <c r="AF3641">
        <v>2.6966029324308298</v>
      </c>
      <c r="AG3641">
        <v>-1.10581039775</v>
      </c>
      <c r="AH3641">
        <v>5.8038021749155604</v>
      </c>
      <c r="AI3641">
        <v>99.803436499843002</v>
      </c>
      <c r="AJ3641">
        <v>65.079148818964299</v>
      </c>
      <c r="AK3641">
        <v>6.4945056545145201</v>
      </c>
      <c r="AL3641">
        <v>88.044499193577195</v>
      </c>
      <c r="AM3641">
        <v>76.259304874275301</v>
      </c>
      <c r="AN3641">
        <v>0.99999994340446796</v>
      </c>
    </row>
    <row r="3642" spans="1:40" x14ac:dyDescent="0.25">
      <c r="A3642" t="str">
        <f>"20190312151345358"</f>
        <v>20190312151345358</v>
      </c>
      <c r="B3642" t="str">
        <f>"1552374825354346"</f>
        <v>1552374825354346</v>
      </c>
      <c r="C3642" t="s">
        <v>40</v>
      </c>
      <c r="D3642">
        <v>4.7836439999999998</v>
      </c>
      <c r="E3642">
        <v>0.56861119999999898</v>
      </c>
      <c r="F3642" t="s">
        <v>58</v>
      </c>
      <c r="G3642">
        <v>-195.8502</v>
      </c>
      <c r="H3642" s="1">
        <v>-1.4351440000000001E-5</v>
      </c>
      <c r="I3642">
        <v>157.12819999999999</v>
      </c>
      <c r="J3642">
        <v>-191.3211</v>
      </c>
      <c r="K3642">
        <v>1.1059699999999999</v>
      </c>
      <c r="L3642">
        <v>161.8681</v>
      </c>
      <c r="M3642">
        <v>-0.32326290000000002</v>
      </c>
      <c r="N3642">
        <v>0</v>
      </c>
      <c r="O3642">
        <v>-0.94620249999999995</v>
      </c>
      <c r="P3642">
        <v>-0.53599209999999997</v>
      </c>
      <c r="Q3642">
        <v>2.2760909999999999E-2</v>
      </c>
      <c r="R3642">
        <v>-0.84391649999999996</v>
      </c>
      <c r="S3642">
        <v>-2.0864259999999999</v>
      </c>
      <c r="T3642">
        <v>-0.50013969999999996</v>
      </c>
      <c r="U3642">
        <v>-2.246124</v>
      </c>
      <c r="V3642">
        <v>0.2347426</v>
      </c>
      <c r="W3642">
        <v>3.4138549999999997E-2</v>
      </c>
      <c r="X3642">
        <v>0.97145789999999999</v>
      </c>
      <c r="Y3642">
        <v>0.39767809999999998</v>
      </c>
      <c r="Z3642">
        <v>0.16336870000000001</v>
      </c>
      <c r="AA3642">
        <v>0.90286370000000005</v>
      </c>
      <c r="AB3642">
        <v>23</v>
      </c>
      <c r="AC3642">
        <v>-4.5290999999999997</v>
      </c>
      <c r="AD3642">
        <v>-1.1059843514399901</v>
      </c>
      <c r="AE3642">
        <v>-4.7398999999999996</v>
      </c>
      <c r="AF3642">
        <v>2.6772936808268901</v>
      </c>
      <c r="AG3642">
        <v>-1.1059843514399901</v>
      </c>
      <c r="AH3642">
        <v>5.7849550932268601</v>
      </c>
      <c r="AI3642">
        <v>99.842985917359698</v>
      </c>
      <c r="AJ3642">
        <v>65.165166133762995</v>
      </c>
      <c r="AK3642">
        <v>6.4696837843651398</v>
      </c>
      <c r="AL3642">
        <v>88.043625015024404</v>
      </c>
      <c r="AM3642">
        <v>76.415479515168798</v>
      </c>
      <c r="AN3642">
        <v>0.99999999016163599</v>
      </c>
    </row>
    <row r="3643" spans="1:40" x14ac:dyDescent="0.25">
      <c r="A3643" t="str">
        <f>"20190312151345379"</f>
        <v>20190312151345379</v>
      </c>
      <c r="B3643" t="str">
        <f>"1552374825373866"</f>
        <v>1552374825373866</v>
      </c>
      <c r="C3643" t="s">
        <v>40</v>
      </c>
      <c r="D3643">
        <v>5.027177</v>
      </c>
      <c r="E3643">
        <v>0.56837799999999905</v>
      </c>
      <c r="F3643" t="s">
        <v>58</v>
      </c>
      <c r="G3643">
        <v>-195.971</v>
      </c>
      <c r="H3643" s="1">
        <v>-1.429494E-5</v>
      </c>
      <c r="I3643">
        <v>156.90360000000001</v>
      </c>
      <c r="J3643">
        <v>-191.4041</v>
      </c>
      <c r="K3643">
        <v>1.1061559999999999</v>
      </c>
      <c r="L3643">
        <v>161.6482</v>
      </c>
      <c r="M3643">
        <v>-0.3293509</v>
      </c>
      <c r="N3643">
        <v>0</v>
      </c>
      <c r="O3643">
        <v>-0.94410099999999997</v>
      </c>
      <c r="P3643">
        <v>-0.53962840000000001</v>
      </c>
      <c r="Q3643">
        <v>2.326787E-2</v>
      </c>
      <c r="R3643">
        <v>-0.8415821</v>
      </c>
      <c r="S3643">
        <v>-2.095596</v>
      </c>
      <c r="T3643">
        <v>-0.49843939999999998</v>
      </c>
      <c r="U3643">
        <v>-2.2373500000000002</v>
      </c>
      <c r="V3643">
        <v>0.23266919999999999</v>
      </c>
      <c r="W3643">
        <v>3.4757110000000001E-2</v>
      </c>
      <c r="X3643">
        <v>0.97193470000000004</v>
      </c>
      <c r="Y3643">
        <v>0.3955977</v>
      </c>
      <c r="Z3643">
        <v>0.1626425</v>
      </c>
      <c r="AA3643">
        <v>0.90390809999999999</v>
      </c>
      <c r="AB3643">
        <v>23</v>
      </c>
      <c r="AC3643">
        <v>-4.5668999999999702</v>
      </c>
      <c r="AD3643">
        <v>-1.1061702949400001</v>
      </c>
      <c r="AE3643">
        <v>-4.7445999999999904</v>
      </c>
      <c r="AF3643">
        <v>2.6738122806991602</v>
      </c>
      <c r="AG3643">
        <v>-1.1061702949400001</v>
      </c>
      <c r="AH3643">
        <v>5.8198896594510297</v>
      </c>
      <c r="AI3643">
        <v>99.798990054693306</v>
      </c>
      <c r="AJ3643">
        <v>65.324690071715295</v>
      </c>
      <c r="AK3643">
        <v>6.4995384822316602</v>
      </c>
      <c r="AL3643">
        <v>88.008163183705506</v>
      </c>
      <c r="AM3643">
        <v>76.537443541602698</v>
      </c>
      <c r="AN3643">
        <v>1.00000003719414</v>
      </c>
    </row>
    <row r="3644" spans="1:40" x14ac:dyDescent="0.25">
      <c r="A3644" t="str">
        <f>"20190312151345403"</f>
        <v>20190312151345403</v>
      </c>
      <c r="B3644" t="str">
        <f>"1552374825394362"</f>
        <v>1552374825394362</v>
      </c>
      <c r="C3644" t="s">
        <v>40</v>
      </c>
      <c r="D3644">
        <v>4.9794830000000001</v>
      </c>
      <c r="E3644">
        <v>0.5682104</v>
      </c>
      <c r="F3644" t="s">
        <v>58</v>
      </c>
      <c r="G3644">
        <v>-196.18819999999999</v>
      </c>
      <c r="H3644" s="1">
        <v>-1.4212999999999999E-5</v>
      </c>
      <c r="I3644">
        <v>156.5779</v>
      </c>
      <c r="J3644">
        <v>-191.48840000000001</v>
      </c>
      <c r="K3644">
        <v>1.10636</v>
      </c>
      <c r="L3644">
        <v>161.42859999999999</v>
      </c>
      <c r="M3644">
        <v>-0.33514769999999999</v>
      </c>
      <c r="N3644">
        <v>0</v>
      </c>
      <c r="O3644">
        <v>-0.94205919999999999</v>
      </c>
      <c r="P3644">
        <v>-0.54283169999999903</v>
      </c>
      <c r="Q3644">
        <v>2.349335E-2</v>
      </c>
      <c r="R3644">
        <v>-0.83951330000000002</v>
      </c>
      <c r="S3644">
        <v>-2.1035159999999999</v>
      </c>
      <c r="T3644">
        <v>-0.48637469999999999</v>
      </c>
      <c r="U3644">
        <v>-2.229355</v>
      </c>
      <c r="V3644">
        <v>0.2303837</v>
      </c>
      <c r="W3644">
        <v>3.5104049999999998E-2</v>
      </c>
      <c r="X3644">
        <v>0.97246650000000001</v>
      </c>
      <c r="Y3644">
        <v>0.39374140000000002</v>
      </c>
      <c r="Z3644">
        <v>0.15863079999999999</v>
      </c>
      <c r="AA3644">
        <v>0.90543030000000002</v>
      </c>
      <c r="AB3644">
        <v>23</v>
      </c>
      <c r="AC3644">
        <v>-4.6997999999999802</v>
      </c>
      <c r="AD3644">
        <v>-1.1063742130000001</v>
      </c>
      <c r="AE3644">
        <v>-4.8506999999999802</v>
      </c>
      <c r="AF3644">
        <v>2.7288459410200399</v>
      </c>
      <c r="AG3644">
        <v>-1.1063742130000001</v>
      </c>
      <c r="AH3644">
        <v>5.9847981232868497</v>
      </c>
      <c r="AI3644">
        <v>99.548010196491902</v>
      </c>
      <c r="AJ3644">
        <v>65.4887737145785</v>
      </c>
      <c r="AK3644">
        <v>6.6699679643541598</v>
      </c>
      <c r="AL3644">
        <v>87.988272810899204</v>
      </c>
      <c r="AM3644">
        <v>76.671971578561397</v>
      </c>
      <c r="AN3644">
        <v>1.00000001858717</v>
      </c>
    </row>
    <row r="3645" spans="1:40" x14ac:dyDescent="0.25">
      <c r="A3645" t="str">
        <f>"20190312151345425"</f>
        <v>20190312151345425</v>
      </c>
      <c r="B3645" t="str">
        <f>"1552374825413884"</f>
        <v>1552374825413884</v>
      </c>
      <c r="C3645" t="s">
        <v>40</v>
      </c>
      <c r="D3645">
        <v>4.8305720000000001</v>
      </c>
      <c r="E3645">
        <v>0.56796659999999999</v>
      </c>
      <c r="F3645" t="s">
        <v>58</v>
      </c>
      <c r="G3645">
        <v>-196.37039999999999</v>
      </c>
      <c r="H3645" s="1">
        <v>-1.4118990000000001E-5</v>
      </c>
      <c r="I3645">
        <v>156.2894</v>
      </c>
      <c r="J3645">
        <v>-191.57599999999999</v>
      </c>
      <c r="K3645">
        <v>1.1065959999999999</v>
      </c>
      <c r="L3645">
        <v>161.20320000000001</v>
      </c>
      <c r="M3645">
        <v>-0.3407695</v>
      </c>
      <c r="N3645">
        <v>0</v>
      </c>
      <c r="O3645">
        <v>-0.94004049999999995</v>
      </c>
      <c r="P3645">
        <v>-0.54594960000000003</v>
      </c>
      <c r="Q3645">
        <v>2.4255229999999999E-2</v>
      </c>
      <c r="R3645">
        <v>-0.83746699999999996</v>
      </c>
      <c r="S3645">
        <v>-2.1108090000000002</v>
      </c>
      <c r="T3645">
        <v>-0.47835460000000002</v>
      </c>
      <c r="U3645">
        <v>-2.2220149999999999</v>
      </c>
      <c r="V3645">
        <v>0.2281822</v>
      </c>
      <c r="W3645">
        <v>3.5998969999999998E-2</v>
      </c>
      <c r="X3645">
        <v>0.9729527</v>
      </c>
      <c r="Y3645">
        <v>0.3916229</v>
      </c>
      <c r="Z3645">
        <v>0.1558947</v>
      </c>
      <c r="AA3645">
        <v>0.90682320000000005</v>
      </c>
      <c r="AB3645">
        <v>23</v>
      </c>
      <c r="AC3645">
        <v>-4.7943999999999898</v>
      </c>
      <c r="AD3645">
        <v>-1.1066101189899999</v>
      </c>
      <c r="AE3645">
        <v>-4.9138000000000002</v>
      </c>
      <c r="AF3645">
        <v>2.7610033223476802</v>
      </c>
      <c r="AG3645">
        <v>-1.1066101189899999</v>
      </c>
      <c r="AH3645">
        <v>6.0952145409360998</v>
      </c>
      <c r="AI3645">
        <v>99.390471289091295</v>
      </c>
      <c r="AJ3645">
        <v>65.630478717633096</v>
      </c>
      <c r="AK3645">
        <v>6.78228321448647</v>
      </c>
      <c r="AL3645">
        <v>87.936965197076006</v>
      </c>
      <c r="AM3645">
        <v>76.801216587258196</v>
      </c>
      <c r="AN3645">
        <v>0.99999999933759498</v>
      </c>
    </row>
    <row r="3646" spans="1:40" x14ac:dyDescent="0.25">
      <c r="A3646" t="str">
        <f>"20190312151345446"</f>
        <v>20190312151345446</v>
      </c>
      <c r="B3646" t="str">
        <f>"1552374825444139"</f>
        <v>1552374825444139</v>
      </c>
      <c r="C3646" t="s">
        <v>40</v>
      </c>
      <c r="D3646">
        <v>4.8015489999999996</v>
      </c>
      <c r="E3646">
        <v>0.567554</v>
      </c>
      <c r="F3646" t="s">
        <v>58</v>
      </c>
      <c r="G3646">
        <v>-196.60730000000001</v>
      </c>
      <c r="H3646" s="1">
        <v>-1.398952E-5</v>
      </c>
      <c r="I3646">
        <v>155.93860000000001</v>
      </c>
      <c r="J3646">
        <v>-191.65799999999999</v>
      </c>
      <c r="K3646">
        <v>1.1068439999999999</v>
      </c>
      <c r="L3646">
        <v>160.995</v>
      </c>
      <c r="M3646">
        <v>-0.34561730000000002</v>
      </c>
      <c r="N3646">
        <v>0</v>
      </c>
      <c r="O3646">
        <v>-0.93826949999999998</v>
      </c>
      <c r="P3646">
        <v>-0.54863139999999999</v>
      </c>
      <c r="Q3646">
        <v>2.4649279999999999E-2</v>
      </c>
      <c r="R3646">
        <v>-0.83570109999999997</v>
      </c>
      <c r="S3646">
        <v>-2.117264</v>
      </c>
      <c r="T3646">
        <v>-0.46567829999999899</v>
      </c>
      <c r="U3646">
        <v>-2.2154539999999998</v>
      </c>
      <c r="V3646">
        <v>0.22626299999999999</v>
      </c>
      <c r="W3646">
        <v>3.6523159999999999E-2</v>
      </c>
      <c r="X3646">
        <v>0.9733813</v>
      </c>
      <c r="Y3646">
        <v>0.39007029999999998</v>
      </c>
      <c r="Z3646">
        <v>0.1517029</v>
      </c>
      <c r="AA3646">
        <v>0.90820230000000002</v>
      </c>
      <c r="AB3646">
        <v>23</v>
      </c>
      <c r="AC3646">
        <v>-4.9493000000000196</v>
      </c>
      <c r="AD3646">
        <v>-1.1068579895199999</v>
      </c>
      <c r="AE3646">
        <v>-5.0563999999999902</v>
      </c>
      <c r="AF3646">
        <v>2.8272966307417602</v>
      </c>
      <c r="AG3646">
        <v>-1.1068579895199999</v>
      </c>
      <c r="AH3646">
        <v>6.3012675541620702</v>
      </c>
      <c r="AI3646">
        <v>99.104997072310994</v>
      </c>
      <c r="AJ3646">
        <v>65.834847755264505</v>
      </c>
      <c r="AK3646">
        <v>6.9946203353937397</v>
      </c>
      <c r="AL3646">
        <v>87.906911602227893</v>
      </c>
      <c r="AM3646">
        <v>76.913956249731996</v>
      </c>
      <c r="AN3646">
        <v>1.0000000207875299</v>
      </c>
    </row>
    <row r="3647" spans="1:40" x14ac:dyDescent="0.25">
      <c r="A3647" t="str">
        <f>"20190312151345481"</f>
        <v>20190312151345481</v>
      </c>
      <c r="B3647" t="str">
        <f>"1552374825474395"</f>
        <v>1552374825474395</v>
      </c>
      <c r="C3647" t="s">
        <v>40</v>
      </c>
      <c r="D3647">
        <v>4.8332980000000001</v>
      </c>
      <c r="E3647">
        <v>0.56729030000000003</v>
      </c>
      <c r="F3647" t="s">
        <v>58</v>
      </c>
      <c r="G3647">
        <v>-196.85570000000001</v>
      </c>
      <c r="H3647" s="1">
        <v>-1.3858030000000001E-5</v>
      </c>
      <c r="I3647">
        <v>155.58070000000001</v>
      </c>
      <c r="J3647">
        <v>-191.79310000000001</v>
      </c>
      <c r="K3647">
        <v>1.1072709999999999</v>
      </c>
      <c r="L3647">
        <v>160.65639999999999</v>
      </c>
      <c r="M3647">
        <v>-0.352798</v>
      </c>
      <c r="N3647">
        <v>0</v>
      </c>
      <c r="O3647">
        <v>-0.93559380000000003</v>
      </c>
      <c r="P3647">
        <v>-0.55339530000000003</v>
      </c>
      <c r="Q3647">
        <v>2.4363340000000001E-2</v>
      </c>
      <c r="R3647">
        <v>-0.83256239999999904</v>
      </c>
      <c r="S3647">
        <v>-2.1217800000000002</v>
      </c>
      <c r="T3647">
        <v>-0.4518317</v>
      </c>
      <c r="U3647">
        <v>-2.210159</v>
      </c>
      <c r="V3647">
        <v>0.2243193</v>
      </c>
      <c r="W3647">
        <v>3.6435950000000002E-2</v>
      </c>
      <c r="X3647">
        <v>0.97383430000000004</v>
      </c>
      <c r="Y3647">
        <v>0.3855789</v>
      </c>
      <c r="Z3647">
        <v>0.14700779999999999</v>
      </c>
      <c r="AA3647">
        <v>0.91088840000000004</v>
      </c>
      <c r="AB3647">
        <v>23</v>
      </c>
      <c r="AC3647">
        <v>-5.0625999999999998</v>
      </c>
      <c r="AD3647">
        <v>-1.1072848580300001</v>
      </c>
      <c r="AE3647">
        <v>-5.0756999999999799</v>
      </c>
      <c r="AF3647">
        <v>2.8774833503190802</v>
      </c>
      <c r="AG3647">
        <v>-1.1072848580300001</v>
      </c>
      <c r="AH3647">
        <v>6.3832296695795696</v>
      </c>
      <c r="AI3647">
        <v>98.986468544054901</v>
      </c>
      <c r="AJ3647">
        <v>65.7347196435787</v>
      </c>
      <c r="AK3647">
        <v>7.0888370839501604</v>
      </c>
      <c r="AL3647">
        <v>87.911911621051203</v>
      </c>
      <c r="AM3647">
        <v>77.028382646167401</v>
      </c>
      <c r="AN3647">
        <v>0.99999998533069101</v>
      </c>
    </row>
    <row r="3648" spans="1:40" x14ac:dyDescent="0.25">
      <c r="A3648" t="str">
        <f>"20190312151345504"</f>
        <v>20190312151345504</v>
      </c>
      <c r="B3648" t="str">
        <f>"1552374825493914"</f>
        <v>1552374825493914</v>
      </c>
      <c r="C3648" t="s">
        <v>40</v>
      </c>
      <c r="D3648">
        <v>4.7717390000000002</v>
      </c>
      <c r="E3648">
        <v>0.56710850000000002</v>
      </c>
      <c r="F3648" t="s">
        <v>58</v>
      </c>
      <c r="G3648">
        <v>-197.10730000000001</v>
      </c>
      <c r="H3648" s="1">
        <v>-1.370653E-5</v>
      </c>
      <c r="I3648">
        <v>155.1755</v>
      </c>
      <c r="J3648">
        <v>-191.8826</v>
      </c>
      <c r="K3648">
        <v>1.107513</v>
      </c>
      <c r="L3648">
        <v>160.43450000000001</v>
      </c>
      <c r="M3648">
        <v>-0.35712470000000002</v>
      </c>
      <c r="N3648">
        <v>0</v>
      </c>
      <c r="O3648">
        <v>-0.93395150000000005</v>
      </c>
      <c r="P3648">
        <v>-0.5568573</v>
      </c>
      <c r="Q3648">
        <v>2.4600210000000001E-2</v>
      </c>
      <c r="R3648">
        <v>-0.83024399999999998</v>
      </c>
      <c r="S3648">
        <v>-2.1322169999999998</v>
      </c>
      <c r="T3648">
        <v>-0.44427549999999999</v>
      </c>
      <c r="U3648">
        <v>-2.1990660000000002</v>
      </c>
      <c r="V3648">
        <v>0.22384999999999999</v>
      </c>
      <c r="W3648">
        <v>3.6774750000000002E-2</v>
      </c>
      <c r="X3648">
        <v>0.97392959999999995</v>
      </c>
      <c r="Y3648">
        <v>0.38610270000000002</v>
      </c>
      <c r="Z3648">
        <v>0.1445361</v>
      </c>
      <c r="AA3648">
        <v>0.91106209999999999</v>
      </c>
      <c r="AB3648">
        <v>23</v>
      </c>
      <c r="AC3648">
        <v>-5.2247000000000101</v>
      </c>
      <c r="AD3648">
        <v>-1.1075267065300001</v>
      </c>
      <c r="AE3648">
        <v>-5.2590000000000101</v>
      </c>
      <c r="AF3648">
        <v>2.9362538560555098</v>
      </c>
      <c r="AG3648">
        <v>-1.1075267065300001</v>
      </c>
      <c r="AH3648">
        <v>6.6301969576491304</v>
      </c>
      <c r="AI3648">
        <v>98.683975455352495</v>
      </c>
      <c r="AJ3648">
        <v>66.113328312423107</v>
      </c>
      <c r="AK3648">
        <v>7.3353741424754801</v>
      </c>
      <c r="AL3648">
        <v>87.892486897291803</v>
      </c>
      <c r="AM3648">
        <v>77.055829615177103</v>
      </c>
      <c r="AN3648">
        <v>1.0000000352468601</v>
      </c>
    </row>
    <row r="3649" spans="1:40" x14ac:dyDescent="0.25">
      <c r="A3649" t="str">
        <f>"20190312151345524"</f>
        <v>20190312151345524</v>
      </c>
      <c r="B3649" t="str">
        <f>"1552374825514411"</f>
        <v>1552374825514411</v>
      </c>
      <c r="C3649" t="s">
        <v>40</v>
      </c>
      <c r="D3649">
        <v>4.8305309999999997</v>
      </c>
      <c r="E3649">
        <v>0.56686289999999995</v>
      </c>
      <c r="F3649" t="s">
        <v>58</v>
      </c>
      <c r="G3649">
        <v>-197.26580000000001</v>
      </c>
      <c r="H3649" s="1">
        <v>-1.3612819999999999E-5</v>
      </c>
      <c r="I3649">
        <v>154.92429999999999</v>
      </c>
      <c r="J3649">
        <v>-191.9639</v>
      </c>
      <c r="K3649">
        <v>1.1077189999999999</v>
      </c>
      <c r="L3649">
        <v>160.23490000000001</v>
      </c>
      <c r="M3649">
        <v>-0.36069970000000001</v>
      </c>
      <c r="N3649">
        <v>0</v>
      </c>
      <c r="O3649">
        <v>-0.93257690000000004</v>
      </c>
      <c r="P3649">
        <v>-0.55986230000000003</v>
      </c>
      <c r="Q3649">
        <v>2.5573120000000001E-2</v>
      </c>
      <c r="R3649">
        <v>-0.82819120000000002</v>
      </c>
      <c r="S3649">
        <v>-2.1403660000000002</v>
      </c>
      <c r="T3649">
        <v>-0.440357</v>
      </c>
      <c r="U3649">
        <v>-2.1908720000000002</v>
      </c>
      <c r="V3649">
        <v>0.22364690000000001</v>
      </c>
      <c r="W3649">
        <v>3.7833550000000001E-2</v>
      </c>
      <c r="X3649">
        <v>0.97393569999999996</v>
      </c>
      <c r="Y3649">
        <v>0.38615129999999998</v>
      </c>
      <c r="Z3649">
        <v>0.14320350000000001</v>
      </c>
      <c r="AA3649">
        <v>0.91125179999999995</v>
      </c>
      <c r="AB3649">
        <v>23</v>
      </c>
      <c r="AC3649">
        <v>-5.3019000000000096</v>
      </c>
      <c r="AD3649">
        <v>-1.10773261282</v>
      </c>
      <c r="AE3649">
        <v>-5.3106000000000204</v>
      </c>
      <c r="AF3649">
        <v>2.9645950339654998</v>
      </c>
      <c r="AG3649">
        <v>-1.10773261282</v>
      </c>
      <c r="AH3649">
        <v>6.7191960407281197</v>
      </c>
      <c r="AI3649">
        <v>98.577388751038299</v>
      </c>
      <c r="AJ3649">
        <v>66.192316006653698</v>
      </c>
      <c r="AK3649">
        <v>7.4272128480779704</v>
      </c>
      <c r="AL3649">
        <v>87.831779860425002</v>
      </c>
      <c r="AM3649">
        <v>77.067257154295902</v>
      </c>
      <c r="AN3649">
        <v>1.00000003055985</v>
      </c>
    </row>
    <row r="3650" spans="1:40" x14ac:dyDescent="0.25">
      <c r="A3650" t="str">
        <f>"20190312151345547"</f>
        <v>20190312151345547</v>
      </c>
      <c r="B3650" t="str">
        <f>"1552374825543691"</f>
        <v>1552374825543691</v>
      </c>
      <c r="C3650" t="s">
        <v>40</v>
      </c>
      <c r="D3650">
        <v>4.8361700000000001</v>
      </c>
      <c r="E3650">
        <v>0.56666729999999998</v>
      </c>
      <c r="F3650" t="s">
        <v>58</v>
      </c>
      <c r="G3650">
        <v>-197.43639999999999</v>
      </c>
      <c r="H3650" s="1">
        <v>-1.351751E-5</v>
      </c>
      <c r="I3650">
        <v>154.6669</v>
      </c>
      <c r="J3650">
        <v>-192.05269999999999</v>
      </c>
      <c r="K3650">
        <v>1.1079600000000001</v>
      </c>
      <c r="L3650">
        <v>160.01820000000001</v>
      </c>
      <c r="M3650">
        <v>-0.36422090000000001</v>
      </c>
      <c r="N3650">
        <v>0</v>
      </c>
      <c r="O3650">
        <v>-0.93120800000000004</v>
      </c>
      <c r="P3650">
        <v>-0.56314869999999995</v>
      </c>
      <c r="Q3650">
        <v>2.468447E-2</v>
      </c>
      <c r="R3650">
        <v>-0.82598719999999903</v>
      </c>
      <c r="S3650">
        <v>-2.146973</v>
      </c>
      <c r="T3650">
        <v>-0.43458940000000001</v>
      </c>
      <c r="U3650">
        <v>-2.1844329999999998</v>
      </c>
      <c r="V3650">
        <v>0.2238009</v>
      </c>
      <c r="W3650">
        <v>3.7041119999999997E-2</v>
      </c>
      <c r="X3650">
        <v>0.97393079999999999</v>
      </c>
      <c r="Y3650">
        <v>0.38562000000000002</v>
      </c>
      <c r="Z3650">
        <v>0.14125370000000001</v>
      </c>
      <c r="AA3650">
        <v>0.91178099999999995</v>
      </c>
      <c r="AB3650">
        <v>23</v>
      </c>
      <c r="AC3650">
        <v>-5.3837000000000002</v>
      </c>
      <c r="AD3650">
        <v>-1.1079735175100001</v>
      </c>
      <c r="AE3650">
        <v>-5.3513000000000002</v>
      </c>
      <c r="AF3650">
        <v>3.0006587952817201</v>
      </c>
      <c r="AG3650">
        <v>-1.1079735175100001</v>
      </c>
      <c r="AH3650">
        <v>6.7998356462215401</v>
      </c>
      <c r="AI3650">
        <v>98.478752561720299</v>
      </c>
      <c r="AJ3650">
        <v>66.188898625099</v>
      </c>
      <c r="AK3650">
        <v>7.5146073308477099</v>
      </c>
      <c r="AL3650">
        <v>87.877214636884204</v>
      </c>
      <c r="AM3650">
        <v>77.058588645067005</v>
      </c>
      <c r="AN3650">
        <v>1.0000000453001501</v>
      </c>
    </row>
    <row r="3651" spans="1:40" x14ac:dyDescent="0.25">
      <c r="A3651" t="str">
        <f>"20190312151345570"</f>
        <v>20190312151345570</v>
      </c>
      <c r="B3651" t="str">
        <f>"1552374825564186"</f>
        <v>1552374825564186</v>
      </c>
      <c r="C3651" t="s">
        <v>40</v>
      </c>
      <c r="D3651">
        <v>4.8268180000000003</v>
      </c>
      <c r="E3651">
        <v>0.56643489999999996</v>
      </c>
      <c r="F3651" t="s">
        <v>58</v>
      </c>
      <c r="G3651">
        <v>-197.54759999999999</v>
      </c>
      <c r="H3651" s="1">
        <v>-1.346797E-5</v>
      </c>
      <c r="I3651">
        <v>154.4665</v>
      </c>
      <c r="J3651">
        <v>-192.1421</v>
      </c>
      <c r="K3651">
        <v>1.1081840000000001</v>
      </c>
      <c r="L3651">
        <v>159.8015</v>
      </c>
      <c r="M3651">
        <v>-0.36741560000000001</v>
      </c>
      <c r="N3651">
        <v>0</v>
      </c>
      <c r="O3651">
        <v>-0.92995229999999995</v>
      </c>
      <c r="P3651">
        <v>-0.5659592</v>
      </c>
      <c r="Q3651">
        <v>2.3405840000000001E-2</v>
      </c>
      <c r="R3651">
        <v>-0.82410099999999997</v>
      </c>
      <c r="S3651">
        <v>-2.154099</v>
      </c>
      <c r="T3651">
        <v>-0.43434729999999999</v>
      </c>
      <c r="U3651">
        <v>-2.1763759999999999</v>
      </c>
      <c r="V3651">
        <v>0.22373370000000001</v>
      </c>
      <c r="W3651">
        <v>3.5864119999999999E-2</v>
      </c>
      <c r="X3651">
        <v>0.97399029999999998</v>
      </c>
      <c r="Y3651">
        <v>0.38566319999999998</v>
      </c>
      <c r="Z3651">
        <v>0.14112649999999999</v>
      </c>
      <c r="AA3651">
        <v>0.91178239999999999</v>
      </c>
      <c r="AB3651">
        <v>23</v>
      </c>
      <c r="AC3651">
        <v>-5.4054999999999804</v>
      </c>
      <c r="AD3651">
        <v>-1.10819746797</v>
      </c>
      <c r="AE3651">
        <v>-5.335</v>
      </c>
      <c r="AF3651">
        <v>3.0030550818725699</v>
      </c>
      <c r="AG3651">
        <v>-1.10819746797</v>
      </c>
      <c r="AH3651">
        <v>6.8031893811302799</v>
      </c>
      <c r="AI3651">
        <v>98.475906004685001</v>
      </c>
      <c r="AJ3651">
        <v>66.182439505434004</v>
      </c>
      <c r="AK3651">
        <v>7.5186320037823098</v>
      </c>
      <c r="AL3651">
        <v>87.944696637944602</v>
      </c>
      <c r="AM3651">
        <v>77.0631075129902</v>
      </c>
      <c r="AN3651">
        <v>1.0000000540565701</v>
      </c>
    </row>
    <row r="3652" spans="1:40" x14ac:dyDescent="0.25">
      <c r="A3652" t="str">
        <f>"20190312151345591"</f>
        <v>20190312151345591</v>
      </c>
      <c r="B3652" t="str">
        <f>"1552374825583708"</f>
        <v>1552374825583708</v>
      </c>
      <c r="C3652" t="s">
        <v>40</v>
      </c>
      <c r="D3652">
        <v>4.8195819999999996</v>
      </c>
      <c r="E3652">
        <v>0.56639910000000004</v>
      </c>
      <c r="F3652" t="s">
        <v>58</v>
      </c>
      <c r="G3652">
        <v>-197.61770000000001</v>
      </c>
      <c r="H3652" s="1">
        <v>-1.3432500000000001E-5</v>
      </c>
      <c r="I3652">
        <v>154.30080000000001</v>
      </c>
      <c r="J3652">
        <v>-192.22890000000001</v>
      </c>
      <c r="K3652">
        <v>1.1083750000000001</v>
      </c>
      <c r="L3652">
        <v>159.59229999999999</v>
      </c>
      <c r="M3652">
        <v>-0.3702841</v>
      </c>
      <c r="N3652">
        <v>0</v>
      </c>
      <c r="O3652">
        <v>-0.92881409999999998</v>
      </c>
      <c r="P3652">
        <v>-0.56849189999999905</v>
      </c>
      <c r="Q3652">
        <v>2.2774260000000001E-2</v>
      </c>
      <c r="R3652">
        <v>-0.82237329999999997</v>
      </c>
      <c r="S3652">
        <v>-2.1596679999999999</v>
      </c>
      <c r="T3652">
        <v>-0.43709209999999898</v>
      </c>
      <c r="U3652">
        <v>-2.1695859999999998</v>
      </c>
      <c r="V3652">
        <v>0.22369739999999999</v>
      </c>
      <c r="W3652">
        <v>3.5317059999999997E-2</v>
      </c>
      <c r="X3652">
        <v>0.97401859999999996</v>
      </c>
      <c r="Y3652">
        <v>0.38533089999999998</v>
      </c>
      <c r="Z3652">
        <v>0.1419559</v>
      </c>
      <c r="AA3652">
        <v>0.9117942</v>
      </c>
      <c r="AB3652">
        <v>23</v>
      </c>
      <c r="AC3652">
        <v>-5.3887999999999998</v>
      </c>
      <c r="AD3652">
        <v>-1.1083884325</v>
      </c>
      <c r="AE3652">
        <v>-5.2914999999999797</v>
      </c>
      <c r="AF3652">
        <v>2.9819055597435198</v>
      </c>
      <c r="AG3652">
        <v>-1.1083884325</v>
      </c>
      <c r="AH3652">
        <v>6.7651672719510199</v>
      </c>
      <c r="AI3652">
        <v>98.5262939976882</v>
      </c>
      <c r="AJ3652">
        <v>66.2133925252447</v>
      </c>
      <c r="AK3652">
        <v>7.4758125914181699</v>
      </c>
      <c r="AL3652">
        <v>87.976060682236294</v>
      </c>
      <c r="AM3652">
        <v>77.065499060798601</v>
      </c>
      <c r="AN3652">
        <v>1.0000000273198799</v>
      </c>
    </row>
    <row r="3653" spans="1:40" x14ac:dyDescent="0.25">
      <c r="A3653" t="str">
        <f>"20190312151345613"</f>
        <v>20190312151345613</v>
      </c>
      <c r="B3653" t="str">
        <f>"1552374825604202"</f>
        <v>1552374825604202</v>
      </c>
      <c r="C3653" t="s">
        <v>40</v>
      </c>
      <c r="D3653">
        <v>4.7824140000000002</v>
      </c>
      <c r="E3653">
        <v>0.56645100000000004</v>
      </c>
      <c r="F3653" t="s">
        <v>58</v>
      </c>
      <c r="G3653">
        <v>-197.67140000000001</v>
      </c>
      <c r="H3653" s="1">
        <v>-1.3401070000000001E-5</v>
      </c>
      <c r="I3653">
        <v>154.15700000000001</v>
      </c>
      <c r="J3653">
        <v>-192.31819999999999</v>
      </c>
      <c r="K3653">
        <v>1.108535</v>
      </c>
      <c r="L3653">
        <v>159.37780000000001</v>
      </c>
      <c r="M3653">
        <v>-0.3730232</v>
      </c>
      <c r="N3653">
        <v>0</v>
      </c>
      <c r="O3653">
        <v>-0.92771800000000004</v>
      </c>
      <c r="P3653">
        <v>-0.57085200000000003</v>
      </c>
      <c r="Q3653">
        <v>2.2002629999999999E-2</v>
      </c>
      <c r="R3653">
        <v>-0.8207584</v>
      </c>
      <c r="S3653">
        <v>-2.1658629999999999</v>
      </c>
      <c r="T3653">
        <v>-0.4410868</v>
      </c>
      <c r="U3653">
        <v>-2.1629939999999999</v>
      </c>
      <c r="V3653">
        <v>0.22359619999999999</v>
      </c>
      <c r="W3653">
        <v>3.461272E-2</v>
      </c>
      <c r="X3653">
        <v>0.97406709999999996</v>
      </c>
      <c r="Y3653">
        <v>0.38517319999999999</v>
      </c>
      <c r="Z3653">
        <v>0.1431624</v>
      </c>
      <c r="AA3653">
        <v>0.91167220000000004</v>
      </c>
      <c r="AB3653">
        <v>23</v>
      </c>
      <c r="AC3653">
        <v>-5.35320000000001</v>
      </c>
      <c r="AD3653">
        <v>-1.10854840107</v>
      </c>
      <c r="AE3653">
        <v>-5.2207999999999899</v>
      </c>
      <c r="AF3653">
        <v>2.95414497321508</v>
      </c>
      <c r="AG3653">
        <v>-1.10854840107</v>
      </c>
      <c r="AH3653">
        <v>6.6938394190182198</v>
      </c>
      <c r="AI3653">
        <v>98.615294264289403</v>
      </c>
      <c r="AJ3653">
        <v>66.187031485630698</v>
      </c>
      <c r="AK3653">
        <v>7.4002255538523301</v>
      </c>
      <c r="AL3653">
        <v>88.016441044262606</v>
      </c>
      <c r="AM3653">
        <v>77.071776039799602</v>
      </c>
      <c r="AN3653">
        <v>1.0000000081713201</v>
      </c>
    </row>
    <row r="3654" spans="1:40" x14ac:dyDescent="0.25">
      <c r="A3654" t="str">
        <f>"20190312151345636"</f>
        <v>20190312151345636</v>
      </c>
      <c r="B3654" t="str">
        <f>"1552374825623722"</f>
        <v>1552374825623722</v>
      </c>
      <c r="C3654" t="s">
        <v>40</v>
      </c>
      <c r="D3654">
        <v>4.7157109999999998</v>
      </c>
      <c r="E3654">
        <v>0.56651280000000004</v>
      </c>
      <c r="F3654" t="s">
        <v>58</v>
      </c>
      <c r="G3654">
        <v>-197.70410000000001</v>
      </c>
      <c r="H3654" s="1">
        <v>-1.337217E-5</v>
      </c>
      <c r="I3654">
        <v>154.03049999999999</v>
      </c>
      <c r="J3654">
        <v>-192.40690000000001</v>
      </c>
      <c r="K3654">
        <v>1.1086590000000001</v>
      </c>
      <c r="L3654">
        <v>159.1661</v>
      </c>
      <c r="M3654">
        <v>-0.37553999999999998</v>
      </c>
      <c r="N3654">
        <v>0</v>
      </c>
      <c r="O3654">
        <v>-0.92670229999999998</v>
      </c>
      <c r="P3654">
        <v>-0.57291939999999997</v>
      </c>
      <c r="Q3654">
        <v>2.2512919999999999E-2</v>
      </c>
      <c r="R3654">
        <v>-0.81930239999999999</v>
      </c>
      <c r="S3654">
        <v>-2.1720280000000001</v>
      </c>
      <c r="T3654">
        <v>-0.44705800000000001</v>
      </c>
      <c r="U3654">
        <v>-2.1564329999999998</v>
      </c>
      <c r="V3654">
        <v>0.2234052</v>
      </c>
      <c r="W3654">
        <v>3.5168850000000001E-2</v>
      </c>
      <c r="X3654">
        <v>0.97409100000000004</v>
      </c>
      <c r="Y3654">
        <v>0.38514910000000002</v>
      </c>
      <c r="Z3654">
        <v>0.1450043</v>
      </c>
      <c r="AA3654">
        <v>0.91139119999999996</v>
      </c>
      <c r="AB3654">
        <v>23</v>
      </c>
      <c r="AC3654">
        <v>-5.2972000000000001</v>
      </c>
      <c r="AD3654">
        <v>-1.10867237217</v>
      </c>
      <c r="AE3654">
        <v>-5.1356000000000099</v>
      </c>
      <c r="AF3654">
        <v>2.91477457441218</v>
      </c>
      <c r="AG3654">
        <v>-1.10867237217</v>
      </c>
      <c r="AH3654">
        <v>6.6001001314388397</v>
      </c>
      <c r="AI3654">
        <v>98.735779546327507</v>
      </c>
      <c r="AJ3654">
        <v>66.172509305554797</v>
      </c>
      <c r="AK3654">
        <v>7.2997525296047998</v>
      </c>
      <c r="AL3654">
        <v>87.984557720759696</v>
      </c>
      <c r="AM3654">
        <v>77.082755289448997</v>
      </c>
      <c r="AN3654">
        <v>1.0000000038391801</v>
      </c>
    </row>
    <row r="3655" spans="1:40" x14ac:dyDescent="0.25">
      <c r="A3655" t="str">
        <f>"20190312151345658"</f>
        <v>20190312151345658</v>
      </c>
      <c r="B3655" t="str">
        <f>"1552374825654121"</f>
        <v>1552374825654121</v>
      </c>
      <c r="C3655" t="s">
        <v>40</v>
      </c>
      <c r="D3655">
        <v>4.7321999999999997</v>
      </c>
      <c r="E3655">
        <v>0.56655719999999898</v>
      </c>
      <c r="F3655" t="s">
        <v>58</v>
      </c>
      <c r="G3655">
        <v>-197.7868</v>
      </c>
      <c r="H3655" s="1">
        <v>-1.33349E-5</v>
      </c>
      <c r="I3655">
        <v>153.85329999999999</v>
      </c>
      <c r="J3655">
        <v>-192.49539999999999</v>
      </c>
      <c r="K3655">
        <v>1.1087549999999999</v>
      </c>
      <c r="L3655">
        <v>158.95599999999999</v>
      </c>
      <c r="M3655">
        <v>-0.37789220000000001</v>
      </c>
      <c r="N3655">
        <v>0</v>
      </c>
      <c r="O3655">
        <v>-0.92574579999999995</v>
      </c>
      <c r="P3655">
        <v>-0.57475699999999996</v>
      </c>
      <c r="Q3655">
        <v>2.3332829999999999E-2</v>
      </c>
      <c r="R3655">
        <v>-0.81799169999999999</v>
      </c>
      <c r="S3655">
        <v>-2.1780550000000001</v>
      </c>
      <c r="T3655">
        <v>-0.44884869999999999</v>
      </c>
      <c r="U3655">
        <v>-2.150909</v>
      </c>
      <c r="V3655">
        <v>0.22312219999999999</v>
      </c>
      <c r="W3655">
        <v>3.6018509999999997E-2</v>
      </c>
      <c r="X3655">
        <v>0.97412480000000001</v>
      </c>
      <c r="Y3655">
        <v>0.3851851</v>
      </c>
      <c r="Z3655">
        <v>0.14548839999999999</v>
      </c>
      <c r="AA3655">
        <v>0.91129890000000002</v>
      </c>
      <c r="AB3655">
        <v>23</v>
      </c>
      <c r="AC3655">
        <v>-5.2914000000000003</v>
      </c>
      <c r="AD3655">
        <v>-1.1087683348999999</v>
      </c>
      <c r="AE3655">
        <v>-5.10270000000002</v>
      </c>
      <c r="AF3655">
        <v>2.9044284988529898</v>
      </c>
      <c r="AG3655">
        <v>-1.1087683348999999</v>
      </c>
      <c r="AH3655">
        <v>6.5744546538873898</v>
      </c>
      <c r="AI3655">
        <v>98.769598975369107</v>
      </c>
      <c r="AJ3655">
        <v>66.165365646713695</v>
      </c>
      <c r="AK3655">
        <v>7.2724498019201098</v>
      </c>
      <c r="AL3655">
        <v>87.935844886740895</v>
      </c>
      <c r="AM3655">
        <v>77.099003122000596</v>
      </c>
      <c r="AN3655">
        <v>0.99999998758524999</v>
      </c>
    </row>
    <row r="3656" spans="1:40" x14ac:dyDescent="0.25">
      <c r="A3656" t="str">
        <f>"20190312151345682"</f>
        <v>20190312151345682</v>
      </c>
      <c r="B3656" t="str">
        <f>"1552374825673640"</f>
        <v>1552374825673640</v>
      </c>
      <c r="C3656" t="s">
        <v>40</v>
      </c>
      <c r="D3656">
        <v>4.7183219999999997</v>
      </c>
      <c r="E3656">
        <v>0.56785949999999996</v>
      </c>
      <c r="F3656" t="s">
        <v>58</v>
      </c>
      <c r="G3656">
        <v>-197.89920000000001</v>
      </c>
      <c r="H3656" s="1">
        <v>-1.329211E-5</v>
      </c>
      <c r="I3656">
        <v>153.64359999999999</v>
      </c>
      <c r="J3656">
        <v>-192.59039999999999</v>
      </c>
      <c r="K3656">
        <v>1.108824</v>
      </c>
      <c r="L3656">
        <v>158.73159999999999</v>
      </c>
      <c r="M3656">
        <v>-0.3803047</v>
      </c>
      <c r="N3656">
        <v>0</v>
      </c>
      <c r="O3656">
        <v>-0.92475770000000002</v>
      </c>
      <c r="P3656">
        <v>-0.576804599999999</v>
      </c>
      <c r="Q3656">
        <v>2.4202410000000001E-2</v>
      </c>
      <c r="R3656">
        <v>-0.81652389999999997</v>
      </c>
      <c r="S3656">
        <v>-2.1832280000000002</v>
      </c>
      <c r="T3656">
        <v>-0.44795629999999997</v>
      </c>
      <c r="U3656">
        <v>-2.146255</v>
      </c>
      <c r="V3656">
        <v>0.22303039999999999</v>
      </c>
      <c r="W3656">
        <v>3.6904369999999999E-2</v>
      </c>
      <c r="X3656">
        <v>0.97411270000000005</v>
      </c>
      <c r="Y3656">
        <v>0.38489050000000002</v>
      </c>
      <c r="Z3656">
        <v>0.14510439999999999</v>
      </c>
      <c r="AA3656">
        <v>0.91148450000000003</v>
      </c>
      <c r="AB3656">
        <v>23</v>
      </c>
      <c r="AC3656">
        <v>-5.3088000000000104</v>
      </c>
      <c r="AD3656">
        <v>-1.10883729211</v>
      </c>
      <c r="AE3656">
        <v>-5.0879999999999903</v>
      </c>
      <c r="AF3656">
        <v>2.9085117404324601</v>
      </c>
      <c r="AG3656">
        <v>-1.10883729211</v>
      </c>
      <c r="AH3656">
        <v>6.5752583239684004</v>
      </c>
      <c r="AI3656">
        <v>98.767270721506407</v>
      </c>
      <c r="AJ3656">
        <v>66.138189357741496</v>
      </c>
      <c r="AK3656">
        <v>7.2748183971507503</v>
      </c>
      <c r="AL3656">
        <v>87.885055146032698</v>
      </c>
      <c r="AM3656">
        <v>77.103978707151896</v>
      </c>
      <c r="AN3656">
        <v>1.0000000220752701</v>
      </c>
    </row>
    <row r="3657" spans="1:40" x14ac:dyDescent="0.25">
      <c r="A3657" t="str">
        <f>"20190312151345705"</f>
        <v>20190312151345705</v>
      </c>
      <c r="B3657" t="str">
        <f>"1552374825694136"</f>
        <v>1552374825694136</v>
      </c>
      <c r="C3657" t="s">
        <v>40</v>
      </c>
      <c r="D3657">
        <v>4.7196699999999998</v>
      </c>
      <c r="E3657">
        <v>0.56868649999999998</v>
      </c>
      <c r="F3657" t="s">
        <v>58</v>
      </c>
      <c r="G3657">
        <v>-196.57480000000001</v>
      </c>
      <c r="H3657" s="1">
        <v>-1.353055E-5</v>
      </c>
      <c r="I3657">
        <v>154.87540000000001</v>
      </c>
      <c r="J3657">
        <v>-192.68520000000001</v>
      </c>
      <c r="K3657">
        <v>1.108859</v>
      </c>
      <c r="L3657">
        <v>158.50909999999999</v>
      </c>
      <c r="M3657">
        <v>-0.38265579999999999</v>
      </c>
      <c r="N3657">
        <v>0</v>
      </c>
      <c r="O3657">
        <v>-0.92378769999999999</v>
      </c>
      <c r="P3657">
        <v>-0.57877869999999998</v>
      </c>
      <c r="Q3657">
        <v>2.479193E-2</v>
      </c>
      <c r="R3657">
        <v>-0.8151081</v>
      </c>
      <c r="S3657">
        <v>-2.2053379999999998</v>
      </c>
      <c r="T3657">
        <v>-0.61374450000000003</v>
      </c>
      <c r="U3657">
        <v>-2.1343839999999998</v>
      </c>
      <c r="V3657">
        <v>0.22291569999999999</v>
      </c>
      <c r="W3657">
        <v>3.7496189999999999E-2</v>
      </c>
      <c r="X3657">
        <v>0.97411630000000005</v>
      </c>
      <c r="Y3657">
        <v>0.38284800000000002</v>
      </c>
      <c r="Z3657">
        <v>0.19657450000000001</v>
      </c>
      <c r="AA3657">
        <v>0.90265490000000004</v>
      </c>
      <c r="AB3657">
        <v>23</v>
      </c>
      <c r="AC3657">
        <v>-3.8896000000000002</v>
      </c>
      <c r="AD3657">
        <v>-1.10887253055</v>
      </c>
      <c r="AE3657">
        <v>-3.63369999999997</v>
      </c>
      <c r="AF3657">
        <v>2.1112916484577702</v>
      </c>
      <c r="AG3657">
        <v>-1.10887253055</v>
      </c>
      <c r="AH3657">
        <v>4.6440625581724104</v>
      </c>
      <c r="AI3657">
        <v>102.26327243359999</v>
      </c>
      <c r="AJ3657">
        <v>65.552424477934494</v>
      </c>
      <c r="AK3657">
        <v>5.2205811705283196</v>
      </c>
      <c r="AL3657">
        <v>87.851122758654796</v>
      </c>
      <c r="AM3657">
        <v>77.110435345277395</v>
      </c>
      <c r="AN3657">
        <v>0.99999996974834704</v>
      </c>
    </row>
    <row r="3658" spans="1:40" x14ac:dyDescent="0.25">
      <c r="A3658" t="str">
        <f>"20190312151345726"</f>
        <v>20190312151345726</v>
      </c>
      <c r="B3658" t="str">
        <f>"1552374825713656"</f>
        <v>1552374825713656</v>
      </c>
      <c r="C3658" t="s">
        <v>40</v>
      </c>
      <c r="D3658">
        <v>4.6549990000000001</v>
      </c>
      <c r="E3658">
        <v>0.569295</v>
      </c>
      <c r="F3658" t="s">
        <v>58</v>
      </c>
      <c r="G3658">
        <v>-196.74379999999999</v>
      </c>
      <c r="H3658" s="1">
        <v>-1.343492E-5</v>
      </c>
      <c r="I3658">
        <v>154.61760000000001</v>
      </c>
      <c r="J3658">
        <v>-192.76910000000001</v>
      </c>
      <c r="K3658">
        <v>1.10887</v>
      </c>
      <c r="L3658">
        <v>158.3135</v>
      </c>
      <c r="M3658">
        <v>-0.38472139999999999</v>
      </c>
      <c r="N3658">
        <v>0</v>
      </c>
      <c r="O3658">
        <v>-0.92292940000000001</v>
      </c>
      <c r="P3658">
        <v>-0.58064229999999994</v>
      </c>
      <c r="Q3658">
        <v>2.5397429999999999E-2</v>
      </c>
      <c r="R3658">
        <v>-0.81376269999999995</v>
      </c>
      <c r="S3658">
        <v>-2.21637</v>
      </c>
      <c r="T3658">
        <v>-0.60554960000000002</v>
      </c>
      <c r="U3658">
        <v>-2.1251530000000001</v>
      </c>
      <c r="V3658">
        <v>0.22297439999999999</v>
      </c>
      <c r="W3658">
        <v>3.8092279999999999E-2</v>
      </c>
      <c r="X3658">
        <v>0.97407980000000005</v>
      </c>
      <c r="Y3658">
        <v>0.38539010000000001</v>
      </c>
      <c r="Z3658">
        <v>0.19396830000000001</v>
      </c>
      <c r="AA3658">
        <v>0.90213679999999996</v>
      </c>
      <c r="AB3658">
        <v>23</v>
      </c>
      <c r="AC3658">
        <v>-3.9746999999999799</v>
      </c>
      <c r="AD3658">
        <v>-1.1088834349200001</v>
      </c>
      <c r="AE3658">
        <v>-3.6958999999999902</v>
      </c>
      <c r="AF3658">
        <v>2.1566670977287798</v>
      </c>
      <c r="AG3658">
        <v>-1.1088834349200001</v>
      </c>
      <c r="AH3658">
        <v>4.7427096083104603</v>
      </c>
      <c r="AI3658">
        <v>102.015312972803</v>
      </c>
      <c r="AJ3658">
        <v>65.547134979621404</v>
      </c>
      <c r="AK3658">
        <v>5.3267372632246701</v>
      </c>
      <c r="AL3658">
        <v>87.8169450306426</v>
      </c>
      <c r="AM3658">
        <v>77.106687600361198</v>
      </c>
      <c r="AN3658">
        <v>1.0000000308094901</v>
      </c>
    </row>
    <row r="3659" spans="1:40" x14ac:dyDescent="0.25">
      <c r="A3659" t="str">
        <f>"20190312151345747"</f>
        <v>20190312151345747</v>
      </c>
      <c r="B3659" t="str">
        <f>"1552374825743913"</f>
        <v>1552374825743913</v>
      </c>
      <c r="C3659" t="s">
        <v>40</v>
      </c>
      <c r="D3659">
        <v>4.6815639999999998</v>
      </c>
      <c r="E3659">
        <v>0.57028719999999999</v>
      </c>
      <c r="F3659" t="s">
        <v>58</v>
      </c>
      <c r="G3659">
        <v>-196.8716</v>
      </c>
      <c r="H3659" s="1">
        <v>-1.3393979999999999E-5</v>
      </c>
      <c r="I3659">
        <v>154.41069999999999</v>
      </c>
      <c r="J3659">
        <v>-192.8586</v>
      </c>
      <c r="K3659">
        <v>1.1088519999999999</v>
      </c>
      <c r="L3659">
        <v>158.10589999999999</v>
      </c>
      <c r="M3659">
        <v>-0.3869261</v>
      </c>
      <c r="N3659">
        <v>0</v>
      </c>
      <c r="O3659">
        <v>-0.92200729999999997</v>
      </c>
      <c r="P3659">
        <v>-0.58271399999999995</v>
      </c>
      <c r="Q3659">
        <v>2.5694470000000001E-2</v>
      </c>
      <c r="R3659">
        <v>-0.81227119999999997</v>
      </c>
      <c r="S3659">
        <v>-2.2256469999999999</v>
      </c>
      <c r="T3659">
        <v>-0.60157530000000004</v>
      </c>
      <c r="U3659">
        <v>-2.1172939999999998</v>
      </c>
      <c r="V3659">
        <v>0.22313450000000001</v>
      </c>
      <c r="W3659">
        <v>3.8371500000000003E-2</v>
      </c>
      <c r="X3659">
        <v>0.97403220000000001</v>
      </c>
      <c r="Y3659">
        <v>0.38694269999999997</v>
      </c>
      <c r="Z3659">
        <v>0.1926369</v>
      </c>
      <c r="AA3659">
        <v>0.90175740000000004</v>
      </c>
      <c r="AB3659">
        <v>23</v>
      </c>
      <c r="AC3659">
        <v>-4.0129999999999999</v>
      </c>
      <c r="AD3659">
        <v>-1.1088653939799999</v>
      </c>
      <c r="AE3659">
        <v>-3.6951999999999998</v>
      </c>
      <c r="AF3659">
        <v>2.1803728593404998</v>
      </c>
      <c r="AG3659">
        <v>-1.1088653939799999</v>
      </c>
      <c r="AH3659">
        <v>4.7633928221681296</v>
      </c>
      <c r="AI3659">
        <v>101.951292256542</v>
      </c>
      <c r="AJ3659">
        <v>65.404759828091301</v>
      </c>
      <c r="AK3659">
        <v>5.3547660496045903</v>
      </c>
      <c r="AL3659">
        <v>87.800935244980096</v>
      </c>
      <c r="AM3659">
        <v>77.0971302308091</v>
      </c>
      <c r="AN3659">
        <v>1.0000000518696599</v>
      </c>
    </row>
    <row r="3660" spans="1:40" x14ac:dyDescent="0.25">
      <c r="A3660" t="str">
        <f>"20190312151345770"</f>
        <v>20190312151345770</v>
      </c>
      <c r="B3660" t="str">
        <f>"1552374825764409"</f>
        <v>1552374825764409</v>
      </c>
      <c r="C3660" t="s">
        <v>40</v>
      </c>
      <c r="D3660">
        <v>4.6720889999999997</v>
      </c>
      <c r="E3660">
        <v>0.57085750000000002</v>
      </c>
      <c r="F3660" t="s">
        <v>58</v>
      </c>
      <c r="G3660">
        <v>-197.03809999999999</v>
      </c>
      <c r="H3660" s="1">
        <v>-1.3347940000000001E-5</v>
      </c>
      <c r="I3660">
        <v>154.16899999999899</v>
      </c>
      <c r="J3660">
        <v>-192.95099999999999</v>
      </c>
      <c r="K3660">
        <v>1.108827</v>
      </c>
      <c r="L3660">
        <v>157.89330000000001</v>
      </c>
      <c r="M3660">
        <v>-0.38920519999999997</v>
      </c>
      <c r="N3660">
        <v>0</v>
      </c>
      <c r="O3660">
        <v>-0.92104790000000003</v>
      </c>
      <c r="P3660">
        <v>-0.58485730000000002</v>
      </c>
      <c r="Q3660">
        <v>2.5022880000000001E-2</v>
      </c>
      <c r="R3660">
        <v>-0.81075010000000003</v>
      </c>
      <c r="S3660">
        <v>-2.2370909999999999</v>
      </c>
      <c r="T3660">
        <v>-0.59352660000000002</v>
      </c>
      <c r="U3660">
        <v>-2.1072540000000002</v>
      </c>
      <c r="V3660">
        <v>0.22328999999999999</v>
      </c>
      <c r="W3660">
        <v>3.7678200000000002E-2</v>
      </c>
      <c r="X3660">
        <v>0.97402359999999999</v>
      </c>
      <c r="Y3660">
        <v>0.3895034</v>
      </c>
      <c r="Z3660">
        <v>0.1900744</v>
      </c>
      <c r="AA3660">
        <v>0.90119850000000001</v>
      </c>
      <c r="AB3660">
        <v>23</v>
      </c>
      <c r="AC3660">
        <v>-4.0870999999999897</v>
      </c>
      <c r="AD3660">
        <v>-1.10884034794</v>
      </c>
      <c r="AE3660">
        <v>-3.7243000000000199</v>
      </c>
      <c r="AF3660">
        <v>2.22561757746975</v>
      </c>
      <c r="AG3660">
        <v>-1.10884034794</v>
      </c>
      <c r="AH3660">
        <v>4.8273314739919497</v>
      </c>
      <c r="AI3660">
        <v>101.782813098918</v>
      </c>
      <c r="AJ3660">
        <v>65.2481667429808</v>
      </c>
      <c r="AK3660">
        <v>5.4301040209332303</v>
      </c>
      <c r="AL3660">
        <v>87.840687092179706</v>
      </c>
      <c r="AM3660">
        <v>77.0883294234891</v>
      </c>
      <c r="AN3660">
        <v>1.0000000221060901</v>
      </c>
    </row>
    <row r="3661" spans="1:40" x14ac:dyDescent="0.25">
      <c r="A3661" t="str">
        <f>"20190312151345793"</f>
        <v>20190312151345793</v>
      </c>
      <c r="B3661" t="str">
        <f>"1552374825783928"</f>
        <v>1552374825783928</v>
      </c>
      <c r="C3661" t="s">
        <v>40</v>
      </c>
      <c r="D3661">
        <v>4.6332380000000004</v>
      </c>
      <c r="E3661">
        <v>0.57139770000000001</v>
      </c>
      <c r="F3661" t="s">
        <v>58</v>
      </c>
      <c r="G3661">
        <v>-197.1138</v>
      </c>
      <c r="H3661" s="1">
        <v>-1.3313289999999999E-5</v>
      </c>
      <c r="I3661">
        <v>154.00470000000001</v>
      </c>
      <c r="J3661">
        <v>-193.0438</v>
      </c>
      <c r="K3661">
        <v>1.1087990000000001</v>
      </c>
      <c r="L3661">
        <v>157.68100000000001</v>
      </c>
      <c r="M3661">
        <v>-0.39150400000000002</v>
      </c>
      <c r="N3661">
        <v>0</v>
      </c>
      <c r="O3661">
        <v>-0.92007309999999998</v>
      </c>
      <c r="P3661">
        <v>-0.58669199999999999</v>
      </c>
      <c r="Q3661">
        <v>2.4349740000000002E-2</v>
      </c>
      <c r="R3661">
        <v>-0.8094441</v>
      </c>
      <c r="S3661">
        <v>-2.2462620000000002</v>
      </c>
      <c r="T3661">
        <v>-0.59833610000000004</v>
      </c>
      <c r="U3661">
        <v>-2.098328</v>
      </c>
      <c r="V3661">
        <v>0.22305530000000001</v>
      </c>
      <c r="W3661">
        <v>3.6985369999999997E-2</v>
      </c>
      <c r="X3661">
        <v>0.97410390000000002</v>
      </c>
      <c r="Y3661">
        <v>0.39074189999999998</v>
      </c>
      <c r="Z3661">
        <v>0.1914911</v>
      </c>
      <c r="AA3661">
        <v>0.90036209999999905</v>
      </c>
      <c r="AB3661">
        <v>23</v>
      </c>
      <c r="AC3661">
        <v>-4.0699999999999896</v>
      </c>
      <c r="AD3661">
        <v>-1.1088123132900001</v>
      </c>
      <c r="AE3661">
        <v>-3.6762999999999901</v>
      </c>
      <c r="AF3661">
        <v>2.21509292387486</v>
      </c>
      <c r="AG3661">
        <v>-1.1088123132900001</v>
      </c>
      <c r="AH3661">
        <v>4.78094716199928</v>
      </c>
      <c r="AI3661">
        <v>101.88360345826599</v>
      </c>
      <c r="AJ3661">
        <v>65.140920237914202</v>
      </c>
      <c r="AK3661">
        <v>5.3845665724673699</v>
      </c>
      <c r="AL3661">
        <v>87.880410962651496</v>
      </c>
      <c r="AM3661">
        <v>77.102474469034107</v>
      </c>
      <c r="AN3661">
        <v>0.99999999622366798</v>
      </c>
    </row>
    <row r="3662" spans="1:40" x14ac:dyDescent="0.25">
      <c r="A3662" t="str">
        <f>"20190312151345815"</f>
        <v>20190312151345815</v>
      </c>
      <c r="B3662" t="str">
        <f>"1552374825804425"</f>
        <v>1552374825804425</v>
      </c>
      <c r="C3662" t="s">
        <v>40</v>
      </c>
      <c r="D3662">
        <v>4.6230029999999998</v>
      </c>
      <c r="E3662">
        <v>0.57181689999999996</v>
      </c>
      <c r="F3662" t="s">
        <v>58</v>
      </c>
      <c r="G3662">
        <v>-197.21250000000001</v>
      </c>
      <c r="H3662" s="1">
        <v>-1.327516E-5</v>
      </c>
      <c r="I3662">
        <v>153.81829999999999</v>
      </c>
      <c r="J3662">
        <v>-193.13579999999999</v>
      </c>
      <c r="K3662">
        <v>1.1087819999999999</v>
      </c>
      <c r="L3662">
        <v>157.47219999999999</v>
      </c>
      <c r="M3662">
        <v>-0.39379170000000002</v>
      </c>
      <c r="N3662">
        <v>0</v>
      </c>
      <c r="O3662">
        <v>-0.91909660000000004</v>
      </c>
      <c r="P3662">
        <v>-0.58800450000000004</v>
      </c>
      <c r="Q3662">
        <v>2.4046769999999999E-2</v>
      </c>
      <c r="R3662">
        <v>-0.80850080000000002</v>
      </c>
      <c r="S3662">
        <v>-2.2551730000000001</v>
      </c>
      <c r="T3662">
        <v>-0.59985299999999997</v>
      </c>
      <c r="U3662">
        <v>-2.0896910000000002</v>
      </c>
      <c r="V3662">
        <v>0.22220899999999999</v>
      </c>
      <c r="W3662">
        <v>3.6669920000000002E-2</v>
      </c>
      <c r="X3662">
        <v>0.97430930000000004</v>
      </c>
      <c r="Y3662">
        <v>0.39202599999999999</v>
      </c>
      <c r="Z3662">
        <v>0.19188450000000001</v>
      </c>
      <c r="AA3662">
        <v>0.89971999999999996</v>
      </c>
      <c r="AB3662">
        <v>23</v>
      </c>
      <c r="AC3662">
        <v>-4.0767000000000104</v>
      </c>
      <c r="AD3662">
        <v>-1.1087952751600001</v>
      </c>
      <c r="AE3662">
        <v>-3.6538999999999899</v>
      </c>
      <c r="AF3662">
        <v>2.2172691550412198</v>
      </c>
      <c r="AG3662">
        <v>-1.1087952751600001</v>
      </c>
      <c r="AH3662">
        <v>4.7685174652083298</v>
      </c>
      <c r="AI3662">
        <v>101.906165328678</v>
      </c>
      <c r="AJ3662">
        <v>65.062475972237493</v>
      </c>
      <c r="AK3662">
        <v>5.3744272517275</v>
      </c>
      <c r="AL3662">
        <v>87.898497335177595</v>
      </c>
      <c r="AM3662">
        <v>77.152400957006705</v>
      </c>
      <c r="AN3662">
        <v>1.0000000673901399</v>
      </c>
    </row>
    <row r="3663" spans="1:40" x14ac:dyDescent="0.25">
      <c r="A3663" t="str">
        <f>"20190312151345838"</f>
        <v>20190312151345838</v>
      </c>
      <c r="B3663" t="str">
        <f>"1552374825833706"</f>
        <v>1552374825833706</v>
      </c>
      <c r="C3663" t="s">
        <v>40</v>
      </c>
      <c r="D3663">
        <v>4.5934480000000004</v>
      </c>
      <c r="E3663">
        <v>0.57208780000000004</v>
      </c>
      <c r="F3663" t="s">
        <v>58</v>
      </c>
      <c r="G3663">
        <v>-197.39709999999999</v>
      </c>
      <c r="H3663" s="1">
        <v>-1.322316E-5</v>
      </c>
      <c r="I3663">
        <v>153.54660000000001</v>
      </c>
      <c r="J3663">
        <v>-193.22929999999999</v>
      </c>
      <c r="K3663">
        <v>1.1087739999999999</v>
      </c>
      <c r="L3663">
        <v>157.26140000000001</v>
      </c>
      <c r="M3663">
        <v>-0.39612219999999998</v>
      </c>
      <c r="N3663">
        <v>0</v>
      </c>
      <c r="O3663">
        <v>-0.91809450000000004</v>
      </c>
      <c r="P3663">
        <v>-0.58922609999999997</v>
      </c>
      <c r="Q3663">
        <v>2.424082E-2</v>
      </c>
      <c r="R3663">
        <v>-0.80760459999999901</v>
      </c>
      <c r="S3663">
        <v>-2.2614749999999999</v>
      </c>
      <c r="T3663">
        <v>-0.588445199999999</v>
      </c>
      <c r="U3663">
        <v>-2.0833590000000002</v>
      </c>
      <c r="V3663">
        <v>0.2212143</v>
      </c>
      <c r="W3663">
        <v>3.6855760000000001E-2</v>
      </c>
      <c r="X3663">
        <v>0.97452859999999997</v>
      </c>
      <c r="Y3663">
        <v>0.39285720000000002</v>
      </c>
      <c r="Z3663">
        <v>0.1882694</v>
      </c>
      <c r="AA3663">
        <v>0.90012099999999995</v>
      </c>
      <c r="AB3663">
        <v>23</v>
      </c>
      <c r="AC3663">
        <v>-4.1677999999999997</v>
      </c>
      <c r="AD3663">
        <v>-1.10878722316</v>
      </c>
      <c r="AE3663">
        <v>-3.7147999999999901</v>
      </c>
      <c r="AF3663">
        <v>2.2657768303408101</v>
      </c>
      <c r="AG3663">
        <v>-1.10878722316</v>
      </c>
      <c r="AH3663">
        <v>4.8698986572549403</v>
      </c>
      <c r="AI3663">
        <v>101.663865062884</v>
      </c>
      <c r="AJ3663">
        <v>65.049249830194896</v>
      </c>
      <c r="AK3663">
        <v>5.4844385932459501</v>
      </c>
      <c r="AL3663">
        <v>87.887842254965307</v>
      </c>
      <c r="AM3663">
        <v>77.210799879921893</v>
      </c>
      <c r="AN3663">
        <v>1.00000005289381</v>
      </c>
    </row>
    <row r="3664" spans="1:40" x14ac:dyDescent="0.25">
      <c r="A3664" t="str">
        <f>"20190312151345861"</f>
        <v>20190312151345861</v>
      </c>
      <c r="B3664" t="str">
        <f>"1552374825854200"</f>
        <v>1552374825854200</v>
      </c>
      <c r="C3664" t="s">
        <v>40</v>
      </c>
      <c r="D3664">
        <v>4.582891</v>
      </c>
      <c r="E3664">
        <v>0.5725536</v>
      </c>
      <c r="F3664" t="s">
        <v>58</v>
      </c>
      <c r="G3664">
        <v>-197.51050000000001</v>
      </c>
      <c r="H3664" s="1">
        <v>-1.318014E-5</v>
      </c>
      <c r="I3664">
        <v>153.3356</v>
      </c>
      <c r="J3664">
        <v>-193.3229</v>
      </c>
      <c r="K3664">
        <v>1.10877</v>
      </c>
      <c r="L3664">
        <v>157.05179999999999</v>
      </c>
      <c r="M3664">
        <v>-0.39845259999999999</v>
      </c>
      <c r="N3664">
        <v>0</v>
      </c>
      <c r="O3664">
        <v>-0.91708579999999995</v>
      </c>
      <c r="P3664">
        <v>-0.59041390000000005</v>
      </c>
      <c r="Q3664">
        <v>2.5408569999999998E-2</v>
      </c>
      <c r="R3664">
        <v>-0.8067008</v>
      </c>
      <c r="S3664">
        <v>-2.2667079999999999</v>
      </c>
      <c r="T3664">
        <v>-0.5870552</v>
      </c>
      <c r="U3664">
        <v>-2.0785369999999999</v>
      </c>
      <c r="V3664">
        <v>0.22019269999999999</v>
      </c>
      <c r="W3664">
        <v>3.8017950000000002E-2</v>
      </c>
      <c r="X3664">
        <v>0.9747152</v>
      </c>
      <c r="Y3664">
        <v>0.39268550000000002</v>
      </c>
      <c r="Z3664">
        <v>0.18770020000000001</v>
      </c>
      <c r="AA3664">
        <v>0.90031479999999997</v>
      </c>
      <c r="AB3664">
        <v>23</v>
      </c>
      <c r="AC3664">
        <v>-4.1875999999999998</v>
      </c>
      <c r="AD3664">
        <v>-1.1087831801399901</v>
      </c>
      <c r="AE3664">
        <v>-3.7161999999999802</v>
      </c>
      <c r="AF3664">
        <v>2.2708202444066701</v>
      </c>
      <c r="AG3664">
        <v>-1.1087831801399901</v>
      </c>
      <c r="AH3664">
        <v>4.8855043659887398</v>
      </c>
      <c r="AI3664">
        <v>101.629545170529</v>
      </c>
      <c r="AJ3664">
        <v>65.070630274711306</v>
      </c>
      <c r="AK3664">
        <v>5.5003797717124598</v>
      </c>
      <c r="AL3664">
        <v>87.821206748515493</v>
      </c>
      <c r="AM3664">
        <v>77.270290818286995</v>
      </c>
      <c r="AN3664">
        <v>0.99999995538326503</v>
      </c>
    </row>
    <row r="3665" spans="1:40" x14ac:dyDescent="0.25">
      <c r="A3665" t="str">
        <f>"20190312151345883"</f>
        <v>20190312151345883</v>
      </c>
      <c r="B3665" t="str">
        <f>"1552374825873724"</f>
        <v>1552374825873724</v>
      </c>
      <c r="C3665" t="s">
        <v>40</v>
      </c>
      <c r="D3665">
        <v>4.5902690000000002</v>
      </c>
      <c r="E3665">
        <v>0.57306899999999905</v>
      </c>
      <c r="F3665" t="s">
        <v>58</v>
      </c>
      <c r="G3665">
        <v>-197.64279999999999</v>
      </c>
      <c r="H3665" s="1">
        <v>-1.3135249999999999E-5</v>
      </c>
      <c r="I3665">
        <v>153.11060000000001</v>
      </c>
      <c r="J3665">
        <v>-193.4178</v>
      </c>
      <c r="K3665">
        <v>1.1087689999999999</v>
      </c>
      <c r="L3665">
        <v>156.8408</v>
      </c>
      <c r="M3665">
        <v>-0.40080539999999998</v>
      </c>
      <c r="N3665">
        <v>0</v>
      </c>
      <c r="O3665">
        <v>-0.91605990000000004</v>
      </c>
      <c r="P3665">
        <v>-0.59153619999999996</v>
      </c>
      <c r="Q3665">
        <v>2.6433970000000001E-2</v>
      </c>
      <c r="R3665">
        <v>-0.80584509999999998</v>
      </c>
      <c r="S3665">
        <v>-2.2729339999999998</v>
      </c>
      <c r="T3665">
        <v>-0.5833914</v>
      </c>
      <c r="U3665">
        <v>-2.073715</v>
      </c>
      <c r="V3665">
        <v>0.21906439999999999</v>
      </c>
      <c r="W3665">
        <v>3.904096E-2</v>
      </c>
      <c r="X3665">
        <v>0.97492900000000005</v>
      </c>
      <c r="Y3665">
        <v>0.3927949</v>
      </c>
      <c r="Z3665">
        <v>0.18639249999999999</v>
      </c>
      <c r="AA3665">
        <v>0.90053869999999903</v>
      </c>
      <c r="AB3665">
        <v>23</v>
      </c>
      <c r="AC3665">
        <v>-4.2249999999999899</v>
      </c>
      <c r="AD3665">
        <v>-1.10878213525</v>
      </c>
      <c r="AE3665">
        <v>-3.7301999999999902</v>
      </c>
      <c r="AF3665">
        <v>2.28698085612313</v>
      </c>
      <c r="AG3665">
        <v>-1.10878213525</v>
      </c>
      <c r="AH3665">
        <v>4.9205343296466904</v>
      </c>
      <c r="AI3665">
        <v>101.549080412417</v>
      </c>
      <c r="AJ3665">
        <v>65.071794534385006</v>
      </c>
      <c r="AK3665">
        <v>5.5381709389431899</v>
      </c>
      <c r="AL3665">
        <v>87.762549090915101</v>
      </c>
      <c r="AM3665">
        <v>77.336098117073405</v>
      </c>
      <c r="AN3665">
        <v>0.99999998147304003</v>
      </c>
    </row>
    <row r="3666" spans="1:40" x14ac:dyDescent="0.25">
      <c r="A3666" t="str">
        <f>"20190312151345905"</f>
        <v>20190312151345905</v>
      </c>
      <c r="B3666" t="str">
        <f>"1552374825894217"</f>
        <v>1552374825894217</v>
      </c>
      <c r="C3666" t="s">
        <v>40</v>
      </c>
      <c r="D3666">
        <v>4.5557109999999996</v>
      </c>
      <c r="E3666">
        <v>0.57298369999999998</v>
      </c>
      <c r="F3666" t="s">
        <v>58</v>
      </c>
      <c r="G3666">
        <v>-197.79769999999999</v>
      </c>
      <c r="H3666" s="1">
        <v>-1.308736E-5</v>
      </c>
      <c r="I3666">
        <v>152.8656</v>
      </c>
      <c r="J3666">
        <v>-193.51169999999999</v>
      </c>
      <c r="K3666">
        <v>1.10877</v>
      </c>
      <c r="L3666">
        <v>156.63329999999999</v>
      </c>
      <c r="M3666">
        <v>-0.4031168</v>
      </c>
      <c r="N3666">
        <v>0</v>
      </c>
      <c r="O3666">
        <v>-0.91504529999999995</v>
      </c>
      <c r="P3666">
        <v>-0.59233990000000003</v>
      </c>
      <c r="Q3666">
        <v>2.7221559999999999E-2</v>
      </c>
      <c r="R3666">
        <v>-0.80522869999999902</v>
      </c>
      <c r="S3666">
        <v>-2.2792659999999998</v>
      </c>
      <c r="T3666">
        <v>-0.57700600000000002</v>
      </c>
      <c r="U3666">
        <v>-2.0686490000000002</v>
      </c>
      <c r="V3666">
        <v>0.2175887</v>
      </c>
      <c r="W3666">
        <v>3.9831419999999999E-2</v>
      </c>
      <c r="X3666">
        <v>0.97522750000000002</v>
      </c>
      <c r="Y3666">
        <v>0.3931386</v>
      </c>
      <c r="Z3666">
        <v>0.18425730000000001</v>
      </c>
      <c r="AA3666">
        <v>0.90082810000000002</v>
      </c>
      <c r="AB3666">
        <v>23</v>
      </c>
      <c r="AC3666">
        <v>-4.2859999999999996</v>
      </c>
      <c r="AD3666">
        <v>-1.10878308736</v>
      </c>
      <c r="AE3666">
        <v>-3.7676999999999898</v>
      </c>
      <c r="AF3666">
        <v>2.3158602221004601</v>
      </c>
      <c r="AG3666">
        <v>-1.10878308736</v>
      </c>
      <c r="AH3666">
        <v>4.9875740353027904</v>
      </c>
      <c r="AI3666">
        <v>101.399883008714</v>
      </c>
      <c r="AJ3666">
        <v>65.093333094494795</v>
      </c>
      <c r="AK3666">
        <v>5.6096794258450604</v>
      </c>
      <c r="AL3666">
        <v>87.717223920204106</v>
      </c>
      <c r="AM3666">
        <v>77.422410603064193</v>
      </c>
      <c r="AN3666">
        <v>1.0000000305715699</v>
      </c>
    </row>
    <row r="3667" spans="1:40" x14ac:dyDescent="0.25">
      <c r="A3667" t="str">
        <f>"20190312151345928"</f>
        <v>20190312151345928</v>
      </c>
      <c r="B3667" t="str">
        <f>"1552374825924473"</f>
        <v>1552374825924473</v>
      </c>
      <c r="C3667" t="s">
        <v>40</v>
      </c>
      <c r="D3667">
        <v>4.6049389999999999</v>
      </c>
      <c r="E3667">
        <v>0.57199219999999995</v>
      </c>
      <c r="F3667" t="s">
        <v>58</v>
      </c>
      <c r="G3667">
        <v>-197.9348</v>
      </c>
      <c r="H3667" s="1">
        <v>-1.303869E-5</v>
      </c>
      <c r="I3667">
        <v>152.62389999999999</v>
      </c>
      <c r="J3667">
        <v>-193.6046</v>
      </c>
      <c r="K3667">
        <v>1.1087720000000001</v>
      </c>
      <c r="L3667">
        <v>156.4298</v>
      </c>
      <c r="M3667">
        <v>-0.40538360000000001</v>
      </c>
      <c r="N3667">
        <v>0</v>
      </c>
      <c r="O3667">
        <v>-0.91404319999999895</v>
      </c>
      <c r="P3667">
        <v>-0.59357850000000001</v>
      </c>
      <c r="Q3667">
        <v>2.7398100000000002E-2</v>
      </c>
      <c r="R3667">
        <v>-0.80430950000000001</v>
      </c>
      <c r="S3667">
        <v>-2.2806090000000001</v>
      </c>
      <c r="T3667">
        <v>-0.57170880000000002</v>
      </c>
      <c r="U3667">
        <v>-2.0673520000000001</v>
      </c>
      <c r="V3667">
        <v>0.21667539999999999</v>
      </c>
      <c r="W3667">
        <v>4.0008660000000001E-2</v>
      </c>
      <c r="X3667">
        <v>0.9754235</v>
      </c>
      <c r="Y3667">
        <v>0.39167099999999999</v>
      </c>
      <c r="Z3667">
        <v>0.18245020000000001</v>
      </c>
      <c r="AA3667">
        <v>0.90183469999999999</v>
      </c>
      <c r="AB3667">
        <v>23</v>
      </c>
      <c r="AC3667">
        <v>-4.3301999999999898</v>
      </c>
      <c r="AD3667">
        <v>-1.10878503868999</v>
      </c>
      <c r="AE3667">
        <v>-3.8058999999999998</v>
      </c>
      <c r="AF3667">
        <v>2.3292098110569999</v>
      </c>
      <c r="AG3667">
        <v>-1.10878503868999</v>
      </c>
      <c r="AH3667">
        <v>5.04791824140489</v>
      </c>
      <c r="AI3667">
        <v>101.27930014349801</v>
      </c>
      <c r="AJ3667">
        <v>65.230460943717006</v>
      </c>
      <c r="AK3667">
        <v>5.6688712437181996</v>
      </c>
      <c r="AL3667">
        <v>87.707060560421795</v>
      </c>
      <c r="AM3667">
        <v>77.475971416035605</v>
      </c>
      <c r="AN3667">
        <v>0.99999996309620198</v>
      </c>
    </row>
    <row r="3668" spans="1:40" x14ac:dyDescent="0.25">
      <c r="A3668" t="str">
        <f>"20190312151345948"</f>
        <v>20190312151345948</v>
      </c>
      <c r="B3668" t="str">
        <f>"1552374825943992"</f>
        <v>1552374825943992</v>
      </c>
      <c r="C3668" t="s">
        <v>40</v>
      </c>
      <c r="D3668">
        <v>4.5572109999999997</v>
      </c>
      <c r="E3668">
        <v>0.57267579999999996</v>
      </c>
      <c r="F3668" t="s">
        <v>58</v>
      </c>
      <c r="G3668">
        <v>-201.1885</v>
      </c>
      <c r="H3668" s="1">
        <v>-1.1880690000000001E-5</v>
      </c>
      <c r="I3668">
        <v>149.499</v>
      </c>
      <c r="J3668">
        <v>-193.69450000000001</v>
      </c>
      <c r="K3668">
        <v>1.1087750000000001</v>
      </c>
      <c r="L3668">
        <v>156.2338</v>
      </c>
      <c r="M3668">
        <v>-0.40756389999999998</v>
      </c>
      <c r="N3668">
        <v>0</v>
      </c>
      <c r="O3668">
        <v>-0.91307320000000003</v>
      </c>
      <c r="P3668">
        <v>-0.59490589999999999</v>
      </c>
      <c r="Q3668">
        <v>2.711701E-2</v>
      </c>
      <c r="R3668">
        <v>-0.80333829999999995</v>
      </c>
      <c r="S3668">
        <v>-2.2648160000000002</v>
      </c>
      <c r="T3668">
        <v>-0.33112249999999999</v>
      </c>
      <c r="U3668">
        <v>-2.0697779999999999</v>
      </c>
      <c r="V3668">
        <v>0.21595259999999999</v>
      </c>
      <c r="W3668">
        <v>3.9728020000000003E-2</v>
      </c>
      <c r="X3668">
        <v>0.97559530000000005</v>
      </c>
      <c r="Y3668">
        <v>0.3945555</v>
      </c>
      <c r="Z3668">
        <v>0.10706069999999999</v>
      </c>
      <c r="AA3668">
        <v>0.91261380000000003</v>
      </c>
      <c r="AB3668">
        <v>23</v>
      </c>
      <c r="AC3668">
        <v>-7.4939999999999998</v>
      </c>
      <c r="AD3668">
        <v>-1.1087868806899901</v>
      </c>
      <c r="AE3668">
        <v>-6.7347999999999999</v>
      </c>
      <c r="AF3668">
        <v>4.0490611418447502</v>
      </c>
      <c r="AG3668">
        <v>-1.1087868806899901</v>
      </c>
      <c r="AH3668">
        <v>9.0943833918204202</v>
      </c>
      <c r="AI3668">
        <v>96.355382181114294</v>
      </c>
      <c r="AJ3668">
        <v>66.000101053085103</v>
      </c>
      <c r="AK3668">
        <v>10.0165919231346</v>
      </c>
      <c r="AL3668">
        <v>87.723152961632096</v>
      </c>
      <c r="AM3668">
        <v>77.518567546741906</v>
      </c>
      <c r="AN3668">
        <v>1.00000001520098</v>
      </c>
    </row>
    <row r="3669" spans="1:40" x14ac:dyDescent="0.25">
      <c r="A3669" t="str">
        <f>"20190312151345971"</f>
        <v>20190312151345971</v>
      </c>
      <c r="B3669" t="str">
        <f>"1552374825964489"</f>
        <v>1552374825964489</v>
      </c>
      <c r="C3669" t="s">
        <v>40</v>
      </c>
      <c r="D3669">
        <v>4.5444110000000002</v>
      </c>
      <c r="E3669">
        <v>0.57339560000000001</v>
      </c>
      <c r="F3669" t="s">
        <v>58</v>
      </c>
      <c r="G3669">
        <v>-201.3338</v>
      </c>
      <c r="H3669" s="1">
        <v>-1.175682E-5</v>
      </c>
      <c r="I3669">
        <v>149.29920000000001</v>
      </c>
      <c r="J3669">
        <v>-193.7903</v>
      </c>
      <c r="K3669">
        <v>1.1087750000000001</v>
      </c>
      <c r="L3669">
        <v>156.02670000000001</v>
      </c>
      <c r="M3669">
        <v>-0.40987449999999997</v>
      </c>
      <c r="N3669">
        <v>0</v>
      </c>
      <c r="O3669">
        <v>-0.91203849999999997</v>
      </c>
      <c r="P3669">
        <v>-0.59695799999999999</v>
      </c>
      <c r="Q3669">
        <v>2.749826E-2</v>
      </c>
      <c r="R3669">
        <v>-0.8018014</v>
      </c>
      <c r="S3669">
        <v>-2.272354</v>
      </c>
      <c r="T3669">
        <v>-0.32981779999999999</v>
      </c>
      <c r="U3669">
        <v>-2.0627749999999998</v>
      </c>
      <c r="V3669">
        <v>0.21598400000000001</v>
      </c>
      <c r="W3669">
        <v>4.0104430000000003E-2</v>
      </c>
      <c r="X3669">
        <v>0.97557289999999997</v>
      </c>
      <c r="Y3669">
        <v>0.39532089999999998</v>
      </c>
      <c r="Z3669">
        <v>0.1065736</v>
      </c>
      <c r="AA3669">
        <v>0.91233960000000003</v>
      </c>
      <c r="AB3669">
        <v>23</v>
      </c>
      <c r="AC3669">
        <v>-7.5434999999999901</v>
      </c>
      <c r="AD3669">
        <v>-1.1087867568200001</v>
      </c>
      <c r="AE3669">
        <v>-6.7274999999999903</v>
      </c>
      <c r="AF3669">
        <v>4.0738965734959596</v>
      </c>
      <c r="AG3669">
        <v>-1.1087867568200001</v>
      </c>
      <c r="AH3669">
        <v>9.1187652965392498</v>
      </c>
      <c r="AI3669">
        <v>96.334942336668504</v>
      </c>
      <c r="AJ3669">
        <v>65.926834466297706</v>
      </c>
      <c r="AK3669">
        <v>10.0487771344084</v>
      </c>
      <c r="AL3669">
        <v>87.701568948084301</v>
      </c>
      <c r="AM3669">
        <v>77.516531962978107</v>
      </c>
      <c r="AN3669">
        <v>0.99999996838801597</v>
      </c>
    </row>
    <row r="3670" spans="1:40" x14ac:dyDescent="0.25">
      <c r="A3670" t="str">
        <f>"20190312151345994"</f>
        <v>20190312151345994</v>
      </c>
      <c r="B3670" t="str">
        <f>"1552374825984009"</f>
        <v>1552374825984009</v>
      </c>
      <c r="C3670" t="s">
        <v>40</v>
      </c>
      <c r="D3670">
        <v>4.5371300000000003</v>
      </c>
      <c r="E3670">
        <v>0.57416460000000002</v>
      </c>
      <c r="F3670" t="s">
        <v>58</v>
      </c>
      <c r="G3670">
        <v>-201.34110000000001</v>
      </c>
      <c r="H3670" s="1">
        <v>-1.173407E-5</v>
      </c>
      <c r="I3670">
        <v>149.2336</v>
      </c>
      <c r="J3670">
        <v>-193.88919999999999</v>
      </c>
      <c r="K3670">
        <v>1.108765</v>
      </c>
      <c r="L3670">
        <v>155.81399999999999</v>
      </c>
      <c r="M3670">
        <v>-0.41226930000000001</v>
      </c>
      <c r="N3670">
        <v>0</v>
      </c>
      <c r="O3670">
        <v>-0.91095839999999995</v>
      </c>
      <c r="P3670">
        <v>-0.59969410000000001</v>
      </c>
      <c r="Q3670">
        <v>2.771057E-2</v>
      </c>
      <c r="R3670">
        <v>-0.79974969999999901</v>
      </c>
      <c r="S3670">
        <v>-2.2826390000000001</v>
      </c>
      <c r="T3670">
        <v>-0.33519080000000001</v>
      </c>
      <c r="U3670">
        <v>-2.053604</v>
      </c>
      <c r="V3670">
        <v>0.21675920000000001</v>
      </c>
      <c r="W3670">
        <v>4.0302629999999999E-2</v>
      </c>
      <c r="X3670">
        <v>0.97539279999999995</v>
      </c>
      <c r="Y3670">
        <v>0.39683819999999997</v>
      </c>
      <c r="Z3670">
        <v>0.10821649999999999</v>
      </c>
      <c r="AA3670">
        <v>0.91148700000000005</v>
      </c>
      <c r="AB3670">
        <v>23</v>
      </c>
      <c r="AC3670">
        <v>-7.4519000000000197</v>
      </c>
      <c r="AD3670">
        <v>-1.1087767340700001</v>
      </c>
      <c r="AE3670">
        <v>-6.5803999999999903</v>
      </c>
      <c r="AF3670">
        <v>4.0257817627493004</v>
      </c>
      <c r="AG3670">
        <v>-1.1087767340700001</v>
      </c>
      <c r="AH3670">
        <v>8.9561105035813906</v>
      </c>
      <c r="AI3670">
        <v>96.442435781760594</v>
      </c>
      <c r="AJ3670">
        <v>65.796029041034899</v>
      </c>
      <c r="AK3670">
        <v>9.8817113902228897</v>
      </c>
      <c r="AL3670">
        <v>87.690203770555598</v>
      </c>
      <c r="AM3670">
        <v>77.470898723212997</v>
      </c>
      <c r="AN3670">
        <v>0.99999998353069797</v>
      </c>
    </row>
    <row r="3671" spans="1:40" x14ac:dyDescent="0.25">
      <c r="A3671" t="str">
        <f>"20190312151346017"</f>
        <v>20190312151346017</v>
      </c>
      <c r="B3671" t="str">
        <f>"1552374826014265"</f>
        <v>1552374826014265</v>
      </c>
      <c r="C3671" t="s">
        <v>40</v>
      </c>
      <c r="D3671">
        <v>4.533677</v>
      </c>
      <c r="E3671">
        <v>0.57569409999999999</v>
      </c>
      <c r="F3671" t="s">
        <v>58</v>
      </c>
      <c r="G3671">
        <v>-201.44659999999999</v>
      </c>
      <c r="H3671" s="1">
        <v>-1.1644290000000001E-5</v>
      </c>
      <c r="I3671">
        <v>149.0891</v>
      </c>
      <c r="J3671">
        <v>-193.98269999999999</v>
      </c>
      <c r="K3671">
        <v>1.108749</v>
      </c>
      <c r="L3671">
        <v>155.61449999999999</v>
      </c>
      <c r="M3671">
        <v>-0.4145509</v>
      </c>
      <c r="N3671">
        <v>0</v>
      </c>
      <c r="O3671">
        <v>-0.90992240000000002</v>
      </c>
      <c r="P3671">
        <v>-0.60239140000000002</v>
      </c>
      <c r="Q3671">
        <v>2.8413899999999999E-2</v>
      </c>
      <c r="R3671">
        <v>-0.7976953</v>
      </c>
      <c r="S3671">
        <v>-2.2948300000000001</v>
      </c>
      <c r="T3671">
        <v>-0.33668480000000001</v>
      </c>
      <c r="U3671">
        <v>-2.0420379999999998</v>
      </c>
      <c r="V3671">
        <v>0.21762409999999999</v>
      </c>
      <c r="W3671">
        <v>4.0985849999999997E-2</v>
      </c>
      <c r="X3671">
        <v>0.97517169999999997</v>
      </c>
      <c r="Y3671">
        <v>0.39947100000000002</v>
      </c>
      <c r="Z3671">
        <v>0.10865329999999999</v>
      </c>
      <c r="AA3671">
        <v>0.91028430000000005</v>
      </c>
      <c r="AB3671">
        <v>23</v>
      </c>
      <c r="AC3671">
        <v>-7.46389999999999</v>
      </c>
      <c r="AD3671">
        <v>-1.10876064429</v>
      </c>
      <c r="AE3671">
        <v>-6.5253999999999897</v>
      </c>
      <c r="AF3671">
        <v>4.0363611673389599</v>
      </c>
      <c r="AG3671">
        <v>-1.10876064429</v>
      </c>
      <c r="AH3671">
        <v>8.9210485206854493</v>
      </c>
      <c r="AI3671">
        <v>96.460357290246804</v>
      </c>
      <c r="AJ3671">
        <v>65.655451417624107</v>
      </c>
      <c r="AK3671">
        <v>9.8542715787597501</v>
      </c>
      <c r="AL3671">
        <v>87.651025733463797</v>
      </c>
      <c r="AM3671">
        <v>77.419732550208394</v>
      </c>
      <c r="AN3671">
        <v>0.99999996664096003</v>
      </c>
    </row>
    <row r="3672" spans="1:40" x14ac:dyDescent="0.25">
      <c r="A3672" t="str">
        <f>"20190312151346038"</f>
        <v>20190312151346038</v>
      </c>
      <c r="B3672" t="str">
        <f>"1552374826033786"</f>
        <v>1552374826033786</v>
      </c>
      <c r="C3672" t="s">
        <v>40</v>
      </c>
      <c r="D3672">
        <v>4.5233379999999999</v>
      </c>
      <c r="E3672">
        <v>0.57594529999999999</v>
      </c>
      <c r="F3672" t="s">
        <v>58</v>
      </c>
      <c r="G3672">
        <v>-201.488</v>
      </c>
      <c r="H3672" s="1">
        <v>-1.1609880000000001E-5</v>
      </c>
      <c r="I3672">
        <v>149.0351</v>
      </c>
      <c r="J3672">
        <v>-194.0779</v>
      </c>
      <c r="K3672">
        <v>1.108717</v>
      </c>
      <c r="L3672">
        <v>155.41290000000001</v>
      </c>
      <c r="M3672">
        <v>-0.41691240000000002</v>
      </c>
      <c r="N3672">
        <v>0</v>
      </c>
      <c r="O3672">
        <v>-0.9088427</v>
      </c>
      <c r="P3672">
        <v>-0.60607580000000005</v>
      </c>
      <c r="Q3672">
        <v>2.9335239999999999E-2</v>
      </c>
      <c r="R3672">
        <v>-0.79486619999999997</v>
      </c>
      <c r="S3672">
        <v>-2.3121489999999998</v>
      </c>
      <c r="T3672">
        <v>-0.34157720000000003</v>
      </c>
      <c r="U3672">
        <v>-2.0269469999999998</v>
      </c>
      <c r="V3672">
        <v>0.2196255</v>
      </c>
      <c r="W3672">
        <v>4.1871529999999997E-2</v>
      </c>
      <c r="X3672">
        <v>0.97468529999999998</v>
      </c>
      <c r="Y3672">
        <v>0.40370080000000003</v>
      </c>
      <c r="Z3672">
        <v>0.1101573</v>
      </c>
      <c r="AA3672">
        <v>0.90823509999999996</v>
      </c>
      <c r="AB3672">
        <v>22</v>
      </c>
      <c r="AC3672">
        <v>-7.4100999999999999</v>
      </c>
      <c r="AD3672">
        <v>-1.10872860988</v>
      </c>
      <c r="AE3672">
        <v>-6.3777999999999997</v>
      </c>
      <c r="AF3672">
        <v>4.0242627010319199</v>
      </c>
      <c r="AG3672">
        <v>-1.10872860988</v>
      </c>
      <c r="AH3672">
        <v>8.7737844300147501</v>
      </c>
      <c r="AI3672">
        <v>96.552415823855</v>
      </c>
      <c r="AJ3672">
        <v>65.360544937104507</v>
      </c>
      <c r="AK3672">
        <v>9.7161341407811204</v>
      </c>
      <c r="AL3672">
        <v>87.600236502875703</v>
      </c>
      <c r="AM3672">
        <v>77.301640192955603</v>
      </c>
      <c r="AN3672">
        <v>1.00000000965544</v>
      </c>
    </row>
    <row r="3673" spans="1:40" x14ac:dyDescent="0.25">
      <c r="A3673" t="str">
        <f>"20190312151346061"</f>
        <v>20190312151346061</v>
      </c>
      <c r="B3673" t="str">
        <f>"1552374826054281"</f>
        <v>1552374826054281</v>
      </c>
      <c r="C3673" t="s">
        <v>40</v>
      </c>
      <c r="D3673">
        <v>4.5466569999999997</v>
      </c>
      <c r="E3673">
        <v>0.57610760000000005</v>
      </c>
      <c r="F3673" t="s">
        <v>58</v>
      </c>
      <c r="G3673">
        <v>-201.42500000000001</v>
      </c>
      <c r="H3673" s="1">
        <v>-1.1639839999999999E-5</v>
      </c>
      <c r="I3673">
        <v>149.042</v>
      </c>
      <c r="J3673">
        <v>-194.17349999999999</v>
      </c>
      <c r="K3673">
        <v>1.108671</v>
      </c>
      <c r="L3673">
        <v>155.21190000000001</v>
      </c>
      <c r="M3673">
        <v>-0.41933779999999998</v>
      </c>
      <c r="N3673">
        <v>0</v>
      </c>
      <c r="O3673">
        <v>-0.90772629999999999</v>
      </c>
      <c r="P3673">
        <v>-0.60979740000000004</v>
      </c>
      <c r="Q3673">
        <v>3.0511610000000002E-2</v>
      </c>
      <c r="R3673">
        <v>-0.79197010000000001</v>
      </c>
      <c r="S3673">
        <v>-2.323944</v>
      </c>
      <c r="T3673">
        <v>-0.35069840000000002</v>
      </c>
      <c r="U3673">
        <v>-2.0151669999999999</v>
      </c>
      <c r="V3673">
        <v>0.22162370000000001</v>
      </c>
      <c r="W3673">
        <v>4.3004430000000003E-2</v>
      </c>
      <c r="X3673">
        <v>0.97418360000000004</v>
      </c>
      <c r="Y3673">
        <v>0.40590850000000001</v>
      </c>
      <c r="Z3673">
        <v>0.1130179</v>
      </c>
      <c r="AA3673">
        <v>0.90689869999999995</v>
      </c>
      <c r="AB3673">
        <v>22</v>
      </c>
      <c r="AC3673">
        <v>-7.2515000000000196</v>
      </c>
      <c r="AD3673">
        <v>-1.10868263984</v>
      </c>
      <c r="AE3673">
        <v>-6.1699000000000099</v>
      </c>
      <c r="AF3673">
        <v>3.9420309036690999</v>
      </c>
      <c r="AG3673">
        <v>-1.10868263984</v>
      </c>
      <c r="AH3673">
        <v>8.5266093912676695</v>
      </c>
      <c r="AI3673">
        <v>96.731101077993898</v>
      </c>
      <c r="AJ3673">
        <v>65.187906163048595</v>
      </c>
      <c r="AK3673">
        <v>9.45895620841004</v>
      </c>
      <c r="AL3673">
        <v>87.5352677199472</v>
      </c>
      <c r="AM3673">
        <v>77.183523969423305</v>
      </c>
      <c r="AN3673">
        <v>1.00000006595513</v>
      </c>
    </row>
    <row r="3674" spans="1:40" x14ac:dyDescent="0.25">
      <c r="A3674" t="str">
        <f>"20190312151346083"</f>
        <v>20190312151346083</v>
      </c>
      <c r="B3674" t="str">
        <f>"1552374826073801"</f>
        <v>1552374826073801</v>
      </c>
      <c r="C3674" t="s">
        <v>40</v>
      </c>
      <c r="D3674">
        <v>4.5135860000000001</v>
      </c>
      <c r="E3674">
        <v>0.57579230000000003</v>
      </c>
      <c r="F3674" t="s">
        <v>58</v>
      </c>
      <c r="G3674">
        <v>-201.52780000000001</v>
      </c>
      <c r="H3674" s="1">
        <v>-1.155172E-5</v>
      </c>
      <c r="I3674">
        <v>148.899</v>
      </c>
      <c r="J3674">
        <v>-194.27350000000001</v>
      </c>
      <c r="K3674">
        <v>1.1086149999999999</v>
      </c>
      <c r="L3674">
        <v>155.0033</v>
      </c>
      <c r="M3674">
        <v>-0.42194739999999997</v>
      </c>
      <c r="N3674">
        <v>0</v>
      </c>
      <c r="O3674">
        <v>-0.90651610000000005</v>
      </c>
      <c r="P3674">
        <v>-0.61386879999999999</v>
      </c>
      <c r="Q3674">
        <v>3.0974310000000001E-2</v>
      </c>
      <c r="R3674">
        <v>-0.78880019999999995</v>
      </c>
      <c r="S3674">
        <v>-2.3346100000000001</v>
      </c>
      <c r="T3674">
        <v>-0.3519467</v>
      </c>
      <c r="U3674">
        <v>-2.0039980000000002</v>
      </c>
      <c r="V3674">
        <v>0.22385620000000001</v>
      </c>
      <c r="W3674">
        <v>4.3415080000000002E-2</v>
      </c>
      <c r="X3674">
        <v>0.97365469999999998</v>
      </c>
      <c r="Y3674">
        <v>0.40779500000000002</v>
      </c>
      <c r="Z3674">
        <v>0.11336590000000001</v>
      </c>
      <c r="AA3674">
        <v>0.90600849999999999</v>
      </c>
      <c r="AB3674">
        <v>22</v>
      </c>
      <c r="AC3674">
        <v>-7.2542999999999997</v>
      </c>
      <c r="AD3674">
        <v>-1.10862655171999</v>
      </c>
      <c r="AE3674">
        <v>-6.1042999999999896</v>
      </c>
      <c r="AF3674">
        <v>3.9468578273379902</v>
      </c>
      <c r="AG3674">
        <v>-1.10862655171999</v>
      </c>
      <c r="AH3674">
        <v>8.4794496523205396</v>
      </c>
      <c r="AI3674">
        <v>96.759817742470304</v>
      </c>
      <c r="AJ3674">
        <v>65.039832509291102</v>
      </c>
      <c r="AK3674">
        <v>9.4184821466431998</v>
      </c>
      <c r="AL3674">
        <v>87.511716977759804</v>
      </c>
      <c r="AM3674">
        <v>77.051951591246095</v>
      </c>
      <c r="AN3674">
        <v>0.99999997114096695</v>
      </c>
    </row>
    <row r="3675" spans="1:40" x14ac:dyDescent="0.25">
      <c r="A3675" t="str">
        <f>"20190312151346107"</f>
        <v>20190312151346107</v>
      </c>
      <c r="B3675" t="str">
        <f>"1552374826104057"</f>
        <v>1552374826104057</v>
      </c>
      <c r="C3675" t="s">
        <v>40</v>
      </c>
      <c r="D3675">
        <v>4.5472849999999996</v>
      </c>
      <c r="E3675">
        <v>0.57615859999999997</v>
      </c>
      <c r="F3675" t="s">
        <v>58</v>
      </c>
      <c r="G3675">
        <v>-201.58</v>
      </c>
      <c r="H3675" s="1">
        <v>-1.1494929999999999E-5</v>
      </c>
      <c r="I3675">
        <v>148.7859</v>
      </c>
      <c r="J3675">
        <v>-194.3742</v>
      </c>
      <c r="K3675">
        <v>1.108541</v>
      </c>
      <c r="L3675">
        <v>154.7953</v>
      </c>
      <c r="M3675">
        <v>-0.42466769999999998</v>
      </c>
      <c r="N3675">
        <v>0</v>
      </c>
      <c r="O3675">
        <v>-0.90524510000000002</v>
      </c>
      <c r="P3675">
        <v>-0.61810779999999999</v>
      </c>
      <c r="Q3675">
        <v>3.121119E-2</v>
      </c>
      <c r="R3675">
        <v>-0.78547369999999905</v>
      </c>
      <c r="S3675">
        <v>-2.3430330000000001</v>
      </c>
      <c r="T3675">
        <v>-0.35551240000000001</v>
      </c>
      <c r="U3675">
        <v>-1.99379</v>
      </c>
      <c r="V3675">
        <v>0.22618930000000001</v>
      </c>
      <c r="W3675">
        <v>4.3593720000000002E-2</v>
      </c>
      <c r="X3675">
        <v>0.97310739999999996</v>
      </c>
      <c r="Y3675">
        <v>0.40884779999999998</v>
      </c>
      <c r="Z3675">
        <v>0.1144614</v>
      </c>
      <c r="AA3675">
        <v>0.90539610000000004</v>
      </c>
      <c r="AB3675">
        <v>22</v>
      </c>
      <c r="AC3675">
        <v>-7.2058000000000098</v>
      </c>
      <c r="AD3675">
        <v>-1.1085524949299901</v>
      </c>
      <c r="AE3675">
        <v>-6.0093999999999896</v>
      </c>
      <c r="AF3675">
        <v>3.9167187508432302</v>
      </c>
      <c r="AG3675">
        <v>-1.1085524949299901</v>
      </c>
      <c r="AH3675">
        <v>8.3838236661249894</v>
      </c>
      <c r="AI3675">
        <v>96.831298103428907</v>
      </c>
      <c r="AJ3675">
        <v>64.959161111924203</v>
      </c>
      <c r="AK3675">
        <v>9.3197678979629099</v>
      </c>
      <c r="AL3675">
        <v>87.501472061670697</v>
      </c>
      <c r="AM3675">
        <v>76.914516635865695</v>
      </c>
      <c r="AN3675">
        <v>1.0000000118963399</v>
      </c>
    </row>
    <row r="3676" spans="1:40" x14ac:dyDescent="0.25">
      <c r="A3676" t="str">
        <f>"20190312151346129"</f>
        <v>20190312151346129</v>
      </c>
      <c r="B3676" t="str">
        <f>"1552374826123577"</f>
        <v>1552374826123577</v>
      </c>
      <c r="C3676" t="s">
        <v>40</v>
      </c>
      <c r="D3676">
        <v>4.5688829999999996</v>
      </c>
      <c r="E3676">
        <v>0.57649479999999997</v>
      </c>
      <c r="F3676" t="s">
        <v>58</v>
      </c>
      <c r="G3676">
        <v>-201.6575</v>
      </c>
      <c r="H3676" s="1">
        <v>-1.1427899999999999E-5</v>
      </c>
      <c r="I3676">
        <v>148.67619999999999</v>
      </c>
      <c r="J3676">
        <v>-194.47319999999999</v>
      </c>
      <c r="K3676">
        <v>1.108466</v>
      </c>
      <c r="L3676">
        <v>154.5926</v>
      </c>
      <c r="M3676">
        <v>-0.4274461</v>
      </c>
      <c r="N3676">
        <v>0</v>
      </c>
      <c r="O3676">
        <v>-0.90393650000000003</v>
      </c>
      <c r="P3676">
        <v>-0.62226300000000001</v>
      </c>
      <c r="Q3676">
        <v>3.125795E-2</v>
      </c>
      <c r="R3676">
        <v>-0.78218409999999905</v>
      </c>
      <c r="S3676">
        <v>-2.3561550000000002</v>
      </c>
      <c r="T3676">
        <v>-0.35861530000000003</v>
      </c>
      <c r="U3676">
        <v>-1.9795229999999999</v>
      </c>
      <c r="V3676">
        <v>0.22836899999999999</v>
      </c>
      <c r="W3676">
        <v>4.3581809999999999E-2</v>
      </c>
      <c r="X3676">
        <v>0.97259870000000004</v>
      </c>
      <c r="Y3676">
        <v>0.41165289999999999</v>
      </c>
      <c r="Z3676">
        <v>0.1154178</v>
      </c>
      <c r="AA3676">
        <v>0.90400259999999999</v>
      </c>
      <c r="AB3676">
        <v>22</v>
      </c>
      <c r="AC3676">
        <v>-7.1843000000000004</v>
      </c>
      <c r="AD3676">
        <v>-1.1084774279</v>
      </c>
      <c r="AE3676">
        <v>-5.9164000000000003</v>
      </c>
      <c r="AF3676">
        <v>3.9101158407691599</v>
      </c>
      <c r="AG3676">
        <v>-1.1084774279</v>
      </c>
      <c r="AH3676">
        <v>8.3019770911189408</v>
      </c>
      <c r="AI3676">
        <v>96.887536763379003</v>
      </c>
      <c r="AJ3676">
        <v>64.780216067113798</v>
      </c>
      <c r="AK3676">
        <v>9.2434058505434802</v>
      </c>
      <c r="AL3676">
        <v>87.502155080779701</v>
      </c>
      <c r="AM3676">
        <v>76.786150996048505</v>
      </c>
      <c r="AN3676">
        <v>1.00000000278278</v>
      </c>
    </row>
    <row r="3677" spans="1:40" x14ac:dyDescent="0.25">
      <c r="A3677" t="str">
        <f>"20190312151346149"</f>
        <v>20190312151346149</v>
      </c>
      <c r="B3677" t="str">
        <f>"1552374826144073"</f>
        <v>1552374826144073</v>
      </c>
      <c r="C3677" t="s">
        <v>40</v>
      </c>
      <c r="D3677">
        <v>4.5428290000000002</v>
      </c>
      <c r="E3677">
        <v>0.5770113</v>
      </c>
      <c r="F3677" t="s">
        <v>58</v>
      </c>
      <c r="G3677">
        <v>-201.72669999999999</v>
      </c>
      <c r="H3677" s="1">
        <v>-1.136712E-5</v>
      </c>
      <c r="I3677">
        <v>148.57499999999999</v>
      </c>
      <c r="J3677">
        <v>-194.56569999999999</v>
      </c>
      <c r="K3677">
        <v>1.108401</v>
      </c>
      <c r="L3677">
        <v>154.405</v>
      </c>
      <c r="M3677">
        <v>-0.43011050000000001</v>
      </c>
      <c r="N3677">
        <v>0</v>
      </c>
      <c r="O3677">
        <v>-0.90267160000000002</v>
      </c>
      <c r="P3677">
        <v>-0.62609179999999998</v>
      </c>
      <c r="Q3677">
        <v>3.1533159999999998E-2</v>
      </c>
      <c r="R3677">
        <v>-0.77911149999999996</v>
      </c>
      <c r="S3677">
        <v>-2.3689119999999999</v>
      </c>
      <c r="T3677">
        <v>-0.36201539999999999</v>
      </c>
      <c r="U3677">
        <v>-1.965271</v>
      </c>
      <c r="V3677">
        <v>0.2302843</v>
      </c>
      <c r="W3677">
        <v>4.3805230000000001E-2</v>
      </c>
      <c r="X3677">
        <v>0.97213689999999997</v>
      </c>
      <c r="Y3677">
        <v>0.41447719999999999</v>
      </c>
      <c r="Z3677">
        <v>0.1164775</v>
      </c>
      <c r="AA3677">
        <v>0.90257500000000002</v>
      </c>
      <c r="AB3677">
        <v>22</v>
      </c>
      <c r="AC3677">
        <v>-7.1609999999999996</v>
      </c>
      <c r="AD3677">
        <v>-1.1084123671199999</v>
      </c>
      <c r="AE3677">
        <v>-5.8300000000000098</v>
      </c>
      <c r="AF3677">
        <v>3.9006591046043901</v>
      </c>
      <c r="AG3677">
        <v>-1.1084123671199999</v>
      </c>
      <c r="AH3677">
        <v>8.2248785146870098</v>
      </c>
      <c r="AI3677">
        <v>96.9423893945701</v>
      </c>
      <c r="AJ3677">
        <v>64.627293703236404</v>
      </c>
      <c r="AK3677">
        <v>9.1701878937826393</v>
      </c>
      <c r="AL3677">
        <v>87.4893416999697</v>
      </c>
      <c r="AM3677">
        <v>76.673161120073303</v>
      </c>
      <c r="AN3677">
        <v>0.99999995467172498</v>
      </c>
    </row>
    <row r="3678" spans="1:40" x14ac:dyDescent="0.25">
      <c r="A3678" t="str">
        <f>"20190312151346173"</f>
        <v>20190312151346173</v>
      </c>
      <c r="B3678" t="str">
        <f>"1552374826163596"</f>
        <v>1552374826163596</v>
      </c>
      <c r="C3678" t="s">
        <v>40</v>
      </c>
      <c r="D3678">
        <v>4.5170000000000003</v>
      </c>
      <c r="E3678">
        <v>0.57737709999999998</v>
      </c>
      <c r="F3678" t="s">
        <v>58</v>
      </c>
      <c r="G3678">
        <v>-201.82429999999999</v>
      </c>
      <c r="H3678" s="1">
        <v>-1.1289039999999999E-5</v>
      </c>
      <c r="I3678">
        <v>148.458</v>
      </c>
      <c r="J3678">
        <v>-194.66650000000001</v>
      </c>
      <c r="K3678">
        <v>1.108336</v>
      </c>
      <c r="L3678">
        <v>154.20230000000001</v>
      </c>
      <c r="M3678">
        <v>-0.43309409999999998</v>
      </c>
      <c r="N3678">
        <v>0</v>
      </c>
      <c r="O3678">
        <v>-0.90124389999999999</v>
      </c>
      <c r="P3678">
        <v>-0.63008209999999998</v>
      </c>
      <c r="Q3678">
        <v>3.1841139999999997E-2</v>
      </c>
      <c r="R3678">
        <v>-0.77587539999999999</v>
      </c>
      <c r="S3678">
        <v>-2.3816989999999998</v>
      </c>
      <c r="T3678">
        <v>-0.36369259999999998</v>
      </c>
      <c r="U3678">
        <v>-1.9513240000000001</v>
      </c>
      <c r="V3678">
        <v>0.23207259999999999</v>
      </c>
      <c r="W3678">
        <v>4.4061999999999997E-2</v>
      </c>
      <c r="X3678">
        <v>0.97170000000000001</v>
      </c>
      <c r="Y3678">
        <v>0.41696060000000001</v>
      </c>
      <c r="Z3678">
        <v>0.1169565</v>
      </c>
      <c r="AA3678">
        <v>0.90136839999999996</v>
      </c>
      <c r="AB3678">
        <v>22</v>
      </c>
      <c r="AC3678">
        <v>-7.1577999999999804</v>
      </c>
      <c r="AD3678">
        <v>-1.1083472890399999</v>
      </c>
      <c r="AE3678">
        <v>-5.7443000000000097</v>
      </c>
      <c r="AF3678">
        <v>3.9065027937202901</v>
      </c>
      <c r="AG3678">
        <v>-1.1083472890399999</v>
      </c>
      <c r="AH3678">
        <v>8.1588094833285005</v>
      </c>
      <c r="AI3678">
        <v>96.985396557797799</v>
      </c>
      <c r="AJ3678">
        <v>64.414530210086596</v>
      </c>
      <c r="AK3678">
        <v>9.1134718947126796</v>
      </c>
      <c r="AL3678">
        <v>87.474615810249205</v>
      </c>
      <c r="AM3678">
        <v>76.567585547980897</v>
      </c>
      <c r="AN3678">
        <v>1.00000002075738</v>
      </c>
    </row>
    <row r="3679" spans="1:40" x14ac:dyDescent="0.25">
      <c r="A3679" t="str">
        <f>"20190312151346194"</f>
        <v>20190312151346194</v>
      </c>
      <c r="B3679" t="str">
        <f>"1552374826184089"</f>
        <v>1552374826184089</v>
      </c>
      <c r="C3679" t="s">
        <v>40</v>
      </c>
      <c r="D3679">
        <v>4.5655489999999999</v>
      </c>
      <c r="E3679">
        <v>0.57758279999999995</v>
      </c>
      <c r="F3679" t="s">
        <v>58</v>
      </c>
      <c r="G3679">
        <v>-201.93430000000001</v>
      </c>
      <c r="H3679" s="1">
        <v>-1.11994E-5</v>
      </c>
      <c r="I3679">
        <v>148.32060000000001</v>
      </c>
      <c r="J3679">
        <v>-194.76429999999999</v>
      </c>
      <c r="K3679">
        <v>1.108279</v>
      </c>
      <c r="L3679">
        <v>154.00739999999999</v>
      </c>
      <c r="M3679">
        <v>-0.43606929999999999</v>
      </c>
      <c r="N3679">
        <v>0</v>
      </c>
      <c r="O3679">
        <v>-0.89980819999999995</v>
      </c>
      <c r="P3679">
        <v>-0.63419569999999903</v>
      </c>
      <c r="Q3679">
        <v>3.270965E-2</v>
      </c>
      <c r="R3679">
        <v>-0.77248019999999995</v>
      </c>
      <c r="S3679">
        <v>-2.3939970000000002</v>
      </c>
      <c r="T3679">
        <v>-0.3650891</v>
      </c>
      <c r="U3679">
        <v>-1.9374389999999999</v>
      </c>
      <c r="V3679">
        <v>0.23405319999999999</v>
      </c>
      <c r="W3679">
        <v>4.4878960000000002E-2</v>
      </c>
      <c r="X3679">
        <v>0.97118740000000003</v>
      </c>
      <c r="Y3679">
        <v>0.41934460000000001</v>
      </c>
      <c r="Z3679">
        <v>0.11735130000000001</v>
      </c>
      <c r="AA3679">
        <v>0.90021039999999997</v>
      </c>
      <c r="AB3679">
        <v>22</v>
      </c>
      <c r="AC3679">
        <v>-7.1700000000000097</v>
      </c>
      <c r="AD3679">
        <v>-1.1082901994000001</v>
      </c>
      <c r="AE3679">
        <v>-5.6867999999999697</v>
      </c>
      <c r="AF3679">
        <v>3.9147448284106501</v>
      </c>
      <c r="AG3679">
        <v>-1.1082901994000001</v>
      </c>
      <c r="AH3679">
        <v>8.1252544740237909</v>
      </c>
      <c r="AI3679">
        <v>97.005497050020494</v>
      </c>
      <c r="AJ3679">
        <v>64.275248723863001</v>
      </c>
      <c r="AK3679">
        <v>9.0869848962842301</v>
      </c>
      <c r="AL3679">
        <v>87.427761026811993</v>
      </c>
      <c r="AM3679">
        <v>76.450268974180503</v>
      </c>
      <c r="AN3679">
        <v>0.99999999369984005</v>
      </c>
    </row>
    <row r="3680" spans="1:40" x14ac:dyDescent="0.25">
      <c r="A3680" t="str">
        <f>"20190312151346221"</f>
        <v>20190312151346221</v>
      </c>
      <c r="B3680" t="str">
        <f>"1552374826214345"</f>
        <v>1552374826214345</v>
      </c>
      <c r="C3680" t="s">
        <v>40</v>
      </c>
      <c r="D3680">
        <v>4.4891430000000003</v>
      </c>
      <c r="E3680">
        <v>0.57782080000000002</v>
      </c>
      <c r="F3680" t="s">
        <v>58</v>
      </c>
      <c r="G3680">
        <v>-202.03960000000001</v>
      </c>
      <c r="H3680" s="1">
        <v>-1.111297E-5</v>
      </c>
      <c r="I3680">
        <v>148.18700000000001</v>
      </c>
      <c r="J3680">
        <v>-194.88460000000001</v>
      </c>
      <c r="K3680">
        <v>1.108204</v>
      </c>
      <c r="L3680">
        <v>153.77029999999999</v>
      </c>
      <c r="M3680">
        <v>-0.43983040000000001</v>
      </c>
      <c r="N3680">
        <v>0</v>
      </c>
      <c r="O3680">
        <v>-0.89797549999999904</v>
      </c>
      <c r="P3680">
        <v>-0.63900040000000002</v>
      </c>
      <c r="Q3680">
        <v>3.3477180000000002E-2</v>
      </c>
      <c r="R3680">
        <v>-0.76847769999999904</v>
      </c>
      <c r="S3680">
        <v>-2.405319</v>
      </c>
      <c r="T3680">
        <v>-0.36642010000000003</v>
      </c>
      <c r="U3680">
        <v>-1.9243319999999999</v>
      </c>
      <c r="V3680">
        <v>0.2360738</v>
      </c>
      <c r="W3680">
        <v>4.5584439999999997E-2</v>
      </c>
      <c r="X3680">
        <v>0.97066529999999995</v>
      </c>
      <c r="Y3680">
        <v>0.42057480000000003</v>
      </c>
      <c r="Z3680">
        <v>0.1176715</v>
      </c>
      <c r="AA3680">
        <v>0.89959449999999996</v>
      </c>
      <c r="AB3680">
        <v>22</v>
      </c>
      <c r="AC3680">
        <v>-7.1550000000000002</v>
      </c>
      <c r="AD3680">
        <v>-1.10821511297</v>
      </c>
      <c r="AE3680">
        <v>-5.5832999999999799</v>
      </c>
      <c r="AF3680">
        <v>3.9113646453339501</v>
      </c>
      <c r="AG3680">
        <v>-1.10821511297</v>
      </c>
      <c r="AH3680">
        <v>8.04152184506016</v>
      </c>
      <c r="AI3680">
        <v>97.064613930756295</v>
      </c>
      <c r="AJ3680">
        <v>64.061893587778698</v>
      </c>
      <c r="AK3680">
        <v>9.0107151608495197</v>
      </c>
      <c r="AL3680">
        <v>87.387298478874399</v>
      </c>
      <c r="AM3680">
        <v>76.330586345383907</v>
      </c>
      <c r="AN3680">
        <v>0.99999995242032003</v>
      </c>
    </row>
    <row r="3681" spans="1:40" x14ac:dyDescent="0.25">
      <c r="A3681" t="str">
        <f>"20190312151346239"</f>
        <v>20190312151346239</v>
      </c>
      <c r="B3681" t="str">
        <f>"1552374826233865"</f>
        <v>1552374826233865</v>
      </c>
      <c r="C3681" t="s">
        <v>40</v>
      </c>
      <c r="D3681">
        <v>4.5367949999999997</v>
      </c>
      <c r="E3681">
        <v>0.57782389999999995</v>
      </c>
      <c r="F3681" t="s">
        <v>58</v>
      </c>
      <c r="G3681">
        <v>-202.22499999999999</v>
      </c>
      <c r="H3681" s="1">
        <v>-1.096893E-5</v>
      </c>
      <c r="I3681">
        <v>147.97919999999999</v>
      </c>
      <c r="J3681">
        <v>-194.9692</v>
      </c>
      <c r="K3681">
        <v>1.1081490000000001</v>
      </c>
      <c r="L3681">
        <v>153.60550000000001</v>
      </c>
      <c r="M3681">
        <v>-0.44253989999999999</v>
      </c>
      <c r="N3681">
        <v>0</v>
      </c>
      <c r="O3681">
        <v>-0.89664349999999904</v>
      </c>
      <c r="P3681">
        <v>-0.64292569999999905</v>
      </c>
      <c r="Q3681">
        <v>3.4078450000000003E-2</v>
      </c>
      <c r="R3681">
        <v>-0.76517029999999997</v>
      </c>
      <c r="S3681">
        <v>-2.41893</v>
      </c>
      <c r="T3681">
        <v>-0.36519960000000001</v>
      </c>
      <c r="U3681">
        <v>-1.908371</v>
      </c>
      <c r="V3681">
        <v>0.2381337</v>
      </c>
      <c r="W3681">
        <v>4.6135089999999997E-2</v>
      </c>
      <c r="X3681">
        <v>0.970136</v>
      </c>
      <c r="Y3681">
        <v>0.42399730000000002</v>
      </c>
      <c r="Z3681">
        <v>0.1172754</v>
      </c>
      <c r="AA3681">
        <v>0.89803829999999996</v>
      </c>
      <c r="AB3681">
        <v>22</v>
      </c>
      <c r="AC3681">
        <v>-7.25579999999999</v>
      </c>
      <c r="AD3681">
        <v>-1.1081599689299999</v>
      </c>
      <c r="AE3681">
        <v>-5.6263000000000103</v>
      </c>
      <c r="AF3681">
        <v>3.9587166796451401</v>
      </c>
      <c r="AG3681">
        <v>-1.1081599689299999</v>
      </c>
      <c r="AH3681">
        <v>8.1380005044990895</v>
      </c>
      <c r="AI3681">
        <v>96.981206065182107</v>
      </c>
      <c r="AJ3681">
        <v>64.0594727832014</v>
      </c>
      <c r="AK3681">
        <v>9.1173739902269606</v>
      </c>
      <c r="AL3681">
        <v>87.355715405356804</v>
      </c>
      <c r="AM3681">
        <v>76.208608984408201</v>
      </c>
      <c r="AN3681">
        <v>0.999999982050498</v>
      </c>
    </row>
    <row r="3682" spans="1:40" x14ac:dyDescent="0.25">
      <c r="A3682" t="str">
        <f>"20190312151346263"</f>
        <v>20190312151346263</v>
      </c>
      <c r="B3682" t="str">
        <f>"1552374826254162"</f>
        <v>1552374826254162</v>
      </c>
      <c r="C3682" t="s">
        <v>40</v>
      </c>
      <c r="D3682">
        <v>4.5742349999999998</v>
      </c>
      <c r="E3682">
        <v>0.57801159999999996</v>
      </c>
      <c r="F3682" t="s">
        <v>58</v>
      </c>
      <c r="G3682">
        <v>-202.37870000000001</v>
      </c>
      <c r="H3682" s="1">
        <v>-1.0852680000000001E-5</v>
      </c>
      <c r="I3682">
        <v>147.8175</v>
      </c>
      <c r="J3682">
        <v>-195.0763</v>
      </c>
      <c r="K3682">
        <v>1.108077</v>
      </c>
      <c r="L3682">
        <v>153.39869999999999</v>
      </c>
      <c r="M3682">
        <v>-0.44604159999999998</v>
      </c>
      <c r="N3682">
        <v>0</v>
      </c>
      <c r="O3682">
        <v>-0.89490639999999999</v>
      </c>
      <c r="P3682">
        <v>-0.64774089999999995</v>
      </c>
      <c r="Q3682">
        <v>3.4297269999999998E-2</v>
      </c>
      <c r="R3682">
        <v>-0.7610884</v>
      </c>
      <c r="S3682">
        <v>-2.42807</v>
      </c>
      <c r="T3682">
        <v>-0.36314180000000001</v>
      </c>
      <c r="U3682">
        <v>-1.896698</v>
      </c>
      <c r="V3682">
        <v>0.24047779999999999</v>
      </c>
      <c r="W3682">
        <v>4.6290369999999997E-2</v>
      </c>
      <c r="X3682">
        <v>0.96955020000000003</v>
      </c>
      <c r="Y3682">
        <v>0.42485410000000001</v>
      </c>
      <c r="Z3682">
        <v>0.1165385</v>
      </c>
      <c r="AA3682">
        <v>0.89772919999999901</v>
      </c>
      <c r="AB3682">
        <v>22</v>
      </c>
      <c r="AC3682">
        <v>-7.3023999999999996</v>
      </c>
      <c r="AD3682">
        <v>-1.10808785268</v>
      </c>
      <c r="AE3682">
        <v>-5.5811999999999902</v>
      </c>
      <c r="AF3682">
        <v>3.9879349038491898</v>
      </c>
      <c r="AG3682">
        <v>-1.10808785268</v>
      </c>
      <c r="AH3682">
        <v>8.1343727121476892</v>
      </c>
      <c r="AI3682">
        <v>96.973460946029206</v>
      </c>
      <c r="AJ3682">
        <v>63.883263254609297</v>
      </c>
      <c r="AK3682">
        <v>9.1268561348762702</v>
      </c>
      <c r="AL3682">
        <v>87.346808996970694</v>
      </c>
      <c r="AM3682">
        <v>76.070024099983996</v>
      </c>
      <c r="AN3682">
        <v>0.999999980483808</v>
      </c>
    </row>
    <row r="3683" spans="1:40" x14ac:dyDescent="0.25">
      <c r="A3683" t="str">
        <f>"20190312151346285"</f>
        <v>20190312151346285</v>
      </c>
      <c r="B3683" t="str">
        <f>"1552374826273686"</f>
        <v>1552374826273686</v>
      </c>
      <c r="C3683" t="s">
        <v>40</v>
      </c>
      <c r="D3683">
        <v>4.5674400000000004</v>
      </c>
      <c r="E3683">
        <v>0.57826239999999995</v>
      </c>
      <c r="F3683" t="s">
        <v>58</v>
      </c>
      <c r="G3683">
        <v>-202.51050000000001</v>
      </c>
      <c r="H3683" s="1">
        <v>-1.075043E-5</v>
      </c>
      <c r="I3683">
        <v>147.6703</v>
      </c>
      <c r="J3683">
        <v>-195.17830000000001</v>
      </c>
      <c r="K3683">
        <v>1.107999</v>
      </c>
      <c r="L3683">
        <v>153.2037</v>
      </c>
      <c r="M3683">
        <v>-0.44945819999999997</v>
      </c>
      <c r="N3683">
        <v>0</v>
      </c>
      <c r="O3683">
        <v>-0.89319550000000003</v>
      </c>
      <c r="P3683">
        <v>-0.65348619999999902</v>
      </c>
      <c r="Q3683">
        <v>3.423789E-2</v>
      </c>
      <c r="R3683">
        <v>-0.75616399999999995</v>
      </c>
      <c r="S3683">
        <v>-2.440842</v>
      </c>
      <c r="T3683">
        <v>-0.36381400000000003</v>
      </c>
      <c r="U3683">
        <v>-1.880768</v>
      </c>
      <c r="V3683">
        <v>0.2441229</v>
      </c>
      <c r="W3683">
        <v>4.6156519999999999E-2</v>
      </c>
      <c r="X3683">
        <v>0.96864519999999998</v>
      </c>
      <c r="Y3683">
        <v>0.42732720000000002</v>
      </c>
      <c r="Z3683">
        <v>0.11670609999999999</v>
      </c>
      <c r="AA3683">
        <v>0.89653280000000002</v>
      </c>
      <c r="AB3683">
        <v>22</v>
      </c>
      <c r="AC3683">
        <v>-7.3322000000000003</v>
      </c>
      <c r="AD3683">
        <v>-1.1080097504299999</v>
      </c>
      <c r="AE3683">
        <v>-5.5334000000000003</v>
      </c>
      <c r="AF3683">
        <v>4.0041812107327397</v>
      </c>
      <c r="AG3683">
        <v>-1.1080097504299999</v>
      </c>
      <c r="AH3683">
        <v>8.1205541583628005</v>
      </c>
      <c r="AI3683">
        <v>96.976964285745794</v>
      </c>
      <c r="AJ3683">
        <v>63.752457111031198</v>
      </c>
      <c r="AK3683">
        <v>9.1216529540613696</v>
      </c>
      <c r="AL3683">
        <v>87.354486212992995</v>
      </c>
      <c r="AM3683">
        <v>75.854604455776496</v>
      </c>
      <c r="AN3683">
        <v>0.99999996906297905</v>
      </c>
    </row>
    <row r="3684" spans="1:40" x14ac:dyDescent="0.25">
      <c r="A3684" t="str">
        <f>"20190312151346325"</f>
        <v>20190312151346325</v>
      </c>
      <c r="B3684" t="str">
        <f>"1552374826313698"</f>
        <v>1552374826313698</v>
      </c>
      <c r="C3684" t="s">
        <v>40</v>
      </c>
      <c r="D3684">
        <v>4.5198479999999996</v>
      </c>
      <c r="E3684">
        <v>0.5799704</v>
      </c>
      <c r="F3684" t="s">
        <v>58</v>
      </c>
      <c r="G3684">
        <v>-202.58439999999999</v>
      </c>
      <c r="H3684" s="1">
        <v>-1.0693700000000001E-5</v>
      </c>
      <c r="I3684">
        <v>147.5899</v>
      </c>
      <c r="J3684">
        <v>-195.36269999999999</v>
      </c>
      <c r="K3684">
        <v>1.1078680000000001</v>
      </c>
      <c r="L3684">
        <v>152.8571</v>
      </c>
      <c r="M3684">
        <v>-0.45583190000000001</v>
      </c>
      <c r="N3684">
        <v>0</v>
      </c>
      <c r="O3684">
        <v>-0.88995930000000001</v>
      </c>
      <c r="P3684">
        <v>-0.66318390000000005</v>
      </c>
      <c r="Q3684">
        <v>3.4803750000000001E-2</v>
      </c>
      <c r="R3684">
        <v>-0.7476467</v>
      </c>
      <c r="S3684">
        <v>-2.4559169999999999</v>
      </c>
      <c r="T3684">
        <v>-0.36742439999999998</v>
      </c>
      <c r="U3684">
        <v>-1.861588</v>
      </c>
      <c r="V3684">
        <v>0.24972059999999999</v>
      </c>
      <c r="W3684">
        <v>4.6596640000000002E-2</v>
      </c>
      <c r="X3684">
        <v>0.96719619999999995</v>
      </c>
      <c r="Y3684">
        <v>0.42786659999999999</v>
      </c>
      <c r="Z3684">
        <v>0.1176446</v>
      </c>
      <c r="AA3684">
        <v>0.89615290000000003</v>
      </c>
      <c r="AB3684">
        <v>22</v>
      </c>
      <c r="AC3684">
        <v>-7.2216999999999896</v>
      </c>
      <c r="AD3684">
        <v>-1.1078786937</v>
      </c>
      <c r="AE3684">
        <v>-5.2671999999999999</v>
      </c>
      <c r="AF3684">
        <v>3.9655235278530401</v>
      </c>
      <c r="AG3684">
        <v>-1.1078786937</v>
      </c>
      <c r="AH3684">
        <v>7.8594916923131404</v>
      </c>
      <c r="AI3684">
        <v>97.172907629925803</v>
      </c>
      <c r="AJ3684">
        <v>63.226673234210097</v>
      </c>
      <c r="AK3684">
        <v>8.8726761302016293</v>
      </c>
      <c r="AL3684">
        <v>87.329242266803107</v>
      </c>
      <c r="AM3684">
        <v>75.522953489906101</v>
      </c>
      <c r="AN3684">
        <v>1.0000000571090399</v>
      </c>
    </row>
    <row r="3685" spans="1:40" x14ac:dyDescent="0.25">
      <c r="A3685" t="str">
        <f>"20190312151346342"</f>
        <v>20190312151346342</v>
      </c>
      <c r="B3685" t="str">
        <f>"1552374826334194"</f>
        <v>1552374826334194</v>
      </c>
      <c r="C3685" t="s">
        <v>40</v>
      </c>
      <c r="D3685">
        <v>4.5396749999999999</v>
      </c>
      <c r="E3685">
        <v>0.64355340000000005</v>
      </c>
      <c r="F3685" t="s">
        <v>58</v>
      </c>
      <c r="G3685">
        <v>-203.0258</v>
      </c>
      <c r="H3685" s="1">
        <v>-1.0396930000000001E-5</v>
      </c>
      <c r="I3685">
        <v>147.25030000000001</v>
      </c>
      <c r="J3685">
        <v>-195.4409</v>
      </c>
      <c r="K3685">
        <v>1.1078209999999999</v>
      </c>
      <c r="L3685">
        <v>152.7122</v>
      </c>
      <c r="M3685">
        <v>-0.45860250000000002</v>
      </c>
      <c r="N3685">
        <v>0</v>
      </c>
      <c r="O3685">
        <v>-0.88853490000000002</v>
      </c>
      <c r="P3685">
        <v>-0.66844590000000004</v>
      </c>
      <c r="Q3685">
        <v>3.5022240000000003E-2</v>
      </c>
      <c r="R3685">
        <v>-0.74293629999999999</v>
      </c>
      <c r="S3685">
        <v>-2.4892270000000001</v>
      </c>
      <c r="T3685">
        <v>-0.35987209999999997</v>
      </c>
      <c r="U3685">
        <v>-1.821259</v>
      </c>
      <c r="V3685">
        <v>0.25354729999999998</v>
      </c>
      <c r="W3685">
        <v>4.6750970000000003E-2</v>
      </c>
      <c r="X3685">
        <v>0.96619259999999996</v>
      </c>
      <c r="Y3685">
        <v>0.44043199999999999</v>
      </c>
      <c r="Z3685">
        <v>0.11545800000000001</v>
      </c>
      <c r="AA3685">
        <v>0.89033090000000004</v>
      </c>
      <c r="AB3685">
        <v>22</v>
      </c>
      <c r="AC3685">
        <v>-7.5849000000000002</v>
      </c>
      <c r="AD3685">
        <v>-1.10783139693</v>
      </c>
      <c r="AE3685">
        <v>-5.4618999999999804</v>
      </c>
      <c r="AF3685">
        <v>4.1763387262561498</v>
      </c>
      <c r="AG3685">
        <v>-1.10783139693</v>
      </c>
      <c r="AH3685">
        <v>8.2168999678553494</v>
      </c>
      <c r="AI3685">
        <v>96.853504810670898</v>
      </c>
      <c r="AJ3685">
        <v>63.0574955505232</v>
      </c>
      <c r="AK3685">
        <v>9.2836706448576702</v>
      </c>
      <c r="AL3685">
        <v>87.320390045313005</v>
      </c>
      <c r="AM3685">
        <v>75.296037741385405</v>
      </c>
      <c r="AN3685">
        <v>1.0000000134139899</v>
      </c>
    </row>
    <row r="3686" spans="1:40" x14ac:dyDescent="0.25">
      <c r="A3686" t="str">
        <f>"20190312151346363"</f>
        <v>20190312151346363</v>
      </c>
      <c r="B3686" t="str">
        <f>"1552374826353714"</f>
        <v>1552374826353714</v>
      </c>
      <c r="C3686" t="s">
        <v>40</v>
      </c>
      <c r="D3686">
        <v>4.6663100000000002</v>
      </c>
      <c r="E3686">
        <v>0.64362730000000001</v>
      </c>
      <c r="F3686" t="s">
        <v>58</v>
      </c>
      <c r="G3686">
        <v>-208.16210000000001</v>
      </c>
      <c r="H3686" s="1">
        <v>-7.9299929999999995E-6</v>
      </c>
      <c r="I3686">
        <v>146.23310000000001</v>
      </c>
      <c r="J3686">
        <v>-195.54230000000001</v>
      </c>
      <c r="K3686">
        <v>1.107761</v>
      </c>
      <c r="L3686">
        <v>152.52600000000001</v>
      </c>
      <c r="M3686">
        <v>-0.46225189999999999</v>
      </c>
      <c r="N3686">
        <v>0</v>
      </c>
      <c r="O3686">
        <v>-0.88664149999999997</v>
      </c>
      <c r="P3686">
        <v>-0.67396559999999905</v>
      </c>
      <c r="Q3686">
        <v>3.492162E-2</v>
      </c>
      <c r="R3686">
        <v>-0.737936699999999</v>
      </c>
      <c r="S3686">
        <v>-2.8741460000000001</v>
      </c>
      <c r="T3686">
        <v>-0.25029489999999999</v>
      </c>
      <c r="U3686">
        <v>-1.4638370000000001</v>
      </c>
      <c r="V3686">
        <v>0.25678260000000003</v>
      </c>
      <c r="W3686">
        <v>4.6582350000000002E-2</v>
      </c>
      <c r="X3686">
        <v>0.96534589999999998</v>
      </c>
      <c r="Y3686">
        <v>0.57724489999999995</v>
      </c>
      <c r="Z3686">
        <v>8.0024910000000005E-2</v>
      </c>
      <c r="AA3686">
        <v>0.81264029999999998</v>
      </c>
      <c r="AB3686">
        <v>22</v>
      </c>
      <c r="AC3686">
        <v>-12.6197999999999</v>
      </c>
      <c r="AD3686">
        <v>-1.107768929993</v>
      </c>
      <c r="AE3686">
        <v>-6.2929000000000004</v>
      </c>
      <c r="AF3686">
        <v>8.2303314445018199</v>
      </c>
      <c r="AG3686">
        <v>-1.107768929993</v>
      </c>
      <c r="AH3686">
        <v>11.3441533530812</v>
      </c>
      <c r="AI3686">
        <v>94.519266697043093</v>
      </c>
      <c r="AJ3686">
        <v>54.038624437587103</v>
      </c>
      <c r="AK3686">
        <v>14.058994380354401</v>
      </c>
      <c r="AL3686">
        <v>87.330061661556599</v>
      </c>
      <c r="AM3686">
        <v>75.104217273401403</v>
      </c>
      <c r="AN3686">
        <v>0.99999996282054504</v>
      </c>
    </row>
    <row r="3687" spans="1:40" x14ac:dyDescent="0.25">
      <c r="A3687" t="str">
        <f>"20190312151346385"</f>
        <v>20190312151346385</v>
      </c>
      <c r="B3687" t="str">
        <f>"1552374826374210"</f>
        <v>1552374826374210</v>
      </c>
      <c r="C3687" t="s">
        <v>40</v>
      </c>
      <c r="D3687">
        <v>4.6754340000000001</v>
      </c>
      <c r="E3687">
        <v>0.64365790000000001</v>
      </c>
      <c r="F3687" t="s">
        <v>58</v>
      </c>
      <c r="G3687">
        <v>-206.32679999999999</v>
      </c>
      <c r="H3687" s="1">
        <v>-8.9835589999999993E-6</v>
      </c>
      <c r="I3687">
        <v>147.14109999999999</v>
      </c>
      <c r="J3687">
        <v>-195.65049999999999</v>
      </c>
      <c r="K3687">
        <v>1.107688</v>
      </c>
      <c r="L3687">
        <v>152.32939999999999</v>
      </c>
      <c r="M3687">
        <v>-0.46622910000000001</v>
      </c>
      <c r="N3687">
        <v>0</v>
      </c>
      <c r="O3687">
        <v>-0.88455680000000003</v>
      </c>
      <c r="P3687">
        <v>-0.67963019999999996</v>
      </c>
      <c r="Q3687">
        <v>3.5745409999999998E-2</v>
      </c>
      <c r="R3687">
        <v>-0.73268359999999899</v>
      </c>
      <c r="S3687">
        <v>-2.887848</v>
      </c>
      <c r="T3687">
        <v>-0.29663489999999998</v>
      </c>
      <c r="U3687">
        <v>-1.44194</v>
      </c>
      <c r="V3687">
        <v>0.25991619999999999</v>
      </c>
      <c r="W3687">
        <v>4.7333020000000003E-2</v>
      </c>
      <c r="X3687">
        <v>0.96447039999999995</v>
      </c>
      <c r="Y3687">
        <v>0.57881280000000002</v>
      </c>
      <c r="Z3687">
        <v>9.4655160000000002E-2</v>
      </c>
      <c r="AA3687">
        <v>0.80994820000000001</v>
      </c>
      <c r="AB3687">
        <v>22</v>
      </c>
      <c r="AC3687">
        <v>-10.6762999999999</v>
      </c>
      <c r="AD3687">
        <v>-1.107696983559</v>
      </c>
      <c r="AE3687">
        <v>-5.1882999999999901</v>
      </c>
      <c r="AF3687">
        <v>6.9648726356438804</v>
      </c>
      <c r="AG3687">
        <v>-1.107696983559</v>
      </c>
      <c r="AH3687">
        <v>9.4852563922055406</v>
      </c>
      <c r="AI3687">
        <v>95.377408323304195</v>
      </c>
      <c r="AJ3687">
        <v>53.710755127125601</v>
      </c>
      <c r="AK3687">
        <v>11.8197517852111</v>
      </c>
      <c r="AL3687">
        <v>87.287004036879196</v>
      </c>
      <c r="AM3687">
        <v>74.917604392803298</v>
      </c>
      <c r="AN3687">
        <v>0.99999999914046001</v>
      </c>
    </row>
    <row r="3688" spans="1:40" x14ac:dyDescent="0.25">
      <c r="A3688" t="str">
        <f>"20190312151346408"</f>
        <v>20190312151346408</v>
      </c>
      <c r="B3688" t="str">
        <f>"1552374826404466"</f>
        <v>1552374826404466</v>
      </c>
      <c r="C3688" t="s">
        <v>40</v>
      </c>
      <c r="D3688">
        <v>4.6809659999999997</v>
      </c>
      <c r="E3688">
        <v>0.642764</v>
      </c>
      <c r="F3688" t="s">
        <v>58</v>
      </c>
      <c r="G3688">
        <v>-205.4144</v>
      </c>
      <c r="H3688" s="1">
        <v>-9.496346E-6</v>
      </c>
      <c r="I3688">
        <v>147.55090000000001</v>
      </c>
      <c r="J3688">
        <v>-195.75620000000001</v>
      </c>
      <c r="K3688">
        <v>1.1076170000000001</v>
      </c>
      <c r="L3688">
        <v>152.14009999999999</v>
      </c>
      <c r="M3688">
        <v>-0.47019899999999998</v>
      </c>
      <c r="N3688">
        <v>0</v>
      </c>
      <c r="O3688">
        <v>-0.88245280000000004</v>
      </c>
      <c r="P3688">
        <v>-0.68482690000000002</v>
      </c>
      <c r="Q3688">
        <v>3.667165E-2</v>
      </c>
      <c r="R3688">
        <v>-0.72778269999999901</v>
      </c>
      <c r="S3688">
        <v>-2.9008940000000001</v>
      </c>
      <c r="T3688">
        <v>-0.32910309999999998</v>
      </c>
      <c r="U3688">
        <v>-1.4197390000000001</v>
      </c>
      <c r="V3688">
        <v>0.26248349999999998</v>
      </c>
      <c r="W3688">
        <v>4.8187969999999997E-2</v>
      </c>
      <c r="X3688">
        <v>0.96373249999999999</v>
      </c>
      <c r="Y3688">
        <v>0.58059780000000005</v>
      </c>
      <c r="Z3688">
        <v>0.1048531</v>
      </c>
      <c r="AA3688">
        <v>0.80741070000000004</v>
      </c>
      <c r="AB3688">
        <v>22</v>
      </c>
      <c r="AC3688">
        <v>-9.6581999999999901</v>
      </c>
      <c r="AD3688">
        <v>-1.1076264963460001</v>
      </c>
      <c r="AE3688">
        <v>-4.5891999999999697</v>
      </c>
      <c r="AF3688">
        <v>6.2980971129365804</v>
      </c>
      <c r="AG3688">
        <v>-1.1076264963460001</v>
      </c>
      <c r="AH3688">
        <v>8.5006362438665199</v>
      </c>
      <c r="AI3688">
        <v>95.976811391873596</v>
      </c>
      <c r="AJ3688">
        <v>53.465358761715997</v>
      </c>
      <c r="AK3688">
        <v>10.637371867614901</v>
      </c>
      <c r="AL3688">
        <v>87.237963045933697</v>
      </c>
      <c r="AM3688">
        <v>74.764396611866403</v>
      </c>
      <c r="AN3688">
        <v>0.99999999989060995</v>
      </c>
    </row>
    <row r="3689" spans="1:40" x14ac:dyDescent="0.25">
      <c r="A3689" t="str">
        <f>"20190312151346430"</f>
        <v>20190312151346430</v>
      </c>
      <c r="B3689" t="str">
        <f>"1552374826423986"</f>
        <v>1552374826423986</v>
      </c>
      <c r="C3689" t="s">
        <v>40</v>
      </c>
      <c r="D3689">
        <v>4.7085379999999999</v>
      </c>
      <c r="E3689">
        <v>0.64218750000000002</v>
      </c>
      <c r="F3689" t="s">
        <v>58</v>
      </c>
      <c r="G3689">
        <v>-205.10720000000001</v>
      </c>
      <c r="H3689" s="1">
        <v>-9.651543E-6</v>
      </c>
      <c r="I3689">
        <v>147.62270000000001</v>
      </c>
      <c r="J3689">
        <v>-195.86590000000001</v>
      </c>
      <c r="K3689">
        <v>1.1075489999999999</v>
      </c>
      <c r="L3689">
        <v>151.94579999999999</v>
      </c>
      <c r="M3689">
        <v>-0.47438160000000001</v>
      </c>
      <c r="N3689">
        <v>0</v>
      </c>
      <c r="O3689">
        <v>-0.88021119999999997</v>
      </c>
      <c r="P3689">
        <v>-0.69018480000000004</v>
      </c>
      <c r="Q3689">
        <v>3.7616610000000002E-2</v>
      </c>
      <c r="R3689">
        <v>-0.72265489999999999</v>
      </c>
      <c r="S3689">
        <v>-2.9067989999999999</v>
      </c>
      <c r="T3689">
        <v>-0.34431030000000001</v>
      </c>
      <c r="U3689">
        <v>-1.404236</v>
      </c>
      <c r="V3689">
        <v>0.2650691</v>
      </c>
      <c r="W3689">
        <v>4.9062399999999999E-2</v>
      </c>
      <c r="X3689">
        <v>0.96298039999999996</v>
      </c>
      <c r="Y3689">
        <v>0.58037099999999997</v>
      </c>
      <c r="Z3689">
        <v>0.1096056</v>
      </c>
      <c r="AA3689">
        <v>0.80694239999999995</v>
      </c>
      <c r="AB3689">
        <v>22</v>
      </c>
      <c r="AC3689">
        <v>-9.2412999999999901</v>
      </c>
      <c r="AD3689">
        <v>-1.10755865154299</v>
      </c>
      <c r="AE3689">
        <v>-4.3230999999999797</v>
      </c>
      <c r="AF3689">
        <v>6.0132114175295497</v>
      </c>
      <c r="AG3689">
        <v>-1.10755865154299</v>
      </c>
      <c r="AH3689">
        <v>8.0945310238996697</v>
      </c>
      <c r="AI3689">
        <v>96.268070696743294</v>
      </c>
      <c r="AJ3689">
        <v>53.3923266253124</v>
      </c>
      <c r="AK3689">
        <v>10.144300380774901</v>
      </c>
      <c r="AL3689">
        <v>87.187802557806506</v>
      </c>
      <c r="AM3689">
        <v>74.609949082295202</v>
      </c>
      <c r="AN3689">
        <v>0.99999999882636403</v>
      </c>
    </row>
    <row r="3690" spans="1:40" x14ac:dyDescent="0.25">
      <c r="A3690" t="str">
        <f>"20190312151346452"</f>
        <v>20190312151346452</v>
      </c>
      <c r="B3690" t="str">
        <f>"1552374826444482"</f>
        <v>1552374826444482</v>
      </c>
      <c r="C3690" t="s">
        <v>40</v>
      </c>
      <c r="D3690">
        <v>4.6503459999999999</v>
      </c>
      <c r="E3690">
        <v>0.64172390000000001</v>
      </c>
      <c r="F3690" t="s">
        <v>58</v>
      </c>
      <c r="G3690">
        <v>-204.96420000000001</v>
      </c>
      <c r="H3690" s="1">
        <v>-9.7132840000000002E-6</v>
      </c>
      <c r="I3690">
        <v>147.6165</v>
      </c>
      <c r="J3690">
        <v>-195.97569999999999</v>
      </c>
      <c r="K3690">
        <v>1.10748</v>
      </c>
      <c r="L3690">
        <v>151.75399999999999</v>
      </c>
      <c r="M3690">
        <v>-0.47862670000000002</v>
      </c>
      <c r="N3690">
        <v>0</v>
      </c>
      <c r="O3690">
        <v>-0.87791019999999897</v>
      </c>
      <c r="P3690">
        <v>-0.69510050000000001</v>
      </c>
      <c r="Q3690">
        <v>3.8114950000000002E-2</v>
      </c>
      <c r="R3690">
        <v>-0.71790169999999998</v>
      </c>
      <c r="S3690">
        <v>-2.9141539999999999</v>
      </c>
      <c r="T3690">
        <v>-0.35474660000000002</v>
      </c>
      <c r="U3690">
        <v>-1.386673</v>
      </c>
      <c r="V3690">
        <v>0.26701599999999998</v>
      </c>
      <c r="W3690">
        <v>4.9499130000000002E-2</v>
      </c>
      <c r="X3690">
        <v>0.96242000000000005</v>
      </c>
      <c r="Y3690">
        <v>0.58084389999999997</v>
      </c>
      <c r="Z3690">
        <v>0.11284760000000001</v>
      </c>
      <c r="AA3690">
        <v>0.80615499999999995</v>
      </c>
      <c r="AB3690">
        <v>22</v>
      </c>
      <c r="AC3690">
        <v>-8.9885000000000108</v>
      </c>
      <c r="AD3690">
        <v>-1.107489713284</v>
      </c>
      <c r="AE3690">
        <v>-4.1374999999999797</v>
      </c>
      <c r="AF3690">
        <v>5.8382053822841398</v>
      </c>
      <c r="AG3690">
        <v>-1.107489713284</v>
      </c>
      <c r="AH3690">
        <v>7.8370699518319498</v>
      </c>
      <c r="AI3690">
        <v>96.465497493613995</v>
      </c>
      <c r="AJ3690">
        <v>53.315825092508298</v>
      </c>
      <c r="AK3690">
        <v>9.8351838305477894</v>
      </c>
      <c r="AL3690">
        <v>87.162749284209198</v>
      </c>
      <c r="AM3690">
        <v>74.493736127139002</v>
      </c>
      <c r="AN3690">
        <v>0.99999998226337805</v>
      </c>
    </row>
    <row r="3691" spans="1:40" x14ac:dyDescent="0.25">
      <c r="A3691" t="str">
        <f>"20190312151346476"</f>
        <v>20190312151346476</v>
      </c>
      <c r="B3691" t="str">
        <f>"1552374826474268"</f>
        <v>1552374826474268</v>
      </c>
      <c r="C3691" t="s">
        <v>40</v>
      </c>
      <c r="D3691">
        <v>4.7338440000000004</v>
      </c>
      <c r="E3691">
        <v>0.64103269999999901</v>
      </c>
      <c r="F3691" t="s">
        <v>58</v>
      </c>
      <c r="G3691">
        <v>-205.55260000000001</v>
      </c>
      <c r="H3691" s="1">
        <v>-9.3588129999999998E-6</v>
      </c>
      <c r="I3691">
        <v>147.262</v>
      </c>
      <c r="J3691">
        <v>-196.0934</v>
      </c>
      <c r="K3691">
        <v>1.1074029999999999</v>
      </c>
      <c r="L3691">
        <v>151.55090000000001</v>
      </c>
      <c r="M3691">
        <v>-0.48326390000000002</v>
      </c>
      <c r="N3691">
        <v>0</v>
      </c>
      <c r="O3691">
        <v>-0.87536559999999897</v>
      </c>
      <c r="P3691">
        <v>-0.69976400000000005</v>
      </c>
      <c r="Q3691">
        <v>3.7709600000000003E-2</v>
      </c>
      <c r="R3691">
        <v>-0.71337850000000003</v>
      </c>
      <c r="S3691">
        <v>-2.9199069999999998</v>
      </c>
      <c r="T3691">
        <v>-0.33766479999999999</v>
      </c>
      <c r="U3691">
        <v>-1.3695679999999999</v>
      </c>
      <c r="V3691">
        <v>0.26819340000000003</v>
      </c>
      <c r="W3691">
        <v>4.903573E-2</v>
      </c>
      <c r="X3691">
        <v>0.96211630000000004</v>
      </c>
      <c r="Y3691">
        <v>0.58161969999999996</v>
      </c>
      <c r="Z3691">
        <v>0.1074471</v>
      </c>
      <c r="AA3691">
        <v>0.80633350000000004</v>
      </c>
      <c r="AB3691">
        <v>22</v>
      </c>
      <c r="AC3691">
        <v>-9.4592000000000098</v>
      </c>
      <c r="AD3691">
        <v>-1.107412358813</v>
      </c>
      <c r="AE3691">
        <v>-4.2889000000000097</v>
      </c>
      <c r="AF3691">
        <v>6.1383948630049403</v>
      </c>
      <c r="AG3691">
        <v>-1.107412358813</v>
      </c>
      <c r="AH3691">
        <v>8.2328435941526799</v>
      </c>
      <c r="AI3691">
        <v>96.154799625538999</v>
      </c>
      <c r="AJ3691">
        <v>53.291847903893</v>
      </c>
      <c r="AK3691">
        <v>10.3288899341796</v>
      </c>
      <c r="AL3691">
        <v>87.189332449144302</v>
      </c>
      <c r="AM3691">
        <v>74.423995649587198</v>
      </c>
      <c r="AN3691">
        <v>0.99999998867294104</v>
      </c>
    </row>
    <row r="3692" spans="1:40" x14ac:dyDescent="0.25">
      <c r="A3692" t="str">
        <f>"20190312151346497"</f>
        <v>20190312151346497</v>
      </c>
      <c r="B3692" t="str">
        <f>"1552374826493789"</f>
        <v>1552374826493789</v>
      </c>
      <c r="C3692" t="s">
        <v>40</v>
      </c>
      <c r="D3692">
        <v>4.7155230000000001</v>
      </c>
      <c r="E3692">
        <v>0.64056040000000003</v>
      </c>
      <c r="F3692" t="s">
        <v>58</v>
      </c>
      <c r="G3692">
        <v>-205.70570000000001</v>
      </c>
      <c r="H3692" s="1">
        <v>-9.2479319999999992E-6</v>
      </c>
      <c r="I3692">
        <v>147.0992</v>
      </c>
      <c r="J3692">
        <v>-196.19550000000001</v>
      </c>
      <c r="K3692">
        <v>1.107329</v>
      </c>
      <c r="L3692">
        <v>151.37700000000001</v>
      </c>
      <c r="M3692">
        <v>-0.48736950000000001</v>
      </c>
      <c r="N3692">
        <v>0</v>
      </c>
      <c r="O3692">
        <v>-0.87308639999999904</v>
      </c>
      <c r="P3692">
        <v>-0.70405640000000003</v>
      </c>
      <c r="Q3692">
        <v>3.8404790000000001E-2</v>
      </c>
      <c r="R3692">
        <v>-0.70910490000000004</v>
      </c>
      <c r="S3692">
        <v>-2.9245299999999999</v>
      </c>
      <c r="T3692">
        <v>-0.33693030000000002</v>
      </c>
      <c r="U3692">
        <v>-1.3544309999999999</v>
      </c>
      <c r="V3692">
        <v>0.269514799999999</v>
      </c>
      <c r="W3692">
        <v>4.9672010000000003E-2</v>
      </c>
      <c r="X3692">
        <v>0.96171430000000002</v>
      </c>
      <c r="Y3692">
        <v>0.5817544</v>
      </c>
      <c r="Z3692">
        <v>0.10719430000000001</v>
      </c>
      <c r="AA3692">
        <v>0.80626989999999998</v>
      </c>
      <c r="AB3692">
        <v>22</v>
      </c>
      <c r="AC3692">
        <v>-9.5101999999999904</v>
      </c>
      <c r="AD3692">
        <v>-1.107338247932</v>
      </c>
      <c r="AE3692">
        <v>-4.2778000000000098</v>
      </c>
      <c r="AF3692">
        <v>6.1496079603529497</v>
      </c>
      <c r="AG3692">
        <v>-1.107338247932</v>
      </c>
      <c r="AH3692">
        <v>8.2773345891974692</v>
      </c>
      <c r="AI3692">
        <v>96.129286726129195</v>
      </c>
      <c r="AJ3692">
        <v>53.389665407822399</v>
      </c>
      <c r="AK3692">
        <v>10.3710242484961</v>
      </c>
      <c r="AL3692">
        <v>87.152831741918206</v>
      </c>
      <c r="AM3692">
        <v>74.344782949645406</v>
      </c>
      <c r="AN3692">
        <v>0.99999996541048397</v>
      </c>
    </row>
    <row r="3693" spans="1:40" x14ac:dyDescent="0.25">
      <c r="A3693" t="str">
        <f>"20190312151346523"</f>
        <v>20190312151346523</v>
      </c>
      <c r="B3693" t="str">
        <f>"1552374826514286"</f>
        <v>1552374826514286</v>
      </c>
      <c r="C3693" t="s">
        <v>40</v>
      </c>
      <c r="D3693">
        <v>4.7189740000000002</v>
      </c>
      <c r="E3693">
        <v>0.64003089999999996</v>
      </c>
      <c r="F3693" t="s">
        <v>58</v>
      </c>
      <c r="G3693">
        <v>-205.5985</v>
      </c>
      <c r="H3693" s="1">
        <v>-9.290177E-6</v>
      </c>
      <c r="I3693">
        <v>147.07919999999999</v>
      </c>
      <c r="J3693">
        <v>-196.3227</v>
      </c>
      <c r="K3693">
        <v>1.1072150000000001</v>
      </c>
      <c r="L3693">
        <v>151.1634</v>
      </c>
      <c r="M3693">
        <v>-0.49258849999999998</v>
      </c>
      <c r="N3693">
        <v>0</v>
      </c>
      <c r="O3693">
        <v>-0.8701525</v>
      </c>
      <c r="P3693">
        <v>-0.70888319999999905</v>
      </c>
      <c r="Q3693">
        <v>3.8587440000000001E-2</v>
      </c>
      <c r="R3693">
        <v>-0.70427019999999996</v>
      </c>
      <c r="S3693">
        <v>-2.9307099999999999</v>
      </c>
      <c r="T3693">
        <v>-0.34513369999999999</v>
      </c>
      <c r="U3693">
        <v>-1.339539</v>
      </c>
      <c r="V3693">
        <v>0.27034509999999901</v>
      </c>
      <c r="W3693">
        <v>4.9782489999999999E-2</v>
      </c>
      <c r="X3693">
        <v>0.96147559999999999</v>
      </c>
      <c r="Y3693">
        <v>0.58065819999999901</v>
      </c>
      <c r="Z3693">
        <v>0.10963199999999999</v>
      </c>
      <c r="AA3693">
        <v>0.80673219999999901</v>
      </c>
      <c r="AB3693">
        <v>22</v>
      </c>
      <c r="AC3693">
        <v>-9.2758000000000003</v>
      </c>
      <c r="AD3693">
        <v>-1.107224290177</v>
      </c>
      <c r="AE3693">
        <v>-4.0842000000000098</v>
      </c>
      <c r="AF3693">
        <v>5.98863741188101</v>
      </c>
      <c r="AG3693">
        <v>-1.107224290177</v>
      </c>
      <c r="AH3693">
        <v>8.0279942467076708</v>
      </c>
      <c r="AI3693">
        <v>96.308423862519206</v>
      </c>
      <c r="AJ3693">
        <v>53.278190732814103</v>
      </c>
      <c r="AK3693">
        <v>10.076627179017301</v>
      </c>
      <c r="AL3693">
        <v>87.146494102835803</v>
      </c>
      <c r="AM3693">
        <v>74.295223040338598</v>
      </c>
      <c r="AN3693">
        <v>1.0000000493999801</v>
      </c>
    </row>
    <row r="3694" spans="1:40" x14ac:dyDescent="0.25">
      <c r="A3694" t="str">
        <f>"20190312151346543"</f>
        <v>20190312151346543</v>
      </c>
      <c r="B3694" t="str">
        <f>"1552374826533805"</f>
        <v>1552374826533805</v>
      </c>
      <c r="C3694" t="s">
        <v>40</v>
      </c>
      <c r="D3694">
        <v>4.7341340000000001</v>
      </c>
      <c r="E3694">
        <v>0.63955410000000001</v>
      </c>
      <c r="F3694" t="s">
        <v>58</v>
      </c>
      <c r="G3694">
        <v>-205.55420000000001</v>
      </c>
      <c r="H3694" s="1">
        <v>-9.2911589999999996E-6</v>
      </c>
      <c r="I3694">
        <v>147.00839999999999</v>
      </c>
      <c r="J3694">
        <v>-196.42769999999999</v>
      </c>
      <c r="K3694">
        <v>1.107118</v>
      </c>
      <c r="L3694">
        <v>150.9897</v>
      </c>
      <c r="M3694">
        <v>-0.4969923</v>
      </c>
      <c r="N3694">
        <v>0</v>
      </c>
      <c r="O3694">
        <v>-0.86764449999999904</v>
      </c>
      <c r="P3694">
        <v>-0.71355780000000002</v>
      </c>
      <c r="Q3694">
        <v>3.9403279999999999E-2</v>
      </c>
      <c r="R3694">
        <v>-0.69948759999999999</v>
      </c>
      <c r="S3694">
        <v>-2.9376220000000002</v>
      </c>
      <c r="T3694">
        <v>-0.35233950000000003</v>
      </c>
      <c r="U3694">
        <v>-1.322174</v>
      </c>
      <c r="V3694">
        <v>0.27191789999999999</v>
      </c>
      <c r="W3694">
        <v>5.0522570000000003E-2</v>
      </c>
      <c r="X3694">
        <v>0.96099330000000005</v>
      </c>
      <c r="Y3694">
        <v>0.58096930000000002</v>
      </c>
      <c r="Z3694">
        <v>0.1118256</v>
      </c>
      <c r="AA3694">
        <v>0.80620700000000001</v>
      </c>
      <c r="AB3694">
        <v>22</v>
      </c>
      <c r="AC3694">
        <v>-9.1265000000000196</v>
      </c>
      <c r="AD3694">
        <v>-1.107127291159</v>
      </c>
      <c r="AE3694">
        <v>-3.9813000000000001</v>
      </c>
      <c r="AF3694">
        <v>5.8679055310746202</v>
      </c>
      <c r="AG3694">
        <v>-1.107127291159</v>
      </c>
      <c r="AH3694">
        <v>7.8933325470909104</v>
      </c>
      <c r="AI3694">
        <v>96.422432734511503</v>
      </c>
      <c r="AJ3694">
        <v>53.372877530915098</v>
      </c>
      <c r="AK3694">
        <v>9.8976130889932197</v>
      </c>
      <c r="AL3694">
        <v>87.104037066999794</v>
      </c>
      <c r="AM3694">
        <v>74.200871836545204</v>
      </c>
      <c r="AN3694">
        <v>0.999999998532352</v>
      </c>
    </row>
    <row r="3695" spans="1:40" x14ac:dyDescent="0.25">
      <c r="A3695" t="str">
        <f>"20190312151346564"</f>
        <v>20190312151346564</v>
      </c>
      <c r="B3695" t="str">
        <f>"1552374826553831"</f>
        <v>1552374826553831</v>
      </c>
      <c r="C3695" t="s">
        <v>40</v>
      </c>
      <c r="D3695">
        <v>4.6935989999999999</v>
      </c>
      <c r="E3695">
        <v>0.6393799</v>
      </c>
      <c r="F3695" t="s">
        <v>58</v>
      </c>
      <c r="G3695">
        <v>-205.5855</v>
      </c>
      <c r="H3695" s="1">
        <v>-9.256071E-6</v>
      </c>
      <c r="I3695">
        <v>146.9282</v>
      </c>
      <c r="J3695">
        <v>-196.53700000000001</v>
      </c>
      <c r="K3695">
        <v>1.107003</v>
      </c>
      <c r="L3695">
        <v>150.81120000000001</v>
      </c>
      <c r="M3695">
        <v>-0.50166959999999905</v>
      </c>
      <c r="N3695">
        <v>0</v>
      </c>
      <c r="O3695">
        <v>-0.86494850000000001</v>
      </c>
      <c r="P3695">
        <v>-0.71901150000000003</v>
      </c>
      <c r="Q3695">
        <v>3.9175750000000002E-2</v>
      </c>
      <c r="R3695">
        <v>-0.69389350000000005</v>
      </c>
      <c r="S3695">
        <v>-2.9440309999999998</v>
      </c>
      <c r="T3695">
        <v>-0.35591590000000001</v>
      </c>
      <c r="U3695">
        <v>-1.3056639999999999</v>
      </c>
      <c r="V3695">
        <v>0.274258</v>
      </c>
      <c r="W3695">
        <v>5.0203970000000001E-2</v>
      </c>
      <c r="X3695">
        <v>0.9603448</v>
      </c>
      <c r="Y3695">
        <v>0.58089440000000003</v>
      </c>
      <c r="Z3695">
        <v>0.1128493</v>
      </c>
      <c r="AA3695">
        <v>0.80611829999999995</v>
      </c>
      <c r="AB3695">
        <v>22</v>
      </c>
      <c r="AC3695">
        <v>-9.04849999999999</v>
      </c>
      <c r="AD3695">
        <v>-1.1070122560709901</v>
      </c>
      <c r="AE3695">
        <v>-3.883</v>
      </c>
      <c r="AF3695">
        <v>5.8056837694039798</v>
      </c>
      <c r="AG3695">
        <v>-1.1070122560709901</v>
      </c>
      <c r="AH3695">
        <v>7.8001168991543501</v>
      </c>
      <c r="AI3695">
        <v>96.495064528347896</v>
      </c>
      <c r="AJ3695">
        <v>53.339421553229798</v>
      </c>
      <c r="AK3695">
        <v>9.7863815481456395</v>
      </c>
      <c r="AL3695">
        <v>87.122314736272003</v>
      </c>
      <c r="AM3695">
        <v>74.061566970857399</v>
      </c>
      <c r="AN3695">
        <v>1.0000000120274</v>
      </c>
    </row>
    <row r="3696" spans="1:40" x14ac:dyDescent="0.25">
      <c r="A3696" t="str">
        <f>"20190312151346587"</f>
        <v>20190312151346587</v>
      </c>
      <c r="B3696" t="str">
        <f>"1552374826584087"</f>
        <v>1552374826584087</v>
      </c>
      <c r="C3696" t="s">
        <v>40</v>
      </c>
      <c r="D3696">
        <v>4.6782529999999998</v>
      </c>
      <c r="E3696">
        <v>0.63895429999999998</v>
      </c>
      <c r="F3696" t="s">
        <v>58</v>
      </c>
      <c r="G3696">
        <v>-205.53030000000001</v>
      </c>
      <c r="H3696" s="1">
        <v>-9.27369E-6</v>
      </c>
      <c r="I3696">
        <v>146.9023</v>
      </c>
      <c r="J3696">
        <v>-196.65520000000001</v>
      </c>
      <c r="K3696">
        <v>1.1068819999999999</v>
      </c>
      <c r="L3696">
        <v>150.62119999999999</v>
      </c>
      <c r="M3696">
        <v>-0.50684010000000002</v>
      </c>
      <c r="N3696">
        <v>0</v>
      </c>
      <c r="O3696">
        <v>-0.86192829999999998</v>
      </c>
      <c r="P3696">
        <v>-0.72400159999999902</v>
      </c>
      <c r="Q3696">
        <v>3.8851980000000001E-2</v>
      </c>
      <c r="R3696">
        <v>-0.68870310000000001</v>
      </c>
      <c r="S3696">
        <v>-2.953354</v>
      </c>
      <c r="T3696">
        <v>-0.36353459999999899</v>
      </c>
      <c r="U3696">
        <v>-1.283676</v>
      </c>
      <c r="V3696">
        <v>0.27544289999999999</v>
      </c>
      <c r="W3696">
        <v>4.9798210000000002E-2</v>
      </c>
      <c r="X3696">
        <v>0.96002670000000001</v>
      </c>
      <c r="Y3696">
        <v>0.58174150000000002</v>
      </c>
      <c r="Z3696">
        <v>0.1151364</v>
      </c>
      <c r="AA3696">
        <v>0.80518350000000005</v>
      </c>
      <c r="AB3696">
        <v>22</v>
      </c>
      <c r="AC3696">
        <v>-8.8750999999999998</v>
      </c>
      <c r="AD3696">
        <v>-1.1068912736899901</v>
      </c>
      <c r="AE3696">
        <v>-3.7188999999999899</v>
      </c>
      <c r="AF3696">
        <v>5.6900793173835602</v>
      </c>
      <c r="AG3696">
        <v>-1.1068912736899901</v>
      </c>
      <c r="AH3696">
        <v>7.6038140500757496</v>
      </c>
      <c r="AI3696">
        <v>96.647852612300298</v>
      </c>
      <c r="AJ3696">
        <v>53.191789376946403</v>
      </c>
      <c r="AK3696">
        <v>9.5613910618704807</v>
      </c>
      <c r="AL3696">
        <v>87.1455920358718</v>
      </c>
      <c r="AM3696">
        <v>73.991194855495607</v>
      </c>
      <c r="AN3696">
        <v>0.99999995879625103</v>
      </c>
    </row>
    <row r="3697" spans="1:40" x14ac:dyDescent="0.25">
      <c r="A3697" t="str">
        <f>"20190312151346609"</f>
        <v>20190312151346609</v>
      </c>
      <c r="B3697" t="str">
        <f>"1552374826603607"</f>
        <v>1552374826603607</v>
      </c>
      <c r="C3697" t="s">
        <v>40</v>
      </c>
      <c r="D3697">
        <v>4.6304480000000003</v>
      </c>
      <c r="E3697">
        <v>0.63875249999999995</v>
      </c>
      <c r="F3697" t="s">
        <v>58</v>
      </c>
      <c r="G3697">
        <v>-205.55179999999999</v>
      </c>
      <c r="H3697" s="1">
        <v>-9.2430699999999992E-6</v>
      </c>
      <c r="I3697">
        <v>146.82230000000001</v>
      </c>
      <c r="J3697">
        <v>-196.76759999999999</v>
      </c>
      <c r="K3697">
        <v>1.1067849999999999</v>
      </c>
      <c r="L3697">
        <v>150.4434</v>
      </c>
      <c r="M3697">
        <v>-0.51185409999999998</v>
      </c>
      <c r="N3697">
        <v>0</v>
      </c>
      <c r="O3697">
        <v>-0.85896030000000001</v>
      </c>
      <c r="P3697">
        <v>-0.72928800000000005</v>
      </c>
      <c r="Q3697">
        <v>3.8837450000000003E-2</v>
      </c>
      <c r="R3697">
        <v>-0.68310400000000004</v>
      </c>
      <c r="S3697">
        <v>-2.9607700000000001</v>
      </c>
      <c r="T3697">
        <v>-0.36836960000000002</v>
      </c>
      <c r="U3697">
        <v>-1.264267</v>
      </c>
      <c r="V3697">
        <v>0.27726099999999998</v>
      </c>
      <c r="W3697">
        <v>4.9700099999999997E-2</v>
      </c>
      <c r="X3697">
        <v>0.95950840000000004</v>
      </c>
      <c r="Y3697">
        <v>0.58203579999999999</v>
      </c>
      <c r="Z3697">
        <v>0.1165447</v>
      </c>
      <c r="AA3697">
        <v>0.80476809999999999</v>
      </c>
      <c r="AB3697">
        <v>22</v>
      </c>
      <c r="AC3697">
        <v>-8.7841999999999896</v>
      </c>
      <c r="AD3697">
        <v>-1.10679424307</v>
      </c>
      <c r="AE3697">
        <v>-3.6210999999999798</v>
      </c>
      <c r="AF3697">
        <v>5.616143261325</v>
      </c>
      <c r="AG3697">
        <v>-1.10679424307</v>
      </c>
      <c r="AH3697">
        <v>7.5054955673090404</v>
      </c>
      <c r="AI3697">
        <v>96.733711356827598</v>
      </c>
      <c r="AJ3697">
        <v>53.193563119214403</v>
      </c>
      <c r="AK3697">
        <v>9.4392013612971901</v>
      </c>
      <c r="AL3697">
        <v>87.151220599527306</v>
      </c>
      <c r="AM3697">
        <v>73.882741249952304</v>
      </c>
      <c r="AN3697">
        <v>1.0000000658657799</v>
      </c>
    </row>
    <row r="3698" spans="1:40" x14ac:dyDescent="0.25">
      <c r="A3698" t="str">
        <f>"20190312151346631"</f>
        <v>20190312151346631</v>
      </c>
      <c r="B3698" t="str">
        <f>"1552374826624103"</f>
        <v>1552374826624103</v>
      </c>
      <c r="C3698" t="s">
        <v>40</v>
      </c>
      <c r="D3698">
        <v>4.5995480000000004</v>
      </c>
      <c r="E3698">
        <v>0.6385596</v>
      </c>
      <c r="F3698" t="s">
        <v>58</v>
      </c>
      <c r="G3698">
        <v>-205.6523</v>
      </c>
      <c r="H3698" s="1">
        <v>-9.1732360000000007E-6</v>
      </c>
      <c r="I3698">
        <v>146.72659999999999</v>
      </c>
      <c r="J3698">
        <v>-196.88829999999999</v>
      </c>
      <c r="K3698">
        <v>1.1066959999999999</v>
      </c>
      <c r="L3698">
        <v>150.2552</v>
      </c>
      <c r="M3698">
        <v>-0.51731289999999996</v>
      </c>
      <c r="N3698">
        <v>0</v>
      </c>
      <c r="O3698">
        <v>-0.85568359999999899</v>
      </c>
      <c r="P3698">
        <v>-0.73471640000000005</v>
      </c>
      <c r="Q3698">
        <v>3.907563E-2</v>
      </c>
      <c r="R3698">
        <v>-0.67724839999999997</v>
      </c>
      <c r="S3698">
        <v>-2.969681</v>
      </c>
      <c r="T3698">
        <v>-0.36993870000000001</v>
      </c>
      <c r="U3698">
        <v>-1.242294</v>
      </c>
      <c r="V3698">
        <v>0.27883059999999998</v>
      </c>
      <c r="W3698">
        <v>4.9867259999999997E-2</v>
      </c>
      <c r="X3698">
        <v>0.95904469999999997</v>
      </c>
      <c r="Y3698">
        <v>0.58275310000000002</v>
      </c>
      <c r="Z3698">
        <v>0.1169071</v>
      </c>
      <c r="AA3698">
        <v>0.80419619999999903</v>
      </c>
      <c r="AB3698">
        <v>22</v>
      </c>
      <c r="AC3698">
        <v>-8.76400000000001</v>
      </c>
      <c r="AD3698">
        <v>-1.10670517323599</v>
      </c>
      <c r="AE3698">
        <v>-3.5286000000000102</v>
      </c>
      <c r="AF3698">
        <v>5.5975592326643104</v>
      </c>
      <c r="AG3698">
        <v>-1.10670517323599</v>
      </c>
      <c r="AH3698">
        <v>7.4515746321865404</v>
      </c>
      <c r="AI3698">
        <v>96.772033667711995</v>
      </c>
      <c r="AJ3698">
        <v>53.086437305214197</v>
      </c>
      <c r="AK3698">
        <v>9.3852773109108902</v>
      </c>
      <c r="AL3698">
        <v>87.141630935232797</v>
      </c>
      <c r="AM3698">
        <v>73.788852244967501</v>
      </c>
      <c r="AN3698">
        <v>0.99999999185717803</v>
      </c>
    </row>
    <row r="3699" spans="1:40" x14ac:dyDescent="0.25">
      <c r="A3699" t="str">
        <f>"20190312151346656"</f>
        <v>20190312151346656</v>
      </c>
      <c r="B3699" t="str">
        <f>"1552374826654359"</f>
        <v>1552374826654359</v>
      </c>
      <c r="C3699" t="s">
        <v>40</v>
      </c>
      <c r="D3699">
        <v>4.5976480000000004</v>
      </c>
      <c r="E3699">
        <v>0.63838589999999995</v>
      </c>
      <c r="F3699" t="s">
        <v>58</v>
      </c>
      <c r="G3699">
        <v>-205.76650000000001</v>
      </c>
      <c r="H3699" s="1">
        <v>-9.0943849999999995E-6</v>
      </c>
      <c r="I3699">
        <v>146.61969999999999</v>
      </c>
      <c r="J3699">
        <v>-197.02119999999999</v>
      </c>
      <c r="K3699">
        <v>1.106611</v>
      </c>
      <c r="L3699">
        <v>150.0515</v>
      </c>
      <c r="M3699">
        <v>-0.5233873</v>
      </c>
      <c r="N3699">
        <v>0</v>
      </c>
      <c r="O3699">
        <v>-0.85198149999999995</v>
      </c>
      <c r="P3699">
        <v>-0.74067159999999999</v>
      </c>
      <c r="Q3699">
        <v>3.981962E-2</v>
      </c>
      <c r="R3699">
        <v>-0.67068649999999996</v>
      </c>
      <c r="S3699">
        <v>-2.978653</v>
      </c>
      <c r="T3699">
        <v>-0.37130269999999999</v>
      </c>
      <c r="U3699">
        <v>-1.2196959999999999</v>
      </c>
      <c r="V3699">
        <v>0.28052270000000001</v>
      </c>
      <c r="W3699">
        <v>5.0543049999999999E-2</v>
      </c>
      <c r="X3699">
        <v>0.95851580000000003</v>
      </c>
      <c r="Y3699">
        <v>0.58302749999999903</v>
      </c>
      <c r="Z3699">
        <v>0.11716119999999999</v>
      </c>
      <c r="AA3699">
        <v>0.80396029999999996</v>
      </c>
      <c r="AB3699">
        <v>22</v>
      </c>
      <c r="AC3699">
        <v>-8.7453000000000092</v>
      </c>
      <c r="AD3699">
        <v>-1.106620094385</v>
      </c>
      <c r="AE3699">
        <v>-3.4318</v>
      </c>
      <c r="AF3699">
        <v>5.5778252295029302</v>
      </c>
      <c r="AG3699">
        <v>-1.106620094385</v>
      </c>
      <c r="AH3699">
        <v>7.3990689782597903</v>
      </c>
      <c r="AI3699">
        <v>96.810480494451596</v>
      </c>
      <c r="AJ3699">
        <v>52.989003162685101</v>
      </c>
      <c r="AK3699">
        <v>9.3318253342645896</v>
      </c>
      <c r="AL3699">
        <v>87.1028623323445</v>
      </c>
      <c r="AM3699">
        <v>73.687166707428105</v>
      </c>
      <c r="AN3699">
        <v>1.0000000619841101</v>
      </c>
    </row>
    <row r="3700" spans="1:40" x14ac:dyDescent="0.25">
      <c r="A3700" t="str">
        <f>"20190312151346676"</f>
        <v>20190312151346676</v>
      </c>
      <c r="B3700" t="str">
        <f>"1552374826673879"</f>
        <v>1552374826673879</v>
      </c>
      <c r="C3700" t="s">
        <v>40</v>
      </c>
      <c r="D3700">
        <v>4.4473029999999998</v>
      </c>
      <c r="E3700">
        <v>0.63819329999999996</v>
      </c>
      <c r="F3700" t="s">
        <v>58</v>
      </c>
      <c r="G3700">
        <v>-205.83850000000001</v>
      </c>
      <c r="H3700" s="1">
        <v>-9.0379440000000007E-6</v>
      </c>
      <c r="I3700">
        <v>146.52690000000001</v>
      </c>
      <c r="J3700">
        <v>-197.1259</v>
      </c>
      <c r="K3700">
        <v>1.1065400000000001</v>
      </c>
      <c r="L3700">
        <v>149.89340000000001</v>
      </c>
      <c r="M3700">
        <v>-0.52822429999999998</v>
      </c>
      <c r="N3700">
        <v>0</v>
      </c>
      <c r="O3700">
        <v>-0.84899059999999904</v>
      </c>
      <c r="P3700">
        <v>-0.74590509999999999</v>
      </c>
      <c r="Q3700">
        <v>4.0234949999999998E-2</v>
      </c>
      <c r="R3700">
        <v>-0.66483619999999899</v>
      </c>
      <c r="S3700">
        <v>-2.9887239999999999</v>
      </c>
      <c r="T3700">
        <v>-0.37510130000000003</v>
      </c>
      <c r="U3700">
        <v>-1.1947019999999999</v>
      </c>
      <c r="V3700">
        <v>0.2826089</v>
      </c>
      <c r="W3700">
        <v>5.0895929999999999E-2</v>
      </c>
      <c r="X3700">
        <v>0.95788399999999996</v>
      </c>
      <c r="Y3700">
        <v>0.58501049999999999</v>
      </c>
      <c r="Z3700">
        <v>0.11827020000000001</v>
      </c>
      <c r="AA3700">
        <v>0.80235579999999995</v>
      </c>
      <c r="AB3700">
        <v>22</v>
      </c>
      <c r="AC3700">
        <v>-8.7126000000000001</v>
      </c>
      <c r="AD3700">
        <v>-1.1065490379439999</v>
      </c>
      <c r="AE3700">
        <v>-3.3664999999999998</v>
      </c>
      <c r="AF3700">
        <v>5.5414198485816097</v>
      </c>
      <c r="AG3700">
        <v>-1.1065490379439999</v>
      </c>
      <c r="AH3700">
        <v>7.3577913032211599</v>
      </c>
      <c r="AI3700">
        <v>96.850233625597198</v>
      </c>
      <c r="AJ3700">
        <v>53.015268810802901</v>
      </c>
      <c r="AK3700">
        <v>9.27733138210478</v>
      </c>
      <c r="AL3700">
        <v>87.082617479319893</v>
      </c>
      <c r="AM3700">
        <v>73.562118321957797</v>
      </c>
      <c r="AN3700">
        <v>0.99999997175288702</v>
      </c>
    </row>
    <row r="3701" spans="1:40" x14ac:dyDescent="0.25">
      <c r="A3701" t="str">
        <f>"20190312151346699"</f>
        <v>20190312151346699</v>
      </c>
      <c r="B3701" t="str">
        <f>"1552374826694376"</f>
        <v>1552374826694376</v>
      </c>
      <c r="C3701" t="s">
        <v>40</v>
      </c>
      <c r="D3701">
        <v>4.3335920000000003</v>
      </c>
      <c r="E3701">
        <v>0.6379939</v>
      </c>
      <c r="F3701" t="s">
        <v>58</v>
      </c>
      <c r="G3701">
        <v>-205.92570000000001</v>
      </c>
      <c r="H3701" s="1">
        <v>-8.9791250000000002E-6</v>
      </c>
      <c r="I3701">
        <v>146.45060000000001</v>
      </c>
      <c r="J3701">
        <v>-197.2467</v>
      </c>
      <c r="K3701">
        <v>1.1064609999999999</v>
      </c>
      <c r="L3701">
        <v>149.71369999999999</v>
      </c>
      <c r="M3701">
        <v>-0.5338598</v>
      </c>
      <c r="N3701">
        <v>0</v>
      </c>
      <c r="O3701">
        <v>-0.84545800000000004</v>
      </c>
      <c r="P3701">
        <v>-0.75118050000000003</v>
      </c>
      <c r="Q3701">
        <v>4.0378879999999999E-2</v>
      </c>
      <c r="R3701">
        <v>-0.65886089999999997</v>
      </c>
      <c r="S3701">
        <v>-2.997131</v>
      </c>
      <c r="T3701">
        <v>-0.37687779999999999</v>
      </c>
      <c r="U3701">
        <v>-1.1725920000000001</v>
      </c>
      <c r="V3701">
        <v>0.2838888</v>
      </c>
      <c r="W3701">
        <v>5.0981159999999998E-2</v>
      </c>
      <c r="X3701">
        <v>0.95750089999999999</v>
      </c>
      <c r="Y3701">
        <v>0.58547539999999998</v>
      </c>
      <c r="Z3701">
        <v>0.1186606</v>
      </c>
      <c r="AA3701">
        <v>0.80195899999999998</v>
      </c>
      <c r="AB3701">
        <v>22</v>
      </c>
      <c r="AC3701">
        <v>-8.6790000000000003</v>
      </c>
      <c r="AD3701">
        <v>-1.1064699791249999</v>
      </c>
      <c r="AE3701">
        <v>-3.2630999999999699</v>
      </c>
      <c r="AF3701">
        <v>5.5176633309032903</v>
      </c>
      <c r="AG3701">
        <v>-1.1064699791249999</v>
      </c>
      <c r="AH3701">
        <v>7.28910342096232</v>
      </c>
      <c r="AI3701">
        <v>96.901049486180796</v>
      </c>
      <c r="AJ3701">
        <v>52.8752177706655</v>
      </c>
      <c r="AK3701">
        <v>9.2086868298028399</v>
      </c>
      <c r="AL3701">
        <v>87.077727752753702</v>
      </c>
      <c r="AM3701">
        <v>73.485471765413493</v>
      </c>
      <c r="AN3701">
        <v>0.99999995147059595</v>
      </c>
    </row>
    <row r="3702" spans="1:40" x14ac:dyDescent="0.25">
      <c r="A3702" t="str">
        <f>"20190312151346722"</f>
        <v>20190312151346722</v>
      </c>
      <c r="B3702" t="str">
        <f>"1552374826713895"</f>
        <v>1552374826713895</v>
      </c>
      <c r="C3702" t="s">
        <v>40</v>
      </c>
      <c r="D3702">
        <v>4.2800690000000001</v>
      </c>
      <c r="E3702">
        <v>0.63780859999999995</v>
      </c>
      <c r="F3702" t="s">
        <v>58</v>
      </c>
      <c r="G3702">
        <v>-206.0566</v>
      </c>
      <c r="H3702" s="1">
        <v>-8.8926649999999997E-6</v>
      </c>
      <c r="I3702">
        <v>146.34289999999999</v>
      </c>
      <c r="J3702">
        <v>-197.37649999999999</v>
      </c>
      <c r="K3702">
        <v>1.1063750000000001</v>
      </c>
      <c r="L3702">
        <v>149.52369999999999</v>
      </c>
      <c r="M3702">
        <v>-0.53996639999999996</v>
      </c>
      <c r="N3702">
        <v>0</v>
      </c>
      <c r="O3702">
        <v>-0.84157090000000001</v>
      </c>
      <c r="P3702">
        <v>-0.75692839999999995</v>
      </c>
      <c r="Q3702">
        <v>4.0400030000000003E-2</v>
      </c>
      <c r="R3702">
        <v>-0.65224819999999994</v>
      </c>
      <c r="S3702">
        <v>-3.005417</v>
      </c>
      <c r="T3702">
        <v>-0.37746380000000002</v>
      </c>
      <c r="U3702">
        <v>-1.149918</v>
      </c>
      <c r="V3702">
        <v>0.2853656</v>
      </c>
      <c r="W3702">
        <v>5.0932600000000001E-2</v>
      </c>
      <c r="X3702">
        <v>0.95706440000000004</v>
      </c>
      <c r="Y3702">
        <v>0.58563559999999903</v>
      </c>
      <c r="Z3702">
        <v>0.1186479</v>
      </c>
      <c r="AA3702">
        <v>0.80184390000000005</v>
      </c>
      <c r="AB3702">
        <v>21</v>
      </c>
      <c r="AC3702">
        <v>-8.6801000000000101</v>
      </c>
      <c r="AD3702">
        <v>-1.106383892665</v>
      </c>
      <c r="AE3702">
        <v>-3.1808000000000001</v>
      </c>
      <c r="AF3702">
        <v>5.50903142858217</v>
      </c>
      <c r="AG3702">
        <v>-1.106383892665</v>
      </c>
      <c r="AH3702">
        <v>7.2605535892740001</v>
      </c>
      <c r="AI3702">
        <v>96.921487676301794</v>
      </c>
      <c r="AJ3702">
        <v>52.810158594609703</v>
      </c>
      <c r="AK3702">
        <v>9.1809123196866604</v>
      </c>
      <c r="AL3702">
        <v>87.080513681844096</v>
      </c>
      <c r="AM3702">
        <v>73.397123999976998</v>
      </c>
      <c r="AN3702">
        <v>0.99999996057673901</v>
      </c>
    </row>
    <row r="3703" spans="1:40" x14ac:dyDescent="0.25">
      <c r="A3703" t="str">
        <f>"20190312151346746"</f>
        <v>20190312151346746</v>
      </c>
      <c r="B3703" t="str">
        <f>"1552374826733415"</f>
        <v>1552374826733415</v>
      </c>
      <c r="C3703" t="s">
        <v>40</v>
      </c>
      <c r="D3703">
        <v>4.2344759999999999</v>
      </c>
      <c r="E3703">
        <v>0.63760939999999999</v>
      </c>
      <c r="F3703" t="s">
        <v>58</v>
      </c>
      <c r="G3703">
        <v>-206.2149</v>
      </c>
      <c r="H3703" s="1">
        <v>-8.7917549999999996E-6</v>
      </c>
      <c r="I3703">
        <v>146.22649999999999</v>
      </c>
      <c r="J3703">
        <v>-197.5042</v>
      </c>
      <c r="K3703">
        <v>1.1062829999999999</v>
      </c>
      <c r="L3703">
        <v>149.34</v>
      </c>
      <c r="M3703">
        <v>-0.54602329999999999</v>
      </c>
      <c r="N3703">
        <v>0</v>
      </c>
      <c r="O3703">
        <v>-0.8376536</v>
      </c>
      <c r="P3703">
        <v>-0.76266040000000002</v>
      </c>
      <c r="Q3703">
        <v>4.1297279999999999E-2</v>
      </c>
      <c r="R3703">
        <v>-0.64547969999999999</v>
      </c>
      <c r="S3703">
        <v>-3.014481</v>
      </c>
      <c r="T3703">
        <v>-0.3773514</v>
      </c>
      <c r="U3703">
        <v>-1.124573</v>
      </c>
      <c r="V3703">
        <v>0.28696860000000002</v>
      </c>
      <c r="W3703">
        <v>5.1754540000000002E-2</v>
      </c>
      <c r="X3703">
        <v>0.95654090000000003</v>
      </c>
      <c r="Y3703">
        <v>0.58653339999999998</v>
      </c>
      <c r="Z3703">
        <v>0.1184455</v>
      </c>
      <c r="AA3703">
        <v>0.80121730000000002</v>
      </c>
      <c r="AB3703">
        <v>21</v>
      </c>
      <c r="AC3703">
        <v>-8.7106999999999992</v>
      </c>
      <c r="AD3703">
        <v>-1.1062917917549999</v>
      </c>
      <c r="AE3703">
        <v>-3.1135000000000099</v>
      </c>
      <c r="AF3703">
        <v>5.5181274883315998</v>
      </c>
      <c r="AG3703">
        <v>-1.1062917917549999</v>
      </c>
      <c r="AH3703">
        <v>7.2611440661296802</v>
      </c>
      <c r="AI3703">
        <v>96.916429613690198</v>
      </c>
      <c r="AJ3703">
        <v>52.7668766602592</v>
      </c>
      <c r="AK3703">
        <v>9.1868289227064395</v>
      </c>
      <c r="AL3703">
        <v>87.033357911087506</v>
      </c>
      <c r="AM3703">
        <v>73.300407913201894</v>
      </c>
      <c r="AN3703">
        <v>1.0000000015846899</v>
      </c>
    </row>
    <row r="3704" spans="1:40" x14ac:dyDescent="0.25">
      <c r="A3704" t="str">
        <f>"20190312151346766"</f>
        <v>20190312151346766</v>
      </c>
      <c r="B3704" t="str">
        <f>"1552374826763671"</f>
        <v>1552374826763671</v>
      </c>
      <c r="C3704" t="s">
        <v>40</v>
      </c>
      <c r="D3704">
        <v>4.1686809999999896</v>
      </c>
      <c r="E3704">
        <v>0.63728580000000001</v>
      </c>
      <c r="F3704" t="s">
        <v>58</v>
      </c>
      <c r="G3704">
        <v>-206.4948</v>
      </c>
      <c r="H3704" s="1">
        <v>-8.6268259999999996E-6</v>
      </c>
      <c r="I3704">
        <v>146.0719</v>
      </c>
      <c r="J3704">
        <v>-197.62010000000001</v>
      </c>
      <c r="K3704">
        <v>1.1061970000000001</v>
      </c>
      <c r="L3704">
        <v>149.17619999999999</v>
      </c>
      <c r="M3704">
        <v>-0.55156619999999901</v>
      </c>
      <c r="N3704">
        <v>0</v>
      </c>
      <c r="O3704">
        <v>-0.83401380000000003</v>
      </c>
      <c r="P3704">
        <v>-0.76800400000000002</v>
      </c>
      <c r="Q3704">
        <v>4.1955970000000002E-2</v>
      </c>
      <c r="R3704">
        <v>-0.63906960000000002</v>
      </c>
      <c r="S3704">
        <v>-3.0235439999999998</v>
      </c>
      <c r="T3704">
        <v>-0.37204910000000002</v>
      </c>
      <c r="U3704">
        <v>-1.0990599999999999</v>
      </c>
      <c r="V3704">
        <v>0.28862559999999998</v>
      </c>
      <c r="W3704">
        <v>5.2340249999999998E-2</v>
      </c>
      <c r="X3704">
        <v>0.95601029999999998</v>
      </c>
      <c r="Y3704">
        <v>0.5881419</v>
      </c>
      <c r="Z3704">
        <v>0.1166697</v>
      </c>
      <c r="AA3704">
        <v>0.80029830000000002</v>
      </c>
      <c r="AB3704">
        <v>21</v>
      </c>
      <c r="AC3704">
        <v>-8.87469999999999</v>
      </c>
      <c r="AD3704">
        <v>-1.1062056268260001</v>
      </c>
      <c r="AE3704">
        <v>-3.1042999999999901</v>
      </c>
      <c r="AF3704">
        <v>5.6122608709615402</v>
      </c>
      <c r="AG3704">
        <v>-1.1062056268260001</v>
      </c>
      <c r="AH3704">
        <v>7.3825484642360903</v>
      </c>
      <c r="AI3704">
        <v>96.802417346743994</v>
      </c>
      <c r="AJ3704">
        <v>52.757669284910499</v>
      </c>
      <c r="AK3704">
        <v>9.3393353510483994</v>
      </c>
      <c r="AL3704">
        <v>86.999753546774301</v>
      </c>
      <c r="AM3704">
        <v>73.200600167430594</v>
      </c>
      <c r="AN3704">
        <v>0.99999996622575504</v>
      </c>
    </row>
    <row r="3705" spans="1:40" x14ac:dyDescent="0.25">
      <c r="A3705" t="str">
        <f>"20190312151346789"</f>
        <v>20190312151346789</v>
      </c>
      <c r="B3705" t="str">
        <f>"1552374826784167"</f>
        <v>1552374826784167</v>
      </c>
      <c r="C3705" t="s">
        <v>40</v>
      </c>
      <c r="D3705">
        <v>4.1247989999999897</v>
      </c>
      <c r="E3705">
        <v>0.63716499999999998</v>
      </c>
      <c r="F3705" t="s">
        <v>58</v>
      </c>
      <c r="G3705">
        <v>-206.65969999999999</v>
      </c>
      <c r="H3705" s="1">
        <v>-8.5259529999999906E-6</v>
      </c>
      <c r="I3705">
        <v>145.96690000000001</v>
      </c>
      <c r="J3705">
        <v>-197.74940000000001</v>
      </c>
      <c r="K3705">
        <v>1.1061080000000001</v>
      </c>
      <c r="L3705">
        <v>148.9966</v>
      </c>
      <c r="M3705">
        <v>-0.55780169999999996</v>
      </c>
      <c r="N3705">
        <v>0</v>
      </c>
      <c r="O3705">
        <v>-0.82985599999999904</v>
      </c>
      <c r="P3705">
        <v>-0.77365740000000005</v>
      </c>
      <c r="Q3705">
        <v>4.1965420000000003E-2</v>
      </c>
      <c r="R3705">
        <v>-0.63221329999999998</v>
      </c>
      <c r="S3705">
        <v>-3.0310519999999999</v>
      </c>
      <c r="T3705">
        <v>-0.370919</v>
      </c>
      <c r="U3705">
        <v>-1.0760959999999999</v>
      </c>
      <c r="V3705">
        <v>0.28997590000000001</v>
      </c>
      <c r="W3705">
        <v>5.2279770000000003E-2</v>
      </c>
      <c r="X3705">
        <v>0.95560500000000004</v>
      </c>
      <c r="Y3705">
        <v>0.58817149999999996</v>
      </c>
      <c r="Z3705">
        <v>0.1161045</v>
      </c>
      <c r="AA3705">
        <v>0.80035880000000004</v>
      </c>
      <c r="AB3705">
        <v>21</v>
      </c>
      <c r="AC3705">
        <v>-8.9102999999999692</v>
      </c>
      <c r="AD3705">
        <v>-1.1061165259529999</v>
      </c>
      <c r="AE3705">
        <v>-3.0296999999999898</v>
      </c>
      <c r="AF3705">
        <v>5.6271239207021404</v>
      </c>
      <c r="AG3705">
        <v>-1.1061165259529999</v>
      </c>
      <c r="AH3705">
        <v>7.38314303878321</v>
      </c>
      <c r="AI3705">
        <v>96.794996754294999</v>
      </c>
      <c r="AJ3705">
        <v>52.686860804741499</v>
      </c>
      <c r="AK3705">
        <v>9.3487335248715695</v>
      </c>
      <c r="AL3705">
        <v>87.003223817148097</v>
      </c>
      <c r="AM3705">
        <v>73.119713188260107</v>
      </c>
      <c r="AN3705">
        <v>1.0000000564785201</v>
      </c>
    </row>
    <row r="3706" spans="1:40" x14ac:dyDescent="0.25">
      <c r="A3706" t="str">
        <f>"20190312151346811"</f>
        <v>20190312151346811</v>
      </c>
      <c r="B3706" t="str">
        <f>"1552374826803690"</f>
        <v>1552374826803690</v>
      </c>
      <c r="C3706" t="s">
        <v>40</v>
      </c>
      <c r="D3706">
        <v>4.0781460000000003</v>
      </c>
      <c r="E3706">
        <v>0.63736359999999903</v>
      </c>
      <c r="F3706" t="s">
        <v>58</v>
      </c>
      <c r="G3706">
        <v>-206.84889999999999</v>
      </c>
      <c r="H3706" s="1">
        <v>-8.4125460000000003E-6</v>
      </c>
      <c r="I3706">
        <v>145.8552</v>
      </c>
      <c r="J3706">
        <v>-197.87790000000001</v>
      </c>
      <c r="K3706">
        <v>1.106026</v>
      </c>
      <c r="L3706">
        <v>148.8211</v>
      </c>
      <c r="M3706">
        <v>-0.56402339999999995</v>
      </c>
      <c r="N3706">
        <v>0</v>
      </c>
      <c r="O3706">
        <v>-0.82563969999999898</v>
      </c>
      <c r="P3706">
        <v>-0.77909869999999903</v>
      </c>
      <c r="Q3706">
        <v>4.2379159999999999E-2</v>
      </c>
      <c r="R3706">
        <v>-0.62546729999999995</v>
      </c>
      <c r="S3706">
        <v>-3.0400849999999999</v>
      </c>
      <c r="T3706">
        <v>-0.36954399999999998</v>
      </c>
      <c r="U3706">
        <v>-1.0495300000000001</v>
      </c>
      <c r="V3706">
        <v>0.29109230000000003</v>
      </c>
      <c r="W3706">
        <v>5.2638339999999999E-2</v>
      </c>
      <c r="X3706">
        <v>0.95524569999999998</v>
      </c>
      <c r="Y3706">
        <v>0.5891653</v>
      </c>
      <c r="Z3706">
        <v>0.1154845</v>
      </c>
      <c r="AA3706">
        <v>0.79971719999999902</v>
      </c>
      <c r="AB3706">
        <v>21</v>
      </c>
      <c r="AC3706">
        <v>-8.9709999999999699</v>
      </c>
      <c r="AD3706">
        <v>-1.106034412546</v>
      </c>
      <c r="AE3706">
        <v>-2.9659</v>
      </c>
      <c r="AF3706">
        <v>5.6570243540908898</v>
      </c>
      <c r="AG3706">
        <v>-1.106034412546</v>
      </c>
      <c r="AH3706">
        <v>7.4078498695579604</v>
      </c>
      <c r="AI3706">
        <v>96.767213591798793</v>
      </c>
      <c r="AJ3706">
        <v>52.632740336075003</v>
      </c>
      <c r="AK3706">
        <v>9.3862386691594004</v>
      </c>
      <c r="AL3706">
        <v>86.982650575352096</v>
      </c>
      <c r="AM3706">
        <v>73.052433184785997</v>
      </c>
      <c r="AN3706">
        <v>0.99999993466286496</v>
      </c>
    </row>
    <row r="3707" spans="1:40" x14ac:dyDescent="0.25">
      <c r="A3707" t="str">
        <f>"20190312151346833"</f>
        <v>20190312151346833</v>
      </c>
      <c r="B3707" t="str">
        <f>"1552374826824184"</f>
        <v>1552374826824184</v>
      </c>
      <c r="C3707" t="s">
        <v>40</v>
      </c>
      <c r="D3707">
        <v>4.0682720000000003</v>
      </c>
      <c r="E3707">
        <v>0.63770909999999903</v>
      </c>
      <c r="F3707" t="s">
        <v>58</v>
      </c>
      <c r="G3707">
        <v>-207.0531</v>
      </c>
      <c r="H3707" s="1">
        <v>-8.2933019999999995E-6</v>
      </c>
      <c r="I3707">
        <v>145.74639999999999</v>
      </c>
      <c r="J3707">
        <v>-198.006</v>
      </c>
      <c r="K3707">
        <v>1.105963</v>
      </c>
      <c r="L3707">
        <v>148.64920000000001</v>
      </c>
      <c r="M3707">
        <v>-0.57024010000000003</v>
      </c>
      <c r="N3707">
        <v>0</v>
      </c>
      <c r="O3707">
        <v>-0.82135800000000003</v>
      </c>
      <c r="P3707">
        <v>-0.78394509999999995</v>
      </c>
      <c r="Q3707">
        <v>4.2019180000000003E-2</v>
      </c>
      <c r="R3707">
        <v>-0.61940660000000003</v>
      </c>
      <c r="S3707">
        <v>-3.050049</v>
      </c>
      <c r="T3707">
        <v>-0.36767169999999999</v>
      </c>
      <c r="U3707">
        <v>-1.0221100000000001</v>
      </c>
      <c r="V3707">
        <v>0.29130899999999998</v>
      </c>
      <c r="W3707">
        <v>5.2245960000000001E-2</v>
      </c>
      <c r="X3707">
        <v>0.95520130000000003</v>
      </c>
      <c r="Y3707">
        <v>0.59043059999999903</v>
      </c>
      <c r="Z3707">
        <v>0.11468739999999999</v>
      </c>
      <c r="AA3707">
        <v>0.79889829999999995</v>
      </c>
      <c r="AB3707">
        <v>21</v>
      </c>
      <c r="AC3707">
        <v>-9.0471000000000199</v>
      </c>
      <c r="AD3707">
        <v>-1.1059712933020001</v>
      </c>
      <c r="AE3707">
        <v>-2.9028000000000098</v>
      </c>
      <c r="AF3707">
        <v>5.69896820184597</v>
      </c>
      <c r="AG3707">
        <v>-1.1059712933020001</v>
      </c>
      <c r="AH3707">
        <v>7.4431524587483704</v>
      </c>
      <c r="AI3707">
        <v>96.728552147035302</v>
      </c>
      <c r="AJ3707">
        <v>52.559950221538401</v>
      </c>
      <c r="AK3707">
        <v>9.4393818437136794</v>
      </c>
      <c r="AL3707">
        <v>87.005163614967898</v>
      </c>
      <c r="AM3707">
        <v>73.039797588399907</v>
      </c>
      <c r="AN3707">
        <v>1.0000000486695</v>
      </c>
    </row>
    <row r="3708" spans="1:40" x14ac:dyDescent="0.25">
      <c r="A3708" t="str">
        <f>"20190312151346856"</f>
        <v>20190312151346856</v>
      </c>
      <c r="B3708" t="str">
        <f>"1552374826853463"</f>
        <v>1552374826853463</v>
      </c>
      <c r="C3708" t="s">
        <v>40</v>
      </c>
      <c r="D3708">
        <v>4.035704</v>
      </c>
      <c r="E3708">
        <v>0.63795100000000005</v>
      </c>
      <c r="F3708" t="s">
        <v>58</v>
      </c>
      <c r="G3708">
        <v>-207.22460000000001</v>
      </c>
      <c r="H3708" s="1">
        <v>-8.1912390000000005E-6</v>
      </c>
      <c r="I3708">
        <v>145.64789999999999</v>
      </c>
      <c r="J3708">
        <v>-198.1377</v>
      </c>
      <c r="K3708">
        <v>1.1059129999999999</v>
      </c>
      <c r="L3708">
        <v>148.4753</v>
      </c>
      <c r="M3708">
        <v>-0.57664530000000003</v>
      </c>
      <c r="N3708">
        <v>0</v>
      </c>
      <c r="O3708">
        <v>-0.81687369999999904</v>
      </c>
      <c r="P3708">
        <v>-0.78937919999999995</v>
      </c>
      <c r="Q3708">
        <v>4.201125E-2</v>
      </c>
      <c r="R3708">
        <v>-0.61246690000000004</v>
      </c>
      <c r="S3708">
        <v>-3.0594790000000001</v>
      </c>
      <c r="T3708">
        <v>-0.3670506</v>
      </c>
      <c r="U3708">
        <v>-0.99606320000000004</v>
      </c>
      <c r="V3708">
        <v>0.29227399999999998</v>
      </c>
      <c r="W3708">
        <v>5.219882E-2</v>
      </c>
      <c r="X3708">
        <v>0.95490900000000001</v>
      </c>
      <c r="Y3708">
        <v>0.59106530000000002</v>
      </c>
      <c r="Z3708">
        <v>0.114229</v>
      </c>
      <c r="AA3708">
        <v>0.7984945</v>
      </c>
      <c r="AB3708">
        <v>21</v>
      </c>
      <c r="AC3708">
        <v>-9.0869000000000106</v>
      </c>
      <c r="AD3708">
        <v>-1.1059211912389999</v>
      </c>
      <c r="AE3708">
        <v>-2.8274000000000101</v>
      </c>
      <c r="AF3708">
        <v>5.71582472168617</v>
      </c>
      <c r="AG3708">
        <v>-1.1059211912389999</v>
      </c>
      <c r="AH3708">
        <v>7.4496872703505899</v>
      </c>
      <c r="AI3708">
        <v>96.717287173170604</v>
      </c>
      <c r="AJ3708">
        <v>52.5025239514516</v>
      </c>
      <c r="AK3708">
        <v>9.45471069659426</v>
      </c>
      <c r="AL3708">
        <v>87.007868091857304</v>
      </c>
      <c r="AM3708">
        <v>72.981947612515697</v>
      </c>
      <c r="AN3708">
        <v>1.0000000030831899</v>
      </c>
    </row>
    <row r="3709" spans="1:40" x14ac:dyDescent="0.25">
      <c r="A3709" t="str">
        <f>"20190312151346878"</f>
        <v>20190312151346878</v>
      </c>
      <c r="B3709" t="str">
        <f>"1552374826873959"</f>
        <v>1552374826873959</v>
      </c>
      <c r="C3709" t="s">
        <v>40</v>
      </c>
      <c r="D3709">
        <v>3.9653969999999998</v>
      </c>
      <c r="E3709">
        <v>0.63801300000000005</v>
      </c>
      <c r="F3709" t="s">
        <v>58</v>
      </c>
      <c r="G3709">
        <v>-207.4649</v>
      </c>
      <c r="H3709" s="1">
        <v>-8.0550669999999999E-6</v>
      </c>
      <c r="I3709">
        <v>145.53579999999999</v>
      </c>
      <c r="J3709">
        <v>-198.2664</v>
      </c>
      <c r="K3709">
        <v>1.1058570000000001</v>
      </c>
      <c r="L3709">
        <v>148.30840000000001</v>
      </c>
      <c r="M3709">
        <v>-0.58290600000000004</v>
      </c>
      <c r="N3709">
        <v>0</v>
      </c>
      <c r="O3709">
        <v>-0.81241790000000003</v>
      </c>
      <c r="P3709">
        <v>-0.79476639999999998</v>
      </c>
      <c r="Q3709">
        <v>4.1885279999999997E-2</v>
      </c>
      <c r="R3709">
        <v>-0.60546840000000002</v>
      </c>
      <c r="S3709">
        <v>-3.0692900000000001</v>
      </c>
      <c r="T3709">
        <v>-0.36392550000000001</v>
      </c>
      <c r="U3709">
        <v>-0.96733089999999999</v>
      </c>
      <c r="V3709">
        <v>0.29338360000000002</v>
      </c>
      <c r="W3709">
        <v>5.2032149999999999E-2</v>
      </c>
      <c r="X3709">
        <v>0.95457769999999997</v>
      </c>
      <c r="Y3709">
        <v>0.5925608</v>
      </c>
      <c r="Z3709">
        <v>0.11304549999999999</v>
      </c>
      <c r="AA3709">
        <v>0.79755410000000004</v>
      </c>
      <c r="AB3709">
        <v>21</v>
      </c>
      <c r="AC3709">
        <v>-9.1984999999999904</v>
      </c>
      <c r="AD3709">
        <v>-1.1058650550669999</v>
      </c>
      <c r="AE3709">
        <v>-2.7726000000000099</v>
      </c>
      <c r="AF3709">
        <v>5.7808459635149001</v>
      </c>
      <c r="AG3709">
        <v>-1.1058650550669999</v>
      </c>
      <c r="AH3709">
        <v>7.5155454614698796</v>
      </c>
      <c r="AI3709">
        <v>96.652475968718406</v>
      </c>
      <c r="AJ3709">
        <v>52.433050125918797</v>
      </c>
      <c r="AK3709">
        <v>9.5459175125980096</v>
      </c>
      <c r="AL3709">
        <v>87.017430366062101</v>
      </c>
      <c r="AM3709">
        <v>72.915510457480096</v>
      </c>
      <c r="AN3709">
        <v>0.99999993335993398</v>
      </c>
    </row>
    <row r="3710" spans="1:40" x14ac:dyDescent="0.25">
      <c r="A3710" t="str">
        <f>"20190312151346902"</f>
        <v>20190312151346902</v>
      </c>
      <c r="B3710" t="str">
        <f>"1552374826893480"</f>
        <v>1552374826893480</v>
      </c>
      <c r="C3710" t="s">
        <v>40</v>
      </c>
      <c r="D3710">
        <v>3.9507680000000001</v>
      </c>
      <c r="E3710">
        <v>0.63806870000000004</v>
      </c>
      <c r="F3710" t="s">
        <v>58</v>
      </c>
      <c r="G3710">
        <v>-207.62970000000001</v>
      </c>
      <c r="H3710" s="1">
        <v>-7.9592240000000006E-6</v>
      </c>
      <c r="I3710">
        <v>145.4495</v>
      </c>
      <c r="J3710">
        <v>-198.4023</v>
      </c>
      <c r="K3710">
        <v>1.1057969999999999</v>
      </c>
      <c r="L3710">
        <v>148.1352</v>
      </c>
      <c r="M3710">
        <v>-0.58950950000000002</v>
      </c>
      <c r="N3710">
        <v>0</v>
      </c>
      <c r="O3710">
        <v>-0.80763869999999904</v>
      </c>
      <c r="P3710">
        <v>-0.80015309999999995</v>
      </c>
      <c r="Q3710">
        <v>4.1648919999999999E-2</v>
      </c>
      <c r="R3710">
        <v>-0.5983484</v>
      </c>
      <c r="S3710">
        <v>-3.0778810000000001</v>
      </c>
      <c r="T3710">
        <v>-0.3635198</v>
      </c>
      <c r="U3710">
        <v>-0.93978879999999998</v>
      </c>
      <c r="V3710">
        <v>0.2941397</v>
      </c>
      <c r="W3710">
        <v>5.1757860000000003E-2</v>
      </c>
      <c r="X3710">
        <v>0.95435999999999999</v>
      </c>
      <c r="Y3710">
        <v>0.59320399999999995</v>
      </c>
      <c r="Z3710">
        <v>0.1126591</v>
      </c>
      <c r="AA3710">
        <v>0.79713049999999996</v>
      </c>
      <c r="AB3710">
        <v>21</v>
      </c>
      <c r="AC3710">
        <v>-9.22740000000001</v>
      </c>
      <c r="AD3710">
        <v>-1.105804959224</v>
      </c>
      <c r="AE3710">
        <v>-2.68569999999999</v>
      </c>
      <c r="AF3710">
        <v>5.7930426194661404</v>
      </c>
      <c r="AG3710">
        <v>-1.105804959224</v>
      </c>
      <c r="AH3710">
        <v>7.5100378865713697</v>
      </c>
      <c r="AI3710">
        <v>96.649977185759099</v>
      </c>
      <c r="AJ3710">
        <v>52.354365174760702</v>
      </c>
      <c r="AK3710">
        <v>9.5489693923759607</v>
      </c>
      <c r="AL3710">
        <v>87.033167501544298</v>
      </c>
      <c r="AM3710">
        <v>72.870375855334501</v>
      </c>
      <c r="AN3710">
        <v>1.00000002439393</v>
      </c>
    </row>
    <row r="3711" spans="1:40" x14ac:dyDescent="0.25">
      <c r="A3711" t="str">
        <f>"20190312151346923"</f>
        <v>20190312151346923</v>
      </c>
      <c r="B3711" t="str">
        <f>"1552374826913975"</f>
        <v>1552374826913975</v>
      </c>
      <c r="C3711" t="s">
        <v>40</v>
      </c>
      <c r="D3711">
        <v>3.9406599999999998</v>
      </c>
      <c r="E3711">
        <v>0.63815650000000002</v>
      </c>
      <c r="F3711" t="s">
        <v>58</v>
      </c>
      <c r="G3711">
        <v>-207.79859999999999</v>
      </c>
      <c r="H3711" s="1">
        <v>-7.8603929999999993E-6</v>
      </c>
      <c r="I3711">
        <v>145.3588</v>
      </c>
      <c r="J3711">
        <v>-198.53319999999999</v>
      </c>
      <c r="K3711">
        <v>1.1057440000000001</v>
      </c>
      <c r="L3711">
        <v>147.97130000000001</v>
      </c>
      <c r="M3711">
        <v>-0.59586049999999902</v>
      </c>
      <c r="N3711">
        <v>0</v>
      </c>
      <c r="O3711">
        <v>-0.80296420000000002</v>
      </c>
      <c r="P3711">
        <v>-0.80508119999999905</v>
      </c>
      <c r="Q3711">
        <v>4.1679550000000003E-2</v>
      </c>
      <c r="R3711">
        <v>-0.59169839999999996</v>
      </c>
      <c r="S3711">
        <v>-3.0862729999999998</v>
      </c>
      <c r="T3711">
        <v>-0.36320839999999999</v>
      </c>
      <c r="U3711">
        <v>-0.91192629999999997</v>
      </c>
      <c r="V3711">
        <v>0.29452679999999998</v>
      </c>
      <c r="W3711">
        <v>5.1755009999999997E-2</v>
      </c>
      <c r="X3711">
        <v>0.95424070000000005</v>
      </c>
      <c r="Y3711">
        <v>0.59411639999999999</v>
      </c>
      <c r="Z3711">
        <v>0.1123184</v>
      </c>
      <c r="AA3711">
        <v>0.79649879999999995</v>
      </c>
      <c r="AB3711">
        <v>21</v>
      </c>
      <c r="AC3711">
        <v>-9.2653999999999996</v>
      </c>
      <c r="AD3711">
        <v>-1.1057518603929899</v>
      </c>
      <c r="AE3711">
        <v>-2.61250000000001</v>
      </c>
      <c r="AF3711">
        <v>5.8070675962155498</v>
      </c>
      <c r="AG3711">
        <v>-1.1057518603929899</v>
      </c>
      <c r="AH3711">
        <v>7.5201690397843199</v>
      </c>
      <c r="AI3711">
        <v>96.638154139949407</v>
      </c>
      <c r="AJ3711">
        <v>52.324713226356799</v>
      </c>
      <c r="AK3711">
        <v>9.5654411100957493</v>
      </c>
      <c r="AL3711">
        <v>87.033330838065694</v>
      </c>
      <c r="AM3711">
        <v>72.847136105209898</v>
      </c>
      <c r="AN3711">
        <v>0.99999996525741397</v>
      </c>
    </row>
    <row r="3712" spans="1:40" x14ac:dyDescent="0.25">
      <c r="A3712" t="str">
        <f>"20190312151346950"</f>
        <v>20190312151346950</v>
      </c>
      <c r="B3712" t="str">
        <f>"1552374826944232"</f>
        <v>1552374826944232</v>
      </c>
      <c r="C3712" t="s">
        <v>40</v>
      </c>
      <c r="D3712">
        <v>3.9073500000000001</v>
      </c>
      <c r="E3712">
        <v>0.63820559999999904</v>
      </c>
      <c r="F3712" t="s">
        <v>58</v>
      </c>
      <c r="G3712">
        <v>-208.00569999999999</v>
      </c>
      <c r="H3712" s="1">
        <v>-7.7425340000000005E-6</v>
      </c>
      <c r="I3712">
        <v>145.2604</v>
      </c>
      <c r="J3712">
        <v>-198.6883</v>
      </c>
      <c r="K3712">
        <v>1.1056820000000001</v>
      </c>
      <c r="L3712">
        <v>147.7809</v>
      </c>
      <c r="M3712">
        <v>-0.60336909999999999</v>
      </c>
      <c r="N3712">
        <v>0</v>
      </c>
      <c r="O3712">
        <v>-0.79733719999999997</v>
      </c>
      <c r="P3712">
        <v>-0.8110212</v>
      </c>
      <c r="Q3712">
        <v>4.2099190000000002E-2</v>
      </c>
      <c r="R3712">
        <v>-0.58350049999999998</v>
      </c>
      <c r="S3712">
        <v>-3.0942080000000001</v>
      </c>
      <c r="T3712">
        <v>-0.3611934</v>
      </c>
      <c r="U3712">
        <v>-0.88554379999999999</v>
      </c>
      <c r="V3712">
        <v>0.29525010000000002</v>
      </c>
      <c r="W3712">
        <v>5.2131200000000003E-2</v>
      </c>
      <c r="X3712">
        <v>0.95399670000000003</v>
      </c>
      <c r="Y3712">
        <v>0.59352389999999999</v>
      </c>
      <c r="Z3712">
        <v>0.111316</v>
      </c>
      <c r="AA3712">
        <v>0.79708109999999999</v>
      </c>
      <c r="AB3712">
        <v>21</v>
      </c>
      <c r="AC3712">
        <v>-9.3173999999999904</v>
      </c>
      <c r="AD3712">
        <v>-1.105689742534</v>
      </c>
      <c r="AE3712">
        <v>-2.52049999999999</v>
      </c>
      <c r="AF3712">
        <v>5.8323728395185199</v>
      </c>
      <c r="AG3712">
        <v>-1.105689742534</v>
      </c>
      <c r="AH3712">
        <v>7.5334248163180897</v>
      </c>
      <c r="AI3712">
        <v>96.619854860096694</v>
      </c>
      <c r="AJ3712">
        <v>52.252985619567298</v>
      </c>
      <c r="AK3712">
        <v>9.5912257928283307</v>
      </c>
      <c r="AL3712">
        <v>87.011747686242302</v>
      </c>
      <c r="AM3712">
        <v>72.803354758259303</v>
      </c>
      <c r="AN3712">
        <v>0.99999999358716996</v>
      </c>
    </row>
    <row r="3713" spans="1:40" x14ac:dyDescent="0.25">
      <c r="A3713" t="str">
        <f>"20190312151346969"</f>
        <v>20190312151346969</v>
      </c>
      <c r="B3713" t="str">
        <f>"1552374826963751"</f>
        <v>1552374826963751</v>
      </c>
      <c r="C3713" t="s">
        <v>40</v>
      </c>
      <c r="D3713">
        <v>3.8694730000000002</v>
      </c>
      <c r="E3713">
        <v>0.63811989999999996</v>
      </c>
      <c r="F3713" t="s">
        <v>58</v>
      </c>
      <c r="G3713">
        <v>-208.30099999999999</v>
      </c>
      <c r="H3713" s="1">
        <v>-7.5787300000000004E-6</v>
      </c>
      <c r="I3713">
        <v>145.13579999999999</v>
      </c>
      <c r="J3713">
        <v>-198.81370000000001</v>
      </c>
      <c r="K3713">
        <v>1.1056330000000001</v>
      </c>
      <c r="L3713">
        <v>147.62979999999999</v>
      </c>
      <c r="M3713">
        <v>-0.60941639999999997</v>
      </c>
      <c r="N3713">
        <v>0</v>
      </c>
      <c r="O3713">
        <v>-0.7927244</v>
      </c>
      <c r="P3713">
        <v>-0.815884099999999</v>
      </c>
      <c r="Q3713">
        <v>4.2504500000000001E-2</v>
      </c>
      <c r="R3713">
        <v>-0.57665089999999997</v>
      </c>
      <c r="S3713">
        <v>-3.1032099999999998</v>
      </c>
      <c r="T3713">
        <v>-0.35694629999999999</v>
      </c>
      <c r="U3713">
        <v>-0.85389709999999996</v>
      </c>
      <c r="V3713">
        <v>0.29602050000000002</v>
      </c>
      <c r="W3713">
        <v>5.2501190000000003E-2</v>
      </c>
      <c r="X3713">
        <v>0.95373759999999996</v>
      </c>
      <c r="Y3713">
        <v>0.59574899999999997</v>
      </c>
      <c r="Z3713">
        <v>0.1098315</v>
      </c>
      <c r="AA3713">
        <v>0.79562559999999904</v>
      </c>
      <c r="AB3713">
        <v>21</v>
      </c>
      <c r="AC3713">
        <v>-9.4872999999999692</v>
      </c>
      <c r="AD3713">
        <v>-1.1056405787299901</v>
      </c>
      <c r="AE3713">
        <v>-2.4940000000000002</v>
      </c>
      <c r="AF3713">
        <v>5.9262450253004904</v>
      </c>
      <c r="AG3713">
        <v>-1.1056405787299901</v>
      </c>
      <c r="AH3713">
        <v>7.6622089497880896</v>
      </c>
      <c r="AI3713">
        <v>96.511644364430694</v>
      </c>
      <c r="AJ3713">
        <v>52.280264329793901</v>
      </c>
      <c r="AK3713">
        <v>9.7494752258491406</v>
      </c>
      <c r="AL3713">
        <v>86.990519650725204</v>
      </c>
      <c r="AM3713">
        <v>72.7567340099326</v>
      </c>
      <c r="AN3713">
        <v>0.99999996051271201</v>
      </c>
    </row>
    <row r="3714" spans="1:40" x14ac:dyDescent="0.25">
      <c r="A3714" t="str">
        <f>"20190312151346994"</f>
        <v>20190312151346994</v>
      </c>
      <c r="B3714" t="str">
        <f>"1552374826985224"</f>
        <v>1552374826985224</v>
      </c>
      <c r="C3714" t="s">
        <v>40</v>
      </c>
      <c r="D3714">
        <v>3.870333</v>
      </c>
      <c r="E3714">
        <v>0.63797630000000005</v>
      </c>
      <c r="F3714" t="s">
        <v>58</v>
      </c>
      <c r="G3714">
        <v>-208.49850000000001</v>
      </c>
      <c r="H3714" s="1">
        <v>-7.4682279999999998E-6</v>
      </c>
      <c r="I3714">
        <v>145.04900000000001</v>
      </c>
      <c r="J3714">
        <v>-198.96299999999999</v>
      </c>
      <c r="K3714">
        <v>1.1055950000000001</v>
      </c>
      <c r="L3714">
        <v>147.45320000000001</v>
      </c>
      <c r="M3714">
        <v>-0.61657700000000004</v>
      </c>
      <c r="N3714">
        <v>0</v>
      </c>
      <c r="O3714">
        <v>-0.78716759999999997</v>
      </c>
      <c r="P3714">
        <v>-0.82139769999999901</v>
      </c>
      <c r="Q3714">
        <v>4.2758820000000003E-2</v>
      </c>
      <c r="R3714">
        <v>-0.56875120000000001</v>
      </c>
      <c r="S3714">
        <v>-3.1097869999999999</v>
      </c>
      <c r="T3714">
        <v>-0.35502109999999998</v>
      </c>
      <c r="U3714">
        <v>-0.82868960000000003</v>
      </c>
      <c r="V3714">
        <v>0.29657709999999998</v>
      </c>
      <c r="W3714">
        <v>5.2730239999999998E-2</v>
      </c>
      <c r="X3714">
        <v>0.95355210000000001</v>
      </c>
      <c r="Y3714">
        <v>0.59503779999999995</v>
      </c>
      <c r="Z3714">
        <v>0.1088718</v>
      </c>
      <c r="AA3714">
        <v>0.79628940000000004</v>
      </c>
      <c r="AB3714">
        <v>21</v>
      </c>
      <c r="AC3714">
        <v>-9.5355000000000096</v>
      </c>
      <c r="AD3714">
        <v>-1.1056024682279999</v>
      </c>
      <c r="AE3714">
        <v>-2.4041999999999999</v>
      </c>
      <c r="AF3714">
        <v>5.9490687550168504</v>
      </c>
      <c r="AG3714">
        <v>-1.1056024682279999</v>
      </c>
      <c r="AH3714">
        <v>7.6756359815147297</v>
      </c>
      <c r="AI3714">
        <v>96.495075443437997</v>
      </c>
      <c r="AJ3714">
        <v>52.222213092298297</v>
      </c>
      <c r="AK3714">
        <v>9.7739021680387808</v>
      </c>
      <c r="AL3714">
        <v>86.977378061356703</v>
      </c>
      <c r="AM3714">
        <v>72.723079137623699</v>
      </c>
      <c r="AN3714">
        <v>1.00000003093463</v>
      </c>
    </row>
    <row r="3715" spans="1:40" x14ac:dyDescent="0.25">
      <c r="A3715" t="str">
        <f>"20190312151347012"</f>
        <v>20190312151347012</v>
      </c>
      <c r="B3715" t="str">
        <f>"1552374827003768"</f>
        <v>1552374827003768</v>
      </c>
      <c r="C3715" t="s">
        <v>40</v>
      </c>
      <c r="D3715">
        <v>3.9223300000000001</v>
      </c>
      <c r="E3715">
        <v>0.63780559999999997</v>
      </c>
      <c r="F3715" t="s">
        <v>58</v>
      </c>
      <c r="G3715">
        <v>-208.72900000000001</v>
      </c>
      <c r="H3715" s="1">
        <v>-7.3391419999999996E-6</v>
      </c>
      <c r="I3715">
        <v>144.94730000000001</v>
      </c>
      <c r="J3715">
        <v>-199.0804</v>
      </c>
      <c r="K3715">
        <v>1.105572</v>
      </c>
      <c r="L3715">
        <v>147.31649999999999</v>
      </c>
      <c r="M3715">
        <v>-0.6221778</v>
      </c>
      <c r="N3715">
        <v>0</v>
      </c>
      <c r="O3715">
        <v>-0.782748</v>
      </c>
      <c r="P3715">
        <v>-0.82578359999999995</v>
      </c>
      <c r="Q3715">
        <v>4.2849400000000003E-2</v>
      </c>
      <c r="R3715">
        <v>-0.56235690000000005</v>
      </c>
      <c r="S3715">
        <v>-3.1168979999999999</v>
      </c>
      <c r="T3715">
        <v>-0.35286129999999999</v>
      </c>
      <c r="U3715">
        <v>-0.79977419999999899</v>
      </c>
      <c r="V3715">
        <v>0.29717690000000002</v>
      </c>
      <c r="W3715">
        <v>5.2802620000000001E-2</v>
      </c>
      <c r="X3715">
        <v>0.95336129999999997</v>
      </c>
      <c r="Y3715">
        <v>0.59678439999999999</v>
      </c>
      <c r="Z3715">
        <v>0.108034199999999</v>
      </c>
      <c r="AA3715">
        <v>0.79509560000000001</v>
      </c>
      <c r="AB3715">
        <v>21</v>
      </c>
      <c r="AC3715">
        <v>-9.6486000000000107</v>
      </c>
      <c r="AD3715">
        <v>-1.1055793391419999</v>
      </c>
      <c r="AE3715">
        <v>-2.36919999999997</v>
      </c>
      <c r="AF3715">
        <v>6.0046127619658902</v>
      </c>
      <c r="AG3715">
        <v>-1.1055793391419999</v>
      </c>
      <c r="AH3715">
        <v>7.7622982349875604</v>
      </c>
      <c r="AI3715">
        <v>96.427656206424103</v>
      </c>
      <c r="AJ3715">
        <v>52.275854582575001</v>
      </c>
      <c r="AK3715">
        <v>9.8757761206495704</v>
      </c>
      <c r="AL3715">
        <v>86.973225106116502</v>
      </c>
      <c r="AM3715">
        <v>72.686966617485794</v>
      </c>
      <c r="AN3715">
        <v>0.99999999745508195</v>
      </c>
    </row>
    <row r="3716" spans="1:40" x14ac:dyDescent="0.25">
      <c r="A3716" t="str">
        <f>"20190312151347035"</f>
        <v>20190312151347035</v>
      </c>
      <c r="B3716" t="str">
        <f>"1552374827024267"</f>
        <v>1552374827024267</v>
      </c>
      <c r="C3716" t="s">
        <v>40</v>
      </c>
      <c r="D3716">
        <v>3.9116590000000002</v>
      </c>
      <c r="E3716">
        <v>0.6376619</v>
      </c>
      <c r="F3716" t="s">
        <v>58</v>
      </c>
      <c r="G3716">
        <v>-208.90459999999999</v>
      </c>
      <c r="H3716" s="1">
        <v>-7.2413969999999898E-6</v>
      </c>
      <c r="I3716">
        <v>144.87200000000001</v>
      </c>
      <c r="J3716">
        <v>-199.2259</v>
      </c>
      <c r="K3716">
        <v>1.10555</v>
      </c>
      <c r="L3716">
        <v>147.15010000000001</v>
      </c>
      <c r="M3716">
        <v>-0.62907060000000004</v>
      </c>
      <c r="N3716">
        <v>0</v>
      </c>
      <c r="O3716">
        <v>-0.77721909999999905</v>
      </c>
      <c r="P3716">
        <v>-0.83123239999999998</v>
      </c>
      <c r="Q3716">
        <v>4.2575259999999997E-2</v>
      </c>
      <c r="R3716">
        <v>-0.55429229999999996</v>
      </c>
      <c r="S3716">
        <v>-3.1221009999999998</v>
      </c>
      <c r="T3716">
        <v>-0.35135110000000003</v>
      </c>
      <c r="U3716">
        <v>-0.77685550000000003</v>
      </c>
      <c r="V3716">
        <v>0.29804330000000001</v>
      </c>
      <c r="W3716">
        <v>5.2506909999999997E-2</v>
      </c>
      <c r="X3716">
        <v>0.95310709999999998</v>
      </c>
      <c r="Y3716">
        <v>0.59561140000000001</v>
      </c>
      <c r="Z3716">
        <v>0.1071889</v>
      </c>
      <c r="AA3716">
        <v>0.79608889999999999</v>
      </c>
      <c r="AB3716">
        <v>21</v>
      </c>
      <c r="AC3716">
        <v>-9.6786999999999903</v>
      </c>
      <c r="AD3716">
        <v>-1.1055572413969901</v>
      </c>
      <c r="AE3716">
        <v>-2.27809999999999</v>
      </c>
      <c r="AF3716">
        <v>6.0156267524174298</v>
      </c>
      <c r="AG3716">
        <v>-1.1055572413969901</v>
      </c>
      <c r="AH3716">
        <v>7.7639738262884999</v>
      </c>
      <c r="AI3716">
        <v>96.422293514935305</v>
      </c>
      <c r="AJ3716">
        <v>52.231015201391997</v>
      </c>
      <c r="AK3716">
        <v>9.8837903465066805</v>
      </c>
      <c r="AL3716">
        <v>86.990191477214594</v>
      </c>
      <c r="AM3716">
        <v>72.635168869241298</v>
      </c>
      <c r="AN3716">
        <v>0.99999996417152304</v>
      </c>
    </row>
    <row r="3717" spans="1:40" x14ac:dyDescent="0.25">
      <c r="A3717" t="str">
        <f>"20190312151347057"</f>
        <v>20190312151347057</v>
      </c>
      <c r="B3717" t="str">
        <f>"1552374827054520"</f>
        <v>1552374827054520</v>
      </c>
      <c r="C3717" t="s">
        <v>40</v>
      </c>
      <c r="D3717">
        <v>3.9277229999999999</v>
      </c>
      <c r="E3717">
        <v>0.63738859999999997</v>
      </c>
      <c r="F3717" t="s">
        <v>58</v>
      </c>
      <c r="G3717">
        <v>-209.07490000000001</v>
      </c>
      <c r="H3717" s="1">
        <v>-7.1462600000000003E-6</v>
      </c>
      <c r="I3717">
        <v>144.79769999999999</v>
      </c>
      <c r="J3717">
        <v>-199.3614</v>
      </c>
      <c r="K3717">
        <v>1.1055219999999999</v>
      </c>
      <c r="L3717">
        <v>146.99789999999999</v>
      </c>
      <c r="M3717">
        <v>-0.63545050000000003</v>
      </c>
      <c r="N3717">
        <v>0</v>
      </c>
      <c r="O3717">
        <v>-0.77201149999999996</v>
      </c>
      <c r="P3717">
        <v>-0.83603400000000005</v>
      </c>
      <c r="Q3717">
        <v>4.2501629999999999E-2</v>
      </c>
      <c r="R3717">
        <v>-0.54702930000000005</v>
      </c>
      <c r="S3717">
        <v>-3.128784</v>
      </c>
      <c r="T3717">
        <v>-0.35120669999999998</v>
      </c>
      <c r="U3717">
        <v>-0.74729919999999905</v>
      </c>
      <c r="V3717">
        <v>0.29850290000000002</v>
      </c>
      <c r="W3717">
        <v>5.2416909999999997E-2</v>
      </c>
      <c r="X3717">
        <v>0.95296820000000004</v>
      </c>
      <c r="Y3717">
        <v>0.59654019999999996</v>
      </c>
      <c r="Z3717">
        <v>0.1068733</v>
      </c>
      <c r="AA3717">
        <v>0.79543569999999997</v>
      </c>
      <c r="AB3717">
        <v>21</v>
      </c>
      <c r="AC3717">
        <v>-9.7134999999999998</v>
      </c>
      <c r="AD3717">
        <v>-1.1055291462600001</v>
      </c>
      <c r="AE3717">
        <v>-2.2001999999999899</v>
      </c>
      <c r="AF3717">
        <v>6.0271654258614102</v>
      </c>
      <c r="AG3717">
        <v>-1.1055291462600001</v>
      </c>
      <c r="AH3717">
        <v>7.7760077349859298</v>
      </c>
      <c r="AI3717">
        <v>96.411399015834903</v>
      </c>
      <c r="AJ3717">
        <v>52.220819912554603</v>
      </c>
      <c r="AK3717">
        <v>9.9002633327851797</v>
      </c>
      <c r="AL3717">
        <v>86.995355171754198</v>
      </c>
      <c r="AM3717">
        <v>72.607622806196403</v>
      </c>
      <c r="AN3717">
        <v>0.99999995198679803</v>
      </c>
    </row>
    <row r="3718" spans="1:40" x14ac:dyDescent="0.25">
      <c r="A3718" t="str">
        <f>"20190312151347078"</f>
        <v>20190312151347078</v>
      </c>
      <c r="B3718" t="str">
        <f>"1552374827074040"</f>
        <v>1552374827074040</v>
      </c>
      <c r="C3718" t="s">
        <v>40</v>
      </c>
      <c r="D3718">
        <v>3.9181279999999998</v>
      </c>
      <c r="E3718">
        <v>0.63719169999999903</v>
      </c>
      <c r="F3718" t="s">
        <v>58</v>
      </c>
      <c r="G3718">
        <v>-209.27379999999999</v>
      </c>
      <c r="H3718" s="1">
        <v>-7.0361079999999997E-6</v>
      </c>
      <c r="I3718">
        <v>144.71449999999999</v>
      </c>
      <c r="J3718">
        <v>-199.50069999999999</v>
      </c>
      <c r="K3718">
        <v>1.1054949999999999</v>
      </c>
      <c r="L3718">
        <v>146.8441</v>
      </c>
      <c r="M3718">
        <v>-0.64196350000000002</v>
      </c>
      <c r="N3718">
        <v>0</v>
      </c>
      <c r="O3718">
        <v>-0.76660399999999995</v>
      </c>
      <c r="P3718">
        <v>-0.84062079999999995</v>
      </c>
      <c r="Q3718">
        <v>4.2997279999999999E-2</v>
      </c>
      <c r="R3718">
        <v>-0.53991499999999903</v>
      </c>
      <c r="S3718">
        <v>-3.1337890000000002</v>
      </c>
      <c r="T3718">
        <v>-0.34951159999999998</v>
      </c>
      <c r="U3718">
        <v>-0.72189329999999996</v>
      </c>
      <c r="V3718">
        <v>0.29851270000000002</v>
      </c>
      <c r="W3718">
        <v>5.2899759999999997E-2</v>
      </c>
      <c r="X3718">
        <v>0.95293850000000002</v>
      </c>
      <c r="Y3718">
        <v>0.59625799999999995</v>
      </c>
      <c r="Z3718">
        <v>0.1060296</v>
      </c>
      <c r="AA3718">
        <v>0.79576020000000003</v>
      </c>
      <c r="AB3718">
        <v>21</v>
      </c>
      <c r="AC3718">
        <v>-9.7730999999999995</v>
      </c>
      <c r="AD3718">
        <v>-1.1055020361079999</v>
      </c>
      <c r="AE3718">
        <v>-2.1296000000000102</v>
      </c>
      <c r="AF3718">
        <v>6.0516647495841003</v>
      </c>
      <c r="AG3718">
        <v>-1.1055020361079999</v>
      </c>
      <c r="AH3718">
        <v>7.8119032349552198</v>
      </c>
      <c r="AI3718">
        <v>96.383330986761905</v>
      </c>
      <c r="AJ3718">
        <v>52.236049225596503</v>
      </c>
      <c r="AK3718">
        <v>9.9433703111923606</v>
      </c>
      <c r="AL3718">
        <v>86.967651614475301</v>
      </c>
      <c r="AM3718">
        <v>72.606576857623693</v>
      </c>
      <c r="AN3718">
        <v>1.0000000007257901</v>
      </c>
    </row>
    <row r="3719" spans="1:40" x14ac:dyDescent="0.25">
      <c r="A3719" t="str">
        <f>"20190312151347102"</f>
        <v>20190312151347102</v>
      </c>
      <c r="B3719" t="str">
        <f>"1552374827094535"</f>
        <v>1552374827094535</v>
      </c>
      <c r="C3719" t="s">
        <v>40</v>
      </c>
      <c r="D3719">
        <v>4.0239180000000001</v>
      </c>
      <c r="E3719">
        <v>0.63697729999999997</v>
      </c>
      <c r="F3719" t="s">
        <v>58</v>
      </c>
      <c r="G3719">
        <v>-209.52350000000001</v>
      </c>
      <c r="H3719" s="1">
        <v>-6.9004250000000001E-6</v>
      </c>
      <c r="I3719">
        <v>144.62010000000001</v>
      </c>
      <c r="J3719">
        <v>-199.64660000000001</v>
      </c>
      <c r="K3719">
        <v>1.105459</v>
      </c>
      <c r="L3719">
        <v>146.6859</v>
      </c>
      <c r="M3719">
        <v>-0.64873919999999996</v>
      </c>
      <c r="N3719">
        <v>0</v>
      </c>
      <c r="O3719">
        <v>-0.76087819999999995</v>
      </c>
      <c r="P3719">
        <v>-0.84508879999999997</v>
      </c>
      <c r="Q3719">
        <v>4.3545479999999998E-2</v>
      </c>
      <c r="R3719">
        <v>-0.53284980000000004</v>
      </c>
      <c r="S3719">
        <v>-3.1391450000000001</v>
      </c>
      <c r="T3719">
        <v>-0.34624159999999998</v>
      </c>
      <c r="U3719">
        <v>-0.69656370000000001</v>
      </c>
      <c r="V3719">
        <v>0.29803629999999998</v>
      </c>
      <c r="W3719">
        <v>5.3438779999999998E-2</v>
      </c>
      <c r="X3719">
        <v>0.9530575</v>
      </c>
      <c r="Y3719">
        <v>0.59572040000000004</v>
      </c>
      <c r="Z3719">
        <v>0.10466</v>
      </c>
      <c r="AA3719">
        <v>0.79634389999999999</v>
      </c>
      <c r="AB3719">
        <v>21</v>
      </c>
      <c r="AC3719">
        <v>-9.8768999999999991</v>
      </c>
      <c r="AD3719">
        <v>-1.105465900425</v>
      </c>
      <c r="AE3719">
        <v>-2.0657999999999901</v>
      </c>
      <c r="AF3719">
        <v>6.1023352396809303</v>
      </c>
      <c r="AG3719">
        <v>-1.105465900425</v>
      </c>
      <c r="AH3719">
        <v>7.8855174748700998</v>
      </c>
      <c r="AI3719">
        <v>96.326468384075795</v>
      </c>
      <c r="AJ3719">
        <v>52.264924273113202</v>
      </c>
      <c r="AK3719">
        <v>10.032045458476301</v>
      </c>
      <c r="AL3719">
        <v>86.936724198945896</v>
      </c>
      <c r="AM3719">
        <v>72.634702823917095</v>
      </c>
      <c r="AN3719">
        <v>0.99999996881591302</v>
      </c>
    </row>
    <row r="3720" spans="1:40" x14ac:dyDescent="0.25">
      <c r="A3720" t="str">
        <f>"20190312151347124"</f>
        <v>20190312151347124</v>
      </c>
      <c r="B3720" t="str">
        <f>"1552374827114055"</f>
        <v>1552374827114055</v>
      </c>
      <c r="C3720" t="s">
        <v>40</v>
      </c>
      <c r="D3720">
        <v>4.0350250000000001</v>
      </c>
      <c r="E3720">
        <v>0.63671849999999997</v>
      </c>
      <c r="F3720" t="s">
        <v>58</v>
      </c>
      <c r="G3720">
        <v>-209.78720000000001</v>
      </c>
      <c r="H3720" s="1">
        <v>-6.757252E-6</v>
      </c>
      <c r="I3720">
        <v>144.52070000000001</v>
      </c>
      <c r="J3720">
        <v>-199.79650000000001</v>
      </c>
      <c r="K3720">
        <v>1.105407</v>
      </c>
      <c r="L3720">
        <v>146.5264</v>
      </c>
      <c r="M3720">
        <v>-0.65565209999999996</v>
      </c>
      <c r="N3720">
        <v>0</v>
      </c>
      <c r="O3720">
        <v>-0.75492950000000003</v>
      </c>
      <c r="P3720">
        <v>-0.8494448</v>
      </c>
      <c r="Q3720">
        <v>4.3968920000000002E-2</v>
      </c>
      <c r="R3720">
        <v>-0.52584259999999905</v>
      </c>
      <c r="S3720">
        <v>-3.1442869999999998</v>
      </c>
      <c r="T3720">
        <v>-0.34277069999999998</v>
      </c>
      <c r="U3720">
        <v>-0.67137150000000001</v>
      </c>
      <c r="V3720">
        <v>0.29721959999999997</v>
      </c>
      <c r="W3720">
        <v>5.3853980000000003E-2</v>
      </c>
      <c r="X3720">
        <v>0.95328919999999995</v>
      </c>
      <c r="Y3720">
        <v>0.59494910000000001</v>
      </c>
      <c r="Z3720">
        <v>0.10320550000000001</v>
      </c>
      <c r="AA3720">
        <v>0.79710990000000004</v>
      </c>
      <c r="AB3720">
        <v>21</v>
      </c>
      <c r="AC3720">
        <v>-9.9907000000000004</v>
      </c>
      <c r="AD3720">
        <v>-1.105413757252</v>
      </c>
      <c r="AE3720">
        <v>-2.0056999999999898</v>
      </c>
      <c r="AF3720">
        <v>6.1554248282808599</v>
      </c>
      <c r="AG3720">
        <v>-1.105413757252</v>
      </c>
      <c r="AH3720">
        <v>7.9715906095974196</v>
      </c>
      <c r="AI3720">
        <v>96.263507727024006</v>
      </c>
      <c r="AJ3720">
        <v>52.325749239030102</v>
      </c>
      <c r="AK3720">
        <v>10.1320013441748</v>
      </c>
      <c r="AL3720">
        <v>86.912900843548101</v>
      </c>
      <c r="AM3720">
        <v>72.683396390931605</v>
      </c>
      <c r="AN3720">
        <v>1.00000002031132</v>
      </c>
    </row>
    <row r="3721" spans="1:40" x14ac:dyDescent="0.25">
      <c r="A3721" t="str">
        <f>"20190312151347148"</f>
        <v>20190312151347148</v>
      </c>
      <c r="B3721" t="str">
        <f>"1552374827144312"</f>
        <v>1552374827144312</v>
      </c>
      <c r="C3721" t="s">
        <v>40</v>
      </c>
      <c r="D3721">
        <v>4.0901389999999997</v>
      </c>
      <c r="E3721">
        <v>0.63625129999999996</v>
      </c>
      <c r="F3721" t="s">
        <v>42</v>
      </c>
      <c r="G3721">
        <v>-209.9966</v>
      </c>
      <c r="H3721" s="1">
        <v>-5.5663420000000003E-6</v>
      </c>
      <c r="I3721">
        <v>144.42930000000001</v>
      </c>
      <c r="J3721">
        <v>-199.94409999999999</v>
      </c>
      <c r="K3721">
        <v>1.1053630000000001</v>
      </c>
      <c r="L3721">
        <v>146.37260000000001</v>
      </c>
      <c r="M3721">
        <v>-0.66242400000000001</v>
      </c>
      <c r="N3721">
        <v>0</v>
      </c>
      <c r="O3721">
        <v>-0.74899389999999999</v>
      </c>
      <c r="P3721">
        <v>-0.85369110000000004</v>
      </c>
      <c r="Q3721">
        <v>4.3238619999999998E-2</v>
      </c>
      <c r="R3721">
        <v>-0.51898140000000004</v>
      </c>
      <c r="S3721">
        <v>-3.148666</v>
      </c>
      <c r="T3721">
        <v>-0.34122989999999997</v>
      </c>
      <c r="U3721">
        <v>-0.64735410000000004</v>
      </c>
      <c r="V3721">
        <v>0.29633979999999999</v>
      </c>
      <c r="W3721">
        <v>5.3114509999999997E-2</v>
      </c>
      <c r="X3721">
        <v>0.95360449999999997</v>
      </c>
      <c r="Y3721">
        <v>0.59387389999999995</v>
      </c>
      <c r="Z3721">
        <v>0.1023245</v>
      </c>
      <c r="AA3721">
        <v>0.79802479999999998</v>
      </c>
      <c r="AB3721">
        <v>21</v>
      </c>
      <c r="AC3721">
        <v>-10.0525</v>
      </c>
      <c r="AD3721">
        <v>-1.1053685663420001</v>
      </c>
      <c r="AE3721">
        <v>-1.94329999999999</v>
      </c>
      <c r="AF3721">
        <v>6.1706823915342701</v>
      </c>
      <c r="AG3721">
        <v>-1.1053685663420001</v>
      </c>
      <c r="AH3721">
        <v>8.0218601199553703</v>
      </c>
      <c r="AI3721">
        <v>96.233088821216597</v>
      </c>
      <c r="AJ3721">
        <v>52.431314812026102</v>
      </c>
      <c r="AK3721">
        <v>10.1808349671713</v>
      </c>
      <c r="AL3721">
        <v>86.9553299763746</v>
      </c>
      <c r="AM3721">
        <v>72.7369732348441</v>
      </c>
      <c r="AN3721">
        <v>0.99999998532841405</v>
      </c>
    </row>
    <row r="3722" spans="1:40" x14ac:dyDescent="0.25">
      <c r="A3722" t="str">
        <f>"20190312151347170"</f>
        <v>20190312151347170</v>
      </c>
      <c r="B3722" t="str">
        <f>"1552374827163832"</f>
        <v>1552374827163832</v>
      </c>
      <c r="C3722" t="s">
        <v>40</v>
      </c>
      <c r="D3722">
        <v>4.0990769999999896</v>
      </c>
      <c r="E3722">
        <v>0.63592990000000005</v>
      </c>
      <c r="F3722" t="s">
        <v>42</v>
      </c>
      <c r="G3722">
        <v>-210.10939999999999</v>
      </c>
      <c r="H3722" s="1">
        <v>-5.5101680000000002E-6</v>
      </c>
      <c r="I3722">
        <v>144.3569</v>
      </c>
      <c r="J3722">
        <v>-200.09309999999999</v>
      </c>
      <c r="K3722">
        <v>1.105307</v>
      </c>
      <c r="L3722">
        <v>146.22030000000001</v>
      </c>
      <c r="M3722">
        <v>-0.66922619999999999</v>
      </c>
      <c r="N3722">
        <v>0</v>
      </c>
      <c r="O3722">
        <v>-0.74292259999999999</v>
      </c>
      <c r="P3722">
        <v>-0.8577302</v>
      </c>
      <c r="Q3722">
        <v>4.2538409999999999E-2</v>
      </c>
      <c r="R3722">
        <v>-0.51233790000000001</v>
      </c>
      <c r="S3722">
        <v>-3.1515960000000001</v>
      </c>
      <c r="T3722">
        <v>-0.34270319999999999</v>
      </c>
      <c r="U3722">
        <v>-0.62493900000000002</v>
      </c>
      <c r="V3722">
        <v>0.29507129999999998</v>
      </c>
      <c r="W3722">
        <v>5.2411680000000002E-2</v>
      </c>
      <c r="X3722">
        <v>0.95403669999999996</v>
      </c>
      <c r="Y3722">
        <v>0.59213579999999999</v>
      </c>
      <c r="Z3722">
        <v>0.1023235</v>
      </c>
      <c r="AA3722">
        <v>0.79931549999999996</v>
      </c>
      <c r="AB3722">
        <v>21</v>
      </c>
      <c r="AC3722">
        <v>-10.016299999999999</v>
      </c>
      <c r="AD3722">
        <v>-1.1053125101679999</v>
      </c>
      <c r="AE3722">
        <v>-1.8634000000000099</v>
      </c>
      <c r="AF3722">
        <v>6.1228597191812097</v>
      </c>
      <c r="AG3722">
        <v>-1.1053125101679999</v>
      </c>
      <c r="AH3722">
        <v>7.9942575937473697</v>
      </c>
      <c r="AI3722">
        <v>96.264101065739396</v>
      </c>
      <c r="AJ3722">
        <v>52.551235019099302</v>
      </c>
      <c r="AK3722">
        <v>10.1301175393523</v>
      </c>
      <c r="AL3722">
        <v>86.995655507678606</v>
      </c>
      <c r="AM3722">
        <v>72.813833257233199</v>
      </c>
      <c r="AN3722">
        <v>1.0000000406155001</v>
      </c>
    </row>
    <row r="3723" spans="1:40" x14ac:dyDescent="0.25">
      <c r="A3723" t="str">
        <f>"20190312151347191"</f>
        <v>20190312151347191</v>
      </c>
      <c r="B3723" t="str">
        <f>"1552374827184327"</f>
        <v>1552374827184327</v>
      </c>
      <c r="C3723" t="s">
        <v>40</v>
      </c>
      <c r="D3723">
        <v>4.1079220000000003</v>
      </c>
      <c r="E3723">
        <v>0.63556000000000001</v>
      </c>
      <c r="F3723" t="s">
        <v>42</v>
      </c>
      <c r="G3723">
        <v>-210.22550000000001</v>
      </c>
      <c r="H3723" s="1">
        <v>-5.453102E-6</v>
      </c>
      <c r="I3723">
        <v>144.28649999999999</v>
      </c>
      <c r="J3723">
        <v>-200.23140000000001</v>
      </c>
      <c r="K3723">
        <v>1.1052709999999999</v>
      </c>
      <c r="L3723">
        <v>146.08150000000001</v>
      </c>
      <c r="M3723">
        <v>-0.67550069999999995</v>
      </c>
      <c r="N3723">
        <v>0</v>
      </c>
      <c r="O3723">
        <v>-0.73722169999999998</v>
      </c>
      <c r="P3723">
        <v>-0.86129560000000005</v>
      </c>
      <c r="Q3723">
        <v>4.2504729999999998E-2</v>
      </c>
      <c r="R3723">
        <v>-0.50632370000000004</v>
      </c>
      <c r="S3723">
        <v>-3.155014</v>
      </c>
      <c r="T3723">
        <v>-0.34417049999999999</v>
      </c>
      <c r="U3723">
        <v>-0.60212710000000003</v>
      </c>
      <c r="V3723">
        <v>0.29366320000000001</v>
      </c>
      <c r="W3723">
        <v>5.2383579999999999E-2</v>
      </c>
      <c r="X3723">
        <v>0.9544726</v>
      </c>
      <c r="Y3723">
        <v>0.59103289999999997</v>
      </c>
      <c r="Z3723">
        <v>0.1023498</v>
      </c>
      <c r="AA3723">
        <v>0.8001279</v>
      </c>
      <c r="AB3723">
        <v>21</v>
      </c>
      <c r="AC3723">
        <v>-9.9940999999999995</v>
      </c>
      <c r="AD3723">
        <v>-1.1052764531019901</v>
      </c>
      <c r="AE3723">
        <v>-1.7950000000000099</v>
      </c>
      <c r="AF3723">
        <v>6.0838830675198299</v>
      </c>
      <c r="AG3723">
        <v>-1.1052764531019901</v>
      </c>
      <c r="AH3723">
        <v>7.9805953719576301</v>
      </c>
      <c r="AI3723">
        <v>96.285273931149803</v>
      </c>
      <c r="AJ3723">
        <v>52.680476732624697</v>
      </c>
      <c r="AK3723">
        <v>10.0957997062118</v>
      </c>
      <c r="AL3723">
        <v>86.997267699780707</v>
      </c>
      <c r="AM3723">
        <v>72.898404899471501</v>
      </c>
      <c r="AN3723">
        <v>1.0000000293193001</v>
      </c>
    </row>
    <row r="3724" spans="1:40" x14ac:dyDescent="0.25">
      <c r="A3724" t="str">
        <f>"20190312151347214"</f>
        <v>20190312151347214</v>
      </c>
      <c r="B3724" t="str">
        <f>"1552374827203848"</f>
        <v>1552374827203848</v>
      </c>
      <c r="C3724" t="s">
        <v>40</v>
      </c>
      <c r="D3724">
        <v>4.0583210000000003</v>
      </c>
      <c r="E3724">
        <v>0.61737730000000002</v>
      </c>
      <c r="F3724" t="s">
        <v>42</v>
      </c>
      <c r="G3724">
        <v>-210.3869</v>
      </c>
      <c r="H3724" s="1">
        <v>-5.377395E-6</v>
      </c>
      <c r="I3724">
        <v>144.20920000000001</v>
      </c>
      <c r="J3724">
        <v>-200.39</v>
      </c>
      <c r="K3724">
        <v>1.1052310000000001</v>
      </c>
      <c r="L3724">
        <v>145.92529999999999</v>
      </c>
      <c r="M3724">
        <v>-0.68264340000000001</v>
      </c>
      <c r="N3724">
        <v>0</v>
      </c>
      <c r="O3724">
        <v>-0.7306125</v>
      </c>
      <c r="P3724">
        <v>-0.86532749999999903</v>
      </c>
      <c r="Q3724">
        <v>4.2609470000000003E-2</v>
      </c>
      <c r="R3724">
        <v>-0.49939240000000001</v>
      </c>
      <c r="S3724">
        <v>-3.1578520000000001</v>
      </c>
      <c r="T3724">
        <v>-0.34368490000000002</v>
      </c>
      <c r="U3724">
        <v>-0.58218380000000003</v>
      </c>
      <c r="V3724">
        <v>0.29203829999999997</v>
      </c>
      <c r="W3724">
        <v>5.2498820000000002E-2</v>
      </c>
      <c r="X3724">
        <v>0.95496460000000005</v>
      </c>
      <c r="Y3724">
        <v>0.58827969999999996</v>
      </c>
      <c r="Z3724">
        <v>0.1016439</v>
      </c>
      <c r="AA3724">
        <v>0.80224410000000002</v>
      </c>
      <c r="AB3724">
        <v>21</v>
      </c>
      <c r="AC3724">
        <v>-9.9969000000000001</v>
      </c>
      <c r="AD3724">
        <v>-1.10523637739499</v>
      </c>
      <c r="AE3724">
        <v>-1.71609999999998</v>
      </c>
      <c r="AF3724">
        <v>6.0610357006375803</v>
      </c>
      <c r="AG3724">
        <v>-1.10523637739499</v>
      </c>
      <c r="AH3724">
        <v>7.9841463125282797</v>
      </c>
      <c r="AI3724">
        <v>96.291893783812</v>
      </c>
      <c r="AJ3724">
        <v>52.796636388332097</v>
      </c>
      <c r="AK3724">
        <v>10.084854662025499</v>
      </c>
      <c r="AL3724">
        <v>86.990655570510498</v>
      </c>
      <c r="AM3724">
        <v>72.995812368634802</v>
      </c>
      <c r="AN3724">
        <v>0.99999994101071898</v>
      </c>
    </row>
    <row r="3725" spans="1:40" x14ac:dyDescent="0.25">
      <c r="A3725" t="str">
        <f>"20190312151347235"</f>
        <v>20190312151347235</v>
      </c>
      <c r="B3725" t="str">
        <f>"1552374827224343"</f>
        <v>1552374827224343</v>
      </c>
      <c r="C3725" t="s">
        <v>40</v>
      </c>
      <c r="D3725">
        <v>4.1556350000000002</v>
      </c>
      <c r="E3725">
        <v>0.61539409999999894</v>
      </c>
      <c r="F3725" t="s">
        <v>42</v>
      </c>
      <c r="G3725">
        <v>-210.13749999999999</v>
      </c>
      <c r="H3725" s="1">
        <v>-5.3959679999999996E-6</v>
      </c>
      <c r="I3725">
        <v>143.77379999999999</v>
      </c>
      <c r="J3725">
        <v>-200.53290000000001</v>
      </c>
      <c r="K3725">
        <v>1.105202</v>
      </c>
      <c r="L3725">
        <v>145.78739999999999</v>
      </c>
      <c r="M3725">
        <v>-0.68902819999999998</v>
      </c>
      <c r="N3725">
        <v>0</v>
      </c>
      <c r="O3725">
        <v>-0.72459410000000002</v>
      </c>
      <c r="P3725">
        <v>-0.86893790000000004</v>
      </c>
      <c r="Q3725">
        <v>4.2493349999999999E-2</v>
      </c>
      <c r="R3725">
        <v>-0.49309439999999999</v>
      </c>
      <c r="S3725">
        <v>-3.0905</v>
      </c>
      <c r="T3725">
        <v>-0.35042430000000002</v>
      </c>
      <c r="U3725">
        <v>-0.68215939999999997</v>
      </c>
      <c r="V3725">
        <v>0.29060039999999998</v>
      </c>
      <c r="W3725">
        <v>5.2395009999999999E-2</v>
      </c>
      <c r="X3725">
        <v>0.95540890000000001</v>
      </c>
      <c r="Y3725">
        <v>0.55239499999999997</v>
      </c>
      <c r="Z3725">
        <v>0.10285329999999999</v>
      </c>
      <c r="AA3725">
        <v>0.82721279999999997</v>
      </c>
      <c r="AB3725">
        <v>21</v>
      </c>
      <c r="AC3725">
        <v>-9.6045999999999694</v>
      </c>
      <c r="AD3725">
        <v>-1.105207395968</v>
      </c>
      <c r="AE3725">
        <v>-2.0135999999999901</v>
      </c>
      <c r="AF3725">
        <v>5.50278047353906</v>
      </c>
      <c r="AG3725">
        <v>-1.105207395968</v>
      </c>
      <c r="AH3725">
        <v>7.9765325583542497</v>
      </c>
      <c r="AI3725">
        <v>96.506508669542399</v>
      </c>
      <c r="AJ3725">
        <v>55.399322327987697</v>
      </c>
      <c r="AK3725">
        <v>9.7533147177024198</v>
      </c>
      <c r="AL3725">
        <v>86.996611813944099</v>
      </c>
      <c r="AM3725">
        <v>73.082159530222995</v>
      </c>
      <c r="AN3725">
        <v>0.99999999787613503</v>
      </c>
    </row>
    <row r="3726" spans="1:40" x14ac:dyDescent="0.25">
      <c r="A3726" t="str">
        <f>"20190312151347256"</f>
        <v>20190312151347256</v>
      </c>
      <c r="B3726" t="str">
        <f>"1552374827254599"</f>
        <v>1552374827254599</v>
      </c>
      <c r="C3726" t="s">
        <v>40</v>
      </c>
      <c r="D3726">
        <v>4.1971150000000002</v>
      </c>
      <c r="E3726">
        <v>0.61444699999999997</v>
      </c>
      <c r="F3726" t="s">
        <v>42</v>
      </c>
      <c r="G3726">
        <v>-211.7355</v>
      </c>
      <c r="H3726" s="1">
        <v>-4.7056499999999996E-6</v>
      </c>
      <c r="I3726">
        <v>143.34180000000001</v>
      </c>
      <c r="J3726">
        <v>-200.6815</v>
      </c>
      <c r="K3726">
        <v>1.1051690000000001</v>
      </c>
      <c r="L3726">
        <v>145.6465</v>
      </c>
      <c r="M3726">
        <v>-0.69562669999999904</v>
      </c>
      <c r="N3726">
        <v>0</v>
      </c>
      <c r="O3726">
        <v>-0.71826159999999994</v>
      </c>
      <c r="P3726">
        <v>-0.87278319999999998</v>
      </c>
      <c r="Q3726">
        <v>4.2273730000000002E-2</v>
      </c>
      <c r="R3726">
        <v>-0.48627429999999999</v>
      </c>
      <c r="S3726">
        <v>-3.0851899999999999</v>
      </c>
      <c r="T3726">
        <v>-0.30437120000000001</v>
      </c>
      <c r="U3726">
        <v>-0.67352290000000004</v>
      </c>
      <c r="V3726">
        <v>0.28935179999999999</v>
      </c>
      <c r="W3726">
        <v>5.2184540000000001E-2</v>
      </c>
      <c r="X3726">
        <v>0.95579930000000002</v>
      </c>
      <c r="Y3726">
        <v>0.54835610000000001</v>
      </c>
      <c r="Z3726">
        <v>8.9020039999999995E-2</v>
      </c>
      <c r="AA3726">
        <v>0.83149329999999999</v>
      </c>
      <c r="AB3726">
        <v>21</v>
      </c>
      <c r="AC3726">
        <v>-11.054</v>
      </c>
      <c r="AD3726">
        <v>-1.1051737056499999</v>
      </c>
      <c r="AE3726">
        <v>-2.3046999999999902</v>
      </c>
      <c r="AF3726">
        <v>6.2769684247665296</v>
      </c>
      <c r="AG3726">
        <v>-1.1051737056499999</v>
      </c>
      <c r="AH3726">
        <v>9.2571089451444397</v>
      </c>
      <c r="AI3726">
        <v>95.643216603276898</v>
      </c>
      <c r="AJ3726">
        <v>55.859979371213598</v>
      </c>
      <c r="AK3726">
        <v>11.2390305430428</v>
      </c>
      <c r="AL3726">
        <v>87.008687371402502</v>
      </c>
      <c r="AM3726">
        <v>73.157214483438807</v>
      </c>
      <c r="AN3726">
        <v>0.99999999612936996</v>
      </c>
    </row>
    <row r="3727" spans="1:40" x14ac:dyDescent="0.25">
      <c r="A3727" t="str">
        <f>"20190312151347279"</f>
        <v>20190312151347279</v>
      </c>
      <c r="B3727" t="str">
        <f>"1552374827274120"</f>
        <v>1552374827274120</v>
      </c>
      <c r="C3727" t="s">
        <v>40</v>
      </c>
      <c r="D3727">
        <v>4.2001330000000001</v>
      </c>
      <c r="E3727">
        <v>0.61436239999999998</v>
      </c>
      <c r="F3727" t="s">
        <v>42</v>
      </c>
      <c r="G3727">
        <v>-211.55459999999999</v>
      </c>
      <c r="H3727" s="1">
        <v>-4.7744749999999997E-6</v>
      </c>
      <c r="I3727">
        <v>143.3381</v>
      </c>
      <c r="J3727">
        <v>-200.83969999999999</v>
      </c>
      <c r="K3727">
        <v>1.1051329999999999</v>
      </c>
      <c r="L3727">
        <v>145.49950000000001</v>
      </c>
      <c r="M3727">
        <v>-0.70258559999999903</v>
      </c>
      <c r="N3727">
        <v>0</v>
      </c>
      <c r="O3727">
        <v>-0.71145579999999997</v>
      </c>
      <c r="P3727">
        <v>-0.87696730000000001</v>
      </c>
      <c r="Q3727">
        <v>4.2002459999999998E-2</v>
      </c>
      <c r="R3727">
        <v>-0.4787112</v>
      </c>
      <c r="S3727">
        <v>-3.0872959999999998</v>
      </c>
      <c r="T3727">
        <v>-0.31380249999999998</v>
      </c>
      <c r="U3727">
        <v>-0.6554565</v>
      </c>
      <c r="V3727">
        <v>0.2883193</v>
      </c>
      <c r="W3727">
        <v>5.1918350000000002E-2</v>
      </c>
      <c r="X3727">
        <v>0.95612569999999997</v>
      </c>
      <c r="Y3727">
        <v>0.54471619999999998</v>
      </c>
      <c r="Z3727">
        <v>9.1181520000000002E-2</v>
      </c>
      <c r="AA3727">
        <v>0.83364869999999902</v>
      </c>
      <c r="AB3727">
        <v>21</v>
      </c>
      <c r="AC3727">
        <v>-10.7149</v>
      </c>
      <c r="AD3727">
        <v>-1.1051377744749999</v>
      </c>
      <c r="AE3727">
        <v>-2.1614000000000102</v>
      </c>
      <c r="AF3727">
        <v>6.0434562837417802</v>
      </c>
      <c r="AG3727">
        <v>-1.1051377744749999</v>
      </c>
      <c r="AH3727">
        <v>8.9750575658303404</v>
      </c>
      <c r="AI3727">
        <v>95.831812132838294</v>
      </c>
      <c r="AJ3727">
        <v>56.0452015884822</v>
      </c>
      <c r="AK3727">
        <v>10.876412628437601</v>
      </c>
      <c r="AL3727">
        <v>87.023959482818995</v>
      </c>
      <c r="AM3727">
        <v>73.219337151826494</v>
      </c>
      <c r="AN3727">
        <v>0.99999994400984904</v>
      </c>
    </row>
    <row r="3728" spans="1:40" x14ac:dyDescent="0.25">
      <c r="A3728" t="str">
        <f>"20190312151347301"</f>
        <v>20190312151347301</v>
      </c>
      <c r="B3728" t="str">
        <f>"1552374827294615"</f>
        <v>1552374827294615</v>
      </c>
      <c r="C3728" t="s">
        <v>40</v>
      </c>
      <c r="D3728">
        <v>4.2217929999999999</v>
      </c>
      <c r="E3728">
        <v>0.61444840000000001</v>
      </c>
      <c r="F3728" t="s">
        <v>42</v>
      </c>
      <c r="G3728">
        <v>-211.3604</v>
      </c>
      <c r="H3728" s="1">
        <v>-4.8526940000000004E-6</v>
      </c>
      <c r="I3728">
        <v>143.3586</v>
      </c>
      <c r="J3728">
        <v>-200.98769999999999</v>
      </c>
      <c r="K3728">
        <v>1.1051029999999999</v>
      </c>
      <c r="L3728">
        <v>145.3648</v>
      </c>
      <c r="M3728">
        <v>-0.70903019999999894</v>
      </c>
      <c r="N3728">
        <v>0</v>
      </c>
      <c r="O3728">
        <v>-0.70503319999999903</v>
      </c>
      <c r="P3728">
        <v>-0.88094169999999905</v>
      </c>
      <c r="Q3728">
        <v>4.1675230000000001E-2</v>
      </c>
      <c r="R3728">
        <v>-0.47138629999999998</v>
      </c>
      <c r="S3728">
        <v>-3.0928800000000001</v>
      </c>
      <c r="T3728">
        <v>-0.3248895</v>
      </c>
      <c r="U3728">
        <v>-0.62939449999999997</v>
      </c>
      <c r="V3728">
        <v>0.2875972</v>
      </c>
      <c r="W3728">
        <v>5.159453E-2</v>
      </c>
      <c r="X3728">
        <v>0.95636080000000001</v>
      </c>
      <c r="Y3728">
        <v>0.54378990000000005</v>
      </c>
      <c r="Z3728">
        <v>9.3874659999999999E-2</v>
      </c>
      <c r="AA3728">
        <v>0.83395450000000004</v>
      </c>
      <c r="AB3728">
        <v>21</v>
      </c>
      <c r="AC3728">
        <v>-10.3727</v>
      </c>
      <c r="AD3728">
        <v>-1.1051078526939999</v>
      </c>
      <c r="AE3728">
        <v>-2.0062000000000002</v>
      </c>
      <c r="AF3728">
        <v>5.8274822085175098</v>
      </c>
      <c r="AG3728">
        <v>-1.1051078526939999</v>
      </c>
      <c r="AH3728">
        <v>8.6749742634138904</v>
      </c>
      <c r="AI3728">
        <v>96.036367783878603</v>
      </c>
      <c r="AJ3728">
        <v>56.108457599148402</v>
      </c>
      <c r="AK3728">
        <v>10.508852969166799</v>
      </c>
      <c r="AL3728">
        <v>87.042538253600497</v>
      </c>
      <c r="AM3728">
        <v>73.262895626339301</v>
      </c>
      <c r="AN3728">
        <v>1.0000000623751899</v>
      </c>
    </row>
    <row r="3729" spans="1:40" x14ac:dyDescent="0.25">
      <c r="A3729" t="str">
        <f>"20190312151347325"</f>
        <v>20190312151347325</v>
      </c>
      <c r="B3729" t="str">
        <f>"1552374827314135"</f>
        <v>1552374827314135</v>
      </c>
      <c r="C3729" t="s">
        <v>40</v>
      </c>
      <c r="D3729">
        <v>4.2277339999999999</v>
      </c>
      <c r="E3729">
        <v>0.61331199999999997</v>
      </c>
      <c r="F3729" t="s">
        <v>42</v>
      </c>
      <c r="G3729">
        <v>-211.12020000000001</v>
      </c>
      <c r="H3729" s="1">
        <v>-4.9509740000000002E-6</v>
      </c>
      <c r="I3729">
        <v>143.39259999999999</v>
      </c>
      <c r="J3729">
        <v>-201.1525</v>
      </c>
      <c r="K3729">
        <v>1.1050789999999999</v>
      </c>
      <c r="L3729">
        <v>145.2176</v>
      </c>
      <c r="M3729">
        <v>-0.7161225</v>
      </c>
      <c r="N3729">
        <v>0</v>
      </c>
      <c r="O3729">
        <v>-0.6978278</v>
      </c>
      <c r="P3729">
        <v>-0.88535229999999998</v>
      </c>
      <c r="Q3729">
        <v>4.2198439999999997E-2</v>
      </c>
      <c r="R3729">
        <v>-0.46300229999999998</v>
      </c>
      <c r="S3729">
        <v>-3.0987089999999999</v>
      </c>
      <c r="T3729">
        <v>-0.33796330000000002</v>
      </c>
      <c r="U3729">
        <v>-0.60311890000000001</v>
      </c>
      <c r="V3729">
        <v>0.28699849999999999</v>
      </c>
      <c r="W3729">
        <v>5.2120729999999997E-2</v>
      </c>
      <c r="X3729">
        <v>0.95651200000000003</v>
      </c>
      <c r="Y3729">
        <v>0.54200749999999998</v>
      </c>
      <c r="Z3729">
        <v>9.6979689999999993E-2</v>
      </c>
      <c r="AA3729">
        <v>0.83475909999999998</v>
      </c>
      <c r="AB3729">
        <v>21</v>
      </c>
      <c r="AC3729">
        <v>-9.9677000000000007</v>
      </c>
      <c r="AD3729">
        <v>-1.105083950974</v>
      </c>
      <c r="AE3729">
        <v>-1.8250000000000099</v>
      </c>
      <c r="AF3729">
        <v>5.5829965439601201</v>
      </c>
      <c r="AG3729">
        <v>-1.105083950974</v>
      </c>
      <c r="AH3729">
        <v>8.3136205428479197</v>
      </c>
      <c r="AI3729">
        <v>96.297147225007294</v>
      </c>
      <c r="AJ3729">
        <v>56.116737816769898</v>
      </c>
      <c r="AK3729">
        <v>10.0750854824678</v>
      </c>
      <c r="AL3729">
        <v>87.0123482827495</v>
      </c>
      <c r="AM3729">
        <v>73.2982883269121</v>
      </c>
      <c r="AN3729">
        <v>0.99999995782099005</v>
      </c>
    </row>
    <row r="3730" spans="1:40" x14ac:dyDescent="0.25">
      <c r="A3730" t="str">
        <f>"20190312151347348"</f>
        <v>20190312151347348</v>
      </c>
      <c r="B3730" t="str">
        <f>"1552374827344392"</f>
        <v>1552374827344392</v>
      </c>
      <c r="C3730" t="s">
        <v>40</v>
      </c>
      <c r="D3730">
        <v>4.2822509999999996</v>
      </c>
      <c r="E3730">
        <v>0.61281600000000003</v>
      </c>
      <c r="F3730" t="s">
        <v>42</v>
      </c>
      <c r="G3730">
        <v>-211.69479999999999</v>
      </c>
      <c r="H3730" s="1">
        <v>-4.7026989999999996E-6</v>
      </c>
      <c r="I3730">
        <v>143.23689999999999</v>
      </c>
      <c r="J3730">
        <v>-201.3098</v>
      </c>
      <c r="K3730">
        <v>1.105065</v>
      </c>
      <c r="L3730">
        <v>145.08009999999999</v>
      </c>
      <c r="M3730">
        <v>-0.72280009999999995</v>
      </c>
      <c r="N3730">
        <v>0</v>
      </c>
      <c r="O3730">
        <v>-0.69090890000000005</v>
      </c>
      <c r="P3730">
        <v>-0.88981189999999999</v>
      </c>
      <c r="Q3730">
        <v>4.1960129999999998E-2</v>
      </c>
      <c r="R3730">
        <v>-0.45439439999999998</v>
      </c>
      <c r="S3730">
        <v>-3.0994419999999998</v>
      </c>
      <c r="T3730">
        <v>-0.32489420000000002</v>
      </c>
      <c r="U3730">
        <v>-0.58232119999999998</v>
      </c>
      <c r="V3730">
        <v>0.28708210000000001</v>
      </c>
      <c r="W3730">
        <v>5.1881209999999997E-2</v>
      </c>
      <c r="X3730">
        <v>0.95650000000000002</v>
      </c>
      <c r="Y3730">
        <v>0.53988689999999995</v>
      </c>
      <c r="Z3730">
        <v>9.2737899999999901E-2</v>
      </c>
      <c r="AA3730">
        <v>0.8366133</v>
      </c>
      <c r="AB3730">
        <v>21</v>
      </c>
      <c r="AC3730">
        <v>-10.3849999999999</v>
      </c>
      <c r="AD3730">
        <v>-1.105069702699</v>
      </c>
      <c r="AE3730">
        <v>-1.84319999999999</v>
      </c>
      <c r="AF3730">
        <v>5.7799738509150904</v>
      </c>
      <c r="AG3730">
        <v>-1.105069702699</v>
      </c>
      <c r="AH3730">
        <v>8.6853204094305099</v>
      </c>
      <c r="AI3730">
        <v>96.046386539732694</v>
      </c>
      <c r="AJ3730">
        <v>56.356723418515401</v>
      </c>
      <c r="AK3730">
        <v>10.4911423295824</v>
      </c>
      <c r="AL3730">
        <v>87.026090549226296</v>
      </c>
      <c r="AM3730">
        <v>73.293496420489802</v>
      </c>
      <c r="AN3730">
        <v>1.00000002104573</v>
      </c>
    </row>
    <row r="3731" spans="1:40" x14ac:dyDescent="0.25">
      <c r="A3731" t="str">
        <f>"20190312151347371"</f>
        <v>20190312151347371</v>
      </c>
      <c r="B3731" t="str">
        <f>"1552374827363912"</f>
        <v>1552374827363912</v>
      </c>
      <c r="C3731" t="s">
        <v>40</v>
      </c>
      <c r="D3731">
        <v>4.3808239999999996</v>
      </c>
      <c r="E3731">
        <v>0.61284810000000001</v>
      </c>
      <c r="F3731" t="s">
        <v>42</v>
      </c>
      <c r="G3731">
        <v>-212.01230000000001</v>
      </c>
      <c r="H3731" s="1">
        <v>-4.5673019999999999E-6</v>
      </c>
      <c r="I3731">
        <v>143.1611</v>
      </c>
      <c r="J3731">
        <v>-201.4751</v>
      </c>
      <c r="K3731">
        <v>1.1050660000000001</v>
      </c>
      <c r="L3731">
        <v>144.93860000000001</v>
      </c>
      <c r="M3731">
        <v>-0.72970979999999996</v>
      </c>
      <c r="N3731">
        <v>0</v>
      </c>
      <c r="O3731">
        <v>-0.68360710000000002</v>
      </c>
      <c r="P3731">
        <v>-0.8942968</v>
      </c>
      <c r="Q3731">
        <v>4.1842459999999998E-2</v>
      </c>
      <c r="R3731">
        <v>-0.44551420000000003</v>
      </c>
      <c r="S3731">
        <v>-3.1025239999999998</v>
      </c>
      <c r="T3731">
        <v>-0.32034410000000002</v>
      </c>
      <c r="U3731">
        <v>-0.55630489999999999</v>
      </c>
      <c r="V3731">
        <v>0.28698899999999999</v>
      </c>
      <c r="W3731">
        <v>5.1774529999999999E-2</v>
      </c>
      <c r="X3731">
        <v>0.95653370000000004</v>
      </c>
      <c r="Y3731">
        <v>0.53857460000000001</v>
      </c>
      <c r="Z3731">
        <v>9.0899999999999995E-2</v>
      </c>
      <c r="AA3731">
        <v>0.83766030000000002</v>
      </c>
      <c r="AB3731">
        <v>20</v>
      </c>
      <c r="AC3731">
        <v>-10.5372</v>
      </c>
      <c r="AD3731">
        <v>-1.10507056730199</v>
      </c>
      <c r="AE3731">
        <v>-1.7775000000000001</v>
      </c>
      <c r="AF3731">
        <v>5.8443508345840502</v>
      </c>
      <c r="AG3731">
        <v>-1.10507056730199</v>
      </c>
      <c r="AH3731">
        <v>8.8108977127930999</v>
      </c>
      <c r="AI3731">
        <v>95.966784875318595</v>
      </c>
      <c r="AJ3731">
        <v>56.4433112688872</v>
      </c>
      <c r="AK3731">
        <v>10.630594345647999</v>
      </c>
      <c r="AL3731">
        <v>87.032211037009603</v>
      </c>
      <c r="AM3731">
        <v>73.299168170757099</v>
      </c>
      <c r="AN3731">
        <v>1.0000000036567001</v>
      </c>
    </row>
    <row r="3732" spans="1:40" x14ac:dyDescent="0.25">
      <c r="A3732" t="str">
        <f>"20190312151347392"</f>
        <v>20190312151347392</v>
      </c>
      <c r="B3732" t="str">
        <f>"1552374827384408"</f>
        <v>1552374827384408</v>
      </c>
      <c r="C3732" t="s">
        <v>40</v>
      </c>
      <c r="D3732">
        <v>4.3632669999999996</v>
      </c>
      <c r="E3732">
        <v>0.61251690000000003</v>
      </c>
      <c r="F3732" t="s">
        <v>42</v>
      </c>
      <c r="G3732">
        <v>-211.91739999999999</v>
      </c>
      <c r="H3732" s="1">
        <v>-4.6059789999999997E-6</v>
      </c>
      <c r="I3732">
        <v>143.17359999999999</v>
      </c>
      <c r="J3732">
        <v>-201.6251</v>
      </c>
      <c r="K3732">
        <v>1.105084</v>
      </c>
      <c r="L3732">
        <v>144.81270000000001</v>
      </c>
      <c r="M3732">
        <v>-0.73587650000000004</v>
      </c>
      <c r="N3732">
        <v>0</v>
      </c>
      <c r="O3732">
        <v>-0.67696400000000001</v>
      </c>
      <c r="P3732">
        <v>-0.89810990000000002</v>
      </c>
      <c r="Q3732">
        <v>4.2202419999999997E-2</v>
      </c>
      <c r="R3732">
        <v>-0.43774150000000001</v>
      </c>
      <c r="S3732">
        <v>-3.1082610000000002</v>
      </c>
      <c r="T3732">
        <v>-0.32893650000000002</v>
      </c>
      <c r="U3732">
        <v>-0.52539060000000004</v>
      </c>
      <c r="V3732">
        <v>0.28660469999999999</v>
      </c>
      <c r="W3732">
        <v>5.2155010000000002E-2</v>
      </c>
      <c r="X3732">
        <v>0.95662829999999999</v>
      </c>
      <c r="Y3732">
        <v>0.53903699999999999</v>
      </c>
      <c r="Z3732">
        <v>9.2835630000000002E-2</v>
      </c>
      <c r="AA3732">
        <v>0.83715030000000001</v>
      </c>
      <c r="AB3732">
        <v>20</v>
      </c>
      <c r="AC3732">
        <v>-10.2922999999999</v>
      </c>
      <c r="AD3732">
        <v>-1.1050886059789999</v>
      </c>
      <c r="AE3732">
        <v>-1.63910000000001</v>
      </c>
      <c r="AF3732">
        <v>5.69787091734322</v>
      </c>
      <c r="AG3732">
        <v>-1.1050886059789999</v>
      </c>
      <c r="AH3732">
        <v>8.5878108972220399</v>
      </c>
      <c r="AI3732">
        <v>96.120234964915198</v>
      </c>
      <c r="AJ3732">
        <v>56.436382117840303</v>
      </c>
      <c r="AK3732">
        <v>10.365203800418699</v>
      </c>
      <c r="AL3732">
        <v>87.010381789381199</v>
      </c>
      <c r="AM3732">
        <v>73.321846636362906</v>
      </c>
      <c r="AN3732">
        <v>1.0000000517455301</v>
      </c>
    </row>
    <row r="3733" spans="1:40" x14ac:dyDescent="0.25">
      <c r="A3733" t="str">
        <f>"20190312151347414"</f>
        <v>20190312151347414</v>
      </c>
      <c r="B3733" t="str">
        <f>"1552374827403928"</f>
        <v>1552374827403928</v>
      </c>
      <c r="C3733" t="s">
        <v>40</v>
      </c>
      <c r="D3733">
        <v>4.3612659999999996</v>
      </c>
      <c r="E3733">
        <v>0.61171330000000002</v>
      </c>
      <c r="F3733" t="s">
        <v>42</v>
      </c>
      <c r="G3733">
        <v>-211.9716</v>
      </c>
      <c r="H3733" s="1">
        <v>-4.5804299999999998E-6</v>
      </c>
      <c r="I3733">
        <v>143.14699999999999</v>
      </c>
      <c r="J3733">
        <v>-201.7893</v>
      </c>
      <c r="K3733">
        <v>1.1051169999999999</v>
      </c>
      <c r="L3733">
        <v>144.67740000000001</v>
      </c>
      <c r="M3733">
        <v>-0.74250890000000003</v>
      </c>
      <c r="N3733">
        <v>0</v>
      </c>
      <c r="O3733">
        <v>-0.66968269999999996</v>
      </c>
      <c r="P3733">
        <v>-0.90259979999999995</v>
      </c>
      <c r="Q3733">
        <v>4.2472269999999999E-2</v>
      </c>
      <c r="R3733">
        <v>-0.42837989999999998</v>
      </c>
      <c r="S3733">
        <v>-3.1118009999999998</v>
      </c>
      <c r="T3733">
        <v>-0.33236359999999998</v>
      </c>
      <c r="U3733">
        <v>-0.50097659999999999</v>
      </c>
      <c r="V3733">
        <v>0.28711989999999998</v>
      </c>
      <c r="W3733">
        <v>5.2436440000000001E-2</v>
      </c>
      <c r="X3733">
        <v>0.95645829999999998</v>
      </c>
      <c r="Y3733">
        <v>0.53723050000000006</v>
      </c>
      <c r="Z3733">
        <v>9.3161469999999996E-2</v>
      </c>
      <c r="AA3733">
        <v>0.83827469999999904</v>
      </c>
      <c r="AB3733">
        <v>20</v>
      </c>
      <c r="AC3733">
        <v>-10.1822999999999</v>
      </c>
      <c r="AD3733">
        <v>-1.1051215804300001</v>
      </c>
      <c r="AE3733">
        <v>-1.53039999999998</v>
      </c>
      <c r="AF3733">
        <v>5.6184382605746697</v>
      </c>
      <c r="AG3733">
        <v>-1.1051215804300001</v>
      </c>
      <c r="AH3733">
        <v>8.4884325954802797</v>
      </c>
      <c r="AI3733">
        <v>96.196017172201095</v>
      </c>
      <c r="AJ3733">
        <v>56.499684174490604</v>
      </c>
      <c r="AK3733">
        <v>10.239220191178299</v>
      </c>
      <c r="AL3733">
        <v>86.994234633441707</v>
      </c>
      <c r="AM3733">
        <v>73.290731422563198</v>
      </c>
      <c r="AN3733">
        <v>0.99999994842738504</v>
      </c>
    </row>
    <row r="3734" spans="1:40" x14ac:dyDescent="0.25">
      <c r="A3734" t="str">
        <f>"20190312151347436"</f>
        <v>20190312151347436</v>
      </c>
      <c r="B3734" t="str">
        <f>"1552374827434184"</f>
        <v>1552374827434184</v>
      </c>
      <c r="C3734" t="s">
        <v>40</v>
      </c>
      <c r="D3734">
        <v>4.3294069999999998</v>
      </c>
      <c r="E3734">
        <v>0.6108673</v>
      </c>
      <c r="F3734" t="s">
        <v>42</v>
      </c>
      <c r="G3734">
        <v>-211.9639</v>
      </c>
      <c r="H3734" s="1">
        <v>-4.5797780000000004E-6</v>
      </c>
      <c r="I3734">
        <v>143.1266</v>
      </c>
      <c r="J3734">
        <v>-201.947</v>
      </c>
      <c r="K3734">
        <v>1.1051580000000001</v>
      </c>
      <c r="L3734">
        <v>144.55000000000001</v>
      </c>
      <c r="M3734">
        <v>-0.74876009999999904</v>
      </c>
      <c r="N3734">
        <v>0</v>
      </c>
      <c r="O3734">
        <v>-0.662686</v>
      </c>
      <c r="P3734">
        <v>-0.90663389999999999</v>
      </c>
      <c r="Q3734">
        <v>4.1631939999999999E-2</v>
      </c>
      <c r="R3734">
        <v>-0.41985929999999999</v>
      </c>
      <c r="S3734">
        <v>-3.1143649999999998</v>
      </c>
      <c r="T3734">
        <v>-0.33826800000000001</v>
      </c>
      <c r="U3734">
        <v>-0.47470089999999998</v>
      </c>
      <c r="V3734">
        <v>0.28716550000000002</v>
      </c>
      <c r="W3734">
        <v>5.1616450000000001E-2</v>
      </c>
      <c r="X3734">
        <v>0.95648929999999999</v>
      </c>
      <c r="Y3734">
        <v>0.53616830000000004</v>
      </c>
      <c r="Z3734">
        <v>9.4246189999999994E-2</v>
      </c>
      <c r="AA3734">
        <v>0.8388333</v>
      </c>
      <c r="AB3734">
        <v>20</v>
      </c>
      <c r="AC3734">
        <v>-10.0168999999999</v>
      </c>
      <c r="AD3734">
        <v>-1.105162579778</v>
      </c>
      <c r="AE3734">
        <v>-1.42340000000001</v>
      </c>
      <c r="AF3734">
        <v>5.5071374201412198</v>
      </c>
      <c r="AG3734">
        <v>-1.105162579778</v>
      </c>
      <c r="AH3734">
        <v>8.3448221277417698</v>
      </c>
      <c r="AI3734">
        <v>96.307629579195194</v>
      </c>
      <c r="AJ3734">
        <v>56.577318046833902</v>
      </c>
      <c r="AK3734">
        <v>10.0591253713088</v>
      </c>
      <c r="AL3734">
        <v>87.041280563537498</v>
      </c>
      <c r="AM3734">
        <v>73.288737070796898</v>
      </c>
      <c r="AN3734">
        <v>1.00000003165767</v>
      </c>
    </row>
    <row r="3735" spans="1:40" x14ac:dyDescent="0.25">
      <c r="A3735" t="str">
        <f>"20190312151347460"</f>
        <v>20190312151347460</v>
      </c>
      <c r="B3735" t="str">
        <f>"1552374827454680"</f>
        <v>1552374827454680</v>
      </c>
      <c r="C3735" t="s">
        <v>40</v>
      </c>
      <c r="D3735">
        <v>4.328722</v>
      </c>
      <c r="E3735">
        <v>0.60987029999999998</v>
      </c>
      <c r="F3735" t="s">
        <v>42</v>
      </c>
      <c r="G3735">
        <v>-211.81309999999999</v>
      </c>
      <c r="H3735" s="1">
        <v>-4.6369259999999999E-6</v>
      </c>
      <c r="I3735">
        <v>143.1223</v>
      </c>
      <c r="J3735">
        <v>-202.11699999999999</v>
      </c>
      <c r="K3735">
        <v>1.105197</v>
      </c>
      <c r="L3735">
        <v>144.4153</v>
      </c>
      <c r="M3735">
        <v>-0.75536539999999996</v>
      </c>
      <c r="N3735">
        <v>0</v>
      </c>
      <c r="O3735">
        <v>-0.65514719999999904</v>
      </c>
      <c r="P3735">
        <v>-0.91081610000000002</v>
      </c>
      <c r="Q3735">
        <v>4.2231079999999997E-2</v>
      </c>
      <c r="R3735">
        <v>-0.41064679999999998</v>
      </c>
      <c r="S3735">
        <v>-3.1161500000000002</v>
      </c>
      <c r="T3735">
        <v>-0.3490568</v>
      </c>
      <c r="U3735">
        <v>-0.45091249999999999</v>
      </c>
      <c r="V3735">
        <v>0.2872594</v>
      </c>
      <c r="W3735">
        <v>5.2235009999999998E-2</v>
      </c>
      <c r="X3735">
        <v>0.95642749999999999</v>
      </c>
      <c r="Y3735">
        <v>0.5337113</v>
      </c>
      <c r="Z3735">
        <v>9.6535789999999996E-2</v>
      </c>
      <c r="AA3735">
        <v>0.84013879999999996</v>
      </c>
      <c r="AB3735">
        <v>20</v>
      </c>
      <c r="AC3735">
        <v>-9.6960999999999693</v>
      </c>
      <c r="AD3735">
        <v>-1.105201636926</v>
      </c>
      <c r="AE3735">
        <v>-1.2929999999999999</v>
      </c>
      <c r="AF3735">
        <v>5.3084724297832304</v>
      </c>
      <c r="AG3735">
        <v>-1.105201636926</v>
      </c>
      <c r="AH3735">
        <v>8.0690381891131597</v>
      </c>
      <c r="AI3735">
        <v>96.527750471786902</v>
      </c>
      <c r="AJ3735">
        <v>56.6598146248337</v>
      </c>
      <c r="AK3735">
        <v>9.7216627946766003</v>
      </c>
      <c r="AL3735">
        <v>87.005791748551104</v>
      </c>
      <c r="AM3735">
        <v>73.282557607620106</v>
      </c>
      <c r="AN3735">
        <v>1.0000000109571501</v>
      </c>
    </row>
    <row r="3736" spans="1:40" x14ac:dyDescent="0.25">
      <c r="A3736" t="str">
        <f>"20190312151347481"</f>
        <v>20190312151347481</v>
      </c>
      <c r="B3736" t="str">
        <f>"1552374827474200"</f>
        <v>1552374827474200</v>
      </c>
      <c r="C3736" t="s">
        <v>40</v>
      </c>
      <c r="D3736">
        <v>4.5582440000000002</v>
      </c>
      <c r="E3736">
        <v>0.60963080000000003</v>
      </c>
      <c r="F3736" t="s">
        <v>42</v>
      </c>
      <c r="G3736">
        <v>-211.9579</v>
      </c>
      <c r="H3736" s="1">
        <v>-4.5720969999999999E-6</v>
      </c>
      <c r="I3736">
        <v>143.0703</v>
      </c>
      <c r="J3736">
        <v>-202.2705</v>
      </c>
      <c r="K3736">
        <v>1.105229</v>
      </c>
      <c r="L3736">
        <v>144.2961</v>
      </c>
      <c r="M3736">
        <v>-0.76121289999999997</v>
      </c>
      <c r="N3736">
        <v>0</v>
      </c>
      <c r="O3736">
        <v>-0.64834399999999903</v>
      </c>
      <c r="P3736">
        <v>-0.91439709999999996</v>
      </c>
      <c r="Q3736">
        <v>4.3139860000000002E-2</v>
      </c>
      <c r="R3736">
        <v>-0.40251389999999998</v>
      </c>
      <c r="S3736">
        <v>-3.1178439999999998</v>
      </c>
      <c r="T3736">
        <v>-0.3501534</v>
      </c>
      <c r="U3736">
        <v>-0.42613220000000002</v>
      </c>
      <c r="V3736">
        <v>0.2871823</v>
      </c>
      <c r="W3736">
        <v>5.316212E-2</v>
      </c>
      <c r="X3736">
        <v>0.95639960000000002</v>
      </c>
      <c r="Y3736">
        <v>0.53275169999999905</v>
      </c>
      <c r="Z3736">
        <v>9.6275239999999998E-2</v>
      </c>
      <c r="AA3736">
        <v>0.84077739999999901</v>
      </c>
      <c r="AB3736">
        <v>20</v>
      </c>
      <c r="AC3736">
        <v>-9.6873999999999896</v>
      </c>
      <c r="AD3736">
        <v>-1.1052335720969999</v>
      </c>
      <c r="AE3736">
        <v>-1.22579999999999</v>
      </c>
      <c r="AF3736">
        <v>5.2805697868993704</v>
      </c>
      <c r="AG3736">
        <v>-1.1052335720969999</v>
      </c>
      <c r="AH3736">
        <v>8.0664096171662703</v>
      </c>
      <c r="AI3736">
        <v>96.539688539086697</v>
      </c>
      <c r="AJ3736">
        <v>56.789759874037898</v>
      </c>
      <c r="AK3736">
        <v>9.7042734212880308</v>
      </c>
      <c r="AL3736">
        <v>86.952598430525697</v>
      </c>
      <c r="AM3736">
        <v>73.286333919310707</v>
      </c>
      <c r="AN3736">
        <v>1.0000000396581701</v>
      </c>
    </row>
    <row r="3737" spans="1:40" x14ac:dyDescent="0.25">
      <c r="A3737" t="str">
        <f>"20190312151347503"</f>
        <v>20190312151347503</v>
      </c>
      <c r="B3737" t="str">
        <f>"1552374827494696"</f>
        <v>1552374827494696</v>
      </c>
      <c r="C3737" t="s">
        <v>40</v>
      </c>
      <c r="D3737">
        <v>4.5859009999999998</v>
      </c>
      <c r="E3737">
        <v>0.60967369999999899</v>
      </c>
      <c r="F3737" t="s">
        <v>42</v>
      </c>
      <c r="G3737">
        <v>-212.26779999999999</v>
      </c>
      <c r="H3737" s="1">
        <v>-4.4428190000000004E-6</v>
      </c>
      <c r="I3737">
        <v>143.01249999999999</v>
      </c>
      <c r="J3737">
        <v>-202.4358</v>
      </c>
      <c r="K3737">
        <v>1.1052569999999999</v>
      </c>
      <c r="L3737">
        <v>144.16999999999999</v>
      </c>
      <c r="M3737">
        <v>-0.76739069999999898</v>
      </c>
      <c r="N3737">
        <v>0</v>
      </c>
      <c r="O3737">
        <v>-0.64101949999999996</v>
      </c>
      <c r="P3737">
        <v>-0.91773700000000002</v>
      </c>
      <c r="Q3737">
        <v>4.3454840000000002E-2</v>
      </c>
      <c r="R3737">
        <v>-0.3948045</v>
      </c>
      <c r="S3737">
        <v>-3.1207579999999999</v>
      </c>
      <c r="T3737">
        <v>-0.34500789999999998</v>
      </c>
      <c r="U3737">
        <v>-0.40069579999999999</v>
      </c>
      <c r="V3737">
        <v>0.28605589999999997</v>
      </c>
      <c r="W3737">
        <v>5.35121E-2</v>
      </c>
      <c r="X3737">
        <v>0.95671759999999995</v>
      </c>
      <c r="Y3737">
        <v>0.531740199999999</v>
      </c>
      <c r="Z3737">
        <v>9.4225879999999998E-2</v>
      </c>
      <c r="AA3737">
        <v>0.84164950000000005</v>
      </c>
      <c r="AB3737">
        <v>20</v>
      </c>
      <c r="AC3737">
        <v>-9.8319999999999901</v>
      </c>
      <c r="AD3737">
        <v>-1.105261442819</v>
      </c>
      <c r="AE3737">
        <v>-1.15749999999999</v>
      </c>
      <c r="AF3737">
        <v>5.3481444752724299</v>
      </c>
      <c r="AG3737">
        <v>-1.105261442819</v>
      </c>
      <c r="AH3737">
        <v>8.1857868917441596</v>
      </c>
      <c r="AI3737">
        <v>96.449069427217296</v>
      </c>
      <c r="AJ3737">
        <v>56.841600088954301</v>
      </c>
      <c r="AK3737">
        <v>9.8402926390641401</v>
      </c>
      <c r="AL3737">
        <v>86.932517485074399</v>
      </c>
      <c r="AM3737">
        <v>73.353481518762905</v>
      </c>
      <c r="AN3737">
        <v>1.00000004446048</v>
      </c>
    </row>
    <row r="3738" spans="1:40" x14ac:dyDescent="0.25">
      <c r="A3738" t="str">
        <f>"20190312151347525"</f>
        <v>20190312151347525</v>
      </c>
      <c r="B3738" t="str">
        <f>"1552374827514216"</f>
        <v>1552374827514216</v>
      </c>
      <c r="C3738" t="s">
        <v>40</v>
      </c>
      <c r="D3738">
        <v>4.4164750000000002</v>
      </c>
      <c r="E3738">
        <v>0.60933329999999997</v>
      </c>
      <c r="F3738" t="s">
        <v>42</v>
      </c>
      <c r="G3738">
        <v>-212.55119999999999</v>
      </c>
      <c r="H3738" s="1">
        <v>-4.3245440000000002E-6</v>
      </c>
      <c r="I3738">
        <v>142.95920000000001</v>
      </c>
      <c r="J3738">
        <v>-202.59829999999999</v>
      </c>
      <c r="K3738">
        <v>1.10527999999999</v>
      </c>
      <c r="L3738">
        <v>144.04859999999999</v>
      </c>
      <c r="M3738">
        <v>-0.77334480000000005</v>
      </c>
      <c r="N3738">
        <v>0</v>
      </c>
      <c r="O3738">
        <v>-0.6338239</v>
      </c>
      <c r="P3738">
        <v>-0.92066029999999999</v>
      </c>
      <c r="Q3738">
        <v>4.3356619999999998E-2</v>
      </c>
      <c r="R3738">
        <v>-0.38794980000000001</v>
      </c>
      <c r="S3738">
        <v>-3.1242070000000002</v>
      </c>
      <c r="T3738">
        <v>-0.3413658</v>
      </c>
      <c r="U3738">
        <v>-0.37397770000000002</v>
      </c>
      <c r="V3738">
        <v>0.28425099999999998</v>
      </c>
      <c r="W3738">
        <v>5.3457820000000003E-2</v>
      </c>
      <c r="X3738">
        <v>0.95725839999999995</v>
      </c>
      <c r="Y3738">
        <v>0.53123279999999995</v>
      </c>
      <c r="Z3738">
        <v>9.2616169999999998E-2</v>
      </c>
      <c r="AA3738">
        <v>0.84214840000000002</v>
      </c>
      <c r="AB3738">
        <v>20</v>
      </c>
      <c r="AC3738">
        <v>-9.9528999999999996</v>
      </c>
      <c r="AD3738">
        <v>-1.1052843245439901</v>
      </c>
      <c r="AE3738">
        <v>-1.0893999999999799</v>
      </c>
      <c r="AF3738">
        <v>5.4006499835161801</v>
      </c>
      <c r="AG3738">
        <v>-1.1052843245439901</v>
      </c>
      <c r="AH3738">
        <v>8.2873778500611692</v>
      </c>
      <c r="AI3738">
        <v>96.375638978285593</v>
      </c>
      <c r="AJ3738">
        <v>56.908848953213997</v>
      </c>
      <c r="AK3738">
        <v>9.9533564847352203</v>
      </c>
      <c r="AL3738">
        <v>86.935631842662502</v>
      </c>
      <c r="AM3738">
        <v>73.461591626021203</v>
      </c>
      <c r="AN3738">
        <v>1.0000000069453501</v>
      </c>
    </row>
    <row r="3739" spans="1:40" x14ac:dyDescent="0.25">
      <c r="A3739" t="str">
        <f>"20190312151347550"</f>
        <v>20190312151347550</v>
      </c>
      <c r="B3739" t="str">
        <f>"1552374827544472"</f>
        <v>1552374827544472</v>
      </c>
      <c r="C3739" t="s">
        <v>40</v>
      </c>
      <c r="D3739">
        <v>4.4385680000000001</v>
      </c>
      <c r="E3739">
        <v>0.60878469999999996</v>
      </c>
      <c r="F3739" t="s">
        <v>42</v>
      </c>
      <c r="G3739">
        <v>-212.7996</v>
      </c>
      <c r="H3739" s="1">
        <v>-4.2178889999999998E-6</v>
      </c>
      <c r="I3739">
        <v>142.8956</v>
      </c>
      <c r="J3739">
        <v>-202.77670000000001</v>
      </c>
      <c r="K3739">
        <v>1.105297</v>
      </c>
      <c r="L3739">
        <v>143.91810000000001</v>
      </c>
      <c r="M3739">
        <v>-0.77975229999999995</v>
      </c>
      <c r="N3739">
        <v>0</v>
      </c>
      <c r="O3739">
        <v>-0.62592440000000005</v>
      </c>
      <c r="P3739">
        <v>-0.92387549999999996</v>
      </c>
      <c r="Q3739">
        <v>4.3418720000000001E-2</v>
      </c>
      <c r="R3739">
        <v>-0.38022230000000001</v>
      </c>
      <c r="S3739">
        <v>-3.125626</v>
      </c>
      <c r="T3739">
        <v>-0.33865230000000002</v>
      </c>
      <c r="U3739">
        <v>-0.35327150000000002</v>
      </c>
      <c r="V3739">
        <v>0.28252820000000001</v>
      </c>
      <c r="W3739">
        <v>5.3561619999999997E-2</v>
      </c>
      <c r="X3739">
        <v>0.95776249999999996</v>
      </c>
      <c r="Y3739">
        <v>0.52833589999999997</v>
      </c>
      <c r="Z3739">
        <v>9.1110129999999998E-2</v>
      </c>
      <c r="AA3739">
        <v>0.84413280000000002</v>
      </c>
      <c r="AB3739">
        <v>20</v>
      </c>
      <c r="AC3739">
        <v>-10.0228999999999</v>
      </c>
      <c r="AD3739">
        <v>-1.105301217889</v>
      </c>
      <c r="AE3739">
        <v>-1.0225</v>
      </c>
      <c r="AF3739">
        <v>5.4117076486904097</v>
      </c>
      <c r="AG3739">
        <v>-1.105301217889</v>
      </c>
      <c r="AH3739">
        <v>8.3556857526876396</v>
      </c>
      <c r="AI3739">
        <v>96.335522579996606</v>
      </c>
      <c r="AJ3739">
        <v>57.070174095560702</v>
      </c>
      <c r="AK3739">
        <v>10.0162744997742</v>
      </c>
      <c r="AL3739">
        <v>86.929676044064905</v>
      </c>
      <c r="AM3739">
        <v>73.564586730448596</v>
      </c>
      <c r="AN3739">
        <v>1.0000000186692499</v>
      </c>
    </row>
    <row r="3740" spans="1:40" x14ac:dyDescent="0.25">
      <c r="A3740" t="str">
        <f>"20190312151347572"</f>
        <v>20190312151347572</v>
      </c>
      <c r="B3740" t="str">
        <f>"1552374827563993"</f>
        <v>1552374827563993</v>
      </c>
      <c r="C3740" t="s">
        <v>40</v>
      </c>
      <c r="D3740">
        <v>3.7881200000000002</v>
      </c>
      <c r="E3740">
        <v>0.59339310000000001</v>
      </c>
      <c r="F3740" t="s">
        <v>42</v>
      </c>
      <c r="G3740">
        <v>-213.0052</v>
      </c>
      <c r="H3740" s="1">
        <v>-4.1281450000000001E-6</v>
      </c>
      <c r="I3740">
        <v>142.8348</v>
      </c>
      <c r="J3740">
        <v>-202.94579999999999</v>
      </c>
      <c r="K3740">
        <v>1.1053120000000001</v>
      </c>
      <c r="L3740">
        <v>143.797</v>
      </c>
      <c r="M3740">
        <v>-0.78570830000000003</v>
      </c>
      <c r="N3740">
        <v>0</v>
      </c>
      <c r="O3740">
        <v>-0.61843149999999902</v>
      </c>
      <c r="P3740">
        <v>-0.92642950000000002</v>
      </c>
      <c r="Q3740">
        <v>4.3211960000000001E-2</v>
      </c>
      <c r="R3740">
        <v>-0.37398029999999999</v>
      </c>
      <c r="S3740">
        <v>-3.12677</v>
      </c>
      <c r="T3740">
        <v>-0.33788079999999998</v>
      </c>
      <c r="U3740">
        <v>-0.33117679999999999</v>
      </c>
      <c r="V3740">
        <v>0.2798197</v>
      </c>
      <c r="W3740">
        <v>5.3411159999999999E-2</v>
      </c>
      <c r="X3740">
        <v>0.95856569999999997</v>
      </c>
      <c r="Y3740">
        <v>0.52622999999999998</v>
      </c>
      <c r="Z3740">
        <v>9.0208999999999998E-2</v>
      </c>
      <c r="AA3740">
        <v>0.84554379999999996</v>
      </c>
      <c r="AB3740">
        <v>20</v>
      </c>
      <c r="AC3740">
        <v>-10.0594</v>
      </c>
      <c r="AD3740">
        <v>-1.1053161281449999</v>
      </c>
      <c r="AE3740">
        <v>-0.96219999999999495</v>
      </c>
      <c r="AF3740">
        <v>5.40098447487361</v>
      </c>
      <c r="AG3740">
        <v>-1.1053161281449999</v>
      </c>
      <c r="AH3740">
        <v>8.3991926428179902</v>
      </c>
      <c r="AI3740">
        <v>96.31626127026</v>
      </c>
      <c r="AJ3740">
        <v>57.257517237368297</v>
      </c>
      <c r="AK3740">
        <v>10.0468300519184</v>
      </c>
      <c r="AL3740">
        <v>86.938309094438296</v>
      </c>
      <c r="AM3740">
        <v>73.726683573741795</v>
      </c>
      <c r="AN3740">
        <v>1.0000000088685601</v>
      </c>
    </row>
    <row r="3741" spans="1:40" x14ac:dyDescent="0.25">
      <c r="A3741" t="str">
        <f>"20190312151347593"</f>
        <v>20190312151347593</v>
      </c>
      <c r="B3741" t="str">
        <f>"1552374827584489"</f>
        <v>1552374827584489</v>
      </c>
      <c r="C3741" t="s">
        <v>40</v>
      </c>
      <c r="D3741">
        <v>4.4726710000000001</v>
      </c>
      <c r="E3741">
        <v>0.59459050000000002</v>
      </c>
      <c r="F3741" t="s">
        <v>42</v>
      </c>
      <c r="G3741">
        <v>-218.01429999999999</v>
      </c>
      <c r="H3741" s="1">
        <v>-1.476762E-6</v>
      </c>
      <c r="I3741">
        <v>141.71209999999999</v>
      </c>
      <c r="J3741">
        <v>-203.10579999999999</v>
      </c>
      <c r="K3741">
        <v>1.1053269999999999</v>
      </c>
      <c r="L3741">
        <v>143.68440000000001</v>
      </c>
      <c r="M3741">
        <v>-0.79124719999999904</v>
      </c>
      <c r="N3741">
        <v>0</v>
      </c>
      <c r="O3741">
        <v>-0.61132900000000001</v>
      </c>
      <c r="P3741">
        <v>-0.92886869999999999</v>
      </c>
      <c r="Q3741">
        <v>4.2766760000000001E-2</v>
      </c>
      <c r="R3741">
        <v>-0.36793229999999999</v>
      </c>
      <c r="S3741">
        <v>-3.0769350000000002</v>
      </c>
      <c r="T3741">
        <v>-0.22570009999999999</v>
      </c>
      <c r="U3741">
        <v>-0.42572019999999999</v>
      </c>
      <c r="V3741">
        <v>0.27743699999999999</v>
      </c>
      <c r="W3741">
        <v>5.3014510000000001E-2</v>
      </c>
      <c r="X3741">
        <v>0.95928000000000002</v>
      </c>
      <c r="Y3741">
        <v>0.49449920000000003</v>
      </c>
      <c r="Z3741">
        <v>5.9551130000000001E-2</v>
      </c>
      <c r="AA3741">
        <v>0.86713560000000001</v>
      </c>
      <c r="AB3741">
        <v>20</v>
      </c>
      <c r="AC3741">
        <v>-14.9085</v>
      </c>
      <c r="AD3741">
        <v>-1.105328476762</v>
      </c>
      <c r="AE3741">
        <v>-1.9723000000000099</v>
      </c>
      <c r="AF3741">
        <v>7.5136040016437304</v>
      </c>
      <c r="AG3741">
        <v>-1.105328476762</v>
      </c>
      <c r="AH3741">
        <v>12.9334934003325</v>
      </c>
      <c r="AI3741">
        <v>94.226332830835602</v>
      </c>
      <c r="AJ3741">
        <v>59.845915068786901</v>
      </c>
      <c r="AK3741">
        <v>14.998374834344601</v>
      </c>
      <c r="AL3741">
        <v>86.961067600234102</v>
      </c>
      <c r="AM3741">
        <v>73.869401956416297</v>
      </c>
      <c r="AN3741">
        <v>0.99999997281976905</v>
      </c>
    </row>
    <row r="3742" spans="1:40" x14ac:dyDescent="0.25">
      <c r="A3742" t="str">
        <f>"20190312151347615"</f>
        <v>20190312151347615</v>
      </c>
      <c r="B3742" t="str">
        <f>"1552374827604008"</f>
        <v>1552374827604008</v>
      </c>
      <c r="C3742" t="s">
        <v>40</v>
      </c>
      <c r="D3742">
        <v>4.3315570000000001</v>
      </c>
      <c r="E3742">
        <v>0.59636859999999903</v>
      </c>
      <c r="F3742" t="s">
        <v>42</v>
      </c>
      <c r="G3742">
        <v>-217.94659999999999</v>
      </c>
      <c r="H3742" s="1">
        <v>-1.52517E-6</v>
      </c>
      <c r="I3742">
        <v>141.77379999999999</v>
      </c>
      <c r="J3742">
        <v>-203.27010000000001</v>
      </c>
      <c r="K3742">
        <v>1.1053409999999999</v>
      </c>
      <c r="L3742">
        <v>143.5712</v>
      </c>
      <c r="M3742">
        <v>-0.7968307</v>
      </c>
      <c r="N3742">
        <v>0</v>
      </c>
      <c r="O3742">
        <v>-0.60403339999999905</v>
      </c>
      <c r="P3742">
        <v>-0.9310737</v>
      </c>
      <c r="Q3742">
        <v>4.2413760000000002E-2</v>
      </c>
      <c r="R3742">
        <v>-0.36235820000000002</v>
      </c>
      <c r="S3742">
        <v>-3.0830839999999999</v>
      </c>
      <c r="T3742">
        <v>-0.2296253</v>
      </c>
      <c r="U3742">
        <v>-0.39692690000000003</v>
      </c>
      <c r="V3742">
        <v>0.27437270000000002</v>
      </c>
      <c r="W3742">
        <v>5.2720719999999999E-2</v>
      </c>
      <c r="X3742">
        <v>0.96017710000000001</v>
      </c>
      <c r="Y3742">
        <v>0.49464039999999998</v>
      </c>
      <c r="Z3742">
        <v>6.0116169999999997E-2</v>
      </c>
      <c r="AA3742">
        <v>0.86701609999999996</v>
      </c>
      <c r="AB3742">
        <v>20</v>
      </c>
      <c r="AC3742">
        <v>-14.6764999999999</v>
      </c>
      <c r="AD3742">
        <v>-1.10534252517</v>
      </c>
      <c r="AE3742">
        <v>-1.7974000000000101</v>
      </c>
      <c r="AF3742">
        <v>7.3923219111236902</v>
      </c>
      <c r="AG3742">
        <v>-1.10534252517</v>
      </c>
      <c r="AH3742">
        <v>12.710650779612701</v>
      </c>
      <c r="AI3742">
        <v>94.299010461496493</v>
      </c>
      <c r="AJ3742">
        <v>59.8183660060729</v>
      </c>
      <c r="AK3742">
        <v>14.745468747276099</v>
      </c>
      <c r="AL3742">
        <v>86.977924056586502</v>
      </c>
      <c r="AM3742">
        <v>74.052596772399596</v>
      </c>
      <c r="AN3742">
        <v>0.99999995809350795</v>
      </c>
    </row>
    <row r="3743" spans="1:40" x14ac:dyDescent="0.25">
      <c r="A3743" t="str">
        <f>"20190312151347637"</f>
        <v>20190312151347637</v>
      </c>
      <c r="B3743" t="str">
        <f>"1552374827634264"</f>
        <v>1552374827634264</v>
      </c>
      <c r="C3743" t="s">
        <v>40</v>
      </c>
      <c r="D3743">
        <v>4.3043680000000002</v>
      </c>
      <c r="E3743">
        <v>0.59780840000000002</v>
      </c>
      <c r="F3743" t="s">
        <v>42</v>
      </c>
      <c r="G3743">
        <v>-219.4641</v>
      </c>
      <c r="H3743" s="1">
        <v>-7.7613219999999999E-7</v>
      </c>
      <c r="I3743">
        <v>141.65459999999999</v>
      </c>
      <c r="J3743">
        <v>-203.43510000000001</v>
      </c>
      <c r="K3743">
        <v>1.105359</v>
      </c>
      <c r="L3743">
        <v>143.4597</v>
      </c>
      <c r="M3743">
        <v>-0.80233679999999996</v>
      </c>
      <c r="N3743">
        <v>0</v>
      </c>
      <c r="O3743">
        <v>-0.59670040000000002</v>
      </c>
      <c r="P3743">
        <v>-0.9332686</v>
      </c>
      <c r="Q3743">
        <v>4.1758730000000001E-2</v>
      </c>
      <c r="R3743">
        <v>-0.3567439</v>
      </c>
      <c r="S3743">
        <v>-3.0894010000000001</v>
      </c>
      <c r="T3743">
        <v>-0.21087149999999999</v>
      </c>
      <c r="U3743">
        <v>-0.36564639999999998</v>
      </c>
      <c r="V3743">
        <v>0.27135419999999999</v>
      </c>
      <c r="W3743">
        <v>5.212311E-2</v>
      </c>
      <c r="X3743">
        <v>0.96106709999999995</v>
      </c>
      <c r="Y3743">
        <v>0.49599799999999999</v>
      </c>
      <c r="Z3743">
        <v>5.4824039999999997E-2</v>
      </c>
      <c r="AA3743">
        <v>0.86659120000000001</v>
      </c>
      <c r="AB3743">
        <v>20</v>
      </c>
      <c r="AC3743">
        <v>-16.0289999999999</v>
      </c>
      <c r="AD3743">
        <v>-1.1053597761321901</v>
      </c>
      <c r="AE3743">
        <v>-1.8051000000000099</v>
      </c>
      <c r="AF3743">
        <v>8.0791028421437101</v>
      </c>
      <c r="AG3743">
        <v>-1.1053597761321901</v>
      </c>
      <c r="AH3743">
        <v>13.8740329176049</v>
      </c>
      <c r="AI3743">
        <v>93.938520815946006</v>
      </c>
      <c r="AJ3743">
        <v>59.7869751485253</v>
      </c>
      <c r="AK3743">
        <v>16.0929336159511</v>
      </c>
      <c r="AL3743">
        <v>87.012211696568201</v>
      </c>
      <c r="AM3743">
        <v>74.233144460331403</v>
      </c>
      <c r="AN3743">
        <v>0.99999994557805905</v>
      </c>
    </row>
    <row r="3744" spans="1:40" x14ac:dyDescent="0.25">
      <c r="A3744" t="str">
        <f>"20190312151347659"</f>
        <v>20190312151347659</v>
      </c>
      <c r="B3744" t="str">
        <f>"1552374827653784"</f>
        <v>1552374827653784</v>
      </c>
      <c r="C3744" t="s">
        <v>40</v>
      </c>
      <c r="D3744">
        <v>4.4141159999999999</v>
      </c>
      <c r="E3744">
        <v>0.59705909999999995</v>
      </c>
      <c r="F3744" t="s">
        <v>42</v>
      </c>
      <c r="G3744">
        <v>-220.99189999999999</v>
      </c>
      <c r="H3744" s="1">
        <v>-4.2816020000000003E-6</v>
      </c>
      <c r="I3744">
        <v>141.5506</v>
      </c>
      <c r="J3744">
        <v>-203.6086</v>
      </c>
      <c r="K3744">
        <v>1.1053770000000001</v>
      </c>
      <c r="L3744">
        <v>143.34469999999999</v>
      </c>
      <c r="M3744">
        <v>-0.80802359999999995</v>
      </c>
      <c r="N3744">
        <v>0</v>
      </c>
      <c r="O3744">
        <v>-0.58897650000000001</v>
      </c>
      <c r="P3744">
        <v>-0.9355502</v>
      </c>
      <c r="Q3744">
        <v>4.131957E-2</v>
      </c>
      <c r="R3744">
        <v>-0.350769</v>
      </c>
      <c r="S3744">
        <v>-3.0946199999999999</v>
      </c>
      <c r="T3744">
        <v>-0.19483539999999999</v>
      </c>
      <c r="U3744">
        <v>-0.33648679999999997</v>
      </c>
      <c r="V3744">
        <v>0.2682812</v>
      </c>
      <c r="W3744">
        <v>5.1741669999999997E-2</v>
      </c>
      <c r="X3744">
        <v>0.96195010000000003</v>
      </c>
      <c r="Y3744">
        <v>0.49626360000000003</v>
      </c>
      <c r="Z3744">
        <v>5.0253159999999998E-2</v>
      </c>
      <c r="AA3744">
        <v>0.8667163</v>
      </c>
      <c r="AB3744">
        <v>20</v>
      </c>
      <c r="AC3744">
        <v>-17.383299999999899</v>
      </c>
      <c r="AD3744">
        <v>-1.1053812816019899</v>
      </c>
      <c r="AE3744">
        <v>-1.79409999999998</v>
      </c>
      <c r="AF3744">
        <v>8.7545528998130901</v>
      </c>
      <c r="AG3744">
        <v>-1.1053812816019899</v>
      </c>
      <c r="AH3744">
        <v>15.0441539991784</v>
      </c>
      <c r="AI3744">
        <v>93.633732834126604</v>
      </c>
      <c r="AJ3744">
        <v>59.803851543765497</v>
      </c>
      <c r="AK3744">
        <v>17.441061716659899</v>
      </c>
      <c r="AL3744">
        <v>87.034096288781498</v>
      </c>
      <c r="AM3744">
        <v>74.416582934582294</v>
      </c>
      <c r="AN3744">
        <v>0.99999999878891899</v>
      </c>
    </row>
    <row r="3745" spans="1:40" x14ac:dyDescent="0.25">
      <c r="A3745" t="str">
        <f>"20190312151347682"</f>
        <v>20190312151347682</v>
      </c>
      <c r="B3745" t="str">
        <f>"1552374827674280"</f>
        <v>1552374827674280</v>
      </c>
      <c r="C3745" t="s">
        <v>40</v>
      </c>
      <c r="D3745">
        <v>4.320252</v>
      </c>
      <c r="E3745">
        <v>0.59756759999999998</v>
      </c>
      <c r="F3745" t="s">
        <v>42</v>
      </c>
      <c r="G3745">
        <v>-220.08330000000001</v>
      </c>
      <c r="H3745" s="1">
        <v>-4.6049989999999997E-6</v>
      </c>
      <c r="I3745">
        <v>141.63079999999999</v>
      </c>
      <c r="J3745">
        <v>-203.77709999999999</v>
      </c>
      <c r="K3745">
        <v>1.1053919999999999</v>
      </c>
      <c r="L3745">
        <v>143.2354</v>
      </c>
      <c r="M3745">
        <v>-0.8134401</v>
      </c>
      <c r="N3745">
        <v>0</v>
      </c>
      <c r="O3745">
        <v>-0.58147280000000001</v>
      </c>
      <c r="P3745">
        <v>-0.93798429999999999</v>
      </c>
      <c r="Q3745">
        <v>4.0841450000000001E-2</v>
      </c>
      <c r="R3745">
        <v>-0.34426309999999999</v>
      </c>
      <c r="S3745">
        <v>-3.0951390000000001</v>
      </c>
      <c r="T3745">
        <v>-0.20767099999999999</v>
      </c>
      <c r="U3745">
        <v>-0.32199100000000003</v>
      </c>
      <c r="V3745">
        <v>0.26606059999999998</v>
      </c>
      <c r="W3745">
        <v>5.130643E-2</v>
      </c>
      <c r="X3745">
        <v>0.9625899</v>
      </c>
      <c r="Y3745">
        <v>0.49201309999999898</v>
      </c>
      <c r="Z3745">
        <v>5.3028020000000002E-2</v>
      </c>
      <c r="AA3745">
        <v>0.8689713</v>
      </c>
      <c r="AB3745">
        <v>20</v>
      </c>
      <c r="AC3745">
        <v>-16.3062</v>
      </c>
      <c r="AD3745">
        <v>-1.1053966049989901</v>
      </c>
      <c r="AE3745">
        <v>-1.6046</v>
      </c>
      <c r="AF3745">
        <v>8.1401531667815394</v>
      </c>
      <c r="AG3745">
        <v>-1.1053966049989901</v>
      </c>
      <c r="AH3745">
        <v>14.134269919106099</v>
      </c>
      <c r="AI3745">
        <v>93.877072975535199</v>
      </c>
      <c r="AJ3745">
        <v>60.061668497159097</v>
      </c>
      <c r="AK3745">
        <v>16.3481369390874</v>
      </c>
      <c r="AL3745">
        <v>87.059066739639306</v>
      </c>
      <c r="AM3745">
        <v>74.549159509929794</v>
      </c>
      <c r="AN3745">
        <v>0.99999995410685605</v>
      </c>
    </row>
    <row r="3746" spans="1:40" x14ac:dyDescent="0.25">
      <c r="A3746" t="str">
        <f>"20190312151347704"</f>
        <v>20190312151347704</v>
      </c>
      <c r="B3746" t="str">
        <f>"1552374827693804"</f>
        <v>1552374827693804</v>
      </c>
      <c r="C3746" t="s">
        <v>40</v>
      </c>
      <c r="D3746">
        <v>4.4155100000000003</v>
      </c>
      <c r="E3746">
        <v>0.59730490000000003</v>
      </c>
      <c r="F3746" t="s">
        <v>42</v>
      </c>
      <c r="G3746">
        <v>-219.40199999999999</v>
      </c>
      <c r="H3746" s="1">
        <v>-8.2839129999999997E-7</v>
      </c>
      <c r="I3746">
        <v>141.7407</v>
      </c>
      <c r="J3746">
        <v>-203.95089999999999</v>
      </c>
      <c r="K3746">
        <v>1.1054010000000001</v>
      </c>
      <c r="L3746">
        <v>143.12479999999999</v>
      </c>
      <c r="M3746">
        <v>-0.8189265</v>
      </c>
      <c r="N3746">
        <v>0</v>
      </c>
      <c r="O3746">
        <v>-0.57372029999999996</v>
      </c>
      <c r="P3746">
        <v>-0.94019759999999997</v>
      </c>
      <c r="Q3746">
        <v>4.0857560000000001E-2</v>
      </c>
      <c r="R3746">
        <v>-0.3381709</v>
      </c>
      <c r="S3746">
        <v>-3.099075</v>
      </c>
      <c r="T3746">
        <v>-0.2192451</v>
      </c>
      <c r="U3746">
        <v>-0.29644779999999998</v>
      </c>
      <c r="V3746">
        <v>0.26315749999999999</v>
      </c>
      <c r="W3746">
        <v>5.1375480000000001E-2</v>
      </c>
      <c r="X3746">
        <v>0.96338400000000002</v>
      </c>
      <c r="Y3746">
        <v>0.49072359999999998</v>
      </c>
      <c r="Z3746">
        <v>5.5462490000000003E-2</v>
      </c>
      <c r="AA3746">
        <v>0.86954830000000005</v>
      </c>
      <c r="AB3746">
        <v>20</v>
      </c>
      <c r="AC3746">
        <v>-15.4511</v>
      </c>
      <c r="AD3746">
        <v>-1.1054018283913001</v>
      </c>
      <c r="AE3746">
        <v>-1.3840999999999799</v>
      </c>
      <c r="AF3746">
        <v>7.6928632586204602</v>
      </c>
      <c r="AG3746">
        <v>-1.1054018283913001</v>
      </c>
      <c r="AH3746">
        <v>13.380834805869601</v>
      </c>
      <c r="AI3746">
        <v>94.096439473049102</v>
      </c>
      <c r="AJ3746">
        <v>60.1046919887998</v>
      </c>
      <c r="AK3746">
        <v>15.474133204157701</v>
      </c>
      <c r="AL3746">
        <v>87.055105437390907</v>
      </c>
      <c r="AM3746">
        <v>74.721833057805995</v>
      </c>
      <c r="AN3746">
        <v>1.00000002060374</v>
      </c>
    </row>
    <row r="3747" spans="1:40" x14ac:dyDescent="0.25">
      <c r="A3747" t="str">
        <f>"20190312151347727"</f>
        <v>20190312151347727</v>
      </c>
      <c r="B3747" t="str">
        <f>"1552374827724056"</f>
        <v>1552374827724056</v>
      </c>
      <c r="C3747" t="s">
        <v>40</v>
      </c>
      <c r="D3747">
        <v>4.4068740000000002</v>
      </c>
      <c r="E3747">
        <v>0.59646359999999998</v>
      </c>
      <c r="F3747" t="s">
        <v>42</v>
      </c>
      <c r="G3747">
        <v>-218.72190000000001</v>
      </c>
      <c r="H3747" s="1">
        <v>-1.165795E-6</v>
      </c>
      <c r="I3747">
        <v>141.8005</v>
      </c>
      <c r="J3747">
        <v>-204.12719999999999</v>
      </c>
      <c r="K3747">
        <v>1.1054120000000001</v>
      </c>
      <c r="L3747">
        <v>143.01509999999999</v>
      </c>
      <c r="M3747">
        <v>-0.82438469999999997</v>
      </c>
      <c r="N3747">
        <v>0</v>
      </c>
      <c r="O3747">
        <v>-0.56584939999999995</v>
      </c>
      <c r="P3747">
        <v>-0.94247009999999998</v>
      </c>
      <c r="Q3747">
        <v>4.0555939999999999E-2</v>
      </c>
      <c r="R3747">
        <v>-0.33182099999999998</v>
      </c>
      <c r="S3747">
        <v>-3.1009060000000002</v>
      </c>
      <c r="T3747">
        <v>-0.23205919999999999</v>
      </c>
      <c r="U3747">
        <v>-0.27801510000000001</v>
      </c>
      <c r="V3747">
        <v>0.26042660000000001</v>
      </c>
      <c r="W3747">
        <v>5.112452E-2</v>
      </c>
      <c r="X3747">
        <v>0.96413919999999997</v>
      </c>
      <c r="Y3747">
        <v>0.48728850000000001</v>
      </c>
      <c r="Z3747">
        <v>5.8084900000000002E-2</v>
      </c>
      <c r="AA3747">
        <v>0.8713071</v>
      </c>
      <c r="AB3747">
        <v>20</v>
      </c>
      <c r="AC3747">
        <v>-14.5947</v>
      </c>
      <c r="AD3747">
        <v>-1.1054131657949999</v>
      </c>
      <c r="AE3747">
        <v>-1.2145999999999899</v>
      </c>
      <c r="AF3747">
        <v>7.2167309374501896</v>
      </c>
      <c r="AG3747">
        <v>-1.1054131657949999</v>
      </c>
      <c r="AH3747">
        <v>12.6481685094979</v>
      </c>
      <c r="AI3747">
        <v>94.340986896669605</v>
      </c>
      <c r="AJ3747">
        <v>60.291992404711699</v>
      </c>
      <c r="AK3747">
        <v>14.6040853987957</v>
      </c>
      <c r="AL3747">
        <v>87.069503433407107</v>
      </c>
      <c r="AM3747">
        <v>74.884386760575794</v>
      </c>
      <c r="AN3747">
        <v>1.00000006375471</v>
      </c>
    </row>
    <row r="3748" spans="1:40" x14ac:dyDescent="0.25">
      <c r="A3748" t="str">
        <f>"20190312151347752"</f>
        <v>20190312151347752</v>
      </c>
      <c r="B3748" t="str">
        <f>"1552374827744552"</f>
        <v>1552374827744552</v>
      </c>
      <c r="C3748" t="s">
        <v>40</v>
      </c>
      <c r="D3748">
        <v>4.403105</v>
      </c>
      <c r="E3748">
        <v>0.59591899999999998</v>
      </c>
      <c r="F3748" t="s">
        <v>42</v>
      </c>
      <c r="G3748">
        <v>-218.18610000000001</v>
      </c>
      <c r="H3748" s="1">
        <v>-1.425088E-6</v>
      </c>
      <c r="I3748">
        <v>141.82320000000001</v>
      </c>
      <c r="J3748">
        <v>-204.31219999999999</v>
      </c>
      <c r="K3748">
        <v>1.1054360000000001</v>
      </c>
      <c r="L3748">
        <v>142.90260000000001</v>
      </c>
      <c r="M3748">
        <v>-0.8299936</v>
      </c>
      <c r="N3748">
        <v>0</v>
      </c>
      <c r="O3748">
        <v>-0.55758989999999997</v>
      </c>
      <c r="P3748">
        <v>-0.94487010000000005</v>
      </c>
      <c r="Q3748">
        <v>4.0062639999999997E-2</v>
      </c>
      <c r="R3748">
        <v>-0.32498569999999999</v>
      </c>
      <c r="S3748">
        <v>-3.1010740000000001</v>
      </c>
      <c r="T3748">
        <v>-0.24382909999999999</v>
      </c>
      <c r="U3748">
        <v>-0.2629089</v>
      </c>
      <c r="V3748">
        <v>0.25778450000000003</v>
      </c>
      <c r="W3748">
        <v>5.0679719999999998E-2</v>
      </c>
      <c r="X3748">
        <v>0.96487239999999996</v>
      </c>
      <c r="Y3748">
        <v>0.48253889999999999</v>
      </c>
      <c r="Z3748">
        <v>6.0324620000000002E-2</v>
      </c>
      <c r="AA3748">
        <v>0.87379470000000004</v>
      </c>
      <c r="AB3748">
        <v>20</v>
      </c>
      <c r="AC3748">
        <v>-13.873900000000001</v>
      </c>
      <c r="AD3748">
        <v>-1.1054374250879999</v>
      </c>
      <c r="AE3748">
        <v>-1.0793999999999899</v>
      </c>
      <c r="AF3748">
        <v>6.7978531215871199</v>
      </c>
      <c r="AG3748">
        <v>-1.1054374250879999</v>
      </c>
      <c r="AH3748">
        <v>12.042356705248199</v>
      </c>
      <c r="AI3748">
        <v>94.5704315713771</v>
      </c>
      <c r="AJ3748">
        <v>60.5554785941696</v>
      </c>
      <c r="AK3748">
        <v>13.8726765254544</v>
      </c>
      <c r="AL3748">
        <v>87.095021534696599</v>
      </c>
      <c r="AM3748">
        <v>75.041687382071899</v>
      </c>
      <c r="AN3748">
        <v>1.0000000153706401</v>
      </c>
    </row>
    <row r="3749" spans="1:40" x14ac:dyDescent="0.25">
      <c r="A3749" t="str">
        <f>"20190312151347773"</f>
        <v>20190312151347773</v>
      </c>
      <c r="B3749" t="str">
        <f>"1552374827764072"</f>
        <v>1552374827764072</v>
      </c>
      <c r="C3749" t="s">
        <v>40</v>
      </c>
      <c r="D3749">
        <v>4.4483899999999998</v>
      </c>
      <c r="E3749">
        <v>0.59542050000000002</v>
      </c>
      <c r="F3749" t="s">
        <v>42</v>
      </c>
      <c r="G3749">
        <v>-218.03229999999999</v>
      </c>
      <c r="H3749" s="1">
        <v>-1.4974620000000001E-6</v>
      </c>
      <c r="I3749">
        <v>141.8219</v>
      </c>
      <c r="J3749">
        <v>-204.48099999999999</v>
      </c>
      <c r="K3749">
        <v>1.105445</v>
      </c>
      <c r="L3749">
        <v>142.8021</v>
      </c>
      <c r="M3749">
        <v>-0.83501349999999996</v>
      </c>
      <c r="N3749">
        <v>0</v>
      </c>
      <c r="O3749">
        <v>-0.55004410000000004</v>
      </c>
      <c r="P3749">
        <v>-0.94710110000000003</v>
      </c>
      <c r="Q3749">
        <v>3.9619950000000001E-2</v>
      </c>
      <c r="R3749">
        <v>-0.318480599999999</v>
      </c>
      <c r="S3749">
        <v>-3.101639</v>
      </c>
      <c r="T3749">
        <v>-0.2498997</v>
      </c>
      <c r="U3749">
        <v>-0.24430850000000001</v>
      </c>
      <c r="V3749">
        <v>0.25567499999999999</v>
      </c>
      <c r="W3749">
        <v>5.0275880000000002E-2</v>
      </c>
      <c r="X3749">
        <v>0.96545460000000005</v>
      </c>
      <c r="Y3749">
        <v>0.47970380000000001</v>
      </c>
      <c r="Z3749">
        <v>6.122412E-2</v>
      </c>
      <c r="AA3749">
        <v>0.87529190000000001</v>
      </c>
      <c r="AB3749">
        <v>20</v>
      </c>
      <c r="AC3749">
        <v>-13.5512999999999</v>
      </c>
      <c r="AD3749">
        <v>-1.105446497462</v>
      </c>
      <c r="AE3749">
        <v>-0.98019999999999596</v>
      </c>
      <c r="AF3749">
        <v>6.5923686976769398</v>
      </c>
      <c r="AG3749">
        <v>-1.105446497462</v>
      </c>
      <c r="AH3749">
        <v>11.7779128404039</v>
      </c>
      <c r="AI3749">
        <v>94.682130288527304</v>
      </c>
      <c r="AJ3749">
        <v>60.763257143239102</v>
      </c>
      <c r="AK3749">
        <v>13.542546580352401</v>
      </c>
      <c r="AL3749">
        <v>87.1181892867763</v>
      </c>
      <c r="AM3749">
        <v>75.167226168988904</v>
      </c>
      <c r="AN3749">
        <v>0.99999997719796696</v>
      </c>
    </row>
    <row r="3750" spans="1:40" x14ac:dyDescent="0.25">
      <c r="A3750" t="str">
        <f>"20190312151347817"</f>
        <v>20190312151347817</v>
      </c>
      <c r="B3750" t="str">
        <f>"1552374827813849"</f>
        <v>1552374827813849</v>
      </c>
      <c r="C3750" t="s">
        <v>40</v>
      </c>
      <c r="D3750">
        <v>4.3103769999999999</v>
      </c>
      <c r="E3750">
        <v>0.59452839999999996</v>
      </c>
      <c r="F3750" t="s">
        <v>42</v>
      </c>
      <c r="G3750">
        <v>-217.94710000000001</v>
      </c>
      <c r="H3750" s="1">
        <v>-1.5367579999999999E-6</v>
      </c>
      <c r="I3750">
        <v>141.81819999999999</v>
      </c>
      <c r="J3750">
        <v>-204.82640000000001</v>
      </c>
      <c r="K3750">
        <v>1.1054710000000001</v>
      </c>
      <c r="L3750">
        <v>142.6028</v>
      </c>
      <c r="M3750">
        <v>-0.84499650000000004</v>
      </c>
      <c r="N3750">
        <v>0</v>
      </c>
      <c r="O3750">
        <v>-0.53458169999999905</v>
      </c>
      <c r="P3750">
        <v>-0.95163169999999997</v>
      </c>
      <c r="Q3750">
        <v>3.9143400000000002E-2</v>
      </c>
      <c r="R3750">
        <v>-0.30473739999999999</v>
      </c>
      <c r="S3750">
        <v>-3.1019899999999998</v>
      </c>
      <c r="T3750">
        <v>-0.25464579999999998</v>
      </c>
      <c r="U3750">
        <v>-0.2266541</v>
      </c>
      <c r="V3750">
        <v>0.2518764</v>
      </c>
      <c r="W3750">
        <v>4.9858220000000002E-2</v>
      </c>
      <c r="X3750">
        <v>0.96647419999999995</v>
      </c>
      <c r="Y3750">
        <v>0.46845700000000001</v>
      </c>
      <c r="Z3750">
        <v>6.0878509999999997E-2</v>
      </c>
      <c r="AA3750">
        <v>0.88138629999999996</v>
      </c>
      <c r="AB3750">
        <v>20</v>
      </c>
      <c r="AC3750">
        <v>-13.120699999999999</v>
      </c>
      <c r="AD3750">
        <v>-1.1054725367579901</v>
      </c>
      <c r="AE3750">
        <v>-0.78460000000001096</v>
      </c>
      <c r="AF3750">
        <v>6.3071343709973497</v>
      </c>
      <c r="AG3750">
        <v>-1.1054725367579901</v>
      </c>
      <c r="AH3750">
        <v>11.426721881168501</v>
      </c>
      <c r="AI3750">
        <v>94.841325873516993</v>
      </c>
      <c r="AJ3750">
        <v>61.102901593040897</v>
      </c>
      <c r="AK3750">
        <v>13.098549020899799</v>
      </c>
      <c r="AL3750">
        <v>87.142149474872497</v>
      </c>
      <c r="AM3750">
        <v>75.392853733464307</v>
      </c>
      <c r="AN3750">
        <v>0.99999997112208305</v>
      </c>
    </row>
    <row r="3751" spans="1:40" x14ac:dyDescent="0.25">
      <c r="A3751" t="str">
        <f>"20190312151347840"</f>
        <v>20190312151347840</v>
      </c>
      <c r="B3751" t="str">
        <f>"1552374827834345"</f>
        <v>1552374827834345</v>
      </c>
      <c r="C3751" t="s">
        <v>40</v>
      </c>
      <c r="D3751">
        <v>4.3762910000000002</v>
      </c>
      <c r="E3751">
        <v>0.59388200000000002</v>
      </c>
      <c r="F3751" t="s">
        <v>42</v>
      </c>
      <c r="G3751">
        <v>-218.15629999999999</v>
      </c>
      <c r="H3751" s="1">
        <v>-1.4304230000000001E-6</v>
      </c>
      <c r="I3751">
        <v>141.7902</v>
      </c>
      <c r="J3751">
        <v>-205.006</v>
      </c>
      <c r="K3751">
        <v>1.105475</v>
      </c>
      <c r="L3751">
        <v>142.5025</v>
      </c>
      <c r="M3751">
        <v>-0.85004029999999997</v>
      </c>
      <c r="N3751">
        <v>0</v>
      </c>
      <c r="O3751">
        <v>-0.52652569999999999</v>
      </c>
      <c r="P3751">
        <v>-0.95407609999999998</v>
      </c>
      <c r="Q3751">
        <v>3.921115E-2</v>
      </c>
      <c r="R3751">
        <v>-0.29698720000000001</v>
      </c>
      <c r="S3751">
        <v>-3.1024929999999999</v>
      </c>
      <c r="T3751">
        <v>-0.25729600000000002</v>
      </c>
      <c r="U3751">
        <v>-0.18913269999999999</v>
      </c>
      <c r="V3751">
        <v>0.25054720000000003</v>
      </c>
      <c r="W3751">
        <v>4.9920609999999997E-2</v>
      </c>
      <c r="X3751">
        <v>0.96681640000000002</v>
      </c>
      <c r="Y3751">
        <v>0.47063640000000001</v>
      </c>
      <c r="Z3751">
        <v>6.1080660000000002E-2</v>
      </c>
      <c r="AA3751">
        <v>0.88021050000000001</v>
      </c>
      <c r="AB3751">
        <v>20</v>
      </c>
      <c r="AC3751">
        <v>-13.1503</v>
      </c>
      <c r="AD3751">
        <v>-1.105476430423</v>
      </c>
      <c r="AE3751">
        <v>-0.71229999999999805</v>
      </c>
      <c r="AF3751">
        <v>6.2749117074335201</v>
      </c>
      <c r="AG3751">
        <v>-1.105476430423</v>
      </c>
      <c r="AH3751">
        <v>11.473651582169399</v>
      </c>
      <c r="AI3751">
        <v>94.831905242283696</v>
      </c>
      <c r="AJ3751">
        <v>61.325859842203002</v>
      </c>
      <c r="AK3751">
        <v>13.1240723749652</v>
      </c>
      <c r="AL3751">
        <v>87.138570299493097</v>
      </c>
      <c r="AM3751">
        <v>75.471592492016597</v>
      </c>
      <c r="AN3751">
        <v>0.999999959019785</v>
      </c>
    </row>
    <row r="3752" spans="1:40" x14ac:dyDescent="0.25">
      <c r="A3752" t="str">
        <f>"20190312151347862"</f>
        <v>20190312151347862</v>
      </c>
      <c r="B3752" t="str">
        <f>"1552374827853866"</f>
        <v>1552374827853866</v>
      </c>
      <c r="C3752" t="s">
        <v>40</v>
      </c>
      <c r="D3752">
        <v>4.3560480000000004</v>
      </c>
      <c r="E3752">
        <v>0.59323479999999995</v>
      </c>
      <c r="F3752" t="s">
        <v>42</v>
      </c>
      <c r="G3752">
        <v>-218.3364</v>
      </c>
      <c r="H3752" s="1">
        <v>-1.3414779999999901E-6</v>
      </c>
      <c r="I3752">
        <v>141.77590000000001</v>
      </c>
      <c r="J3752">
        <v>-205.18530000000001</v>
      </c>
      <c r="K3752">
        <v>1.105472</v>
      </c>
      <c r="L3752">
        <v>142.40450000000001</v>
      </c>
      <c r="M3752">
        <v>-0.85497540000000005</v>
      </c>
      <c r="N3752">
        <v>0</v>
      </c>
      <c r="O3752">
        <v>-0.51847529999999997</v>
      </c>
      <c r="P3752">
        <v>-0.95648529999999998</v>
      </c>
      <c r="Q3752">
        <v>3.9067440000000002E-2</v>
      </c>
      <c r="R3752">
        <v>-0.28915360000000001</v>
      </c>
      <c r="S3752">
        <v>-3.102341</v>
      </c>
      <c r="T3752">
        <v>-0.25727509999999998</v>
      </c>
      <c r="U3752">
        <v>-0.1690979</v>
      </c>
      <c r="V3752">
        <v>0.24934400000000001</v>
      </c>
      <c r="W3752">
        <v>4.9741069999999998E-2</v>
      </c>
      <c r="X3752">
        <v>0.96713669999999996</v>
      </c>
      <c r="Y3752">
        <v>0.46800710000000001</v>
      </c>
      <c r="Z3752">
        <v>6.0426540000000001E-2</v>
      </c>
      <c r="AA3752">
        <v>0.88165629999999995</v>
      </c>
      <c r="AB3752">
        <v>20</v>
      </c>
      <c r="AC3752">
        <v>-13.1510999999999</v>
      </c>
      <c r="AD3752">
        <v>-1.105473341478</v>
      </c>
      <c r="AE3752">
        <v>-0.62860000000000504</v>
      </c>
      <c r="AF3752">
        <v>6.2377372746343402</v>
      </c>
      <c r="AG3752">
        <v>-1.105473341478</v>
      </c>
      <c r="AH3752">
        <v>11.4899375872874</v>
      </c>
      <c r="AI3752">
        <v>94.833174089981995</v>
      </c>
      <c r="AJ3752">
        <v>61.503041910259597</v>
      </c>
      <c r="AK3752">
        <v>13.120598438175</v>
      </c>
      <c r="AL3752">
        <v>87.148870097938897</v>
      </c>
      <c r="AM3752">
        <v>75.543018536065205</v>
      </c>
      <c r="AN3752">
        <v>1.0000000004338101</v>
      </c>
    </row>
    <row r="3753" spans="1:40" x14ac:dyDescent="0.25">
      <c r="A3753" t="str">
        <f>"20190312151347886"</f>
        <v>20190312151347886</v>
      </c>
      <c r="B3753" t="str">
        <f>"1552374827874627"</f>
        <v>1552374827874627</v>
      </c>
      <c r="C3753" t="s">
        <v>40</v>
      </c>
      <c r="D3753">
        <v>4.3858389999999998</v>
      </c>
      <c r="E3753">
        <v>0.59257859999999996</v>
      </c>
      <c r="F3753" t="s">
        <v>42</v>
      </c>
      <c r="G3753">
        <v>-218.4967</v>
      </c>
      <c r="H3753" s="1">
        <v>-1.2632170000000001E-6</v>
      </c>
      <c r="I3753">
        <v>141.76660000000001</v>
      </c>
      <c r="J3753">
        <v>-205.3672</v>
      </c>
      <c r="K3753">
        <v>1.1054600000000001</v>
      </c>
      <c r="L3753">
        <v>142.3073</v>
      </c>
      <c r="M3753">
        <v>-0.8598846</v>
      </c>
      <c r="N3753">
        <v>0</v>
      </c>
      <c r="O3753">
        <v>-0.51029469999999999</v>
      </c>
      <c r="P3753">
        <v>-0.95894100000000004</v>
      </c>
      <c r="Q3753">
        <v>3.960118E-2</v>
      </c>
      <c r="R3753">
        <v>-0.28082750000000001</v>
      </c>
      <c r="S3753">
        <v>-3.1020509999999999</v>
      </c>
      <c r="T3753">
        <v>-0.25761600000000001</v>
      </c>
      <c r="U3753">
        <v>-0.1486664</v>
      </c>
      <c r="V3753">
        <v>0.2485173</v>
      </c>
      <c r="W3753">
        <v>5.0198260000000001E-2</v>
      </c>
      <c r="X3753">
        <v>0.96732589999999996</v>
      </c>
      <c r="Y3753">
        <v>0.46539419999999998</v>
      </c>
      <c r="Z3753">
        <v>5.9844609999999999E-2</v>
      </c>
      <c r="AA3753">
        <v>0.88307800000000003</v>
      </c>
      <c r="AB3753">
        <v>20</v>
      </c>
      <c r="AC3753">
        <v>-13.1295</v>
      </c>
      <c r="AD3753">
        <v>-1.105461263217</v>
      </c>
      <c r="AE3753">
        <v>-0.54069999999998597</v>
      </c>
      <c r="AF3753">
        <v>6.1917716424065796</v>
      </c>
      <c r="AG3753">
        <v>-1.105461263217</v>
      </c>
      <c r="AH3753">
        <v>11.485630341554799</v>
      </c>
      <c r="AI3753">
        <v>94.842580847747797</v>
      </c>
      <c r="AJ3753">
        <v>61.6714019547953</v>
      </c>
      <c r="AK3753">
        <v>13.0950290194038</v>
      </c>
      <c r="AL3753">
        <v>87.122642432691194</v>
      </c>
      <c r="AM3753">
        <v>75.591652762932995</v>
      </c>
      <c r="AN3753">
        <v>1.00000005525856</v>
      </c>
    </row>
    <row r="3754" spans="1:40" x14ac:dyDescent="0.25">
      <c r="A3754" t="str">
        <f>"20190312151347906"</f>
        <v>20190312151347906</v>
      </c>
      <c r="B3754" t="str">
        <f>"1552374827903906"</f>
        <v>1552374827903906</v>
      </c>
      <c r="C3754" t="s">
        <v>40</v>
      </c>
      <c r="D3754">
        <v>4.4061750000000002</v>
      </c>
      <c r="E3754">
        <v>0.59180029999999995</v>
      </c>
      <c r="F3754" t="s">
        <v>42</v>
      </c>
      <c r="G3754">
        <v>-218.76480000000001</v>
      </c>
      <c r="H3754" s="1">
        <v>-1.134444E-6</v>
      </c>
      <c r="I3754">
        <v>141.75890000000001</v>
      </c>
      <c r="J3754">
        <v>-205.53530000000001</v>
      </c>
      <c r="K3754">
        <v>1.105445</v>
      </c>
      <c r="L3754">
        <v>142.21950000000001</v>
      </c>
      <c r="M3754">
        <v>-0.86433179999999998</v>
      </c>
      <c r="N3754">
        <v>0</v>
      </c>
      <c r="O3754">
        <v>-0.50272799999999995</v>
      </c>
      <c r="P3754">
        <v>-0.96110469999999903</v>
      </c>
      <c r="Q3754">
        <v>4.0293210000000003E-2</v>
      </c>
      <c r="R3754">
        <v>-0.2732289</v>
      </c>
      <c r="S3754">
        <v>-3.1018370000000002</v>
      </c>
      <c r="T3754">
        <v>-0.25593779999999999</v>
      </c>
      <c r="U3754">
        <v>-0.12696840000000001</v>
      </c>
      <c r="V3754">
        <v>0.2476738</v>
      </c>
      <c r="W3754">
        <v>5.0799249999999997E-2</v>
      </c>
      <c r="X3754">
        <v>0.9675108</v>
      </c>
      <c r="Y3754">
        <v>0.463864</v>
      </c>
      <c r="Z3754">
        <v>5.8881339999999997E-2</v>
      </c>
      <c r="AA3754">
        <v>0.8839475</v>
      </c>
      <c r="AB3754">
        <v>20</v>
      </c>
      <c r="AC3754">
        <v>-13.2295</v>
      </c>
      <c r="AD3754">
        <v>-1.1054461344440001</v>
      </c>
      <c r="AE3754">
        <v>-0.46059999999999901</v>
      </c>
      <c r="AF3754">
        <v>6.2100320898597401</v>
      </c>
      <c r="AG3754">
        <v>-1.1054461344440001</v>
      </c>
      <c r="AH3754">
        <v>11.586571185372501</v>
      </c>
      <c r="AI3754">
        <v>94.806747386500803</v>
      </c>
      <c r="AJ3754">
        <v>61.810113213893104</v>
      </c>
      <c r="AK3754">
        <v>13.192237927923699</v>
      </c>
      <c r="AL3754">
        <v>87.088164126315206</v>
      </c>
      <c r="AM3754">
        <v>75.641161697664998</v>
      </c>
      <c r="AN3754">
        <v>1.0000000115618199</v>
      </c>
    </row>
    <row r="3755" spans="1:40" x14ac:dyDescent="0.25">
      <c r="A3755" t="str">
        <f>"20190312151347929"</f>
        <v>20190312151347929</v>
      </c>
      <c r="B3755" t="str">
        <f>"1552374827924402"</f>
        <v>1552374827924402</v>
      </c>
      <c r="C3755" t="s">
        <v>40</v>
      </c>
      <c r="D3755">
        <v>4.4179300000000001</v>
      </c>
      <c r="E3755">
        <v>0.59132969999999996</v>
      </c>
      <c r="F3755" t="s">
        <v>42</v>
      </c>
      <c r="G3755">
        <v>-219.10720000000001</v>
      </c>
      <c r="H3755" s="1">
        <v>-9.689052999999999E-7</v>
      </c>
      <c r="I3755">
        <v>141.74510000000001</v>
      </c>
      <c r="J3755">
        <v>-205.71520000000001</v>
      </c>
      <c r="K3755">
        <v>1.1054330000000001</v>
      </c>
      <c r="L3755">
        <v>142.1277</v>
      </c>
      <c r="M3755">
        <v>-0.86899680000000001</v>
      </c>
      <c r="N3755">
        <v>0</v>
      </c>
      <c r="O3755">
        <v>-0.49462469999999997</v>
      </c>
      <c r="P3755">
        <v>-0.96324149999999997</v>
      </c>
      <c r="Q3755">
        <v>4.0303199999999997E-2</v>
      </c>
      <c r="R3755">
        <v>-0.26559700000000003</v>
      </c>
      <c r="S3755">
        <v>-3.101181</v>
      </c>
      <c r="T3755">
        <v>-0.25259379999999998</v>
      </c>
      <c r="U3755">
        <v>-0.1084137</v>
      </c>
      <c r="V3755">
        <v>0.24629699999999999</v>
      </c>
      <c r="W3755">
        <v>5.0709730000000001E-2</v>
      </c>
      <c r="X3755">
        <v>0.96786689999999997</v>
      </c>
      <c r="Y3755">
        <v>0.46097389999999999</v>
      </c>
      <c r="Z3755">
        <v>5.745281E-2</v>
      </c>
      <c r="AA3755">
        <v>0.88555200000000001</v>
      </c>
      <c r="AB3755">
        <v>20</v>
      </c>
      <c r="AC3755">
        <v>-13.3919999999999</v>
      </c>
      <c r="AD3755">
        <v>-1.1054339689053001</v>
      </c>
      <c r="AE3755">
        <v>-0.382599999999996</v>
      </c>
      <c r="AF3755">
        <v>6.2495893449536899</v>
      </c>
      <c r="AG3755">
        <v>-1.1054339689053001</v>
      </c>
      <c r="AH3755">
        <v>11.7479974666737</v>
      </c>
      <c r="AI3755">
        <v>94.748795261029798</v>
      </c>
      <c r="AJ3755">
        <v>61.988335185037897</v>
      </c>
      <c r="AK3755">
        <v>13.352707430223299</v>
      </c>
      <c r="AL3755">
        <v>87.093299866370799</v>
      </c>
      <c r="AM3755">
        <v>75.722747108360295</v>
      </c>
      <c r="AN3755">
        <v>1.0000000125206401</v>
      </c>
    </row>
    <row r="3756" spans="1:40" x14ac:dyDescent="0.25">
      <c r="A3756" t="str">
        <f>"20190312151347950"</f>
        <v>20190312151347950</v>
      </c>
      <c r="B3756" t="str">
        <f>"1552374827943922"</f>
        <v>1552374827943922</v>
      </c>
      <c r="C3756" t="s">
        <v>40</v>
      </c>
      <c r="D3756">
        <v>4.4103659999999998</v>
      </c>
      <c r="E3756">
        <v>0.57742019999999905</v>
      </c>
      <c r="F3756" t="s">
        <v>42</v>
      </c>
      <c r="G3756">
        <v>-219.30250000000001</v>
      </c>
      <c r="H3756" s="1">
        <v>-8.7693929999999997E-7</v>
      </c>
      <c r="I3756">
        <v>141.74629999999999</v>
      </c>
      <c r="J3756">
        <v>-205.89070000000001</v>
      </c>
      <c r="K3756">
        <v>1.105423</v>
      </c>
      <c r="L3756">
        <v>142.0401</v>
      </c>
      <c r="M3756">
        <v>-0.8734518</v>
      </c>
      <c r="N3756">
        <v>0</v>
      </c>
      <c r="O3756">
        <v>-0.48671779999999998</v>
      </c>
      <c r="P3756">
        <v>-0.96520170000000005</v>
      </c>
      <c r="Q3756">
        <v>4.0495400000000001E-2</v>
      </c>
      <c r="R3756">
        <v>-0.25835239999999998</v>
      </c>
      <c r="S3756">
        <v>-3.1010279999999999</v>
      </c>
      <c r="T3756">
        <v>-0.25229410000000002</v>
      </c>
      <c r="U3756">
        <v>-8.7036130000000003E-2</v>
      </c>
      <c r="V3756">
        <v>0.24477860000000001</v>
      </c>
      <c r="W3756">
        <v>5.0809269999999997E-2</v>
      </c>
      <c r="X3756">
        <v>0.96824679999999996</v>
      </c>
      <c r="Y3756">
        <v>0.45906079999999999</v>
      </c>
      <c r="Z3756">
        <v>5.6765870000000003E-2</v>
      </c>
      <c r="AA3756">
        <v>0.88658939999999997</v>
      </c>
      <c r="AB3756">
        <v>20</v>
      </c>
      <c r="AC3756">
        <v>-13.411799999999999</v>
      </c>
      <c r="AD3756">
        <v>-1.1054238769393001</v>
      </c>
      <c r="AE3756">
        <v>-0.293800000000004</v>
      </c>
      <c r="AF3756">
        <v>6.2294320237289398</v>
      </c>
      <c r="AG3756">
        <v>-1.1054238769393001</v>
      </c>
      <c r="AH3756">
        <v>11.7786934191901</v>
      </c>
      <c r="AI3756">
        <v>94.742482700664794</v>
      </c>
      <c r="AJ3756">
        <v>62.126848913135099</v>
      </c>
      <c r="AK3756">
        <v>13.370318019749501</v>
      </c>
      <c r="AL3756">
        <v>87.087589262086595</v>
      </c>
      <c r="AM3756">
        <v>75.812541966218504</v>
      </c>
      <c r="AN3756">
        <v>1.00000000532306</v>
      </c>
    </row>
    <row r="3757" spans="1:40" x14ac:dyDescent="0.25">
      <c r="A3757" t="str">
        <f>"20190312151347974"</f>
        <v>20190312151347974</v>
      </c>
      <c r="B3757" t="str">
        <f>"1552374827963948"</f>
        <v>1552374827963948</v>
      </c>
      <c r="C3757" t="s">
        <v>40</v>
      </c>
      <c r="D3757">
        <v>4.4258660000000001</v>
      </c>
      <c r="E3757">
        <v>0.57916610000000002</v>
      </c>
      <c r="F3757" t="s">
        <v>42</v>
      </c>
      <c r="G3757">
        <v>-217.7062</v>
      </c>
      <c r="H3757" s="1">
        <v>-1.5354749999999999E-6</v>
      </c>
      <c r="I3757">
        <v>141.38550000000001</v>
      </c>
      <c r="J3757">
        <v>-206.07980000000001</v>
      </c>
      <c r="K3757">
        <v>1.105416</v>
      </c>
      <c r="L3757">
        <v>141.9479</v>
      </c>
      <c r="M3757">
        <v>-0.87814769999999898</v>
      </c>
      <c r="N3757">
        <v>0</v>
      </c>
      <c r="O3757">
        <v>-0.4781976</v>
      </c>
      <c r="P3757">
        <v>-0.96738429999999997</v>
      </c>
      <c r="Q3757">
        <v>4.0794879999999999E-2</v>
      </c>
      <c r="R3757">
        <v>-0.2500078</v>
      </c>
      <c r="S3757">
        <v>-3.0746150000000001</v>
      </c>
      <c r="T3757">
        <v>-0.28765239999999997</v>
      </c>
      <c r="U3757">
        <v>-0.1703491</v>
      </c>
      <c r="V3757">
        <v>0.24371290000000001</v>
      </c>
      <c r="W3757">
        <v>5.0999750000000003E-2</v>
      </c>
      <c r="X3757">
        <v>0.96850559999999997</v>
      </c>
      <c r="Y3757">
        <v>0.42515330000000001</v>
      </c>
      <c r="Z3757">
        <v>6.2846390000000002E-2</v>
      </c>
      <c r="AA3757">
        <v>0.90293690000000004</v>
      </c>
      <c r="AB3757">
        <v>20</v>
      </c>
      <c r="AC3757">
        <v>-11.626399999999901</v>
      </c>
      <c r="AD3757">
        <v>-1.105417535475</v>
      </c>
      <c r="AE3757">
        <v>-0.56239999999999601</v>
      </c>
      <c r="AF3757">
        <v>5.0210281209231997</v>
      </c>
      <c r="AG3757">
        <v>-1.105417535475</v>
      </c>
      <c r="AH3757">
        <v>10.385928929723301</v>
      </c>
      <c r="AI3757">
        <v>95.473579822570798</v>
      </c>
      <c r="AJ3757">
        <v>64.198775193968899</v>
      </c>
      <c r="AK3757">
        <v>11.5887959276234</v>
      </c>
      <c r="AL3757">
        <v>87.076661450972097</v>
      </c>
      <c r="AM3757">
        <v>75.875455875902603</v>
      </c>
      <c r="AN3757">
        <v>1.00000002467891</v>
      </c>
    </row>
    <row r="3758" spans="1:40" x14ac:dyDescent="0.25">
      <c r="A3758" t="str">
        <f>"20190312151347999"</f>
        <v>20190312151347999</v>
      </c>
      <c r="B3758" t="str">
        <f>"1552374827994205"</f>
        <v>1552374827994205</v>
      </c>
      <c r="C3758" t="s">
        <v>40</v>
      </c>
      <c r="D3758">
        <v>4.4729229999999998</v>
      </c>
      <c r="E3758">
        <v>0.57869930000000003</v>
      </c>
      <c r="F3758" t="s">
        <v>42</v>
      </c>
      <c r="G3758">
        <v>-218.02</v>
      </c>
      <c r="H3758" s="1">
        <v>-1.4017569999999999E-6</v>
      </c>
      <c r="I3758">
        <v>141.44040000000001</v>
      </c>
      <c r="J3758">
        <v>-206.2817</v>
      </c>
      <c r="K3758">
        <v>1.1054079999999999</v>
      </c>
      <c r="L3758">
        <v>141.8519</v>
      </c>
      <c r="M3758">
        <v>-0.88304189999999905</v>
      </c>
      <c r="N3758">
        <v>0</v>
      </c>
      <c r="O3758">
        <v>-0.46910239999999997</v>
      </c>
      <c r="P3758">
        <v>-0.96956319999999996</v>
      </c>
      <c r="Q3758">
        <v>4.0603809999999997E-2</v>
      </c>
      <c r="R3758">
        <v>-0.24145079999999999</v>
      </c>
      <c r="S3758">
        <v>-3.0793460000000001</v>
      </c>
      <c r="T3758">
        <v>-0.2850839</v>
      </c>
      <c r="U3758">
        <v>-0.130889899999999</v>
      </c>
      <c r="V3758">
        <v>0.24226310000000001</v>
      </c>
      <c r="W3758">
        <v>5.0684489999999999E-2</v>
      </c>
      <c r="X3758">
        <v>0.96888580000000002</v>
      </c>
      <c r="Y3758">
        <v>0.4275333</v>
      </c>
      <c r="Z3758">
        <v>6.1606550000000003E-2</v>
      </c>
      <c r="AA3758">
        <v>0.90189799999999998</v>
      </c>
      <c r="AB3758">
        <v>20</v>
      </c>
      <c r="AC3758">
        <v>-11.738300000000001</v>
      </c>
      <c r="AD3758">
        <v>-1.105409401757</v>
      </c>
      <c r="AE3758">
        <v>-0.41149999999998899</v>
      </c>
      <c r="AF3758">
        <v>5.0983975928472898</v>
      </c>
      <c r="AG3758">
        <v>-1.105409401757</v>
      </c>
      <c r="AH3758">
        <v>10.4666895945753</v>
      </c>
      <c r="AI3758">
        <v>95.423799951075793</v>
      </c>
      <c r="AJ3758">
        <v>64.028963462203805</v>
      </c>
      <c r="AK3758">
        <v>11.694750062717601</v>
      </c>
      <c r="AL3758">
        <v>87.094747867385195</v>
      </c>
      <c r="AM3758">
        <v>75.9614384344831</v>
      </c>
      <c r="AN3758">
        <v>1.0000000102949</v>
      </c>
    </row>
    <row r="3759" spans="1:40" x14ac:dyDescent="0.25">
      <c r="A3759" t="str">
        <f>"20190312151348041"</f>
        <v>20190312151348041</v>
      </c>
      <c r="B3759" t="str">
        <f>"1552374828034221"</f>
        <v>1552374828034221</v>
      </c>
      <c r="C3759" t="s">
        <v>40</v>
      </c>
      <c r="D3759">
        <v>4.5383310000000003</v>
      </c>
      <c r="E3759">
        <v>0.57810039999999996</v>
      </c>
      <c r="F3759" t="s">
        <v>42</v>
      </c>
      <c r="G3759">
        <v>-218.0093</v>
      </c>
      <c r="H3759" s="1">
        <v>-1.4075690000000001E-6</v>
      </c>
      <c r="I3759">
        <v>141.44319999999999</v>
      </c>
      <c r="J3759">
        <v>-206.626</v>
      </c>
      <c r="K3759">
        <v>1.1053759999999999</v>
      </c>
      <c r="L3759">
        <v>141.69380000000001</v>
      </c>
      <c r="M3759">
        <v>-0.89108369999999903</v>
      </c>
      <c r="N3759">
        <v>0</v>
      </c>
      <c r="O3759">
        <v>-0.45364959999999999</v>
      </c>
      <c r="P3759">
        <v>-0.9726901</v>
      </c>
      <c r="Q3759">
        <v>4.1658340000000002E-2</v>
      </c>
      <c r="R3759">
        <v>-0.22833829999999999</v>
      </c>
      <c r="S3759">
        <v>-3.0796049999999999</v>
      </c>
      <c r="T3759">
        <v>-0.29027449999999999</v>
      </c>
      <c r="U3759">
        <v>-0.1073151</v>
      </c>
      <c r="V3759">
        <v>0.23844789999999999</v>
      </c>
      <c r="W3759">
        <v>5.151787E-2</v>
      </c>
      <c r="X3759">
        <v>0.96978790000000004</v>
      </c>
      <c r="Y3759">
        <v>0.41864709999999999</v>
      </c>
      <c r="Z3759">
        <v>6.1023139999999997E-2</v>
      </c>
      <c r="AA3759">
        <v>0.90609649999999997</v>
      </c>
      <c r="AB3759">
        <v>20</v>
      </c>
      <c r="AC3759">
        <v>-11.3833</v>
      </c>
      <c r="AD3759">
        <v>-1.1053774075689999</v>
      </c>
      <c r="AE3759">
        <v>-0.25060000000001897</v>
      </c>
      <c r="AF3759">
        <v>4.8950138136402597</v>
      </c>
      <c r="AG3759">
        <v>-1.1053774075689999</v>
      </c>
      <c r="AH3759">
        <v>10.162261511052799</v>
      </c>
      <c r="AI3759">
        <v>95.596923066499201</v>
      </c>
      <c r="AJ3759">
        <v>64.280558405135594</v>
      </c>
      <c r="AK3759">
        <v>11.333780413785901</v>
      </c>
      <c r="AL3759">
        <v>87.046936305537599</v>
      </c>
      <c r="AM3759">
        <v>76.186341527800906</v>
      </c>
      <c r="AN3759">
        <v>1.0000000314650701</v>
      </c>
    </row>
    <row r="3760" spans="1:40" x14ac:dyDescent="0.25">
      <c r="A3760" t="str">
        <f>"20190312151348062"</f>
        <v>20190312151348062</v>
      </c>
      <c r="B3760" t="str">
        <f>"1552374828053741"</f>
        <v>1552374828053741</v>
      </c>
      <c r="C3760" t="s">
        <v>40</v>
      </c>
      <c r="D3760">
        <v>4.5674140000000003</v>
      </c>
      <c r="E3760">
        <v>0.56810620000000001</v>
      </c>
      <c r="F3760" t="s">
        <v>42</v>
      </c>
      <c r="G3760">
        <v>-218.43350000000001</v>
      </c>
      <c r="H3760" s="1">
        <v>-1.2020840000000001E-6</v>
      </c>
      <c r="I3760">
        <v>141.4246</v>
      </c>
      <c r="J3760">
        <v>-206.80279999999999</v>
      </c>
      <c r="K3760">
        <v>1.105361</v>
      </c>
      <c r="L3760">
        <v>141.61529999999999</v>
      </c>
      <c r="M3760">
        <v>-0.89506640000000004</v>
      </c>
      <c r="N3760">
        <v>0</v>
      </c>
      <c r="O3760">
        <v>-0.44574449999999999</v>
      </c>
      <c r="P3760">
        <v>-0.97397029999999996</v>
      </c>
      <c r="Q3760">
        <v>4.1763840000000003E-2</v>
      </c>
      <c r="R3760">
        <v>-0.22279570000000001</v>
      </c>
      <c r="S3760">
        <v>-3.0800930000000002</v>
      </c>
      <c r="T3760">
        <v>-0.28834559999999998</v>
      </c>
      <c r="U3760">
        <v>-7.0220950000000004E-2</v>
      </c>
      <c r="V3760">
        <v>0.23537849999999999</v>
      </c>
      <c r="W3760">
        <v>5.1527870000000003E-2</v>
      </c>
      <c r="X3760">
        <v>0.97053690000000004</v>
      </c>
      <c r="Y3760">
        <v>0.42159079999999899</v>
      </c>
      <c r="Z3760">
        <v>6.0117370000000003E-2</v>
      </c>
      <c r="AA3760">
        <v>0.90479120000000002</v>
      </c>
      <c r="AB3760">
        <v>20</v>
      </c>
      <c r="AC3760">
        <v>-11.630699999999999</v>
      </c>
      <c r="AD3760">
        <v>-1.1053622020839999</v>
      </c>
      <c r="AE3760">
        <v>-0.19069999999999199</v>
      </c>
      <c r="AF3760">
        <v>4.9691815538619499</v>
      </c>
      <c r="AG3760">
        <v>-1.1053622020839999</v>
      </c>
      <c r="AH3760">
        <v>10.402203475245701</v>
      </c>
      <c r="AI3760">
        <v>95.476982938700004</v>
      </c>
      <c r="AJ3760">
        <v>64.465974316462507</v>
      </c>
      <c r="AK3760">
        <v>11.5810374342479</v>
      </c>
      <c r="AL3760">
        <v>87.046362542859796</v>
      </c>
      <c r="AM3760">
        <v>76.367606343946406</v>
      </c>
      <c r="AN3760">
        <v>1.0000000169552901</v>
      </c>
    </row>
    <row r="3761" spans="1:40" x14ac:dyDescent="0.25">
      <c r="A3761" t="str">
        <f>"20190312151348086"</f>
        <v>20190312151348086</v>
      </c>
      <c r="B3761" t="str">
        <f>"1552374828083997"</f>
        <v>1552374828083997</v>
      </c>
      <c r="C3761" t="s">
        <v>40</v>
      </c>
      <c r="D3761">
        <v>4.5344989999999896</v>
      </c>
      <c r="E3761">
        <v>0.56689250000000002</v>
      </c>
      <c r="F3761" t="s">
        <v>42</v>
      </c>
      <c r="G3761">
        <v>-217.07300000000001</v>
      </c>
      <c r="H3761" s="1">
        <v>-1.78078E-6</v>
      </c>
      <c r="I3761">
        <v>141.1824</v>
      </c>
      <c r="J3761">
        <v>-207.00190000000001</v>
      </c>
      <c r="K3761">
        <v>1.1053649999999999</v>
      </c>
      <c r="L3761">
        <v>141.5291</v>
      </c>
      <c r="M3761">
        <v>-0.89942710000000003</v>
      </c>
      <c r="N3761">
        <v>0</v>
      </c>
      <c r="O3761">
        <v>-0.43688359999999898</v>
      </c>
      <c r="P3761">
        <v>-0.97551049999999995</v>
      </c>
      <c r="Q3761">
        <v>3.9999159999999999E-2</v>
      </c>
      <c r="R3761">
        <v>-0.21628420000000001</v>
      </c>
      <c r="S3761">
        <v>-3.0647890000000002</v>
      </c>
      <c r="T3761">
        <v>-0.32985950000000003</v>
      </c>
      <c r="U3761">
        <v>-0.12919620000000001</v>
      </c>
      <c r="V3761">
        <v>0.23228009999999999</v>
      </c>
      <c r="W3761">
        <v>4.9662959999999999E-2</v>
      </c>
      <c r="X3761">
        <v>0.97138020000000003</v>
      </c>
      <c r="Y3761">
        <v>0.39401190000000003</v>
      </c>
      <c r="Z3761">
        <v>6.6652279999999994E-2</v>
      </c>
      <c r="AA3761">
        <v>0.91668539999999998</v>
      </c>
      <c r="AB3761">
        <v>20</v>
      </c>
      <c r="AC3761">
        <v>-10.0710999999999</v>
      </c>
      <c r="AD3761">
        <v>-1.1053667807799901</v>
      </c>
      <c r="AE3761">
        <v>-0.34669999999999801</v>
      </c>
      <c r="AF3761">
        <v>4.0397939554176698</v>
      </c>
      <c r="AG3761">
        <v>-1.1053667807799901</v>
      </c>
      <c r="AH3761">
        <v>9.1009371200336293</v>
      </c>
      <c r="AI3761">
        <v>96.334534706561399</v>
      </c>
      <c r="AJ3761">
        <v>66.064154403910607</v>
      </c>
      <c r="AK3761">
        <v>10.0184243963353</v>
      </c>
      <c r="AL3761">
        <v>87.153350933115306</v>
      </c>
      <c r="AM3761">
        <v>76.551745908094304</v>
      </c>
      <c r="AN3761">
        <v>0.999999973702005</v>
      </c>
    </row>
    <row r="3762" spans="1:40" x14ac:dyDescent="0.25">
      <c r="A3762" t="str">
        <f>"20190312151348108"</f>
        <v>20190312151348108</v>
      </c>
      <c r="B3762" t="str">
        <f>"1552374828104493"</f>
        <v>1552374828104493</v>
      </c>
      <c r="C3762" t="s">
        <v>40</v>
      </c>
      <c r="D3762">
        <v>4.5244150000000003</v>
      </c>
      <c r="E3762">
        <v>0.56573830000000003</v>
      </c>
      <c r="F3762" t="s">
        <v>42</v>
      </c>
      <c r="G3762">
        <v>-217.3381</v>
      </c>
      <c r="H3762" s="1">
        <v>-1.6420220000000001E-6</v>
      </c>
      <c r="I3762">
        <v>141.1319</v>
      </c>
      <c r="J3762">
        <v>-207.18109999999999</v>
      </c>
      <c r="K3762">
        <v>1.1053729999999999</v>
      </c>
      <c r="L3762">
        <v>141.45349999999999</v>
      </c>
      <c r="M3762">
        <v>-0.90323419999999999</v>
      </c>
      <c r="N3762">
        <v>0</v>
      </c>
      <c r="O3762">
        <v>-0.4289616</v>
      </c>
      <c r="P3762">
        <v>-0.97667809999999999</v>
      </c>
      <c r="Q3762">
        <v>3.8828479999999999E-2</v>
      </c>
      <c r="R3762">
        <v>-0.21116860000000001</v>
      </c>
      <c r="S3762">
        <v>-3.0626370000000001</v>
      </c>
      <c r="T3762">
        <v>-0.327522599999999</v>
      </c>
      <c r="U3762">
        <v>-0.1176758</v>
      </c>
      <c r="V3762">
        <v>0.22883049999999999</v>
      </c>
      <c r="W3762">
        <v>4.8419909999999997E-2</v>
      </c>
      <c r="X3762">
        <v>0.97226140000000005</v>
      </c>
      <c r="Y3762">
        <v>0.38948080000000002</v>
      </c>
      <c r="Z3762">
        <v>6.5231289999999997E-2</v>
      </c>
      <c r="AA3762">
        <v>0.91872169999999997</v>
      </c>
      <c r="AB3762">
        <v>20</v>
      </c>
      <c r="AC3762">
        <v>-10.157</v>
      </c>
      <c r="AD3762">
        <v>-1.1053746420220001</v>
      </c>
      <c r="AE3762">
        <v>-0.32159999999998901</v>
      </c>
      <c r="AF3762">
        <v>4.0192528343483804</v>
      </c>
      <c r="AG3762">
        <v>-1.1053746420220001</v>
      </c>
      <c r="AH3762">
        <v>9.2039487266729001</v>
      </c>
      <c r="AI3762">
        <v>96.280771089932401</v>
      </c>
      <c r="AJ3762">
        <v>66.409689601341796</v>
      </c>
      <c r="AK3762">
        <v>10.1039061064949</v>
      </c>
      <c r="AL3762">
        <v>87.224658492477701</v>
      </c>
      <c r="AM3762">
        <v>76.755956038315801</v>
      </c>
      <c r="AN3762">
        <v>1.0000000576723</v>
      </c>
    </row>
    <row r="3763" spans="1:40" x14ac:dyDescent="0.25">
      <c r="A3763" t="str">
        <f>"20190312151348129"</f>
        <v>20190312151348129</v>
      </c>
      <c r="B3763" t="str">
        <f>"1552374828124012"</f>
        <v>1552374828124012</v>
      </c>
      <c r="C3763" t="s">
        <v>40</v>
      </c>
      <c r="D3763">
        <v>4.6037819999999998</v>
      </c>
      <c r="E3763">
        <v>0.56559930000000003</v>
      </c>
      <c r="F3763" t="s">
        <v>42</v>
      </c>
      <c r="G3763">
        <v>-217.34229999999999</v>
      </c>
      <c r="H3763" s="1">
        <v>-1.628556E-6</v>
      </c>
      <c r="I3763">
        <v>141.08869999999999</v>
      </c>
      <c r="J3763">
        <v>-207.36760000000001</v>
      </c>
      <c r="K3763">
        <v>1.1053850000000001</v>
      </c>
      <c r="L3763">
        <v>141.3767</v>
      </c>
      <c r="M3763">
        <v>-0.90708420000000001</v>
      </c>
      <c r="N3763">
        <v>0</v>
      </c>
      <c r="O3763">
        <v>-0.42076370000000002</v>
      </c>
      <c r="P3763">
        <v>-0.97773120000000002</v>
      </c>
      <c r="Q3763">
        <v>3.810061E-2</v>
      </c>
      <c r="R3763">
        <v>-0.20637320000000001</v>
      </c>
      <c r="S3763">
        <v>-3.0611109999999999</v>
      </c>
      <c r="T3763">
        <v>-0.33300099999999999</v>
      </c>
      <c r="U3763">
        <v>-0.1099091</v>
      </c>
      <c r="V3763">
        <v>0.2247895</v>
      </c>
      <c r="W3763">
        <v>4.7629749999999998E-2</v>
      </c>
      <c r="X3763">
        <v>0.97324259999999996</v>
      </c>
      <c r="Y3763">
        <v>0.38337569999999999</v>
      </c>
      <c r="Z3763">
        <v>6.5212519999999996E-2</v>
      </c>
      <c r="AA3763">
        <v>0.92128739999999998</v>
      </c>
      <c r="AB3763">
        <v>20</v>
      </c>
      <c r="AC3763">
        <v>-9.9746999999999808</v>
      </c>
      <c r="AD3763">
        <v>-1.1053866285559999</v>
      </c>
      <c r="AE3763">
        <v>-0.28800000000001003</v>
      </c>
      <c r="AF3763">
        <v>3.88834631852081</v>
      </c>
      <c r="AG3763">
        <v>-1.1053866285559999</v>
      </c>
      <c r="AH3763">
        <v>9.0586336007259103</v>
      </c>
      <c r="AI3763">
        <v>96.397971591269197</v>
      </c>
      <c r="AJ3763">
        <v>66.768956642183497</v>
      </c>
      <c r="AK3763">
        <v>9.9196753678507701</v>
      </c>
      <c r="AL3763">
        <v>87.269983562165194</v>
      </c>
      <c r="AM3763">
        <v>76.994481271097399</v>
      </c>
      <c r="AN3763">
        <v>1.00000003542503</v>
      </c>
    </row>
    <row r="3764" spans="1:40" x14ac:dyDescent="0.25">
      <c r="A3764" t="str">
        <f>"20190312151348151"</f>
        <v>20190312151348151</v>
      </c>
      <c r="B3764" t="str">
        <f>"1552374828144509"</f>
        <v>1552374828144509</v>
      </c>
      <c r="C3764" t="s">
        <v>40</v>
      </c>
      <c r="D3764">
        <v>4.5929479999999998</v>
      </c>
      <c r="E3764">
        <v>0.56581559999999997</v>
      </c>
      <c r="F3764" t="s">
        <v>42</v>
      </c>
      <c r="G3764">
        <v>-217.49539999999999</v>
      </c>
      <c r="H3764" s="1">
        <v>-1.5486549999999999E-6</v>
      </c>
      <c r="I3764">
        <v>141.06049999999999</v>
      </c>
      <c r="J3764">
        <v>-207.548</v>
      </c>
      <c r="K3764">
        <v>1.105405</v>
      </c>
      <c r="L3764">
        <v>141.30420000000001</v>
      </c>
      <c r="M3764">
        <v>-0.91070099999999998</v>
      </c>
      <c r="N3764">
        <v>0</v>
      </c>
      <c r="O3764">
        <v>-0.412881</v>
      </c>
      <c r="P3764">
        <v>-0.97867950000000004</v>
      </c>
      <c r="Q3764">
        <v>3.7658900000000002E-2</v>
      </c>
      <c r="R3764">
        <v>-0.20191129999999999</v>
      </c>
      <c r="S3764">
        <v>-3.061188</v>
      </c>
      <c r="T3764">
        <v>-0.3341073</v>
      </c>
      <c r="U3764">
        <v>-9.5581050000000001E-2</v>
      </c>
      <c r="V3764">
        <v>0.22078020000000001</v>
      </c>
      <c r="W3764">
        <v>4.7138680000000002E-2</v>
      </c>
      <c r="X3764">
        <v>0.97418380000000004</v>
      </c>
      <c r="Y3764">
        <v>0.37971519999999997</v>
      </c>
      <c r="Z3764">
        <v>6.4453969999999999E-2</v>
      </c>
      <c r="AA3764">
        <v>0.92285539999999999</v>
      </c>
      <c r="AB3764">
        <v>20</v>
      </c>
      <c r="AC3764">
        <v>-9.9473999999999805</v>
      </c>
      <c r="AD3764">
        <v>-1.105406548655</v>
      </c>
      <c r="AE3764">
        <v>-0.24370000000001801</v>
      </c>
      <c r="AF3764">
        <v>3.8380844888035401</v>
      </c>
      <c r="AG3764">
        <v>-1.105406548655</v>
      </c>
      <c r="AH3764">
        <v>9.0487526342881495</v>
      </c>
      <c r="AI3764">
        <v>96.416685828183404</v>
      </c>
      <c r="AJ3764">
        <v>67.015470307573196</v>
      </c>
      <c r="AK3764">
        <v>9.8910434443258097</v>
      </c>
      <c r="AL3764">
        <v>87.298151381958306</v>
      </c>
      <c r="AM3764">
        <v>77.230703865861898</v>
      </c>
      <c r="AN3764">
        <v>1.0000000140233101</v>
      </c>
    </row>
    <row r="3765" spans="1:40" x14ac:dyDescent="0.25">
      <c r="A3765" t="str">
        <f>"20190312151348177"</f>
        <v>20190312151348177</v>
      </c>
      <c r="B3765" t="str">
        <f>"1552374828164536"</f>
        <v>1552374828164536</v>
      </c>
      <c r="C3765" t="s">
        <v>40</v>
      </c>
      <c r="D3765">
        <v>4.55999</v>
      </c>
      <c r="E3765">
        <v>0.56575279999999994</v>
      </c>
      <c r="F3765" t="s">
        <v>42</v>
      </c>
      <c r="G3765">
        <v>-217.73339999999999</v>
      </c>
      <c r="H3765" s="1">
        <v>-1.430487E-6</v>
      </c>
      <c r="I3765">
        <v>141.03919999999999</v>
      </c>
      <c r="J3765">
        <v>-207.76179999999999</v>
      </c>
      <c r="K3765">
        <v>1.1054349999999999</v>
      </c>
      <c r="L3765">
        <v>141.22049999999999</v>
      </c>
      <c r="M3765">
        <v>-0.91484299999999996</v>
      </c>
      <c r="N3765">
        <v>0</v>
      </c>
      <c r="O3765">
        <v>-0.40362480000000001</v>
      </c>
      <c r="P3765">
        <v>-0.97995449999999995</v>
      </c>
      <c r="Q3765">
        <v>3.7140880000000001E-2</v>
      </c>
      <c r="R3765">
        <v>-0.19572980000000001</v>
      </c>
      <c r="S3765">
        <v>-3.0617070000000002</v>
      </c>
      <c r="T3765">
        <v>-0.33228370000000002</v>
      </c>
      <c r="U3765">
        <v>-7.9666139999999996E-2</v>
      </c>
      <c r="V3765">
        <v>0.21704229999999999</v>
      </c>
      <c r="W3765">
        <v>4.6557580000000001E-2</v>
      </c>
      <c r="X3765">
        <v>0.97505129999999995</v>
      </c>
      <c r="Y3765">
        <v>0.37526700000000002</v>
      </c>
      <c r="Z3765">
        <v>6.2943440000000003E-2</v>
      </c>
      <c r="AA3765">
        <v>0.92477719999999997</v>
      </c>
      <c r="AB3765">
        <v>20</v>
      </c>
      <c r="AC3765">
        <v>-9.9715999999999898</v>
      </c>
      <c r="AD3765">
        <v>-1.1054364304869999</v>
      </c>
      <c r="AE3765">
        <v>-0.18129999999999299</v>
      </c>
      <c r="AF3765">
        <v>3.8123750405394299</v>
      </c>
      <c r="AG3765">
        <v>-1.1054364304869999</v>
      </c>
      <c r="AH3765">
        <v>9.0847017130877994</v>
      </c>
      <c r="AI3765">
        <v>96.401919412188505</v>
      </c>
      <c r="AJ3765">
        <v>67.234750345074602</v>
      </c>
      <c r="AK3765">
        <v>9.9140303795861104</v>
      </c>
      <c r="AL3765">
        <v>87.331482526679196</v>
      </c>
      <c r="AM3765">
        <v>77.450798095437406</v>
      </c>
      <c r="AN3765">
        <v>1.0000000029382099</v>
      </c>
    </row>
    <row r="3766" spans="1:40" x14ac:dyDescent="0.25">
      <c r="A3766" t="str">
        <f>"20190312151348199"</f>
        <v>20190312151348199</v>
      </c>
      <c r="B3766" t="str">
        <f>"1552374828193816"</f>
        <v>1552374828193816</v>
      </c>
      <c r="C3766" t="s">
        <v>40</v>
      </c>
      <c r="D3766">
        <v>4.6097070000000002</v>
      </c>
      <c r="E3766">
        <v>0.56543639999999995</v>
      </c>
      <c r="F3766" t="s">
        <v>42</v>
      </c>
      <c r="G3766">
        <v>-217.899</v>
      </c>
      <c r="H3766" s="1">
        <v>-1.3468449999999999E-6</v>
      </c>
      <c r="I3766">
        <v>141.0189</v>
      </c>
      <c r="J3766">
        <v>-207.95009999999999</v>
      </c>
      <c r="K3766">
        <v>1.1054580000000001</v>
      </c>
      <c r="L3766">
        <v>141.14869999999999</v>
      </c>
      <c r="M3766">
        <v>-0.91836589999999996</v>
      </c>
      <c r="N3766">
        <v>0</v>
      </c>
      <c r="O3766">
        <v>-0.39554719999999999</v>
      </c>
      <c r="P3766">
        <v>-0.98088350000000002</v>
      </c>
      <c r="Q3766">
        <v>3.7097350000000001E-2</v>
      </c>
      <c r="R3766">
        <v>-0.191028</v>
      </c>
      <c r="S3766">
        <v>-3.061874</v>
      </c>
      <c r="T3766">
        <v>-0.33388970000000001</v>
      </c>
      <c r="U3766">
        <v>-6.0882569999999997E-2</v>
      </c>
      <c r="V3766">
        <v>0.21311620000000001</v>
      </c>
      <c r="W3766">
        <v>4.6473269999999997E-2</v>
      </c>
      <c r="X3766">
        <v>0.97592100000000004</v>
      </c>
      <c r="Y3766">
        <v>0.37279509999999899</v>
      </c>
      <c r="Z3766">
        <v>6.2310240000000003E-2</v>
      </c>
      <c r="AA3766">
        <v>0.92581919999999995</v>
      </c>
      <c r="AB3766">
        <v>20</v>
      </c>
      <c r="AC3766">
        <v>-9.9489000000000001</v>
      </c>
      <c r="AD3766">
        <v>-1.105459346845</v>
      </c>
      <c r="AE3766">
        <v>-0.12979999999998801</v>
      </c>
      <c r="AF3766">
        <v>3.7698001626631799</v>
      </c>
      <c r="AG3766">
        <v>-1.105459346845</v>
      </c>
      <c r="AH3766">
        <v>9.0767013229352003</v>
      </c>
      <c r="AI3766">
        <v>96.417415187043105</v>
      </c>
      <c r="AJ3766">
        <v>67.445563211279094</v>
      </c>
      <c r="AK3766">
        <v>9.8903963793023006</v>
      </c>
      <c r="AL3766">
        <v>87.336318464105602</v>
      </c>
      <c r="AM3766">
        <v>77.681449789292103</v>
      </c>
      <c r="AN3766">
        <v>1.0000000388839601</v>
      </c>
    </row>
    <row r="3767" spans="1:40" x14ac:dyDescent="0.25">
      <c r="A3767" t="str">
        <f>"20190312151348220"</f>
        <v>20190312151348220</v>
      </c>
      <c r="B3767" t="str">
        <f>"1552374828214312"</f>
        <v>1552374828214312</v>
      </c>
      <c r="C3767" t="s">
        <v>40</v>
      </c>
      <c r="D3767">
        <v>4.8332769999999998</v>
      </c>
      <c r="E3767">
        <v>0.56536439999999999</v>
      </c>
      <c r="F3767" t="s">
        <v>42</v>
      </c>
      <c r="G3767">
        <v>-218.1268</v>
      </c>
      <c r="H3767" s="1">
        <v>-1.230957E-6</v>
      </c>
      <c r="I3767">
        <v>140.98820000000001</v>
      </c>
      <c r="J3767">
        <v>-208.1283</v>
      </c>
      <c r="K3767">
        <v>1.1054839999999999</v>
      </c>
      <c r="L3767">
        <v>141.0823</v>
      </c>
      <c r="M3767">
        <v>-0.9215911</v>
      </c>
      <c r="N3767">
        <v>0</v>
      </c>
      <c r="O3767">
        <v>-0.3879766</v>
      </c>
      <c r="P3767">
        <v>-0.98170840000000004</v>
      </c>
      <c r="Q3767">
        <v>3.7441830000000002E-2</v>
      </c>
      <c r="R3767">
        <v>-0.18667339999999999</v>
      </c>
      <c r="S3767">
        <v>-3.0616460000000001</v>
      </c>
      <c r="T3767">
        <v>-0.33257399999999998</v>
      </c>
      <c r="U3767">
        <v>-4.8278809999999998E-2</v>
      </c>
      <c r="V3767">
        <v>0.20940529999999999</v>
      </c>
      <c r="W3767">
        <v>4.6784319999999997E-2</v>
      </c>
      <c r="X3767">
        <v>0.9767091</v>
      </c>
      <c r="Y3767">
        <v>0.36907230000000002</v>
      </c>
      <c r="Z3767">
        <v>6.1115639999999999E-2</v>
      </c>
      <c r="AA3767">
        <v>0.92738909999999997</v>
      </c>
      <c r="AB3767">
        <v>20</v>
      </c>
      <c r="AC3767">
        <v>-9.9984999999999999</v>
      </c>
      <c r="AD3767">
        <v>-1.105485230957</v>
      </c>
      <c r="AE3767">
        <v>-9.4099999999997394E-2</v>
      </c>
      <c r="AF3767">
        <v>3.7469345232637399</v>
      </c>
      <c r="AG3767">
        <v>-1.105485230957</v>
      </c>
      <c r="AH3767">
        <v>9.1399802677952202</v>
      </c>
      <c r="AI3767">
        <v>96.385495950926696</v>
      </c>
      <c r="AJ3767">
        <v>67.708825483380906</v>
      </c>
      <c r="AK3767">
        <v>9.9398619312934002</v>
      </c>
      <c r="AL3767">
        <v>87.318477126521799</v>
      </c>
      <c r="AM3767">
        <v>77.899045890898094</v>
      </c>
      <c r="AN3767">
        <v>1.0000000091443799</v>
      </c>
    </row>
    <row r="3768" spans="1:40" x14ac:dyDescent="0.25">
      <c r="A3768" t="str">
        <f>"20190312151348242"</f>
        <v>20190312151348242</v>
      </c>
      <c r="B3768" t="str">
        <f>"1552374828233833"</f>
        <v>1552374828233833</v>
      </c>
      <c r="C3768" t="s">
        <v>40</v>
      </c>
      <c r="D3768">
        <v>4.6587779999999999</v>
      </c>
      <c r="E3768">
        <v>0.56491579999999997</v>
      </c>
      <c r="F3768" t="s">
        <v>42</v>
      </c>
      <c r="G3768">
        <v>-218.44820000000001</v>
      </c>
      <c r="H3768" s="1">
        <v>-1.0722530000000001E-6</v>
      </c>
      <c r="I3768">
        <v>140.96270000000001</v>
      </c>
      <c r="J3768">
        <v>-208.3203</v>
      </c>
      <c r="K3768">
        <v>1.105526</v>
      </c>
      <c r="L3768">
        <v>141.01249999999999</v>
      </c>
      <c r="M3768">
        <v>-0.92494770000000004</v>
      </c>
      <c r="N3768">
        <v>0</v>
      </c>
      <c r="O3768">
        <v>-0.37990839999999998</v>
      </c>
      <c r="P3768">
        <v>-0.98269499999999999</v>
      </c>
      <c r="Q3768">
        <v>3.7420630000000003E-2</v>
      </c>
      <c r="R3768">
        <v>-0.18141109999999999</v>
      </c>
      <c r="S3768">
        <v>-3.061661</v>
      </c>
      <c r="T3768">
        <v>-0.3279704</v>
      </c>
      <c r="U3768">
        <v>-3.549194E-2</v>
      </c>
      <c r="V3768">
        <v>0.2060929</v>
      </c>
      <c r="W3768">
        <v>4.6728579999999999E-2</v>
      </c>
      <c r="X3768">
        <v>0.97741599999999995</v>
      </c>
      <c r="Y3768">
        <v>0.36501549999999999</v>
      </c>
      <c r="Z3768">
        <v>5.9261229999999998E-2</v>
      </c>
      <c r="AA3768">
        <v>0.92911339999999998</v>
      </c>
      <c r="AB3768">
        <v>20</v>
      </c>
      <c r="AC3768">
        <v>-10.1279</v>
      </c>
      <c r="AD3768">
        <v>-1.105527072253</v>
      </c>
      <c r="AE3768">
        <v>-4.9799999999976301E-2</v>
      </c>
      <c r="AF3768">
        <v>3.75711506243288</v>
      </c>
      <c r="AG3768">
        <v>-1.105527072253</v>
      </c>
      <c r="AH3768">
        <v>9.2768285274599709</v>
      </c>
      <c r="AI3768">
        <v>96.303103020311198</v>
      </c>
      <c r="AJ3768">
        <v>67.9520551426466</v>
      </c>
      <c r="AK3768">
        <v>10.0696400743889</v>
      </c>
      <c r="AL3768">
        <v>87.321674105498104</v>
      </c>
      <c r="AM3768">
        <v>78.093318639844497</v>
      </c>
      <c r="AN3768">
        <v>0.99999994033761097</v>
      </c>
    </row>
    <row r="3769" spans="1:40" x14ac:dyDescent="0.25">
      <c r="A3769" t="str">
        <f>"20190312151348264"</f>
        <v>20190312151348264</v>
      </c>
      <c r="B3769" t="str">
        <f>"1552374828254329"</f>
        <v>1552374828254329</v>
      </c>
      <c r="C3769" t="s">
        <v>40</v>
      </c>
      <c r="D3769">
        <v>4.6370420000000001</v>
      </c>
      <c r="E3769">
        <v>0.56434859999999998</v>
      </c>
      <c r="F3769" t="s">
        <v>42</v>
      </c>
      <c r="G3769">
        <v>-218.5591</v>
      </c>
      <c r="H3769" s="1">
        <v>-1.012796E-6</v>
      </c>
      <c r="I3769">
        <v>140.93620000000001</v>
      </c>
      <c r="J3769">
        <v>-208.50970000000001</v>
      </c>
      <c r="K3769">
        <v>1.105575</v>
      </c>
      <c r="L3769">
        <v>140.94540000000001</v>
      </c>
      <c r="M3769">
        <v>-0.92813889999999999</v>
      </c>
      <c r="N3769">
        <v>0</v>
      </c>
      <c r="O3769">
        <v>-0.37204720000000002</v>
      </c>
      <c r="P3769">
        <v>-0.98347770000000001</v>
      </c>
      <c r="Q3769">
        <v>3.7198410000000001E-2</v>
      </c>
      <c r="R3769">
        <v>-0.17716599999999999</v>
      </c>
      <c r="S3769">
        <v>-3.0612029999999999</v>
      </c>
      <c r="T3769">
        <v>-0.33053369999999999</v>
      </c>
      <c r="U3769">
        <v>-2.2827150000000001E-2</v>
      </c>
      <c r="V3769">
        <v>0.20200969999999999</v>
      </c>
      <c r="W3769">
        <v>4.6496620000000002E-2</v>
      </c>
      <c r="X3769">
        <v>0.97827920000000002</v>
      </c>
      <c r="Y3769">
        <v>0.36096450000000002</v>
      </c>
      <c r="Z3769">
        <v>5.8726849999999997E-2</v>
      </c>
      <c r="AA3769">
        <v>0.93072860000000002</v>
      </c>
      <c r="AB3769">
        <v>20</v>
      </c>
      <c r="AC3769">
        <v>-10.049399999999901</v>
      </c>
      <c r="AD3769">
        <v>-1.1055760127959999</v>
      </c>
      <c r="AE3769">
        <v>-9.1999999999927695E-3</v>
      </c>
      <c r="AF3769">
        <v>3.68596011546988</v>
      </c>
      <c r="AG3769">
        <v>-1.1055760127959999</v>
      </c>
      <c r="AH3769">
        <v>9.2197235135441993</v>
      </c>
      <c r="AI3769">
        <v>96.353462598721904</v>
      </c>
      <c r="AJ3769">
        <v>68.208927062972094</v>
      </c>
      <c r="AK3769">
        <v>9.9905906711817902</v>
      </c>
      <c r="AL3769">
        <v>87.334979119835197</v>
      </c>
      <c r="AM3769">
        <v>78.332698937918707</v>
      </c>
      <c r="AN3769">
        <v>1.0000000238590701</v>
      </c>
    </row>
    <row r="3770" spans="1:40" x14ac:dyDescent="0.25">
      <c r="A3770" t="str">
        <f>"20190312151348287"</f>
        <v>20190312151348287</v>
      </c>
      <c r="B3770" t="str">
        <f>"1552374828274355"</f>
        <v>1552374828274355</v>
      </c>
      <c r="C3770" t="s">
        <v>40</v>
      </c>
      <c r="D3770">
        <v>4.6220569999999999</v>
      </c>
      <c r="E3770">
        <v>0.56409350000000003</v>
      </c>
      <c r="F3770" t="s">
        <v>42</v>
      </c>
      <c r="G3770">
        <v>-218.6549</v>
      </c>
      <c r="H3770" s="1">
        <v>-9.5759609999999999E-7</v>
      </c>
      <c r="I3770">
        <v>140.899</v>
      </c>
      <c r="J3770">
        <v>-208.7003</v>
      </c>
      <c r="K3770">
        <v>1.1056280000000001</v>
      </c>
      <c r="L3770">
        <v>140.87960000000001</v>
      </c>
      <c r="M3770">
        <v>-0.93122950000000004</v>
      </c>
      <c r="N3770">
        <v>0</v>
      </c>
      <c r="O3770">
        <v>-0.36424519999999999</v>
      </c>
      <c r="P3770">
        <v>-0.98410019999999998</v>
      </c>
      <c r="Q3770">
        <v>3.7381299999999999E-2</v>
      </c>
      <c r="R3770">
        <v>-0.1736367</v>
      </c>
      <c r="S3770">
        <v>-3.0605009999999999</v>
      </c>
      <c r="T3770">
        <v>-0.33351839999999999</v>
      </c>
      <c r="U3770">
        <v>-1.397705E-2</v>
      </c>
      <c r="V3770">
        <v>0.19729630000000001</v>
      </c>
      <c r="W3770">
        <v>4.6688090000000002E-2</v>
      </c>
      <c r="X3770">
        <v>0.97923150000000003</v>
      </c>
      <c r="Y3770">
        <v>0.3558289</v>
      </c>
      <c r="Z3770">
        <v>5.8195719999999999E-2</v>
      </c>
      <c r="AA3770">
        <v>0.93273740000000005</v>
      </c>
      <c r="AB3770">
        <v>20</v>
      </c>
      <c r="AC3770">
        <v>-9.9545999999999992</v>
      </c>
      <c r="AD3770">
        <v>-1.1056289575961</v>
      </c>
      <c r="AE3770">
        <v>1.93999999999903E-2</v>
      </c>
      <c r="AF3770">
        <v>3.59982392022992</v>
      </c>
      <c r="AG3770">
        <v>-1.1056289575961</v>
      </c>
      <c r="AH3770">
        <v>9.1507038174466793</v>
      </c>
      <c r="AI3770">
        <v>96.415224225768199</v>
      </c>
      <c r="AJ3770">
        <v>68.525665198689893</v>
      </c>
      <c r="AK3770">
        <v>9.8952780659852007</v>
      </c>
      <c r="AL3770">
        <v>87.323996623734502</v>
      </c>
      <c r="AM3770">
        <v>78.608513017537405</v>
      </c>
      <c r="AN3770">
        <v>0.99999996916689304</v>
      </c>
    </row>
    <row r="3771" spans="1:40" x14ac:dyDescent="0.25">
      <c r="A3771" t="str">
        <f>"20190312151348308"</f>
        <v>20190312151348308</v>
      </c>
      <c r="B3771" t="str">
        <f>"1552374828304611"</f>
        <v>1552374828304611</v>
      </c>
      <c r="C3771" t="s">
        <v>40</v>
      </c>
      <c r="D3771">
        <v>4.6770820000000004</v>
      </c>
      <c r="E3771">
        <v>0.56318409999999997</v>
      </c>
      <c r="F3771" t="s">
        <v>42</v>
      </c>
      <c r="G3771">
        <v>-218.8021</v>
      </c>
      <c r="H3771" s="1">
        <v>-8.7856969999999898E-7</v>
      </c>
      <c r="I3771">
        <v>140.86359999999999</v>
      </c>
      <c r="J3771">
        <v>-208.88820000000001</v>
      </c>
      <c r="K3771">
        <v>1.1056900000000001</v>
      </c>
      <c r="L3771">
        <v>140.81630000000001</v>
      </c>
      <c r="M3771">
        <v>-0.93416089999999996</v>
      </c>
      <c r="N3771">
        <v>0</v>
      </c>
      <c r="O3771">
        <v>-0.35666249999999999</v>
      </c>
      <c r="P3771">
        <v>-0.98471379999999997</v>
      </c>
      <c r="Q3771">
        <v>3.7183580000000001E-2</v>
      </c>
      <c r="R3771">
        <v>-0.1701656</v>
      </c>
      <c r="S3771">
        <v>-3.0603180000000001</v>
      </c>
      <c r="T3771">
        <v>-0.33494499999999999</v>
      </c>
      <c r="U3771">
        <v>-4.8522950000000004E-3</v>
      </c>
      <c r="V3771">
        <v>0.19277610000000001</v>
      </c>
      <c r="W3771">
        <v>4.6504240000000002E-2</v>
      </c>
      <c r="X3771">
        <v>0.98014009999999996</v>
      </c>
      <c r="Y3771">
        <v>0.35105180000000002</v>
      </c>
      <c r="Z3771">
        <v>5.7409590000000003E-2</v>
      </c>
      <c r="AA3771">
        <v>0.93459449999999999</v>
      </c>
      <c r="AB3771">
        <v>20</v>
      </c>
      <c r="AC3771">
        <v>-9.9138999999999804</v>
      </c>
      <c r="AD3771">
        <v>-1.1056908785696999</v>
      </c>
      <c r="AE3771">
        <v>4.7299999999978498E-2</v>
      </c>
      <c r="AF3771">
        <v>3.53635731126555</v>
      </c>
      <c r="AG3771">
        <v>-1.1056908785696999</v>
      </c>
      <c r="AH3771">
        <v>9.1313524751558202</v>
      </c>
      <c r="AI3771">
        <v>96.442284883572697</v>
      </c>
      <c r="AJ3771">
        <v>68.829790131124398</v>
      </c>
      <c r="AK3771">
        <v>9.8544392726033898</v>
      </c>
      <c r="AL3771">
        <v>87.334541835798007</v>
      </c>
      <c r="AM3771">
        <v>78.872968786802403</v>
      </c>
      <c r="AN3771">
        <v>0.99999994234859702</v>
      </c>
    </row>
    <row r="3772" spans="1:40" x14ac:dyDescent="0.25">
      <c r="A3772" t="str">
        <f>"20190312151348330"</f>
        <v>20190312151348330</v>
      </c>
      <c r="B3772" t="str">
        <f>"1552374828324131"</f>
        <v>1552374828324131</v>
      </c>
      <c r="C3772" t="s">
        <v>40</v>
      </c>
      <c r="D3772">
        <v>4.6019930000000002</v>
      </c>
      <c r="E3772">
        <v>0.56249199999999999</v>
      </c>
      <c r="F3772" t="s">
        <v>42</v>
      </c>
      <c r="G3772">
        <v>-218.89580000000001</v>
      </c>
      <c r="H3772" s="1">
        <v>-8.2106780000000005E-7</v>
      </c>
      <c r="I3772">
        <v>140.81379999999999</v>
      </c>
      <c r="J3772">
        <v>-209.08920000000001</v>
      </c>
      <c r="K3772">
        <v>1.105739</v>
      </c>
      <c r="L3772">
        <v>140.75040000000001</v>
      </c>
      <c r="M3772">
        <v>-0.93717839999999997</v>
      </c>
      <c r="N3772">
        <v>0</v>
      </c>
      <c r="O3772">
        <v>-0.3486592</v>
      </c>
      <c r="P3772">
        <v>-0.98532830000000005</v>
      </c>
      <c r="Q3772">
        <v>3.6601120000000001E-2</v>
      </c>
      <c r="R3772">
        <v>-0.16669909999999999</v>
      </c>
      <c r="S3772">
        <v>-3.0592190000000001</v>
      </c>
      <c r="T3772">
        <v>-0.33799970000000001</v>
      </c>
      <c r="U3772">
        <v>-7.6293949999999998E-4</v>
      </c>
      <c r="V3772">
        <v>0.18783079999999999</v>
      </c>
      <c r="W3772">
        <v>4.5940269999999998E-2</v>
      </c>
      <c r="X3772">
        <v>0.98112639999999995</v>
      </c>
      <c r="Y3772">
        <v>0.34430100000000002</v>
      </c>
      <c r="Z3772">
        <v>5.674564E-2</v>
      </c>
      <c r="AA3772">
        <v>0.93714280000000005</v>
      </c>
      <c r="AB3772">
        <v>20</v>
      </c>
      <c r="AC3772">
        <v>-9.8065999999999995</v>
      </c>
      <c r="AD3772">
        <v>-1.1057398210678</v>
      </c>
      <c r="AE3772">
        <v>6.3399999999973006E-2</v>
      </c>
      <c r="AF3772">
        <v>3.43513927596966</v>
      </c>
      <c r="AG3772">
        <v>-1.1057398210678</v>
      </c>
      <c r="AH3772">
        <v>9.05393690362712</v>
      </c>
      <c r="AI3772">
        <v>96.514146871405202</v>
      </c>
      <c r="AJ3772">
        <v>69.222836403468605</v>
      </c>
      <c r="AK3772">
        <v>9.7466207401368301</v>
      </c>
      <c r="AL3772">
        <v>87.366889573194001</v>
      </c>
      <c r="AM3772">
        <v>79.162199558576802</v>
      </c>
      <c r="AN3772">
        <v>0.99999996530663504</v>
      </c>
    </row>
    <row r="3773" spans="1:40" x14ac:dyDescent="0.25">
      <c r="A3773" t="str">
        <f>"20190312151348353"</f>
        <v>20190312151348353</v>
      </c>
      <c r="B3773" t="str">
        <f>"1552374828343651"</f>
        <v>1552374828343651</v>
      </c>
      <c r="C3773" t="s">
        <v>40</v>
      </c>
      <c r="D3773">
        <v>4.6032599999999997</v>
      </c>
      <c r="E3773">
        <v>0.561832199999999</v>
      </c>
      <c r="F3773" t="s">
        <v>42</v>
      </c>
      <c r="G3773">
        <v>-218.97489999999999</v>
      </c>
      <c r="H3773" s="1">
        <v>-7.7095999999999996E-7</v>
      </c>
      <c r="I3773">
        <v>140.76609999999999</v>
      </c>
      <c r="J3773">
        <v>-209.28299999999999</v>
      </c>
      <c r="K3773">
        <v>1.1057790000000001</v>
      </c>
      <c r="L3773">
        <v>140.6884</v>
      </c>
      <c r="M3773">
        <v>-0.9399788</v>
      </c>
      <c r="N3773">
        <v>0</v>
      </c>
      <c r="O3773">
        <v>-0.34103909999999998</v>
      </c>
      <c r="P3773">
        <v>-0.98585109999999998</v>
      </c>
      <c r="Q3773">
        <v>3.5621960000000001E-2</v>
      </c>
      <c r="R3773">
        <v>-0.163795</v>
      </c>
      <c r="S3773">
        <v>-3.0582120000000002</v>
      </c>
      <c r="T3773">
        <v>-0.34206829999999999</v>
      </c>
      <c r="U3773">
        <v>4.8522950000000004E-3</v>
      </c>
      <c r="V3773">
        <v>0.18274699999999999</v>
      </c>
      <c r="W3773">
        <v>4.4985669999999998E-2</v>
      </c>
      <c r="X3773">
        <v>0.98213019999999995</v>
      </c>
      <c r="Y3773">
        <v>0.33838109999999999</v>
      </c>
      <c r="Z3773">
        <v>5.63086E-2</v>
      </c>
      <c r="AA3773">
        <v>0.93932289999999996</v>
      </c>
      <c r="AB3773">
        <v>20</v>
      </c>
      <c r="AC3773">
        <v>-9.6919000000000004</v>
      </c>
      <c r="AD3773">
        <v>-1.1057797709599999</v>
      </c>
      <c r="AE3773">
        <v>7.7699999999992997E-2</v>
      </c>
      <c r="AF3773">
        <v>3.3351646166688198</v>
      </c>
      <c r="AG3773">
        <v>-1.1057797709599999</v>
      </c>
      <c r="AH3773">
        <v>8.96755675309692</v>
      </c>
      <c r="AI3773">
        <v>96.592684396948698</v>
      </c>
      <c r="AJ3773">
        <v>69.599101068273995</v>
      </c>
      <c r="AK3773">
        <v>9.6313626264489791</v>
      </c>
      <c r="AL3773">
        <v>87.421640708261705</v>
      </c>
      <c r="AM3773">
        <v>79.459400844390501</v>
      </c>
      <c r="AN3773">
        <v>0.99999995313319301</v>
      </c>
    </row>
    <row r="3774" spans="1:40" x14ac:dyDescent="0.25">
      <c r="A3774" t="str">
        <f>"20190312151348378"</f>
        <v>20190312151348378</v>
      </c>
      <c r="B3774" t="str">
        <f>"1552374828374413"</f>
        <v>1552374828374413</v>
      </c>
      <c r="C3774" t="s">
        <v>40</v>
      </c>
      <c r="D3774">
        <v>5.0515129999999999</v>
      </c>
      <c r="E3774">
        <v>0.56130839999999904</v>
      </c>
      <c r="F3774" t="s">
        <v>42</v>
      </c>
      <c r="G3774">
        <v>-219.01159999999999</v>
      </c>
      <c r="H3774" s="1">
        <v>-7.4048069999999896E-7</v>
      </c>
      <c r="I3774">
        <v>140.7167</v>
      </c>
      <c r="J3774">
        <v>-209.49529999999999</v>
      </c>
      <c r="K3774">
        <v>1.1058220000000001</v>
      </c>
      <c r="L3774">
        <v>140.6224</v>
      </c>
      <c r="M3774">
        <v>-0.94292370000000003</v>
      </c>
      <c r="N3774">
        <v>0</v>
      </c>
      <c r="O3774">
        <v>-0.33281260000000001</v>
      </c>
      <c r="P3774">
        <v>-0.98646009999999995</v>
      </c>
      <c r="Q3774">
        <v>3.4846509999999997E-2</v>
      </c>
      <c r="R3774">
        <v>-0.1602568</v>
      </c>
      <c r="S3774">
        <v>-3.0570979999999999</v>
      </c>
      <c r="T3774">
        <v>-0.34747800000000001</v>
      </c>
      <c r="U3774">
        <v>8.8806149999999997E-3</v>
      </c>
      <c r="V3774">
        <v>0.177679</v>
      </c>
      <c r="W3774">
        <v>4.4236350000000001E-2</v>
      </c>
      <c r="X3774">
        <v>0.98309369999999996</v>
      </c>
      <c r="Y3774">
        <v>0.33135759999999997</v>
      </c>
      <c r="Z3774">
        <v>5.5929930000000003E-2</v>
      </c>
      <c r="AA3774">
        <v>0.94184599999999996</v>
      </c>
      <c r="AB3774">
        <v>20</v>
      </c>
      <c r="AC3774">
        <v>-9.5162999999999993</v>
      </c>
      <c r="AD3774">
        <v>-1.1058227404807</v>
      </c>
      <c r="AE3774">
        <v>9.4300000000004006E-2</v>
      </c>
      <c r="AF3774">
        <v>3.2128950908564802</v>
      </c>
      <c r="AG3774">
        <v>-1.1058227404807</v>
      </c>
      <c r="AH3774">
        <v>8.8232154230249105</v>
      </c>
      <c r="AI3774">
        <v>96.716568878513499</v>
      </c>
      <c r="AJ3774">
        <v>69.991357387018894</v>
      </c>
      <c r="AK3774">
        <v>9.4548754195556999</v>
      </c>
      <c r="AL3774">
        <v>87.464616367922204</v>
      </c>
      <c r="AM3774">
        <v>79.755265560131207</v>
      </c>
      <c r="AN3774">
        <v>0.99999995234100503</v>
      </c>
    </row>
    <row r="3775" spans="1:40" x14ac:dyDescent="0.25">
      <c r="A3775" t="str">
        <f>"20190312151348399"</f>
        <v>20190312151348399</v>
      </c>
      <c r="B3775" t="str">
        <f>"1552374828393933"</f>
        <v>1552374828393933</v>
      </c>
      <c r="C3775" t="s">
        <v>40</v>
      </c>
      <c r="D3775">
        <v>4.6672529999999997</v>
      </c>
      <c r="E3775">
        <v>0.56092659999999905</v>
      </c>
      <c r="F3775" t="s">
        <v>42</v>
      </c>
      <c r="G3775">
        <v>-219.14500000000001</v>
      </c>
      <c r="H3775" s="1">
        <v>-6.6597859999999898E-7</v>
      </c>
      <c r="I3775">
        <v>140.6737</v>
      </c>
      <c r="J3775">
        <v>-209.6833</v>
      </c>
      <c r="K3775">
        <v>1.1058709999999901</v>
      </c>
      <c r="L3775">
        <v>140.56540000000001</v>
      </c>
      <c r="M3775">
        <v>-0.94542490000000001</v>
      </c>
      <c r="N3775">
        <v>0</v>
      </c>
      <c r="O3775">
        <v>-0.32564149999999997</v>
      </c>
      <c r="P3775">
        <v>-0.9868808</v>
      </c>
      <c r="Q3775">
        <v>3.5653980000000002E-2</v>
      </c>
      <c r="R3775">
        <v>-0.15746459999999901</v>
      </c>
      <c r="S3775">
        <v>-3.0561829999999999</v>
      </c>
      <c r="T3775">
        <v>-0.35022769999999998</v>
      </c>
      <c r="U3775">
        <v>1.6265870000000002E-2</v>
      </c>
      <c r="V3775">
        <v>0.17298289999999999</v>
      </c>
      <c r="W3775">
        <v>4.5074749999999997E-2</v>
      </c>
      <c r="X3775">
        <v>0.98389289999999996</v>
      </c>
      <c r="Y3775">
        <v>0.3264802</v>
      </c>
      <c r="Z3775">
        <v>5.5328599999999901E-2</v>
      </c>
      <c r="AA3775">
        <v>0.94358330000000001</v>
      </c>
      <c r="AB3775">
        <v>20</v>
      </c>
      <c r="AC3775">
        <v>-9.4617000000000004</v>
      </c>
      <c r="AD3775">
        <v>-1.1058716659786001</v>
      </c>
      <c r="AE3775">
        <v>0.10829999999998501</v>
      </c>
      <c r="AF3775">
        <v>3.1408176799278702</v>
      </c>
      <c r="AG3775">
        <v>-1.1058716659786001</v>
      </c>
      <c r="AH3775">
        <v>8.7905671524301994</v>
      </c>
      <c r="AI3775">
        <v>96.756193884783301</v>
      </c>
      <c r="AJ3775">
        <v>70.338491575571993</v>
      </c>
      <c r="AK3775">
        <v>9.4000935474891207</v>
      </c>
      <c r="AL3775">
        <v>87.416531810287196</v>
      </c>
      <c r="AM3775">
        <v>80.028465288384893</v>
      </c>
      <c r="AN3775">
        <v>1.0000000277251899</v>
      </c>
    </row>
    <row r="3776" spans="1:40" x14ac:dyDescent="0.25">
      <c r="A3776" t="str">
        <f>"20190312151348443"</f>
        <v>20190312151348443</v>
      </c>
      <c r="B3776" t="str">
        <f>"1552374828433949"</f>
        <v>1552374828433949</v>
      </c>
      <c r="C3776" t="s">
        <v>40</v>
      </c>
      <c r="D3776">
        <v>4.5812019999999896</v>
      </c>
      <c r="E3776">
        <v>0.55990050000000002</v>
      </c>
      <c r="F3776" t="s">
        <v>42</v>
      </c>
      <c r="G3776">
        <v>-219.38290000000001</v>
      </c>
      <c r="H3776" s="1">
        <v>-5.429666E-7</v>
      </c>
      <c r="I3776">
        <v>140.63409999999999</v>
      </c>
      <c r="J3776">
        <v>-210.06460000000001</v>
      </c>
      <c r="K3776">
        <v>1.1060019999999999</v>
      </c>
      <c r="L3776">
        <v>140.45419999999999</v>
      </c>
      <c r="M3776">
        <v>-0.9501925</v>
      </c>
      <c r="N3776">
        <v>0</v>
      </c>
      <c r="O3776">
        <v>-0.31145899999999999</v>
      </c>
      <c r="P3776">
        <v>-0.98776220000000003</v>
      </c>
      <c r="Q3776">
        <v>3.674823E-2</v>
      </c>
      <c r="R3776">
        <v>-0.1515765</v>
      </c>
      <c r="S3776">
        <v>-3.0559080000000001</v>
      </c>
      <c r="T3776">
        <v>-0.34841040000000001</v>
      </c>
      <c r="U3776">
        <v>2.165222E-2</v>
      </c>
      <c r="V3776">
        <v>0.1640991</v>
      </c>
      <c r="W3776">
        <v>4.624321E-2</v>
      </c>
      <c r="X3776">
        <v>0.9853594</v>
      </c>
      <c r="Y3776">
        <v>0.31419999999999998</v>
      </c>
      <c r="Z3776">
        <v>5.2807350000000003E-2</v>
      </c>
      <c r="AA3776">
        <v>0.94788700000000004</v>
      </c>
      <c r="AB3776">
        <v>20</v>
      </c>
      <c r="AC3776">
        <v>-9.31829999999999</v>
      </c>
      <c r="AD3776">
        <v>-1.1060025429666001</v>
      </c>
      <c r="AE3776">
        <v>0.179900000000003</v>
      </c>
      <c r="AF3776">
        <v>3.03072406913209</v>
      </c>
      <c r="AG3776">
        <v>-1.1060025429666001</v>
      </c>
      <c r="AH3776">
        <v>8.67652190075904</v>
      </c>
      <c r="AI3776">
        <v>96.862004196231396</v>
      </c>
      <c r="AJ3776">
        <v>70.745603583435397</v>
      </c>
      <c r="AK3776">
        <v>9.2569196983994892</v>
      </c>
      <c r="AL3776">
        <v>87.349514142106599</v>
      </c>
      <c r="AM3776">
        <v>80.544889439335194</v>
      </c>
      <c r="AN3776">
        <v>1.0000000481301301</v>
      </c>
    </row>
    <row r="3777" spans="1:40" x14ac:dyDescent="0.25">
      <c r="A3777" t="str">
        <f>"20190312151348465"</f>
        <v>20190312151348465</v>
      </c>
      <c r="B3777" t="str">
        <f>"1552374828454447"</f>
        <v>1552374828454447</v>
      </c>
      <c r="C3777" t="s">
        <v>40</v>
      </c>
      <c r="D3777">
        <v>4.5861349999999996</v>
      </c>
      <c r="E3777">
        <v>0.55966939999999998</v>
      </c>
      <c r="F3777" t="s">
        <v>42</v>
      </c>
      <c r="G3777">
        <v>-219.77879999999999</v>
      </c>
      <c r="H3777" s="1">
        <v>-3.342212E-7</v>
      </c>
      <c r="I3777">
        <v>140.55289999999999</v>
      </c>
      <c r="J3777">
        <v>-210.26480000000001</v>
      </c>
      <c r="K3777">
        <v>1.106074</v>
      </c>
      <c r="L3777">
        <v>140.39789999999999</v>
      </c>
      <c r="M3777">
        <v>-0.95254269999999996</v>
      </c>
      <c r="N3777">
        <v>0</v>
      </c>
      <c r="O3777">
        <v>-0.30419740000000001</v>
      </c>
      <c r="P3777">
        <v>-0.988371</v>
      </c>
      <c r="Q3777">
        <v>3.7368650000000003E-2</v>
      </c>
      <c r="R3777">
        <v>-0.14740020000000001</v>
      </c>
      <c r="S3777">
        <v>-3.0548549999999999</v>
      </c>
      <c r="T3777">
        <v>-0.34780840000000002</v>
      </c>
      <c r="U3777">
        <v>3.1051639999999998E-2</v>
      </c>
      <c r="V3777">
        <v>0.16072990000000001</v>
      </c>
      <c r="W3777">
        <v>4.6893379999999998E-2</v>
      </c>
      <c r="X3777">
        <v>0.98588379999999998</v>
      </c>
      <c r="Y3777">
        <v>0.30996050000000003</v>
      </c>
      <c r="Z3777">
        <v>5.170483E-2</v>
      </c>
      <c r="AA3777">
        <v>0.94934240000000003</v>
      </c>
      <c r="AB3777">
        <v>20</v>
      </c>
      <c r="AC3777">
        <v>-9.5139999999999798</v>
      </c>
      <c r="AD3777">
        <v>-1.1060743342211901</v>
      </c>
      <c r="AE3777">
        <v>0.155000000000001</v>
      </c>
      <c r="AF3777">
        <v>3.00141455088146</v>
      </c>
      <c r="AG3777">
        <v>-1.1060743342211901</v>
      </c>
      <c r="AH3777">
        <v>8.8957093484651395</v>
      </c>
      <c r="AI3777">
        <v>96.719204119412296</v>
      </c>
      <c r="AJ3777">
        <v>71.355592264130294</v>
      </c>
      <c r="AK3777">
        <v>9.45333457312476</v>
      </c>
      <c r="AL3777">
        <v>87.312221500644696</v>
      </c>
      <c r="AM3777">
        <v>80.740459158917901</v>
      </c>
      <c r="AN3777">
        <v>0.99999997847213695</v>
      </c>
    </row>
    <row r="3778" spans="1:40" x14ac:dyDescent="0.25">
      <c r="A3778" t="str">
        <f>"20190312151348489"</f>
        <v>20190312151348489</v>
      </c>
      <c r="B3778" t="str">
        <f>"1552374828484231"</f>
        <v>1552374828484231</v>
      </c>
      <c r="C3778" t="s">
        <v>40</v>
      </c>
      <c r="D3778">
        <v>4.6034769999999998</v>
      </c>
      <c r="E3778">
        <v>0.54833759999999998</v>
      </c>
      <c r="F3778" t="s">
        <v>42</v>
      </c>
      <c r="G3778">
        <v>-220.00049999999999</v>
      </c>
      <c r="H3778" s="1">
        <v>-4.4379229999999999E-6</v>
      </c>
      <c r="I3778">
        <v>140.5301</v>
      </c>
      <c r="J3778">
        <v>-210.46799999999999</v>
      </c>
      <c r="K3778">
        <v>1.1061510000000001</v>
      </c>
      <c r="L3778">
        <v>140.34229999999999</v>
      </c>
      <c r="M3778">
        <v>-0.95481240000000001</v>
      </c>
      <c r="N3778">
        <v>0</v>
      </c>
      <c r="O3778">
        <v>-0.29699809999999999</v>
      </c>
      <c r="P3778">
        <v>-0.98890449999999996</v>
      </c>
      <c r="Q3778">
        <v>3.685343E-2</v>
      </c>
      <c r="R3778">
        <v>-0.1439087</v>
      </c>
      <c r="S3778">
        <v>-3.054611</v>
      </c>
      <c r="T3778">
        <v>-0.34703400000000001</v>
      </c>
      <c r="U3778">
        <v>4.1488650000000002E-2</v>
      </c>
      <c r="V3778">
        <v>0.15675610000000001</v>
      </c>
      <c r="W3778">
        <v>4.6419929999999998E-2</v>
      </c>
      <c r="X3778">
        <v>0.98654589999999998</v>
      </c>
      <c r="Y3778">
        <v>0.30611860000000002</v>
      </c>
      <c r="Z3778">
        <v>5.059429E-2</v>
      </c>
      <c r="AA3778">
        <v>0.95064800000000005</v>
      </c>
      <c r="AB3778">
        <v>20</v>
      </c>
      <c r="AC3778">
        <v>-9.5325000000000006</v>
      </c>
      <c r="AD3778">
        <v>-1.1061554379230001</v>
      </c>
      <c r="AE3778">
        <v>0.18780000000000999</v>
      </c>
      <c r="AF3778">
        <v>2.9706515052147902</v>
      </c>
      <c r="AG3778">
        <v>-1.1061554379230001</v>
      </c>
      <c r="AH3778">
        <v>8.9263896230880295</v>
      </c>
      <c r="AI3778">
        <v>96.706021091823899</v>
      </c>
      <c r="AJ3778">
        <v>71.592852039672096</v>
      </c>
      <c r="AK3778">
        <v>9.4725277471990097</v>
      </c>
      <c r="AL3778">
        <v>87.339377949107899</v>
      </c>
      <c r="AM3778">
        <v>80.971528130873594</v>
      </c>
      <c r="AN3778">
        <v>1.00000004879761</v>
      </c>
    </row>
    <row r="3779" spans="1:40" x14ac:dyDescent="0.25">
      <c r="A3779" t="str">
        <f>"20190312151348509"</f>
        <v>20190312151348509</v>
      </c>
      <c r="B3779" t="str">
        <f>"1552374828503752"</f>
        <v>1552374828503752</v>
      </c>
      <c r="C3779" t="s">
        <v>40</v>
      </c>
      <c r="D3779">
        <v>4.5354089999999996</v>
      </c>
      <c r="E3779">
        <v>0.54836779999999996</v>
      </c>
      <c r="F3779" t="s">
        <v>42</v>
      </c>
      <c r="G3779">
        <v>-219.2988</v>
      </c>
      <c r="H3779" s="1">
        <v>-4.7655229999999999E-7</v>
      </c>
      <c r="I3779">
        <v>140.23500000000001</v>
      </c>
      <c r="J3779">
        <v>-210.66329999999999</v>
      </c>
      <c r="K3779">
        <v>1.106236</v>
      </c>
      <c r="L3779">
        <v>140.2903</v>
      </c>
      <c r="M3779">
        <v>-0.95688099999999998</v>
      </c>
      <c r="N3779">
        <v>0</v>
      </c>
      <c r="O3779">
        <v>-0.2902653</v>
      </c>
      <c r="P3779">
        <v>-0.98932710000000001</v>
      </c>
      <c r="Q3779">
        <v>3.5732939999999998E-2</v>
      </c>
      <c r="R3779">
        <v>-0.141262</v>
      </c>
      <c r="S3779">
        <v>-3.0424799999999999</v>
      </c>
      <c r="T3779">
        <v>-0.38110539999999998</v>
      </c>
      <c r="U3779">
        <v>-3.6987300000000001E-2</v>
      </c>
      <c r="V3779">
        <v>0.15243370000000001</v>
      </c>
      <c r="W3779">
        <v>4.534912E-2</v>
      </c>
      <c r="X3779">
        <v>0.9872727</v>
      </c>
      <c r="Y3779">
        <v>0.27427210000000002</v>
      </c>
      <c r="Z3779">
        <v>5.2912979999999998E-2</v>
      </c>
      <c r="AA3779">
        <v>0.96019529999999997</v>
      </c>
      <c r="AB3779">
        <v>20</v>
      </c>
      <c r="AC3779">
        <v>-8.6355000000000004</v>
      </c>
      <c r="AD3779">
        <v>-1.1062364765523001</v>
      </c>
      <c r="AE3779">
        <v>-5.5299999999988303E-2</v>
      </c>
      <c r="AF3779">
        <v>2.4142069692688102</v>
      </c>
      <c r="AG3779">
        <v>-1.1062364765523001</v>
      </c>
      <c r="AH3779">
        <v>8.1460394088038708</v>
      </c>
      <c r="AI3779">
        <v>97.418339986266403</v>
      </c>
      <c r="AJ3779">
        <v>73.491981154828295</v>
      </c>
      <c r="AK3779">
        <v>8.5679701494757001</v>
      </c>
      <c r="AL3779">
        <v>87.400795351487801</v>
      </c>
      <c r="AM3779">
        <v>81.222909281862698</v>
      </c>
      <c r="AN3779">
        <v>0.99999997987287603</v>
      </c>
    </row>
    <row r="3780" spans="1:40" x14ac:dyDescent="0.25">
      <c r="A3780" t="str">
        <f>"20190312151348533"</f>
        <v>20190312151348533</v>
      </c>
      <c r="B3780" t="str">
        <f>"1552374828524248"</f>
        <v>1552374828524248</v>
      </c>
      <c r="C3780" t="s">
        <v>40</v>
      </c>
      <c r="D3780">
        <v>4.5646100000000001</v>
      </c>
      <c r="E3780">
        <v>0.54082089999999905</v>
      </c>
      <c r="F3780" t="s">
        <v>42</v>
      </c>
      <c r="G3780">
        <v>-219.6431</v>
      </c>
      <c r="H3780" s="1">
        <v>-3.0585E-7</v>
      </c>
      <c r="I3780">
        <v>140.20509999999999</v>
      </c>
      <c r="J3780">
        <v>-210.8578</v>
      </c>
      <c r="K3780">
        <v>1.1063240000000001</v>
      </c>
      <c r="L3780">
        <v>140.2397</v>
      </c>
      <c r="M3780">
        <v>-0.95884570000000002</v>
      </c>
      <c r="N3780">
        <v>0</v>
      </c>
      <c r="O3780">
        <v>-0.28371010000000002</v>
      </c>
      <c r="P3780">
        <v>-0.98972450000000001</v>
      </c>
      <c r="Q3780">
        <v>3.5317969999999997E-2</v>
      </c>
      <c r="R3780">
        <v>-0.13856009999999999</v>
      </c>
      <c r="S3780">
        <v>-3.041763</v>
      </c>
      <c r="T3780">
        <v>-0.37471929999999998</v>
      </c>
      <c r="U3780">
        <v>-2.8854370000000001E-2</v>
      </c>
      <c r="V3780">
        <v>0.14835989999999999</v>
      </c>
      <c r="W3780">
        <v>4.4978999999999998E-2</v>
      </c>
      <c r="X3780">
        <v>0.98790999999999995</v>
      </c>
      <c r="Y3780">
        <v>0.27047789999999999</v>
      </c>
      <c r="Z3780">
        <v>5.1039359999999999E-2</v>
      </c>
      <c r="AA3780">
        <v>0.96137229999999996</v>
      </c>
      <c r="AB3780">
        <v>20</v>
      </c>
      <c r="AC3780">
        <v>-8.7852999999999994</v>
      </c>
      <c r="AD3780">
        <v>-1.1063243058499901</v>
      </c>
      <c r="AE3780">
        <v>-3.4600000000011698E-2</v>
      </c>
      <c r="AF3780">
        <v>2.42106127363438</v>
      </c>
      <c r="AG3780">
        <v>-1.1063243058499901</v>
      </c>
      <c r="AH3780">
        <v>8.3024255076003399</v>
      </c>
      <c r="AI3780">
        <v>97.289968608102896</v>
      </c>
      <c r="AJ3780">
        <v>73.742844976345793</v>
      </c>
      <c r="AK3780">
        <v>8.7187017651516996</v>
      </c>
      <c r="AL3780">
        <v>87.422023299889801</v>
      </c>
      <c r="AM3780">
        <v>81.459399266034794</v>
      </c>
      <c r="AN3780">
        <v>0.99999996923450396</v>
      </c>
    </row>
    <row r="3781" spans="1:40" x14ac:dyDescent="0.25">
      <c r="A3781" t="str">
        <f>"20190312151348554"</f>
        <v>20190312151348554</v>
      </c>
      <c r="B3781" t="str">
        <f>"1552374828543771"</f>
        <v>1552374828543771</v>
      </c>
      <c r="C3781" t="s">
        <v>40</v>
      </c>
      <c r="D3781">
        <v>4.5307789999999999</v>
      </c>
      <c r="E3781">
        <v>0.53986699999999999</v>
      </c>
      <c r="F3781" t="s">
        <v>42</v>
      </c>
      <c r="G3781">
        <v>-221.86439999999999</v>
      </c>
      <c r="H3781" s="1">
        <v>-3.5595969999999999E-6</v>
      </c>
      <c r="I3781">
        <v>139.94380000000001</v>
      </c>
      <c r="J3781">
        <v>-211.0591</v>
      </c>
      <c r="K3781">
        <v>1.106401</v>
      </c>
      <c r="L3781">
        <v>140.18860000000001</v>
      </c>
      <c r="M3781">
        <v>-0.96078059999999998</v>
      </c>
      <c r="N3781">
        <v>0</v>
      </c>
      <c r="O3781">
        <v>-0.27708749999999999</v>
      </c>
      <c r="P3781">
        <v>-0.99009069999999999</v>
      </c>
      <c r="Q3781">
        <v>3.5164170000000002E-2</v>
      </c>
      <c r="R3781">
        <v>-0.1359552</v>
      </c>
      <c r="S3781">
        <v>-3.0306090000000001</v>
      </c>
      <c r="T3781">
        <v>-0.3046238</v>
      </c>
      <c r="U3781">
        <v>-8.1481929999999994E-2</v>
      </c>
      <c r="V3781">
        <v>0.1441296</v>
      </c>
      <c r="W3781">
        <v>4.4870390000000003E-2</v>
      </c>
      <c r="X3781">
        <v>0.988541</v>
      </c>
      <c r="Y3781">
        <v>0.24856629999999999</v>
      </c>
      <c r="Z3781">
        <v>3.9933370000000003E-2</v>
      </c>
      <c r="AA3781">
        <v>0.96779139999999997</v>
      </c>
      <c r="AB3781">
        <v>20</v>
      </c>
      <c r="AC3781">
        <v>-10.8052999999999</v>
      </c>
      <c r="AD3781">
        <v>-1.106404559597</v>
      </c>
      <c r="AE3781">
        <v>-0.24479999999999699</v>
      </c>
      <c r="AF3781">
        <v>2.7303720406376</v>
      </c>
      <c r="AG3781">
        <v>-1.106404559597</v>
      </c>
      <c r="AH3781">
        <v>10.3416243804211</v>
      </c>
      <c r="AI3781">
        <v>95.905734080691502</v>
      </c>
      <c r="AJ3781">
        <v>75.210373515119997</v>
      </c>
      <c r="AK3781">
        <v>10.753058046691301</v>
      </c>
      <c r="AL3781">
        <v>87.428252565803902</v>
      </c>
      <c r="AM3781">
        <v>81.704706840579107</v>
      </c>
      <c r="AN3781">
        <v>1.00000000108795</v>
      </c>
    </row>
    <row r="3782" spans="1:40" x14ac:dyDescent="0.25">
      <c r="A3782" t="str">
        <f>"20190312151348578"</f>
        <v>20190312151348578</v>
      </c>
      <c r="B3782" t="str">
        <f>"1552374828574532"</f>
        <v>1552374828574532</v>
      </c>
      <c r="C3782" t="s">
        <v>40</v>
      </c>
      <c r="D3782">
        <v>4.5967250000000002</v>
      </c>
      <c r="E3782">
        <v>0.53881020000000002</v>
      </c>
      <c r="F3782" t="s">
        <v>42</v>
      </c>
      <c r="G3782">
        <v>-222.14930000000001</v>
      </c>
      <c r="H3782" s="1">
        <v>-3.4234239999999999E-6</v>
      </c>
      <c r="I3782">
        <v>139.8914</v>
      </c>
      <c r="J3782">
        <v>-211.27619999999999</v>
      </c>
      <c r="K3782">
        <v>1.106492</v>
      </c>
      <c r="L3782">
        <v>140.13489999999999</v>
      </c>
      <c r="M3782">
        <v>-0.9627578</v>
      </c>
      <c r="N3782">
        <v>0</v>
      </c>
      <c r="O3782">
        <v>-0.27013809999999999</v>
      </c>
      <c r="P3782">
        <v>-0.9906007</v>
      </c>
      <c r="Q3782">
        <v>3.5418869999999998E-2</v>
      </c>
      <c r="R3782">
        <v>-0.13211899999999999</v>
      </c>
      <c r="S3782">
        <v>-3.0295869999999998</v>
      </c>
      <c r="T3782">
        <v>-0.30224479999999998</v>
      </c>
      <c r="U3782">
        <v>-8.1192020000000004E-2</v>
      </c>
      <c r="V3782">
        <v>0.14080229999999999</v>
      </c>
      <c r="W3782">
        <v>4.5161920000000001E-2</v>
      </c>
      <c r="X3782">
        <v>0.98900710000000003</v>
      </c>
      <c r="Y3782">
        <v>0.24175450000000001</v>
      </c>
      <c r="Z3782">
        <v>3.8628099999999999E-2</v>
      </c>
      <c r="AA3782">
        <v>0.96956830000000005</v>
      </c>
      <c r="AB3782">
        <v>20</v>
      </c>
      <c r="AC3782">
        <v>-10.873100000000001</v>
      </c>
      <c r="AD3782">
        <v>-1.1064954234240001</v>
      </c>
      <c r="AE3782">
        <v>-0.24349999999998301</v>
      </c>
      <c r="AF3782">
        <v>2.6752816955740402</v>
      </c>
      <c r="AG3782">
        <v>-1.1064954234240001</v>
      </c>
      <c r="AH3782">
        <v>10.426662936678101</v>
      </c>
      <c r="AI3782">
        <v>95.868938200219205</v>
      </c>
      <c r="AJ3782">
        <v>75.609436242259903</v>
      </c>
      <c r="AK3782">
        <v>10.821125831808301</v>
      </c>
      <c r="AL3782">
        <v>87.411532084259505</v>
      </c>
      <c r="AM3782">
        <v>81.897402465226406</v>
      </c>
      <c r="AN3782">
        <v>0.99999996527689206</v>
      </c>
    </row>
    <row r="3783" spans="1:40" x14ac:dyDescent="0.25">
      <c r="A3783" t="str">
        <f>"20190312151348600"</f>
        <v>20190312151348600</v>
      </c>
      <c r="B3783" t="str">
        <f>"1552374828594052"</f>
        <v>1552374828594052</v>
      </c>
      <c r="C3783" t="s">
        <v>40</v>
      </c>
      <c r="D3783">
        <v>4.558827</v>
      </c>
      <c r="E3783">
        <v>0.53848790000000002</v>
      </c>
      <c r="F3783" t="s">
        <v>42</v>
      </c>
      <c r="G3783">
        <v>-222.17869999999999</v>
      </c>
      <c r="H3783" s="1">
        <v>-3.4007650000000002E-6</v>
      </c>
      <c r="I3783">
        <v>139.8536</v>
      </c>
      <c r="J3783">
        <v>-211.47569999999999</v>
      </c>
      <c r="K3783">
        <v>1.106581</v>
      </c>
      <c r="L3783">
        <v>140.08680000000001</v>
      </c>
      <c r="M3783">
        <v>-0.96447479999999997</v>
      </c>
      <c r="N3783">
        <v>0</v>
      </c>
      <c r="O3783">
        <v>-0.26394430000000002</v>
      </c>
      <c r="P3783">
        <v>-0.99095759999999999</v>
      </c>
      <c r="Q3783">
        <v>3.6173490000000003E-2</v>
      </c>
      <c r="R3783">
        <v>-0.12920680000000001</v>
      </c>
      <c r="S3783">
        <v>-3.0290370000000002</v>
      </c>
      <c r="T3783">
        <v>-0.3074172</v>
      </c>
      <c r="U3783">
        <v>-7.8140260000000003E-2</v>
      </c>
      <c r="V3783">
        <v>0.13733799999999999</v>
      </c>
      <c r="W3783">
        <v>4.5955500000000003E-2</v>
      </c>
      <c r="X3783">
        <v>0.98945760000000005</v>
      </c>
      <c r="Y3783">
        <v>0.23645869999999999</v>
      </c>
      <c r="Z3783">
        <v>3.8418300000000002E-2</v>
      </c>
      <c r="AA3783">
        <v>0.97088169999999996</v>
      </c>
      <c r="AB3783">
        <v>20</v>
      </c>
      <c r="AC3783">
        <v>-10.702999999999999</v>
      </c>
      <c r="AD3783">
        <v>-1.1065844007650001</v>
      </c>
      <c r="AE3783">
        <v>-0.23320000000001001</v>
      </c>
      <c r="AF3783">
        <v>2.5727502306598198</v>
      </c>
      <c r="AG3783">
        <v>-1.1065844007650001</v>
      </c>
      <c r="AH3783">
        <v>10.2751733742291</v>
      </c>
      <c r="AI3783">
        <v>95.964054902259505</v>
      </c>
      <c r="AJ3783">
        <v>75.942992158879207</v>
      </c>
      <c r="AK3783">
        <v>10.650012237356499</v>
      </c>
      <c r="AL3783">
        <v>87.366016096217194</v>
      </c>
      <c r="AM3783">
        <v>82.097760921304996</v>
      </c>
      <c r="AN3783">
        <v>0.999999988211004</v>
      </c>
    </row>
    <row r="3784" spans="1:40" x14ac:dyDescent="0.25">
      <c r="A3784" t="str">
        <f>"20190312151348622"</f>
        <v>20190312151348622</v>
      </c>
      <c r="B3784" t="str">
        <f>"1552374828614548"</f>
        <v>1552374828614548</v>
      </c>
      <c r="C3784" t="s">
        <v>40</v>
      </c>
      <c r="D3784">
        <v>4.5889290000000003</v>
      </c>
      <c r="E3784">
        <v>0.53831090000000004</v>
      </c>
      <c r="F3784" t="s">
        <v>42</v>
      </c>
      <c r="G3784">
        <v>-222.45249999999999</v>
      </c>
      <c r="H3784" s="1">
        <v>-3.2755100000000001E-6</v>
      </c>
      <c r="I3784">
        <v>139.82429999999999</v>
      </c>
      <c r="J3784">
        <v>-211.6711</v>
      </c>
      <c r="K3784">
        <v>1.1066959999999999</v>
      </c>
      <c r="L3784">
        <v>140.04069999999999</v>
      </c>
      <c r="M3784">
        <v>-0.96606400000000003</v>
      </c>
      <c r="N3784">
        <v>0</v>
      </c>
      <c r="O3784">
        <v>-0.25806800000000002</v>
      </c>
      <c r="P3784">
        <v>-0.99130830000000003</v>
      </c>
      <c r="Q3784">
        <v>3.6959560000000002E-2</v>
      </c>
      <c r="R3784">
        <v>-0.12626180000000001</v>
      </c>
      <c r="S3784">
        <v>-3.029083</v>
      </c>
      <c r="T3784">
        <v>-0.305365</v>
      </c>
      <c r="U3784">
        <v>-7.2418209999999997E-2</v>
      </c>
      <c r="V3784">
        <v>0.13423959999999999</v>
      </c>
      <c r="W3784">
        <v>4.6779069999999999E-2</v>
      </c>
      <c r="X3784">
        <v>0.9898441</v>
      </c>
      <c r="Y3784">
        <v>0.23246030000000001</v>
      </c>
      <c r="Z3784">
        <v>3.7390199999999998E-2</v>
      </c>
      <c r="AA3784">
        <v>0.9718869</v>
      </c>
      <c r="AB3784">
        <v>20</v>
      </c>
      <c r="AC3784">
        <v>-10.7813999999999</v>
      </c>
      <c r="AD3784">
        <v>-1.10669927550999</v>
      </c>
      <c r="AE3784">
        <v>-0.21639999999999299</v>
      </c>
      <c r="AF3784">
        <v>2.5466117664712402</v>
      </c>
      <c r="AG3784">
        <v>-1.10669927550999</v>
      </c>
      <c r="AH3784">
        <v>10.3628558204474</v>
      </c>
      <c r="AI3784">
        <v>95.920932684105793</v>
      </c>
      <c r="AJ3784">
        <v>76.193480948924403</v>
      </c>
      <c r="AK3784">
        <v>10.728410671247</v>
      </c>
      <c r="AL3784">
        <v>87.318778092185596</v>
      </c>
      <c r="AM3784">
        <v>82.276841289982997</v>
      </c>
      <c r="AN3784">
        <v>0.99999994695151595</v>
      </c>
    </row>
    <row r="3785" spans="1:40" x14ac:dyDescent="0.25">
      <c r="A3785" t="str">
        <f>"20190312151348643"</f>
        <v>20190312151348643</v>
      </c>
      <c r="B3785" t="str">
        <f>"1552374828634068"</f>
        <v>1552374828634068</v>
      </c>
      <c r="C3785" t="s">
        <v>40</v>
      </c>
      <c r="D3785">
        <v>4.6063150000000004</v>
      </c>
      <c r="E3785">
        <v>0.53823149999999997</v>
      </c>
      <c r="F3785" t="s">
        <v>42</v>
      </c>
      <c r="G3785">
        <v>-222.68029999999999</v>
      </c>
      <c r="H3785" s="1">
        <v>-3.1720599999999901E-6</v>
      </c>
      <c r="I3785">
        <v>139.80269999999999</v>
      </c>
      <c r="J3785">
        <v>-211.8631</v>
      </c>
      <c r="K3785">
        <v>1.106808</v>
      </c>
      <c r="L3785">
        <v>139.9965</v>
      </c>
      <c r="M3785">
        <v>-0.96753690000000003</v>
      </c>
      <c r="N3785">
        <v>0</v>
      </c>
      <c r="O3785">
        <v>-0.25249090000000002</v>
      </c>
      <c r="P3785">
        <v>-0.99159229999999998</v>
      </c>
      <c r="Q3785">
        <v>3.7667579999999999E-2</v>
      </c>
      <c r="R3785">
        <v>-0.12379800000000001</v>
      </c>
      <c r="S3785">
        <v>-3.029312</v>
      </c>
      <c r="T3785">
        <v>-0.30452380000000001</v>
      </c>
      <c r="U3785">
        <v>-6.5475459999999999E-2</v>
      </c>
      <c r="V3785">
        <v>0.1309718</v>
      </c>
      <c r="W3785">
        <v>4.7529250000000002E-2</v>
      </c>
      <c r="X3785">
        <v>0.99024610000000002</v>
      </c>
      <c r="Y3785">
        <v>0.22913639999999999</v>
      </c>
      <c r="Z3785">
        <v>3.6577209999999999E-2</v>
      </c>
      <c r="AA3785">
        <v>0.97270690000000004</v>
      </c>
      <c r="AB3785">
        <v>20</v>
      </c>
      <c r="AC3785">
        <v>-10.8171999999999</v>
      </c>
      <c r="AD3785">
        <v>-1.10681117206</v>
      </c>
      <c r="AE3785">
        <v>-0.19380000000000999</v>
      </c>
      <c r="AF3785">
        <v>2.5175410142438599</v>
      </c>
      <c r="AG3785">
        <v>-1.10681117206</v>
      </c>
      <c r="AH3785">
        <v>10.4066917439898</v>
      </c>
      <c r="AI3785">
        <v>95.901921557540405</v>
      </c>
      <c r="AJ3785">
        <v>76.400534081108901</v>
      </c>
      <c r="AK3785">
        <v>10.7639340755796</v>
      </c>
      <c r="AL3785">
        <v>87.275748193581407</v>
      </c>
      <c r="AM3785">
        <v>82.465683137513594</v>
      </c>
      <c r="AN3785">
        <v>0.99999999028300601</v>
      </c>
    </row>
    <row r="3786" spans="1:40" x14ac:dyDescent="0.25">
      <c r="A3786" t="str">
        <f>"20190312151348667"</f>
        <v>20190312151348667</v>
      </c>
      <c r="B3786" t="str">
        <f>"1552374828663855"</f>
        <v>1552374828663855</v>
      </c>
      <c r="C3786" t="s">
        <v>40</v>
      </c>
      <c r="D3786">
        <v>4.5958680000000003</v>
      </c>
      <c r="E3786">
        <v>0.53780850000000002</v>
      </c>
      <c r="F3786" t="s">
        <v>42</v>
      </c>
      <c r="G3786">
        <v>-222.9128</v>
      </c>
      <c r="H3786" s="1">
        <v>-3.066149E-6</v>
      </c>
      <c r="I3786">
        <v>139.77959999999999</v>
      </c>
      <c r="J3786">
        <v>-212.07040000000001</v>
      </c>
      <c r="K3786">
        <v>1.1069420000000001</v>
      </c>
      <c r="L3786">
        <v>139.94970000000001</v>
      </c>
      <c r="M3786">
        <v>-0.96903079999999997</v>
      </c>
      <c r="N3786">
        <v>0</v>
      </c>
      <c r="O3786">
        <v>-0.24669730000000001</v>
      </c>
      <c r="P3786">
        <v>-0.99189669999999996</v>
      </c>
      <c r="Q3786">
        <v>3.7168560000000003E-2</v>
      </c>
      <c r="R3786">
        <v>-0.1214886</v>
      </c>
      <c r="S3786">
        <v>-3.0295559999999999</v>
      </c>
      <c r="T3786">
        <v>-0.3034635</v>
      </c>
      <c r="U3786">
        <v>-5.9463500000000002E-2</v>
      </c>
      <c r="V3786">
        <v>0.12733459999999999</v>
      </c>
      <c r="W3786">
        <v>4.707915E-2</v>
      </c>
      <c r="X3786">
        <v>0.99074180000000001</v>
      </c>
      <c r="Y3786">
        <v>0.22530829999999999</v>
      </c>
      <c r="Z3786">
        <v>3.5694789999999997E-2</v>
      </c>
      <c r="AA3786">
        <v>0.97363350000000004</v>
      </c>
      <c r="AB3786">
        <v>20</v>
      </c>
      <c r="AC3786">
        <v>-10.8423999999999</v>
      </c>
      <c r="AD3786">
        <v>-1.1069450661489999</v>
      </c>
      <c r="AE3786">
        <v>-0.17010000000001901</v>
      </c>
      <c r="AF3786">
        <v>2.4842217828920101</v>
      </c>
      <c r="AG3786">
        <v>-1.1069450661489999</v>
      </c>
      <c r="AH3786">
        <v>10.4404185666838</v>
      </c>
      <c r="AI3786">
        <v>95.888964748147998</v>
      </c>
      <c r="AJ3786">
        <v>76.615771369185495</v>
      </c>
      <c r="AK3786">
        <v>10.7888379862533</v>
      </c>
      <c r="AL3786">
        <v>87.301565765141106</v>
      </c>
      <c r="AM3786">
        <v>82.676238125372194</v>
      </c>
      <c r="AN3786">
        <v>0.99999993049455804</v>
      </c>
    </row>
    <row r="3787" spans="1:40" x14ac:dyDescent="0.25">
      <c r="A3787" t="str">
        <f>"20190312151348690"</f>
        <v>20190312151348690</v>
      </c>
      <c r="B3787" t="str">
        <f>"1552374828684350"</f>
        <v>1552374828684350</v>
      </c>
      <c r="C3787" t="s">
        <v>40</v>
      </c>
      <c r="D3787">
        <v>4.5629629999999999</v>
      </c>
      <c r="E3787">
        <v>0.53770200000000001</v>
      </c>
      <c r="F3787" t="s">
        <v>42</v>
      </c>
      <c r="G3787">
        <v>-222.97399999999999</v>
      </c>
      <c r="H3787" s="1">
        <v>-3.0319970000000001E-6</v>
      </c>
      <c r="I3787">
        <v>139.7499</v>
      </c>
      <c r="J3787">
        <v>-212.28059999999999</v>
      </c>
      <c r="K3787">
        <v>1.1070719999999901</v>
      </c>
      <c r="L3787">
        <v>139.9033</v>
      </c>
      <c r="M3787">
        <v>-0.97044819999999998</v>
      </c>
      <c r="N3787">
        <v>0</v>
      </c>
      <c r="O3787">
        <v>-0.24106279999999999</v>
      </c>
      <c r="P3787">
        <v>-0.99211110000000002</v>
      </c>
      <c r="Q3787">
        <v>3.7025210000000003E-2</v>
      </c>
      <c r="R3787">
        <v>-0.1197713</v>
      </c>
      <c r="S3787">
        <v>-3.029236</v>
      </c>
      <c r="T3787">
        <v>-0.30753150000000001</v>
      </c>
      <c r="U3787">
        <v>-5.5496219999999999E-2</v>
      </c>
      <c r="V3787">
        <v>0.1232747</v>
      </c>
      <c r="W3787">
        <v>4.6980550000000003E-2</v>
      </c>
      <c r="X3787">
        <v>0.99125989999999997</v>
      </c>
      <c r="Y3787">
        <v>0.2209072</v>
      </c>
      <c r="Z3787">
        <v>3.5396799999999999E-2</v>
      </c>
      <c r="AA3787">
        <v>0.97465230000000003</v>
      </c>
      <c r="AB3787">
        <v>20</v>
      </c>
      <c r="AC3787">
        <v>-10.6934</v>
      </c>
      <c r="AD3787">
        <v>-1.10707503199699</v>
      </c>
      <c r="AE3787">
        <v>-0.15340000000000401</v>
      </c>
      <c r="AF3787">
        <v>2.40330490604115</v>
      </c>
      <c r="AG3787">
        <v>-1.10707503199699</v>
      </c>
      <c r="AH3787">
        <v>10.3045657836839</v>
      </c>
      <c r="AI3787">
        <v>95.972980268472696</v>
      </c>
      <c r="AJ3787">
        <v>76.871745466441794</v>
      </c>
      <c r="AK3787">
        <v>10.638870503401201</v>
      </c>
      <c r="AL3787">
        <v>87.307221592364201</v>
      </c>
      <c r="AM3787">
        <v>82.910999501143806</v>
      </c>
      <c r="AN3787">
        <v>1.0000000065432</v>
      </c>
    </row>
    <row r="3788" spans="1:40" x14ac:dyDescent="0.25">
      <c r="A3788" t="str">
        <f>"20190312151348711"</f>
        <v>20190312151348711</v>
      </c>
      <c r="B3788" t="str">
        <f>"1552374828703872"</f>
        <v>1552374828703872</v>
      </c>
      <c r="C3788" t="s">
        <v>40</v>
      </c>
      <c r="D3788">
        <v>4.6260279999999998</v>
      </c>
      <c r="E3788">
        <v>0.53752880000000003</v>
      </c>
      <c r="F3788" t="s">
        <v>42</v>
      </c>
      <c r="G3788">
        <v>-223.11060000000001</v>
      </c>
      <c r="H3788" s="1">
        <v>-2.9659650000000002E-6</v>
      </c>
      <c r="I3788">
        <v>139.72210000000001</v>
      </c>
      <c r="J3788">
        <v>-212.47380000000001</v>
      </c>
      <c r="K3788">
        <v>1.107173</v>
      </c>
      <c r="L3788">
        <v>139.86160000000001</v>
      </c>
      <c r="M3788">
        <v>-0.97167999999999999</v>
      </c>
      <c r="N3788">
        <v>0</v>
      </c>
      <c r="O3788">
        <v>-0.2360497</v>
      </c>
      <c r="P3788">
        <v>-0.99228499999999997</v>
      </c>
      <c r="Q3788">
        <v>3.6328600000000003E-2</v>
      </c>
      <c r="R3788">
        <v>-0.11853710000000001</v>
      </c>
      <c r="S3788">
        <v>-3.0292819999999998</v>
      </c>
      <c r="T3788">
        <v>-0.30966189999999999</v>
      </c>
      <c r="U3788">
        <v>-5.0689699999999997E-2</v>
      </c>
      <c r="V3788">
        <v>0.11937689999999999</v>
      </c>
      <c r="W3788">
        <v>4.6315139999999998E-2</v>
      </c>
      <c r="X3788">
        <v>0.99176810000000004</v>
      </c>
      <c r="Y3788">
        <v>0.21743000000000001</v>
      </c>
      <c r="Z3788">
        <v>3.4965469999999998E-2</v>
      </c>
      <c r="AA3788">
        <v>0.97544940000000002</v>
      </c>
      <c r="AB3788">
        <v>20</v>
      </c>
      <c r="AC3788">
        <v>-10.6367999999999</v>
      </c>
      <c r="AD3788">
        <v>-1.107175965965</v>
      </c>
      <c r="AE3788">
        <v>-0.13949999999999799</v>
      </c>
      <c r="AF3788">
        <v>2.3499485734085401</v>
      </c>
      <c r="AG3788">
        <v>-1.107175965965</v>
      </c>
      <c r="AH3788">
        <v>10.2579875543973</v>
      </c>
      <c r="AI3788">
        <v>96.005864160130002</v>
      </c>
      <c r="AJ3788">
        <v>77.097050384289105</v>
      </c>
      <c r="AK3788">
        <v>10.5817959526464</v>
      </c>
      <c r="AL3788">
        <v>87.345388176521396</v>
      </c>
      <c r="AM3788">
        <v>83.136455776577193</v>
      </c>
      <c r="AN3788">
        <v>0.999999950312218</v>
      </c>
    </row>
    <row r="3789" spans="1:40" x14ac:dyDescent="0.25">
      <c r="A3789" t="str">
        <f>"20190312151348734"</f>
        <v>20190312151348734</v>
      </c>
      <c r="B3789" t="str">
        <f>"1552374828724369"</f>
        <v>1552374828724369</v>
      </c>
      <c r="C3789" t="s">
        <v>40</v>
      </c>
      <c r="D3789">
        <v>4.6340339999999998</v>
      </c>
      <c r="E3789">
        <v>0.53736189999999995</v>
      </c>
      <c r="F3789" t="s">
        <v>42</v>
      </c>
      <c r="G3789">
        <v>-223.13829999999999</v>
      </c>
      <c r="H3789" s="1">
        <v>-2.9460050000000002E-6</v>
      </c>
      <c r="I3789">
        <v>139.69159999999999</v>
      </c>
      <c r="J3789">
        <v>-212.67840000000001</v>
      </c>
      <c r="K3789">
        <v>1.1072500000000001</v>
      </c>
      <c r="L3789">
        <v>139.81829999999999</v>
      </c>
      <c r="M3789">
        <v>-0.9729141</v>
      </c>
      <c r="N3789">
        <v>0</v>
      </c>
      <c r="O3789">
        <v>-0.23091210000000001</v>
      </c>
      <c r="P3789">
        <v>-0.9924191</v>
      </c>
      <c r="Q3789">
        <v>3.5633829999999998E-2</v>
      </c>
      <c r="R3789">
        <v>-0.1176214</v>
      </c>
      <c r="S3789">
        <v>-3.0290680000000001</v>
      </c>
      <c r="T3789">
        <v>-0.31447570000000002</v>
      </c>
      <c r="U3789">
        <v>-4.8263550000000002E-2</v>
      </c>
      <c r="V3789">
        <v>0.11504</v>
      </c>
      <c r="W3789">
        <v>4.5648279999999999E-2</v>
      </c>
      <c r="X3789">
        <v>0.99231150000000001</v>
      </c>
      <c r="Y3789">
        <v>0.2130293</v>
      </c>
      <c r="Z3789">
        <v>3.4761569999999999E-2</v>
      </c>
      <c r="AA3789">
        <v>0.9764273</v>
      </c>
      <c r="AB3789">
        <v>21</v>
      </c>
      <c r="AC3789">
        <v>-10.4598999999999</v>
      </c>
      <c r="AD3789">
        <v>-1.107252946005</v>
      </c>
      <c r="AE3789">
        <v>-0.12669999999999901</v>
      </c>
      <c r="AF3789">
        <v>2.2667870340035701</v>
      </c>
      <c r="AG3789">
        <v>-1.107252946005</v>
      </c>
      <c r="AH3789">
        <v>10.0933552874538</v>
      </c>
      <c r="AI3789">
        <v>96.109400005752406</v>
      </c>
      <c r="AJ3789">
        <v>77.342408120544604</v>
      </c>
      <c r="AK3789">
        <v>10.4038528201208</v>
      </c>
      <c r="AL3789">
        <v>87.3836371339832</v>
      </c>
      <c r="AM3789">
        <v>83.387143936525504</v>
      </c>
      <c r="AN3789">
        <v>1.0000000400496001</v>
      </c>
    </row>
    <row r="3790" spans="1:40" x14ac:dyDescent="0.25">
      <c r="A3790" t="str">
        <f>"20190312151348755"</f>
        <v>20190312151348755</v>
      </c>
      <c r="B3790" t="str">
        <f>"1552374828743890"</f>
        <v>1552374828743890</v>
      </c>
      <c r="C3790" t="s">
        <v>40</v>
      </c>
      <c r="D3790">
        <v>4.5983549999999997</v>
      </c>
      <c r="E3790">
        <v>0.53724869999999902</v>
      </c>
      <c r="F3790" t="s">
        <v>41</v>
      </c>
      <c r="G3790">
        <v>-213.5318</v>
      </c>
      <c r="H3790">
        <v>1.0172110000000001</v>
      </c>
      <c r="I3790">
        <v>139.80529999999999</v>
      </c>
      <c r="J3790">
        <v>-212.88030000000001</v>
      </c>
      <c r="K3790">
        <v>1.1073120000000001</v>
      </c>
      <c r="L3790">
        <v>139.7765</v>
      </c>
      <c r="M3790">
        <v>-0.97406559999999998</v>
      </c>
      <c r="N3790">
        <v>0</v>
      </c>
      <c r="O3790">
        <v>-0.2260064</v>
      </c>
      <c r="P3790">
        <v>-0.99247320000000006</v>
      </c>
      <c r="Q3790">
        <v>3.4536030000000002E-2</v>
      </c>
      <c r="R3790">
        <v>-0.117491</v>
      </c>
      <c r="S3790">
        <v>-3.0288390000000001</v>
      </c>
      <c r="T3790">
        <v>-0.31942510000000002</v>
      </c>
      <c r="U3790">
        <v>-4.6676639999999998E-2</v>
      </c>
      <c r="V3790">
        <v>0.11016040000000001</v>
      </c>
      <c r="W3790">
        <v>4.4578380000000001E-2</v>
      </c>
      <c r="X3790">
        <v>0.99291359999999995</v>
      </c>
      <c r="Y3790">
        <v>0.20859159999999999</v>
      </c>
      <c r="Z3790">
        <v>3.4570589999999998E-2</v>
      </c>
      <c r="AA3790">
        <v>0.97739169999999997</v>
      </c>
      <c r="AB3790">
        <v>21</v>
      </c>
      <c r="AC3790">
        <v>-0.65149999999999797</v>
      </c>
      <c r="AD3790">
        <v>-9.0101000000000001E-2</v>
      </c>
      <c r="AE3790">
        <v>2.8799999999989698E-2</v>
      </c>
      <c r="AF3790">
        <v>0.17202280368827699</v>
      </c>
      <c r="AG3790">
        <v>-9.0101000000000001E-2</v>
      </c>
      <c r="AH3790">
        <v>0.61636580990990297</v>
      </c>
      <c r="AI3790">
        <v>98.014573977561895</v>
      </c>
      <c r="AJ3790">
        <v>74.406004076984303</v>
      </c>
      <c r="AK3790">
        <v>0.64623281162106505</v>
      </c>
      <c r="AL3790">
        <v>87.445000214379107</v>
      </c>
      <c r="AM3790">
        <v>83.669118582538999</v>
      </c>
      <c r="AN3790">
        <v>0.99999998137827195</v>
      </c>
    </row>
    <row r="3791" spans="1:40" x14ac:dyDescent="0.25">
      <c r="A3791" t="str">
        <f>"20190312151348779"</f>
        <v>20190312151348779</v>
      </c>
      <c r="B3791" t="str">
        <f>"1552374828774144"</f>
        <v>1552374828774144</v>
      </c>
      <c r="C3791" t="s">
        <v>40</v>
      </c>
      <c r="D3791">
        <v>4.6499579999999998</v>
      </c>
      <c r="E3791">
        <v>0.53696199999999905</v>
      </c>
      <c r="F3791" t="s">
        <v>41</v>
      </c>
      <c r="G3791">
        <v>-213.7107</v>
      </c>
      <c r="H3791">
        <v>1.018006</v>
      </c>
      <c r="I3791">
        <v>139.7636</v>
      </c>
      <c r="J3791">
        <v>-213.08699999999999</v>
      </c>
      <c r="K3791">
        <v>1.1073599999999999</v>
      </c>
      <c r="L3791">
        <v>139.7346</v>
      </c>
      <c r="M3791">
        <v>-0.97518530000000003</v>
      </c>
      <c r="N3791">
        <v>0</v>
      </c>
      <c r="O3791">
        <v>-0.22112680000000001</v>
      </c>
      <c r="P3791">
        <v>-0.99254050000000005</v>
      </c>
      <c r="Q3791">
        <v>3.4093159999999997E-2</v>
      </c>
      <c r="R3791">
        <v>-0.11705069999999999</v>
      </c>
      <c r="S3791">
        <v>-3.0285190000000002</v>
      </c>
      <c r="T3791">
        <v>-0.32567790000000002</v>
      </c>
      <c r="U3791">
        <v>-4.6981809999999999E-2</v>
      </c>
      <c r="V3791">
        <v>0.1056204</v>
      </c>
      <c r="W3791">
        <v>4.4148699999999999E-2</v>
      </c>
      <c r="X3791">
        <v>0.99342600000000003</v>
      </c>
      <c r="Y3791">
        <v>0.20355599999999999</v>
      </c>
      <c r="Z3791">
        <v>3.4464580000000002E-2</v>
      </c>
      <c r="AA3791">
        <v>0.97845649999999995</v>
      </c>
      <c r="AB3791">
        <v>21</v>
      </c>
      <c r="AC3791">
        <v>-0.62369999999998504</v>
      </c>
      <c r="AD3791">
        <v>-8.93540000000001E-2</v>
      </c>
      <c r="AE3791">
        <v>2.89999999999963E-2</v>
      </c>
      <c r="AF3791">
        <v>0.162871178254925</v>
      </c>
      <c r="AG3791">
        <v>-8.93540000000001E-2</v>
      </c>
      <c r="AH3791">
        <v>0.58976680886697397</v>
      </c>
      <c r="AI3791">
        <v>98.308779693486898</v>
      </c>
      <c r="AJ3791">
        <v>74.561870694700104</v>
      </c>
      <c r="AK3791">
        <v>0.61833328138090804</v>
      </c>
      <c r="AL3791">
        <v>87.469643367522295</v>
      </c>
      <c r="AM3791">
        <v>83.931148852810793</v>
      </c>
      <c r="AN3791">
        <v>0.99999999704192499</v>
      </c>
    </row>
    <row r="3792" spans="1:40" x14ac:dyDescent="0.25">
      <c r="A3792" t="str">
        <f>"20190312151348803"</f>
        <v>20190312151348803</v>
      </c>
      <c r="B3792" t="str">
        <f>"1552374828794639"</f>
        <v>1552374828794639</v>
      </c>
      <c r="C3792" t="s">
        <v>40</v>
      </c>
      <c r="D3792">
        <v>4.6381370000000004</v>
      </c>
      <c r="E3792">
        <v>0.53678749999999997</v>
      </c>
      <c r="F3792" t="s">
        <v>41</v>
      </c>
      <c r="G3792">
        <v>-213.89089999999999</v>
      </c>
      <c r="H3792">
        <v>1.0197989999999999</v>
      </c>
      <c r="I3792">
        <v>139.72200000000001</v>
      </c>
      <c r="J3792">
        <v>-213.3117</v>
      </c>
      <c r="K3792">
        <v>1.1074040000000001</v>
      </c>
      <c r="L3792">
        <v>139.6901</v>
      </c>
      <c r="M3792">
        <v>-0.97634569999999998</v>
      </c>
      <c r="N3792">
        <v>0</v>
      </c>
      <c r="O3792">
        <v>-0.215949</v>
      </c>
      <c r="P3792">
        <v>-0.99266180000000004</v>
      </c>
      <c r="Q3792">
        <v>3.3640259999999998E-2</v>
      </c>
      <c r="R3792">
        <v>-0.11615250000000001</v>
      </c>
      <c r="S3792">
        <v>-3.0282589999999998</v>
      </c>
      <c r="T3792">
        <v>-0.32978429999999997</v>
      </c>
      <c r="U3792">
        <v>-4.7775270000000002E-2</v>
      </c>
      <c r="V3792">
        <v>0.1012392</v>
      </c>
      <c r="W3792">
        <v>4.3690899999999998E-2</v>
      </c>
      <c r="X3792">
        <v>0.99390230000000002</v>
      </c>
      <c r="Y3792">
        <v>0.19810220000000001</v>
      </c>
      <c r="Z3792">
        <v>3.4052020000000002E-2</v>
      </c>
      <c r="AA3792">
        <v>0.97958970000000001</v>
      </c>
      <c r="AB3792">
        <v>21</v>
      </c>
      <c r="AC3792">
        <v>-0.57919999999998595</v>
      </c>
      <c r="AD3792">
        <v>-8.7605000000000099E-2</v>
      </c>
      <c r="AE3792">
        <v>3.1900000000007298E-2</v>
      </c>
      <c r="AF3792">
        <v>0.15274821429715699</v>
      </c>
      <c r="AG3792">
        <v>-8.7605000000000099E-2</v>
      </c>
      <c r="AH3792">
        <v>0.54618546459148598</v>
      </c>
      <c r="AI3792">
        <v>98.780928581793802</v>
      </c>
      <c r="AJ3792">
        <v>74.375626113021497</v>
      </c>
      <c r="AK3792">
        <v>0.57386863891224105</v>
      </c>
      <c r="AL3792">
        <v>87.495898783463801</v>
      </c>
      <c r="AM3792">
        <v>84.183893624320604</v>
      </c>
      <c r="AN3792">
        <v>1.0000000261523601</v>
      </c>
    </row>
    <row r="3793" spans="1:40" x14ac:dyDescent="0.25">
      <c r="A3793" t="str">
        <f>"20190312151348847"</f>
        <v>20190312151348847</v>
      </c>
      <c r="B3793" t="str">
        <f>"1552374828844415"</f>
        <v>1552374828844415</v>
      </c>
      <c r="C3793" t="s">
        <v>40</v>
      </c>
      <c r="D3793">
        <v>4.667516</v>
      </c>
      <c r="E3793">
        <v>0.53658319999999904</v>
      </c>
      <c r="F3793" t="s">
        <v>41</v>
      </c>
      <c r="G3793">
        <v>-214.07230000000001</v>
      </c>
      <c r="H3793">
        <v>1.0236050000000001</v>
      </c>
      <c r="I3793">
        <v>139.67859999999999</v>
      </c>
      <c r="J3793">
        <v>-213.71039999999999</v>
      </c>
      <c r="K3793">
        <v>1.1074520000000001</v>
      </c>
      <c r="L3793">
        <v>139.6138</v>
      </c>
      <c r="M3793">
        <v>-0.97828559999999998</v>
      </c>
      <c r="N3793">
        <v>0</v>
      </c>
      <c r="O3793">
        <v>-0.20698949999999999</v>
      </c>
      <c r="P3793">
        <v>-0.99285350000000006</v>
      </c>
      <c r="Q3793">
        <v>3.406646E-2</v>
      </c>
      <c r="R3793">
        <v>-0.1143739</v>
      </c>
      <c r="S3793">
        <v>-3.0280300000000002</v>
      </c>
      <c r="T3793">
        <v>-0.33340310000000001</v>
      </c>
      <c r="U3793">
        <v>-4.6386719999999999E-2</v>
      </c>
      <c r="V3793">
        <v>9.3894249999999999E-2</v>
      </c>
      <c r="W3793">
        <v>4.4066760000000003E-2</v>
      </c>
      <c r="X3793">
        <v>0.9946064</v>
      </c>
      <c r="Y3793">
        <v>0.18961069999999999</v>
      </c>
      <c r="Z3793">
        <v>3.2994830000000003E-2</v>
      </c>
      <c r="AA3793">
        <v>0.98130479999999998</v>
      </c>
      <c r="AB3793">
        <v>21</v>
      </c>
      <c r="AC3793">
        <v>-0.36190000000001898</v>
      </c>
      <c r="AD3793">
        <v>-8.3847000000000199E-2</v>
      </c>
      <c r="AE3793">
        <v>6.4799999999991004E-2</v>
      </c>
      <c r="AF3793">
        <v>0.13147223398439001</v>
      </c>
      <c r="AG3793">
        <v>-8.3847000000000199E-2</v>
      </c>
      <c r="AH3793">
        <v>0.32380642627804601</v>
      </c>
      <c r="AI3793">
        <v>103.491400059534</v>
      </c>
      <c r="AJ3793">
        <v>67.901810815439205</v>
      </c>
      <c r="AK3793">
        <v>0.35939653506510899</v>
      </c>
      <c r="AL3793">
        <v>87.474342638916895</v>
      </c>
      <c r="AM3793">
        <v>84.607064942763401</v>
      </c>
      <c r="AN3793">
        <v>0.99999995022045796</v>
      </c>
    </row>
    <row r="3794" spans="1:40" x14ac:dyDescent="0.25">
      <c r="A3794" t="str">
        <f>"20190312151348867"</f>
        <v>20190312151348867</v>
      </c>
      <c r="B3794" t="str">
        <f>"1552374828863936"</f>
        <v>1552374828863936</v>
      </c>
      <c r="C3794" t="s">
        <v>40</v>
      </c>
      <c r="D3794">
        <v>4.6574629999999999</v>
      </c>
      <c r="E3794">
        <v>0.53654919999999995</v>
      </c>
      <c r="F3794" t="s">
        <v>41</v>
      </c>
      <c r="G3794">
        <v>-214.61969999999999</v>
      </c>
      <c r="H3794">
        <v>1.0071349999999999</v>
      </c>
      <c r="I3794">
        <v>139.6011</v>
      </c>
      <c r="J3794">
        <v>-213.90690000000001</v>
      </c>
      <c r="K3794">
        <v>1.107453</v>
      </c>
      <c r="L3794">
        <v>139.57749999999999</v>
      </c>
      <c r="M3794">
        <v>-0.97919659999999997</v>
      </c>
      <c r="N3794">
        <v>0</v>
      </c>
      <c r="O3794">
        <v>-0.2026394</v>
      </c>
      <c r="P3794">
        <v>-0.99293359999999997</v>
      </c>
      <c r="Q3794">
        <v>3.5517510000000002E-2</v>
      </c>
      <c r="R3794">
        <v>-0.1132326</v>
      </c>
      <c r="S3794">
        <v>-3.0281370000000001</v>
      </c>
      <c r="T3794">
        <v>-0.33401560000000002</v>
      </c>
      <c r="U3794">
        <v>-4.2816159999999999E-2</v>
      </c>
      <c r="V3794">
        <v>9.0612479999999995E-2</v>
      </c>
      <c r="W3794">
        <v>4.5474880000000002E-2</v>
      </c>
      <c r="X3794">
        <v>0.99484740000000005</v>
      </c>
      <c r="Y3794">
        <v>0.18644089999999999</v>
      </c>
      <c r="Z3794">
        <v>3.2410380000000003E-2</v>
      </c>
      <c r="AA3794">
        <v>0.98193140000000001</v>
      </c>
      <c r="AB3794">
        <v>21</v>
      </c>
      <c r="AC3794">
        <v>-0.712799999999987</v>
      </c>
      <c r="AD3794">
        <v>-0.10031799999999901</v>
      </c>
      <c r="AE3794">
        <v>2.3600000000016001E-2</v>
      </c>
      <c r="AF3794">
        <v>0.164308800299967</v>
      </c>
      <c r="AG3794">
        <v>-0.10031799999999901</v>
      </c>
      <c r="AH3794">
        <v>0.67977789286681001</v>
      </c>
      <c r="AI3794">
        <v>98.163046107109395</v>
      </c>
      <c r="AJ3794">
        <v>76.411688019978897</v>
      </c>
      <c r="AK3794">
        <v>0.70651190125181496</v>
      </c>
      <c r="AL3794">
        <v>87.393582361225995</v>
      </c>
      <c r="AM3794">
        <v>84.795757534570797</v>
      </c>
      <c r="AN3794">
        <v>0.99999996776476197</v>
      </c>
    </row>
    <row r="3795" spans="1:40" x14ac:dyDescent="0.25">
      <c r="A3795" t="str">
        <f>"20190312151348890"</f>
        <v>20190312151348890</v>
      </c>
      <c r="B3795" t="str">
        <f>"1552374828884431"</f>
        <v>1552374828884431</v>
      </c>
      <c r="C3795" t="s">
        <v>40</v>
      </c>
      <c r="D3795">
        <v>4.6522360000000003</v>
      </c>
      <c r="E3795">
        <v>0.53646930000000004</v>
      </c>
      <c r="F3795" t="s">
        <v>41</v>
      </c>
      <c r="G3795">
        <v>-214.80439999999999</v>
      </c>
      <c r="H3795">
        <v>1.0096909999999999</v>
      </c>
      <c r="I3795">
        <v>139.5658</v>
      </c>
      <c r="J3795">
        <v>-214.1121</v>
      </c>
      <c r="K3795">
        <v>1.107432</v>
      </c>
      <c r="L3795">
        <v>139.54060000000001</v>
      </c>
      <c r="M3795">
        <v>-0.98012149999999998</v>
      </c>
      <c r="N3795">
        <v>0</v>
      </c>
      <c r="O3795">
        <v>-0.1981212</v>
      </c>
      <c r="P3795">
        <v>-0.99306559999999999</v>
      </c>
      <c r="Q3795">
        <v>3.6270910000000003E-2</v>
      </c>
      <c r="R3795">
        <v>-0.11182640000000001</v>
      </c>
      <c r="S3795">
        <v>-3.0286559999999998</v>
      </c>
      <c r="T3795">
        <v>-0.32996300000000001</v>
      </c>
      <c r="U3795">
        <v>-3.9504999999999998E-2</v>
      </c>
      <c r="V3795">
        <v>8.7430889999999997E-2</v>
      </c>
      <c r="W3795">
        <v>4.6180329999999999E-2</v>
      </c>
      <c r="X3795">
        <v>0.99509959999999997</v>
      </c>
      <c r="Y3795">
        <v>0.183089</v>
      </c>
      <c r="Z3795">
        <v>3.1349990000000001E-2</v>
      </c>
      <c r="AA3795">
        <v>0.98259629999999998</v>
      </c>
      <c r="AB3795">
        <v>21</v>
      </c>
      <c r="AC3795">
        <v>-0.69229999999998804</v>
      </c>
      <c r="AD3795">
        <v>-9.7740999999999995E-2</v>
      </c>
      <c r="AE3795">
        <v>2.5199999999983898E-2</v>
      </c>
      <c r="AF3795">
        <v>0.15870797476061499</v>
      </c>
      <c r="AG3795">
        <v>-9.7740999999999995E-2</v>
      </c>
      <c r="AH3795">
        <v>0.66043564413859801</v>
      </c>
      <c r="AI3795">
        <v>98.188545652229394</v>
      </c>
      <c r="AJ3795">
        <v>76.487581407417395</v>
      </c>
      <c r="AK3795">
        <v>0.68623375345605098</v>
      </c>
      <c r="AL3795">
        <v>87.353120622589003</v>
      </c>
      <c r="AM3795">
        <v>84.978804055980504</v>
      </c>
      <c r="AN3795">
        <v>0.99999999866263001</v>
      </c>
    </row>
    <row r="3796" spans="1:40" x14ac:dyDescent="0.25">
      <c r="A3796" t="str">
        <f>"20190312151348912"</f>
        <v>20190312151348912</v>
      </c>
      <c r="B3796" t="str">
        <f>"1552374828903952"</f>
        <v>1552374828903952</v>
      </c>
      <c r="C3796" t="s">
        <v>40</v>
      </c>
      <c r="D3796">
        <v>4.6730299999999998</v>
      </c>
      <c r="E3796">
        <v>0.53639250000000005</v>
      </c>
      <c r="F3796" t="s">
        <v>41</v>
      </c>
      <c r="G3796">
        <v>-214.98929999999999</v>
      </c>
      <c r="H3796">
        <v>1.01233</v>
      </c>
      <c r="I3796">
        <v>139.53039999999999</v>
      </c>
      <c r="J3796">
        <v>-214.31790000000001</v>
      </c>
      <c r="K3796">
        <v>1.107405</v>
      </c>
      <c r="L3796">
        <v>139.5044</v>
      </c>
      <c r="M3796">
        <v>-0.98102610000000001</v>
      </c>
      <c r="N3796">
        <v>0</v>
      </c>
      <c r="O3796">
        <v>-0.19359660000000001</v>
      </c>
      <c r="P3796">
        <v>-0.99326570000000003</v>
      </c>
      <c r="Q3796">
        <v>3.6691630000000003E-2</v>
      </c>
      <c r="R3796">
        <v>-0.1098972</v>
      </c>
      <c r="S3796">
        <v>-3.028915</v>
      </c>
      <c r="T3796">
        <v>-0.32811630000000003</v>
      </c>
      <c r="U3796">
        <v>-3.5781859999999999E-2</v>
      </c>
      <c r="V3796">
        <v>8.4772539999999993E-2</v>
      </c>
      <c r="W3796">
        <v>4.6543769999999998E-2</v>
      </c>
      <c r="X3796">
        <v>0.99531270000000005</v>
      </c>
      <c r="Y3796">
        <v>0.17983209999999999</v>
      </c>
      <c r="Z3796">
        <v>3.0516749999999999E-2</v>
      </c>
      <c r="AA3796">
        <v>0.98322390000000004</v>
      </c>
      <c r="AB3796">
        <v>21</v>
      </c>
      <c r="AC3796">
        <v>-0.67139999999997702</v>
      </c>
      <c r="AD3796">
        <v>-9.5075000000000007E-2</v>
      </c>
      <c r="AE3796">
        <v>2.5999999999981999E-2</v>
      </c>
      <c r="AF3796">
        <v>0.152443537274287</v>
      </c>
      <c r="AG3796">
        <v>-9.5075000000000007E-2</v>
      </c>
      <c r="AH3796">
        <v>0.64083168004722901</v>
      </c>
      <c r="AI3796">
        <v>98.213023956370705</v>
      </c>
      <c r="AJ3796">
        <v>76.618962130834205</v>
      </c>
      <c r="AK3796">
        <v>0.66554002872393103</v>
      </c>
      <c r="AL3796">
        <v>87.332274734829596</v>
      </c>
      <c r="AM3796">
        <v>85.131766372166993</v>
      </c>
      <c r="AN3796">
        <v>1.00000003842257</v>
      </c>
    </row>
    <row r="3797" spans="1:40" x14ac:dyDescent="0.25">
      <c r="A3797" t="str">
        <f>"20190312151348934"</f>
        <v>20190312151348934</v>
      </c>
      <c r="B3797" t="str">
        <f>"1552374828924447"</f>
        <v>1552374828924447</v>
      </c>
      <c r="C3797" t="s">
        <v>40</v>
      </c>
      <c r="D3797">
        <v>4.6662100000000004</v>
      </c>
      <c r="E3797">
        <v>0.53634550000000003</v>
      </c>
      <c r="F3797" t="s">
        <v>41</v>
      </c>
      <c r="G3797">
        <v>-215.1748</v>
      </c>
      <c r="H3797">
        <v>1.0146759999999999</v>
      </c>
      <c r="I3797">
        <v>139.49590000000001</v>
      </c>
      <c r="J3797">
        <v>-214.5241</v>
      </c>
      <c r="K3797">
        <v>1.1073660000000001</v>
      </c>
      <c r="L3797">
        <v>139.4692</v>
      </c>
      <c r="M3797">
        <v>-0.98191030000000001</v>
      </c>
      <c r="N3797">
        <v>0</v>
      </c>
      <c r="O3797">
        <v>-0.18906419999999999</v>
      </c>
      <c r="P3797">
        <v>-0.99347569999999996</v>
      </c>
      <c r="Q3797">
        <v>3.6899399999999999E-2</v>
      </c>
      <c r="R3797">
        <v>-0.10791000000000001</v>
      </c>
      <c r="S3797">
        <v>-3.029083</v>
      </c>
      <c r="T3797">
        <v>-0.32768709999999901</v>
      </c>
      <c r="U3797">
        <v>-3.0502319999999999E-2</v>
      </c>
      <c r="V3797">
        <v>8.2168359999999996E-2</v>
      </c>
      <c r="W3797">
        <v>4.6688569999999999E-2</v>
      </c>
      <c r="X3797">
        <v>0.99552419999999997</v>
      </c>
      <c r="Y3797">
        <v>0.17705219999999999</v>
      </c>
      <c r="Z3797">
        <v>2.9844889999999999E-2</v>
      </c>
      <c r="AA3797">
        <v>0.98374890000000004</v>
      </c>
      <c r="AB3797">
        <v>21</v>
      </c>
      <c r="AC3797">
        <v>-0.65069999999999995</v>
      </c>
      <c r="AD3797">
        <v>-9.2690000000000106E-2</v>
      </c>
      <c r="AE3797">
        <v>2.6700000000005199E-2</v>
      </c>
      <c r="AF3797">
        <v>0.14628575703997199</v>
      </c>
      <c r="AG3797">
        <v>-9.2690000000000106E-2</v>
      </c>
      <c r="AH3797">
        <v>0.621328689344124</v>
      </c>
      <c r="AI3797">
        <v>98.262167504035403</v>
      </c>
      <c r="AJ3797">
        <v>76.751548979934</v>
      </c>
      <c r="AK3797">
        <v>0.64501185959239904</v>
      </c>
      <c r="AL3797">
        <v>87.323969033363497</v>
      </c>
      <c r="AM3797">
        <v>85.281628622831803</v>
      </c>
      <c r="AN3797">
        <v>0.999999947369685</v>
      </c>
    </row>
    <row r="3798" spans="1:40" x14ac:dyDescent="0.25">
      <c r="A3798" t="str">
        <f>"20190312151348956"</f>
        <v>20190312151348956</v>
      </c>
      <c r="B3798" t="str">
        <f>"1552374828943967"</f>
        <v>1552374828943967</v>
      </c>
      <c r="C3798" t="s">
        <v>40</v>
      </c>
      <c r="D3798">
        <v>4.6992649999999996</v>
      </c>
      <c r="E3798">
        <v>0.53626280000000004</v>
      </c>
      <c r="F3798" t="s">
        <v>41</v>
      </c>
      <c r="G3798">
        <v>-215.36070000000001</v>
      </c>
      <c r="H3798">
        <v>1.0167839999999999</v>
      </c>
      <c r="I3798">
        <v>139.4624</v>
      </c>
      <c r="J3798">
        <v>-214.7319</v>
      </c>
      <c r="K3798">
        <v>1.1073200000000001</v>
      </c>
      <c r="L3798">
        <v>139.43459999999999</v>
      </c>
      <c r="M3798">
        <v>-0.98278089999999996</v>
      </c>
      <c r="N3798">
        <v>0</v>
      </c>
      <c r="O3798">
        <v>-0.18448919999999999</v>
      </c>
      <c r="P3798">
        <v>-0.9936933</v>
      </c>
      <c r="Q3798">
        <v>3.7097579999999998E-2</v>
      </c>
      <c r="R3798">
        <v>-0.1058167</v>
      </c>
      <c r="S3798">
        <v>-3.0291600000000001</v>
      </c>
      <c r="T3798">
        <v>-0.32787909999999998</v>
      </c>
      <c r="U3798">
        <v>-2.5009159999999999E-2</v>
      </c>
      <c r="V3798">
        <v>7.9630240000000005E-2</v>
      </c>
      <c r="W3798">
        <v>4.6822419999999997E-2</v>
      </c>
      <c r="X3798">
        <v>0.99572419999999995</v>
      </c>
      <c r="Y3798">
        <v>0.17429310000000001</v>
      </c>
      <c r="Z3798">
        <v>2.9226820000000001E-2</v>
      </c>
      <c r="AA3798">
        <v>0.98426000000000002</v>
      </c>
      <c r="AB3798">
        <v>21</v>
      </c>
      <c r="AC3798">
        <v>-0.62880000000001202</v>
      </c>
      <c r="AD3798">
        <v>-9.0536000000000103E-2</v>
      </c>
      <c r="AE3798">
        <v>2.78000000000133E-2</v>
      </c>
      <c r="AF3798">
        <v>0.140430115418889</v>
      </c>
      <c r="AG3798">
        <v>-9.0536000000000103E-2</v>
      </c>
      <c r="AH3798">
        <v>0.60045252122213799</v>
      </c>
      <c r="AI3798">
        <v>98.352369713735101</v>
      </c>
      <c r="AJ3798">
        <v>76.836613417775297</v>
      </c>
      <c r="AK3798">
        <v>0.62326608671945605</v>
      </c>
      <c r="AL3798">
        <v>87.316291733328598</v>
      </c>
      <c r="AM3798">
        <v>85.427662287080196</v>
      </c>
      <c r="AN3798">
        <v>0.99999999830137598</v>
      </c>
    </row>
    <row r="3799" spans="1:40" x14ac:dyDescent="0.25">
      <c r="A3799" t="str">
        <f>"20190312151348981"</f>
        <v>20190312151348981</v>
      </c>
      <c r="B3799" t="str">
        <f>"1552374828974223"</f>
        <v>1552374828974223</v>
      </c>
      <c r="C3799" t="s">
        <v>40</v>
      </c>
      <c r="D3799">
        <v>4.7123229999999996</v>
      </c>
      <c r="E3799">
        <v>0.53622409999999998</v>
      </c>
      <c r="F3799" t="s">
        <v>41</v>
      </c>
      <c r="G3799">
        <v>-215.5471</v>
      </c>
      <c r="H3799">
        <v>1.018915</v>
      </c>
      <c r="I3799">
        <v>139.42930000000001</v>
      </c>
      <c r="J3799">
        <v>-214.9573</v>
      </c>
      <c r="K3799">
        <v>1.1072900000000001</v>
      </c>
      <c r="L3799">
        <v>139.39830000000001</v>
      </c>
      <c r="M3799">
        <v>-0.98370239999999998</v>
      </c>
      <c r="N3799">
        <v>0</v>
      </c>
      <c r="O3799">
        <v>-0.1795158</v>
      </c>
      <c r="P3799">
        <v>-0.99400250000000001</v>
      </c>
      <c r="Q3799">
        <v>3.7495199999999999E-2</v>
      </c>
      <c r="R3799">
        <v>-0.10273110000000001</v>
      </c>
      <c r="S3799">
        <v>-3.0292210000000002</v>
      </c>
      <c r="T3799">
        <v>-0.32851930000000001</v>
      </c>
      <c r="U3799">
        <v>-1.9592289999999998E-2</v>
      </c>
      <c r="V3799">
        <v>7.7687000000000006E-2</v>
      </c>
      <c r="W3799">
        <v>4.714774E-2</v>
      </c>
      <c r="X3799">
        <v>0.99586240000000004</v>
      </c>
      <c r="Y3799">
        <v>0.17111209999999999</v>
      </c>
      <c r="Z3799">
        <v>2.8581220000000001E-2</v>
      </c>
      <c r="AA3799">
        <v>0.98483690000000002</v>
      </c>
      <c r="AB3799">
        <v>21</v>
      </c>
      <c r="AC3799">
        <v>-0.58979999999999599</v>
      </c>
      <c r="AD3799">
        <v>-8.8374999999999801E-2</v>
      </c>
      <c r="AE3799">
        <v>3.1000000000005901E-2</v>
      </c>
      <c r="AF3799">
        <v>0.13339359960463301</v>
      </c>
      <c r="AG3799">
        <v>-8.8374999999999801E-2</v>
      </c>
      <c r="AH3799">
        <v>0.56206785689745498</v>
      </c>
      <c r="AI3799">
        <v>98.697823832498699</v>
      </c>
      <c r="AJ3799">
        <v>76.649191727086702</v>
      </c>
      <c r="AK3799">
        <v>0.58440077754720599</v>
      </c>
      <c r="AL3799">
        <v>87.297631800458603</v>
      </c>
      <c r="AM3799">
        <v>85.539402953457497</v>
      </c>
      <c r="AN3799">
        <v>1.0000000495449299</v>
      </c>
    </row>
    <row r="3800" spans="1:40" x14ac:dyDescent="0.25">
      <c r="A3800" t="str">
        <f>"20190312151349024"</f>
        <v>20190312151349024</v>
      </c>
      <c r="B3800" t="str">
        <f>"1552374829014240"</f>
        <v>1552374829014240</v>
      </c>
      <c r="C3800" t="s">
        <v>40</v>
      </c>
      <c r="D3800">
        <v>4.6483119999999998</v>
      </c>
      <c r="E3800">
        <v>0.5349313</v>
      </c>
      <c r="F3800" t="s">
        <v>41</v>
      </c>
      <c r="G3800">
        <v>-215.7346</v>
      </c>
      <c r="H3800">
        <v>1.022875</v>
      </c>
      <c r="I3800">
        <v>139.3955</v>
      </c>
      <c r="J3800">
        <v>-215.36150000000001</v>
      </c>
      <c r="K3800">
        <v>1.107229</v>
      </c>
      <c r="L3800">
        <v>139.33600000000001</v>
      </c>
      <c r="M3800">
        <v>-0.98529540000000004</v>
      </c>
      <c r="N3800">
        <v>0</v>
      </c>
      <c r="O3800">
        <v>-0.1705644</v>
      </c>
      <c r="P3800">
        <v>-0.99465570000000003</v>
      </c>
      <c r="Q3800">
        <v>3.7927710000000003E-2</v>
      </c>
      <c r="R3800">
        <v>-9.6029180000000006E-2</v>
      </c>
      <c r="S3800">
        <v>-3.0293580000000002</v>
      </c>
      <c r="T3800">
        <v>-0.32875969999999999</v>
      </c>
      <c r="U3800">
        <v>-1.121521E-2</v>
      </c>
      <c r="V3800">
        <v>7.5347170000000005E-2</v>
      </c>
      <c r="W3800">
        <v>4.7449720000000001E-2</v>
      </c>
      <c r="X3800">
        <v>0.99602780000000002</v>
      </c>
      <c r="Y3800">
        <v>0.16496160000000001</v>
      </c>
      <c r="Z3800">
        <v>2.7312289999999999E-2</v>
      </c>
      <c r="AA3800">
        <v>0.98592170000000001</v>
      </c>
      <c r="AB3800">
        <v>21</v>
      </c>
      <c r="AC3800">
        <v>-0.37309999999999299</v>
      </c>
      <c r="AD3800">
        <v>-8.4353999999999998E-2</v>
      </c>
      <c r="AE3800">
        <v>5.9499999999985599E-2</v>
      </c>
      <c r="AF3800">
        <v>0.116463270199668</v>
      </c>
      <c r="AG3800">
        <v>-8.4353999999999998E-2</v>
      </c>
      <c r="AH3800">
        <v>0.34050919807878299</v>
      </c>
      <c r="AI3800">
        <v>103.19185344997599</v>
      </c>
      <c r="AJ3800">
        <v>71.117937492501397</v>
      </c>
      <c r="AK3800">
        <v>0.36962927995203099</v>
      </c>
      <c r="AL3800">
        <v>87.280310168905004</v>
      </c>
      <c r="AM3800">
        <v>85.673947975287007</v>
      </c>
      <c r="AN3800">
        <v>1.00000002516396</v>
      </c>
    </row>
    <row r="3801" spans="1:40" x14ac:dyDescent="0.25">
      <c r="A3801" t="str">
        <f>"20190312151349046"</f>
        <v>20190312151349046</v>
      </c>
      <c r="B3801" t="str">
        <f>"1552374829033759"</f>
        <v>1552374829033759</v>
      </c>
      <c r="C3801" t="s">
        <v>40</v>
      </c>
      <c r="D3801">
        <v>4.7448819999999996</v>
      </c>
      <c r="E3801">
        <v>0.53541380000000005</v>
      </c>
      <c r="F3801" t="s">
        <v>41</v>
      </c>
      <c r="G3801">
        <v>-216.1087</v>
      </c>
      <c r="H3801">
        <v>1.0229509999999999</v>
      </c>
      <c r="I3801">
        <v>139.3357</v>
      </c>
      <c r="J3801">
        <v>-215.57210000000001</v>
      </c>
      <c r="K3801">
        <v>1.1071979999999999</v>
      </c>
      <c r="L3801">
        <v>139.30500000000001</v>
      </c>
      <c r="M3801">
        <v>-0.98609360000000001</v>
      </c>
      <c r="N3801">
        <v>0</v>
      </c>
      <c r="O3801">
        <v>-0.16589189999999901</v>
      </c>
      <c r="P3801">
        <v>-0.99499459999999995</v>
      </c>
      <c r="Q3801">
        <v>3.8575520000000002E-2</v>
      </c>
      <c r="R3801">
        <v>-9.2183970000000004E-2</v>
      </c>
      <c r="S3801">
        <v>-3.0289459999999999</v>
      </c>
      <c r="T3801">
        <v>-0.34142149999999999</v>
      </c>
      <c r="U3801">
        <v>-1.876831E-3</v>
      </c>
      <c r="V3801">
        <v>7.4477269999999998E-2</v>
      </c>
      <c r="W3801">
        <v>4.802936E-2</v>
      </c>
      <c r="X3801">
        <v>0.99606539999999999</v>
      </c>
      <c r="Y3801">
        <v>0.16321229999999901</v>
      </c>
      <c r="Z3801">
        <v>2.7745269999999999E-2</v>
      </c>
      <c r="AA3801">
        <v>0.98620070000000004</v>
      </c>
      <c r="AB3801">
        <v>21</v>
      </c>
      <c r="AC3801">
        <v>-0.53659999999999197</v>
      </c>
      <c r="AD3801">
        <v>-8.4246999999999905E-2</v>
      </c>
      <c r="AE3801">
        <v>3.0699999999995901E-2</v>
      </c>
      <c r="AF3801">
        <v>0.11643587113019201</v>
      </c>
      <c r="AG3801">
        <v>-8.4246999999999905E-2</v>
      </c>
      <c r="AH3801">
        <v>0.51150380092511105</v>
      </c>
      <c r="AI3801">
        <v>99.123583651712096</v>
      </c>
      <c r="AJ3801">
        <v>77.176029852522802</v>
      </c>
      <c r="AK3801">
        <v>0.53131065061382199</v>
      </c>
      <c r="AL3801">
        <v>87.247061215337794</v>
      </c>
      <c r="AM3801">
        <v>85.723867695472407</v>
      </c>
      <c r="AN3801">
        <v>0.99999998212291097</v>
      </c>
    </row>
    <row r="3802" spans="1:40" x14ac:dyDescent="0.25">
      <c r="A3802" t="str">
        <f>"20190312151349067"</f>
        <v>20190312151349067</v>
      </c>
      <c r="B3802" t="str">
        <f>"1552374829064016"</f>
        <v>1552374829064016</v>
      </c>
      <c r="C3802" t="s">
        <v>40</v>
      </c>
      <c r="D3802">
        <v>4.7154109999999996</v>
      </c>
      <c r="E3802">
        <v>0.53623319999999997</v>
      </c>
      <c r="F3802" t="s">
        <v>41</v>
      </c>
      <c r="G3802">
        <v>-216.4838</v>
      </c>
      <c r="H3802">
        <v>1.0094069999999999</v>
      </c>
      <c r="I3802">
        <v>139.3091</v>
      </c>
      <c r="J3802">
        <v>-215.7722</v>
      </c>
      <c r="K3802">
        <v>1.1071690000000001</v>
      </c>
      <c r="L3802">
        <v>139.2766</v>
      </c>
      <c r="M3802">
        <v>-0.98683030000000005</v>
      </c>
      <c r="N3802">
        <v>0</v>
      </c>
      <c r="O3802">
        <v>-0.16145570000000001</v>
      </c>
      <c r="P3802">
        <v>-0.99537600000000004</v>
      </c>
      <c r="Q3802">
        <v>3.8086259999999997E-2</v>
      </c>
      <c r="R3802">
        <v>-8.8183449999999997E-2</v>
      </c>
      <c r="S3802">
        <v>-3.0289000000000001</v>
      </c>
      <c r="T3802">
        <v>-0.32474940000000002</v>
      </c>
      <c r="U3802">
        <v>1.312256E-2</v>
      </c>
      <c r="V3802">
        <v>7.4003040000000006E-2</v>
      </c>
      <c r="W3802">
        <v>4.7474000000000002E-2</v>
      </c>
      <c r="X3802">
        <v>0.9961274</v>
      </c>
      <c r="Y3802">
        <v>0.16387889999999999</v>
      </c>
      <c r="Z3802">
        <v>2.596658E-2</v>
      </c>
      <c r="AA3802">
        <v>0.98613859999999998</v>
      </c>
      <c r="AB3802">
        <v>21</v>
      </c>
      <c r="AC3802">
        <v>-0.71160000000000401</v>
      </c>
      <c r="AD3802">
        <v>-9.7762000000000099E-2</v>
      </c>
      <c r="AE3802">
        <v>3.2499999999998801E-2</v>
      </c>
      <c r="AF3802">
        <v>0.14425405311203601</v>
      </c>
      <c r="AG3802">
        <v>-9.7762000000000099E-2</v>
      </c>
      <c r="AH3802">
        <v>0.68412977535666197</v>
      </c>
      <c r="AI3802">
        <v>97.959787840600498</v>
      </c>
      <c r="AJ3802">
        <v>78.093160291198899</v>
      </c>
      <c r="AK3802">
        <v>0.70597463836373597</v>
      </c>
      <c r="AL3802">
        <v>87.278917427002597</v>
      </c>
      <c r="AM3802">
        <v>85.751259194949299</v>
      </c>
      <c r="AN3802">
        <v>1.0000000138180001</v>
      </c>
    </row>
    <row r="3803" spans="1:40" x14ac:dyDescent="0.25">
      <c r="A3803" t="str">
        <f>"20190312151349091"</f>
        <v>20190312151349091</v>
      </c>
      <c r="B3803" t="str">
        <f>"1552374829084511"</f>
        <v>1552374829084511</v>
      </c>
      <c r="C3803" t="s">
        <v>40</v>
      </c>
      <c r="D3803">
        <v>4.7318189999999998</v>
      </c>
      <c r="E3803">
        <v>0.53674569999999999</v>
      </c>
      <c r="F3803" t="s">
        <v>41</v>
      </c>
      <c r="G3803">
        <v>-216.67619999999999</v>
      </c>
      <c r="H3803">
        <v>1.015306</v>
      </c>
      <c r="I3803">
        <v>139.286</v>
      </c>
      <c r="J3803">
        <v>-215.9932</v>
      </c>
      <c r="K3803">
        <v>1.1071390000000001</v>
      </c>
      <c r="L3803">
        <v>139.24629999999999</v>
      </c>
      <c r="M3803">
        <v>-0.98761920000000003</v>
      </c>
      <c r="N3803">
        <v>0</v>
      </c>
      <c r="O3803">
        <v>-0.1565617</v>
      </c>
      <c r="P3803">
        <v>-0.99574450000000003</v>
      </c>
      <c r="Q3803">
        <v>3.7602570000000002E-2</v>
      </c>
      <c r="R3803">
        <v>-8.4138909999999997E-2</v>
      </c>
      <c r="S3803">
        <v>-3.0285190000000002</v>
      </c>
      <c r="T3803">
        <v>-0.3078244</v>
      </c>
      <c r="U3803">
        <v>3.1600950000000003E-2</v>
      </c>
      <c r="V3803">
        <v>7.3112590000000005E-2</v>
      </c>
      <c r="W3803">
        <v>4.6924349999999997E-2</v>
      </c>
      <c r="X3803">
        <v>0.99621919999999997</v>
      </c>
      <c r="Y3803">
        <v>0.16521259999999999</v>
      </c>
      <c r="Z3803">
        <v>2.4201009999999998E-2</v>
      </c>
      <c r="AA3803">
        <v>0.98596099999999998</v>
      </c>
      <c r="AB3803">
        <v>21</v>
      </c>
      <c r="AC3803">
        <v>-0.68299999999999195</v>
      </c>
      <c r="AD3803">
        <v>-9.1832999999999804E-2</v>
      </c>
      <c r="AE3803">
        <v>3.9700000000010498E-2</v>
      </c>
      <c r="AF3803">
        <v>0.143560609376544</v>
      </c>
      <c r="AG3803">
        <v>-9.1832999999999804E-2</v>
      </c>
      <c r="AH3803">
        <v>0.65653177375567895</v>
      </c>
      <c r="AI3803">
        <v>97.781117509783797</v>
      </c>
      <c r="AJ3803">
        <v>77.665553125472996</v>
      </c>
      <c r="AK3803">
        <v>0.67828970094226204</v>
      </c>
      <c r="AL3803">
        <v>87.310445206422699</v>
      </c>
      <c r="AM3803">
        <v>85.802584232196097</v>
      </c>
      <c r="AN3803">
        <v>1.00000001994403</v>
      </c>
    </row>
    <row r="3804" spans="1:40" x14ac:dyDescent="0.25">
      <c r="A3804" t="str">
        <f>"20190312151349112"</f>
        <v>20190312151349112</v>
      </c>
      <c r="B3804" t="str">
        <f>"1552374829104032"</f>
        <v>1552374829104032</v>
      </c>
      <c r="C3804" t="s">
        <v>40</v>
      </c>
      <c r="D3804">
        <v>4.7110900000000004</v>
      </c>
      <c r="E3804">
        <v>0.53668640000000001</v>
      </c>
      <c r="F3804" t="s">
        <v>41</v>
      </c>
      <c r="G3804">
        <v>-216.8681</v>
      </c>
      <c r="H3804">
        <v>1.020338</v>
      </c>
      <c r="I3804">
        <v>139.2602</v>
      </c>
      <c r="J3804">
        <v>-216.20060000000001</v>
      </c>
      <c r="K3804">
        <v>1.1071120000000001</v>
      </c>
      <c r="L3804">
        <v>139.21879999999999</v>
      </c>
      <c r="M3804">
        <v>-0.98833629999999995</v>
      </c>
      <c r="N3804">
        <v>0</v>
      </c>
      <c r="O3804">
        <v>-0.15197260000000001</v>
      </c>
      <c r="P3804">
        <v>-0.99608799999999997</v>
      </c>
      <c r="Q3804">
        <v>3.6825869999999997E-2</v>
      </c>
      <c r="R3804">
        <v>-8.032686E-2</v>
      </c>
      <c r="S3804">
        <v>-3.0281980000000002</v>
      </c>
      <c r="T3804">
        <v>-0.30021239999999999</v>
      </c>
      <c r="U3804">
        <v>4.76532E-2</v>
      </c>
      <c r="V3804">
        <v>7.2298150000000005E-2</v>
      </c>
      <c r="W3804">
        <v>4.608984E-2</v>
      </c>
      <c r="X3804">
        <v>0.99631760000000003</v>
      </c>
      <c r="Y3804">
        <v>0.16595799999999999</v>
      </c>
      <c r="Z3804">
        <v>2.3195670000000002E-2</v>
      </c>
      <c r="AA3804">
        <v>0.98585999999999996</v>
      </c>
      <c r="AB3804">
        <v>21</v>
      </c>
      <c r="AC3804">
        <v>-0.66749999999998899</v>
      </c>
      <c r="AD3804">
        <v>-8.6774000000000101E-2</v>
      </c>
      <c r="AE3804">
        <v>4.1400000000009998E-2</v>
      </c>
      <c r="AF3804">
        <v>0.14000862056755201</v>
      </c>
      <c r="AG3804">
        <v>-8.6774000000000101E-2</v>
      </c>
      <c r="AH3804">
        <v>0.64263540791503504</v>
      </c>
      <c r="AI3804">
        <v>97.515824854444006</v>
      </c>
      <c r="AJ3804">
        <v>77.709239842390005</v>
      </c>
      <c r="AK3804">
        <v>0.66340968369127096</v>
      </c>
      <c r="AL3804">
        <v>87.358310921623499</v>
      </c>
      <c r="AM3804">
        <v>85.849585652586399</v>
      </c>
      <c r="AN3804">
        <v>1.0000000279572001</v>
      </c>
    </row>
    <row r="3805" spans="1:40" x14ac:dyDescent="0.25">
      <c r="A3805" t="str">
        <f>"20190312151349135"</f>
        <v>20190312151349135</v>
      </c>
      <c r="B3805" t="str">
        <f>"1552374829124528"</f>
        <v>1552374829124528</v>
      </c>
      <c r="C3805" t="s">
        <v>40</v>
      </c>
      <c r="D3805">
        <v>4.7637839999999896</v>
      </c>
      <c r="E3805">
        <v>0.53667310000000001</v>
      </c>
      <c r="F3805" t="s">
        <v>41</v>
      </c>
      <c r="G3805">
        <v>-217.0592</v>
      </c>
      <c r="H3805">
        <v>1.022681</v>
      </c>
      <c r="I3805">
        <v>139.2354</v>
      </c>
      <c r="J3805">
        <v>-216.41749999999999</v>
      </c>
      <c r="K3805">
        <v>1.1070879999999901</v>
      </c>
      <c r="L3805">
        <v>139.19110000000001</v>
      </c>
      <c r="M3805">
        <v>-0.98906240000000001</v>
      </c>
      <c r="N3805">
        <v>0</v>
      </c>
      <c r="O3805">
        <v>-0.14717769999999999</v>
      </c>
      <c r="P3805">
        <v>-0.99638400000000005</v>
      </c>
      <c r="Q3805">
        <v>3.654582E-2</v>
      </c>
      <c r="R3805">
        <v>-7.6704659999999994E-2</v>
      </c>
      <c r="S3805">
        <v>-3.0275120000000002</v>
      </c>
      <c r="T3805">
        <v>-0.29761900000000002</v>
      </c>
      <c r="U3805">
        <v>5.8319089999999997E-2</v>
      </c>
      <c r="V3805">
        <v>7.1089269999999996E-2</v>
      </c>
      <c r="W3805">
        <v>4.5754019999999999E-2</v>
      </c>
      <c r="X3805">
        <v>0.99641999999999997</v>
      </c>
      <c r="Y3805">
        <v>0.16470699999999999</v>
      </c>
      <c r="Z3805">
        <v>2.2473880000000002E-2</v>
      </c>
      <c r="AA3805">
        <v>0.98608649999999998</v>
      </c>
      <c r="AB3805">
        <v>21</v>
      </c>
      <c r="AC3805">
        <v>-0.64170000000001404</v>
      </c>
      <c r="AD3805">
        <v>-8.4406999999999899E-2</v>
      </c>
      <c r="AE3805">
        <v>4.4299999999992602E-2</v>
      </c>
      <c r="AF3805">
        <v>0.13592530745648099</v>
      </c>
      <c r="AG3805">
        <v>-8.4406999999999899E-2</v>
      </c>
      <c r="AH3805">
        <v>0.61755678671833103</v>
      </c>
      <c r="AI3805">
        <v>97.603117641850702</v>
      </c>
      <c r="AJ3805">
        <v>77.587022832997107</v>
      </c>
      <c r="AK3805">
        <v>0.63794718878446999</v>
      </c>
      <c r="AL3805">
        <v>87.3775721461746</v>
      </c>
      <c r="AM3805">
        <v>85.919165247975897</v>
      </c>
      <c r="AN3805">
        <v>0.99999996552764603</v>
      </c>
    </row>
    <row r="3806" spans="1:40" x14ac:dyDescent="0.25">
      <c r="A3806" t="str">
        <f>"20190312151349156"</f>
        <v>20190312151349156</v>
      </c>
      <c r="B3806" t="str">
        <f>"1552374829153807"</f>
        <v>1552374829153807</v>
      </c>
      <c r="C3806" t="s">
        <v>40</v>
      </c>
      <c r="D3806">
        <v>4.6972519999999998</v>
      </c>
      <c r="E3806">
        <v>0.53656090000000001</v>
      </c>
      <c r="F3806" t="s">
        <v>41</v>
      </c>
      <c r="G3806">
        <v>-217.251</v>
      </c>
      <c r="H3806">
        <v>1.0256430000000001</v>
      </c>
      <c r="I3806">
        <v>139.21029999999999</v>
      </c>
      <c r="J3806">
        <v>-216.62020000000001</v>
      </c>
      <c r="K3806">
        <v>1.107067</v>
      </c>
      <c r="L3806">
        <v>139.1661</v>
      </c>
      <c r="M3806">
        <v>-0.98971869999999995</v>
      </c>
      <c r="N3806">
        <v>0</v>
      </c>
      <c r="O3806">
        <v>-0.1427022</v>
      </c>
      <c r="P3806">
        <v>-0.99663170000000001</v>
      </c>
      <c r="Q3806">
        <v>3.612924E-2</v>
      </c>
      <c r="R3806">
        <v>-7.3621619999999999E-2</v>
      </c>
      <c r="S3806">
        <v>-3.027069</v>
      </c>
      <c r="T3806">
        <v>-0.29573110000000002</v>
      </c>
      <c r="U3806">
        <v>6.9274899999999903E-2</v>
      </c>
      <c r="V3806">
        <v>6.9664069999999995E-2</v>
      </c>
      <c r="W3806">
        <v>4.529101E-2</v>
      </c>
      <c r="X3806">
        <v>0.99654189999999998</v>
      </c>
      <c r="Y3806">
        <v>0.16385999999999901</v>
      </c>
      <c r="Z3806">
        <v>2.1861060000000002E-2</v>
      </c>
      <c r="AA3806">
        <v>0.98624129999999999</v>
      </c>
      <c r="AB3806">
        <v>21</v>
      </c>
      <c r="AC3806">
        <v>-0.63079999999996506</v>
      </c>
      <c r="AD3806">
        <v>-8.1423999999999899E-2</v>
      </c>
      <c r="AE3806">
        <v>4.4199999999989303E-2</v>
      </c>
      <c r="AF3806">
        <v>0.13158657792259601</v>
      </c>
      <c r="AG3806">
        <v>-8.1423999999999899E-2</v>
      </c>
      <c r="AH3806">
        <v>0.60795571533645698</v>
      </c>
      <c r="AI3806">
        <v>97.457603454875894</v>
      </c>
      <c r="AJ3806">
        <v>77.7872247398317</v>
      </c>
      <c r="AK3806">
        <v>0.62733965845914896</v>
      </c>
      <c r="AL3806">
        <v>87.404128437624394</v>
      </c>
      <c r="AM3806">
        <v>86.001197395822999</v>
      </c>
      <c r="AN3806">
        <v>1.0000000583456901</v>
      </c>
    </row>
    <row r="3807" spans="1:40" x14ac:dyDescent="0.25">
      <c r="A3807" t="str">
        <f>"20190312151349182"</f>
        <v>20190312151349182</v>
      </c>
      <c r="B3807" t="str">
        <f>"1552374829174304"</f>
        <v>1552374829174304</v>
      </c>
      <c r="C3807" t="s">
        <v>40</v>
      </c>
      <c r="D3807">
        <v>4.6454709999999997</v>
      </c>
      <c r="E3807">
        <v>0.53609329999999999</v>
      </c>
      <c r="F3807" t="s">
        <v>41</v>
      </c>
      <c r="G3807">
        <v>-217.44300000000001</v>
      </c>
      <c r="H3807">
        <v>1.027639</v>
      </c>
      <c r="I3807">
        <v>139.18719999999999</v>
      </c>
      <c r="J3807">
        <v>-216.8605</v>
      </c>
      <c r="K3807">
        <v>1.1070500000000001</v>
      </c>
      <c r="L3807">
        <v>139.1377</v>
      </c>
      <c r="M3807">
        <v>-0.99046880000000004</v>
      </c>
      <c r="N3807">
        <v>0</v>
      </c>
      <c r="O3807">
        <v>-0.13740260000000001</v>
      </c>
      <c r="P3807">
        <v>-0.99691870000000005</v>
      </c>
      <c r="Q3807">
        <v>3.5769080000000002E-2</v>
      </c>
      <c r="R3807">
        <v>-6.9812559999999996E-2</v>
      </c>
      <c r="S3807">
        <v>-3.0264129999999998</v>
      </c>
      <c r="T3807">
        <v>-0.2920682</v>
      </c>
      <c r="U3807">
        <v>7.7194209999999999E-2</v>
      </c>
      <c r="V3807">
        <v>6.8137980000000001E-2</v>
      </c>
      <c r="W3807">
        <v>4.4880400000000001E-2</v>
      </c>
      <c r="X3807">
        <v>0.99666589999999999</v>
      </c>
      <c r="Y3807">
        <v>0.1612362</v>
      </c>
      <c r="Z3807">
        <v>2.0963039999999999E-2</v>
      </c>
      <c r="AA3807">
        <v>0.98669320000000005</v>
      </c>
      <c r="AB3807">
        <v>21</v>
      </c>
      <c r="AC3807">
        <v>-0.58249999999998103</v>
      </c>
      <c r="AD3807">
        <v>-7.9411000000000107E-2</v>
      </c>
      <c r="AE3807">
        <v>4.9499999999994701E-2</v>
      </c>
      <c r="AF3807">
        <v>0.12673268534842799</v>
      </c>
      <c r="AG3807">
        <v>-7.9411000000000107E-2</v>
      </c>
      <c r="AH3807">
        <v>0.55984265628454999</v>
      </c>
      <c r="AI3807">
        <v>97.876576747495093</v>
      </c>
      <c r="AJ3807">
        <v>77.244818180926302</v>
      </c>
      <c r="AK3807">
        <v>0.57947483142269895</v>
      </c>
      <c r="AL3807">
        <v>87.4276783906259</v>
      </c>
      <c r="AM3807">
        <v>86.089007009021401</v>
      </c>
      <c r="AN3807">
        <v>0.99999997542272401</v>
      </c>
    </row>
    <row r="3808" spans="1:40" x14ac:dyDescent="0.25">
      <c r="A3808" t="str">
        <f>"20190312151349203"</f>
        <v>20190312151349203</v>
      </c>
      <c r="B3808" t="str">
        <f>"1552374829193823"</f>
        <v>1552374829193823</v>
      </c>
      <c r="C3808" t="s">
        <v>40</v>
      </c>
      <c r="D3808">
        <v>4.6953750000000003</v>
      </c>
      <c r="E3808">
        <v>0.53599289999999999</v>
      </c>
      <c r="F3808" t="s">
        <v>41</v>
      </c>
      <c r="G3808">
        <v>-217.63579999999999</v>
      </c>
      <c r="H3808">
        <v>1.031784</v>
      </c>
      <c r="I3808">
        <v>139.15960000000001</v>
      </c>
      <c r="J3808">
        <v>-217.07210000000001</v>
      </c>
      <c r="K3808">
        <v>1.1070310000000001</v>
      </c>
      <c r="L3808">
        <v>139.1138</v>
      </c>
      <c r="M3808">
        <v>-0.9911046</v>
      </c>
      <c r="N3808">
        <v>0</v>
      </c>
      <c r="O3808">
        <v>-0.132743</v>
      </c>
      <c r="P3808">
        <v>-0.99715640000000005</v>
      </c>
      <c r="Q3808">
        <v>3.5521320000000002E-2</v>
      </c>
      <c r="R3808">
        <v>-6.6463519999999998E-2</v>
      </c>
      <c r="S3808">
        <v>-3.0257260000000001</v>
      </c>
      <c r="T3808">
        <v>-0.2935256</v>
      </c>
      <c r="U3808">
        <v>8.4457400000000002E-2</v>
      </c>
      <c r="V3808">
        <v>6.6798360000000001E-2</v>
      </c>
      <c r="W3808">
        <v>4.4596009999999998E-2</v>
      </c>
      <c r="X3808">
        <v>0.99676940000000003</v>
      </c>
      <c r="Y3808">
        <v>0.15898570000000001</v>
      </c>
      <c r="Z3808">
        <v>2.051472E-2</v>
      </c>
      <c r="AA3808">
        <v>0.98706769999999999</v>
      </c>
      <c r="AB3808">
        <v>21</v>
      </c>
      <c r="AC3808">
        <v>-0.56369999999998299</v>
      </c>
      <c r="AD3808">
        <v>-7.52469999999998E-2</v>
      </c>
      <c r="AE3808">
        <v>4.5800000000014003E-2</v>
      </c>
      <c r="AF3808">
        <v>0.118134067160093</v>
      </c>
      <c r="AG3808">
        <v>-7.52469999999998E-2</v>
      </c>
      <c r="AH3808">
        <v>0.54301860049527295</v>
      </c>
      <c r="AI3808">
        <v>97.711207280204107</v>
      </c>
      <c r="AJ3808">
        <v>77.726506944074202</v>
      </c>
      <c r="AK3808">
        <v>0.56079137771245202</v>
      </c>
      <c r="AL3808">
        <v>87.443989210835298</v>
      </c>
      <c r="AM3808">
        <v>86.166063994041593</v>
      </c>
      <c r="AN3808">
        <v>1.00000003089148</v>
      </c>
    </row>
    <row r="3809" spans="1:40" x14ac:dyDescent="0.25">
      <c r="A3809" t="str">
        <f>"20190312151349227"</f>
        <v>20190312151349227</v>
      </c>
      <c r="B3809" t="str">
        <f>"1552374829214321"</f>
        <v>1552374829214321</v>
      </c>
      <c r="C3809" t="s">
        <v>40</v>
      </c>
      <c r="D3809">
        <v>4.7435780000000003</v>
      </c>
      <c r="E3809">
        <v>0.53575319999999904</v>
      </c>
      <c r="F3809" t="s">
        <v>41</v>
      </c>
      <c r="G3809">
        <v>-217.82900000000001</v>
      </c>
      <c r="H3809">
        <v>1.033925</v>
      </c>
      <c r="I3809">
        <v>139.1371</v>
      </c>
      <c r="J3809">
        <v>-217.2927</v>
      </c>
      <c r="K3809">
        <v>1.107013</v>
      </c>
      <c r="L3809">
        <v>139.0899</v>
      </c>
      <c r="M3809">
        <v>-0.99174359999999995</v>
      </c>
      <c r="N3809">
        <v>0</v>
      </c>
      <c r="O3809">
        <v>-0.12788559999999999</v>
      </c>
      <c r="P3809">
        <v>-0.9973649</v>
      </c>
      <c r="Q3809">
        <v>3.5206649999999999E-2</v>
      </c>
      <c r="R3809">
        <v>-6.343464E-2</v>
      </c>
      <c r="S3809">
        <v>-3.0251920000000001</v>
      </c>
      <c r="T3809">
        <v>-0.29219830000000002</v>
      </c>
      <c r="U3809">
        <v>9.3429570000000003E-2</v>
      </c>
      <c r="V3809">
        <v>6.4941559999999995E-2</v>
      </c>
      <c r="W3809">
        <v>4.4246830000000001E-2</v>
      </c>
      <c r="X3809">
        <v>0.99690769999999995</v>
      </c>
      <c r="Y3809">
        <v>0.15712200000000001</v>
      </c>
      <c r="Z3809">
        <v>1.9870499999999999E-2</v>
      </c>
      <c r="AA3809">
        <v>0.98737929999999996</v>
      </c>
      <c r="AB3809">
        <v>21</v>
      </c>
      <c r="AC3809">
        <v>-0.53630000000001099</v>
      </c>
      <c r="AD3809">
        <v>-7.3088E-2</v>
      </c>
      <c r="AE3809">
        <v>4.72000000000036E-2</v>
      </c>
      <c r="AF3809">
        <v>0.113312188213544</v>
      </c>
      <c r="AG3809">
        <v>-7.3088E-2</v>
      </c>
      <c r="AH3809">
        <v>0.51634331957899304</v>
      </c>
      <c r="AI3809">
        <v>97.871762555165901</v>
      </c>
      <c r="AJ3809">
        <v>77.622574349789701</v>
      </c>
      <c r="AK3809">
        <v>0.53365900293688995</v>
      </c>
      <c r="AL3809">
        <v>87.464015631513107</v>
      </c>
      <c r="AM3809">
        <v>86.272847179751594</v>
      </c>
      <c r="AN3809">
        <v>1.00000007524978</v>
      </c>
    </row>
    <row r="3810" spans="1:40" x14ac:dyDescent="0.25">
      <c r="A3810" t="str">
        <f>"20190312151349247"</f>
        <v>20190312151349247</v>
      </c>
      <c r="B3810" t="str">
        <f>"1552374829243601"</f>
        <v>1552374829243601</v>
      </c>
      <c r="C3810" t="s">
        <v>40</v>
      </c>
      <c r="D3810">
        <v>4.7084299999999999</v>
      </c>
      <c r="E3810">
        <v>0.53540089999999996</v>
      </c>
      <c r="F3810" t="s">
        <v>41</v>
      </c>
      <c r="G3810">
        <v>-218.21080000000001</v>
      </c>
      <c r="H3810">
        <v>1.018354</v>
      </c>
      <c r="I3810">
        <v>139.12039999999999</v>
      </c>
      <c r="J3810">
        <v>-217.49690000000001</v>
      </c>
      <c r="K3810">
        <v>1.106992</v>
      </c>
      <c r="L3810">
        <v>139.06880000000001</v>
      </c>
      <c r="M3810">
        <v>-0.99231290000000005</v>
      </c>
      <c r="N3810">
        <v>0</v>
      </c>
      <c r="O3810">
        <v>-0.12339310000000001</v>
      </c>
      <c r="P3810">
        <v>-0.99755470000000002</v>
      </c>
      <c r="Q3810">
        <v>3.5203619999999998E-2</v>
      </c>
      <c r="R3810">
        <v>-6.0382980000000003E-2</v>
      </c>
      <c r="S3810">
        <v>-3.0246279999999999</v>
      </c>
      <c r="T3810">
        <v>-0.2920393</v>
      </c>
      <c r="U3810">
        <v>0.10038759999999999</v>
      </c>
      <c r="V3810">
        <v>6.3477580000000006E-2</v>
      </c>
      <c r="W3810">
        <v>4.4209680000000001E-2</v>
      </c>
      <c r="X3810">
        <v>0.99700359999999999</v>
      </c>
      <c r="Y3810">
        <v>0.15495680000000001</v>
      </c>
      <c r="Z3810">
        <v>1.9328390000000001E-2</v>
      </c>
      <c r="AA3810">
        <v>0.98773219999999995</v>
      </c>
      <c r="AB3810">
        <v>22</v>
      </c>
      <c r="AC3810">
        <v>-0.71389999999999498</v>
      </c>
      <c r="AD3810">
        <v>-8.8637999999999995E-2</v>
      </c>
      <c r="AE3810">
        <v>5.1599999999979197E-2</v>
      </c>
      <c r="AF3810">
        <v>0.137195907875867</v>
      </c>
      <c r="AG3810">
        <v>-8.8637999999999995E-2</v>
      </c>
      <c r="AH3810">
        <v>0.69147225066532303</v>
      </c>
      <c r="AI3810">
        <v>97.166551159204005</v>
      </c>
      <c r="AJ3810">
        <v>78.777619042261506</v>
      </c>
      <c r="AK3810">
        <v>0.71050213625438896</v>
      </c>
      <c r="AL3810">
        <v>87.466146161782703</v>
      </c>
      <c r="AM3810">
        <v>86.356989119355902</v>
      </c>
      <c r="AN3810">
        <v>1.00000003869065</v>
      </c>
    </row>
    <row r="3811" spans="1:40" x14ac:dyDescent="0.25">
      <c r="A3811" t="str">
        <f>"20190312151349269"</f>
        <v>20190312151349269</v>
      </c>
      <c r="B3811" t="str">
        <f>"1552374829264095"</f>
        <v>1552374829264095</v>
      </c>
      <c r="C3811" t="s">
        <v>40</v>
      </c>
      <c r="D3811">
        <v>4.66669</v>
      </c>
      <c r="E3811">
        <v>0.53546459999999996</v>
      </c>
      <c r="F3811" t="s">
        <v>41</v>
      </c>
      <c r="G3811">
        <v>-218.4051</v>
      </c>
      <c r="H3811">
        <v>1.0197179999999999</v>
      </c>
      <c r="I3811">
        <v>139.10079999999999</v>
      </c>
      <c r="J3811">
        <v>-217.7139</v>
      </c>
      <c r="K3811">
        <v>1.106975</v>
      </c>
      <c r="L3811">
        <v>139.04740000000001</v>
      </c>
      <c r="M3811">
        <v>-0.99289499999999997</v>
      </c>
      <c r="N3811">
        <v>0</v>
      </c>
      <c r="O3811">
        <v>-0.1186202</v>
      </c>
      <c r="P3811">
        <v>-0.99771860000000001</v>
      </c>
      <c r="Q3811">
        <v>3.5904739999999997E-2</v>
      </c>
      <c r="R3811">
        <v>-5.7170970000000002E-2</v>
      </c>
      <c r="S3811">
        <v>-3.0240480000000001</v>
      </c>
      <c r="T3811">
        <v>-0.29058230000000002</v>
      </c>
      <c r="U3811">
        <v>0.1065826</v>
      </c>
      <c r="V3811">
        <v>6.189538E-2</v>
      </c>
      <c r="W3811">
        <v>4.487849E-2</v>
      </c>
      <c r="X3811">
        <v>0.99707319999999999</v>
      </c>
      <c r="Y3811">
        <v>0.15228069999999999</v>
      </c>
      <c r="Z3811">
        <v>1.8652129999999999E-2</v>
      </c>
      <c r="AA3811">
        <v>0.98816130000000002</v>
      </c>
      <c r="AB3811">
        <v>22</v>
      </c>
      <c r="AC3811">
        <v>-0.69120000000000903</v>
      </c>
      <c r="AD3811">
        <v>-8.7256999999999904E-2</v>
      </c>
      <c r="AE3811">
        <v>5.3399999999982101E-2</v>
      </c>
      <c r="AF3811">
        <v>0.13291129374932401</v>
      </c>
      <c r="AG3811">
        <v>-8.7256999999999904E-2</v>
      </c>
      <c r="AH3811">
        <v>0.66938059185515897</v>
      </c>
      <c r="AI3811">
        <v>97.286233880822294</v>
      </c>
      <c r="AJ3811">
        <v>78.769497546320906</v>
      </c>
      <c r="AK3811">
        <v>0.68800404999351705</v>
      </c>
      <c r="AL3811">
        <v>87.427788106136902</v>
      </c>
      <c r="AM3811">
        <v>86.447804236919396</v>
      </c>
      <c r="AN3811">
        <v>1.0000000415441299</v>
      </c>
    </row>
    <row r="3812" spans="1:40" x14ac:dyDescent="0.25">
      <c r="A3812" t="str">
        <f>"20190312151349292"</f>
        <v>20190312151349292</v>
      </c>
      <c r="B3812" t="str">
        <f>"1552374829283616"</f>
        <v>1552374829283616</v>
      </c>
      <c r="C3812" t="s">
        <v>40</v>
      </c>
      <c r="D3812">
        <v>4.6336259999999996</v>
      </c>
      <c r="E3812">
        <v>0.53575919999999999</v>
      </c>
      <c r="F3812" t="s">
        <v>41</v>
      </c>
      <c r="G3812">
        <v>-218.60120000000001</v>
      </c>
      <c r="H3812">
        <v>1.023717</v>
      </c>
      <c r="I3812">
        <v>139.08160000000001</v>
      </c>
      <c r="J3812">
        <v>-217.93340000000001</v>
      </c>
      <c r="K3812">
        <v>1.1069610000000001</v>
      </c>
      <c r="L3812">
        <v>139.02670000000001</v>
      </c>
      <c r="M3812">
        <v>-0.99346020000000002</v>
      </c>
      <c r="N3812">
        <v>0</v>
      </c>
      <c r="O3812">
        <v>-0.11379259999999999</v>
      </c>
      <c r="P3812">
        <v>-0.99785440000000003</v>
      </c>
      <c r="Q3812">
        <v>3.6834110000000003E-2</v>
      </c>
      <c r="R3812">
        <v>-5.4124310000000002E-2</v>
      </c>
      <c r="S3812">
        <v>-3.0237430000000001</v>
      </c>
      <c r="T3812">
        <v>-0.28368569999999999</v>
      </c>
      <c r="U3812">
        <v>0.1165009</v>
      </c>
      <c r="V3812">
        <v>6.0095849999999999E-2</v>
      </c>
      <c r="W3812">
        <v>4.5780700000000001E-2</v>
      </c>
      <c r="X3812">
        <v>0.99714219999999998</v>
      </c>
      <c r="Y3812">
        <v>0.150803399999999</v>
      </c>
      <c r="Z3812">
        <v>1.7693589999999999E-2</v>
      </c>
      <c r="AA3812">
        <v>0.98840539999999999</v>
      </c>
      <c r="AB3812">
        <v>22</v>
      </c>
      <c r="AC3812">
        <v>-0.66779999999999895</v>
      </c>
      <c r="AD3812">
        <v>-8.3244000000000096E-2</v>
      </c>
      <c r="AE3812">
        <v>5.4900000000003502E-2</v>
      </c>
      <c r="AF3812">
        <v>0.12855327842627801</v>
      </c>
      <c r="AG3812">
        <v>-8.3244000000000096E-2</v>
      </c>
      <c r="AH3812">
        <v>0.64722496790850603</v>
      </c>
      <c r="AI3812">
        <v>97.190022097524107</v>
      </c>
      <c r="AJ3812">
        <v>78.7659908137922</v>
      </c>
      <c r="AK3812">
        <v>0.66509823937093004</v>
      </c>
      <c r="AL3812">
        <v>87.376041917001103</v>
      </c>
      <c r="AM3812">
        <v>86.551064891925606</v>
      </c>
      <c r="AN3812">
        <v>0.99999997535027496</v>
      </c>
    </row>
    <row r="3813" spans="1:40" x14ac:dyDescent="0.25">
      <c r="A3813" t="str">
        <f>"20190312151349313"</f>
        <v>20190312151349313</v>
      </c>
      <c r="B3813" t="str">
        <f>"1552374829304111"</f>
        <v>1552374829304111</v>
      </c>
      <c r="C3813" t="s">
        <v>40</v>
      </c>
      <c r="D3813">
        <v>4.7209149999999998</v>
      </c>
      <c r="E3813">
        <v>0.54468349999999999</v>
      </c>
      <c r="F3813" t="s">
        <v>41</v>
      </c>
      <c r="G3813">
        <v>-218.79839999999999</v>
      </c>
      <c r="H3813">
        <v>1.0287299999999999</v>
      </c>
      <c r="I3813">
        <v>139.06360000000001</v>
      </c>
      <c r="J3813">
        <v>-218.1414</v>
      </c>
      <c r="K3813">
        <v>1.1069450000000001</v>
      </c>
      <c r="L3813">
        <v>139.00819999999999</v>
      </c>
      <c r="M3813">
        <v>-0.99397329999999995</v>
      </c>
      <c r="N3813">
        <v>0</v>
      </c>
      <c r="O3813">
        <v>-0.1092234</v>
      </c>
      <c r="P3813">
        <v>-0.99798279999999995</v>
      </c>
      <c r="Q3813">
        <v>3.7001439999999997E-2</v>
      </c>
      <c r="R3813">
        <v>-5.1586640000000003E-2</v>
      </c>
      <c r="S3813">
        <v>-3.0234679999999998</v>
      </c>
      <c r="T3813">
        <v>-0.27313419999999999</v>
      </c>
      <c r="U3813">
        <v>0.12792970000000001</v>
      </c>
      <c r="V3813">
        <v>5.804724E-2</v>
      </c>
      <c r="W3813">
        <v>4.5925500000000001E-2</v>
      </c>
      <c r="X3813">
        <v>0.9972569</v>
      </c>
      <c r="Y3813">
        <v>0.15009800000000001</v>
      </c>
      <c r="Z3813">
        <v>1.6596909999999999E-2</v>
      </c>
      <c r="AA3813">
        <v>0.98853179999999996</v>
      </c>
      <c r="AB3813">
        <v>22</v>
      </c>
      <c r="AC3813">
        <v>-0.65699999999998204</v>
      </c>
      <c r="AD3813">
        <v>-7.8215000000000104E-2</v>
      </c>
      <c r="AE3813">
        <v>5.54000000000201E-2</v>
      </c>
      <c r="AF3813">
        <v>0.12507136166546201</v>
      </c>
      <c r="AG3813">
        <v>-7.8215000000000104E-2</v>
      </c>
      <c r="AH3813">
        <v>0.63803890922192597</v>
      </c>
      <c r="AI3813">
        <v>96.859554073453594</v>
      </c>
      <c r="AJ3813">
        <v>78.909243704452805</v>
      </c>
      <c r="AK3813">
        <v>0.65486951480043598</v>
      </c>
      <c r="AL3813">
        <v>87.3677367623919</v>
      </c>
      <c r="AM3813">
        <v>86.66874861849</v>
      </c>
      <c r="AN3813">
        <v>0.99999997910973804</v>
      </c>
    </row>
    <row r="3814" spans="1:40" x14ac:dyDescent="0.25">
      <c r="A3814" t="str">
        <f>"20190312151349428"</f>
        <v>20190312151349428</v>
      </c>
      <c r="B3814" t="str">
        <f>"1552374829424161"</f>
        <v>1552374829424161</v>
      </c>
      <c r="C3814" t="s">
        <v>40</v>
      </c>
      <c r="D3814">
        <v>6.066001</v>
      </c>
      <c r="E3814">
        <v>0.54536830000000003</v>
      </c>
      <c r="F3814" t="s">
        <v>42</v>
      </c>
      <c r="G3814">
        <v>-247.15889999999999</v>
      </c>
      <c r="H3814" s="1">
        <v>-1.56121E-6</v>
      </c>
      <c r="I3814">
        <v>140.96950000000001</v>
      </c>
      <c r="J3814">
        <v>-219.26949999999999</v>
      </c>
      <c r="K3814">
        <v>1.1069279999999999</v>
      </c>
      <c r="L3814">
        <v>138.9238</v>
      </c>
      <c r="M3814">
        <v>-0.9963649</v>
      </c>
      <c r="N3814">
        <v>0</v>
      </c>
      <c r="O3814">
        <v>-8.4690379999999996E-2</v>
      </c>
      <c r="P3814">
        <v>-0.99840180000000001</v>
      </c>
      <c r="Q3814">
        <v>3.8955129999999998E-2</v>
      </c>
      <c r="R3814">
        <v>-4.0944139999999997E-2</v>
      </c>
      <c r="S3814">
        <v>-3.020905</v>
      </c>
      <c r="T3814">
        <v>-0.1152403</v>
      </c>
      <c r="U3814">
        <v>0.20419309999999999</v>
      </c>
      <c r="V3814">
        <v>4.4092140000000002E-2</v>
      </c>
      <c r="W3814">
        <v>4.7820750000000002E-2</v>
      </c>
      <c r="X3814">
        <v>0.9978823</v>
      </c>
      <c r="Y3814">
        <v>0.1515272</v>
      </c>
      <c r="Z3814">
        <v>6.1112880000000003E-3</v>
      </c>
      <c r="AA3814">
        <v>0.98843419999999904</v>
      </c>
      <c r="AB3814">
        <v>22</v>
      </c>
      <c r="AC3814">
        <v>-27.889399999999899</v>
      </c>
      <c r="AD3814">
        <v>-1.1069295612100001</v>
      </c>
      <c r="AE3814">
        <v>2.0457000000000098</v>
      </c>
      <c r="AF3814">
        <v>4.39352947505032</v>
      </c>
      <c r="AG3814">
        <v>-1.1069295612100001</v>
      </c>
      <c r="AH3814">
        <v>27.572732564763001</v>
      </c>
      <c r="AI3814">
        <v>92.270339621090997</v>
      </c>
      <c r="AJ3814">
        <v>80.946415248349396</v>
      </c>
      <c r="AK3814">
        <v>27.942511973506601</v>
      </c>
      <c r="AL3814">
        <v>87.259027522253803</v>
      </c>
      <c r="AM3814">
        <v>87.469990837234803</v>
      </c>
      <c r="AN3814">
        <v>1.0000000127968101</v>
      </c>
    </row>
    <row r="3815" spans="1:40" x14ac:dyDescent="0.25">
      <c r="A3815" t="str">
        <f>"20190312151349448"</f>
        <v>20190312151349448</v>
      </c>
      <c r="B3815" t="str">
        <f>"1552374829444656"</f>
        <v>1552374829444656</v>
      </c>
      <c r="C3815" t="s">
        <v>40</v>
      </c>
      <c r="D3815">
        <v>4.6989419999999997</v>
      </c>
      <c r="E3815">
        <v>0.542608599999999</v>
      </c>
      <c r="F3815" t="s">
        <v>42</v>
      </c>
      <c r="G3815">
        <v>-254.68010000000001</v>
      </c>
      <c r="H3815" s="1">
        <v>-2.8331110000000001E-6</v>
      </c>
      <c r="I3815">
        <v>141.75309999999999</v>
      </c>
      <c r="J3815">
        <v>-219.47290000000001</v>
      </c>
      <c r="K3815">
        <v>1.1069329999999999</v>
      </c>
      <c r="L3815">
        <v>138.91139999999999</v>
      </c>
      <c r="M3815">
        <v>-0.99672340000000004</v>
      </c>
      <c r="N3815">
        <v>0</v>
      </c>
      <c r="O3815">
        <v>-8.0365870000000006E-2</v>
      </c>
      <c r="P3815">
        <v>-0.99843970000000004</v>
      </c>
      <c r="Q3815">
        <v>3.9294570000000001E-2</v>
      </c>
      <c r="R3815">
        <v>-3.967975E-2</v>
      </c>
      <c r="S3815">
        <v>-3.0183559999999998</v>
      </c>
      <c r="T3815">
        <v>-9.4353560000000003E-2</v>
      </c>
      <c r="U3815">
        <v>0.24118039999999999</v>
      </c>
      <c r="V3815">
        <v>4.1023360000000002E-2</v>
      </c>
      <c r="W3815">
        <v>4.815796E-2</v>
      </c>
      <c r="X3815">
        <v>0.99799689999999996</v>
      </c>
      <c r="Y3815">
        <v>0.15939039999999999</v>
      </c>
      <c r="Z3815">
        <v>4.9944070000000002E-3</v>
      </c>
      <c r="AA3815">
        <v>0.98720300000000005</v>
      </c>
      <c r="AB3815">
        <v>22</v>
      </c>
      <c r="AC3815">
        <v>-35.2072</v>
      </c>
      <c r="AD3815">
        <v>-1.106935833111</v>
      </c>
      <c r="AE3815">
        <v>2.8416999999999999</v>
      </c>
      <c r="AF3815">
        <v>5.6565280102765696</v>
      </c>
      <c r="AG3815">
        <v>-1.106935833111</v>
      </c>
      <c r="AH3815">
        <v>34.830717379527201</v>
      </c>
      <c r="AI3815">
        <v>91.796749184984293</v>
      </c>
      <c r="AJ3815">
        <v>80.775664752920306</v>
      </c>
      <c r="AK3815">
        <v>35.304397590699203</v>
      </c>
      <c r="AL3815">
        <v>87.239684377330306</v>
      </c>
      <c r="AM3815">
        <v>87.646142100884404</v>
      </c>
      <c r="AN3815">
        <v>0.99999995879332904</v>
      </c>
    </row>
    <row r="3816" spans="1:40" x14ac:dyDescent="0.25">
      <c r="A3816" t="str">
        <f>"20190312151349471"</f>
        <v>20190312151349471</v>
      </c>
      <c r="B3816" t="str">
        <f>"1552374829464177"</f>
        <v>1552374829464177</v>
      </c>
      <c r="C3816" t="s">
        <v>40</v>
      </c>
      <c r="D3816">
        <v>4.7156250000000002</v>
      </c>
      <c r="E3816">
        <v>0.54149749999999996</v>
      </c>
      <c r="F3816" t="s">
        <v>42</v>
      </c>
      <c r="G3816">
        <v>-266.8304</v>
      </c>
      <c r="H3816" s="1">
        <v>-2.0844100000000002E-6</v>
      </c>
      <c r="I3816">
        <v>142.40620000000001</v>
      </c>
      <c r="J3816">
        <v>-219.7056</v>
      </c>
      <c r="K3816">
        <v>1.1069469999999999</v>
      </c>
      <c r="L3816">
        <v>138.89830000000001</v>
      </c>
      <c r="M3816">
        <v>-0.99710639999999995</v>
      </c>
      <c r="N3816">
        <v>0</v>
      </c>
      <c r="O3816">
        <v>-7.5468090000000002E-2</v>
      </c>
      <c r="P3816">
        <v>-0.99849370000000004</v>
      </c>
      <c r="Q3816">
        <v>3.933851E-2</v>
      </c>
      <c r="R3816">
        <v>-3.8245040000000001E-2</v>
      </c>
      <c r="S3816">
        <v>-3.0162960000000001</v>
      </c>
      <c r="T3816">
        <v>-7.0502999999999996E-2</v>
      </c>
      <c r="U3816">
        <v>0.22259519999999999</v>
      </c>
      <c r="V3816">
        <v>3.7550159999999999E-2</v>
      </c>
      <c r="W3816">
        <v>4.8197959999999998E-2</v>
      </c>
      <c r="X3816">
        <v>0.99813180000000001</v>
      </c>
      <c r="Y3816">
        <v>0.14859310000000001</v>
      </c>
      <c r="Z3816">
        <v>3.4954159999999999E-3</v>
      </c>
      <c r="AA3816">
        <v>0.98889229999999995</v>
      </c>
      <c r="AB3816">
        <v>22</v>
      </c>
      <c r="AC3816">
        <v>-47.124799999999901</v>
      </c>
      <c r="AD3816">
        <v>-1.1069490844099901</v>
      </c>
      <c r="AE3816">
        <v>3.5078999999999998</v>
      </c>
      <c r="AF3816">
        <v>7.0505934940166801</v>
      </c>
      <c r="AG3816">
        <v>-1.1069490844099901</v>
      </c>
      <c r="AH3816">
        <v>46.700027965003699</v>
      </c>
      <c r="AI3816">
        <v>91.342640011765397</v>
      </c>
      <c r="AJ3816">
        <v>81.414540001802095</v>
      </c>
      <c r="AK3816">
        <v>47.242235518923898</v>
      </c>
      <c r="AL3816">
        <v>87.237390200179703</v>
      </c>
      <c r="AM3816">
        <v>87.8455234459677</v>
      </c>
      <c r="AN3816">
        <v>1.00000007401771</v>
      </c>
    </row>
    <row r="3817" spans="1:40" x14ac:dyDescent="0.25">
      <c r="A3817" t="str">
        <f>"20190312151349492"</f>
        <v>20190312151349492</v>
      </c>
      <c r="B3817" t="str">
        <f>"1552374829484672"</f>
        <v>1552374829484672</v>
      </c>
      <c r="C3817" t="s">
        <v>40</v>
      </c>
      <c r="D3817">
        <v>4.9362159999999999</v>
      </c>
      <c r="E3817">
        <v>0.54128339999999997</v>
      </c>
      <c r="F3817" t="s">
        <v>42</v>
      </c>
      <c r="G3817">
        <v>-267.29360000000003</v>
      </c>
      <c r="H3817" s="1">
        <v>-1.868424E-6</v>
      </c>
      <c r="I3817">
        <v>142.34129999999999</v>
      </c>
      <c r="J3817">
        <v>-219.91640000000001</v>
      </c>
      <c r="K3817">
        <v>1.106965</v>
      </c>
      <c r="L3817">
        <v>138.88740000000001</v>
      </c>
      <c r="M3817">
        <v>-0.9974288</v>
      </c>
      <c r="N3817">
        <v>0</v>
      </c>
      <c r="O3817">
        <v>-7.1084939999999999E-2</v>
      </c>
      <c r="P3817">
        <v>-0.99851540000000005</v>
      </c>
      <c r="Q3817">
        <v>4.0137390000000002E-2</v>
      </c>
      <c r="R3817">
        <v>-3.6823880000000003E-2</v>
      </c>
      <c r="S3817">
        <v>-3.0156559999999999</v>
      </c>
      <c r="T3817">
        <v>-7.0147509999999996E-2</v>
      </c>
      <c r="U3817">
        <v>0.2181854</v>
      </c>
      <c r="V3817">
        <v>3.4582990000000001E-2</v>
      </c>
      <c r="W3817">
        <v>4.8991439999999997E-2</v>
      </c>
      <c r="X3817">
        <v>0.99820030000000004</v>
      </c>
      <c r="Y3817">
        <v>0.1428247</v>
      </c>
      <c r="Z3817">
        <v>3.3099570000000001E-3</v>
      </c>
      <c r="AA3817">
        <v>0.98974249999999997</v>
      </c>
      <c r="AB3817">
        <v>22</v>
      </c>
      <c r="AC3817">
        <v>-47.377200000000002</v>
      </c>
      <c r="AD3817">
        <v>-1.1069668684239999</v>
      </c>
      <c r="AE3817">
        <v>3.4538999999999702</v>
      </c>
      <c r="AF3817">
        <v>6.8094087959970997</v>
      </c>
      <c r="AG3817">
        <v>-1.1069668684239999</v>
      </c>
      <c r="AH3817">
        <v>46.986292686562898</v>
      </c>
      <c r="AI3817">
        <v>91.335653901554593</v>
      </c>
      <c r="AJ3817">
        <v>81.753916665757302</v>
      </c>
      <c r="AK3817">
        <v>47.4900528976979</v>
      </c>
      <c r="AL3817">
        <v>87.191873141247001</v>
      </c>
      <c r="AM3817">
        <v>88.0157618078008</v>
      </c>
      <c r="AN3817">
        <v>0.99999999165535103</v>
      </c>
    </row>
    <row r="3818" spans="1:40" x14ac:dyDescent="0.25">
      <c r="A3818" t="str">
        <f>"20190312151349514"</f>
        <v>20190312151349514</v>
      </c>
      <c r="B3818" t="str">
        <f>"1552374829504192"</f>
        <v>1552374829504192</v>
      </c>
      <c r="C3818" t="s">
        <v>40</v>
      </c>
      <c r="D3818">
        <v>4.6882419999999998</v>
      </c>
      <c r="E3818">
        <v>0.53989419999999899</v>
      </c>
      <c r="F3818" t="s">
        <v>42</v>
      </c>
      <c r="G3818">
        <v>-267.33440000000002</v>
      </c>
      <c r="H3818" s="1">
        <v>-1.855866E-6</v>
      </c>
      <c r="I3818">
        <v>142.35980000000001</v>
      </c>
      <c r="J3818">
        <v>-220.13679999999999</v>
      </c>
      <c r="K3818">
        <v>1.1069850000000001</v>
      </c>
      <c r="L3818">
        <v>138.8768</v>
      </c>
      <c r="M3818">
        <v>-0.99774050000000003</v>
      </c>
      <c r="N3818">
        <v>0</v>
      </c>
      <c r="O3818">
        <v>-6.6570199999999996E-2</v>
      </c>
      <c r="P3818">
        <v>-0.99858040000000003</v>
      </c>
      <c r="Q3818">
        <v>4.055516E-2</v>
      </c>
      <c r="R3818">
        <v>-3.4535610000000001E-2</v>
      </c>
      <c r="S3818">
        <v>-3.0154109999999998</v>
      </c>
      <c r="T3818">
        <v>-7.0394399999999996E-2</v>
      </c>
      <c r="U3818">
        <v>0.2208252</v>
      </c>
      <c r="V3818">
        <v>3.2349919999999997E-2</v>
      </c>
      <c r="W3818">
        <v>4.9396259999999997E-2</v>
      </c>
      <c r="X3818">
        <v>0.99825529999999996</v>
      </c>
      <c r="Y3818">
        <v>0.1392139</v>
      </c>
      <c r="Z3818">
        <v>3.1745050000000002E-3</v>
      </c>
      <c r="AA3818">
        <v>0.99025730000000001</v>
      </c>
      <c r="AB3818">
        <v>22</v>
      </c>
      <c r="AC3818">
        <v>-47.197600000000001</v>
      </c>
      <c r="AD3818">
        <v>-1.1069868558660001</v>
      </c>
      <c r="AE3818">
        <v>3.4830000000000001</v>
      </c>
      <c r="AF3818">
        <v>6.6137376132953296</v>
      </c>
      <c r="AG3818">
        <v>-1.1069868558660001</v>
      </c>
      <c r="AH3818">
        <v>46.835396653075698</v>
      </c>
      <c r="AI3818">
        <v>91.340676850387396</v>
      </c>
      <c r="AJ3818">
        <v>81.962272306668694</v>
      </c>
      <c r="AK3818">
        <v>47.313014327640403</v>
      </c>
      <c r="AL3818">
        <v>87.168650785391094</v>
      </c>
      <c r="AM3818">
        <v>88.143896203806193</v>
      </c>
      <c r="AN3818">
        <v>1.00000007590203</v>
      </c>
    </row>
    <row r="3819" spans="1:40" x14ac:dyDescent="0.25">
      <c r="A3819" t="str">
        <f>"20190312151349537"</f>
        <v>20190312151349537</v>
      </c>
      <c r="B3819" t="str">
        <f>"1552374829534448"</f>
        <v>1552374829534448</v>
      </c>
      <c r="C3819" t="s">
        <v>40</v>
      </c>
      <c r="D3819">
        <v>4.7365510000000004</v>
      </c>
      <c r="E3819">
        <v>0.53853300000000004</v>
      </c>
      <c r="F3819" t="s">
        <v>42</v>
      </c>
      <c r="G3819">
        <v>-264.19290000000001</v>
      </c>
      <c r="H3819" s="1">
        <v>-3.1182780000000001E-6</v>
      </c>
      <c r="I3819">
        <v>142.0393</v>
      </c>
      <c r="J3819">
        <v>-220.36670000000001</v>
      </c>
      <c r="K3819">
        <v>1.107027</v>
      </c>
      <c r="L3819">
        <v>138.86680000000001</v>
      </c>
      <c r="M3819">
        <v>-0.99803810000000004</v>
      </c>
      <c r="N3819">
        <v>0</v>
      </c>
      <c r="O3819">
        <v>-6.1955709999999997E-2</v>
      </c>
      <c r="P3819">
        <v>-0.99866699999999997</v>
      </c>
      <c r="Q3819">
        <v>4.0135299999999999E-2</v>
      </c>
      <c r="R3819">
        <v>-3.2459300000000003E-2</v>
      </c>
      <c r="S3819">
        <v>-3.0148320000000002</v>
      </c>
      <c r="T3819">
        <v>-7.5753210000000001E-2</v>
      </c>
      <c r="U3819">
        <v>0.21641540000000001</v>
      </c>
      <c r="V3819">
        <v>2.9801279999999999E-2</v>
      </c>
      <c r="W3819">
        <v>4.8960950000000003E-2</v>
      </c>
      <c r="X3819">
        <v>0.99835600000000002</v>
      </c>
      <c r="Y3819">
        <v>0.1331997</v>
      </c>
      <c r="Z3819">
        <v>3.2257179999999998E-3</v>
      </c>
      <c r="AA3819">
        <v>0.99108399999999996</v>
      </c>
      <c r="AB3819">
        <v>22</v>
      </c>
      <c r="AC3819">
        <v>-43.8262</v>
      </c>
      <c r="AD3819">
        <v>-1.107030118278</v>
      </c>
      <c r="AE3819">
        <v>3.1724999999999799</v>
      </c>
      <c r="AF3819">
        <v>5.87806780340303</v>
      </c>
      <c r="AG3819">
        <v>-1.107030118278</v>
      </c>
      <c r="AH3819">
        <v>43.517814534093503</v>
      </c>
      <c r="AI3819">
        <v>91.444098948723095</v>
      </c>
      <c r="AJ3819">
        <v>82.307462590706905</v>
      </c>
      <c r="AK3819">
        <v>43.9269550345564</v>
      </c>
      <c r="AL3819">
        <v>87.193622203050396</v>
      </c>
      <c r="AM3819">
        <v>88.290208412221403</v>
      </c>
      <c r="AN3819">
        <v>0.99999999682526997</v>
      </c>
    </row>
    <row r="3820" spans="1:40" x14ac:dyDescent="0.25">
      <c r="A3820" t="str">
        <f>"20190312151349559"</f>
        <v>20190312151349559</v>
      </c>
      <c r="B3820" t="str">
        <f>"1552374829553968"</f>
        <v>1552374829553968</v>
      </c>
      <c r="C3820" t="s">
        <v>40</v>
      </c>
      <c r="D3820">
        <v>4.7683999999999997</v>
      </c>
      <c r="E3820">
        <v>0.53715469999999998</v>
      </c>
      <c r="F3820" t="s">
        <v>42</v>
      </c>
      <c r="G3820">
        <v>-258.45979999999997</v>
      </c>
      <c r="H3820" s="1">
        <v>-1.1564240000000001E-6</v>
      </c>
      <c r="I3820">
        <v>141.54570000000001</v>
      </c>
      <c r="J3820">
        <v>-220.5951</v>
      </c>
      <c r="K3820">
        <v>1.1070770000000001</v>
      </c>
      <c r="L3820">
        <v>138.8578</v>
      </c>
      <c r="M3820">
        <v>-0.99830600000000003</v>
      </c>
      <c r="N3820">
        <v>0</v>
      </c>
      <c r="O3820">
        <v>-5.7484550000000002E-2</v>
      </c>
      <c r="P3820">
        <v>-0.99873789999999996</v>
      </c>
      <c r="Q3820">
        <v>3.9626960000000003E-2</v>
      </c>
      <c r="R3820">
        <v>-3.0858730000000001E-2</v>
      </c>
      <c r="S3820">
        <v>-3.0144039999999999</v>
      </c>
      <c r="T3820">
        <v>-8.7602020000000003E-2</v>
      </c>
      <c r="U3820">
        <v>0.2119904</v>
      </c>
      <c r="V3820">
        <v>2.6918709999999998E-2</v>
      </c>
      <c r="W3820">
        <v>4.843563E-2</v>
      </c>
      <c r="X3820">
        <v>0.99846349999999995</v>
      </c>
      <c r="Y3820">
        <v>0.1273041</v>
      </c>
      <c r="Z3820">
        <v>3.5155059999999998E-3</v>
      </c>
      <c r="AA3820">
        <v>0.99185749999999995</v>
      </c>
      <c r="AB3820">
        <v>22</v>
      </c>
      <c r="AC3820">
        <v>-37.8646999999999</v>
      </c>
      <c r="AD3820">
        <v>-1.107078156424</v>
      </c>
      <c r="AE3820">
        <v>2.6879000000000102</v>
      </c>
      <c r="AF3820">
        <v>4.8560475891889201</v>
      </c>
      <c r="AG3820">
        <v>-1.107078156424</v>
      </c>
      <c r="AH3820">
        <v>37.615568506564202</v>
      </c>
      <c r="AI3820">
        <v>91.671940606377703</v>
      </c>
      <c r="AJ3820">
        <v>82.643986149331994</v>
      </c>
      <c r="AK3820">
        <v>37.943877164898701</v>
      </c>
      <c r="AL3820">
        <v>87.223756567982406</v>
      </c>
      <c r="AM3820">
        <v>88.455672184380404</v>
      </c>
      <c r="AN3820">
        <v>0.99999999401690498</v>
      </c>
    </row>
    <row r="3821" spans="1:40" x14ac:dyDescent="0.25">
      <c r="A3821" t="str">
        <f>"20190312151349583"</f>
        <v>20190312151349583</v>
      </c>
      <c r="B3821" t="str">
        <f>"1552374829574464"</f>
        <v>1552374829574464</v>
      </c>
      <c r="C3821" t="s">
        <v>40</v>
      </c>
      <c r="D3821">
        <v>4.7615429999999996</v>
      </c>
      <c r="E3821">
        <v>0.53642319999999999</v>
      </c>
      <c r="F3821" t="s">
        <v>42</v>
      </c>
      <c r="G3821">
        <v>-254.1934</v>
      </c>
      <c r="H3821" s="1">
        <v>-2.8823610000000001E-6</v>
      </c>
      <c r="I3821">
        <v>141.1534</v>
      </c>
      <c r="J3821">
        <v>-220.82239999999999</v>
      </c>
      <c r="K3821">
        <v>1.1071420000000001</v>
      </c>
      <c r="L3821">
        <v>138.84970000000001</v>
      </c>
      <c r="M3821">
        <v>-0.99854560000000003</v>
      </c>
      <c r="N3821">
        <v>0</v>
      </c>
      <c r="O3821">
        <v>-5.3164719999999999E-2</v>
      </c>
      <c r="P3821">
        <v>-0.99881410000000004</v>
      </c>
      <c r="Q3821">
        <v>3.9410250000000001E-2</v>
      </c>
      <c r="R3821">
        <v>-2.8588860000000001E-2</v>
      </c>
      <c r="S3821">
        <v>-3.014084</v>
      </c>
      <c r="T3821">
        <v>-9.9315639999999997E-2</v>
      </c>
      <c r="U3821">
        <v>0.20594789999999999</v>
      </c>
      <c r="V3821">
        <v>2.4857460000000001E-2</v>
      </c>
      <c r="W3821">
        <v>4.819702E-2</v>
      </c>
      <c r="X3821">
        <v>0.99852850000000004</v>
      </c>
      <c r="Y3821">
        <v>0.1210222</v>
      </c>
      <c r="Z3821">
        <v>3.7405490000000001E-3</v>
      </c>
      <c r="AA3821">
        <v>0.99264280000000005</v>
      </c>
      <c r="AB3821">
        <v>22</v>
      </c>
      <c r="AC3821">
        <v>-33.371000000000002</v>
      </c>
      <c r="AD3821">
        <v>-1.1071448823609999</v>
      </c>
      <c r="AE3821">
        <v>2.3036999999999899</v>
      </c>
      <c r="AF3821">
        <v>4.0702139108425701</v>
      </c>
      <c r="AG3821">
        <v>-1.1071448823609999</v>
      </c>
      <c r="AH3821">
        <v>33.164989316802099</v>
      </c>
      <c r="AI3821">
        <v>91.897763728314501</v>
      </c>
      <c r="AJ3821">
        <v>83.003292833819202</v>
      </c>
      <c r="AK3821">
        <v>33.4321540953339</v>
      </c>
      <c r="AL3821">
        <v>87.237443931949898</v>
      </c>
      <c r="AM3821">
        <v>88.573968142798606</v>
      </c>
      <c r="AN3821">
        <v>1.00000000568339</v>
      </c>
    </row>
    <row r="3822" spans="1:40" x14ac:dyDescent="0.25">
      <c r="A3822" t="str">
        <f>"20190312151349606"</f>
        <v>20190312151349606</v>
      </c>
      <c r="B3822" t="str">
        <f>"1552374829594960"</f>
        <v>1552374829594960</v>
      </c>
      <c r="C3822" t="s">
        <v>40</v>
      </c>
      <c r="D3822">
        <v>5.0050239999999997</v>
      </c>
      <c r="E3822">
        <v>0.53539429999999999</v>
      </c>
      <c r="F3822" t="s">
        <v>42</v>
      </c>
      <c r="G3822">
        <v>-252.78460000000001</v>
      </c>
      <c r="H3822" s="1">
        <v>-3.457564E-6</v>
      </c>
      <c r="I3822">
        <v>141.04390000000001</v>
      </c>
      <c r="J3822">
        <v>-221.06030000000001</v>
      </c>
      <c r="K3822">
        <v>1.107226</v>
      </c>
      <c r="L3822">
        <v>138.84200000000001</v>
      </c>
      <c r="M3822">
        <v>-0.99876869999999995</v>
      </c>
      <c r="N3822">
        <v>0</v>
      </c>
      <c r="O3822">
        <v>-4.8800980000000001E-2</v>
      </c>
      <c r="P3822">
        <v>-0.99886330000000001</v>
      </c>
      <c r="Q3822">
        <v>3.9980300000000003E-2</v>
      </c>
      <c r="R3822">
        <v>-2.5958660000000001E-2</v>
      </c>
      <c r="S3822">
        <v>-3.0135960000000002</v>
      </c>
      <c r="T3822">
        <v>-0.1043885</v>
      </c>
      <c r="U3822">
        <v>0.20689389999999999</v>
      </c>
      <c r="V3822">
        <v>2.3114119999999998E-2</v>
      </c>
      <c r="W3822">
        <v>4.8743769999999999E-2</v>
      </c>
      <c r="X3822">
        <v>0.99854390000000004</v>
      </c>
      <c r="Y3822">
        <v>0.1169999</v>
      </c>
      <c r="Z3822">
        <v>3.7116089999999998E-3</v>
      </c>
      <c r="AA3822">
        <v>0.99312500000000004</v>
      </c>
      <c r="AB3822">
        <v>22</v>
      </c>
      <c r="AC3822">
        <v>-31.724299999999999</v>
      </c>
      <c r="AD3822">
        <v>-1.107229457564</v>
      </c>
      <c r="AE3822">
        <v>2.20189999999999</v>
      </c>
      <c r="AF3822">
        <v>3.74297723962311</v>
      </c>
      <c r="AG3822">
        <v>-1.107229457564</v>
      </c>
      <c r="AH3822">
        <v>31.540802665202399</v>
      </c>
      <c r="AI3822">
        <v>91.996526072983897</v>
      </c>
      <c r="AJ3822">
        <v>83.232305924975407</v>
      </c>
      <c r="AK3822">
        <v>31.7814107373048</v>
      </c>
      <c r="AL3822">
        <v>87.2060807773222</v>
      </c>
      <c r="AM3822">
        <v>88.673964096978494</v>
      </c>
      <c r="AN3822">
        <v>1.00000006894219</v>
      </c>
    </row>
    <row r="3823" spans="1:40" x14ac:dyDescent="0.25">
      <c r="A3823" t="str">
        <f>"20190312151349650"</f>
        <v>20190312151349650</v>
      </c>
      <c r="B3823" t="str">
        <f>"1552374829644736"</f>
        <v>1552374829644736</v>
      </c>
      <c r="C3823" t="s">
        <v>40</v>
      </c>
      <c r="D3823">
        <v>4.6748820000000002</v>
      </c>
      <c r="E3823">
        <v>0.53393369999999996</v>
      </c>
      <c r="F3823" t="s">
        <v>42</v>
      </c>
      <c r="G3823">
        <v>-252.0727</v>
      </c>
      <c r="H3823" s="1">
        <v>-3.741797E-6</v>
      </c>
      <c r="I3823">
        <v>140.96440000000001</v>
      </c>
      <c r="J3823">
        <v>-221.50800000000001</v>
      </c>
      <c r="K3823">
        <v>1.1073999999999999</v>
      </c>
      <c r="L3823">
        <v>138.83000000000001</v>
      </c>
      <c r="M3823">
        <v>-0.99911609999999995</v>
      </c>
      <c r="N3823">
        <v>0</v>
      </c>
      <c r="O3823">
        <v>-4.1097469999999997E-2</v>
      </c>
      <c r="P3823">
        <v>-0.99896430000000003</v>
      </c>
      <c r="Q3823">
        <v>4.0047869999999999E-2</v>
      </c>
      <c r="R3823">
        <v>-2.1607330000000001E-2</v>
      </c>
      <c r="S3823">
        <v>-3.013077</v>
      </c>
      <c r="T3823">
        <v>-0.1075754</v>
      </c>
      <c r="U3823">
        <v>0.20620730000000001</v>
      </c>
      <c r="V3823">
        <v>1.973958E-2</v>
      </c>
      <c r="W3823">
        <v>4.8775699999999998E-2</v>
      </c>
      <c r="X3823">
        <v>0.99861469999999997</v>
      </c>
      <c r="Y3823">
        <v>0.1091279</v>
      </c>
      <c r="Z3823">
        <v>3.4105759999999998E-3</v>
      </c>
      <c r="AA3823">
        <v>0.99402190000000001</v>
      </c>
      <c r="AB3823">
        <v>23</v>
      </c>
      <c r="AC3823">
        <v>-30.564699999999998</v>
      </c>
      <c r="AD3823">
        <v>-1.107403741797</v>
      </c>
      <c r="AE3823">
        <v>2.1343999999999901</v>
      </c>
      <c r="AF3823">
        <v>3.38435629013469</v>
      </c>
      <c r="AG3823">
        <v>-1.107403741797</v>
      </c>
      <c r="AH3823">
        <v>30.411425379167898</v>
      </c>
      <c r="AI3823">
        <v>92.072667313269605</v>
      </c>
      <c r="AJ3823">
        <v>83.649928104230796</v>
      </c>
      <c r="AK3823">
        <v>30.619193394644199</v>
      </c>
      <c r="AL3823">
        <v>87.204249006190096</v>
      </c>
      <c r="AM3823">
        <v>88.867583911685102</v>
      </c>
      <c r="AN3823">
        <v>1.00000001949257</v>
      </c>
    </row>
    <row r="3824" spans="1:40" x14ac:dyDescent="0.25">
      <c r="A3824" t="str">
        <f>"20190312151349671"</f>
        <v>20190312151349671</v>
      </c>
      <c r="B3824" t="str">
        <f>"1552374829664256"</f>
        <v>1552374829664256</v>
      </c>
      <c r="C3824" t="s">
        <v>40</v>
      </c>
      <c r="D3824">
        <v>4.7252219999999996</v>
      </c>
      <c r="E3824">
        <v>0.53357140000000003</v>
      </c>
      <c r="F3824" t="s">
        <v>42</v>
      </c>
      <c r="G3824">
        <v>-252.2072</v>
      </c>
      <c r="H3824" s="1">
        <v>-3.6779209999999999E-6</v>
      </c>
      <c r="I3824">
        <v>140.94110000000001</v>
      </c>
      <c r="J3824">
        <v>-221.72829999999999</v>
      </c>
      <c r="K3824">
        <v>1.1074679999999999</v>
      </c>
      <c r="L3824">
        <v>138.82499999999999</v>
      </c>
      <c r="M3824">
        <v>-0.99925730000000001</v>
      </c>
      <c r="N3824">
        <v>0</v>
      </c>
      <c r="O3824">
        <v>-3.7514800000000001E-2</v>
      </c>
      <c r="P3824">
        <v>-0.99899950000000004</v>
      </c>
      <c r="Q3824">
        <v>3.9860050000000001E-2</v>
      </c>
      <c r="R3824">
        <v>-2.027344E-2</v>
      </c>
      <c r="S3824">
        <v>-3.011978</v>
      </c>
      <c r="T3824">
        <v>-0.10865039999999999</v>
      </c>
      <c r="U3824">
        <v>0.20713809999999999</v>
      </c>
      <c r="V3824">
        <v>1.748123E-2</v>
      </c>
      <c r="W3824">
        <v>4.8570420000000003E-2</v>
      </c>
      <c r="X3824">
        <v>0.99866679999999997</v>
      </c>
      <c r="Y3824">
        <v>0.10589610000000001</v>
      </c>
      <c r="Z3824">
        <v>3.2585919999999998E-3</v>
      </c>
      <c r="AA3824">
        <v>0.99437189999999998</v>
      </c>
      <c r="AB3824">
        <v>23</v>
      </c>
      <c r="AC3824">
        <v>-30.478899999999999</v>
      </c>
      <c r="AD3824">
        <v>-1.1074716779209901</v>
      </c>
      <c r="AE3824">
        <v>2.1161000000000101</v>
      </c>
      <c r="AF3824">
        <v>3.2537891327083299</v>
      </c>
      <c r="AG3824">
        <v>-1.1074716779209901</v>
      </c>
      <c r="AH3824">
        <v>30.338192428953999</v>
      </c>
      <c r="AI3824">
        <v>92.078698168599004</v>
      </c>
      <c r="AJ3824">
        <v>83.878393742819398</v>
      </c>
      <c r="AK3824">
        <v>30.532270749057702</v>
      </c>
      <c r="AL3824">
        <v>87.216024664935105</v>
      </c>
      <c r="AM3824">
        <v>88.997164601458906</v>
      </c>
      <c r="AN3824">
        <v>1.00000002826176</v>
      </c>
    </row>
    <row r="3825" spans="1:40" x14ac:dyDescent="0.25">
      <c r="A3825" t="str">
        <f>"20190312151349693"</f>
        <v>20190312151349693</v>
      </c>
      <c r="B3825" t="str">
        <f>"1552374829683868"</f>
        <v>1552374829683868</v>
      </c>
      <c r="C3825" t="s">
        <v>40</v>
      </c>
      <c r="D3825">
        <v>4.6983940000000004</v>
      </c>
      <c r="E3825">
        <v>0.53306529999999996</v>
      </c>
      <c r="F3825" t="s">
        <v>42</v>
      </c>
      <c r="G3825">
        <v>-251.4162</v>
      </c>
      <c r="H3825" s="1">
        <v>-3.9999880000000003E-6</v>
      </c>
      <c r="I3825">
        <v>140.87629999999999</v>
      </c>
      <c r="J3825">
        <v>-221.95089999999999</v>
      </c>
      <c r="K3825">
        <v>1.107526</v>
      </c>
      <c r="L3825">
        <v>138.82069999999999</v>
      </c>
      <c r="M3825">
        <v>-0.99938260000000001</v>
      </c>
      <c r="N3825">
        <v>0</v>
      </c>
      <c r="O3825">
        <v>-3.4023770000000002E-2</v>
      </c>
      <c r="P3825">
        <v>-0.99903459999999999</v>
      </c>
      <c r="Q3825">
        <v>3.9835059999999999E-2</v>
      </c>
      <c r="R3825">
        <v>-1.8527399999999999E-2</v>
      </c>
      <c r="S3825">
        <v>-3.0117029999999998</v>
      </c>
      <c r="T3825">
        <v>-0.112348</v>
      </c>
      <c r="U3825">
        <v>0.20809939999999999</v>
      </c>
      <c r="V3825">
        <v>1.5729300000000002E-2</v>
      </c>
      <c r="W3825">
        <v>4.8520889999999997E-2</v>
      </c>
      <c r="X3825">
        <v>0.99869830000000004</v>
      </c>
      <c r="Y3825">
        <v>0.102742</v>
      </c>
      <c r="Z3825">
        <v>3.1808919999999998E-3</v>
      </c>
      <c r="AA3825">
        <v>0.99470289999999995</v>
      </c>
      <c r="AB3825">
        <v>23</v>
      </c>
      <c r="AC3825">
        <v>-29.465299999999999</v>
      </c>
      <c r="AD3825">
        <v>-1.1075299999879999</v>
      </c>
      <c r="AE3825">
        <v>2.0555999999999899</v>
      </c>
      <c r="AF3825">
        <v>3.05267683744749</v>
      </c>
      <c r="AG3825">
        <v>-1.1075299999879999</v>
      </c>
      <c r="AH3825">
        <v>29.3370495846439</v>
      </c>
      <c r="AI3825">
        <v>92.150399664459002</v>
      </c>
      <c r="AJ3825">
        <v>84.0594467725833</v>
      </c>
      <c r="AK3825">
        <v>29.516231753166199</v>
      </c>
      <c r="AL3825">
        <v>87.218865771083998</v>
      </c>
      <c r="AM3825">
        <v>89.097677448908897</v>
      </c>
      <c r="AN3825">
        <v>0.99999999103388604</v>
      </c>
    </row>
    <row r="3826" spans="1:40" x14ac:dyDescent="0.25">
      <c r="A3826" t="str">
        <f>"20190312151349716"</f>
        <v>20190312151349716</v>
      </c>
      <c r="B3826" t="str">
        <f>"1552374829704364"</f>
        <v>1552374829704364</v>
      </c>
      <c r="C3826" t="s">
        <v>40</v>
      </c>
      <c r="D3826">
        <v>4.7164029999999997</v>
      </c>
      <c r="E3826">
        <v>0.53264449999999997</v>
      </c>
      <c r="F3826" t="s">
        <v>42</v>
      </c>
      <c r="G3826">
        <v>-250.7689</v>
      </c>
      <c r="H3826" s="1">
        <v>-4.2283470000000001E-6</v>
      </c>
      <c r="I3826">
        <v>140.82259999999999</v>
      </c>
      <c r="J3826">
        <v>-222.18379999999999</v>
      </c>
      <c r="K3826">
        <v>1.107591</v>
      </c>
      <c r="L3826">
        <v>138.8169</v>
      </c>
      <c r="M3826">
        <v>-0.99949540000000003</v>
      </c>
      <c r="N3826">
        <v>0</v>
      </c>
      <c r="O3826">
        <v>-3.0541840000000001E-2</v>
      </c>
      <c r="P3826">
        <v>-0.99908799999999998</v>
      </c>
      <c r="Q3826">
        <v>3.9247499999999998E-2</v>
      </c>
      <c r="R3826">
        <v>-1.683136E-2</v>
      </c>
      <c r="S3826">
        <v>-3.0113979999999998</v>
      </c>
      <c r="T3826">
        <v>-0.115734</v>
      </c>
      <c r="U3826">
        <v>0.209198</v>
      </c>
      <c r="V3826">
        <v>1.3933050000000001E-2</v>
      </c>
      <c r="W3826">
        <v>4.7902670000000001E-2</v>
      </c>
      <c r="X3826">
        <v>0.99875480000000005</v>
      </c>
      <c r="Y3826">
        <v>9.9643250000000003E-2</v>
      </c>
      <c r="Z3826">
        <v>3.0838939999999998E-3</v>
      </c>
      <c r="AA3826">
        <v>0.99501839999999997</v>
      </c>
      <c r="AB3826">
        <v>23</v>
      </c>
      <c r="AC3826">
        <v>-28.585100000000001</v>
      </c>
      <c r="AD3826">
        <v>-1.1075952283470001</v>
      </c>
      <c r="AE3826">
        <v>2.0056999999999898</v>
      </c>
      <c r="AF3826">
        <v>2.8735459677577899</v>
      </c>
      <c r="AG3826">
        <v>-1.1075952283470001</v>
      </c>
      <c r="AH3826">
        <v>28.467972550216999</v>
      </c>
      <c r="AI3826">
        <v>92.216813258941002</v>
      </c>
      <c r="AJ3826">
        <v>84.236109332713895</v>
      </c>
      <c r="AK3826">
        <v>28.634061792532801</v>
      </c>
      <c r="AL3826">
        <v>87.254328357724205</v>
      </c>
      <c r="AM3826">
        <v>89.200751596269797</v>
      </c>
      <c r="AN3826">
        <v>0.99999997309923505</v>
      </c>
    </row>
    <row r="3827" spans="1:40" x14ac:dyDescent="0.25">
      <c r="A3827" t="str">
        <f>"20190312151349738"</f>
        <v>20190312151349738</v>
      </c>
      <c r="B3827" t="str">
        <f>"1552374829734620"</f>
        <v>1552374829734620</v>
      </c>
      <c r="C3827" t="s">
        <v>40</v>
      </c>
      <c r="D3827">
        <v>4.7329030000000003</v>
      </c>
      <c r="E3827">
        <v>0.53201330000000002</v>
      </c>
      <c r="F3827" t="s">
        <v>42</v>
      </c>
      <c r="G3827">
        <v>-250.55410000000001</v>
      </c>
      <c r="H3827" s="1">
        <v>-4.2978359999999999E-6</v>
      </c>
      <c r="I3827">
        <v>140.8022</v>
      </c>
      <c r="J3827">
        <v>-222.416</v>
      </c>
      <c r="K3827">
        <v>1.1076760000000001</v>
      </c>
      <c r="L3827">
        <v>138.81360000000001</v>
      </c>
      <c r="M3827">
        <v>-0.99959100000000001</v>
      </c>
      <c r="N3827">
        <v>0</v>
      </c>
      <c r="O3827">
        <v>-2.724559E-2</v>
      </c>
      <c r="P3827">
        <v>-0.99913229999999997</v>
      </c>
      <c r="Q3827">
        <v>3.8657950000000003E-2</v>
      </c>
      <c r="R3827">
        <v>-1.5501289999999999E-2</v>
      </c>
      <c r="S3827">
        <v>-3.0108950000000001</v>
      </c>
      <c r="T3827">
        <v>-0.11754779999999999</v>
      </c>
      <c r="U3827">
        <v>0.2107086</v>
      </c>
      <c r="V3827">
        <v>1.1954899999999999E-2</v>
      </c>
      <c r="W3827">
        <v>4.7276819999999997E-2</v>
      </c>
      <c r="X3827">
        <v>0.99881030000000004</v>
      </c>
      <c r="Y3827">
        <v>9.6871410000000005E-2</v>
      </c>
      <c r="Z3827">
        <v>2.9501250000000001E-3</v>
      </c>
      <c r="AA3827">
        <v>0.99529250000000002</v>
      </c>
      <c r="AB3827">
        <v>23</v>
      </c>
      <c r="AC3827">
        <v>-28.138100000000001</v>
      </c>
      <c r="AD3827">
        <v>-1.1076802978360001</v>
      </c>
      <c r="AE3827">
        <v>1.9885999999999899</v>
      </c>
      <c r="AF3827">
        <v>2.7502889389562801</v>
      </c>
      <c r="AG3827">
        <v>-1.1076802978360001</v>
      </c>
      <c r="AH3827">
        <v>28.030249110075601</v>
      </c>
      <c r="AI3827">
        <v>92.252194066752295</v>
      </c>
      <c r="AJ3827">
        <v>84.396155332891993</v>
      </c>
      <c r="AK3827">
        <v>28.186626439906799</v>
      </c>
      <c r="AL3827">
        <v>87.290227715269396</v>
      </c>
      <c r="AM3827">
        <v>89.314251557211904</v>
      </c>
      <c r="AN3827">
        <v>1.0000000163647</v>
      </c>
    </row>
    <row r="3828" spans="1:40" x14ac:dyDescent="0.25">
      <c r="A3828" t="str">
        <f>"20190312151349760"</f>
        <v>20190312151349760</v>
      </c>
      <c r="B3828" t="str">
        <f>"1552374829754140"</f>
        <v>1552374829754140</v>
      </c>
      <c r="C3828" t="s">
        <v>40</v>
      </c>
      <c r="D3828">
        <v>4.7057669999999998</v>
      </c>
      <c r="E3828">
        <v>0.5315839</v>
      </c>
      <c r="F3828" t="s">
        <v>42</v>
      </c>
      <c r="G3828">
        <v>-249.0866</v>
      </c>
      <c r="H3828" s="1">
        <v>-6.5517249999999997E-7</v>
      </c>
      <c r="I3828">
        <v>140.67240000000001</v>
      </c>
      <c r="J3828">
        <v>-222.64779999999999</v>
      </c>
      <c r="K3828">
        <v>1.1077699999999999</v>
      </c>
      <c r="L3828">
        <v>138.8109</v>
      </c>
      <c r="M3828">
        <v>-0.9996718</v>
      </c>
      <c r="N3828">
        <v>0</v>
      </c>
      <c r="O3828">
        <v>-2.4122859999999999E-2</v>
      </c>
      <c r="P3828">
        <v>-0.99913669999999999</v>
      </c>
      <c r="Q3828">
        <v>3.8963150000000002E-2</v>
      </c>
      <c r="R3828">
        <v>-1.442703E-2</v>
      </c>
      <c r="S3828">
        <v>-3.0107119999999998</v>
      </c>
      <c r="T3828">
        <v>-0.12503989999999901</v>
      </c>
      <c r="U3828">
        <v>0.20983889999999999</v>
      </c>
      <c r="V3828">
        <v>9.8966850000000006E-3</v>
      </c>
      <c r="W3828">
        <v>4.754307E-2</v>
      </c>
      <c r="X3828">
        <v>0.99882020000000005</v>
      </c>
      <c r="Y3828">
        <v>9.3472990000000006E-2</v>
      </c>
      <c r="Z3828">
        <v>2.9382560000000002E-3</v>
      </c>
      <c r="AA3828">
        <v>0.99561750000000004</v>
      </c>
      <c r="AB3828">
        <v>23</v>
      </c>
      <c r="AC3828">
        <v>-26.438800000000001</v>
      </c>
      <c r="AD3828">
        <v>-1.1077706551725</v>
      </c>
      <c r="AE3828">
        <v>1.8614999999999999</v>
      </c>
      <c r="AF3828">
        <v>2.4944039769690698</v>
      </c>
      <c r="AG3828">
        <v>-1.1077706551725</v>
      </c>
      <c r="AH3828">
        <v>26.3401856686359</v>
      </c>
      <c r="AI3828">
        <v>92.397515245827293</v>
      </c>
      <c r="AJ3828">
        <v>84.590247996060796</v>
      </c>
      <c r="AK3828">
        <v>26.4812119828945</v>
      </c>
      <c r="AL3828">
        <v>87.274955605060697</v>
      </c>
      <c r="AM3828">
        <v>89.432310513677194</v>
      </c>
      <c r="AN3828">
        <v>1.00000003990352</v>
      </c>
    </row>
    <row r="3829" spans="1:40" x14ac:dyDescent="0.25">
      <c r="A3829" t="str">
        <f>"20190312151349783"</f>
        <v>20190312151349783</v>
      </c>
      <c r="B3829" t="str">
        <f>"1552374829774636"</f>
        <v>1552374829774636</v>
      </c>
      <c r="C3829" t="s">
        <v>40</v>
      </c>
      <c r="D3829">
        <v>5.3704239999999999</v>
      </c>
      <c r="E3829">
        <v>0.53115959999999995</v>
      </c>
      <c r="F3829" t="s">
        <v>42</v>
      </c>
      <c r="G3829">
        <v>-249.1173</v>
      </c>
      <c r="H3829" s="1">
        <v>-6.3666289999999997E-7</v>
      </c>
      <c r="I3829">
        <v>140.6524</v>
      </c>
      <c r="J3829">
        <v>-222.88290000000001</v>
      </c>
      <c r="K3829">
        <v>1.1078669999999999</v>
      </c>
      <c r="L3829">
        <v>138.80879999999999</v>
      </c>
      <c r="M3829">
        <v>-0.99974010000000002</v>
      </c>
      <c r="N3829">
        <v>0</v>
      </c>
      <c r="O3829">
        <v>-2.1130969999999999E-2</v>
      </c>
      <c r="P3829">
        <v>-0.99915229999999999</v>
      </c>
      <c r="Q3829">
        <v>3.910657E-2</v>
      </c>
      <c r="R3829">
        <v>-1.287834E-2</v>
      </c>
      <c r="S3829">
        <v>-3.010529</v>
      </c>
      <c r="T3829">
        <v>-0.1259933</v>
      </c>
      <c r="U3829">
        <v>0.20944209999999999</v>
      </c>
      <c r="V3829">
        <v>8.4424129999999993E-3</v>
      </c>
      <c r="W3829">
        <v>4.7642139999999999E-2</v>
      </c>
      <c r="X3829">
        <v>0.99882879999999996</v>
      </c>
      <c r="Y3829">
        <v>9.0370270000000003E-2</v>
      </c>
      <c r="Z3829">
        <v>2.7709729999999999E-3</v>
      </c>
      <c r="AA3829">
        <v>0.99590440000000002</v>
      </c>
      <c r="AB3829">
        <v>23</v>
      </c>
      <c r="AC3829">
        <v>-26.234399999999901</v>
      </c>
      <c r="AD3829">
        <v>-1.1078676366628999</v>
      </c>
      <c r="AE3829">
        <v>1.8435999999999999</v>
      </c>
      <c r="AF3829">
        <v>2.39331981559666</v>
      </c>
      <c r="AG3829">
        <v>-1.1078676366628999</v>
      </c>
      <c r="AH3829">
        <v>26.143190354892599</v>
      </c>
      <c r="AI3829">
        <v>92.416473486084499</v>
      </c>
      <c r="AJ3829">
        <v>84.769346811250699</v>
      </c>
      <c r="AK3829">
        <v>26.275877765970801</v>
      </c>
      <c r="AL3829">
        <v>87.2692727905726</v>
      </c>
      <c r="AM3829">
        <v>89.515729707446397</v>
      </c>
      <c r="AN3829">
        <v>1.00000000977524</v>
      </c>
    </row>
    <row r="3830" spans="1:40" x14ac:dyDescent="0.25">
      <c r="A3830" t="str">
        <f>"20190312151349809"</f>
        <v>20190312151349809</v>
      </c>
      <c r="B3830" t="str">
        <f>"1552374829803916"</f>
        <v>1552374829803916</v>
      </c>
      <c r="C3830" t="s">
        <v>40</v>
      </c>
      <c r="D3830">
        <v>4.7530260000000002</v>
      </c>
      <c r="E3830">
        <v>0.53049609999999903</v>
      </c>
      <c r="F3830" t="s">
        <v>42</v>
      </c>
      <c r="G3830">
        <v>-248.95689999999999</v>
      </c>
      <c r="H3830" s="1">
        <v>-6.9938620000000005E-7</v>
      </c>
      <c r="I3830">
        <v>140.6294</v>
      </c>
      <c r="J3830">
        <v>-223.1465</v>
      </c>
      <c r="K3830">
        <v>1.107979</v>
      </c>
      <c r="L3830">
        <v>138.80690000000001</v>
      </c>
      <c r="M3830">
        <v>-0.99980179999999996</v>
      </c>
      <c r="N3830">
        <v>0</v>
      </c>
      <c r="O3830">
        <v>-1.8003140000000001E-2</v>
      </c>
      <c r="P3830">
        <v>-0.9992048</v>
      </c>
      <c r="Q3830">
        <v>3.8307309999999997E-2</v>
      </c>
      <c r="R3830">
        <v>-1.1085640000000001E-2</v>
      </c>
      <c r="S3830">
        <v>-3.010284</v>
      </c>
      <c r="T3830">
        <v>-0.12790489999999999</v>
      </c>
      <c r="U3830">
        <v>0.21020510000000001</v>
      </c>
      <c r="V3830">
        <v>7.0913369999999996E-3</v>
      </c>
      <c r="W3830">
        <v>4.67886E-2</v>
      </c>
      <c r="X3830">
        <v>0.99887969999999904</v>
      </c>
      <c r="Y3830">
        <v>8.7513339999999995E-2</v>
      </c>
      <c r="Z3830">
        <v>2.6198789999999999E-3</v>
      </c>
      <c r="AA3830">
        <v>0.99615989999999999</v>
      </c>
      <c r="AB3830">
        <v>23</v>
      </c>
      <c r="AC3830">
        <v>-25.810399999999898</v>
      </c>
      <c r="AD3830">
        <v>-1.1079796993861999</v>
      </c>
      <c r="AE3830">
        <v>1.82249999999999</v>
      </c>
      <c r="AF3830">
        <v>2.2827039797417701</v>
      </c>
      <c r="AG3830">
        <v>-1.1079796993861999</v>
      </c>
      <c r="AH3830">
        <v>25.7262320498984</v>
      </c>
      <c r="AI3830">
        <v>92.456456699094204</v>
      </c>
      <c r="AJ3830">
        <v>84.929390510983495</v>
      </c>
      <c r="AK3830">
        <v>25.851061331376702</v>
      </c>
      <c r="AL3830">
        <v>87.318231761821707</v>
      </c>
      <c r="AM3830">
        <v>89.593247459609003</v>
      </c>
      <c r="AN3830">
        <v>1.00000005761124</v>
      </c>
    </row>
    <row r="3831" spans="1:40" x14ac:dyDescent="0.25">
      <c r="A3831" t="str">
        <f>"20190312151349831"</f>
        <v>20190312151349831</v>
      </c>
      <c r="B3831" t="str">
        <f>"1552374829824413"</f>
        <v>1552374829824413</v>
      </c>
      <c r="C3831" t="s">
        <v>40</v>
      </c>
      <c r="D3831">
        <v>4.7287499999999998</v>
      </c>
      <c r="E3831">
        <v>0.53009649999999997</v>
      </c>
      <c r="F3831" t="s">
        <v>42</v>
      </c>
      <c r="G3831">
        <v>-248.44919999999999</v>
      </c>
      <c r="H3831" s="1">
        <v>-9.0221810000000003E-7</v>
      </c>
      <c r="I3831">
        <v>140.57320000000001</v>
      </c>
      <c r="J3831">
        <v>-223.37190000000001</v>
      </c>
      <c r="K3831">
        <v>1.108069</v>
      </c>
      <c r="L3831">
        <v>138.8057</v>
      </c>
      <c r="M3831">
        <v>-0.99984399999999996</v>
      </c>
      <c r="N3831">
        <v>0</v>
      </c>
      <c r="O3831">
        <v>-1.551369E-2</v>
      </c>
      <c r="P3831">
        <v>-0.99926150000000002</v>
      </c>
      <c r="Q3831">
        <v>3.698833E-2</v>
      </c>
      <c r="R3831">
        <v>-1.0425E-2</v>
      </c>
      <c r="S3831">
        <v>-3.0097499999999999</v>
      </c>
      <c r="T3831">
        <v>-0.13179399999999999</v>
      </c>
      <c r="U3831">
        <v>0.21011350000000001</v>
      </c>
      <c r="V3831">
        <v>5.2482939999999997E-3</v>
      </c>
      <c r="W3831">
        <v>4.5425819999999999E-2</v>
      </c>
      <c r="X3831">
        <v>0.99895389999999995</v>
      </c>
      <c r="Y3831">
        <v>8.5013749999999999E-2</v>
      </c>
      <c r="Z3831">
        <v>2.5364599999999999E-3</v>
      </c>
      <c r="AA3831">
        <v>0.99637659999999995</v>
      </c>
      <c r="AB3831">
        <v>23</v>
      </c>
      <c r="AC3831">
        <v>-25.077299999999902</v>
      </c>
      <c r="AD3831">
        <v>-1.1080699022181</v>
      </c>
      <c r="AE3831">
        <v>1.7675000000000101</v>
      </c>
      <c r="AF3831">
        <v>2.1521614567598699</v>
      </c>
      <c r="AG3831">
        <v>-1.1080699022181</v>
      </c>
      <c r="AH3831">
        <v>24.998294589687699</v>
      </c>
      <c r="AI3831">
        <v>92.528679416961793</v>
      </c>
      <c r="AJ3831">
        <v>85.079405806265399</v>
      </c>
      <c r="AK3831">
        <v>25.115221484927702</v>
      </c>
      <c r="AL3831">
        <v>87.396396211167996</v>
      </c>
      <c r="AM3831">
        <v>89.698982776711404</v>
      </c>
      <c r="AN3831">
        <v>0.99999997201889601</v>
      </c>
    </row>
    <row r="3832" spans="1:40" x14ac:dyDescent="0.25">
      <c r="A3832" t="str">
        <f>"20190312151349852"</f>
        <v>20190312151349852</v>
      </c>
      <c r="B3832" t="str">
        <f>"1552374829843932"</f>
        <v>1552374829843932</v>
      </c>
      <c r="C3832" t="s">
        <v>40</v>
      </c>
      <c r="D3832">
        <v>4.7370409999999996</v>
      </c>
      <c r="E3832">
        <v>0.52966829999999998</v>
      </c>
      <c r="F3832" t="s">
        <v>42</v>
      </c>
      <c r="G3832">
        <v>-247.58750000000001</v>
      </c>
      <c r="H3832" s="1">
        <v>-1.2491780000000001E-6</v>
      </c>
      <c r="I3832">
        <v>140.48779999999999</v>
      </c>
      <c r="J3832">
        <v>-223.60040000000001</v>
      </c>
      <c r="K3832">
        <v>1.108142</v>
      </c>
      <c r="L3832">
        <v>138.8049</v>
      </c>
      <c r="M3832">
        <v>-0.9998783</v>
      </c>
      <c r="N3832">
        <v>0</v>
      </c>
      <c r="O3832">
        <v>-1.3131200000000001E-2</v>
      </c>
      <c r="P3832">
        <v>-0.99927940000000004</v>
      </c>
      <c r="Q3832">
        <v>3.6684700000000001E-2</v>
      </c>
      <c r="R3832">
        <v>-9.7531749999999993E-3</v>
      </c>
      <c r="S3832">
        <v>-3.009506</v>
      </c>
      <c r="T3832">
        <v>-0.13771059999999999</v>
      </c>
      <c r="U3832">
        <v>0.20906069999999999</v>
      </c>
      <c r="V3832">
        <v>3.5289610000000002E-3</v>
      </c>
      <c r="W3832">
        <v>4.5079510000000003E-2</v>
      </c>
      <c r="X3832">
        <v>0.99897720000000001</v>
      </c>
      <c r="Y3832">
        <v>8.2294489999999998E-2</v>
      </c>
      <c r="Z3832">
        <v>2.4794970000000002E-3</v>
      </c>
      <c r="AA3832">
        <v>0.99660499999999996</v>
      </c>
      <c r="AB3832">
        <v>23</v>
      </c>
      <c r="AC3832">
        <v>-23.987100000000002</v>
      </c>
      <c r="AD3832">
        <v>-1.1081432491779999</v>
      </c>
      <c r="AE3832">
        <v>1.6828999999999801</v>
      </c>
      <c r="AF3832">
        <v>1.9935117514010601</v>
      </c>
      <c r="AG3832">
        <v>-1.1081432491779999</v>
      </c>
      <c r="AH3832">
        <v>23.912148972549399</v>
      </c>
      <c r="AI3832">
        <v>92.644158325105906</v>
      </c>
      <c r="AJ3832">
        <v>85.234376917452295</v>
      </c>
      <c r="AK3832">
        <v>24.020677322862198</v>
      </c>
      <c r="AL3832">
        <v>87.416258813224204</v>
      </c>
      <c r="AM3832">
        <v>89.797599254212003</v>
      </c>
      <c r="AN3832">
        <v>1.0000000309537</v>
      </c>
    </row>
    <row r="3833" spans="1:40" x14ac:dyDescent="0.25">
      <c r="A3833" t="str">
        <f>"20190312151349874"</f>
        <v>20190312151349874</v>
      </c>
      <c r="B3833" t="str">
        <f>"1552374829864429"</f>
        <v>1552374829864429</v>
      </c>
      <c r="C3833" t="s">
        <v>40</v>
      </c>
      <c r="D3833">
        <v>4.720872</v>
      </c>
      <c r="E3833">
        <v>0.52923140000000002</v>
      </c>
      <c r="F3833" t="s">
        <v>42</v>
      </c>
      <c r="G3833">
        <v>-247.36940000000001</v>
      </c>
      <c r="H3833" s="1">
        <v>-1.3319579999999901E-6</v>
      </c>
      <c r="I3833">
        <v>140.44720000000001</v>
      </c>
      <c r="J3833">
        <v>-223.82429999999999</v>
      </c>
      <c r="K3833">
        <v>1.1082019999999999</v>
      </c>
      <c r="L3833">
        <v>138.80459999999999</v>
      </c>
      <c r="M3833">
        <v>-0.99990520000000005</v>
      </c>
      <c r="N3833">
        <v>0</v>
      </c>
      <c r="O3833">
        <v>-1.092986E-2</v>
      </c>
      <c r="P3833">
        <v>-0.99930730000000001</v>
      </c>
      <c r="Q3833">
        <v>3.6220530000000001E-2</v>
      </c>
      <c r="R3833">
        <v>-8.5493719999999995E-3</v>
      </c>
      <c r="S3833">
        <v>-3.0093380000000001</v>
      </c>
      <c r="T3833">
        <v>-0.1402997</v>
      </c>
      <c r="U3833">
        <v>0.20793149999999999</v>
      </c>
      <c r="V3833">
        <v>2.5236880000000001E-3</v>
      </c>
      <c r="W3833">
        <v>4.4574099999999998E-2</v>
      </c>
      <c r="X3833">
        <v>0.99900290000000003</v>
      </c>
      <c r="Y3833">
        <v>7.9733170000000006E-2</v>
      </c>
      <c r="Z3833">
        <v>2.3641619999999999E-3</v>
      </c>
      <c r="AA3833">
        <v>0.99681339999999996</v>
      </c>
      <c r="AB3833">
        <v>23</v>
      </c>
      <c r="AC3833">
        <v>-23.545100000000001</v>
      </c>
      <c r="AD3833">
        <v>-1.108203331958</v>
      </c>
      <c r="AE3833">
        <v>1.6426000000000101</v>
      </c>
      <c r="AF3833">
        <v>1.89567634442558</v>
      </c>
      <c r="AG3833">
        <v>-1.108203331958</v>
      </c>
      <c r="AH3833">
        <v>23.4739887833531</v>
      </c>
      <c r="AI3833">
        <v>92.6941600409762</v>
      </c>
      <c r="AJ3833">
        <v>85.383014734535195</v>
      </c>
      <c r="AK3833">
        <v>23.576468200915102</v>
      </c>
      <c r="AL3833">
        <v>87.445245749310502</v>
      </c>
      <c r="AM3833">
        <v>89.855259315446304</v>
      </c>
      <c r="AN3833">
        <v>1.00000000680017</v>
      </c>
    </row>
    <row r="3834" spans="1:40" x14ac:dyDescent="0.25">
      <c r="A3834" t="str">
        <f>"20190312151349897"</f>
        <v>20190312151349897</v>
      </c>
      <c r="B3834" t="str">
        <f>"1552374829894684"</f>
        <v>1552374829894684</v>
      </c>
      <c r="C3834" t="s">
        <v>40</v>
      </c>
      <c r="D3834">
        <v>4.7187609999999998</v>
      </c>
      <c r="E3834">
        <v>0.52858839999999996</v>
      </c>
      <c r="F3834" t="s">
        <v>42</v>
      </c>
      <c r="G3834">
        <v>-247.02760000000001</v>
      </c>
      <c r="H3834" s="1">
        <v>-1.4678660000000001E-6</v>
      </c>
      <c r="I3834">
        <v>140.40710000000001</v>
      </c>
      <c r="J3834">
        <v>-224.07230000000001</v>
      </c>
      <c r="K3834">
        <v>1.1082620000000001</v>
      </c>
      <c r="L3834">
        <v>138.80449999999999</v>
      </c>
      <c r="M3834">
        <v>-0.99992809999999999</v>
      </c>
      <c r="N3834">
        <v>0</v>
      </c>
      <c r="O3834">
        <v>-8.6416210000000004E-3</v>
      </c>
      <c r="P3834">
        <v>-0.99930129999999995</v>
      </c>
      <c r="Q3834">
        <v>3.6592569999999998E-2</v>
      </c>
      <c r="R3834">
        <v>-7.6198139999999999E-3</v>
      </c>
      <c r="S3834">
        <v>-3.0090789999999998</v>
      </c>
      <c r="T3834">
        <v>-0.14371500000000001</v>
      </c>
      <c r="U3834">
        <v>0.2078247</v>
      </c>
      <c r="V3834">
        <v>1.1595329999999999E-3</v>
      </c>
      <c r="W3834">
        <v>4.4899929999999998E-2</v>
      </c>
      <c r="X3834">
        <v>0.99899079999999996</v>
      </c>
      <c r="Y3834">
        <v>7.7422909999999998E-2</v>
      </c>
      <c r="Z3834">
        <v>2.2576739999999999E-3</v>
      </c>
      <c r="AA3834">
        <v>0.99699579999999999</v>
      </c>
      <c r="AB3834">
        <v>23</v>
      </c>
      <c r="AC3834">
        <v>-22.955299999999902</v>
      </c>
      <c r="AD3834">
        <v>-1.1082634678659999</v>
      </c>
      <c r="AE3834">
        <v>1.60260000000002</v>
      </c>
      <c r="AF3834">
        <v>1.7967503161445599</v>
      </c>
      <c r="AG3834">
        <v>-1.1082634678659999</v>
      </c>
      <c r="AH3834">
        <v>22.887503970643401</v>
      </c>
      <c r="AI3834">
        <v>92.763732942800104</v>
      </c>
      <c r="AJ3834">
        <v>85.511283824479804</v>
      </c>
      <c r="AK3834">
        <v>22.984655699378902</v>
      </c>
      <c r="AL3834">
        <v>87.426558295301604</v>
      </c>
      <c r="AM3834">
        <v>89.9334965674648</v>
      </c>
      <c r="AN3834">
        <v>0.99999998335771101</v>
      </c>
    </row>
    <row r="3835" spans="1:40" x14ac:dyDescent="0.25">
      <c r="A3835" t="str">
        <f>"20190312151349918"</f>
        <v>20190312151349918</v>
      </c>
      <c r="B3835" t="str">
        <f>"1552374829914204"</f>
        <v>1552374829914204</v>
      </c>
      <c r="C3835" t="s">
        <v>40</v>
      </c>
      <c r="D3835">
        <v>4.6934060000000004</v>
      </c>
      <c r="E3835">
        <v>0.52819369999999999</v>
      </c>
      <c r="F3835" t="s">
        <v>42</v>
      </c>
      <c r="G3835">
        <v>-247.40600000000001</v>
      </c>
      <c r="H3835" s="1">
        <v>-1.3027409999999999E-6</v>
      </c>
      <c r="I3835">
        <v>140.3965</v>
      </c>
      <c r="J3835">
        <v>-224.28919999999999</v>
      </c>
      <c r="K3835">
        <v>1.1083190000000001</v>
      </c>
      <c r="L3835">
        <v>138.8048</v>
      </c>
      <c r="M3835">
        <v>-0.99994300000000003</v>
      </c>
      <c r="N3835">
        <v>0</v>
      </c>
      <c r="O3835">
        <v>-6.7598529999999997E-3</v>
      </c>
      <c r="P3835">
        <v>-0.99930189999999997</v>
      </c>
      <c r="Q3835">
        <v>3.6775389999999998E-2</v>
      </c>
      <c r="R3835">
        <v>-6.5970209999999998E-3</v>
      </c>
      <c r="S3835">
        <v>-3.0088810000000001</v>
      </c>
      <c r="T3835">
        <v>-0.14291099999999901</v>
      </c>
      <c r="U3835">
        <v>0.20529169999999999</v>
      </c>
      <c r="V3835">
        <v>2.952117E-4</v>
      </c>
      <c r="W3835">
        <v>4.5042359999999997E-2</v>
      </c>
      <c r="X3835">
        <v>0.99898509999999996</v>
      </c>
      <c r="Y3835">
        <v>7.4721780000000002E-2</v>
      </c>
      <c r="Z3835">
        <v>2.0919950000000001E-3</v>
      </c>
      <c r="AA3835">
        <v>0.99720220000000004</v>
      </c>
      <c r="AB3835">
        <v>23</v>
      </c>
      <c r="AC3835">
        <v>-23.116799999999898</v>
      </c>
      <c r="AD3835">
        <v>-1.108320302741</v>
      </c>
      <c r="AE3835">
        <v>1.5916999999999999</v>
      </c>
      <c r="AF3835">
        <v>1.7439453114672601</v>
      </c>
      <c r="AG3835">
        <v>-1.108320302741</v>
      </c>
      <c r="AH3835">
        <v>23.052771272203302</v>
      </c>
      <c r="AI3835">
        <v>92.744689492565001</v>
      </c>
      <c r="AJ3835">
        <v>85.673806709882797</v>
      </c>
      <c r="AK3835">
        <v>23.1451935068899</v>
      </c>
      <c r="AL3835">
        <v>87.418389605367807</v>
      </c>
      <c r="AM3835">
        <v>89.983068432171294</v>
      </c>
      <c r="AN3835">
        <v>1.00000006568316</v>
      </c>
    </row>
    <row r="3836" spans="1:40" x14ac:dyDescent="0.25">
      <c r="A3836" t="str">
        <f>"20190312151349939"</f>
        <v>20190312151349939</v>
      </c>
      <c r="B3836" t="str">
        <f>"1552374829934701"</f>
        <v>1552374829934701</v>
      </c>
      <c r="C3836" t="s">
        <v>40</v>
      </c>
      <c r="D3836">
        <v>4.6819620000000004</v>
      </c>
      <c r="E3836">
        <v>0.52777739999999995</v>
      </c>
      <c r="F3836" t="s">
        <v>42</v>
      </c>
      <c r="G3836">
        <v>-247.45429999999999</v>
      </c>
      <c r="H3836" s="1">
        <v>-1.2783549999999999E-6</v>
      </c>
      <c r="I3836">
        <v>140.3828</v>
      </c>
      <c r="J3836">
        <v>-224.5224</v>
      </c>
      <c r="K3836">
        <v>1.108379</v>
      </c>
      <c r="L3836">
        <v>138.80549999999999</v>
      </c>
      <c r="M3836">
        <v>-0.99995429999999996</v>
      </c>
      <c r="N3836">
        <v>0</v>
      </c>
      <c r="O3836">
        <v>-4.8436659999999999E-3</v>
      </c>
      <c r="P3836">
        <v>-0.99931199999999998</v>
      </c>
      <c r="Q3836">
        <v>3.6631909999999997E-2</v>
      </c>
      <c r="R3836">
        <v>-5.8212689999999996E-3</v>
      </c>
      <c r="S3836">
        <v>-3.0087429999999999</v>
      </c>
      <c r="T3836">
        <v>-0.14395150000000001</v>
      </c>
      <c r="U3836">
        <v>0.2049561</v>
      </c>
      <c r="V3836">
        <v>-8.520283E-4</v>
      </c>
      <c r="W3836">
        <v>4.4859910000000003E-2</v>
      </c>
      <c r="X3836">
        <v>0.99899289999999996</v>
      </c>
      <c r="Y3836">
        <v>7.2706190000000004E-2</v>
      </c>
      <c r="Z3836">
        <v>1.9676490000000001E-3</v>
      </c>
      <c r="AA3836">
        <v>0.99735149999999995</v>
      </c>
      <c r="AB3836">
        <v>23</v>
      </c>
      <c r="AC3836">
        <v>-22.931899999999899</v>
      </c>
      <c r="AD3836">
        <v>-1.1083802783550001</v>
      </c>
      <c r="AE3836">
        <v>1.5772999999999999</v>
      </c>
      <c r="AF3836">
        <v>1.6844431799001101</v>
      </c>
      <c r="AG3836">
        <v>-1.1083802783550001</v>
      </c>
      <c r="AH3836">
        <v>22.870813129951799</v>
      </c>
      <c r="AI3836">
        <v>92.7670518014626</v>
      </c>
      <c r="AJ3836">
        <v>85.787751598865398</v>
      </c>
      <c r="AK3836">
        <v>22.959528498924701</v>
      </c>
      <c r="AL3836">
        <v>87.428853565915404</v>
      </c>
      <c r="AM3836">
        <v>90.048866827560801</v>
      </c>
      <c r="AN3836">
        <v>0.99999997586391998</v>
      </c>
    </row>
    <row r="3837" spans="1:40" x14ac:dyDescent="0.25">
      <c r="A3837" t="str">
        <f>"20190312151349962"</f>
        <v>20190312151349962</v>
      </c>
      <c r="B3837" t="str">
        <f>"1552374829954220"</f>
        <v>1552374829954220</v>
      </c>
      <c r="C3837" t="s">
        <v>40</v>
      </c>
      <c r="D3837">
        <v>4.6777730000000002</v>
      </c>
      <c r="E3837">
        <v>0.52732869999999998</v>
      </c>
      <c r="F3837" t="s">
        <v>42</v>
      </c>
      <c r="G3837">
        <v>-247.4539</v>
      </c>
      <c r="H3837" s="1">
        <v>-1.2723680000000001E-6</v>
      </c>
      <c r="I3837">
        <v>140.3596</v>
      </c>
      <c r="J3837">
        <v>-224.75919999999999</v>
      </c>
      <c r="K3837">
        <v>1.1084369999999999</v>
      </c>
      <c r="L3837">
        <v>138.8065</v>
      </c>
      <c r="M3837">
        <v>-0.99996200000000002</v>
      </c>
      <c r="N3837">
        <v>0</v>
      </c>
      <c r="O3837">
        <v>-2.993744E-3</v>
      </c>
      <c r="P3837">
        <v>-0.99932909999999997</v>
      </c>
      <c r="Q3837">
        <v>3.6242799999999999E-2</v>
      </c>
      <c r="R3837">
        <v>-5.2597520000000004E-3</v>
      </c>
      <c r="S3837">
        <v>-3.008575</v>
      </c>
      <c r="T3837">
        <v>-0.14541770000000001</v>
      </c>
      <c r="U3837">
        <v>0.20390320000000001</v>
      </c>
      <c r="V3837">
        <v>-2.1463300000000001E-3</v>
      </c>
      <c r="W3837">
        <v>4.443739E-2</v>
      </c>
      <c r="X3837">
        <v>0.99900979999999995</v>
      </c>
      <c r="Y3837">
        <v>7.0520139999999995E-2</v>
      </c>
      <c r="Z3837">
        <v>1.8457910000000001E-3</v>
      </c>
      <c r="AA3837">
        <v>0.99750859999999997</v>
      </c>
      <c r="AB3837">
        <v>24</v>
      </c>
      <c r="AC3837">
        <v>-22.694700000000001</v>
      </c>
      <c r="AD3837">
        <v>-1.108438272368</v>
      </c>
      <c r="AE3837">
        <v>1.5530999999999999</v>
      </c>
      <c r="AF3837">
        <v>1.61719764386304</v>
      </c>
      <c r="AG3837">
        <v>-1.108438272368</v>
      </c>
      <c r="AH3837">
        <v>22.636202258446598</v>
      </c>
      <c r="AI3837">
        <v>92.796276141326999</v>
      </c>
      <c r="AJ3837">
        <v>85.9135621164084</v>
      </c>
      <c r="AK3837">
        <v>22.720951043217099</v>
      </c>
      <c r="AL3837">
        <v>87.453086239938699</v>
      </c>
      <c r="AM3837">
        <v>90.123097352227802</v>
      </c>
      <c r="AN3837">
        <v>0.99999993442925805</v>
      </c>
    </row>
    <row r="3838" spans="1:40" x14ac:dyDescent="0.25">
      <c r="A3838" t="str">
        <f>"20190312151349985"</f>
        <v>20190312151349985</v>
      </c>
      <c r="B3838" t="str">
        <f>"1552374829974717"</f>
        <v>1552374829974717</v>
      </c>
      <c r="C3838" t="s">
        <v>40</v>
      </c>
      <c r="D3838">
        <v>4.6528119999999999</v>
      </c>
      <c r="E3838">
        <v>0.52685959999999998</v>
      </c>
      <c r="F3838" t="s">
        <v>42</v>
      </c>
      <c r="G3838">
        <v>-247.31219999999999</v>
      </c>
      <c r="H3838" s="1">
        <v>-1.322873E-6</v>
      </c>
      <c r="I3838">
        <v>140.321</v>
      </c>
      <c r="J3838">
        <v>-225.0102</v>
      </c>
      <c r="K3838">
        <v>1.108484</v>
      </c>
      <c r="L3838">
        <v>138.80789999999999</v>
      </c>
      <c r="M3838">
        <v>-0.99996609999999997</v>
      </c>
      <c r="N3838">
        <v>0</v>
      </c>
      <c r="O3838">
        <v>-1.116222E-3</v>
      </c>
      <c r="P3838">
        <v>-0.99932929999999998</v>
      </c>
      <c r="Q3838">
        <v>3.631409E-2</v>
      </c>
      <c r="R3838">
        <v>-4.7306659999999997E-3</v>
      </c>
      <c r="S3838">
        <v>-3.0084230000000001</v>
      </c>
      <c r="T3838">
        <v>-0.14785860000000001</v>
      </c>
      <c r="U3838">
        <v>0.20202639999999999</v>
      </c>
      <c r="V3838">
        <v>-3.4991969999999999E-3</v>
      </c>
      <c r="W3838">
        <v>4.4477389999999999E-2</v>
      </c>
      <c r="X3838">
        <v>0.99900420000000001</v>
      </c>
      <c r="Y3838">
        <v>6.803331E-2</v>
      </c>
      <c r="Z3838">
        <v>1.7237419999999999E-3</v>
      </c>
      <c r="AA3838">
        <v>0.99768159999999895</v>
      </c>
      <c r="AB3838">
        <v>24</v>
      </c>
      <c r="AC3838">
        <v>-22.3019999999999</v>
      </c>
      <c r="AD3838">
        <v>-1.1084853228730001</v>
      </c>
      <c r="AE3838">
        <v>1.5130999999999999</v>
      </c>
      <c r="AF3838">
        <v>1.53422105206433</v>
      </c>
      <c r="AG3838">
        <v>-1.1084853228730001</v>
      </c>
      <c r="AH3838">
        <v>22.245592757556999</v>
      </c>
      <c r="AI3838">
        <v>92.845907766846395</v>
      </c>
      <c r="AJ3838">
        <v>86.054705489500606</v>
      </c>
      <c r="AK3838">
        <v>22.325970775818401</v>
      </c>
      <c r="AL3838">
        <v>87.450792147225002</v>
      </c>
      <c r="AM3838">
        <v>90.200688245224597</v>
      </c>
      <c r="AN3838">
        <v>0.99999993710924595</v>
      </c>
    </row>
    <row r="3839" spans="1:40" x14ac:dyDescent="0.25">
      <c r="A3839" t="str">
        <f>"20190312151350008"</f>
        <v>20190312151350008</v>
      </c>
      <c r="B3839" t="str">
        <f>"1552374830003997"</f>
        <v>1552374830003997</v>
      </c>
      <c r="C3839" t="s">
        <v>40</v>
      </c>
      <c r="D3839">
        <v>4.6279180000000002</v>
      </c>
      <c r="E3839">
        <v>0.52617630000000004</v>
      </c>
      <c r="F3839" t="s">
        <v>42</v>
      </c>
      <c r="G3839">
        <v>-247.45910000000001</v>
      </c>
      <c r="H3839" s="1">
        <v>-1.254062E-6</v>
      </c>
      <c r="I3839">
        <v>140.29920000000001</v>
      </c>
      <c r="J3839">
        <v>-225.25069999999999</v>
      </c>
      <c r="K3839">
        <v>1.108503</v>
      </c>
      <c r="L3839">
        <v>138.80959999999999</v>
      </c>
      <c r="M3839">
        <v>-0.99996689999999999</v>
      </c>
      <c r="N3839">
        <v>0</v>
      </c>
      <c r="O3839">
        <v>6.1875530000000002E-4</v>
      </c>
      <c r="P3839">
        <v>-0.99931000000000003</v>
      </c>
      <c r="Q3839">
        <v>3.6809519999999998E-2</v>
      </c>
      <c r="R3839">
        <v>-4.9765629999999998E-3</v>
      </c>
      <c r="S3839">
        <v>-3.008362</v>
      </c>
      <c r="T3839">
        <v>-0.1485475</v>
      </c>
      <c r="U3839">
        <v>0.1998596</v>
      </c>
      <c r="V3839">
        <v>-5.4807409999999999E-3</v>
      </c>
      <c r="W3839">
        <v>4.4948990000000001E-2</v>
      </c>
      <c r="X3839">
        <v>0.99897429999999998</v>
      </c>
      <c r="Y3839">
        <v>6.5592330000000004E-2</v>
      </c>
      <c r="Z3839">
        <v>1.5861499999999999E-3</v>
      </c>
      <c r="AA3839">
        <v>0.99784519999999999</v>
      </c>
      <c r="AB3839">
        <v>24</v>
      </c>
      <c r="AC3839">
        <v>-22.208400000000001</v>
      </c>
      <c r="AD3839">
        <v>-1.108504254062</v>
      </c>
      <c r="AE3839">
        <v>1.48960000000002</v>
      </c>
      <c r="AF3839">
        <v>1.4722062974981001</v>
      </c>
      <c r="AG3839">
        <v>-1.108504254062</v>
      </c>
      <c r="AH3839">
        <v>22.1543696996956</v>
      </c>
      <c r="AI3839">
        <v>92.858139135839906</v>
      </c>
      <c r="AJ3839">
        <v>86.198159797426101</v>
      </c>
      <c r="AK3839">
        <v>22.230885494160098</v>
      </c>
      <c r="AL3839">
        <v>87.423744698238295</v>
      </c>
      <c r="AM3839">
        <v>90.314342598438799</v>
      </c>
      <c r="AN3839">
        <v>1.0000000511422</v>
      </c>
    </row>
    <row r="3840" spans="1:40" x14ac:dyDescent="0.25">
      <c r="A3840" t="str">
        <f>"20190312151350031"</f>
        <v>20190312151350031</v>
      </c>
      <c r="B3840" t="str">
        <f>"1552374830024494"</f>
        <v>1552374830024494</v>
      </c>
      <c r="C3840" t="s">
        <v>40</v>
      </c>
      <c r="D3840">
        <v>4.5953339999999896</v>
      </c>
      <c r="E3840">
        <v>0.52572700000000006</v>
      </c>
      <c r="F3840" t="s">
        <v>42</v>
      </c>
      <c r="G3840">
        <v>-247.65710000000001</v>
      </c>
      <c r="H3840" s="1">
        <v>-1.156122E-6</v>
      </c>
      <c r="I3840">
        <v>140.25030000000001</v>
      </c>
      <c r="J3840">
        <v>-225.4949</v>
      </c>
      <c r="K3840">
        <v>1.1085069999999999</v>
      </c>
      <c r="L3840">
        <v>138.8117</v>
      </c>
      <c r="M3840">
        <v>-0.99996450000000003</v>
      </c>
      <c r="N3840">
        <v>0</v>
      </c>
      <c r="O3840">
        <v>2.3468830000000001E-3</v>
      </c>
      <c r="P3840">
        <v>-0.99931650000000005</v>
      </c>
      <c r="Q3840">
        <v>3.6625709999999999E-2</v>
      </c>
      <c r="R3840">
        <v>-5.0593130000000002E-3</v>
      </c>
      <c r="S3840">
        <v>-3.0085139999999999</v>
      </c>
      <c r="T3840">
        <v>-0.14883959999999999</v>
      </c>
      <c r="U3840">
        <v>0.19345090000000001</v>
      </c>
      <c r="V3840">
        <v>-7.2913969999999998E-3</v>
      </c>
      <c r="W3840">
        <v>4.4745590000000002E-2</v>
      </c>
      <c r="X3840">
        <v>0.99897179999999997</v>
      </c>
      <c r="Y3840">
        <v>6.175398E-2</v>
      </c>
      <c r="Z3840">
        <v>1.4091469999999999E-3</v>
      </c>
      <c r="AA3840">
        <v>0.99809040000000004</v>
      </c>
      <c r="AB3840">
        <v>24</v>
      </c>
      <c r="AC3840">
        <v>-22.162199999999999</v>
      </c>
      <c r="AD3840">
        <v>-1.1085081561219901</v>
      </c>
      <c r="AE3840">
        <v>1.4386000000000001</v>
      </c>
      <c r="AF3840">
        <v>1.3831364371350501</v>
      </c>
      <c r="AG3840">
        <v>-1.1085081561219901</v>
      </c>
      <c r="AH3840">
        <v>22.110431591775001</v>
      </c>
      <c r="AI3840">
        <v>92.864535157743205</v>
      </c>
      <c r="AJ3840">
        <v>86.420479163334406</v>
      </c>
      <c r="AK3840">
        <v>22.181366998237099</v>
      </c>
      <c r="AL3840">
        <v>87.435410251876107</v>
      </c>
      <c r="AM3840">
        <v>90.418188838166003</v>
      </c>
      <c r="AN3840">
        <v>0.99999999474494905</v>
      </c>
    </row>
    <row r="3841" spans="1:40" x14ac:dyDescent="0.25">
      <c r="A3841" t="str">
        <f>"20190312151350051"</f>
        <v>20190312151350051</v>
      </c>
      <c r="B3841" t="str">
        <f>"1552374830044013"</f>
        <v>1552374830044013</v>
      </c>
      <c r="C3841" t="s">
        <v>40</v>
      </c>
      <c r="D3841">
        <v>4.7198570000000002</v>
      </c>
      <c r="E3841">
        <v>0.52533790000000002</v>
      </c>
      <c r="F3841" t="s">
        <v>42</v>
      </c>
      <c r="G3841">
        <v>-247.81549999999999</v>
      </c>
      <c r="H3841" s="1">
        <v>-1.0794570000000001E-6</v>
      </c>
      <c r="I3841">
        <v>140.2176</v>
      </c>
      <c r="J3841">
        <v>-225.7199</v>
      </c>
      <c r="K3841">
        <v>1.10849</v>
      </c>
      <c r="L3841">
        <v>138.81399999999999</v>
      </c>
      <c r="M3841">
        <v>-0.99995959999999995</v>
      </c>
      <c r="N3841">
        <v>0</v>
      </c>
      <c r="O3841">
        <v>3.9266759999999996E-3</v>
      </c>
      <c r="P3841">
        <v>-0.99931110000000001</v>
      </c>
      <c r="Q3841">
        <v>3.6741830000000003E-2</v>
      </c>
      <c r="R3841">
        <v>-5.2395749999999998E-3</v>
      </c>
      <c r="S3841">
        <v>-3.008499</v>
      </c>
      <c r="T3841">
        <v>-0.149411299999999</v>
      </c>
      <c r="U3841">
        <v>0.1894989</v>
      </c>
      <c r="V3841">
        <v>-9.0485879999999998E-3</v>
      </c>
      <c r="W3841">
        <v>4.4847060000000001E-2</v>
      </c>
      <c r="X3841">
        <v>0.99895290000000003</v>
      </c>
      <c r="Y3841">
        <v>5.8876310000000001E-2</v>
      </c>
      <c r="Z3841">
        <v>1.264947E-3</v>
      </c>
      <c r="AA3841">
        <v>0.9982645</v>
      </c>
      <c r="AB3841">
        <v>24</v>
      </c>
      <c r="AC3841">
        <v>-22.095599999999902</v>
      </c>
      <c r="AD3841">
        <v>-1.108491079457</v>
      </c>
      <c r="AE3841">
        <v>1.40360000000001</v>
      </c>
      <c r="AF3841">
        <v>1.3135314393667501</v>
      </c>
      <c r="AG3841">
        <v>-1.108491079457</v>
      </c>
      <c r="AH3841">
        <v>22.045679216494602</v>
      </c>
      <c r="AI3841">
        <v>92.873409519984307</v>
      </c>
      <c r="AJ3841">
        <v>86.590218989377604</v>
      </c>
      <c r="AK3841">
        <v>22.1125776297568</v>
      </c>
      <c r="AL3841">
        <v>87.429590661860203</v>
      </c>
      <c r="AM3841">
        <v>90.518975143255602</v>
      </c>
      <c r="AN3841">
        <v>1.00000001607692</v>
      </c>
    </row>
    <row r="3842" spans="1:40" x14ac:dyDescent="0.25">
      <c r="A3842" t="str">
        <f>"20190312151350073"</f>
        <v>20190312151350073</v>
      </c>
      <c r="B3842" t="str">
        <f>"1552374830064509"</f>
        <v>1552374830064509</v>
      </c>
      <c r="C3842" t="s">
        <v>40</v>
      </c>
      <c r="D3842">
        <v>4.9893280000000004</v>
      </c>
      <c r="E3842">
        <v>0.50388880000000003</v>
      </c>
      <c r="F3842" t="s">
        <v>42</v>
      </c>
      <c r="G3842">
        <v>-248.01060000000001</v>
      </c>
      <c r="H3842" s="1">
        <v>-9.8788799999999998E-7</v>
      </c>
      <c r="I3842">
        <v>140.18790000000001</v>
      </c>
      <c r="J3842">
        <v>-225.95330000000001</v>
      </c>
      <c r="K3842">
        <v>1.108466</v>
      </c>
      <c r="L3842">
        <v>138.8168</v>
      </c>
      <c r="M3842">
        <v>-0.99995199999999995</v>
      </c>
      <c r="N3842">
        <v>0</v>
      </c>
      <c r="O3842">
        <v>5.5674289999999996E-3</v>
      </c>
      <c r="P3842">
        <v>-0.9993187</v>
      </c>
      <c r="Q3842">
        <v>3.6512610000000001E-2</v>
      </c>
      <c r="R3842">
        <v>-5.4220600000000002E-3</v>
      </c>
      <c r="S3842">
        <v>-3.0085449999999998</v>
      </c>
      <c r="T3842">
        <v>-0.14961179999999999</v>
      </c>
      <c r="U3842">
        <v>0.1854401</v>
      </c>
      <c r="V3842">
        <v>-1.0869729999999999E-2</v>
      </c>
      <c r="W3842">
        <v>4.4606489999999999E-2</v>
      </c>
      <c r="X3842">
        <v>0.99894550000000004</v>
      </c>
      <c r="Y3842">
        <v>5.5901060000000002E-2</v>
      </c>
      <c r="Z3842">
        <v>1.1113519999999999E-3</v>
      </c>
      <c r="AA3842">
        <v>0.99843570000000004</v>
      </c>
      <c r="AB3842">
        <v>24</v>
      </c>
      <c r="AC3842">
        <v>-22.057300000000001</v>
      </c>
      <c r="AD3842">
        <v>-1.108466987888</v>
      </c>
      <c r="AE3842">
        <v>1.37110000000001</v>
      </c>
      <c r="AF3842">
        <v>1.24513985629506</v>
      </c>
      <c r="AG3842">
        <v>-1.108466987888</v>
      </c>
      <c r="AH3842">
        <v>22.009222370868201</v>
      </c>
      <c r="AI3842">
        <v>92.878599118759794</v>
      </c>
      <c r="AJ3842">
        <v>86.762025823702899</v>
      </c>
      <c r="AK3842">
        <v>22.0722663470542</v>
      </c>
      <c r="AL3842">
        <v>87.443388076418501</v>
      </c>
      <c r="AM3842">
        <v>90.623422474634793</v>
      </c>
      <c r="AN3842">
        <v>1.00000000097532</v>
      </c>
    </row>
    <row r="3843" spans="1:40" x14ac:dyDescent="0.25">
      <c r="A3843" t="str">
        <f>"20190312151350096"</f>
        <v>20190312151350096</v>
      </c>
      <c r="B3843" t="str">
        <f>"1552374830084028"</f>
        <v>1552374830084028</v>
      </c>
      <c r="C3843" t="s">
        <v>40</v>
      </c>
      <c r="D3843">
        <v>4.5458429999999996</v>
      </c>
      <c r="E3843">
        <v>0.4827709</v>
      </c>
      <c r="F3843" t="s">
        <v>42</v>
      </c>
      <c r="G3843">
        <v>-246.37110000000001</v>
      </c>
      <c r="H3843" s="1">
        <v>-1.664802E-6</v>
      </c>
      <c r="I3843">
        <v>138.9075</v>
      </c>
      <c r="J3843">
        <v>-226.20050000000001</v>
      </c>
      <c r="K3843">
        <v>1.108436</v>
      </c>
      <c r="L3843">
        <v>138.8201</v>
      </c>
      <c r="M3843">
        <v>-0.99994079999999996</v>
      </c>
      <c r="N3843">
        <v>0</v>
      </c>
      <c r="O3843">
        <v>7.315546E-3</v>
      </c>
      <c r="P3843">
        <v>-0.99936029999999998</v>
      </c>
      <c r="Q3843">
        <v>3.5368299999999998E-2</v>
      </c>
      <c r="R3843">
        <v>-5.2728799999999998E-3</v>
      </c>
      <c r="S3843">
        <v>-3.0081180000000001</v>
      </c>
      <c r="T3843">
        <v>-0.16330899999999901</v>
      </c>
      <c r="U3843">
        <v>1.338196E-2</v>
      </c>
      <c r="V3843">
        <v>-1.246893E-2</v>
      </c>
      <c r="W3843">
        <v>4.3452709999999999E-2</v>
      </c>
      <c r="X3843">
        <v>0.99897769999999997</v>
      </c>
      <c r="Y3843">
        <v>-2.8522859999999999E-3</v>
      </c>
      <c r="Z3843">
        <v>-4.7423840000000001E-4</v>
      </c>
      <c r="AA3843">
        <v>0.99999579999999999</v>
      </c>
      <c r="AB3843">
        <v>24</v>
      </c>
      <c r="AC3843">
        <v>-20.1706</v>
      </c>
      <c r="AD3843">
        <v>-1.108437664802</v>
      </c>
      <c r="AE3843">
        <v>8.7400000000002295E-2</v>
      </c>
      <c r="AF3843">
        <v>-5.9984936107166799E-2</v>
      </c>
      <c r="AG3843">
        <v>-1.108437664802</v>
      </c>
      <c r="AH3843">
        <v>20.109971725917099</v>
      </c>
      <c r="AI3843">
        <v>93.154868699960502</v>
      </c>
      <c r="AJ3843">
        <v>90.170903943930199</v>
      </c>
      <c r="AK3843">
        <v>20.140585767710299</v>
      </c>
      <c r="AL3843">
        <v>87.509559044280607</v>
      </c>
      <c r="AM3843">
        <v>90.715111025218704</v>
      </c>
      <c r="AN3843">
        <v>1.0000000286594799</v>
      </c>
    </row>
    <row r="3844" spans="1:40" x14ac:dyDescent="0.25">
      <c r="A3844" t="str">
        <f>"20190312151350119"</f>
        <v>20190312151350119</v>
      </c>
      <c r="B3844" t="str">
        <f>"1552374830114285"</f>
        <v>1552374830114285</v>
      </c>
      <c r="C3844" t="s">
        <v>40</v>
      </c>
      <c r="D3844">
        <v>4.5455449999999997</v>
      </c>
      <c r="E3844">
        <v>0.48154629999999998</v>
      </c>
      <c r="F3844" t="s">
        <v>42</v>
      </c>
      <c r="G3844">
        <v>-242.71379999999999</v>
      </c>
      <c r="H3844" s="1">
        <v>-3.4002850000000001E-6</v>
      </c>
      <c r="I3844">
        <v>137.96889999999999</v>
      </c>
      <c r="J3844">
        <v>-226.4427</v>
      </c>
      <c r="K3844">
        <v>1.1084149999999999</v>
      </c>
      <c r="L3844">
        <v>138.82380000000001</v>
      </c>
      <c r="M3844">
        <v>-0.9999268</v>
      </c>
      <c r="N3844">
        <v>0</v>
      </c>
      <c r="O3844">
        <v>9.0446910000000005E-3</v>
      </c>
      <c r="P3844">
        <v>-0.99940309999999999</v>
      </c>
      <c r="Q3844">
        <v>3.4169709999999999E-2</v>
      </c>
      <c r="R3844">
        <v>-5.1353570000000001E-3</v>
      </c>
      <c r="S3844">
        <v>-3.0082399999999998</v>
      </c>
      <c r="T3844">
        <v>-0.2019254</v>
      </c>
      <c r="U3844">
        <v>-0.1550598</v>
      </c>
      <c r="V3844">
        <v>-1.4060649999999999E-2</v>
      </c>
      <c r="W3844">
        <v>4.2247899999999998E-2</v>
      </c>
      <c r="X3844">
        <v>0.99900820000000001</v>
      </c>
      <c r="Y3844">
        <v>-6.035182E-2</v>
      </c>
      <c r="Z3844">
        <v>-2.6280000000000001E-3</v>
      </c>
      <c r="AA3844">
        <v>0.99817370000000005</v>
      </c>
      <c r="AB3844">
        <v>24</v>
      </c>
      <c r="AC3844">
        <v>-16.271099999999901</v>
      </c>
      <c r="AD3844">
        <v>-1.1084184002849999</v>
      </c>
      <c r="AE3844">
        <v>-0.85490000000001398</v>
      </c>
      <c r="AF3844">
        <v>-0.99742096955960602</v>
      </c>
      <c r="AG3844">
        <v>-1.1084184002849999</v>
      </c>
      <c r="AH3844">
        <v>16.1877876926123</v>
      </c>
      <c r="AI3844">
        <v>93.9096801329936</v>
      </c>
      <c r="AJ3844">
        <v>93.525858922602296</v>
      </c>
      <c r="AK3844">
        <v>16.256319088948</v>
      </c>
      <c r="AL3844">
        <v>87.578652932134304</v>
      </c>
      <c r="AM3844">
        <v>90.806362462763204</v>
      </c>
      <c r="AN3844">
        <v>0.99999998530003598</v>
      </c>
    </row>
    <row r="3845" spans="1:40" x14ac:dyDescent="0.25">
      <c r="A3845" t="str">
        <f>"20190312151350140"</f>
        <v>20190312151350140</v>
      </c>
      <c r="B3845" t="str">
        <f>"1552374830133804"</f>
        <v>1552374830133804</v>
      </c>
      <c r="C3845" t="s">
        <v>40</v>
      </c>
      <c r="D3845">
        <v>4.5909319999999996</v>
      </c>
      <c r="E3845">
        <v>0.48079440000000001</v>
      </c>
      <c r="F3845" t="s">
        <v>42</v>
      </c>
      <c r="G3845">
        <v>-243.8134</v>
      </c>
      <c r="H3845" s="1">
        <v>-2.9454900000000002E-6</v>
      </c>
      <c r="I3845">
        <v>137.8734</v>
      </c>
      <c r="J3845">
        <v>-226.6797</v>
      </c>
      <c r="K3845">
        <v>1.108393</v>
      </c>
      <c r="L3845">
        <v>138.8278</v>
      </c>
      <c r="M3845">
        <v>-0.99990999999999997</v>
      </c>
      <c r="N3845">
        <v>0</v>
      </c>
      <c r="O3845">
        <v>1.074985E-2</v>
      </c>
      <c r="P3845">
        <v>-0.99943459999999995</v>
      </c>
      <c r="Q3845">
        <v>3.3266850000000001E-2</v>
      </c>
      <c r="R3845">
        <v>-4.9251420000000004E-3</v>
      </c>
      <c r="S3845">
        <v>-3.0074920000000001</v>
      </c>
      <c r="T3845">
        <v>-0.19190750000000001</v>
      </c>
      <c r="U3845">
        <v>-0.164550799999999</v>
      </c>
      <c r="V3845">
        <v>-1.555605E-2</v>
      </c>
      <c r="W3845">
        <v>4.1341269999999999E-2</v>
      </c>
      <c r="X3845">
        <v>0.99902400000000002</v>
      </c>
      <c r="Y3845">
        <v>-6.5208849999999999E-2</v>
      </c>
      <c r="Z3845">
        <v>-2.761622E-3</v>
      </c>
      <c r="AA3845">
        <v>0.99786779999999997</v>
      </c>
      <c r="AB3845">
        <v>24</v>
      </c>
      <c r="AC3845">
        <v>-17.133700000000001</v>
      </c>
      <c r="AD3845">
        <v>-1.1083959454900001</v>
      </c>
      <c r="AE3845">
        <v>-0.95439999999999203</v>
      </c>
      <c r="AF3845">
        <v>-1.1338052774809599</v>
      </c>
      <c r="AG3845">
        <v>-1.1083959454900001</v>
      </c>
      <c r="AH3845">
        <v>17.051312229778301</v>
      </c>
      <c r="AI3845">
        <v>93.711024945669706</v>
      </c>
      <c r="AJ3845">
        <v>93.804209775338194</v>
      </c>
      <c r="AK3845">
        <v>17.124873860458301</v>
      </c>
      <c r="AL3845">
        <v>87.630644523022596</v>
      </c>
      <c r="AM3845">
        <v>90.892094670112598</v>
      </c>
      <c r="AN3845">
        <v>1.0000000219364</v>
      </c>
    </row>
    <row r="3846" spans="1:40" x14ac:dyDescent="0.25">
      <c r="A3846" t="str">
        <f>"20190312151350162"</f>
        <v>20190312151350162</v>
      </c>
      <c r="B3846" t="str">
        <f>"1552374830154301"</f>
        <v>1552374830154301</v>
      </c>
      <c r="C3846" t="s">
        <v>40</v>
      </c>
      <c r="D3846">
        <v>4.8648600000000002</v>
      </c>
      <c r="E3846">
        <v>0.48042370000000001</v>
      </c>
      <c r="F3846" t="s">
        <v>42</v>
      </c>
      <c r="G3846">
        <v>-243.7208</v>
      </c>
      <c r="H3846" s="1">
        <v>-2.987064E-6</v>
      </c>
      <c r="I3846">
        <v>137.8629</v>
      </c>
      <c r="J3846">
        <v>-226.91909999999999</v>
      </c>
      <c r="K3846">
        <v>1.108366</v>
      </c>
      <c r="L3846">
        <v>138.8323</v>
      </c>
      <c r="M3846">
        <v>-0.9998899</v>
      </c>
      <c r="N3846">
        <v>0</v>
      </c>
      <c r="O3846">
        <v>1.248229E-2</v>
      </c>
      <c r="P3846">
        <v>-0.99944560000000005</v>
      </c>
      <c r="Q3846">
        <v>3.2961600000000001E-2</v>
      </c>
      <c r="R3846">
        <v>-4.7315589999999998E-3</v>
      </c>
      <c r="S3846">
        <v>-3.0073850000000002</v>
      </c>
      <c r="T3846">
        <v>-0.19560859999999999</v>
      </c>
      <c r="U3846">
        <v>-0.170272799999999</v>
      </c>
      <c r="V3846">
        <v>-1.709302E-2</v>
      </c>
      <c r="W3846">
        <v>4.1033500000000001E-2</v>
      </c>
      <c r="X3846">
        <v>0.9990116</v>
      </c>
      <c r="Y3846">
        <v>-6.8814769999999997E-2</v>
      </c>
      <c r="Z3846">
        <v>-3.0442659999999999E-3</v>
      </c>
      <c r="AA3846">
        <v>0.99762479999999998</v>
      </c>
      <c r="AB3846">
        <v>24</v>
      </c>
      <c r="AC3846">
        <v>-16.8017</v>
      </c>
      <c r="AD3846">
        <v>-1.1083689870640001</v>
      </c>
      <c r="AE3846">
        <v>-0.96940000000000703</v>
      </c>
      <c r="AF3846">
        <v>-1.17396309128901</v>
      </c>
      <c r="AG3846">
        <v>-1.1083689870640001</v>
      </c>
      <c r="AH3846">
        <v>16.715788919716299</v>
      </c>
      <c r="AI3846">
        <v>93.784247687214702</v>
      </c>
      <c r="AJ3846">
        <v>94.0173316459652</v>
      </c>
      <c r="AK3846">
        <v>16.793578247642799</v>
      </c>
      <c r="AL3846">
        <v>87.648293482707899</v>
      </c>
      <c r="AM3846">
        <v>90.980231213518493</v>
      </c>
      <c r="AN3846">
        <v>1.00000004819476</v>
      </c>
    </row>
    <row r="3847" spans="1:40" x14ac:dyDescent="0.25">
      <c r="A3847" t="str">
        <f>"20190312151350186"</f>
        <v>20190312151350186</v>
      </c>
      <c r="B3847" t="str">
        <f>"1552374830174368"</f>
        <v>1552374830174368</v>
      </c>
      <c r="C3847" t="s">
        <v>40</v>
      </c>
      <c r="D3847">
        <v>4.9208080000000001</v>
      </c>
      <c r="E3847">
        <v>0.48003129999999999</v>
      </c>
      <c r="F3847" t="s">
        <v>42</v>
      </c>
      <c r="G3847">
        <v>-244.25389999999999</v>
      </c>
      <c r="H3847" s="1">
        <v>-2.762828E-6</v>
      </c>
      <c r="I3847">
        <v>137.83789999999999</v>
      </c>
      <c r="J3847">
        <v>-227.17410000000001</v>
      </c>
      <c r="K3847">
        <v>1.1083459999999901</v>
      </c>
      <c r="L3847">
        <v>138.83750000000001</v>
      </c>
      <c r="M3847">
        <v>-0.99986509999999995</v>
      </c>
      <c r="N3847">
        <v>0</v>
      </c>
      <c r="O3847">
        <v>1.4335229999999999E-2</v>
      </c>
      <c r="P3847">
        <v>-0.99947799999999998</v>
      </c>
      <c r="Q3847">
        <v>3.2031570000000002E-2</v>
      </c>
      <c r="R3847">
        <v>-4.2723379999999997E-3</v>
      </c>
      <c r="S3847">
        <v>-3.0071870000000001</v>
      </c>
      <c r="T3847">
        <v>-0.19227639999999999</v>
      </c>
      <c r="U3847">
        <v>-0.1725006</v>
      </c>
      <c r="V3847">
        <v>-1.8487079999999999E-2</v>
      </c>
      <c r="W3847">
        <v>4.0102520000000003E-2</v>
      </c>
      <c r="X3847">
        <v>0.99902449999999998</v>
      </c>
      <c r="Y3847">
        <v>-7.1400389999999994E-2</v>
      </c>
      <c r="Z3847">
        <v>-3.193432E-3</v>
      </c>
      <c r="AA3847">
        <v>0.99744259999999996</v>
      </c>
      <c r="AB3847">
        <v>24</v>
      </c>
      <c r="AC3847">
        <v>-17.079799999999899</v>
      </c>
      <c r="AD3847">
        <v>-1.10834876282799</v>
      </c>
      <c r="AE3847">
        <v>-0.99960000000001503</v>
      </c>
      <c r="AF3847">
        <v>-1.23914774700811</v>
      </c>
      <c r="AG3847">
        <v>-1.10834876282799</v>
      </c>
      <c r="AH3847">
        <v>16.992403801613801</v>
      </c>
      <c r="AI3847">
        <v>93.722040026832701</v>
      </c>
      <c r="AJ3847">
        <v>94.170833315016196</v>
      </c>
      <c r="AK3847">
        <v>17.0735383291243</v>
      </c>
      <c r="AL3847">
        <v>87.701678470055299</v>
      </c>
      <c r="AM3847">
        <v>91.060144948025297</v>
      </c>
      <c r="AN3847">
        <v>0.999999967918763</v>
      </c>
    </row>
    <row r="3848" spans="1:40" x14ac:dyDescent="0.25">
      <c r="A3848" t="str">
        <f>"20190312151350209"</f>
        <v>20190312151350209</v>
      </c>
      <c r="B3848" t="str">
        <f>"1552374830204621"</f>
        <v>1552374830204621</v>
      </c>
      <c r="C3848" t="s">
        <v>40</v>
      </c>
      <c r="D3848">
        <v>4.6367379999999896</v>
      </c>
      <c r="E3848">
        <v>0.47983629999999999</v>
      </c>
      <c r="F3848" t="s">
        <v>42</v>
      </c>
      <c r="G3848">
        <v>-244.67410000000001</v>
      </c>
      <c r="H3848" s="1">
        <v>-2.5853570000000001E-6</v>
      </c>
      <c r="I3848">
        <v>137.822</v>
      </c>
      <c r="J3848">
        <v>-227.43620000000001</v>
      </c>
      <c r="K3848">
        <v>1.1083320000000001</v>
      </c>
      <c r="L3848">
        <v>138.8434</v>
      </c>
      <c r="M3848">
        <v>-0.99983610000000001</v>
      </c>
      <c r="N3848">
        <v>0</v>
      </c>
      <c r="O3848">
        <v>1.6241749999999999E-2</v>
      </c>
      <c r="P3848">
        <v>-0.99948610000000004</v>
      </c>
      <c r="Q3848">
        <v>3.1818430000000002E-2</v>
      </c>
      <c r="R3848">
        <v>-3.9383939999999996E-3</v>
      </c>
      <c r="S3848">
        <v>-3.0068969999999999</v>
      </c>
      <c r="T3848">
        <v>-0.19043950000000001</v>
      </c>
      <c r="U3848">
        <v>-0.17446900000000001</v>
      </c>
      <c r="V3848">
        <v>-2.005877E-2</v>
      </c>
      <c r="W3848">
        <v>3.9890019999999998E-2</v>
      </c>
      <c r="X3848">
        <v>0.99900270000000002</v>
      </c>
      <c r="Y3848">
        <v>-7.395272E-2</v>
      </c>
      <c r="Z3848">
        <v>-3.3644529999999999E-3</v>
      </c>
      <c r="AA3848">
        <v>0.99725609999999998</v>
      </c>
      <c r="AB3848">
        <v>24</v>
      </c>
      <c r="AC3848">
        <v>-17.2378999999999</v>
      </c>
      <c r="AD3848">
        <v>-1.1083345853569999</v>
      </c>
      <c r="AE3848">
        <v>-1.0214000000000001</v>
      </c>
      <c r="AF3848">
        <v>-1.2959093040598699</v>
      </c>
      <c r="AG3848">
        <v>-1.1083345853569999</v>
      </c>
      <c r="AH3848">
        <v>17.148392369370001</v>
      </c>
      <c r="AI3848">
        <v>93.687510977448795</v>
      </c>
      <c r="AJ3848">
        <v>94.321645445550701</v>
      </c>
      <c r="AK3848">
        <v>17.2329668754778</v>
      </c>
      <c r="AL3848">
        <v>87.713863604340304</v>
      </c>
      <c r="AM3848">
        <v>91.150275622927893</v>
      </c>
      <c r="AN3848">
        <v>0.99999998127840095</v>
      </c>
    </row>
    <row r="3849" spans="1:40" x14ac:dyDescent="0.25">
      <c r="A3849" t="str">
        <f>"20190312151350231"</f>
        <v>20190312151350231</v>
      </c>
      <c r="B3849" t="str">
        <f>"1552374830224140"</f>
        <v>1552374830224140</v>
      </c>
      <c r="C3849" t="s">
        <v>40</v>
      </c>
      <c r="D3849">
        <v>4.8877839999999999</v>
      </c>
      <c r="E3849">
        <v>0.47954930000000001</v>
      </c>
      <c r="F3849" t="s">
        <v>42</v>
      </c>
      <c r="G3849">
        <v>-245.1036</v>
      </c>
      <c r="H3849" s="1">
        <v>-2.4022820000000002E-6</v>
      </c>
      <c r="I3849">
        <v>137.81549999999999</v>
      </c>
      <c r="J3849">
        <v>-227.67689999999999</v>
      </c>
      <c r="K3849">
        <v>1.108317</v>
      </c>
      <c r="L3849">
        <v>138.8492</v>
      </c>
      <c r="M3849">
        <v>-0.99980610000000003</v>
      </c>
      <c r="N3849">
        <v>0</v>
      </c>
      <c r="O3849">
        <v>1.799191E-2</v>
      </c>
      <c r="P3849">
        <v>-0.99947010000000003</v>
      </c>
      <c r="Q3849">
        <v>3.23542E-2</v>
      </c>
      <c r="R3849">
        <v>-3.5888349999999999E-3</v>
      </c>
      <c r="S3849">
        <v>-3.006866</v>
      </c>
      <c r="T3849">
        <v>-0.18863089999999999</v>
      </c>
      <c r="U3849">
        <v>-0.17492679999999999</v>
      </c>
      <c r="V3849">
        <v>-2.145594E-2</v>
      </c>
      <c r="W3849">
        <v>4.0427459999999998E-2</v>
      </c>
      <c r="X3849">
        <v>0.99895210000000001</v>
      </c>
      <c r="Y3849">
        <v>-7.5846399999999994E-2</v>
      </c>
      <c r="Z3849">
        <v>-3.5014859999999998E-3</v>
      </c>
      <c r="AA3849">
        <v>0.99711329999999998</v>
      </c>
      <c r="AB3849">
        <v>24</v>
      </c>
      <c r="AC3849">
        <v>-17.4267</v>
      </c>
      <c r="AD3849">
        <v>-1.108319402282</v>
      </c>
      <c r="AE3849">
        <v>-1.0337000000000101</v>
      </c>
      <c r="AF3849">
        <v>-1.3416745179504701</v>
      </c>
      <c r="AG3849">
        <v>-1.108319402282</v>
      </c>
      <c r="AH3849">
        <v>17.3354073568708</v>
      </c>
      <c r="AI3849">
        <v>93.647283414574204</v>
      </c>
      <c r="AJ3849">
        <v>94.425586716125494</v>
      </c>
      <c r="AK3849">
        <v>17.422537433974501</v>
      </c>
      <c r="AL3849">
        <v>87.683045783171096</v>
      </c>
      <c r="AM3849">
        <v>91.230435192406006</v>
      </c>
      <c r="AN3849">
        <v>1.0000000174888699</v>
      </c>
    </row>
    <row r="3850" spans="1:40" x14ac:dyDescent="0.25">
      <c r="A3850" t="str">
        <f>"20190312151350253"</f>
        <v>20190312151350253</v>
      </c>
      <c r="B3850" t="str">
        <f>"1552374830244637"</f>
        <v>1552374830244637</v>
      </c>
      <c r="C3850" t="s">
        <v>40</v>
      </c>
      <c r="D3850">
        <v>4.8710760000000004</v>
      </c>
      <c r="E3850">
        <v>0.47935470000000002</v>
      </c>
      <c r="F3850" t="s">
        <v>42</v>
      </c>
      <c r="G3850">
        <v>-245.99590000000001</v>
      </c>
      <c r="H3850" s="1">
        <v>-2.0262460000000002E-6</v>
      </c>
      <c r="I3850">
        <v>137.7774</v>
      </c>
      <c r="J3850">
        <v>-227.91419999999999</v>
      </c>
      <c r="K3850">
        <v>1.1083050000000001</v>
      </c>
      <c r="L3850">
        <v>138.8553</v>
      </c>
      <c r="M3850">
        <v>-0.99977349999999998</v>
      </c>
      <c r="N3850">
        <v>0</v>
      </c>
      <c r="O3850">
        <v>1.97156E-2</v>
      </c>
      <c r="P3850">
        <v>-0.99946349999999995</v>
      </c>
      <c r="Q3850">
        <v>3.2588599999999898E-2</v>
      </c>
      <c r="R3850">
        <v>-3.2870099999999999E-3</v>
      </c>
      <c r="S3850">
        <v>-3.0068510000000002</v>
      </c>
      <c r="T3850">
        <v>-0.1819181</v>
      </c>
      <c r="U3850">
        <v>-0.17591860000000001</v>
      </c>
      <c r="V3850">
        <v>-2.2874700000000001E-2</v>
      </c>
      <c r="W3850">
        <v>4.0663299999999999E-2</v>
      </c>
      <c r="X3850">
        <v>0.99891099999999999</v>
      </c>
      <c r="Y3850">
        <v>-7.7899330000000003E-2</v>
      </c>
      <c r="Z3850">
        <v>-3.5432079999999999E-3</v>
      </c>
      <c r="AA3850">
        <v>0.99695489999999998</v>
      </c>
      <c r="AB3850">
        <v>25</v>
      </c>
      <c r="AC3850">
        <v>-18.081700000000001</v>
      </c>
      <c r="AD3850">
        <v>-1.108307026246</v>
      </c>
      <c r="AE3850">
        <v>-1.0778999999999901</v>
      </c>
      <c r="AF3850">
        <v>-1.42884432535899</v>
      </c>
      <c r="AG3850">
        <v>-1.108307026246</v>
      </c>
      <c r="AH3850">
        <v>17.9895854700199</v>
      </c>
      <c r="AI3850">
        <v>93.514397300834005</v>
      </c>
      <c r="AJ3850">
        <v>94.541252246619806</v>
      </c>
      <c r="AK3850">
        <v>18.080241313480499</v>
      </c>
      <c r="AL3850">
        <v>87.669521917474995</v>
      </c>
      <c r="AM3850">
        <v>91.311823321124606</v>
      </c>
      <c r="AN3850">
        <v>0.99999997089398895</v>
      </c>
    </row>
    <row r="3851" spans="1:40" x14ac:dyDescent="0.25">
      <c r="A3851" t="str">
        <f>"20190312151350275"</f>
        <v>20190312151350275</v>
      </c>
      <c r="B3851" t="str">
        <f>"1552374830265132"</f>
        <v>1552374830265132</v>
      </c>
      <c r="C3851" t="s">
        <v>40</v>
      </c>
      <c r="D3851">
        <v>4.5912810000000004</v>
      </c>
      <c r="E3851">
        <v>0.47906680000000001</v>
      </c>
      <c r="F3851" t="s">
        <v>42</v>
      </c>
      <c r="G3851">
        <v>-246.73179999999999</v>
      </c>
      <c r="H3851" s="1">
        <v>-1.7149830000000001E-6</v>
      </c>
      <c r="I3851">
        <v>137.75239999999999</v>
      </c>
      <c r="J3851">
        <v>-228.1705</v>
      </c>
      <c r="K3851">
        <v>1.1082920000000001</v>
      </c>
      <c r="L3851">
        <v>138.86240000000001</v>
      </c>
      <c r="M3851">
        <v>-0.99973509999999999</v>
      </c>
      <c r="N3851">
        <v>0</v>
      </c>
      <c r="O3851">
        <v>2.1575919999999998E-2</v>
      </c>
      <c r="P3851">
        <v>-0.99944809999999995</v>
      </c>
      <c r="Q3851">
        <v>3.311356E-2</v>
      </c>
      <c r="R3851">
        <v>-2.6234890000000001E-3</v>
      </c>
      <c r="S3851">
        <v>-3.006821</v>
      </c>
      <c r="T3851">
        <v>-0.17709420000000001</v>
      </c>
      <c r="U3851">
        <v>-0.17622380000000001</v>
      </c>
      <c r="V3851">
        <v>-2.4067829999999998E-2</v>
      </c>
      <c r="W3851">
        <v>4.1181660000000002E-2</v>
      </c>
      <c r="X3851">
        <v>0.99886169999999996</v>
      </c>
      <c r="Y3851">
        <v>-7.9858410000000005E-2</v>
      </c>
      <c r="Z3851">
        <v>-3.6164349999999999E-3</v>
      </c>
      <c r="AA3851">
        <v>0.99679960000000001</v>
      </c>
      <c r="AB3851">
        <v>25</v>
      </c>
      <c r="AC3851">
        <v>-18.5612999999999</v>
      </c>
      <c r="AD3851">
        <v>-1.1082937149829999</v>
      </c>
      <c r="AE3851">
        <v>-1.1100000000000101</v>
      </c>
      <c r="AF3851">
        <v>-1.50488536147412</v>
      </c>
      <c r="AG3851">
        <v>-1.1082937149829999</v>
      </c>
      <c r="AH3851">
        <v>18.467422048281701</v>
      </c>
      <c r="AI3851">
        <v>93.423078853946606</v>
      </c>
      <c r="AJ3851">
        <v>94.658662341441001</v>
      </c>
      <c r="AK3851">
        <v>18.5617529349793</v>
      </c>
      <c r="AL3851">
        <v>87.639797109604203</v>
      </c>
      <c r="AM3851">
        <v>91.380289486438201</v>
      </c>
      <c r="AN3851">
        <v>0.99999994264407499</v>
      </c>
    </row>
    <row r="3852" spans="1:40" x14ac:dyDescent="0.25">
      <c r="A3852" t="str">
        <f>"20190312151350297"</f>
        <v>20190312151350297</v>
      </c>
      <c r="B3852" t="str">
        <f>"1552374830294413"</f>
        <v>1552374830294413</v>
      </c>
      <c r="C3852" t="s">
        <v>40</v>
      </c>
      <c r="D3852">
        <v>4.5985100000000001</v>
      </c>
      <c r="E3852">
        <v>0.47884149999999998</v>
      </c>
      <c r="F3852" t="s">
        <v>42</v>
      </c>
      <c r="G3852">
        <v>-247.31909999999999</v>
      </c>
      <c r="H3852" s="1">
        <v>-1.4656410000000001E-6</v>
      </c>
      <c r="I3852">
        <v>137.73759999999999</v>
      </c>
      <c r="J3852">
        <v>-228.4066</v>
      </c>
      <c r="K3852">
        <v>1.108276</v>
      </c>
      <c r="L3852">
        <v>138.86940000000001</v>
      </c>
      <c r="M3852">
        <v>-0.99969699999999995</v>
      </c>
      <c r="N3852">
        <v>0</v>
      </c>
      <c r="O3852">
        <v>2.3287490000000001E-2</v>
      </c>
      <c r="P3852">
        <v>-0.99943360000000003</v>
      </c>
      <c r="Q3852">
        <v>3.3557179999999999E-2</v>
      </c>
      <c r="R3852">
        <v>-2.514723E-3</v>
      </c>
      <c r="S3852">
        <v>-3.0069729999999999</v>
      </c>
      <c r="T3852">
        <v>-0.17403969999999999</v>
      </c>
      <c r="U3852">
        <v>-0.17663570000000001</v>
      </c>
      <c r="V3852">
        <v>-2.566769E-2</v>
      </c>
      <c r="W3852">
        <v>4.1609019999999997E-2</v>
      </c>
      <c r="X3852">
        <v>0.99880420000000003</v>
      </c>
      <c r="Y3852">
        <v>-8.1698069999999998E-2</v>
      </c>
      <c r="Z3852">
        <v>-3.7060309999999998E-3</v>
      </c>
      <c r="AA3852">
        <v>0.99665020000000004</v>
      </c>
      <c r="AB3852">
        <v>25</v>
      </c>
      <c r="AC3852">
        <v>-18.912499999999898</v>
      </c>
      <c r="AD3852">
        <v>-1.1082774656409999</v>
      </c>
      <c r="AE3852">
        <v>-1.1318000000000199</v>
      </c>
      <c r="AF3852">
        <v>-1.56657131401357</v>
      </c>
      <c r="AG3852">
        <v>-1.1082774656409999</v>
      </c>
      <c r="AH3852">
        <v>18.8166276252655</v>
      </c>
      <c r="AI3852">
        <v>93.359165625846302</v>
      </c>
      <c r="AJ3852">
        <v>94.759163220138802</v>
      </c>
      <c r="AK3852">
        <v>18.914224800679602</v>
      </c>
      <c r="AL3852">
        <v>87.6152902794623</v>
      </c>
      <c r="AM3852">
        <v>91.472087013254097</v>
      </c>
      <c r="AN3852">
        <v>0.99999998539646795</v>
      </c>
    </row>
    <row r="3853" spans="1:40" x14ac:dyDescent="0.25">
      <c r="A3853" t="str">
        <f>"20190312151350319"</f>
        <v>20190312151350319</v>
      </c>
      <c r="B3853" t="str">
        <f>"1552374830313932"</f>
        <v>1552374830313932</v>
      </c>
      <c r="C3853" t="s">
        <v>40</v>
      </c>
      <c r="D3853">
        <v>4.5922289999999997</v>
      </c>
      <c r="E3853">
        <v>0.4786571</v>
      </c>
      <c r="F3853" t="s">
        <v>42</v>
      </c>
      <c r="G3853">
        <v>-247.9485</v>
      </c>
      <c r="H3853" s="1">
        <v>-1.2000989999999999E-6</v>
      </c>
      <c r="I3853">
        <v>137.7124</v>
      </c>
      <c r="J3853">
        <v>-228.66050000000001</v>
      </c>
      <c r="K3853">
        <v>1.1082620000000001</v>
      </c>
      <c r="L3853">
        <v>138.87729999999999</v>
      </c>
      <c r="M3853">
        <v>-0.99965269999999995</v>
      </c>
      <c r="N3853">
        <v>0</v>
      </c>
      <c r="O3853">
        <v>2.5128029999999999E-2</v>
      </c>
      <c r="P3853">
        <v>-0.9994305</v>
      </c>
      <c r="Q3853">
        <v>3.3678439999999997E-2</v>
      </c>
      <c r="R3853">
        <v>-2.0654380000000002E-3</v>
      </c>
      <c r="S3853">
        <v>-3.006958</v>
      </c>
      <c r="T3853">
        <v>-0.1705332</v>
      </c>
      <c r="U3853">
        <v>-0.1780243</v>
      </c>
      <c r="V3853">
        <v>-2.705637E-2</v>
      </c>
      <c r="W3853">
        <v>4.1694299999999997E-2</v>
      </c>
      <c r="X3853">
        <v>0.99876399999999999</v>
      </c>
      <c r="Y3853">
        <v>-8.3992079999999997E-2</v>
      </c>
      <c r="Z3853">
        <v>-3.8006200000000002E-3</v>
      </c>
      <c r="AA3853">
        <v>0.99645919999999999</v>
      </c>
      <c r="AB3853">
        <v>25</v>
      </c>
      <c r="AC3853">
        <v>-19.287999999999901</v>
      </c>
      <c r="AD3853">
        <v>-1.108263200099</v>
      </c>
      <c r="AE3853">
        <v>-1.1648999999999801</v>
      </c>
      <c r="AF3853">
        <v>-1.64380955938166</v>
      </c>
      <c r="AG3853">
        <v>-1.108263200099</v>
      </c>
      <c r="AH3853">
        <v>19.189512748463301</v>
      </c>
      <c r="AI3853">
        <v>93.293330699673803</v>
      </c>
      <c r="AJ3853">
        <v>94.896111183095101</v>
      </c>
      <c r="AK3853">
        <v>19.291649921964801</v>
      </c>
      <c r="AL3853">
        <v>87.610399873736398</v>
      </c>
      <c r="AM3853">
        <v>91.551754731816203</v>
      </c>
      <c r="AN3853">
        <v>0.99999999475303303</v>
      </c>
    </row>
    <row r="3854" spans="1:40" x14ac:dyDescent="0.25">
      <c r="A3854" t="str">
        <f>"20190312151350342"</f>
        <v>20190312151350342</v>
      </c>
      <c r="B3854" t="str">
        <f>"1552374830334429"</f>
        <v>1552374830334429</v>
      </c>
      <c r="C3854" t="s">
        <v>40</v>
      </c>
      <c r="D3854">
        <v>4.6100690000000002</v>
      </c>
      <c r="E3854">
        <v>0.47848760000000001</v>
      </c>
      <c r="F3854" t="s">
        <v>42</v>
      </c>
      <c r="G3854">
        <v>-248.10990000000001</v>
      </c>
      <c r="H3854" s="1">
        <v>-1.1329669999999999E-6</v>
      </c>
      <c r="I3854">
        <v>137.72319999999999</v>
      </c>
      <c r="J3854">
        <v>-228.90860000000001</v>
      </c>
      <c r="K3854">
        <v>1.108241</v>
      </c>
      <c r="L3854">
        <v>138.88560000000001</v>
      </c>
      <c r="M3854">
        <v>-0.99960640000000001</v>
      </c>
      <c r="N3854">
        <v>0</v>
      </c>
      <c r="O3854">
        <v>2.6925580000000001E-2</v>
      </c>
      <c r="P3854">
        <v>-0.99944569999999999</v>
      </c>
      <c r="Q3854">
        <v>3.3271080000000001E-2</v>
      </c>
      <c r="R3854">
        <v>-1.1799860000000001E-3</v>
      </c>
      <c r="S3854">
        <v>-3.0071110000000001</v>
      </c>
      <c r="T3854">
        <v>-0.17135120000000001</v>
      </c>
      <c r="U3854">
        <v>-0.17843629999999999</v>
      </c>
      <c r="V3854">
        <v>-2.796891E-2</v>
      </c>
      <c r="W3854">
        <v>4.1230250000000003E-2</v>
      </c>
      <c r="X3854">
        <v>0.99875809999999998</v>
      </c>
      <c r="Y3854">
        <v>-8.5909120000000005E-2</v>
      </c>
      <c r="Z3854">
        <v>-3.9754100000000004E-3</v>
      </c>
      <c r="AA3854">
        <v>0.99629500000000004</v>
      </c>
      <c r="AB3854">
        <v>25</v>
      </c>
      <c r="AC3854">
        <v>-19.2013</v>
      </c>
      <c r="AD3854">
        <v>-1.108242132967</v>
      </c>
      <c r="AE3854">
        <v>-1.1624000000000101</v>
      </c>
      <c r="AF3854">
        <v>-1.67344639394248</v>
      </c>
      <c r="AG3854">
        <v>-1.108242132967</v>
      </c>
      <c r="AH3854">
        <v>19.099645206203899</v>
      </c>
      <c r="AI3854">
        <v>93.308174451382101</v>
      </c>
      <c r="AJ3854">
        <v>95.007275707553703</v>
      </c>
      <c r="AK3854">
        <v>19.204818938525499</v>
      </c>
      <c r="AL3854">
        <v>87.637010800644902</v>
      </c>
      <c r="AM3854">
        <v>91.604073899829601</v>
      </c>
      <c r="AN3854">
        <v>0.99999996787862899</v>
      </c>
    </row>
    <row r="3855" spans="1:40" x14ac:dyDescent="0.25">
      <c r="A3855" t="str">
        <f>"20190312151350363"</f>
        <v>20190312151350363</v>
      </c>
      <c r="B3855" t="str">
        <f>"1552374830353949"</f>
        <v>1552374830353949</v>
      </c>
      <c r="C3855" t="s">
        <v>40</v>
      </c>
      <c r="D3855">
        <v>4.8357080000000003</v>
      </c>
      <c r="E3855">
        <v>0.47845549999999998</v>
      </c>
      <c r="F3855" t="s">
        <v>42</v>
      </c>
      <c r="G3855">
        <v>-248.179</v>
      </c>
      <c r="H3855" s="1">
        <v>-1.1026550000000001E-6</v>
      </c>
      <c r="I3855">
        <v>137.74870000000001</v>
      </c>
      <c r="J3855">
        <v>-229.14850000000001</v>
      </c>
      <c r="K3855">
        <v>1.108214</v>
      </c>
      <c r="L3855">
        <v>138.8939</v>
      </c>
      <c r="M3855">
        <v>-0.99955870000000002</v>
      </c>
      <c r="N3855">
        <v>0</v>
      </c>
      <c r="O3855">
        <v>2.8663020000000001E-2</v>
      </c>
      <c r="P3855">
        <v>-0.99945360000000005</v>
      </c>
      <c r="Q3855">
        <v>3.305835E-2</v>
      </c>
      <c r="R3855" s="1">
        <v>1.7040160000000001E-5</v>
      </c>
      <c r="S3855">
        <v>-3.0072329999999998</v>
      </c>
      <c r="T3855">
        <v>-0.17294660000000001</v>
      </c>
      <c r="U3855">
        <v>-0.17739869999999999</v>
      </c>
      <c r="V3855">
        <v>-2.8509779999999998E-2</v>
      </c>
      <c r="W3855">
        <v>4.0944399999999999E-2</v>
      </c>
      <c r="X3855">
        <v>0.99875460000000005</v>
      </c>
      <c r="Y3855">
        <v>-8.7287249999999997E-2</v>
      </c>
      <c r="Z3855">
        <v>-4.1515659999999998E-3</v>
      </c>
      <c r="AA3855">
        <v>0.99617449999999996</v>
      </c>
      <c r="AB3855">
        <v>25</v>
      </c>
      <c r="AC3855">
        <v>-19.0304999999999</v>
      </c>
      <c r="AD3855">
        <v>-1.108215102655</v>
      </c>
      <c r="AE3855">
        <v>-1.14519999999998</v>
      </c>
      <c r="AF3855">
        <v>-1.68452576236701</v>
      </c>
      <c r="AG3855">
        <v>-1.108215102655</v>
      </c>
      <c r="AH3855">
        <v>18.9259054825296</v>
      </c>
      <c r="AI3855">
        <v>93.337988253569904</v>
      </c>
      <c r="AJ3855">
        <v>95.086285042830895</v>
      </c>
      <c r="AK3855">
        <v>19.033015160280701</v>
      </c>
      <c r="AL3855">
        <v>87.6534027200548</v>
      </c>
      <c r="AM3855">
        <v>91.635082942488495</v>
      </c>
      <c r="AN3855">
        <v>1.0000000012340799</v>
      </c>
    </row>
    <row r="3856" spans="1:40" x14ac:dyDescent="0.25">
      <c r="A3856" t="str">
        <f>"20190312151350387"</f>
        <v>20190312151350387</v>
      </c>
      <c r="B3856" t="str">
        <f>"1552374830384205"</f>
        <v>1552374830384205</v>
      </c>
      <c r="C3856" t="s">
        <v>40</v>
      </c>
      <c r="D3856">
        <v>5.1104760000000002</v>
      </c>
      <c r="E3856">
        <v>0.51215290000000002</v>
      </c>
      <c r="F3856" t="s">
        <v>42</v>
      </c>
      <c r="G3856">
        <v>-248.36519999999999</v>
      </c>
      <c r="H3856" s="1">
        <v>-1.0313660000000001E-6</v>
      </c>
      <c r="I3856">
        <v>137.77850000000001</v>
      </c>
      <c r="J3856">
        <v>-229.40649999999999</v>
      </c>
      <c r="K3856">
        <v>1.108188</v>
      </c>
      <c r="L3856">
        <v>138.9034</v>
      </c>
      <c r="M3856">
        <v>-0.99950410000000001</v>
      </c>
      <c r="N3856">
        <v>0</v>
      </c>
      <c r="O3856">
        <v>3.0531240000000001E-2</v>
      </c>
      <c r="P3856">
        <v>-0.99945130000000004</v>
      </c>
      <c r="Q3856">
        <v>3.3095659999999999E-2</v>
      </c>
      <c r="R3856">
        <v>1.5509089999999901E-3</v>
      </c>
      <c r="S3856">
        <v>-3.0073850000000002</v>
      </c>
      <c r="T3856">
        <v>-0.17343449999999999</v>
      </c>
      <c r="U3856">
        <v>-0.17454529999999999</v>
      </c>
      <c r="V3856">
        <v>-2.8842739999999999E-2</v>
      </c>
      <c r="W3856">
        <v>4.0884839999999999E-2</v>
      </c>
      <c r="X3856">
        <v>0.99874750000000001</v>
      </c>
      <c r="Y3856">
        <v>-8.8198540000000006E-2</v>
      </c>
      <c r="Z3856">
        <v>-4.296963E-3</v>
      </c>
      <c r="AA3856">
        <v>0.99609360000000002</v>
      </c>
      <c r="AB3856">
        <v>25</v>
      </c>
      <c r="AC3856">
        <v>-18.9587</v>
      </c>
      <c r="AD3856">
        <v>-1.1081890313660001</v>
      </c>
      <c r="AE3856">
        <v>-1.12489999999999</v>
      </c>
      <c r="AF3856">
        <v>-1.6974459991614199</v>
      </c>
      <c r="AG3856">
        <v>-1.1081890313660001</v>
      </c>
      <c r="AH3856">
        <v>18.8513316276964</v>
      </c>
      <c r="AI3856">
        <v>93.350776229001994</v>
      </c>
      <c r="AJ3856">
        <v>95.145255339174597</v>
      </c>
      <c r="AK3856">
        <v>18.960013449011502</v>
      </c>
      <c r="AL3856">
        <v>87.656818163557901</v>
      </c>
      <c r="AM3856">
        <v>91.654179952718707</v>
      </c>
      <c r="AN3856">
        <v>1.00000002127439</v>
      </c>
    </row>
    <row r="3857" spans="1:40" x14ac:dyDescent="0.25">
      <c r="A3857" t="str">
        <f>"20190312151350409"</f>
        <v>20190312151350409</v>
      </c>
      <c r="B3857" t="str">
        <f>"1552374830404702"</f>
        <v>1552374830404702</v>
      </c>
      <c r="C3857" t="s">
        <v>40</v>
      </c>
      <c r="D3857">
        <v>4.6867609999999997</v>
      </c>
      <c r="E3857">
        <v>0.52020040000000001</v>
      </c>
      <c r="F3857" t="s">
        <v>42</v>
      </c>
      <c r="G3857">
        <v>-253.67500000000001</v>
      </c>
      <c r="H3857" s="1">
        <v>-2.7186959999999998E-6</v>
      </c>
      <c r="I3857">
        <v>139.70259999999999</v>
      </c>
      <c r="J3857">
        <v>-229.67009999999999</v>
      </c>
      <c r="K3857">
        <v>1.1081559999999999</v>
      </c>
      <c r="L3857">
        <v>138.9135</v>
      </c>
      <c r="M3857">
        <v>-0.99944489999999997</v>
      </c>
      <c r="N3857">
        <v>0</v>
      </c>
      <c r="O3857">
        <v>3.2438710000000003E-2</v>
      </c>
      <c r="P3857">
        <v>-0.99943760000000004</v>
      </c>
      <c r="Q3857">
        <v>3.3376870000000003E-2</v>
      </c>
      <c r="R3857">
        <v>3.2494189999999999E-3</v>
      </c>
      <c r="S3857">
        <v>-3.0060579999999999</v>
      </c>
      <c r="T3857">
        <v>-0.1372681</v>
      </c>
      <c r="U3857">
        <v>9.9014279999999996E-2</v>
      </c>
      <c r="V3857">
        <v>-2.9050179999999998E-2</v>
      </c>
      <c r="W3857">
        <v>4.1050169999999997E-2</v>
      </c>
      <c r="X3857">
        <v>0.99873469999999998</v>
      </c>
      <c r="Y3857">
        <v>5.1422459999999996E-4</v>
      </c>
      <c r="Z3857">
        <v>-1.468022E-3</v>
      </c>
      <c r="AA3857">
        <v>0.99999879999999997</v>
      </c>
      <c r="AB3857">
        <v>25</v>
      </c>
      <c r="AC3857">
        <v>-24.004899999999999</v>
      </c>
      <c r="AD3857">
        <v>-1.108158718696</v>
      </c>
      <c r="AE3857">
        <v>0.78909999999999003</v>
      </c>
      <c r="AF3857">
        <v>9.9530801554441502E-3</v>
      </c>
      <c r="AG3857">
        <v>-1.108158718696</v>
      </c>
      <c r="AH3857">
        <v>23.966843610851999</v>
      </c>
      <c r="AI3857">
        <v>92.647308279970503</v>
      </c>
      <c r="AJ3857">
        <v>89.976205900846196</v>
      </c>
      <c r="AK3857">
        <v>23.992451051875999</v>
      </c>
      <c r="AL3857">
        <v>87.647337479003696</v>
      </c>
      <c r="AM3857">
        <v>91.666091647136696</v>
      </c>
      <c r="AN3857">
        <v>1.00000001519957</v>
      </c>
    </row>
    <row r="3858" spans="1:40" x14ac:dyDescent="0.25">
      <c r="A3858" t="str">
        <f>"20190312151350433"</f>
        <v>20190312151350433</v>
      </c>
      <c r="B3858" t="str">
        <f>"1552374830424221"</f>
        <v>1552374830424221</v>
      </c>
      <c r="C3858" t="s">
        <v>40</v>
      </c>
      <c r="D3858">
        <v>4.694966</v>
      </c>
      <c r="E3858">
        <v>0.52445719999999996</v>
      </c>
      <c r="F3858" t="s">
        <v>42</v>
      </c>
      <c r="G3858">
        <v>-252.28649999999999</v>
      </c>
      <c r="H3858" s="1">
        <v>-3.4409419999999998E-6</v>
      </c>
      <c r="I3858">
        <v>140.17840000000001</v>
      </c>
      <c r="J3858">
        <v>-229.93690000000001</v>
      </c>
      <c r="K3858">
        <v>1.1081259999999999</v>
      </c>
      <c r="L3858">
        <v>138.92429999999999</v>
      </c>
      <c r="M3858">
        <v>-0.99938139999999998</v>
      </c>
      <c r="N3858">
        <v>0</v>
      </c>
      <c r="O3858">
        <v>3.4366819999999999E-2</v>
      </c>
      <c r="P3858">
        <v>-0.99941120000000006</v>
      </c>
      <c r="Q3858">
        <v>3.3876629999999998E-2</v>
      </c>
      <c r="R3858">
        <v>5.4493659999999998E-3</v>
      </c>
      <c r="S3858">
        <v>-3.0060419999999999</v>
      </c>
      <c r="T3858">
        <v>-0.14729030000000001</v>
      </c>
      <c r="U3858">
        <v>0.1681366</v>
      </c>
      <c r="V3858">
        <v>-2.87759E-2</v>
      </c>
      <c r="W3858">
        <v>4.1427499999999999E-2</v>
      </c>
      <c r="X3858">
        <v>0.99872700000000003</v>
      </c>
      <c r="Y3858">
        <v>2.1513819999999999E-2</v>
      </c>
      <c r="Z3858">
        <v>-1.1546410000000001E-3</v>
      </c>
      <c r="AA3858">
        <v>0.99976790000000004</v>
      </c>
      <c r="AB3858">
        <v>25</v>
      </c>
      <c r="AC3858">
        <v>-22.349599999999899</v>
      </c>
      <c r="AD3858">
        <v>-1.1081294409419999</v>
      </c>
      <c r="AE3858">
        <v>1.25410000000002</v>
      </c>
      <c r="AF3858">
        <v>0.484066793084514</v>
      </c>
      <c r="AG3858">
        <v>-1.1081294409419999</v>
      </c>
      <c r="AH3858">
        <v>22.324788082157799</v>
      </c>
      <c r="AI3858">
        <v>92.840976153317598</v>
      </c>
      <c r="AJ3858">
        <v>88.757854325826997</v>
      </c>
      <c r="AK3858">
        <v>22.3575140485543</v>
      </c>
      <c r="AL3858">
        <v>87.625699513625605</v>
      </c>
      <c r="AM3858">
        <v>91.650382544544399</v>
      </c>
      <c r="AN3858">
        <v>0.99999995535302899</v>
      </c>
    </row>
    <row r="3859" spans="1:40" x14ac:dyDescent="0.25">
      <c r="A3859" t="str">
        <f>"20190312151350453"</f>
        <v>20190312151350453</v>
      </c>
      <c r="B3859" t="str">
        <f>"1552374830444717"</f>
        <v>1552374830444717</v>
      </c>
      <c r="C3859" t="s">
        <v>40</v>
      </c>
      <c r="D3859">
        <v>4.6656659999999999</v>
      </c>
      <c r="E3859">
        <v>0.52681619999999996</v>
      </c>
      <c r="F3859" t="s">
        <v>42</v>
      </c>
      <c r="G3859">
        <v>-251.69759999999999</v>
      </c>
      <c r="H3859" s="1">
        <v>-3.7618140000000001E-6</v>
      </c>
      <c r="I3859">
        <v>140.4349</v>
      </c>
      <c r="J3859">
        <v>-230.1712</v>
      </c>
      <c r="K3859">
        <v>1.108109</v>
      </c>
      <c r="L3859">
        <v>138.9342</v>
      </c>
      <c r="M3859">
        <v>-0.9993225</v>
      </c>
      <c r="N3859">
        <v>0</v>
      </c>
      <c r="O3859">
        <v>3.6058659999999999E-2</v>
      </c>
      <c r="P3859">
        <v>-0.99938959999999999</v>
      </c>
      <c r="Q3859">
        <v>3.4142560000000002E-2</v>
      </c>
      <c r="R3859">
        <v>7.4003680000000001E-3</v>
      </c>
      <c r="S3859">
        <v>-3.005798</v>
      </c>
      <c r="T3859">
        <v>-0.1530657</v>
      </c>
      <c r="U3859">
        <v>0.20866390000000001</v>
      </c>
      <c r="V3859">
        <v>-2.8515209999999999E-2</v>
      </c>
      <c r="W3859">
        <v>4.1588050000000001E-2</v>
      </c>
      <c r="X3859">
        <v>0.9987279</v>
      </c>
      <c r="Y3859">
        <v>3.3239320000000003E-2</v>
      </c>
      <c r="Z3859">
        <v>-9.872533000000001E-4</v>
      </c>
      <c r="AA3859">
        <v>0.99944690000000003</v>
      </c>
      <c r="AB3859">
        <v>25</v>
      </c>
      <c r="AC3859">
        <v>-21.526399999999899</v>
      </c>
      <c r="AD3859">
        <v>-1.1081127618140001</v>
      </c>
      <c r="AE3859">
        <v>1.5006999999999899</v>
      </c>
      <c r="AF3859">
        <v>0.72158691945367304</v>
      </c>
      <c r="AG3859">
        <v>-1.1081127618140001</v>
      </c>
      <c r="AH3859">
        <v>21.509792239222701</v>
      </c>
      <c r="AI3859">
        <v>92.947425288570898</v>
      </c>
      <c r="AJ3859">
        <v>88.078624579708205</v>
      </c>
      <c r="AK3859">
        <v>21.5504005473157</v>
      </c>
      <c r="AL3859">
        <v>87.616492968554397</v>
      </c>
      <c r="AM3859">
        <v>91.635437889750705</v>
      </c>
      <c r="AN3859">
        <v>1.0000000506712701</v>
      </c>
    </row>
    <row r="3860" spans="1:40" x14ac:dyDescent="0.25">
      <c r="A3860" t="str">
        <f>"20190312151350475"</f>
        <v>20190312151350475</v>
      </c>
      <c r="B3860" t="str">
        <f>"1552374830464240"</f>
        <v>1552374830464240</v>
      </c>
      <c r="C3860" t="s">
        <v>40</v>
      </c>
      <c r="D3860">
        <v>4.6961979999999999</v>
      </c>
      <c r="E3860">
        <v>0.52847670000000002</v>
      </c>
      <c r="F3860" t="s">
        <v>42</v>
      </c>
      <c r="G3860">
        <v>-251.75020000000001</v>
      </c>
      <c r="H3860" s="1">
        <v>-3.7855769999999998E-6</v>
      </c>
      <c r="I3860">
        <v>140.60890000000001</v>
      </c>
      <c r="J3860">
        <v>-230.42359999999999</v>
      </c>
      <c r="K3860">
        <v>1.108088</v>
      </c>
      <c r="L3860">
        <v>138.9453</v>
      </c>
      <c r="M3860">
        <v>-0.99925609999999998</v>
      </c>
      <c r="N3860">
        <v>0</v>
      </c>
      <c r="O3860">
        <v>3.787944E-2</v>
      </c>
      <c r="P3860">
        <v>-0.99935050000000003</v>
      </c>
      <c r="Q3860">
        <v>3.467862E-2</v>
      </c>
      <c r="R3860">
        <v>9.8018289999999998E-3</v>
      </c>
      <c r="S3860">
        <v>-3.0053709999999998</v>
      </c>
      <c r="T3860">
        <v>-0.154330299999999</v>
      </c>
      <c r="U3860">
        <v>0.2332611</v>
      </c>
      <c r="V3860">
        <v>-2.793228E-2</v>
      </c>
      <c r="W3860">
        <v>4.2013979999999999E-2</v>
      </c>
      <c r="X3860">
        <v>0.99872649999999996</v>
      </c>
      <c r="Y3860">
        <v>3.9557420000000003E-2</v>
      </c>
      <c r="Z3860">
        <v>-9.2648660000000001E-4</v>
      </c>
      <c r="AA3860">
        <v>0.99921689999999996</v>
      </c>
      <c r="AB3860">
        <v>25</v>
      </c>
      <c r="AC3860">
        <v>-21.326599999999999</v>
      </c>
      <c r="AD3860">
        <v>-1.1080917855769901</v>
      </c>
      <c r="AE3860">
        <v>1.6636</v>
      </c>
      <c r="AF3860">
        <v>0.85225828235726397</v>
      </c>
      <c r="AG3860">
        <v>-1.1080917855769901</v>
      </c>
      <c r="AH3860">
        <v>21.3171105591973</v>
      </c>
      <c r="AI3860">
        <v>92.973261695218099</v>
      </c>
      <c r="AJ3860">
        <v>87.710533500725205</v>
      </c>
      <c r="AK3860">
        <v>21.362898075358402</v>
      </c>
      <c r="AL3860">
        <v>87.592067517664006</v>
      </c>
      <c r="AM3860">
        <v>91.602024850725698</v>
      </c>
      <c r="AN3860">
        <v>1.00000000429184</v>
      </c>
    </row>
    <row r="3861" spans="1:40" x14ac:dyDescent="0.25">
      <c r="A3861" t="str">
        <f>"20190312151350497"</f>
        <v>20190312151350497</v>
      </c>
      <c r="B3861" t="str">
        <f>"1552374830494026"</f>
        <v>1552374830494026</v>
      </c>
      <c r="C3861" t="s">
        <v>40</v>
      </c>
      <c r="D3861">
        <v>5.0234170000000002</v>
      </c>
      <c r="E3861">
        <v>0.53052749999999904</v>
      </c>
      <c r="F3861" t="s">
        <v>42</v>
      </c>
      <c r="G3861">
        <v>-251.9494</v>
      </c>
      <c r="H3861" s="1">
        <v>-3.7410700000000001E-6</v>
      </c>
      <c r="I3861">
        <v>140.7629</v>
      </c>
      <c r="J3861">
        <v>-230.6705</v>
      </c>
      <c r="K3861">
        <v>1.108069</v>
      </c>
      <c r="L3861">
        <v>138.95650000000001</v>
      </c>
      <c r="M3861">
        <v>-0.99918779999999996</v>
      </c>
      <c r="N3861">
        <v>0</v>
      </c>
      <c r="O3861">
        <v>3.9659670000000001E-2</v>
      </c>
      <c r="P3861">
        <v>-0.99929999999999997</v>
      </c>
      <c r="Q3861">
        <v>3.538405E-2</v>
      </c>
      <c r="R3861">
        <v>1.214397E-2</v>
      </c>
      <c r="S3861">
        <v>-3.0048520000000001</v>
      </c>
      <c r="T3861">
        <v>-0.15468199999999999</v>
      </c>
      <c r="U3861">
        <v>0.25373839999999998</v>
      </c>
      <c r="V3861">
        <v>-2.7367240000000001E-2</v>
      </c>
      <c r="W3861">
        <v>4.2615220000000002E-2</v>
      </c>
      <c r="X3861">
        <v>0.99871670000000001</v>
      </c>
      <c r="Y3861">
        <v>4.4550739999999998E-2</v>
      </c>
      <c r="Z3861">
        <v>-8.9152250000000001E-4</v>
      </c>
      <c r="AA3861">
        <v>0.99900670000000003</v>
      </c>
      <c r="AB3861">
        <v>26</v>
      </c>
      <c r="AC3861">
        <v>-21.2789</v>
      </c>
      <c r="AD3861">
        <v>-1.10807274107</v>
      </c>
      <c r="AE3861">
        <v>1.80639999999999</v>
      </c>
      <c r="AF3861">
        <v>0.95846267880656399</v>
      </c>
      <c r="AG3861">
        <v>-1.10807274107</v>
      </c>
      <c r="AH3861">
        <v>21.2765186654022</v>
      </c>
      <c r="AI3861">
        <v>92.978233414761306</v>
      </c>
      <c r="AJ3861">
        <v>87.420688733758496</v>
      </c>
      <c r="AK3861">
        <v>21.326901378901098</v>
      </c>
      <c r="AL3861">
        <v>87.557588195499406</v>
      </c>
      <c r="AM3861">
        <v>91.569649383729896</v>
      </c>
      <c r="AN3861">
        <v>1.0000000348298701</v>
      </c>
    </row>
    <row r="3862" spans="1:40" x14ac:dyDescent="0.25">
      <c r="A3862" t="str">
        <f>"20190312151350520"</f>
        <v>20190312151350520</v>
      </c>
      <c r="B3862" t="str">
        <f>"1552374830514521"</f>
        <v>1552374830514521</v>
      </c>
      <c r="C3862" t="s">
        <v>40</v>
      </c>
      <c r="D3862">
        <v>4.7271099999999997</v>
      </c>
      <c r="E3862">
        <v>0.53151740000000003</v>
      </c>
      <c r="F3862" t="s">
        <v>42</v>
      </c>
      <c r="G3862">
        <v>-251.9924</v>
      </c>
      <c r="H3862" s="1">
        <v>-3.7646400000000002E-6</v>
      </c>
      <c r="I3862">
        <v>140.92080000000001</v>
      </c>
      <c r="J3862">
        <v>-230.93680000000001</v>
      </c>
      <c r="K3862">
        <v>1.1080490000000001</v>
      </c>
      <c r="L3862">
        <v>138.9691</v>
      </c>
      <c r="M3862">
        <v>-0.99911039999999995</v>
      </c>
      <c r="N3862">
        <v>0</v>
      </c>
      <c r="O3862">
        <v>4.1578829999999997E-2</v>
      </c>
      <c r="P3862">
        <v>-0.99924020000000002</v>
      </c>
      <c r="Q3862">
        <v>3.6096660000000003E-2</v>
      </c>
      <c r="R3862">
        <v>1.4703020000000001E-2</v>
      </c>
      <c r="S3862">
        <v>-3.004257</v>
      </c>
      <c r="T3862">
        <v>-0.1561275</v>
      </c>
      <c r="U3862">
        <v>0.2767792</v>
      </c>
      <c r="V3862">
        <v>-2.6723150000000001E-2</v>
      </c>
      <c r="W3862">
        <v>4.3223570000000003E-2</v>
      </c>
      <c r="X3862">
        <v>0.99870800000000004</v>
      </c>
      <c r="Y3862">
        <v>5.024501E-2</v>
      </c>
      <c r="Z3862">
        <v>-8.5139500000000002E-4</v>
      </c>
      <c r="AA3862">
        <v>0.99873659999999997</v>
      </c>
      <c r="AB3862">
        <v>26</v>
      </c>
      <c r="AC3862">
        <v>-21.055599999999998</v>
      </c>
      <c r="AD3862">
        <v>-1.10805276464</v>
      </c>
      <c r="AE3862">
        <v>1.95170000000001</v>
      </c>
      <c r="AF3862">
        <v>1.0715808531758999</v>
      </c>
      <c r="AG3862">
        <v>-1.10805276464</v>
      </c>
      <c r="AH3862">
        <v>21.060713513976999</v>
      </c>
      <c r="AI3862">
        <v>93.007802787515004</v>
      </c>
      <c r="AJ3862">
        <v>87.087270562282797</v>
      </c>
      <c r="AK3862">
        <v>21.1170480932334</v>
      </c>
      <c r="AL3862">
        <v>87.522700164873498</v>
      </c>
      <c r="AM3862">
        <v>91.532738749901597</v>
      </c>
      <c r="AN3862">
        <v>1.0000000365067301</v>
      </c>
    </row>
    <row r="3863" spans="1:40" x14ac:dyDescent="0.25">
      <c r="A3863" t="str">
        <f>"20190312151350542"</f>
        <v>20190312151350542</v>
      </c>
      <c r="B3863" t="str">
        <f>"1552374830534043"</f>
        <v>1552374830534043</v>
      </c>
      <c r="C3863" t="s">
        <v>40</v>
      </c>
      <c r="D3863">
        <v>4.7578279999999999</v>
      </c>
      <c r="E3863">
        <v>0.53171930000000001</v>
      </c>
      <c r="F3863" t="s">
        <v>42</v>
      </c>
      <c r="G3863">
        <v>-252.23849999999999</v>
      </c>
      <c r="H3863" s="1">
        <v>-3.6915059999999999E-6</v>
      </c>
      <c r="I3863">
        <v>141.0427</v>
      </c>
      <c r="J3863">
        <v>-231.18989999999999</v>
      </c>
      <c r="K3863">
        <v>1.108033</v>
      </c>
      <c r="L3863">
        <v>138.98159999999999</v>
      </c>
      <c r="M3863">
        <v>-0.99903359999999997</v>
      </c>
      <c r="N3863">
        <v>0</v>
      </c>
      <c r="O3863">
        <v>4.3401469999999998E-2</v>
      </c>
      <c r="P3863">
        <v>-0.99920549999999997</v>
      </c>
      <c r="Q3863">
        <v>3.6252930000000003E-2</v>
      </c>
      <c r="R3863">
        <v>1.6564309999999999E-2</v>
      </c>
      <c r="S3863">
        <v>-3.0036160000000001</v>
      </c>
      <c r="T3863">
        <v>-0.15623960000000001</v>
      </c>
      <c r="U3863">
        <v>0.29238890000000001</v>
      </c>
      <c r="V3863">
        <v>-2.668355E-2</v>
      </c>
      <c r="W3863">
        <v>4.3289309999999998E-2</v>
      </c>
      <c r="X3863">
        <v>0.99870619999999999</v>
      </c>
      <c r="Y3863">
        <v>5.3584380000000001E-2</v>
      </c>
      <c r="Z3863">
        <v>-8.5969200000000001E-4</v>
      </c>
      <c r="AA3863">
        <v>0.99856290000000003</v>
      </c>
      <c r="AB3863">
        <v>26</v>
      </c>
      <c r="AC3863">
        <v>-21.0486</v>
      </c>
      <c r="AD3863">
        <v>-1.108036691506</v>
      </c>
      <c r="AE3863">
        <v>2.0611000000000099</v>
      </c>
      <c r="AF3863">
        <v>1.1424596963036799</v>
      </c>
      <c r="AG3863">
        <v>-1.108036691506</v>
      </c>
      <c r="AH3863">
        <v>21.060414607083398</v>
      </c>
      <c r="AI3863">
        <v>93.007272132778496</v>
      </c>
      <c r="AJ3863">
        <v>86.894931792444396</v>
      </c>
      <c r="AK3863">
        <v>21.120464551937602</v>
      </c>
      <c r="AL3863">
        <v>87.518929983191299</v>
      </c>
      <c r="AM3863">
        <v>91.530471281923795</v>
      </c>
      <c r="AN3863">
        <v>1.0000000250596499</v>
      </c>
    </row>
    <row r="3864" spans="1:40" x14ac:dyDescent="0.25">
      <c r="A3864" t="str">
        <f>"20190312151350565"</f>
        <v>20190312151350565</v>
      </c>
      <c r="B3864" t="str">
        <f>"1552374830554537"</f>
        <v>1552374830554537</v>
      </c>
      <c r="C3864" t="s">
        <v>40</v>
      </c>
      <c r="D3864">
        <v>5.0496790000000003</v>
      </c>
      <c r="E3864">
        <v>0.5317383</v>
      </c>
      <c r="F3864" t="s">
        <v>42</v>
      </c>
      <c r="G3864">
        <v>-252.3365</v>
      </c>
      <c r="H3864" s="1">
        <v>-3.6621189999999999E-6</v>
      </c>
      <c r="I3864">
        <v>141.09010000000001</v>
      </c>
      <c r="J3864">
        <v>-231.459</v>
      </c>
      <c r="K3864">
        <v>1.1080139999999901</v>
      </c>
      <c r="L3864">
        <v>138.99539999999999</v>
      </c>
      <c r="M3864">
        <v>-0.99894810000000001</v>
      </c>
      <c r="N3864">
        <v>0</v>
      </c>
      <c r="O3864">
        <v>4.5339259999999999E-2</v>
      </c>
      <c r="P3864">
        <v>-0.99915390000000004</v>
      </c>
      <c r="Q3864">
        <v>3.6839110000000001E-2</v>
      </c>
      <c r="R3864">
        <v>1.8295680000000002E-2</v>
      </c>
      <c r="S3864">
        <v>-3.0031279999999998</v>
      </c>
      <c r="T3864">
        <v>-0.15735789999999999</v>
      </c>
      <c r="U3864">
        <v>0.29945369999999999</v>
      </c>
      <c r="V3864">
        <v>-2.6886319999999998E-2</v>
      </c>
      <c r="W3864">
        <v>4.3782359999999999E-2</v>
      </c>
      <c r="X3864">
        <v>0.99867919999999999</v>
      </c>
      <c r="Y3864">
        <v>5.3991499999999998E-2</v>
      </c>
      <c r="Z3864">
        <v>-9.5624740000000005E-4</v>
      </c>
      <c r="AA3864">
        <v>0.99854089999999995</v>
      </c>
      <c r="AB3864">
        <v>26</v>
      </c>
      <c r="AC3864">
        <v>-20.877500000000001</v>
      </c>
      <c r="AD3864">
        <v>-1.1080176621190001</v>
      </c>
      <c r="AE3864">
        <v>2.0947000000000102</v>
      </c>
      <c r="AF3864">
        <v>1.1427664211781099</v>
      </c>
      <c r="AG3864">
        <v>-1.1080176621190001</v>
      </c>
      <c r="AH3864">
        <v>20.892742415340201</v>
      </c>
      <c r="AI3864">
        <v>93.031235885499001</v>
      </c>
      <c r="AJ3864">
        <v>86.869223143844806</v>
      </c>
      <c r="AK3864">
        <v>20.953288616985599</v>
      </c>
      <c r="AL3864">
        <v>87.490653318427803</v>
      </c>
      <c r="AM3864">
        <v>91.542137507826098</v>
      </c>
      <c r="AN3864">
        <v>0.99999995688147503</v>
      </c>
    </row>
    <row r="3865" spans="1:40" x14ac:dyDescent="0.25">
      <c r="A3865" t="str">
        <f>"20190312151350587"</f>
        <v>20190312151350587</v>
      </c>
      <c r="B3865" t="str">
        <f>"1552374830583817"</f>
        <v>1552374830583817</v>
      </c>
      <c r="C3865" t="s">
        <v>40</v>
      </c>
      <c r="D3865">
        <v>4.9989840000000001</v>
      </c>
      <c r="E3865">
        <v>0.53175550000000005</v>
      </c>
      <c r="F3865" t="s">
        <v>42</v>
      </c>
      <c r="G3865">
        <v>-253.18950000000001</v>
      </c>
      <c r="H3865" s="1">
        <v>-3.3258680000000002E-6</v>
      </c>
      <c r="I3865">
        <v>141.20169999999999</v>
      </c>
      <c r="J3865">
        <v>-231.71369999999999</v>
      </c>
      <c r="K3865">
        <v>1.107998</v>
      </c>
      <c r="L3865">
        <v>139.00890000000001</v>
      </c>
      <c r="M3865">
        <v>-0.99886390000000003</v>
      </c>
      <c r="N3865">
        <v>0</v>
      </c>
      <c r="O3865">
        <v>4.7171640000000001E-2</v>
      </c>
      <c r="P3865">
        <v>-0.99912140000000005</v>
      </c>
      <c r="Q3865">
        <v>3.7000970000000001E-2</v>
      </c>
      <c r="R3865">
        <v>1.9684770000000001E-2</v>
      </c>
      <c r="S3865">
        <v>-3.0026090000000001</v>
      </c>
      <c r="T3865">
        <v>-0.1531006</v>
      </c>
      <c r="U3865">
        <v>0.30487059999999999</v>
      </c>
      <c r="V3865">
        <v>-2.7328620000000001E-2</v>
      </c>
      <c r="W3865">
        <v>4.3860009999999998E-2</v>
      </c>
      <c r="X3865">
        <v>0.99866379999999999</v>
      </c>
      <c r="Y3865">
        <v>5.3963219999999999E-2</v>
      </c>
      <c r="Z3865">
        <v>-1.02413E-3</v>
      </c>
      <c r="AA3865">
        <v>0.99854240000000005</v>
      </c>
      <c r="AB3865">
        <v>26</v>
      </c>
      <c r="AC3865">
        <v>-21.4758</v>
      </c>
      <c r="AD3865">
        <v>-1.1080013258679999</v>
      </c>
      <c r="AE3865">
        <v>2.1927999999999699</v>
      </c>
      <c r="AF3865">
        <v>1.1741937156634601</v>
      </c>
      <c r="AG3865">
        <v>-1.1080013258679999</v>
      </c>
      <c r="AH3865">
        <v>21.498696731614501</v>
      </c>
      <c r="AI3865">
        <v>92.945920703495005</v>
      </c>
      <c r="AJ3865">
        <v>86.873784065346499</v>
      </c>
      <c r="AK3865">
        <v>21.559229090530199</v>
      </c>
      <c r="AL3865">
        <v>87.486200055294603</v>
      </c>
      <c r="AM3865">
        <v>91.567518424381106</v>
      </c>
      <c r="AN3865">
        <v>0.99999996968937099</v>
      </c>
    </row>
    <row r="3866" spans="1:40" x14ac:dyDescent="0.25">
      <c r="A3866" t="str">
        <f>"20190312151350611"</f>
        <v>20190312151350611</v>
      </c>
      <c r="B3866" t="str">
        <f>"1552374830604314"</f>
        <v>1552374830604314</v>
      </c>
      <c r="C3866" t="s">
        <v>40</v>
      </c>
      <c r="D3866">
        <v>4.7413509999999999</v>
      </c>
      <c r="E3866">
        <v>0.53174540000000003</v>
      </c>
      <c r="F3866" t="s">
        <v>42</v>
      </c>
      <c r="G3866">
        <v>-254.17519999999999</v>
      </c>
      <c r="H3866" s="1">
        <v>-2.9351300000000001E-6</v>
      </c>
      <c r="I3866">
        <v>141.32239999999999</v>
      </c>
      <c r="J3866">
        <v>-231.99299999999999</v>
      </c>
      <c r="K3866">
        <v>1.107977</v>
      </c>
      <c r="L3866">
        <v>139.02430000000001</v>
      </c>
      <c r="M3866">
        <v>-0.99876779999999998</v>
      </c>
      <c r="N3866">
        <v>0</v>
      </c>
      <c r="O3866">
        <v>4.9175990000000003E-2</v>
      </c>
      <c r="P3866">
        <v>-0.99905840000000001</v>
      </c>
      <c r="Q3866">
        <v>3.7862260000000002E-2</v>
      </c>
      <c r="R3866">
        <v>2.119244E-2</v>
      </c>
      <c r="S3866">
        <v>-3.0020289999999998</v>
      </c>
      <c r="T3866">
        <v>-0.148087</v>
      </c>
      <c r="U3866">
        <v>0.30921939999999998</v>
      </c>
      <c r="V3866">
        <v>-2.7820540000000001E-2</v>
      </c>
      <c r="W3866">
        <v>4.4633649999999997E-2</v>
      </c>
      <c r="X3866">
        <v>0.99861599999999995</v>
      </c>
      <c r="Y3866">
        <v>5.341398E-2</v>
      </c>
      <c r="Z3866">
        <v>-1.102579E-3</v>
      </c>
      <c r="AA3866">
        <v>0.99857189999999996</v>
      </c>
      <c r="AB3866">
        <v>26</v>
      </c>
      <c r="AC3866">
        <v>-22.182199999999899</v>
      </c>
      <c r="AD3866">
        <v>-1.1079799351299999</v>
      </c>
      <c r="AE3866">
        <v>2.2980999999999701</v>
      </c>
      <c r="AF3866">
        <v>1.2014977038877499</v>
      </c>
      <c r="AG3866">
        <v>-1.1079799351299999</v>
      </c>
      <c r="AH3866">
        <v>22.213542842978399</v>
      </c>
      <c r="AI3866">
        <v>92.851304675524403</v>
      </c>
      <c r="AJ3866">
        <v>86.903972822306201</v>
      </c>
      <c r="AK3866">
        <v>22.273587540087401</v>
      </c>
      <c r="AL3866">
        <v>87.441830446704699</v>
      </c>
      <c r="AM3866">
        <v>91.595795916016399</v>
      </c>
      <c r="AN3866">
        <v>1.0000000303070999</v>
      </c>
    </row>
    <row r="3867" spans="1:40" x14ac:dyDescent="0.25">
      <c r="A3867" t="str">
        <f>"20190312151350633"</f>
        <v>20190312151350633</v>
      </c>
      <c r="B3867" t="str">
        <f>"1552374830623833"</f>
        <v>1552374830623833</v>
      </c>
      <c r="C3867" t="s">
        <v>40</v>
      </c>
      <c r="D3867">
        <v>5.0902849999999997</v>
      </c>
      <c r="E3867">
        <v>0.53219620000000001</v>
      </c>
      <c r="F3867" t="s">
        <v>42</v>
      </c>
      <c r="G3867">
        <v>-255.07169999999999</v>
      </c>
      <c r="H3867" s="1">
        <v>-2.5802759999999999E-6</v>
      </c>
      <c r="I3867">
        <v>141.43430000000001</v>
      </c>
      <c r="J3867">
        <v>-232.25890000000001</v>
      </c>
      <c r="K3867">
        <v>1.1079650000000001</v>
      </c>
      <c r="L3867">
        <v>139.0394</v>
      </c>
      <c r="M3867">
        <v>-0.99867289999999997</v>
      </c>
      <c r="N3867">
        <v>0</v>
      </c>
      <c r="O3867">
        <v>5.1075679999999998E-2</v>
      </c>
      <c r="P3867">
        <v>-0.99903450000000005</v>
      </c>
      <c r="Q3867">
        <v>3.7873009999999999E-2</v>
      </c>
      <c r="R3867">
        <v>2.2265030000000002E-2</v>
      </c>
      <c r="S3867">
        <v>-3.0016479999999999</v>
      </c>
      <c r="T3867">
        <v>-0.1441057</v>
      </c>
      <c r="U3867">
        <v>0.3134613</v>
      </c>
      <c r="V3867">
        <v>-2.8647720000000002E-2</v>
      </c>
      <c r="W3867">
        <v>4.4568379999999998E-2</v>
      </c>
      <c r="X3867">
        <v>0.99859549999999997</v>
      </c>
      <c r="Y3867">
        <v>5.292666E-2</v>
      </c>
      <c r="Z3867">
        <v>-1.1753670000000001E-3</v>
      </c>
      <c r="AA3867">
        <v>0.99859770000000003</v>
      </c>
      <c r="AB3867">
        <v>26</v>
      </c>
      <c r="AC3867">
        <v>-22.8127999999999</v>
      </c>
      <c r="AD3867">
        <v>-1.1079675802759901</v>
      </c>
      <c r="AE3867">
        <v>2.3948999999999998</v>
      </c>
      <c r="AF3867">
        <v>1.2237141946347201</v>
      </c>
      <c r="AG3867">
        <v>-1.1079675802759901</v>
      </c>
      <c r="AH3867">
        <v>22.852030430663898</v>
      </c>
      <c r="AI3867">
        <v>92.771814202763494</v>
      </c>
      <c r="AJ3867">
        <v>86.934768841802196</v>
      </c>
      <c r="AK3867">
        <v>22.9115770603659</v>
      </c>
      <c r="AL3867">
        <v>87.445573796167395</v>
      </c>
      <c r="AM3867">
        <v>91.643251327326894</v>
      </c>
      <c r="AN3867">
        <v>1.00000000248863</v>
      </c>
    </row>
    <row r="3868" spans="1:40" x14ac:dyDescent="0.25">
      <c r="A3868" t="str">
        <f>"20190312151350654"</f>
        <v>20190312151350654</v>
      </c>
      <c r="B3868" t="str">
        <f>"1552374830644330"</f>
        <v>1552374830644330</v>
      </c>
      <c r="C3868" t="s">
        <v>40</v>
      </c>
      <c r="D3868">
        <v>5.0431299999999997</v>
      </c>
      <c r="E3868">
        <v>0.53217109999999901</v>
      </c>
      <c r="F3868" t="s">
        <v>42</v>
      </c>
      <c r="G3868">
        <v>-254.98929999999999</v>
      </c>
      <c r="H3868" s="1">
        <v>-2.6236440000000001E-6</v>
      </c>
      <c r="I3868">
        <v>141.46440000000001</v>
      </c>
      <c r="J3868">
        <v>-232.5034</v>
      </c>
      <c r="K3868">
        <v>1.107952</v>
      </c>
      <c r="L3868">
        <v>139.05369999999999</v>
      </c>
      <c r="M3868">
        <v>-0.9985832</v>
      </c>
      <c r="N3868">
        <v>0</v>
      </c>
      <c r="O3868">
        <v>5.280791E-2</v>
      </c>
      <c r="P3868">
        <v>-0.99899320000000003</v>
      </c>
      <c r="Q3868">
        <v>3.8388390000000001E-2</v>
      </c>
      <c r="R3868">
        <v>2.3219610000000002E-2</v>
      </c>
      <c r="S3868">
        <v>-3.001312</v>
      </c>
      <c r="T3868">
        <v>-0.14629610000000001</v>
      </c>
      <c r="U3868">
        <v>0.32020569999999998</v>
      </c>
      <c r="V3868">
        <v>-2.9423270000000001E-2</v>
      </c>
      <c r="W3868">
        <v>4.5018540000000003E-2</v>
      </c>
      <c r="X3868">
        <v>0.99855269999999996</v>
      </c>
      <c r="Y3868">
        <v>5.3426689999999999E-2</v>
      </c>
      <c r="Z3868">
        <v>-1.2649709999999999E-3</v>
      </c>
      <c r="AA3868">
        <v>0.99857099999999999</v>
      </c>
      <c r="AB3868">
        <v>26</v>
      </c>
      <c r="AC3868">
        <v>-22.485899999999901</v>
      </c>
      <c r="AD3868">
        <v>-1.1079546236440001</v>
      </c>
      <c r="AE3868">
        <v>2.4107000000000198</v>
      </c>
      <c r="AF3868">
        <v>1.2169562899605</v>
      </c>
      <c r="AG3868">
        <v>-1.1079546236440001</v>
      </c>
      <c r="AH3868">
        <v>22.5277578786622</v>
      </c>
      <c r="AI3868">
        <v>92.811545405361898</v>
      </c>
      <c r="AJ3868">
        <v>86.907870145750607</v>
      </c>
      <c r="AK3868">
        <v>22.587793630617298</v>
      </c>
      <c r="AL3868">
        <v>87.419755468115198</v>
      </c>
      <c r="AM3868">
        <v>91.687784273102494</v>
      </c>
      <c r="AN3868">
        <v>0.99999994621925503</v>
      </c>
    </row>
    <row r="3869" spans="1:40" x14ac:dyDescent="0.25">
      <c r="A3869" t="str">
        <f>"20190312151350677"</f>
        <v>20190312151350677</v>
      </c>
      <c r="B3869" t="str">
        <f>"1552374830674586"</f>
        <v>1552374830674586</v>
      </c>
      <c r="C3869" t="s">
        <v>40</v>
      </c>
      <c r="D3869">
        <v>5.0300149999999997</v>
      </c>
      <c r="E3869">
        <v>0.53204319999999905</v>
      </c>
      <c r="F3869" t="s">
        <v>42</v>
      </c>
      <c r="G3869">
        <v>-255.52809999999999</v>
      </c>
      <c r="H3869" s="1">
        <v>-2.4103360000000002E-6</v>
      </c>
      <c r="I3869">
        <v>141.53139999999999</v>
      </c>
      <c r="J3869">
        <v>-232.77809999999999</v>
      </c>
      <c r="K3869">
        <v>1.107944</v>
      </c>
      <c r="L3869">
        <v>139.0703</v>
      </c>
      <c r="M3869">
        <v>-0.99848029999999999</v>
      </c>
      <c r="N3869">
        <v>0</v>
      </c>
      <c r="O3869">
        <v>5.4728159999999998E-2</v>
      </c>
      <c r="P3869">
        <v>-0.99897469999999999</v>
      </c>
      <c r="Q3869">
        <v>3.844993E-2</v>
      </c>
      <c r="R3869">
        <v>2.3900870000000001E-2</v>
      </c>
      <c r="S3869">
        <v>-3.0010680000000001</v>
      </c>
      <c r="T3869">
        <v>-0.1444125</v>
      </c>
      <c r="U3869">
        <v>0.32295230000000003</v>
      </c>
      <c r="V3869">
        <v>-3.0663619999999999E-2</v>
      </c>
      <c r="W3869">
        <v>4.50114E-2</v>
      </c>
      <c r="X3869">
        <v>0.99851579999999995</v>
      </c>
      <c r="Y3869">
        <v>5.2421790000000003E-2</v>
      </c>
      <c r="Z3869">
        <v>-1.3646750000000001E-3</v>
      </c>
      <c r="AA3869">
        <v>0.99862410000000001</v>
      </c>
      <c r="AB3869">
        <v>26</v>
      </c>
      <c r="AC3869">
        <v>-22.75</v>
      </c>
      <c r="AD3869">
        <v>-1.1079464103359999</v>
      </c>
      <c r="AE3869">
        <v>2.4610999999999801</v>
      </c>
      <c r="AF3869">
        <v>1.20948418694884</v>
      </c>
      <c r="AG3869">
        <v>-1.1079464103359999</v>
      </c>
      <c r="AH3869">
        <v>22.797152830557799</v>
      </c>
      <c r="AI3869">
        <v>92.778496130765205</v>
      </c>
      <c r="AJ3869">
        <v>86.963066820953102</v>
      </c>
      <c r="AK3869">
        <v>22.856083969623199</v>
      </c>
      <c r="AL3869">
        <v>87.420165225699506</v>
      </c>
      <c r="AM3869">
        <v>91.758954680301301</v>
      </c>
      <c r="AN3869">
        <v>1.00000004328555</v>
      </c>
    </row>
    <row r="3870" spans="1:40" x14ac:dyDescent="0.25">
      <c r="A3870" t="str">
        <f>"20190312151350698"</f>
        <v>20190312151350698</v>
      </c>
      <c r="B3870" t="str">
        <f>"1552374830694106"</f>
        <v>1552374830694106</v>
      </c>
      <c r="C3870" t="s">
        <v>40</v>
      </c>
      <c r="D3870">
        <v>4.623367</v>
      </c>
      <c r="E3870">
        <v>0.53189419999999898</v>
      </c>
      <c r="F3870" t="s">
        <v>42</v>
      </c>
      <c r="G3870">
        <v>-256.50479999999999</v>
      </c>
      <c r="H3870" s="1">
        <v>-2.0180040000000001E-6</v>
      </c>
      <c r="I3870">
        <v>141.6317</v>
      </c>
      <c r="J3870">
        <v>-233.0283</v>
      </c>
      <c r="K3870">
        <v>1.107952</v>
      </c>
      <c r="L3870">
        <v>139.08580000000001</v>
      </c>
      <c r="M3870">
        <v>-0.99838539999999998</v>
      </c>
      <c r="N3870">
        <v>0</v>
      </c>
      <c r="O3870">
        <v>5.64413E-2</v>
      </c>
      <c r="P3870">
        <v>-0.99895409999999996</v>
      </c>
      <c r="Q3870">
        <v>3.8452029999999998E-2</v>
      </c>
      <c r="R3870">
        <v>2.4743919999999999E-2</v>
      </c>
      <c r="S3870">
        <v>-3.000702</v>
      </c>
      <c r="T3870">
        <v>-0.14012169999999999</v>
      </c>
      <c r="U3870">
        <v>0.32394410000000001</v>
      </c>
      <c r="V3870">
        <v>-3.1535960000000002E-2</v>
      </c>
      <c r="W3870">
        <v>4.4954710000000002E-2</v>
      </c>
      <c r="X3870">
        <v>0.99849120000000002</v>
      </c>
      <c r="Y3870">
        <v>5.1050709999999999E-2</v>
      </c>
      <c r="Z3870">
        <v>-1.4357160000000001E-3</v>
      </c>
      <c r="AA3870">
        <v>0.998695</v>
      </c>
      <c r="AB3870">
        <v>27</v>
      </c>
      <c r="AC3870">
        <v>-23.476499999999898</v>
      </c>
      <c r="AD3870">
        <v>-1.107954018004</v>
      </c>
      <c r="AE3870">
        <v>2.5458999999999801</v>
      </c>
      <c r="AF3870">
        <v>1.2140974225340899</v>
      </c>
      <c r="AG3870">
        <v>-1.107954018004</v>
      </c>
      <c r="AH3870">
        <v>23.5309707754583</v>
      </c>
      <c r="AI3870">
        <v>92.692200727818602</v>
      </c>
      <c r="AJ3870">
        <v>87.046401982816107</v>
      </c>
      <c r="AK3870">
        <v>23.588306007275801</v>
      </c>
      <c r="AL3870">
        <v>87.423416656583996</v>
      </c>
      <c r="AM3870">
        <v>91.809006397503296</v>
      </c>
      <c r="AN3870">
        <v>1.00000005960087</v>
      </c>
    </row>
    <row r="3871" spans="1:40" x14ac:dyDescent="0.25">
      <c r="A3871" t="str">
        <f>"20190312151350722"</f>
        <v>20190312151350722</v>
      </c>
      <c r="B3871" t="str">
        <f>"1552374830714602"</f>
        <v>1552374830714602</v>
      </c>
      <c r="C3871" t="s">
        <v>40</v>
      </c>
      <c r="D3871">
        <v>4.655437</v>
      </c>
      <c r="E3871">
        <v>0.53177019999999997</v>
      </c>
      <c r="F3871" t="s">
        <v>42</v>
      </c>
      <c r="G3871">
        <v>-257.0727</v>
      </c>
      <c r="H3871" s="1">
        <v>-1.7900710000000001E-6</v>
      </c>
      <c r="I3871">
        <v>141.69069999999999</v>
      </c>
      <c r="J3871">
        <v>-233.3151</v>
      </c>
      <c r="K3871">
        <v>1.1079760000000001</v>
      </c>
      <c r="L3871">
        <v>139.10409999999999</v>
      </c>
      <c r="M3871">
        <v>-0.9982761</v>
      </c>
      <c r="N3871">
        <v>0</v>
      </c>
      <c r="O3871">
        <v>5.8349770000000002E-2</v>
      </c>
      <c r="P3871">
        <v>-0.99891359999999996</v>
      </c>
      <c r="Q3871">
        <v>3.8769980000000002E-2</v>
      </c>
      <c r="R3871">
        <v>2.5859119999999999E-2</v>
      </c>
      <c r="S3871">
        <v>-3.0004119999999999</v>
      </c>
      <c r="T3871">
        <v>-0.13825770000000001</v>
      </c>
      <c r="U3871">
        <v>0.32505800000000001</v>
      </c>
      <c r="V3871">
        <v>-3.2331650000000003E-2</v>
      </c>
      <c r="W3871">
        <v>4.5210979999999998E-2</v>
      </c>
      <c r="X3871">
        <v>0.99845410000000001</v>
      </c>
      <c r="Y3871">
        <v>4.952173E-2</v>
      </c>
      <c r="Z3871">
        <v>-1.5392400000000001E-3</v>
      </c>
      <c r="AA3871">
        <v>0.99877179999999999</v>
      </c>
      <c r="AB3871">
        <v>27</v>
      </c>
      <c r="AC3871">
        <v>-23.7576</v>
      </c>
      <c r="AD3871">
        <v>-1.1079777900709999</v>
      </c>
      <c r="AE3871">
        <v>2.5865999999999998</v>
      </c>
      <c r="AF3871">
        <v>1.19334934715926</v>
      </c>
      <c r="AG3871">
        <v>-1.1079777900709999</v>
      </c>
      <c r="AH3871">
        <v>23.816856189861699</v>
      </c>
      <c r="AI3871">
        <v>92.660189407161297</v>
      </c>
      <c r="AJ3871">
        <v>87.131579910460104</v>
      </c>
      <c r="AK3871">
        <v>23.872459785623398</v>
      </c>
      <c r="AL3871">
        <v>87.408718314844194</v>
      </c>
      <c r="AM3871">
        <v>91.854687174049801</v>
      </c>
      <c r="AN3871">
        <v>0.99999997905554605</v>
      </c>
    </row>
    <row r="3872" spans="1:40" x14ac:dyDescent="0.25">
      <c r="A3872" t="str">
        <f>"20190312151350743"</f>
        <v>20190312151350743</v>
      </c>
      <c r="B3872" t="str">
        <f>"1552374830734122"</f>
        <v>1552374830734122</v>
      </c>
      <c r="C3872" t="s">
        <v>40</v>
      </c>
      <c r="D3872">
        <v>4.695417</v>
      </c>
      <c r="E3872">
        <v>0.53172459999999999</v>
      </c>
      <c r="F3872" t="s">
        <v>42</v>
      </c>
      <c r="G3872">
        <v>-257.82819999999998</v>
      </c>
      <c r="H3872" s="1">
        <v>-1.489012E-6</v>
      </c>
      <c r="I3872">
        <v>141.77719999999999</v>
      </c>
      <c r="J3872">
        <v>-233.5735</v>
      </c>
      <c r="K3872">
        <v>1.1080049999999999</v>
      </c>
      <c r="L3872">
        <v>139.12090000000001</v>
      </c>
      <c r="M3872">
        <v>-0.99817840000000002</v>
      </c>
      <c r="N3872">
        <v>0</v>
      </c>
      <c r="O3872">
        <v>6.0004380000000003E-2</v>
      </c>
      <c r="P3872">
        <v>-0.9988515</v>
      </c>
      <c r="Q3872">
        <v>3.9735569999999998E-2</v>
      </c>
      <c r="R3872">
        <v>2.6783910000000001E-2</v>
      </c>
      <c r="S3872">
        <v>-3.0000460000000002</v>
      </c>
      <c r="T3872">
        <v>-0.13560039999999901</v>
      </c>
      <c r="U3872">
        <v>0.3271637</v>
      </c>
      <c r="V3872">
        <v>-3.3060590000000001E-2</v>
      </c>
      <c r="W3872">
        <v>4.6127000000000001E-2</v>
      </c>
      <c r="X3872">
        <v>0.99838839999999995</v>
      </c>
      <c r="Y3872">
        <v>4.8574390000000002E-2</v>
      </c>
      <c r="Z3872">
        <v>-1.6054470000000001E-3</v>
      </c>
      <c r="AA3872">
        <v>0.99881830000000005</v>
      </c>
      <c r="AB3872">
        <v>27</v>
      </c>
      <c r="AC3872">
        <v>-24.2546999999999</v>
      </c>
      <c r="AD3872">
        <v>-1.1080064890119901</v>
      </c>
      <c r="AE3872">
        <v>2.6562999999999799</v>
      </c>
      <c r="AF3872">
        <v>1.19363516117941</v>
      </c>
      <c r="AG3872">
        <v>-1.1080064890119901</v>
      </c>
      <c r="AH3872">
        <v>24.320235487573999</v>
      </c>
      <c r="AI3872">
        <v>92.605404925917199</v>
      </c>
      <c r="AJ3872">
        <v>87.190182529752406</v>
      </c>
      <c r="AK3872">
        <v>24.374706099741001</v>
      </c>
      <c r="AL3872">
        <v>87.356179601982205</v>
      </c>
      <c r="AM3872">
        <v>91.896596922541093</v>
      </c>
      <c r="AN3872">
        <v>1.00000004999735</v>
      </c>
    </row>
    <row r="3873" spans="1:40" x14ac:dyDescent="0.25">
      <c r="A3873" t="str">
        <f>"20190312151350766"</f>
        <v>20190312151350766</v>
      </c>
      <c r="B3873" t="str">
        <f>"1552374830754618"</f>
        <v>1552374830754618</v>
      </c>
      <c r="C3873" t="s">
        <v>40</v>
      </c>
      <c r="D3873">
        <v>4.7015840000000004</v>
      </c>
      <c r="E3873">
        <v>0.53171219999999997</v>
      </c>
      <c r="F3873" t="s">
        <v>42</v>
      </c>
      <c r="G3873">
        <v>-258.24549999999999</v>
      </c>
      <c r="H3873" s="1">
        <v>-1.323934E-6</v>
      </c>
      <c r="I3873">
        <v>141.8296</v>
      </c>
      <c r="J3873">
        <v>-233.84389999999999</v>
      </c>
      <c r="K3873">
        <v>1.1080449999999999</v>
      </c>
      <c r="L3873">
        <v>139.13890000000001</v>
      </c>
      <c r="M3873">
        <v>-0.99807780000000001</v>
      </c>
      <c r="N3873">
        <v>0</v>
      </c>
      <c r="O3873">
        <v>6.1657450000000003E-2</v>
      </c>
      <c r="P3873">
        <v>-0.99878739999999999</v>
      </c>
      <c r="Q3873">
        <v>4.0710400000000001E-2</v>
      </c>
      <c r="R3873">
        <v>2.768228E-2</v>
      </c>
      <c r="S3873">
        <v>-3.0000149999999999</v>
      </c>
      <c r="T3873">
        <v>-0.1347293</v>
      </c>
      <c r="U3873">
        <v>0.32937620000000001</v>
      </c>
      <c r="V3873">
        <v>-3.3816539999999999E-2</v>
      </c>
      <c r="W3873">
        <v>4.7055810000000003E-2</v>
      </c>
      <c r="X3873">
        <v>0.99831970000000003</v>
      </c>
      <c r="Y3873">
        <v>4.7651569999999997E-2</v>
      </c>
      <c r="Z3873">
        <v>-1.689484E-3</v>
      </c>
      <c r="AA3873">
        <v>0.99886260000000004</v>
      </c>
      <c r="AB3873">
        <v>27</v>
      </c>
      <c r="AC3873">
        <v>-24.401599999999998</v>
      </c>
      <c r="AD3873">
        <v>-1.1080463239339999</v>
      </c>
      <c r="AE3873">
        <v>2.6906999999999899</v>
      </c>
      <c r="AF3873">
        <v>1.17860952627114</v>
      </c>
      <c r="AG3873">
        <v>-1.1080463239339999</v>
      </c>
      <c r="AH3873">
        <v>24.4712234789638</v>
      </c>
      <c r="AI3873">
        <v>92.589559437725796</v>
      </c>
      <c r="AJ3873">
        <v>87.242589500615196</v>
      </c>
      <c r="AK3873">
        <v>24.524633853103499</v>
      </c>
      <c r="AL3873">
        <v>87.302904761959695</v>
      </c>
      <c r="AM3873">
        <v>91.940064366075603</v>
      </c>
      <c r="AN3873">
        <v>1.0000000155202</v>
      </c>
    </row>
    <row r="3874" spans="1:40" x14ac:dyDescent="0.25">
      <c r="A3874" t="str">
        <f>"20190312151350787"</f>
        <v>20190312151350787</v>
      </c>
      <c r="B3874" t="str">
        <f>"1552374830783898"</f>
        <v>1552374830783898</v>
      </c>
      <c r="C3874" t="s">
        <v>40</v>
      </c>
      <c r="D3874">
        <v>4.5481160000000003</v>
      </c>
      <c r="E3874">
        <v>0.53189350000000002</v>
      </c>
      <c r="F3874" t="s">
        <v>42</v>
      </c>
      <c r="G3874">
        <v>-259.00689999999997</v>
      </c>
      <c r="H3874" s="1">
        <v>-1.0218760000000001E-6</v>
      </c>
      <c r="I3874">
        <v>141.9221</v>
      </c>
      <c r="J3874">
        <v>-234.1097</v>
      </c>
      <c r="K3874">
        <v>1.108096</v>
      </c>
      <c r="L3874">
        <v>139.15700000000001</v>
      </c>
      <c r="M3874">
        <v>-0.99798240000000005</v>
      </c>
      <c r="N3874">
        <v>0</v>
      </c>
      <c r="O3874">
        <v>6.3187820000000006E-2</v>
      </c>
      <c r="P3874">
        <v>-0.99878469999999997</v>
      </c>
      <c r="Q3874">
        <v>4.0638489999999999E-2</v>
      </c>
      <c r="R3874">
        <v>2.788918E-2</v>
      </c>
      <c r="S3874">
        <v>-2.9998320000000001</v>
      </c>
      <c r="T3874">
        <v>-0.13209689999999999</v>
      </c>
      <c r="U3874">
        <v>0.3318024</v>
      </c>
      <c r="V3874">
        <v>-3.5147690000000002E-2</v>
      </c>
      <c r="W3874">
        <v>4.6946259999999997E-2</v>
      </c>
      <c r="X3874">
        <v>0.99827889999999997</v>
      </c>
      <c r="Y3874">
        <v>4.6926330000000002E-2</v>
      </c>
      <c r="Z3874">
        <v>-1.7393679999999901E-3</v>
      </c>
      <c r="AA3874">
        <v>0.99889680000000003</v>
      </c>
      <c r="AB3874">
        <v>27</v>
      </c>
      <c r="AC3874">
        <v>-24.897199999999899</v>
      </c>
      <c r="AD3874">
        <v>-1.108097021876</v>
      </c>
      <c r="AE3874">
        <v>2.7650999999999799</v>
      </c>
      <c r="AF3874">
        <v>1.1840273173903699</v>
      </c>
      <c r="AG3874">
        <v>-1.108097021876</v>
      </c>
      <c r="AH3874">
        <v>24.9733028704566</v>
      </c>
      <c r="AI3874">
        <v>92.537772759035505</v>
      </c>
      <c r="AJ3874">
        <v>87.285541074759706</v>
      </c>
      <c r="AK3874">
        <v>25.025899703262901</v>
      </c>
      <c r="AL3874">
        <v>87.309188516333805</v>
      </c>
      <c r="AM3874">
        <v>92.016453308965197</v>
      </c>
      <c r="AN3874">
        <v>1.00000003681276</v>
      </c>
    </row>
    <row r="3875" spans="1:40" x14ac:dyDescent="0.25">
      <c r="A3875" t="str">
        <f>"20190312151350811"</f>
        <v>20190312151350811</v>
      </c>
      <c r="B3875" t="str">
        <f>"1552374830804393"</f>
        <v>1552374830804393</v>
      </c>
      <c r="C3875" t="s">
        <v>40</v>
      </c>
      <c r="D3875">
        <v>4.5701159999999996</v>
      </c>
      <c r="E3875">
        <v>0.531744199999999</v>
      </c>
      <c r="F3875" t="s">
        <v>42</v>
      </c>
      <c r="G3875">
        <v>-258.94630000000001</v>
      </c>
      <c r="H3875" s="1">
        <v>-1.047511E-6</v>
      </c>
      <c r="I3875">
        <v>141.92070000000001</v>
      </c>
      <c r="J3875">
        <v>-234.3981</v>
      </c>
      <c r="K3875">
        <v>1.1081510000000001</v>
      </c>
      <c r="L3875">
        <v>139.17699999999999</v>
      </c>
      <c r="M3875">
        <v>-0.99788149999999998</v>
      </c>
      <c r="N3875">
        <v>0</v>
      </c>
      <c r="O3875">
        <v>6.4764230000000006E-2</v>
      </c>
      <c r="P3875">
        <v>-0.99875429999999998</v>
      </c>
      <c r="Q3875">
        <v>4.1048179999999997E-2</v>
      </c>
      <c r="R3875">
        <v>2.8377349999999999E-2</v>
      </c>
      <c r="S3875">
        <v>-2.999771</v>
      </c>
      <c r="T3875">
        <v>-0.13383629999999999</v>
      </c>
      <c r="U3875">
        <v>0.33380130000000002</v>
      </c>
      <c r="V3875">
        <v>-3.6240920000000003E-2</v>
      </c>
      <c r="W3875">
        <v>4.732016E-2</v>
      </c>
      <c r="X3875">
        <v>0.9982221</v>
      </c>
      <c r="Y3875">
        <v>4.6010950000000002E-2</v>
      </c>
      <c r="Z3875">
        <v>-1.8524030000000001E-3</v>
      </c>
      <c r="AA3875">
        <v>0.99893920000000003</v>
      </c>
      <c r="AB3875">
        <v>27</v>
      </c>
      <c r="AC3875">
        <v>-24.548200000000001</v>
      </c>
      <c r="AD3875">
        <v>-1.108152047511</v>
      </c>
      <c r="AE3875">
        <v>2.7436999999999898</v>
      </c>
      <c r="AF3875">
        <v>1.1457580677895001</v>
      </c>
      <c r="AG3875">
        <v>-1.108152047511</v>
      </c>
      <c r="AH3875">
        <v>24.624797343574102</v>
      </c>
      <c r="AI3875">
        <v>92.573874960942803</v>
      </c>
      <c r="AJ3875">
        <v>87.336027228004198</v>
      </c>
      <c r="AK3875">
        <v>24.676332926964701</v>
      </c>
      <c r="AL3875">
        <v>87.287741638948205</v>
      </c>
      <c r="AM3875">
        <v>92.079236843011699</v>
      </c>
      <c r="AN3875">
        <v>0.99999998137664003</v>
      </c>
    </row>
    <row r="3876" spans="1:40" x14ac:dyDescent="0.25">
      <c r="A3876" t="str">
        <f>"20190312151350858"</f>
        <v>20190312151350858</v>
      </c>
      <c r="B3876" t="str">
        <f>"1552374830854170"</f>
        <v>1552374830854170</v>
      </c>
      <c r="C3876" t="s">
        <v>40</v>
      </c>
      <c r="D3876">
        <v>4.5798620000000003</v>
      </c>
      <c r="E3876">
        <v>0.53147330000000004</v>
      </c>
      <c r="F3876" t="s">
        <v>42</v>
      </c>
      <c r="G3876">
        <v>-259.5967</v>
      </c>
      <c r="H3876" s="1">
        <v>-7.8524340000000001E-7</v>
      </c>
      <c r="I3876">
        <v>141.9836</v>
      </c>
      <c r="J3876">
        <v>-234.95580000000001</v>
      </c>
      <c r="K3876">
        <v>1.108231</v>
      </c>
      <c r="L3876">
        <v>139.2166</v>
      </c>
      <c r="M3876">
        <v>-0.99769660000000004</v>
      </c>
      <c r="N3876">
        <v>0</v>
      </c>
      <c r="O3876">
        <v>6.7558019999999996E-2</v>
      </c>
      <c r="P3876">
        <v>-0.99874379999999996</v>
      </c>
      <c r="Q3876">
        <v>4.1910599999999999E-2</v>
      </c>
      <c r="R3876">
        <v>2.7472920000000001E-2</v>
      </c>
      <c r="S3876">
        <v>-2.9996640000000001</v>
      </c>
      <c r="T3876">
        <v>-0.1319158</v>
      </c>
      <c r="U3876">
        <v>0.33410640000000003</v>
      </c>
      <c r="V3876">
        <v>-3.994706E-2</v>
      </c>
      <c r="W3876">
        <v>4.813224E-2</v>
      </c>
      <c r="X3876">
        <v>0.99804190000000004</v>
      </c>
      <c r="Y3876">
        <v>4.3322779999999998E-2</v>
      </c>
      <c r="Z3876">
        <v>-2.0067969999999998E-3</v>
      </c>
      <c r="AA3876">
        <v>0.99905909999999998</v>
      </c>
      <c r="AB3876">
        <v>27</v>
      </c>
      <c r="AC3876">
        <v>-24.640899999999899</v>
      </c>
      <c r="AD3876">
        <v>-1.1082317852433901</v>
      </c>
      <c r="AE3876">
        <v>2.7669999999999901</v>
      </c>
      <c r="AF3876">
        <v>1.0937716708212999</v>
      </c>
      <c r="AG3876">
        <v>-1.1082317852433901</v>
      </c>
      <c r="AH3876">
        <v>24.722153842008101</v>
      </c>
      <c r="AI3876">
        <v>92.564201885046998</v>
      </c>
      <c r="AJ3876">
        <v>87.466739361442393</v>
      </c>
      <c r="AK3876">
        <v>24.771140562066002</v>
      </c>
      <c r="AL3876">
        <v>87.241160007276804</v>
      </c>
      <c r="AM3876">
        <v>92.292064962793205</v>
      </c>
      <c r="AN3876">
        <v>1.00000005714283</v>
      </c>
    </row>
    <row r="3877" spans="1:40" x14ac:dyDescent="0.25">
      <c r="A3877" t="str">
        <f>"20190312151350878"</f>
        <v>20190312151350878</v>
      </c>
      <c r="B3877" t="str">
        <f>"1552374830874666"</f>
        <v>1552374830874666</v>
      </c>
      <c r="C3877" t="s">
        <v>40</v>
      </c>
      <c r="D3877">
        <v>4.5764529999999999</v>
      </c>
      <c r="E3877">
        <v>0.50783719999999999</v>
      </c>
      <c r="F3877" t="s">
        <v>42</v>
      </c>
      <c r="G3877">
        <v>-260.2355</v>
      </c>
      <c r="H3877" s="1">
        <v>-4.6171009999999996E-6</v>
      </c>
      <c r="I3877">
        <v>141.99080000000001</v>
      </c>
      <c r="J3877">
        <v>-235.221</v>
      </c>
      <c r="K3877">
        <v>1.1082780000000001</v>
      </c>
      <c r="L3877">
        <v>139.23589999999999</v>
      </c>
      <c r="M3877">
        <v>-0.99761369999999905</v>
      </c>
      <c r="N3877">
        <v>0</v>
      </c>
      <c r="O3877">
        <v>6.8771680000000002E-2</v>
      </c>
      <c r="P3877">
        <v>-0.998776</v>
      </c>
      <c r="Q3877">
        <v>4.1772900000000002E-2</v>
      </c>
      <c r="R3877">
        <v>2.649174E-2</v>
      </c>
      <c r="S3877">
        <v>-3.0002439999999999</v>
      </c>
      <c r="T3877">
        <v>-0.131527799999999</v>
      </c>
      <c r="U3877">
        <v>0.3292542</v>
      </c>
      <c r="V3877">
        <v>-4.2147850000000001E-2</v>
      </c>
      <c r="W3877">
        <v>4.7978399999999997E-2</v>
      </c>
      <c r="X3877">
        <v>0.99795869999999998</v>
      </c>
      <c r="Y3877">
        <v>4.0493420000000002E-2</v>
      </c>
      <c r="Z3877">
        <v>-2.1153679999999998E-3</v>
      </c>
      <c r="AA3877">
        <v>0.9991776</v>
      </c>
      <c r="AB3877">
        <v>27</v>
      </c>
      <c r="AC3877">
        <v>-25.014500000000002</v>
      </c>
      <c r="AD3877">
        <v>-1.1082826171009901</v>
      </c>
      <c r="AE3877">
        <v>2.7549000000000201</v>
      </c>
      <c r="AF3877">
        <v>1.0260659809152599</v>
      </c>
      <c r="AG3877">
        <v>-1.1082826171009901</v>
      </c>
      <c r="AH3877">
        <v>25.096063842338399</v>
      </c>
      <c r="AI3877">
        <v>92.526522898687901</v>
      </c>
      <c r="AJ3877">
        <v>87.658735429748603</v>
      </c>
      <c r="AK3877">
        <v>25.1414701665453</v>
      </c>
      <c r="AL3877">
        <v>87.249984338084801</v>
      </c>
      <c r="AM3877">
        <v>92.418396299297896</v>
      </c>
      <c r="AN3877">
        <v>0.99999996751593501</v>
      </c>
    </row>
    <row r="3878" spans="1:40" x14ac:dyDescent="0.25">
      <c r="A3878" t="str">
        <f>"20190312151350901"</f>
        <v>20190312151350901</v>
      </c>
      <c r="B3878" t="str">
        <f>"1552374830894186"</f>
        <v>1552374830894186</v>
      </c>
      <c r="C3878" t="s">
        <v>40</v>
      </c>
      <c r="D3878">
        <v>4.6256680000000001</v>
      </c>
      <c r="E3878">
        <v>0.50616660000000002</v>
      </c>
      <c r="F3878" t="s">
        <v>42</v>
      </c>
      <c r="G3878">
        <v>-268.74489999999997</v>
      </c>
      <c r="H3878" s="1">
        <v>-8.3036880000000003E-7</v>
      </c>
      <c r="I3878">
        <v>140.77979999999999</v>
      </c>
      <c r="J3878">
        <v>-235.50489999999999</v>
      </c>
      <c r="K3878">
        <v>1.108325</v>
      </c>
      <c r="L3878">
        <v>139.2568</v>
      </c>
      <c r="M3878">
        <v>-0.99752909999999995</v>
      </c>
      <c r="N3878">
        <v>0</v>
      </c>
      <c r="O3878">
        <v>6.9990259999999999E-2</v>
      </c>
      <c r="P3878">
        <v>-0.99880340000000001</v>
      </c>
      <c r="Q3878">
        <v>4.1782890000000003E-2</v>
      </c>
      <c r="R3878">
        <v>2.5416000000000001E-2</v>
      </c>
      <c r="S3878">
        <v>-3.0041660000000001</v>
      </c>
      <c r="T3878">
        <v>-9.9315760000000003E-2</v>
      </c>
      <c r="U3878">
        <v>0.13836670000000001</v>
      </c>
      <c r="V3878">
        <v>-4.4448550000000003E-2</v>
      </c>
      <c r="W3878">
        <v>4.7972689999999998E-2</v>
      </c>
      <c r="X3878">
        <v>0.99785919999999895</v>
      </c>
      <c r="Y3878">
        <v>-2.396964E-2</v>
      </c>
      <c r="Z3878">
        <v>-2.7055619999999999E-3</v>
      </c>
      <c r="AA3878">
        <v>0.99970899999999996</v>
      </c>
      <c r="AB3878">
        <v>28</v>
      </c>
      <c r="AC3878">
        <v>-33.239999999999903</v>
      </c>
      <c r="AD3878">
        <v>-1.1083258303687999</v>
      </c>
      <c r="AE3878">
        <v>1.5229999999999899</v>
      </c>
      <c r="AF3878">
        <v>-0.80635977664248604</v>
      </c>
      <c r="AG3878">
        <v>-1.1083258303687999</v>
      </c>
      <c r="AH3878">
        <v>33.228214261749798</v>
      </c>
      <c r="AI3878">
        <v>91.909828446513799</v>
      </c>
      <c r="AJ3878">
        <v>91.390142290117097</v>
      </c>
      <c r="AK3878">
        <v>33.256470426977103</v>
      </c>
      <c r="AL3878">
        <v>87.250312012532902</v>
      </c>
      <c r="AM3878">
        <v>92.550492053458001</v>
      </c>
      <c r="AN3878">
        <v>1.00000001780378</v>
      </c>
    </row>
    <row r="3879" spans="1:40" x14ac:dyDescent="0.25">
      <c r="A3879" t="str">
        <f>"20190312151350922"</f>
        <v>20190312151350922</v>
      </c>
      <c r="B3879" t="str">
        <f>"1552374830914682"</f>
        <v>1552374830914682</v>
      </c>
      <c r="C3879" t="s">
        <v>40</v>
      </c>
      <c r="D3879">
        <v>4.5965629999999997</v>
      </c>
      <c r="E3879">
        <v>0.5057353</v>
      </c>
      <c r="F3879" t="s">
        <v>42</v>
      </c>
      <c r="G3879">
        <v>-263.226</v>
      </c>
      <c r="H3879" s="1">
        <v>-3.0901409999999999E-6</v>
      </c>
      <c r="I3879">
        <v>140.37469999999999</v>
      </c>
      <c r="J3879">
        <v>-235.76689999999999</v>
      </c>
      <c r="K3879">
        <v>1.1083730000000001</v>
      </c>
      <c r="L3879">
        <v>139.27629999999999</v>
      </c>
      <c r="M3879">
        <v>-0.9974558</v>
      </c>
      <c r="N3879">
        <v>0</v>
      </c>
      <c r="O3879">
        <v>7.1028430000000004E-2</v>
      </c>
      <c r="P3879">
        <v>-0.9988186</v>
      </c>
      <c r="Q3879">
        <v>4.2267369999999999E-2</v>
      </c>
      <c r="R3879">
        <v>2.3985719999999999E-2</v>
      </c>
      <c r="S3879">
        <v>-3.0055390000000002</v>
      </c>
      <c r="T3879">
        <v>-0.1201653</v>
      </c>
      <c r="U3879">
        <v>0.1212158</v>
      </c>
      <c r="V3879">
        <v>-4.6920150000000001E-2</v>
      </c>
      <c r="W3879">
        <v>4.8444679999999997E-2</v>
      </c>
      <c r="X3879">
        <v>0.99772320000000003</v>
      </c>
      <c r="Y3879">
        <v>-3.069477E-2</v>
      </c>
      <c r="Z3879">
        <v>-3.4478809999999999E-3</v>
      </c>
      <c r="AA3879">
        <v>0.99952289999999999</v>
      </c>
      <c r="AB3879">
        <v>28</v>
      </c>
      <c r="AC3879">
        <v>-27.459099999999999</v>
      </c>
      <c r="AD3879">
        <v>-1.108376090141</v>
      </c>
      <c r="AE3879">
        <v>1.0983999999999901</v>
      </c>
      <c r="AF3879">
        <v>-0.85339885432806795</v>
      </c>
      <c r="AG3879">
        <v>-1.108376090141</v>
      </c>
      <c r="AH3879">
        <v>27.423153590778401</v>
      </c>
      <c r="AI3879">
        <v>92.313375360175201</v>
      </c>
      <c r="AJ3879">
        <v>91.782449177162803</v>
      </c>
      <c r="AK3879">
        <v>27.458808059076201</v>
      </c>
      <c r="AL3879">
        <v>87.223237408522905</v>
      </c>
      <c r="AM3879">
        <v>92.692477629643093</v>
      </c>
      <c r="AN3879">
        <v>0.99999998565728199</v>
      </c>
    </row>
    <row r="3880" spans="1:40" x14ac:dyDescent="0.25">
      <c r="A3880" t="str">
        <f>"20190312151350944"</f>
        <v>20190312151350944</v>
      </c>
      <c r="B3880" t="str">
        <f>"1552374830934202"</f>
        <v>1552374830934202</v>
      </c>
      <c r="C3880" t="s">
        <v>40</v>
      </c>
      <c r="D3880">
        <v>4.5770030000000004</v>
      </c>
      <c r="E3880">
        <v>0.50558049999999999</v>
      </c>
      <c r="F3880" t="s">
        <v>42</v>
      </c>
      <c r="G3880">
        <v>-261.23590000000002</v>
      </c>
      <c r="H3880" s="1">
        <v>-3.9067299999999998E-6</v>
      </c>
      <c r="I3880">
        <v>140.23500000000001</v>
      </c>
      <c r="J3880">
        <v>-236.048</v>
      </c>
      <c r="K3880">
        <v>1.108439</v>
      </c>
      <c r="L3880">
        <v>139.29740000000001</v>
      </c>
      <c r="M3880">
        <v>-0.99738260000000001</v>
      </c>
      <c r="N3880">
        <v>0</v>
      </c>
      <c r="O3880">
        <v>7.2048899999999902E-2</v>
      </c>
      <c r="P3880">
        <v>-0.99884490000000004</v>
      </c>
      <c r="Q3880">
        <v>4.2574470000000003E-2</v>
      </c>
      <c r="R3880">
        <v>2.2276879999999999E-2</v>
      </c>
      <c r="S3880">
        <v>-3.0063780000000002</v>
      </c>
      <c r="T3880">
        <v>-0.1308337</v>
      </c>
      <c r="U3880">
        <v>0.11317439999999999</v>
      </c>
      <c r="V3880">
        <v>-4.9654360000000002E-2</v>
      </c>
      <c r="W3880">
        <v>4.8740440000000003E-2</v>
      </c>
      <c r="X3880">
        <v>0.99757649999999998</v>
      </c>
      <c r="Y3880">
        <v>-3.4378440000000003E-2</v>
      </c>
      <c r="Z3880">
        <v>-3.8772780000000001E-3</v>
      </c>
      <c r="AA3880">
        <v>0.9994014</v>
      </c>
      <c r="AB3880">
        <v>28</v>
      </c>
      <c r="AC3880">
        <v>-25.187899999999999</v>
      </c>
      <c r="AD3880">
        <v>-1.1084429067299999</v>
      </c>
      <c r="AE3880">
        <v>0.93760000000000299</v>
      </c>
      <c r="AF3880">
        <v>-0.87793293090845903</v>
      </c>
      <c r="AG3880">
        <v>-1.1084429067299999</v>
      </c>
      <c r="AH3880">
        <v>25.141369346192199</v>
      </c>
      <c r="AI3880">
        <v>92.522909036665595</v>
      </c>
      <c r="AJ3880">
        <v>91.999947573606704</v>
      </c>
      <c r="AK3880">
        <v>25.181101336325799</v>
      </c>
      <c r="AL3880">
        <v>87.206271689460195</v>
      </c>
      <c r="AM3880">
        <v>92.8495450907308</v>
      </c>
      <c r="AN3880">
        <v>1.00000002965532</v>
      </c>
    </row>
    <row r="3881" spans="1:40" x14ac:dyDescent="0.25">
      <c r="A3881" t="str">
        <f>"20190312151350967"</f>
        <v>20190312151350967</v>
      </c>
      <c r="B3881" t="str">
        <f>"1552374830964458"</f>
        <v>1552374830964458</v>
      </c>
      <c r="C3881" t="s">
        <v>40</v>
      </c>
      <c r="D3881">
        <v>4.7075480000000001</v>
      </c>
      <c r="E3881">
        <v>0.50560859999999996</v>
      </c>
      <c r="F3881" t="s">
        <v>42</v>
      </c>
      <c r="G3881">
        <v>-260.42189999999999</v>
      </c>
      <c r="H3881" s="1">
        <v>-4.2289950000000002E-6</v>
      </c>
      <c r="I3881">
        <v>140.16050000000001</v>
      </c>
      <c r="J3881">
        <v>-236.3175</v>
      </c>
      <c r="K3881">
        <v>1.108506</v>
      </c>
      <c r="L3881">
        <v>139.31780000000001</v>
      </c>
      <c r="M3881">
        <v>-0.99731919999999996</v>
      </c>
      <c r="N3881">
        <v>0</v>
      </c>
      <c r="O3881">
        <v>7.2922689999999998E-2</v>
      </c>
      <c r="P3881">
        <v>-0.99885959999999996</v>
      </c>
      <c r="Q3881">
        <v>4.3397829999999998E-2</v>
      </c>
      <c r="R3881">
        <v>1.9904700000000001E-2</v>
      </c>
      <c r="S3881">
        <v>-3.0069270000000001</v>
      </c>
      <c r="T3881">
        <v>-0.13674500000000001</v>
      </c>
      <c r="U3881">
        <v>0.10649110000000001</v>
      </c>
      <c r="V3881">
        <v>-5.2902780000000003E-2</v>
      </c>
      <c r="W3881">
        <v>4.9553899999999998E-2</v>
      </c>
      <c r="X3881">
        <v>0.99736939999999996</v>
      </c>
      <c r="Y3881">
        <v>-3.7465749999999999E-2</v>
      </c>
      <c r="Z3881">
        <v>-4.1615150000000002E-3</v>
      </c>
      <c r="AA3881">
        <v>0.99928930000000005</v>
      </c>
      <c r="AB3881">
        <v>28</v>
      </c>
      <c r="AC3881">
        <v>-24.104399999999998</v>
      </c>
      <c r="AD3881">
        <v>-1.108510228995</v>
      </c>
      <c r="AE3881">
        <v>0.842700000000007</v>
      </c>
      <c r="AF3881">
        <v>-0.91540002725750302</v>
      </c>
      <c r="AG3881">
        <v>-1.108510228995</v>
      </c>
      <c r="AH3881">
        <v>24.0508723433122</v>
      </c>
      <c r="AI3881">
        <v>92.637001430474797</v>
      </c>
      <c r="AJ3881">
        <v>92.179682010189296</v>
      </c>
      <c r="AK3881">
        <v>24.093800294100301</v>
      </c>
      <c r="AL3881">
        <v>87.159607407714901</v>
      </c>
      <c r="AM3881">
        <v>93.036255321700494</v>
      </c>
      <c r="AN3881">
        <v>1.0000000065966399</v>
      </c>
    </row>
    <row r="3882" spans="1:40" x14ac:dyDescent="0.25">
      <c r="A3882" t="str">
        <f>"20190312151350991"</f>
        <v>20190312151350991</v>
      </c>
      <c r="B3882" t="str">
        <f>"1552374830983979"</f>
        <v>1552374830983979</v>
      </c>
      <c r="C3882" t="s">
        <v>40</v>
      </c>
      <c r="D3882">
        <v>4.6516549999999999</v>
      </c>
      <c r="E3882">
        <v>0.50572479999999997</v>
      </c>
      <c r="F3882" t="s">
        <v>42</v>
      </c>
      <c r="G3882">
        <v>-262.82040000000001</v>
      </c>
      <c r="H3882" s="1">
        <v>-3.2164170000000001E-6</v>
      </c>
      <c r="I3882">
        <v>140.1953</v>
      </c>
      <c r="J3882">
        <v>-236.62960000000001</v>
      </c>
      <c r="K3882">
        <v>1.108589</v>
      </c>
      <c r="L3882">
        <v>139.3416</v>
      </c>
      <c r="M3882">
        <v>-0.99725439999999999</v>
      </c>
      <c r="N3882">
        <v>0</v>
      </c>
      <c r="O3882">
        <v>7.3803480000000005E-2</v>
      </c>
      <c r="P3882">
        <v>-0.99888589999999999</v>
      </c>
      <c r="Q3882">
        <v>4.388657E-2</v>
      </c>
      <c r="R3882">
        <v>1.735281E-2</v>
      </c>
      <c r="S3882">
        <v>-3.0069119999999998</v>
      </c>
      <c r="T3882">
        <v>-0.1257674</v>
      </c>
      <c r="U3882">
        <v>9.9563600000000002E-2</v>
      </c>
      <c r="V3882">
        <v>-5.6340050000000003E-2</v>
      </c>
      <c r="W3882">
        <v>5.0031579999999999E-2</v>
      </c>
      <c r="X3882">
        <v>0.99715730000000002</v>
      </c>
      <c r="Y3882">
        <v>-4.0661410000000002E-2</v>
      </c>
      <c r="Z3882">
        <v>-3.9314750000000002E-3</v>
      </c>
      <c r="AA3882">
        <v>0.99916519999999998</v>
      </c>
      <c r="AB3882">
        <v>28</v>
      </c>
      <c r="AC3882">
        <v>-26.190799999999999</v>
      </c>
      <c r="AD3882">
        <v>-1.1085922164169999</v>
      </c>
      <c r="AE3882">
        <v>0.85370000000000301</v>
      </c>
      <c r="AF3882">
        <v>-1.07970358878497</v>
      </c>
      <c r="AG3882">
        <v>-1.1085922164169999</v>
      </c>
      <c r="AH3882">
        <v>26.135601732983499</v>
      </c>
      <c r="AI3882">
        <v>92.426788125784199</v>
      </c>
      <c r="AJ3882">
        <v>92.365635308352793</v>
      </c>
      <c r="AK3882">
        <v>26.181375336048799</v>
      </c>
      <c r="AL3882">
        <v>87.132204408338794</v>
      </c>
      <c r="AM3882">
        <v>93.233811410765298</v>
      </c>
      <c r="AN3882">
        <v>1.0000000205872901</v>
      </c>
    </row>
    <row r="3883" spans="1:40" x14ac:dyDescent="0.25">
      <c r="A3883" t="str">
        <f>"20190312151351014"</f>
        <v>20190312151351014</v>
      </c>
      <c r="B3883" t="str">
        <f>"1552374831004475"</f>
        <v>1552374831004475</v>
      </c>
      <c r="C3883" t="s">
        <v>40</v>
      </c>
      <c r="D3883">
        <v>4.6258929999999996</v>
      </c>
      <c r="E3883">
        <v>0.50599139999999998</v>
      </c>
      <c r="F3883" t="s">
        <v>42</v>
      </c>
      <c r="G3883">
        <v>-263.15339999999998</v>
      </c>
      <c r="H3883" s="1">
        <v>-3.0640670000000002E-6</v>
      </c>
      <c r="I3883">
        <v>140.15969999999999</v>
      </c>
      <c r="J3883">
        <v>-236.90989999999999</v>
      </c>
      <c r="K3883">
        <v>1.108657</v>
      </c>
      <c r="L3883">
        <v>139.3631</v>
      </c>
      <c r="M3883">
        <v>-0.9972027</v>
      </c>
      <c r="N3883">
        <v>0</v>
      </c>
      <c r="O3883">
        <v>7.4497350000000004E-2</v>
      </c>
      <c r="P3883">
        <v>-0.99890630000000002</v>
      </c>
      <c r="Q3883">
        <v>4.4560919999999997E-2</v>
      </c>
      <c r="R3883">
        <v>1.415801E-2</v>
      </c>
      <c r="S3883">
        <v>-3.0072779999999999</v>
      </c>
      <c r="T3883">
        <v>-0.12569269999999999</v>
      </c>
      <c r="U3883">
        <v>9.2758179999999996E-2</v>
      </c>
      <c r="V3883">
        <v>-6.0229400000000002E-2</v>
      </c>
      <c r="W3883">
        <v>5.0698300000000002E-2</v>
      </c>
      <c r="X3883">
        <v>0.99689620000000001</v>
      </c>
      <c r="Y3883">
        <v>-4.3616210000000002E-2</v>
      </c>
      <c r="Z3883">
        <v>-4.0194870000000004E-3</v>
      </c>
      <c r="AA3883">
        <v>0.99904020000000004</v>
      </c>
      <c r="AB3883">
        <v>28</v>
      </c>
      <c r="AC3883">
        <v>-26.243499999999901</v>
      </c>
      <c r="AD3883">
        <v>-1.1086600640669999</v>
      </c>
      <c r="AE3883">
        <v>0.79659999999998299</v>
      </c>
      <c r="AF3883">
        <v>-1.1586550695300699</v>
      </c>
      <c r="AG3883">
        <v>-1.1086600640669999</v>
      </c>
      <c r="AH3883">
        <v>26.1832329363721</v>
      </c>
      <c r="AI3883">
        <v>92.422222994701599</v>
      </c>
      <c r="AJ3883">
        <v>92.533788075004097</v>
      </c>
      <c r="AK3883">
        <v>26.232294899762898</v>
      </c>
      <c r="AL3883">
        <v>87.093955465011106</v>
      </c>
      <c r="AM3883">
        <v>93.4574319533736</v>
      </c>
      <c r="AN3883">
        <v>0.99999996591084395</v>
      </c>
    </row>
    <row r="3884" spans="1:40" x14ac:dyDescent="0.25">
      <c r="A3884" t="str">
        <f>"20190312151351035"</f>
        <v>20190312151351035</v>
      </c>
      <c r="B3884" t="str">
        <f>"1552374831023994"</f>
        <v>1552374831023994</v>
      </c>
      <c r="C3884" t="s">
        <v>40</v>
      </c>
      <c r="D3884">
        <v>4.6107519999999997</v>
      </c>
      <c r="E3884">
        <v>0.506189</v>
      </c>
      <c r="F3884" t="s">
        <v>42</v>
      </c>
      <c r="G3884">
        <v>-262.69229999999999</v>
      </c>
      <c r="H3884" s="1">
        <v>-3.244077E-6</v>
      </c>
      <c r="I3884">
        <v>140.09270000000001</v>
      </c>
      <c r="J3884">
        <v>-237.1808</v>
      </c>
      <c r="K3884">
        <v>1.10873</v>
      </c>
      <c r="L3884">
        <v>139.38399999999999</v>
      </c>
      <c r="M3884">
        <v>-0.99716009999999999</v>
      </c>
      <c r="N3884">
        <v>0</v>
      </c>
      <c r="O3884">
        <v>7.5065270000000003E-2</v>
      </c>
      <c r="P3884">
        <v>-0.99887840000000006</v>
      </c>
      <c r="Q3884">
        <v>4.6171490000000003E-2</v>
      </c>
      <c r="R3884">
        <v>1.049901E-2</v>
      </c>
      <c r="S3884">
        <v>-3.0078580000000001</v>
      </c>
      <c r="T3884">
        <v>-0.12934019999999999</v>
      </c>
      <c r="U3884">
        <v>8.5128780000000001E-2</v>
      </c>
      <c r="V3884">
        <v>-6.4449909999999999E-2</v>
      </c>
      <c r="W3884">
        <v>5.230216E-2</v>
      </c>
      <c r="X3884">
        <v>0.99654940000000003</v>
      </c>
      <c r="Y3884">
        <v>-4.6713339999999999E-2</v>
      </c>
      <c r="Z3884">
        <v>-4.2263420000000001E-3</v>
      </c>
      <c r="AA3884">
        <v>0.99889939999999999</v>
      </c>
      <c r="AB3884">
        <v>28</v>
      </c>
      <c r="AC3884">
        <v>-25.511499999999899</v>
      </c>
      <c r="AD3884">
        <v>-1.1087332440769999</v>
      </c>
      <c r="AE3884">
        <v>0.70870000000002098</v>
      </c>
      <c r="AF3884">
        <v>-1.20608631237839</v>
      </c>
      <c r="AG3884">
        <v>-1.1087332440769999</v>
      </c>
      <c r="AH3884">
        <v>25.444697044241899</v>
      </c>
      <c r="AI3884">
        <v>92.492246845546902</v>
      </c>
      <c r="AJ3884">
        <v>92.713805992491402</v>
      </c>
      <c r="AK3884">
        <v>25.4973830279243</v>
      </c>
      <c r="AL3884">
        <v>87.0019390579765</v>
      </c>
      <c r="AM3884">
        <v>93.700340729665498</v>
      </c>
      <c r="AN3884">
        <v>1.0000000067400101</v>
      </c>
    </row>
    <row r="3885" spans="1:40" x14ac:dyDescent="0.25">
      <c r="A3885" t="str">
        <f>"20190312151351058"</f>
        <v>20190312151351058</v>
      </c>
      <c r="B3885" t="str">
        <f>"1552374831054250"</f>
        <v>1552374831054250</v>
      </c>
      <c r="C3885" t="s">
        <v>40</v>
      </c>
      <c r="D3885">
        <v>4.8604059999999896</v>
      </c>
      <c r="E3885">
        <v>0.50647829999999905</v>
      </c>
      <c r="F3885" t="s">
        <v>42</v>
      </c>
      <c r="G3885">
        <v>-262.79349999999999</v>
      </c>
      <c r="H3885" s="1">
        <v>-3.1825E-6</v>
      </c>
      <c r="I3885">
        <v>140.02449999999999</v>
      </c>
      <c r="J3885">
        <v>-237.46729999999999</v>
      </c>
      <c r="K3885">
        <v>1.108816</v>
      </c>
      <c r="L3885">
        <v>139.40610000000001</v>
      </c>
      <c r="M3885">
        <v>-0.99712449999999997</v>
      </c>
      <c r="N3885">
        <v>0</v>
      </c>
      <c r="O3885">
        <v>7.5537000000000007E-2</v>
      </c>
      <c r="P3885">
        <v>-0.99882289999999996</v>
      </c>
      <c r="Q3885">
        <v>4.8002089999999997E-2</v>
      </c>
      <c r="R3885">
        <v>6.9886050000000002E-3</v>
      </c>
      <c r="S3885">
        <v>-3.008591</v>
      </c>
      <c r="T3885">
        <v>-0.1302373</v>
      </c>
      <c r="U3885">
        <v>7.5241089999999997E-2</v>
      </c>
      <c r="V3885">
        <v>-6.8426749999999995E-2</v>
      </c>
      <c r="W3885">
        <v>5.4122999999999998E-2</v>
      </c>
      <c r="X3885">
        <v>0.99618700000000004</v>
      </c>
      <c r="Y3885">
        <v>-5.046751E-2</v>
      </c>
      <c r="Z3885">
        <v>-4.3564420000000003E-3</v>
      </c>
      <c r="AA3885">
        <v>0.99871620000000005</v>
      </c>
      <c r="AB3885">
        <v>28</v>
      </c>
      <c r="AC3885">
        <v>-25.3262</v>
      </c>
      <c r="AD3885">
        <v>-1.1088191825</v>
      </c>
      <c r="AE3885">
        <v>0.61839999999997897</v>
      </c>
      <c r="AF3885">
        <v>-1.2939884288424499</v>
      </c>
      <c r="AG3885">
        <v>-1.1088191825</v>
      </c>
      <c r="AH3885">
        <v>25.252178259430298</v>
      </c>
      <c r="AI3885">
        <v>92.510943393377502</v>
      </c>
      <c r="AJ3885">
        <v>92.933421602006405</v>
      </c>
      <c r="AK3885">
        <v>25.309610682100601</v>
      </c>
      <c r="AL3885">
        <v>86.897464647688395</v>
      </c>
      <c r="AM3885">
        <v>93.929398259923005</v>
      </c>
      <c r="AN3885">
        <v>1.0000000291067801</v>
      </c>
    </row>
    <row r="3886" spans="1:40" x14ac:dyDescent="0.25">
      <c r="A3886" t="str">
        <f>"20190312151351078"</f>
        <v>20190312151351078</v>
      </c>
      <c r="B3886" t="str">
        <f>"1552374831073770"</f>
        <v>1552374831073770</v>
      </c>
      <c r="C3886" t="s">
        <v>40</v>
      </c>
      <c r="D3886">
        <v>4.6215159999999997</v>
      </c>
      <c r="E3886">
        <v>0.50663769999999997</v>
      </c>
      <c r="F3886" t="s">
        <v>42</v>
      </c>
      <c r="G3886">
        <v>-263.72309999999999</v>
      </c>
      <c r="H3886" s="1">
        <v>-2.7734049999999999E-6</v>
      </c>
      <c r="I3886">
        <v>139.98570000000001</v>
      </c>
      <c r="J3886">
        <v>-237.7286</v>
      </c>
      <c r="K3886">
        <v>1.1089089999999999</v>
      </c>
      <c r="L3886">
        <v>139.42619999999999</v>
      </c>
      <c r="M3886">
        <v>-0.99710149999999997</v>
      </c>
      <c r="N3886">
        <v>0</v>
      </c>
      <c r="O3886">
        <v>7.5840350000000001E-2</v>
      </c>
      <c r="P3886">
        <v>-0.99877720000000003</v>
      </c>
      <c r="Q3886">
        <v>4.9350560000000002E-2</v>
      </c>
      <c r="R3886">
        <v>2.9719099999999999E-3</v>
      </c>
      <c r="S3886">
        <v>-3.0091860000000001</v>
      </c>
      <c r="T3886">
        <v>-0.1270821</v>
      </c>
      <c r="U3886">
        <v>6.6436770000000006E-2</v>
      </c>
      <c r="V3886">
        <v>-7.2742459999999995E-2</v>
      </c>
      <c r="W3886">
        <v>5.5459950000000001E-2</v>
      </c>
      <c r="X3886">
        <v>0.99580760000000001</v>
      </c>
      <c r="Y3886">
        <v>-5.3698959999999997E-2</v>
      </c>
      <c r="Z3886">
        <v>-4.3313559999999997E-3</v>
      </c>
      <c r="AA3886">
        <v>0.99854779999999999</v>
      </c>
      <c r="AB3886">
        <v>28</v>
      </c>
      <c r="AC3886">
        <v>-25.994499999999899</v>
      </c>
      <c r="AD3886">
        <v>-1.108911773405</v>
      </c>
      <c r="AE3886">
        <v>0.55950000000001399</v>
      </c>
      <c r="AF3886">
        <v>-1.4110131108922901</v>
      </c>
      <c r="AG3886">
        <v>-1.108911773405</v>
      </c>
      <c r="AH3886">
        <v>25.914926894943498</v>
      </c>
      <c r="AI3886">
        <v>92.446598847408694</v>
      </c>
      <c r="AJ3886">
        <v>93.116557026459503</v>
      </c>
      <c r="AK3886">
        <v>25.976991344083199</v>
      </c>
      <c r="AL3886">
        <v>86.820747792506197</v>
      </c>
      <c r="AM3886">
        <v>94.177961932820594</v>
      </c>
      <c r="AN3886">
        <v>1.0000000238793001</v>
      </c>
    </row>
    <row r="3887" spans="1:40" x14ac:dyDescent="0.25">
      <c r="A3887" t="str">
        <f>"20190312151351101"</f>
        <v>20190312151351101</v>
      </c>
      <c r="B3887" t="str">
        <f>"1552374831094266"</f>
        <v>1552374831094266</v>
      </c>
      <c r="C3887" t="s">
        <v>40</v>
      </c>
      <c r="D3887">
        <v>4.6528679999999998</v>
      </c>
      <c r="E3887">
        <v>0.50677059999999996</v>
      </c>
      <c r="F3887" t="s">
        <v>42</v>
      </c>
      <c r="G3887">
        <v>-264.89429999999999</v>
      </c>
      <c r="H3887" s="1">
        <v>-2.254947E-6</v>
      </c>
      <c r="I3887">
        <v>139.9254</v>
      </c>
      <c r="J3887">
        <v>-238.02619999999999</v>
      </c>
      <c r="K3887">
        <v>1.1090139999999999</v>
      </c>
      <c r="L3887">
        <v>139.44919999999999</v>
      </c>
      <c r="M3887">
        <v>-0.99708549999999996</v>
      </c>
      <c r="N3887">
        <v>0</v>
      </c>
      <c r="O3887">
        <v>7.6049309999999995E-2</v>
      </c>
      <c r="P3887">
        <v>-0.99871860000000001</v>
      </c>
      <c r="Q3887">
        <v>5.0584129999999998E-2</v>
      </c>
      <c r="R3887">
        <v>-1.4896320000000001E-3</v>
      </c>
      <c r="S3887">
        <v>-3.0096129999999999</v>
      </c>
      <c r="T3887">
        <v>-0.1228535</v>
      </c>
      <c r="U3887">
        <v>5.5313109999999999E-2</v>
      </c>
      <c r="V3887">
        <v>-7.7408749999999998E-2</v>
      </c>
      <c r="W3887">
        <v>5.6679199999999902E-2</v>
      </c>
      <c r="X3887">
        <v>0.99538700000000002</v>
      </c>
      <c r="Y3887">
        <v>-5.7604229999999999E-2</v>
      </c>
      <c r="Z3887">
        <v>-4.2751969999999997E-3</v>
      </c>
      <c r="AA3887">
        <v>0.99833039999999995</v>
      </c>
      <c r="AB3887">
        <v>29</v>
      </c>
      <c r="AC3887">
        <v>-26.868099999999998</v>
      </c>
      <c r="AD3887">
        <v>-1.109016254947</v>
      </c>
      <c r="AE3887">
        <v>0.47620000000000501</v>
      </c>
      <c r="AF3887">
        <v>-1.5658504195535801</v>
      </c>
      <c r="AG3887">
        <v>-1.109016254947</v>
      </c>
      <c r="AH3887">
        <v>26.780890809440699</v>
      </c>
      <c r="AI3887">
        <v>92.367266907196196</v>
      </c>
      <c r="AJ3887">
        <v>93.346214082895401</v>
      </c>
      <c r="AK3887">
        <v>26.8495422146698</v>
      </c>
      <c r="AL3887">
        <v>86.750779643596204</v>
      </c>
      <c r="AM3887">
        <v>94.446799029618305</v>
      </c>
      <c r="AN3887">
        <v>0.99999996302909999</v>
      </c>
    </row>
    <row r="3888" spans="1:40" x14ac:dyDescent="0.25">
      <c r="A3888" t="str">
        <f>"20190312151351123"</f>
        <v>20190312151351123</v>
      </c>
      <c r="B3888" t="str">
        <f>"1552374831113787"</f>
        <v>1552374831113787</v>
      </c>
      <c r="C3888" t="s">
        <v>40</v>
      </c>
      <c r="D3888">
        <v>4.6374919999999999</v>
      </c>
      <c r="E3888">
        <v>0.50697539999999996</v>
      </c>
      <c r="F3888" t="s">
        <v>42</v>
      </c>
      <c r="G3888">
        <v>-265.43860000000001</v>
      </c>
      <c r="H3888" s="1">
        <v>-1.9985399999999998E-6</v>
      </c>
      <c r="I3888">
        <v>139.83940000000001</v>
      </c>
      <c r="J3888">
        <v>-238.30439999999999</v>
      </c>
      <c r="K3888">
        <v>1.1091279999999999</v>
      </c>
      <c r="L3888">
        <v>139.47049999999999</v>
      </c>
      <c r="M3888">
        <v>-0.99708079999999999</v>
      </c>
      <c r="N3888">
        <v>0</v>
      </c>
      <c r="O3888">
        <v>7.6109839999999998E-2</v>
      </c>
      <c r="P3888">
        <v>-0.99867079999999997</v>
      </c>
      <c r="Q3888">
        <v>5.1202299999999999E-2</v>
      </c>
      <c r="R3888">
        <v>-5.9045410000000001E-3</v>
      </c>
      <c r="S3888">
        <v>-3.0101010000000001</v>
      </c>
      <c r="T3888">
        <v>-0.12177880000000001</v>
      </c>
      <c r="U3888">
        <v>4.2861940000000001E-2</v>
      </c>
      <c r="V3888">
        <v>-8.1881899999999994E-2</v>
      </c>
      <c r="W3888">
        <v>5.728142E-2</v>
      </c>
      <c r="X3888">
        <v>0.99499459999999995</v>
      </c>
      <c r="Y3888">
        <v>-6.1794250000000002E-2</v>
      </c>
      <c r="Z3888">
        <v>-4.324568E-3</v>
      </c>
      <c r="AA3888">
        <v>0.99807950000000001</v>
      </c>
      <c r="AB3888">
        <v>29</v>
      </c>
      <c r="AC3888">
        <v>-27.1342</v>
      </c>
      <c r="AD3888">
        <v>-1.1091299985400001</v>
      </c>
      <c r="AE3888">
        <v>0.36890000000002399</v>
      </c>
      <c r="AF3888">
        <v>-1.6945572753558</v>
      </c>
      <c r="AG3888">
        <v>-1.1091299985400001</v>
      </c>
      <c r="AH3888">
        <v>27.038402044725299</v>
      </c>
      <c r="AI3888">
        <v>92.344392675092493</v>
      </c>
      <c r="AJ3888">
        <v>93.586164607511606</v>
      </c>
      <c r="AK3888">
        <v>27.1141453644648</v>
      </c>
      <c r="AL3888">
        <v>86.716219047804202</v>
      </c>
      <c r="AM3888">
        <v>94.7044872802432</v>
      </c>
      <c r="AN3888">
        <v>1.00000003032699</v>
      </c>
    </row>
    <row r="3889" spans="1:40" x14ac:dyDescent="0.25">
      <c r="A3889" t="str">
        <f>"20190312151351146"</f>
        <v>20190312151351146</v>
      </c>
      <c r="B3889" t="str">
        <f>"1552374831144044"</f>
        <v>1552374831144044</v>
      </c>
      <c r="C3889" t="s">
        <v>40</v>
      </c>
      <c r="D3889">
        <v>4.6633659999999999</v>
      </c>
      <c r="E3889">
        <v>0.5073493</v>
      </c>
      <c r="F3889" t="s">
        <v>42</v>
      </c>
      <c r="G3889">
        <v>-265.23700000000002</v>
      </c>
      <c r="H3889" s="1">
        <v>-2.0606030000000001E-6</v>
      </c>
      <c r="I3889">
        <v>139.74770000000001</v>
      </c>
      <c r="J3889">
        <v>-238.60159999999999</v>
      </c>
      <c r="K3889">
        <v>1.109251</v>
      </c>
      <c r="L3889">
        <v>139.4931</v>
      </c>
      <c r="M3889">
        <v>-0.99708790000000003</v>
      </c>
      <c r="N3889">
        <v>0</v>
      </c>
      <c r="O3889">
        <v>7.6018870000000002E-2</v>
      </c>
      <c r="P3889">
        <v>-0.99860649999999995</v>
      </c>
      <c r="Q3889">
        <v>5.1898010000000001E-2</v>
      </c>
      <c r="R3889">
        <v>-9.5791980000000006E-3</v>
      </c>
      <c r="S3889">
        <v>-3.010529</v>
      </c>
      <c r="T3889">
        <v>-0.12397859999999999</v>
      </c>
      <c r="U3889">
        <v>3.09906E-2</v>
      </c>
      <c r="V3889">
        <v>-8.5466769999999997E-2</v>
      </c>
      <c r="W3889">
        <v>5.7958830000000003E-2</v>
      </c>
      <c r="X3889">
        <v>0.99465380000000003</v>
      </c>
      <c r="Y3889">
        <v>-6.5632579999999996E-2</v>
      </c>
      <c r="Z3889">
        <v>-4.4774799999999998E-3</v>
      </c>
      <c r="AA3889">
        <v>0.99783379999999999</v>
      </c>
      <c r="AB3889">
        <v>29</v>
      </c>
      <c r="AC3889">
        <v>-26.635400000000001</v>
      </c>
      <c r="AD3889">
        <v>-1.109253060603</v>
      </c>
      <c r="AE3889">
        <v>0.25460000000000998</v>
      </c>
      <c r="AF3889">
        <v>-1.7679011398416</v>
      </c>
      <c r="AG3889">
        <v>-1.109253060603</v>
      </c>
      <c r="AH3889">
        <v>26.531667530753101</v>
      </c>
      <c r="AI3889">
        <v>92.388773530636399</v>
      </c>
      <c r="AJ3889">
        <v>93.812189962063201</v>
      </c>
      <c r="AK3889">
        <v>26.613629943228901</v>
      </c>
      <c r="AL3889">
        <v>86.677341582892794</v>
      </c>
      <c r="AM3889">
        <v>94.911142539802398</v>
      </c>
      <c r="AN3889">
        <v>0.99999998830182002</v>
      </c>
    </row>
    <row r="3890" spans="1:40" x14ac:dyDescent="0.25">
      <c r="A3890" t="str">
        <f>"20190312151351167"</f>
        <v>20190312151351167</v>
      </c>
      <c r="B3890" t="str">
        <f>"1552374831164538"</f>
        <v>1552374831164538</v>
      </c>
      <c r="C3890" t="s">
        <v>40</v>
      </c>
      <c r="D3890">
        <v>4.9173119999999999</v>
      </c>
      <c r="E3890">
        <v>0.50768979999999997</v>
      </c>
      <c r="F3890" t="s">
        <v>42</v>
      </c>
      <c r="G3890">
        <v>-264.50420000000003</v>
      </c>
      <c r="H3890" s="1">
        <v>-2.357658E-6</v>
      </c>
      <c r="I3890">
        <v>139.6825</v>
      </c>
      <c r="J3890">
        <v>-238.8681</v>
      </c>
      <c r="K3890">
        <v>1.109361</v>
      </c>
      <c r="L3890">
        <v>139.51329999999999</v>
      </c>
      <c r="M3890">
        <v>-0.99710520000000002</v>
      </c>
      <c r="N3890">
        <v>0</v>
      </c>
      <c r="O3890">
        <v>7.5789590000000004E-2</v>
      </c>
      <c r="P3890">
        <v>-0.99852890000000005</v>
      </c>
      <c r="Q3890">
        <v>5.242405E-2</v>
      </c>
      <c r="R3890">
        <v>-1.384645E-2</v>
      </c>
      <c r="S3890">
        <v>-3.0110929999999998</v>
      </c>
      <c r="T3890">
        <v>-0.12894749999999999</v>
      </c>
      <c r="U3890">
        <v>2.2018429999999999E-2</v>
      </c>
      <c r="V3890">
        <v>-8.9501960000000005E-2</v>
      </c>
      <c r="W3890">
        <v>5.8466289999999997E-2</v>
      </c>
      <c r="X3890">
        <v>0.99426910000000002</v>
      </c>
      <c r="Y3890">
        <v>-6.8365780000000001E-2</v>
      </c>
      <c r="Z3890">
        <v>-4.7047570000000004E-3</v>
      </c>
      <c r="AA3890">
        <v>0.99764929999999996</v>
      </c>
      <c r="AB3890">
        <v>29</v>
      </c>
      <c r="AC3890">
        <v>-25.636099999999999</v>
      </c>
      <c r="AD3890">
        <v>-1.109363357658</v>
      </c>
      <c r="AE3890">
        <v>0.169200000000017</v>
      </c>
      <c r="AF3890">
        <v>-1.7709561349449601</v>
      </c>
      <c r="AG3890">
        <v>-1.109363357658</v>
      </c>
      <c r="AH3890">
        <v>25.527387024743799</v>
      </c>
      <c r="AI3890">
        <v>92.482422084809997</v>
      </c>
      <c r="AJ3890">
        <v>93.968521982693503</v>
      </c>
      <c r="AK3890">
        <v>25.612779251816299</v>
      </c>
      <c r="AL3890">
        <v>86.648216833861099</v>
      </c>
      <c r="AM3890">
        <v>95.143778685196295</v>
      </c>
      <c r="AN3890">
        <v>0.99999997556250697</v>
      </c>
    </row>
    <row r="3891" spans="1:40" x14ac:dyDescent="0.25">
      <c r="A3891" t="str">
        <f>"20190312151351190"</f>
        <v>20190312151351190</v>
      </c>
      <c r="B3891" t="str">
        <f>"1552374831184058"</f>
        <v>1552374831184058</v>
      </c>
      <c r="C3891" t="s">
        <v>40</v>
      </c>
      <c r="D3891">
        <v>4.6918559999999996</v>
      </c>
      <c r="E3891">
        <v>0.51511949999999995</v>
      </c>
      <c r="F3891" t="s">
        <v>42</v>
      </c>
      <c r="G3891">
        <v>-264.52629999999999</v>
      </c>
      <c r="H3891" s="1">
        <v>-2.331293E-6</v>
      </c>
      <c r="I3891">
        <v>139.61179999999999</v>
      </c>
      <c r="J3891">
        <v>-239.1755</v>
      </c>
      <c r="K3891">
        <v>1.1094550000000001</v>
      </c>
      <c r="L3891">
        <v>139.53630000000001</v>
      </c>
      <c r="M3891">
        <v>-0.99713580000000002</v>
      </c>
      <c r="N3891">
        <v>0</v>
      </c>
      <c r="O3891">
        <v>7.5385060000000004E-2</v>
      </c>
      <c r="P3891">
        <v>-0.99841939999999996</v>
      </c>
      <c r="Q3891">
        <v>5.338913E-2</v>
      </c>
      <c r="R3891">
        <v>-1.756425E-2</v>
      </c>
      <c r="S3891">
        <v>-3.011444</v>
      </c>
      <c r="T3891">
        <v>-0.1302035</v>
      </c>
      <c r="U3891">
        <v>1.1566160000000001E-2</v>
      </c>
      <c r="V3891">
        <v>-9.2813569999999998E-2</v>
      </c>
      <c r="W3891">
        <v>5.941163E-2</v>
      </c>
      <c r="X3891">
        <v>0.99390940000000005</v>
      </c>
      <c r="Y3891">
        <v>-7.1419099999999999E-2</v>
      </c>
      <c r="Z3891">
        <v>-4.7986729999999998E-3</v>
      </c>
      <c r="AA3891">
        <v>0.99743490000000001</v>
      </c>
      <c r="AB3891">
        <v>29</v>
      </c>
      <c r="AC3891">
        <v>-25.3507999999999</v>
      </c>
      <c r="AD3891">
        <v>-1.1094573312929901</v>
      </c>
      <c r="AE3891">
        <v>7.5499999999976794E-2</v>
      </c>
      <c r="AF3891">
        <v>-1.83231264866127</v>
      </c>
      <c r="AG3891">
        <v>-1.1094573312929901</v>
      </c>
      <c r="AH3891">
        <v>25.236018993630601</v>
      </c>
      <c r="AI3891">
        <v>92.510686846108499</v>
      </c>
      <c r="AJ3891">
        <v>94.152789669780105</v>
      </c>
      <c r="AK3891">
        <v>25.3267629171058</v>
      </c>
      <c r="AL3891">
        <v>86.593958591446693</v>
      </c>
      <c r="AM3891">
        <v>95.334941608776802</v>
      </c>
      <c r="AN3891">
        <v>0.99999999798188</v>
      </c>
    </row>
    <row r="3892" spans="1:40" x14ac:dyDescent="0.25">
      <c r="A3892" t="str">
        <f>"20190312151351214"</f>
        <v>20190312151351214</v>
      </c>
      <c r="B3892" t="str">
        <f>"1552374831204554"</f>
        <v>1552374831204554</v>
      </c>
      <c r="C3892" t="s">
        <v>40</v>
      </c>
      <c r="D3892">
        <v>5.009169</v>
      </c>
      <c r="E3892">
        <v>0.51536459999999995</v>
      </c>
      <c r="F3892" t="s">
        <v>42</v>
      </c>
      <c r="G3892">
        <v>-255.2664</v>
      </c>
      <c r="H3892" s="1">
        <v>-2.0725940000000001E-6</v>
      </c>
      <c r="I3892">
        <v>139.84010000000001</v>
      </c>
      <c r="J3892">
        <v>-239.48050000000001</v>
      </c>
      <c r="K3892">
        <v>1.109558</v>
      </c>
      <c r="L3892">
        <v>139.55889999999999</v>
      </c>
      <c r="M3892">
        <v>-0.99717650000000002</v>
      </c>
      <c r="N3892">
        <v>0</v>
      </c>
      <c r="O3892">
        <v>7.4843510000000002E-2</v>
      </c>
      <c r="P3892">
        <v>-0.99830969999999997</v>
      </c>
      <c r="Q3892">
        <v>5.4262169999999998E-2</v>
      </c>
      <c r="R3892">
        <v>-2.0820539999999998E-2</v>
      </c>
      <c r="S3892">
        <v>-3.0168759999999999</v>
      </c>
      <c r="T3892">
        <v>-0.20801259999999999</v>
      </c>
      <c r="U3892">
        <v>5.6976319999999997E-2</v>
      </c>
      <c r="V3892">
        <v>-9.5527730000000005E-2</v>
      </c>
      <c r="W3892">
        <v>6.0267910000000001E-2</v>
      </c>
      <c r="X3892">
        <v>0.9936007</v>
      </c>
      <c r="Y3892">
        <v>-5.5692579999999998E-2</v>
      </c>
      <c r="Z3892">
        <v>-7.0669670000000004E-3</v>
      </c>
      <c r="AA3892">
        <v>0.99842299999999995</v>
      </c>
      <c r="AB3892">
        <v>29</v>
      </c>
      <c r="AC3892">
        <v>-15.7858999999999</v>
      </c>
      <c r="AD3892">
        <v>-1.109560072594</v>
      </c>
      <c r="AE3892">
        <v>0.281200000000012</v>
      </c>
      <c r="AF3892">
        <v>-0.89665458216744298</v>
      </c>
      <c r="AG3892">
        <v>-1.109560072594</v>
      </c>
      <c r="AH3892">
        <v>15.6852031320695</v>
      </c>
      <c r="AI3892">
        <v>94.039748702948302</v>
      </c>
      <c r="AJ3892">
        <v>93.2717886944301</v>
      </c>
      <c r="AK3892">
        <v>15.7499431836657</v>
      </c>
      <c r="AL3892">
        <v>86.544809497143603</v>
      </c>
      <c r="AM3892">
        <v>95.491707547843305</v>
      </c>
      <c r="AN3892">
        <v>1.0000000596076</v>
      </c>
    </row>
    <row r="3893" spans="1:40" x14ac:dyDescent="0.25">
      <c r="A3893" t="str">
        <f>"20190312151351236"</f>
        <v>20190312151351236</v>
      </c>
      <c r="B3893" t="str">
        <f>"1552374831224074"</f>
        <v>1552374831224074</v>
      </c>
      <c r="C3893" t="s">
        <v>40</v>
      </c>
      <c r="D3893">
        <v>4.6930769999999997</v>
      </c>
      <c r="E3893">
        <v>0.51673670000000005</v>
      </c>
      <c r="F3893" t="s">
        <v>42</v>
      </c>
      <c r="G3893">
        <v>-255.4426</v>
      </c>
      <c r="H3893" s="1">
        <v>-1.9905919999999998E-6</v>
      </c>
      <c r="I3893">
        <v>139.81610000000001</v>
      </c>
      <c r="J3893">
        <v>-239.7681</v>
      </c>
      <c r="K3893">
        <v>1.1096539999999999</v>
      </c>
      <c r="L3893">
        <v>139.57990000000001</v>
      </c>
      <c r="M3893">
        <v>-0.99722440000000001</v>
      </c>
      <c r="N3893">
        <v>0</v>
      </c>
      <c r="O3893">
        <v>7.4202950000000004E-2</v>
      </c>
      <c r="P3893">
        <v>-0.99823550000000005</v>
      </c>
      <c r="Q3893">
        <v>5.4569369999999999E-2</v>
      </c>
      <c r="R3893">
        <v>-2.3416840000000001E-2</v>
      </c>
      <c r="S3893">
        <v>-3.0175169999999998</v>
      </c>
      <c r="T3893">
        <v>-0.20975350000000001</v>
      </c>
      <c r="U3893">
        <v>4.8645019999999997E-2</v>
      </c>
      <c r="V3893">
        <v>-9.7487740000000003E-2</v>
      </c>
      <c r="W3893">
        <v>6.0564930000000003E-2</v>
      </c>
      <c r="X3893">
        <v>0.99339219999999895</v>
      </c>
      <c r="Y3893">
        <v>-5.7802239999999998E-2</v>
      </c>
      <c r="Z3893">
        <v>-7.1536330000000004E-3</v>
      </c>
      <c r="AA3893">
        <v>0.99830240000000003</v>
      </c>
      <c r="AB3893">
        <v>29</v>
      </c>
      <c r="AC3893">
        <v>-15.674499999999901</v>
      </c>
      <c r="AD3893">
        <v>-1.109655990592</v>
      </c>
      <c r="AE3893">
        <v>0.236199999999996</v>
      </c>
      <c r="AF3893">
        <v>-0.92294258396722495</v>
      </c>
      <c r="AG3893">
        <v>-1.109655990592</v>
      </c>
      <c r="AH3893">
        <v>15.570794173702</v>
      </c>
      <c r="AI3893">
        <v>94.069186513171402</v>
      </c>
      <c r="AJ3893">
        <v>93.392178589446402</v>
      </c>
      <c r="AK3893">
        <v>15.6375442647031</v>
      </c>
      <c r="AL3893">
        <v>86.527760211835997</v>
      </c>
      <c r="AM3893">
        <v>95.604843425200997</v>
      </c>
      <c r="AN3893">
        <v>1.0000000166085199</v>
      </c>
    </row>
    <row r="3894" spans="1:40" x14ac:dyDescent="0.25">
      <c r="A3894" t="str">
        <f>"20190312151351257"</f>
        <v>20190312151351257</v>
      </c>
      <c r="B3894" t="str">
        <f>"1552374831254331"</f>
        <v>1552374831254331</v>
      </c>
      <c r="C3894" t="s">
        <v>40</v>
      </c>
      <c r="D3894">
        <v>4.8294790000000001</v>
      </c>
      <c r="E3894">
        <v>0.49896220000000002</v>
      </c>
      <c r="F3894" t="s">
        <v>42</v>
      </c>
      <c r="G3894">
        <v>-262.16300000000001</v>
      </c>
      <c r="H3894" s="1">
        <v>-3.4401479999999999E-6</v>
      </c>
      <c r="I3894">
        <v>139.97620000000001</v>
      </c>
      <c r="J3894">
        <v>-240.042</v>
      </c>
      <c r="K3894">
        <v>1.10975</v>
      </c>
      <c r="L3894">
        <v>139.59960000000001</v>
      </c>
      <c r="M3894">
        <v>-0.99727809999999995</v>
      </c>
      <c r="N3894">
        <v>0</v>
      </c>
      <c r="O3894">
        <v>7.3474220000000007E-2</v>
      </c>
      <c r="P3894">
        <v>-0.99816859999999996</v>
      </c>
      <c r="Q3894">
        <v>5.468319E-2</v>
      </c>
      <c r="R3894">
        <v>-2.5870919999999999E-2</v>
      </c>
      <c r="S3894">
        <v>-3.0147249999999999</v>
      </c>
      <c r="T3894">
        <v>-0.14937879999999901</v>
      </c>
      <c r="U3894">
        <v>5.3359990000000003E-2</v>
      </c>
      <c r="V3894">
        <v>-9.921779E-2</v>
      </c>
      <c r="W3894">
        <v>6.0670599999999998E-2</v>
      </c>
      <c r="X3894">
        <v>0.99321440000000005</v>
      </c>
      <c r="Y3894">
        <v>-5.5656740000000003E-2</v>
      </c>
      <c r="Z3894">
        <v>-5.0130610000000001E-3</v>
      </c>
      <c r="AA3894">
        <v>0.99843740000000003</v>
      </c>
      <c r="AB3894">
        <v>29</v>
      </c>
      <c r="AC3894">
        <v>-22.120999999999999</v>
      </c>
      <c r="AD3894">
        <v>-1.109753440148</v>
      </c>
      <c r="AE3894">
        <v>0.37659999999999599</v>
      </c>
      <c r="AF3894">
        <v>-1.2466354052636499</v>
      </c>
      <c r="AG3894">
        <v>-1.109753440148</v>
      </c>
      <c r="AH3894">
        <v>22.033441132801201</v>
      </c>
      <c r="AI3894">
        <v>92.878770941175702</v>
      </c>
      <c r="AJ3894">
        <v>93.238299245854193</v>
      </c>
      <c r="AK3894">
        <v>22.096564906885199</v>
      </c>
      <c r="AL3894">
        <v>86.521694443178603</v>
      </c>
      <c r="AM3894">
        <v>95.704672996595804</v>
      </c>
      <c r="AN3894">
        <v>0.999999967962101</v>
      </c>
    </row>
    <row r="3895" spans="1:40" x14ac:dyDescent="0.25">
      <c r="A3895" t="str">
        <f>"20190312151351278"</f>
        <v>20190312151351278</v>
      </c>
      <c r="B3895" t="str">
        <f>"1552374831273851"</f>
        <v>1552374831273851</v>
      </c>
      <c r="C3895" t="s">
        <v>40</v>
      </c>
      <c r="D3895">
        <v>4.6786510000000003</v>
      </c>
      <c r="E3895">
        <v>0.4782401</v>
      </c>
      <c r="F3895" t="s">
        <v>42</v>
      </c>
      <c r="G3895">
        <v>-254.97290000000001</v>
      </c>
      <c r="H3895" s="1">
        <v>-2.22835E-6</v>
      </c>
      <c r="I3895">
        <v>139.1121</v>
      </c>
      <c r="J3895">
        <v>-240.32669999999999</v>
      </c>
      <c r="K3895">
        <v>1.109853</v>
      </c>
      <c r="L3895">
        <v>139.6198</v>
      </c>
      <c r="M3895">
        <v>-0.99734239999999996</v>
      </c>
      <c r="N3895">
        <v>0</v>
      </c>
      <c r="O3895">
        <v>7.2597090000000003E-2</v>
      </c>
      <c r="P3895">
        <v>-0.99810390000000004</v>
      </c>
      <c r="Q3895">
        <v>5.4556060000000003E-2</v>
      </c>
      <c r="R3895">
        <v>-2.850302E-2</v>
      </c>
      <c r="S3895">
        <v>-3.0152130000000001</v>
      </c>
      <c r="T3895">
        <v>-0.22410910000000001</v>
      </c>
      <c r="U3895">
        <v>-9.8434450000000007E-2</v>
      </c>
      <c r="V3895">
        <v>-0.10097979999999999</v>
      </c>
      <c r="W3895">
        <v>6.0533999999999998E-2</v>
      </c>
      <c r="X3895">
        <v>0.99304519999999996</v>
      </c>
      <c r="Y3895">
        <v>-0.1046139</v>
      </c>
      <c r="Z3895">
        <v>-9.2665200000000003E-3</v>
      </c>
      <c r="AA3895">
        <v>0.99446979999999996</v>
      </c>
      <c r="AB3895">
        <v>29</v>
      </c>
      <c r="AC3895">
        <v>-14.6462</v>
      </c>
      <c r="AD3895">
        <v>-1.1098552283499901</v>
      </c>
      <c r="AE3895">
        <v>-0.50769999999999904</v>
      </c>
      <c r="AF3895">
        <v>-1.5607007113340099</v>
      </c>
      <c r="AG3895">
        <v>-1.1098552283499901</v>
      </c>
      <c r="AH3895">
        <v>14.4876023879117</v>
      </c>
      <c r="AI3895">
        <v>94.355612442817801</v>
      </c>
      <c r="AJ3895">
        <v>96.148570135883205</v>
      </c>
      <c r="AK3895">
        <v>14.613630222791301</v>
      </c>
      <c r="AL3895">
        <v>86.529535664618507</v>
      </c>
      <c r="AM3895">
        <v>95.806278764617502</v>
      </c>
      <c r="AN3895">
        <v>1.0000000272035301</v>
      </c>
    </row>
    <row r="3896" spans="1:40" x14ac:dyDescent="0.25">
      <c r="A3896" t="str">
        <f>"20190312151351302"</f>
        <v>20190312151351302</v>
      </c>
      <c r="B3896" t="str">
        <f>"1552374831294346"</f>
        <v>1552374831294346</v>
      </c>
      <c r="C3896" t="s">
        <v>40</v>
      </c>
      <c r="D3896">
        <v>4.6601239999999997</v>
      </c>
      <c r="E3896">
        <v>0.46685850000000001</v>
      </c>
      <c r="F3896" t="s">
        <v>42</v>
      </c>
      <c r="G3896">
        <v>-258.7253</v>
      </c>
      <c r="H3896" s="1">
        <v>-8.59044E-7</v>
      </c>
      <c r="I3896">
        <v>137.96559999999999</v>
      </c>
      <c r="J3896">
        <v>-240.6336</v>
      </c>
      <c r="K3896">
        <v>1.1099650000000001</v>
      </c>
      <c r="L3896">
        <v>139.64109999999999</v>
      </c>
      <c r="M3896">
        <v>-0.99741939999999996</v>
      </c>
      <c r="N3896">
        <v>0</v>
      </c>
      <c r="O3896">
        <v>7.15277E-2</v>
      </c>
      <c r="P3896">
        <v>-0.99803019999999998</v>
      </c>
      <c r="Q3896">
        <v>5.4726490000000003E-2</v>
      </c>
      <c r="R3896">
        <v>-3.067135E-2</v>
      </c>
      <c r="S3896">
        <v>-3.0079039999999999</v>
      </c>
      <c r="T3896">
        <v>-0.1814462</v>
      </c>
      <c r="U3896">
        <v>-0.2704163</v>
      </c>
      <c r="V3896">
        <v>-0.1020892</v>
      </c>
      <c r="W3896">
        <v>6.0695350000000002E-2</v>
      </c>
      <c r="X3896">
        <v>0.99292190000000002</v>
      </c>
      <c r="Y3896">
        <v>-0.1601349</v>
      </c>
      <c r="Z3896">
        <v>-9.1188290000000002E-3</v>
      </c>
      <c r="AA3896">
        <v>0.98705299999999996</v>
      </c>
      <c r="AB3896">
        <v>29</v>
      </c>
      <c r="AC3896">
        <v>-18.091699999999999</v>
      </c>
      <c r="AD3896">
        <v>-1.10996585904399</v>
      </c>
      <c r="AE3896">
        <v>-1.67549999999999</v>
      </c>
      <c r="AF3896">
        <v>-2.9542651558367901</v>
      </c>
      <c r="AG3896">
        <v>-1.10996585904399</v>
      </c>
      <c r="AH3896">
        <v>17.858860653635801</v>
      </c>
      <c r="AI3896">
        <v>93.508914165948994</v>
      </c>
      <c r="AJ3896">
        <v>99.392973674972296</v>
      </c>
      <c r="AK3896">
        <v>18.135562044370602</v>
      </c>
      <c r="AL3896">
        <v>86.520273917864799</v>
      </c>
      <c r="AM3896">
        <v>95.870349422279801</v>
      </c>
      <c r="AN3896">
        <v>1.0000000148839301</v>
      </c>
    </row>
    <row r="3897" spans="1:40" x14ac:dyDescent="0.25">
      <c r="A3897" t="str">
        <f>"20190312151351324"</f>
        <v>20190312151351324</v>
      </c>
      <c r="B3897" t="str">
        <f>"1552374831313870"</f>
        <v>1552374831313870</v>
      </c>
      <c r="C3897" t="s">
        <v>40</v>
      </c>
      <c r="D3897">
        <v>4.6541649999999999</v>
      </c>
      <c r="E3897">
        <v>0.46140130000000001</v>
      </c>
      <c r="F3897" t="s">
        <v>42</v>
      </c>
      <c r="G3897">
        <v>-257.87990000000002</v>
      </c>
      <c r="H3897" s="1">
        <v>-1.2631170000000001E-6</v>
      </c>
      <c r="I3897">
        <v>137.52809999999999</v>
      </c>
      <c r="J3897">
        <v>-240.92949999999999</v>
      </c>
      <c r="K3897">
        <v>1.110066</v>
      </c>
      <c r="L3897">
        <v>139.66120000000001</v>
      </c>
      <c r="M3897">
        <v>-0.99750079999999997</v>
      </c>
      <c r="N3897">
        <v>0</v>
      </c>
      <c r="O3897">
        <v>7.0383189999999998E-2</v>
      </c>
      <c r="P3897">
        <v>-0.99799389999999999</v>
      </c>
      <c r="Q3897">
        <v>5.4430529999999998E-2</v>
      </c>
      <c r="R3897">
        <v>-3.2340809999999998E-2</v>
      </c>
      <c r="S3897">
        <v>-3.0052189999999999</v>
      </c>
      <c r="T3897">
        <v>-0.19341539999999999</v>
      </c>
      <c r="U3897">
        <v>-0.36817929999999999</v>
      </c>
      <c r="V3897">
        <v>-0.10262549999999999</v>
      </c>
      <c r="W3897">
        <v>6.0397869999999999E-2</v>
      </c>
      <c r="X3897">
        <v>0.99288480000000001</v>
      </c>
      <c r="Y3897">
        <v>-0.19063169999999999</v>
      </c>
      <c r="Z3897">
        <v>-1.0615919999999999E-2</v>
      </c>
      <c r="AA3897">
        <v>0.98160420000000004</v>
      </c>
      <c r="AB3897">
        <v>30</v>
      </c>
      <c r="AC3897">
        <v>-16.950399999999998</v>
      </c>
      <c r="AD3897">
        <v>-1.1100672631170001</v>
      </c>
      <c r="AE3897">
        <v>-2.13310000000001</v>
      </c>
      <c r="AF3897">
        <v>-3.3068942776912298</v>
      </c>
      <c r="AG3897">
        <v>-1.1100672631170001</v>
      </c>
      <c r="AH3897">
        <v>16.687769398526498</v>
      </c>
      <c r="AI3897">
        <v>93.733314103389901</v>
      </c>
      <c r="AJ3897">
        <v>101.208678859576</v>
      </c>
      <c r="AK3897">
        <v>17.048444110559402</v>
      </c>
      <c r="AL3897">
        <v>86.537349753608495</v>
      </c>
      <c r="AM3897">
        <v>95.901189720241803</v>
      </c>
      <c r="AN3897">
        <v>1.0000000610109101</v>
      </c>
    </row>
    <row r="3898" spans="1:40" x14ac:dyDescent="0.25">
      <c r="A3898" t="str">
        <f>"20190312151351348"</f>
        <v>20190312151351348</v>
      </c>
      <c r="B3898" t="str">
        <f>"1552374831344122"</f>
        <v>1552374831344122</v>
      </c>
      <c r="C3898" t="s">
        <v>40</v>
      </c>
      <c r="D3898">
        <v>4.6867000000000001</v>
      </c>
      <c r="E3898">
        <v>0.45707639999999999</v>
      </c>
      <c r="F3898" t="s">
        <v>42</v>
      </c>
      <c r="G3898">
        <v>-257.11309999999997</v>
      </c>
      <c r="H3898" s="1">
        <v>-1.611494E-6</v>
      </c>
      <c r="I3898">
        <v>137.4135</v>
      </c>
      <c r="J3898">
        <v>-241.2278</v>
      </c>
      <c r="K3898">
        <v>1.1101529999999999</v>
      </c>
      <c r="L3898">
        <v>139.68100000000001</v>
      </c>
      <c r="M3898">
        <v>-0.99758880000000005</v>
      </c>
      <c r="N3898">
        <v>0</v>
      </c>
      <c r="O3898">
        <v>6.9120100000000004E-2</v>
      </c>
      <c r="P3898">
        <v>-0.99797630000000004</v>
      </c>
      <c r="Q3898">
        <v>5.3882380000000001E-2</v>
      </c>
      <c r="R3898">
        <v>-3.3765759999999999E-2</v>
      </c>
      <c r="S3898">
        <v>-3.0037379999999998</v>
      </c>
      <c r="T3898">
        <v>-0.20603299999999999</v>
      </c>
      <c r="U3898">
        <v>-0.41715999999999998</v>
      </c>
      <c r="V3898">
        <v>-0.10280069999999999</v>
      </c>
      <c r="W3898">
        <v>5.9853820000000002E-2</v>
      </c>
      <c r="X3898">
        <v>0.99289950000000005</v>
      </c>
      <c r="Y3898">
        <v>-0.20506199999999999</v>
      </c>
      <c r="Z3898">
        <v>-1.170704E-2</v>
      </c>
      <c r="AA3898">
        <v>0.97867899999999997</v>
      </c>
      <c r="AB3898">
        <v>30</v>
      </c>
      <c r="AC3898">
        <v>-15.8852999999999</v>
      </c>
      <c r="AD3898">
        <v>-1.110154611494</v>
      </c>
      <c r="AE3898">
        <v>-2.2675000000000098</v>
      </c>
      <c r="AF3898">
        <v>-3.3440852534735801</v>
      </c>
      <c r="AG3898">
        <v>-1.110154611494</v>
      </c>
      <c r="AH3898">
        <v>15.6158286541266</v>
      </c>
      <c r="AI3898">
        <v>93.976549497721706</v>
      </c>
      <c r="AJ3898">
        <v>102.08716644428701</v>
      </c>
      <c r="AK3898">
        <v>16.008418222890199</v>
      </c>
      <c r="AL3898">
        <v>86.568577604581293</v>
      </c>
      <c r="AM3898">
        <v>95.911105929782096</v>
      </c>
      <c r="AN3898">
        <v>0.999999940394664</v>
      </c>
    </row>
    <row r="3899" spans="1:40" x14ac:dyDescent="0.25">
      <c r="A3899" t="str">
        <f>"20190312151351369"</f>
        <v>20190312151351369</v>
      </c>
      <c r="B3899" t="str">
        <f>"1552374831364619"</f>
        <v>1552374831364619</v>
      </c>
      <c r="C3899" t="s">
        <v>40</v>
      </c>
      <c r="D3899">
        <v>4.7329230000000004</v>
      </c>
      <c r="E3899">
        <v>0.45514159999999998</v>
      </c>
      <c r="F3899" t="s">
        <v>42</v>
      </c>
      <c r="G3899">
        <v>-256.60480000000001</v>
      </c>
      <c r="H3899" s="1">
        <v>-1.8415310000000001E-6</v>
      </c>
      <c r="I3899">
        <v>137.34610000000001</v>
      </c>
      <c r="J3899">
        <v>-241.5326</v>
      </c>
      <c r="K3899">
        <v>1.1102259999999999</v>
      </c>
      <c r="L3899">
        <v>139.70079999999999</v>
      </c>
      <c r="M3899">
        <v>-0.99768420000000002</v>
      </c>
      <c r="N3899">
        <v>0</v>
      </c>
      <c r="O3899">
        <v>6.7726579999999995E-2</v>
      </c>
      <c r="P3899">
        <v>-0.99800440000000001</v>
      </c>
      <c r="Q3899">
        <v>5.2502100000000003E-2</v>
      </c>
      <c r="R3899">
        <v>-3.5083129999999997E-2</v>
      </c>
      <c r="S3899">
        <v>-3.0023650000000002</v>
      </c>
      <c r="T3899">
        <v>-0.21675900000000001</v>
      </c>
      <c r="U3899">
        <v>-0.45587159999999899</v>
      </c>
      <c r="V3899">
        <v>-0.1027381</v>
      </c>
      <c r="W3899">
        <v>5.848246E-2</v>
      </c>
      <c r="X3899">
        <v>0.99298779999999998</v>
      </c>
      <c r="Y3899">
        <v>-0.21600910000000001</v>
      </c>
      <c r="Z3899">
        <v>-1.2602199999999999E-2</v>
      </c>
      <c r="AA3899">
        <v>0.97631000000000001</v>
      </c>
      <c r="AB3899">
        <v>30</v>
      </c>
      <c r="AC3899">
        <v>-15.0722</v>
      </c>
      <c r="AD3899">
        <v>-1.1102278415309901</v>
      </c>
      <c r="AE3899">
        <v>-2.3546999999999798</v>
      </c>
      <c r="AF3899">
        <v>-3.3523457668948198</v>
      </c>
      <c r="AG3899">
        <v>-1.1102278415309901</v>
      </c>
      <c r="AH3899">
        <v>14.799724307299099</v>
      </c>
      <c r="AI3899">
        <v>94.184493446082698</v>
      </c>
      <c r="AJ3899">
        <v>102.762926321796</v>
      </c>
      <c r="AK3899">
        <v>15.215211716337899</v>
      </c>
      <c r="AL3899">
        <v>86.647288999894798</v>
      </c>
      <c r="AM3899">
        <v>95.907010249929101</v>
      </c>
      <c r="AN3899">
        <v>1.0000000431340399</v>
      </c>
    </row>
    <row r="3900" spans="1:40" x14ac:dyDescent="0.25">
      <c r="A3900" t="str">
        <f>"20190312151351391"</f>
        <v>20190312151351391</v>
      </c>
      <c r="B3900" t="str">
        <f>"1552374831384139"</f>
        <v>1552374831384139</v>
      </c>
      <c r="C3900" t="s">
        <v>40</v>
      </c>
      <c r="D3900">
        <v>4.7298790000000004</v>
      </c>
      <c r="E3900">
        <v>0.45395439999999998</v>
      </c>
      <c r="F3900" t="s">
        <v>42</v>
      </c>
      <c r="G3900">
        <v>-255.91739999999999</v>
      </c>
      <c r="H3900" s="1">
        <v>-2.1224280000000001E-6</v>
      </c>
      <c r="I3900">
        <v>137.42490000000001</v>
      </c>
      <c r="J3900">
        <v>-241.82749999999999</v>
      </c>
      <c r="K3900">
        <v>1.1102909999999999</v>
      </c>
      <c r="L3900">
        <v>139.71940000000001</v>
      </c>
      <c r="M3900">
        <v>-0.99777939999999998</v>
      </c>
      <c r="N3900">
        <v>0</v>
      </c>
      <c r="O3900">
        <v>6.6308420000000007E-2</v>
      </c>
      <c r="P3900">
        <v>-0.99798500000000001</v>
      </c>
      <c r="Q3900">
        <v>5.2152869999999997E-2</v>
      </c>
      <c r="R3900">
        <v>-3.6143309999999998E-2</v>
      </c>
      <c r="S3900">
        <v>-3.0014799999999999</v>
      </c>
      <c r="T3900">
        <v>-0.23165630000000001</v>
      </c>
      <c r="U3900">
        <v>-0.47486879999999998</v>
      </c>
      <c r="V3900">
        <v>-0.1023916</v>
      </c>
      <c r="W3900">
        <v>5.814449E-2</v>
      </c>
      <c r="X3900">
        <v>0.99304340000000002</v>
      </c>
      <c r="Y3900">
        <v>-0.22058459999999999</v>
      </c>
      <c r="Z3900">
        <v>-1.353011E-2</v>
      </c>
      <c r="AA3900">
        <v>0.97527399999999997</v>
      </c>
      <c r="AB3900">
        <v>30</v>
      </c>
      <c r="AC3900">
        <v>-14.0899</v>
      </c>
      <c r="AD3900">
        <v>-1.1102931224279999</v>
      </c>
      <c r="AE3900">
        <v>-2.2945000000000002</v>
      </c>
      <c r="AF3900">
        <v>-3.2043638586425298</v>
      </c>
      <c r="AG3900">
        <v>-1.1102931224279999</v>
      </c>
      <c r="AH3900">
        <v>13.8231239229479</v>
      </c>
      <c r="AI3900">
        <v>94.4740830055039</v>
      </c>
      <c r="AJ3900">
        <v>103.051320778757</v>
      </c>
      <c r="AK3900">
        <v>14.2330409099904</v>
      </c>
      <c r="AL3900">
        <v>86.666686143996401</v>
      </c>
      <c r="AM3900">
        <v>95.886900806950095</v>
      </c>
      <c r="AN3900">
        <v>1.0000000078757401</v>
      </c>
    </row>
    <row r="3901" spans="1:40" x14ac:dyDescent="0.25">
      <c r="A3901" t="str">
        <f>"20190312151351414"</f>
        <v>20190312151351414</v>
      </c>
      <c r="B3901" t="str">
        <f>"1552374831404635"</f>
        <v>1552374831404635</v>
      </c>
      <c r="C3901" t="s">
        <v>40</v>
      </c>
      <c r="D3901">
        <v>4.7211939999999997</v>
      </c>
      <c r="E3901">
        <v>0.4529743</v>
      </c>
      <c r="F3901" t="s">
        <v>42</v>
      </c>
      <c r="G3901">
        <v>-255.59829999999999</v>
      </c>
      <c r="H3901" s="1">
        <v>-2.2490200000000001E-6</v>
      </c>
      <c r="I3901">
        <v>137.483</v>
      </c>
      <c r="J3901">
        <v>-242.126</v>
      </c>
      <c r="K3901">
        <v>1.1103510000000001</v>
      </c>
      <c r="L3901">
        <v>139.73779999999999</v>
      </c>
      <c r="M3901">
        <v>-0.99787780000000004</v>
      </c>
      <c r="N3901">
        <v>0</v>
      </c>
      <c r="O3901">
        <v>6.4808820000000003E-2</v>
      </c>
      <c r="P3901">
        <v>-0.99800469999999997</v>
      </c>
      <c r="Q3901">
        <v>5.1876779999999997E-2</v>
      </c>
      <c r="R3901">
        <v>-3.5998699999999897E-2</v>
      </c>
      <c r="S3901">
        <v>-3.0010530000000002</v>
      </c>
      <c r="T3901">
        <v>-0.2419655</v>
      </c>
      <c r="U3901">
        <v>-0.48736570000000001</v>
      </c>
      <c r="V3901">
        <v>-0.10076359999999999</v>
      </c>
      <c r="W3901">
        <v>5.7886479999999997E-2</v>
      </c>
      <c r="X3901">
        <v>0.99322500000000002</v>
      </c>
      <c r="Y3901">
        <v>-0.223021</v>
      </c>
      <c r="Z3901">
        <v>-1.410527E-2</v>
      </c>
      <c r="AA3901">
        <v>0.97471160000000001</v>
      </c>
      <c r="AB3901">
        <v>30</v>
      </c>
      <c r="AC3901">
        <v>-13.472300000000001</v>
      </c>
      <c r="AD3901">
        <v>-1.1103532490200001</v>
      </c>
      <c r="AE3901">
        <v>-2.2547999999999799</v>
      </c>
      <c r="AF3901">
        <v>-3.1026994793772</v>
      </c>
      <c r="AG3901">
        <v>-1.1103532490200001</v>
      </c>
      <c r="AH3901">
        <v>13.2105527179453</v>
      </c>
      <c r="AI3901">
        <v>94.677748661034201</v>
      </c>
      <c r="AJ3901">
        <v>103.21723324169299</v>
      </c>
      <c r="AK3901">
        <v>13.615371148468499</v>
      </c>
      <c r="AL3901">
        <v>86.681494023088604</v>
      </c>
      <c r="AM3901">
        <v>95.792890335893702</v>
      </c>
      <c r="AN3901">
        <v>1.00000002413837</v>
      </c>
    </row>
    <row r="3902" spans="1:40" x14ac:dyDescent="0.25">
      <c r="A3902" t="str">
        <f>"20190312151351438"</f>
        <v>20190312151351438</v>
      </c>
      <c r="B3902" t="str">
        <f>"1552374831433914"</f>
        <v>1552374831433914</v>
      </c>
      <c r="C3902" t="s">
        <v>40</v>
      </c>
      <c r="D3902">
        <v>4.773828</v>
      </c>
      <c r="E3902">
        <v>0.45170270000000001</v>
      </c>
      <c r="F3902" t="s">
        <v>42</v>
      </c>
      <c r="G3902">
        <v>-255.4932</v>
      </c>
      <c r="H3902" s="1">
        <v>-2.2851369999999999E-6</v>
      </c>
      <c r="I3902">
        <v>137.5335</v>
      </c>
      <c r="J3902">
        <v>-242.44560000000001</v>
      </c>
      <c r="K3902">
        <v>1.11042</v>
      </c>
      <c r="L3902">
        <v>139.7569</v>
      </c>
      <c r="M3902">
        <v>-0.99798500000000001</v>
      </c>
      <c r="N3902">
        <v>0</v>
      </c>
      <c r="O3902">
        <v>6.3132240000000006E-2</v>
      </c>
      <c r="P3902">
        <v>-0.99803120000000001</v>
      </c>
      <c r="Q3902">
        <v>5.0959650000000002E-2</v>
      </c>
      <c r="R3902">
        <v>-3.6565880000000002E-2</v>
      </c>
      <c r="S3902">
        <v>-3.0011139999999998</v>
      </c>
      <c r="T3902">
        <v>-0.24929009999999999</v>
      </c>
      <c r="U3902">
        <v>-0.49487300000000001</v>
      </c>
      <c r="V3902">
        <v>-9.9668519999999997E-2</v>
      </c>
      <c r="W3902">
        <v>5.69915E-2</v>
      </c>
      <c r="X3902">
        <v>0.99338720000000003</v>
      </c>
      <c r="Y3902">
        <v>-0.22370300000000001</v>
      </c>
      <c r="Z3902">
        <v>-1.4417599999999999E-2</v>
      </c>
      <c r="AA3902">
        <v>0.97455069999999999</v>
      </c>
      <c r="AB3902">
        <v>30</v>
      </c>
      <c r="AC3902">
        <v>-13.0475999999999</v>
      </c>
      <c r="AD3902">
        <v>-1.110422285137</v>
      </c>
      <c r="AE3902">
        <v>-2.2233999999999901</v>
      </c>
      <c r="AF3902">
        <v>-3.0214387538284599</v>
      </c>
      <c r="AG3902">
        <v>-1.110422285137</v>
      </c>
      <c r="AH3902">
        <v>12.791168831181</v>
      </c>
      <c r="AI3902">
        <v>94.829256909439295</v>
      </c>
      <c r="AJ3902">
        <v>103.29038907129799</v>
      </c>
      <c r="AK3902">
        <v>13.190001132003101</v>
      </c>
      <c r="AL3902">
        <v>86.732857278977804</v>
      </c>
      <c r="AM3902">
        <v>95.729426118106204</v>
      </c>
      <c r="AN3902">
        <v>0.99999998703754001</v>
      </c>
    </row>
    <row r="3903" spans="1:40" x14ac:dyDescent="0.25">
      <c r="A3903" t="str">
        <f>"20190312151351460"</f>
        <v>20190312151351460</v>
      </c>
      <c r="B3903" t="str">
        <f>"1552374831454410"</f>
        <v>1552374831454410</v>
      </c>
      <c r="C3903" t="s">
        <v>40</v>
      </c>
      <c r="D3903">
        <v>4.7262009999999997</v>
      </c>
      <c r="E3903">
        <v>0.45102379999999997</v>
      </c>
      <c r="F3903" t="s">
        <v>42</v>
      </c>
      <c r="G3903">
        <v>-255.24600000000001</v>
      </c>
      <c r="H3903" s="1">
        <v>-2.3802859999999999E-6</v>
      </c>
      <c r="I3903">
        <v>137.5949</v>
      </c>
      <c r="J3903">
        <v>-242.7448</v>
      </c>
      <c r="K3903">
        <v>1.110482</v>
      </c>
      <c r="L3903">
        <v>139.77420000000001</v>
      </c>
      <c r="M3903">
        <v>-0.99808699999999995</v>
      </c>
      <c r="N3903">
        <v>0</v>
      </c>
      <c r="O3903">
        <v>6.1493979999999997E-2</v>
      </c>
      <c r="P3903">
        <v>-0.99801019999999896</v>
      </c>
      <c r="Q3903">
        <v>5.1036100000000001E-2</v>
      </c>
      <c r="R3903">
        <v>-3.7027549999999999E-2</v>
      </c>
      <c r="S3903">
        <v>-3.0006409999999999</v>
      </c>
      <c r="T3903">
        <v>-0.26030300000000001</v>
      </c>
      <c r="U3903">
        <v>-0.50679019999999997</v>
      </c>
      <c r="V3903">
        <v>-9.8505480000000006E-2</v>
      </c>
      <c r="W3903">
        <v>5.7090050000000003E-2</v>
      </c>
      <c r="X3903">
        <v>0.99349759999999998</v>
      </c>
      <c r="Y3903">
        <v>-0.22580510000000001</v>
      </c>
      <c r="Z3903">
        <v>-1.4999220000000001E-2</v>
      </c>
      <c r="AA3903">
        <v>0.97405699999999995</v>
      </c>
      <c r="AB3903">
        <v>30</v>
      </c>
      <c r="AC3903">
        <v>-12.5011999999999</v>
      </c>
      <c r="AD3903">
        <v>-1.1104843802860001</v>
      </c>
      <c r="AE3903">
        <v>-2.1793000000000098</v>
      </c>
      <c r="AF3903">
        <v>-2.9215660592155301</v>
      </c>
      <c r="AG3903">
        <v>-1.1104843802860001</v>
      </c>
      <c r="AH3903">
        <v>12.249714090665201</v>
      </c>
      <c r="AI3903">
        <v>95.039342402605399</v>
      </c>
      <c r="AJ3903">
        <v>103.414483670126</v>
      </c>
      <c r="AK3903">
        <v>12.6421603810528</v>
      </c>
      <c r="AL3903">
        <v>86.727201752556098</v>
      </c>
      <c r="AM3903">
        <v>95.662380889929693</v>
      </c>
      <c r="AN3903">
        <v>1.00000004230239</v>
      </c>
    </row>
    <row r="3904" spans="1:40" x14ac:dyDescent="0.25">
      <c r="A3904" t="str">
        <f>"20190312151351482"</f>
        <v>20190312151351482</v>
      </c>
      <c r="B3904" t="str">
        <f>"1552374831473930"</f>
        <v>1552374831473930</v>
      </c>
      <c r="C3904" t="s">
        <v>40</v>
      </c>
      <c r="D3904">
        <v>4.7022629999999896</v>
      </c>
      <c r="E3904">
        <v>0.45044459999999997</v>
      </c>
      <c r="F3904" t="s">
        <v>42</v>
      </c>
      <c r="G3904">
        <v>-255.3921</v>
      </c>
      <c r="H3904" s="1">
        <v>-2.3150639999999999E-6</v>
      </c>
      <c r="I3904">
        <v>137.60939999999999</v>
      </c>
      <c r="J3904">
        <v>-243.05070000000001</v>
      </c>
      <c r="K3904">
        <v>1.110557</v>
      </c>
      <c r="L3904">
        <v>139.79140000000001</v>
      </c>
      <c r="M3904">
        <v>-0.998193</v>
      </c>
      <c r="N3904">
        <v>0</v>
      </c>
      <c r="O3904">
        <v>5.9744499999999999E-2</v>
      </c>
      <c r="P3904">
        <v>-0.99799380000000004</v>
      </c>
      <c r="Q3904">
        <v>5.0867950000000002E-2</v>
      </c>
      <c r="R3904">
        <v>-3.76984E-2</v>
      </c>
      <c r="S3904">
        <v>-3.0004119999999999</v>
      </c>
      <c r="T3904">
        <v>-0.26344919999999999</v>
      </c>
      <c r="U3904">
        <v>-0.5135651</v>
      </c>
      <c r="V3904">
        <v>-9.7441749999999994E-2</v>
      </c>
      <c r="W3904">
        <v>5.6945320000000001E-2</v>
      </c>
      <c r="X3904">
        <v>0.99361069999999996</v>
      </c>
      <c r="Y3904">
        <v>-0.2262277</v>
      </c>
      <c r="Z3904">
        <v>-1.5044210000000001E-2</v>
      </c>
      <c r="AA3904">
        <v>0.97395830000000005</v>
      </c>
      <c r="AB3904">
        <v>30</v>
      </c>
      <c r="AC3904">
        <v>-12.341399999999901</v>
      </c>
      <c r="AD3904">
        <v>-1.1105593150640001</v>
      </c>
      <c r="AE3904">
        <v>-2.1820000000000102</v>
      </c>
      <c r="AF3904">
        <v>-2.8927340606902701</v>
      </c>
      <c r="AG3904">
        <v>-1.1105593150640001</v>
      </c>
      <c r="AH3904">
        <v>12.0940247830162</v>
      </c>
      <c r="AI3904">
        <v>95.103429913977394</v>
      </c>
      <c r="AJ3904">
        <v>103.451683143485</v>
      </c>
      <c r="AK3904">
        <v>12.4846580966546</v>
      </c>
      <c r="AL3904">
        <v>86.735507360277097</v>
      </c>
      <c r="AM3904">
        <v>95.600992034098695</v>
      </c>
      <c r="AN3904">
        <v>0.99999994363372502</v>
      </c>
    </row>
    <row r="3905" spans="1:40" x14ac:dyDescent="0.25">
      <c r="A3905" t="str">
        <f>"20190312151351503"</f>
        <v>20190312151351503</v>
      </c>
      <c r="B3905" t="str">
        <f>"1552374831494427"</f>
        <v>1552374831494427</v>
      </c>
      <c r="C3905" t="s">
        <v>40</v>
      </c>
      <c r="D3905">
        <v>4.7231589999999999</v>
      </c>
      <c r="E3905">
        <v>0.44988349999999999</v>
      </c>
      <c r="F3905" t="s">
        <v>42</v>
      </c>
      <c r="G3905">
        <v>-255.60659999999999</v>
      </c>
      <c r="H3905" s="1">
        <v>-2.222603E-6</v>
      </c>
      <c r="I3905">
        <v>137.61189999999999</v>
      </c>
      <c r="J3905">
        <v>-243.32900000000001</v>
      </c>
      <c r="K3905">
        <v>1.1106279999999999</v>
      </c>
      <c r="L3905">
        <v>139.8065</v>
      </c>
      <c r="M3905">
        <v>-0.99829109999999999</v>
      </c>
      <c r="N3905">
        <v>0</v>
      </c>
      <c r="O3905">
        <v>5.8080479999999997E-2</v>
      </c>
      <c r="P3905">
        <v>-0.99798299999999995</v>
      </c>
      <c r="Q3905">
        <v>5.0476060000000003E-2</v>
      </c>
      <c r="R3905">
        <v>-3.8504820000000002E-2</v>
      </c>
      <c r="S3905">
        <v>-2.9998930000000001</v>
      </c>
      <c r="T3905">
        <v>-0.26534010000000002</v>
      </c>
      <c r="U3905">
        <v>-0.5207214</v>
      </c>
      <c r="V3905">
        <v>-9.6598000000000003E-2</v>
      </c>
      <c r="W3905">
        <v>5.6576359999999999E-2</v>
      </c>
      <c r="X3905">
        <v>0.99371419999999999</v>
      </c>
      <c r="Y3905">
        <v>-0.2268773</v>
      </c>
      <c r="Z3905">
        <v>-1.5033889999999999E-2</v>
      </c>
      <c r="AA3905">
        <v>0.97380730000000004</v>
      </c>
      <c r="AB3905">
        <v>30</v>
      </c>
      <c r="AC3905">
        <v>-12.2775999999999</v>
      </c>
      <c r="AD3905">
        <v>-1.110630222603</v>
      </c>
      <c r="AE3905">
        <v>-2.1945999999999999</v>
      </c>
      <c r="AF3905">
        <v>-2.8811523880883101</v>
      </c>
      <c r="AG3905">
        <v>-1.110630222603</v>
      </c>
      <c r="AH3905">
        <v>12.0339822686053</v>
      </c>
      <c r="AI3905">
        <v>95.128816563283706</v>
      </c>
      <c r="AJ3905">
        <v>103.464201001503</v>
      </c>
      <c r="AK3905">
        <v>12.4238185682121</v>
      </c>
      <c r="AL3905">
        <v>86.756681482352207</v>
      </c>
      <c r="AM3905">
        <v>95.552222623484994</v>
      </c>
      <c r="AN3905">
        <v>0.99999998469824403</v>
      </c>
    </row>
    <row r="3906" spans="1:40" x14ac:dyDescent="0.25">
      <c r="A3906" t="str">
        <f>"20190312151351525"</f>
        <v>20190312151351525</v>
      </c>
      <c r="B3906" t="str">
        <f>"1552374831513951"</f>
        <v>1552374831513951</v>
      </c>
      <c r="C3906" t="s">
        <v>40</v>
      </c>
      <c r="D3906">
        <v>4.7195669999999996</v>
      </c>
      <c r="E3906">
        <v>0.44943339999999998</v>
      </c>
      <c r="F3906" t="s">
        <v>42</v>
      </c>
      <c r="G3906">
        <v>-255.78809999999999</v>
      </c>
      <c r="H3906" s="1">
        <v>-2.1446030000000001E-6</v>
      </c>
      <c r="I3906">
        <v>137.61269999999999</v>
      </c>
      <c r="J3906">
        <v>-243.64060000000001</v>
      </c>
      <c r="K3906">
        <v>1.1107129999999901</v>
      </c>
      <c r="L3906">
        <v>139.8228</v>
      </c>
      <c r="M3906">
        <v>-0.99840220000000002</v>
      </c>
      <c r="N3906">
        <v>0</v>
      </c>
      <c r="O3906">
        <v>5.6131689999999998E-2</v>
      </c>
      <c r="P3906">
        <v>-0.9979209</v>
      </c>
      <c r="Q3906">
        <v>5.0419270000000002E-2</v>
      </c>
      <c r="R3906">
        <v>-4.0148780000000002E-2</v>
      </c>
      <c r="S3906">
        <v>-2.9992070000000002</v>
      </c>
      <c r="T3906">
        <v>-0.26735679999999901</v>
      </c>
      <c r="U3906">
        <v>-0.5280762</v>
      </c>
      <c r="V3906">
        <v>-9.6306320000000001E-2</v>
      </c>
      <c r="W3906">
        <v>5.6541620000000001E-2</v>
      </c>
      <c r="X3906">
        <v>0.99374450000000003</v>
      </c>
      <c r="Y3906">
        <v>-0.22732089999999999</v>
      </c>
      <c r="Z3906">
        <v>-1.4995349999999999E-2</v>
      </c>
      <c r="AA3906">
        <v>0.97370449999999997</v>
      </c>
      <c r="AB3906">
        <v>30</v>
      </c>
      <c r="AC3906">
        <v>-12.1474999999999</v>
      </c>
      <c r="AD3906">
        <v>-1.1107151446029999</v>
      </c>
      <c r="AE3906">
        <v>-2.2101000000000099</v>
      </c>
      <c r="AF3906">
        <v>-2.8653017068964299</v>
      </c>
      <c r="AG3906">
        <v>-1.1107151446029999</v>
      </c>
      <c r="AH3906">
        <v>11.9079217097777</v>
      </c>
      <c r="AI3906">
        <v>95.181803894689395</v>
      </c>
      <c r="AJ3906">
        <v>103.529397208498</v>
      </c>
      <c r="AK3906">
        <v>12.298058442298499</v>
      </c>
      <c r="AL3906">
        <v>86.758675167927905</v>
      </c>
      <c r="AM3906">
        <v>95.535394105252493</v>
      </c>
      <c r="AN3906">
        <v>0.99999999667220796</v>
      </c>
    </row>
    <row r="3907" spans="1:40" x14ac:dyDescent="0.25">
      <c r="A3907" t="str">
        <f>"20190312151351547"</f>
        <v>20190312151351547</v>
      </c>
      <c r="B3907" t="str">
        <f>"1552374831544202"</f>
        <v>1552374831544202</v>
      </c>
      <c r="C3907" t="s">
        <v>40</v>
      </c>
      <c r="D3907">
        <v>4.7178940000000003</v>
      </c>
      <c r="E3907">
        <v>0.44883010000000001</v>
      </c>
      <c r="F3907" t="s">
        <v>42</v>
      </c>
      <c r="G3907">
        <v>-256.03100000000001</v>
      </c>
      <c r="H3907" s="1">
        <v>-2.0420839999999999E-6</v>
      </c>
      <c r="I3907">
        <v>137.60319999999999</v>
      </c>
      <c r="J3907">
        <v>-243.9333</v>
      </c>
      <c r="K3907">
        <v>1.1108</v>
      </c>
      <c r="L3907">
        <v>139.8373</v>
      </c>
      <c r="M3907">
        <v>-0.99850839999999996</v>
      </c>
      <c r="N3907">
        <v>0</v>
      </c>
      <c r="O3907">
        <v>5.4205879999999998E-2</v>
      </c>
      <c r="P3907">
        <v>-0.99782519999999997</v>
      </c>
      <c r="Q3907">
        <v>5.093715E-2</v>
      </c>
      <c r="R3907">
        <v>-4.183655E-2</v>
      </c>
      <c r="S3907">
        <v>-2.9982150000000001</v>
      </c>
      <c r="T3907">
        <v>-0.26877010000000001</v>
      </c>
      <c r="U3907">
        <v>-0.53707890000000003</v>
      </c>
      <c r="V3907">
        <v>-9.6082089999999995E-2</v>
      </c>
      <c r="W3907">
        <v>5.7077669999999997E-2</v>
      </c>
      <c r="X3907">
        <v>0.99373560000000005</v>
      </c>
      <c r="Y3907">
        <v>-0.22832440000000001</v>
      </c>
      <c r="Z3907">
        <v>-1.494877E-2</v>
      </c>
      <c r="AA3907">
        <v>0.97347030000000001</v>
      </c>
      <c r="AB3907">
        <v>31</v>
      </c>
      <c r="AC3907">
        <v>-12.0977</v>
      </c>
      <c r="AD3907">
        <v>-1.1108020420839999</v>
      </c>
      <c r="AE3907">
        <v>-2.23410000000001</v>
      </c>
      <c r="AF3907">
        <v>-2.8632523598700002</v>
      </c>
      <c r="AG3907">
        <v>-1.1108020420839999</v>
      </c>
      <c r="AH3907">
        <v>11.862100382077699</v>
      </c>
      <c r="AI3907">
        <v>95.201223843334603</v>
      </c>
      <c r="AJ3907">
        <v>103.570373911006</v>
      </c>
      <c r="AK3907">
        <v>12.2532249113238</v>
      </c>
      <c r="AL3907">
        <v>86.727912210739703</v>
      </c>
      <c r="AM3907">
        <v>95.522634970816497</v>
      </c>
      <c r="AN3907">
        <v>1.0000000355693699</v>
      </c>
    </row>
    <row r="3908" spans="1:40" x14ac:dyDescent="0.25">
      <c r="A3908" t="str">
        <f>"20190312151351569"</f>
        <v>20190312151351569</v>
      </c>
      <c r="B3908" t="str">
        <f>"1552374831564698"</f>
        <v>1552374831564698</v>
      </c>
      <c r="C3908" t="s">
        <v>40</v>
      </c>
      <c r="D3908">
        <v>4.692647</v>
      </c>
      <c r="E3908">
        <v>0.44839950000000001</v>
      </c>
      <c r="F3908" t="s">
        <v>42</v>
      </c>
      <c r="G3908">
        <v>-256.27760000000001</v>
      </c>
      <c r="H3908" s="1">
        <v>-1.9399619999999999E-6</v>
      </c>
      <c r="I3908">
        <v>137.5823</v>
      </c>
      <c r="J3908">
        <v>-244.23929999999999</v>
      </c>
      <c r="K3908">
        <v>1.1108819999999999</v>
      </c>
      <c r="L3908">
        <v>139.8519</v>
      </c>
      <c r="M3908">
        <v>-0.99862019999999996</v>
      </c>
      <c r="N3908">
        <v>0</v>
      </c>
      <c r="O3908">
        <v>5.2101630000000003E-2</v>
      </c>
      <c r="P3908">
        <v>-0.99773889999999998</v>
      </c>
      <c r="Q3908">
        <v>5.1296899999999999E-2</v>
      </c>
      <c r="R3908">
        <v>-4.3428660000000001E-2</v>
      </c>
      <c r="S3908">
        <v>-2.99736</v>
      </c>
      <c r="T3908">
        <v>-0.26971699999999998</v>
      </c>
      <c r="U3908">
        <v>-0.54753109999999905</v>
      </c>
      <c r="V3908">
        <v>-9.558577E-2</v>
      </c>
      <c r="W3908">
        <v>5.7457090000000002E-2</v>
      </c>
      <c r="X3908">
        <v>0.99376149999999996</v>
      </c>
      <c r="Y3908">
        <v>-0.22960410000000001</v>
      </c>
      <c r="Z3908">
        <v>-1.487025E-2</v>
      </c>
      <c r="AA3908">
        <v>0.97317050000000005</v>
      </c>
      <c r="AB3908">
        <v>31</v>
      </c>
      <c r="AC3908">
        <v>-12.0383</v>
      </c>
      <c r="AD3908">
        <v>-1.1108839399620001</v>
      </c>
      <c r="AE3908">
        <v>-2.2695999999999898</v>
      </c>
      <c r="AF3908">
        <v>-2.87014420487872</v>
      </c>
      <c r="AG3908">
        <v>-1.1108839399620001</v>
      </c>
      <c r="AH3908">
        <v>11.806608756010499</v>
      </c>
      <c r="AI3908">
        <v>95.223875180492797</v>
      </c>
      <c r="AJ3908">
        <v>103.663363911913</v>
      </c>
      <c r="AK3908">
        <v>12.201139340338999</v>
      </c>
      <c r="AL3908">
        <v>86.706136988872302</v>
      </c>
      <c r="AM3908">
        <v>95.494140034874803</v>
      </c>
      <c r="AN3908">
        <v>0.99999993775000295</v>
      </c>
    </row>
    <row r="3909" spans="1:40" x14ac:dyDescent="0.25">
      <c r="A3909" t="str">
        <f>"20190312151351591"</f>
        <v>20190312151351591</v>
      </c>
      <c r="B3909" t="str">
        <f>"1552374831584219"</f>
        <v>1552374831584219</v>
      </c>
      <c r="C3909" t="s">
        <v>40</v>
      </c>
      <c r="D3909">
        <v>4.7148440000000003</v>
      </c>
      <c r="E3909">
        <v>0.44799889999999998</v>
      </c>
      <c r="F3909" t="s">
        <v>42</v>
      </c>
      <c r="G3909">
        <v>-256.61410000000001</v>
      </c>
      <c r="H3909" s="1">
        <v>-1.8005270000000001E-6</v>
      </c>
      <c r="I3909">
        <v>137.5547</v>
      </c>
      <c r="J3909">
        <v>-244.54239999999999</v>
      </c>
      <c r="K3909">
        <v>1.110957</v>
      </c>
      <c r="L3909">
        <v>139.8656</v>
      </c>
      <c r="M3909">
        <v>-0.99873009999999995</v>
      </c>
      <c r="N3909">
        <v>0</v>
      </c>
      <c r="O3909">
        <v>4.9945320000000001E-2</v>
      </c>
      <c r="P3909">
        <v>-0.99763729999999995</v>
      </c>
      <c r="Q3909">
        <v>5.1884319999999998E-2</v>
      </c>
      <c r="R3909">
        <v>-4.5031479999999999E-2</v>
      </c>
      <c r="S3909">
        <v>-2.9963839999999999</v>
      </c>
      <c r="T3909">
        <v>-0.26898680000000003</v>
      </c>
      <c r="U3909">
        <v>-0.55621339999999997</v>
      </c>
      <c r="V3909">
        <v>-9.5047909999999999E-2</v>
      </c>
      <c r="W3909">
        <v>5.806356E-2</v>
      </c>
      <c r="X3909">
        <v>0.99377789999999999</v>
      </c>
      <c r="Y3909">
        <v>-0.23029820000000001</v>
      </c>
      <c r="Z3909">
        <v>-1.467015E-2</v>
      </c>
      <c r="AA3909">
        <v>0.97300949999999997</v>
      </c>
      <c r="AB3909">
        <v>31</v>
      </c>
      <c r="AC3909">
        <v>-12.0717</v>
      </c>
      <c r="AD3909">
        <v>-1.1109588005269999</v>
      </c>
      <c r="AE3909">
        <v>-2.3109000000000002</v>
      </c>
      <c r="AF3909">
        <v>-2.8873637259943199</v>
      </c>
      <c r="AG3909">
        <v>-1.1109588005269999</v>
      </c>
      <c r="AH3909">
        <v>11.8444415955303</v>
      </c>
      <c r="AI3909">
        <v>95.206824136005196</v>
      </c>
      <c r="AJ3909">
        <v>103.700000462617</v>
      </c>
      <c r="AK3909">
        <v>12.2418093210352</v>
      </c>
      <c r="AL3909">
        <v>86.671330906915301</v>
      </c>
      <c r="AM3909">
        <v>95.463322540864894</v>
      </c>
      <c r="AN3909">
        <v>0.99999999836182496</v>
      </c>
    </row>
    <row r="3910" spans="1:40" x14ac:dyDescent="0.25">
      <c r="A3910" t="str">
        <f>"20190312151351615"</f>
        <v>20190312151351615</v>
      </c>
      <c r="B3910" t="str">
        <f>"1552374831603738"</f>
        <v>1552374831603738</v>
      </c>
      <c r="C3910" t="s">
        <v>40</v>
      </c>
      <c r="D3910">
        <v>4.6994379999999998</v>
      </c>
      <c r="E3910">
        <v>0.44768550000000001</v>
      </c>
      <c r="F3910" t="s">
        <v>42</v>
      </c>
      <c r="G3910">
        <v>-256.95620000000002</v>
      </c>
      <c r="H3910" s="1">
        <v>-1.65902E-6</v>
      </c>
      <c r="I3910">
        <v>137.52510000000001</v>
      </c>
      <c r="J3910">
        <v>-244.86699999999999</v>
      </c>
      <c r="K3910">
        <v>1.111035</v>
      </c>
      <c r="L3910">
        <v>139.87950000000001</v>
      </c>
      <c r="M3910">
        <v>-0.99884629999999996</v>
      </c>
      <c r="N3910">
        <v>0</v>
      </c>
      <c r="O3910">
        <v>4.7559629999999999E-2</v>
      </c>
      <c r="P3910">
        <v>-0.99755199999999999</v>
      </c>
      <c r="Q3910">
        <v>5.2073719999999997E-2</v>
      </c>
      <c r="R3910">
        <v>-4.6678600000000001E-2</v>
      </c>
      <c r="S3910">
        <v>-2.9955599999999998</v>
      </c>
      <c r="T3910">
        <v>-0.26808609999999999</v>
      </c>
      <c r="U3910">
        <v>-0.56477359999999999</v>
      </c>
      <c r="V3910">
        <v>-9.4325010000000001E-2</v>
      </c>
      <c r="W3910">
        <v>5.827396E-2</v>
      </c>
      <c r="X3910">
        <v>0.99383440000000001</v>
      </c>
      <c r="Y3910">
        <v>-0.23072400000000001</v>
      </c>
      <c r="Z3910">
        <v>-1.4428760000000001E-2</v>
      </c>
      <c r="AA3910">
        <v>0.97291229999999995</v>
      </c>
      <c r="AB3910">
        <v>31</v>
      </c>
      <c r="AC3910">
        <v>-12.0892</v>
      </c>
      <c r="AD3910">
        <v>-1.11103665902</v>
      </c>
      <c r="AE3910">
        <v>-2.3543999999999898</v>
      </c>
      <c r="AF3910">
        <v>-2.90308220941077</v>
      </c>
      <c r="AG3910">
        <v>-1.11103665902</v>
      </c>
      <c r="AH3910">
        <v>11.866974179189</v>
      </c>
      <c r="AI3910">
        <v>95.196327650684495</v>
      </c>
      <c r="AJ3910">
        <v>103.74659297149201</v>
      </c>
      <c r="AK3910">
        <v>12.2673291690499</v>
      </c>
      <c r="AL3910">
        <v>86.659255227265703</v>
      </c>
      <c r="AM3910">
        <v>95.421712647389896</v>
      </c>
      <c r="AN3910">
        <v>0.99999993827446898</v>
      </c>
    </row>
    <row r="3911" spans="1:40" x14ac:dyDescent="0.25">
      <c r="A3911" t="str">
        <f>"20190312151351638"</f>
        <v>20190312151351638</v>
      </c>
      <c r="B3911" t="str">
        <f>"1552374831633994"</f>
        <v>1552374831633994</v>
      </c>
      <c r="C3911" t="s">
        <v>40</v>
      </c>
      <c r="D3911">
        <v>4.6898799999999996</v>
      </c>
      <c r="E3911">
        <v>0.44722600000000001</v>
      </c>
      <c r="F3911" t="s">
        <v>42</v>
      </c>
      <c r="G3911">
        <v>-257.27800000000002</v>
      </c>
      <c r="H3911" s="1">
        <v>-1.5240369999999999E-6</v>
      </c>
      <c r="I3911">
        <v>137.5077</v>
      </c>
      <c r="J3911">
        <v>-245.1867</v>
      </c>
      <c r="K3911">
        <v>1.1111</v>
      </c>
      <c r="L3911">
        <v>139.89240000000001</v>
      </c>
      <c r="M3911">
        <v>-0.99895829999999997</v>
      </c>
      <c r="N3911">
        <v>0</v>
      </c>
      <c r="O3911">
        <v>4.5138829999999998E-2</v>
      </c>
      <c r="P3911">
        <v>-0.9974326</v>
      </c>
      <c r="Q3911">
        <v>5.2705479999999999E-2</v>
      </c>
      <c r="R3911">
        <v>-4.8484680000000002E-2</v>
      </c>
      <c r="S3911">
        <v>-2.994583</v>
      </c>
      <c r="T3911">
        <v>-0.26807589999999998</v>
      </c>
      <c r="U3911">
        <v>-0.57226560000000004</v>
      </c>
      <c r="V3911">
        <v>-9.3726680000000007E-2</v>
      </c>
      <c r="W3911">
        <v>5.8924690000000002E-2</v>
      </c>
      <c r="X3911">
        <v>0.99385270000000003</v>
      </c>
      <c r="Y3911">
        <v>-0.23078299999999999</v>
      </c>
      <c r="Z3911">
        <v>-1.4217530000000001E-2</v>
      </c>
      <c r="AA3911">
        <v>0.97290140000000003</v>
      </c>
      <c r="AB3911">
        <v>31</v>
      </c>
      <c r="AC3911">
        <v>-12.0913</v>
      </c>
      <c r="AD3911">
        <v>-1.1111015240369999</v>
      </c>
      <c r="AE3911">
        <v>-2.3847</v>
      </c>
      <c r="AF3911">
        <v>-2.9044608487447299</v>
      </c>
      <c r="AG3911">
        <v>-1.1111015240369999</v>
      </c>
      <c r="AH3911">
        <v>11.8748104969899</v>
      </c>
      <c r="AI3911">
        <v>95.1932728563621</v>
      </c>
      <c r="AJ3911">
        <v>103.74414185566501</v>
      </c>
      <c r="AK3911">
        <v>12.2752419022205</v>
      </c>
      <c r="AL3911">
        <v>86.621907168747299</v>
      </c>
      <c r="AM3911">
        <v>95.387425584905301</v>
      </c>
      <c r="AN3911">
        <v>0.99999999946635398</v>
      </c>
    </row>
    <row r="3912" spans="1:40" x14ac:dyDescent="0.25">
      <c r="A3912" t="str">
        <f>"20190312151351659"</f>
        <v>20190312151351659</v>
      </c>
      <c r="B3912" t="str">
        <f>"1552374831654491"</f>
        <v>1552374831654491</v>
      </c>
      <c r="C3912" t="s">
        <v>40</v>
      </c>
      <c r="D3912">
        <v>4.7093920000000002</v>
      </c>
      <c r="E3912">
        <v>0.44707530000000001</v>
      </c>
      <c r="F3912" t="s">
        <v>42</v>
      </c>
      <c r="G3912">
        <v>-257.6456</v>
      </c>
      <c r="H3912" s="1">
        <v>-1.3725899999999999E-6</v>
      </c>
      <c r="I3912">
        <v>137.4725</v>
      </c>
      <c r="J3912">
        <v>-245.48390000000001</v>
      </c>
      <c r="K3912">
        <v>1.111156</v>
      </c>
      <c r="L3912">
        <v>139.90360000000001</v>
      </c>
      <c r="M3912">
        <v>-0.99905969999999999</v>
      </c>
      <c r="N3912">
        <v>0</v>
      </c>
      <c r="O3912">
        <v>4.2836529999999998E-2</v>
      </c>
      <c r="P3912">
        <v>-0.99733919999999998</v>
      </c>
      <c r="Q3912">
        <v>5.2916520000000002E-2</v>
      </c>
      <c r="R3912">
        <v>-5.0145170000000003E-2</v>
      </c>
      <c r="S3912">
        <v>-2.9935610000000001</v>
      </c>
      <c r="T3912">
        <v>-0.26697159999999998</v>
      </c>
      <c r="U3912">
        <v>-0.58140559999999997</v>
      </c>
      <c r="V3912">
        <v>-9.3099840000000003E-2</v>
      </c>
      <c r="W3912">
        <v>5.9153160000000003E-2</v>
      </c>
      <c r="X3912">
        <v>0.99389799999999995</v>
      </c>
      <c r="Y3912">
        <v>-0.23148160000000001</v>
      </c>
      <c r="Z3912">
        <v>-1.398744E-2</v>
      </c>
      <c r="AA3912">
        <v>0.97273869999999896</v>
      </c>
      <c r="AB3912">
        <v>31</v>
      </c>
      <c r="AC3912">
        <v>-12.1616999999999</v>
      </c>
      <c r="AD3912">
        <v>-1.1111573725899999</v>
      </c>
      <c r="AE3912">
        <v>-2.43110000000001</v>
      </c>
      <c r="AF3912">
        <v>-2.92635558595904</v>
      </c>
      <c r="AG3912">
        <v>-1.1111573725899999</v>
      </c>
      <c r="AH3912">
        <v>11.950469122872599</v>
      </c>
      <c r="AI3912">
        <v>95.160494098272395</v>
      </c>
      <c r="AJ3912">
        <v>103.75947377889899</v>
      </c>
      <c r="AK3912">
        <v>12.3536205210807</v>
      </c>
      <c r="AL3912">
        <v>86.608793778937894</v>
      </c>
      <c r="AM3912">
        <v>95.351362105887105</v>
      </c>
      <c r="AN3912">
        <v>0.99999995547500398</v>
      </c>
    </row>
    <row r="3913" spans="1:40" x14ac:dyDescent="0.25">
      <c r="A3913" t="str">
        <f>"20190312151351681"</f>
        <v>20190312151351681</v>
      </c>
      <c r="B3913" t="str">
        <f>"1552374831674011"</f>
        <v>1552374831674011</v>
      </c>
      <c r="C3913" t="s">
        <v>40</v>
      </c>
      <c r="D3913">
        <v>4.701568</v>
      </c>
      <c r="E3913">
        <v>0.44676519999999997</v>
      </c>
      <c r="F3913" t="s">
        <v>42</v>
      </c>
      <c r="G3913">
        <v>-257.9821</v>
      </c>
      <c r="H3913" s="1">
        <v>-1.2494879999999999E-6</v>
      </c>
      <c r="I3913">
        <v>137.4486</v>
      </c>
      <c r="J3913">
        <v>-245.79560000000001</v>
      </c>
      <c r="K3913">
        <v>1.1112040000000001</v>
      </c>
      <c r="L3913">
        <v>139.91460000000001</v>
      </c>
      <c r="M3913">
        <v>-0.99916170000000004</v>
      </c>
      <c r="N3913">
        <v>0</v>
      </c>
      <c r="O3913">
        <v>4.0381809999999997E-2</v>
      </c>
      <c r="P3913">
        <v>-0.99726429999999999</v>
      </c>
      <c r="Q3913">
        <v>5.2711889999999997E-2</v>
      </c>
      <c r="R3913">
        <v>-5.182134E-2</v>
      </c>
      <c r="S3913">
        <v>-2.9925839999999999</v>
      </c>
      <c r="T3913">
        <v>-0.26605630000000002</v>
      </c>
      <c r="U3913">
        <v>-0.58781430000000001</v>
      </c>
      <c r="V3913">
        <v>-9.2334470000000002E-2</v>
      </c>
      <c r="W3913">
        <v>5.8967520000000002E-2</v>
      </c>
      <c r="X3913">
        <v>0.99398050000000004</v>
      </c>
      <c r="Y3913">
        <v>-0.23117560000000001</v>
      </c>
      <c r="Z3913">
        <v>-1.3711839999999999E-2</v>
      </c>
      <c r="AA3913">
        <v>0.9728154</v>
      </c>
      <c r="AB3913">
        <v>31</v>
      </c>
      <c r="AC3913">
        <v>-12.186499999999899</v>
      </c>
      <c r="AD3913">
        <v>-1.111205249488</v>
      </c>
      <c r="AE3913">
        <v>-2.4660000000000002</v>
      </c>
      <c r="AF3913">
        <v>-2.9326881452063498</v>
      </c>
      <c r="AG3913">
        <v>-1.111205249488</v>
      </c>
      <c r="AH3913">
        <v>11.9812770611869</v>
      </c>
      <c r="AI3913">
        <v>95.147636255356403</v>
      </c>
      <c r="AJ3913">
        <v>103.754007895236</v>
      </c>
      <c r="AK3913">
        <v>12.384927810869399</v>
      </c>
      <c r="AL3913">
        <v>86.619449014527007</v>
      </c>
      <c r="AM3913">
        <v>95.307183041601107</v>
      </c>
      <c r="AN3913">
        <v>1.00000002857269</v>
      </c>
    </row>
    <row r="3914" spans="1:40" x14ac:dyDescent="0.25">
      <c r="A3914" t="str">
        <f>"20190312151351703"</f>
        <v>20190312151351703</v>
      </c>
      <c r="B3914" t="str">
        <f>"1552374831694507"</f>
        <v>1552374831694507</v>
      </c>
      <c r="C3914" t="s">
        <v>40</v>
      </c>
      <c r="D3914">
        <v>4.6533499999999997</v>
      </c>
      <c r="E3914">
        <v>0.44649529999999898</v>
      </c>
      <c r="F3914" t="s">
        <v>42</v>
      </c>
      <c r="G3914">
        <v>-258.24810000000002</v>
      </c>
      <c r="H3914" s="1">
        <v>-1.162635E-6</v>
      </c>
      <c r="I3914">
        <v>137.4348</v>
      </c>
      <c r="J3914">
        <v>-246.0941</v>
      </c>
      <c r="K3914">
        <v>1.11124</v>
      </c>
      <c r="L3914">
        <v>139.92439999999999</v>
      </c>
      <c r="M3914">
        <v>-0.99925469999999905</v>
      </c>
      <c r="N3914">
        <v>0</v>
      </c>
      <c r="O3914">
        <v>3.8005560000000001E-2</v>
      </c>
      <c r="P3914">
        <v>-0.9971624</v>
      </c>
      <c r="Q3914">
        <v>5.2185139999999998E-2</v>
      </c>
      <c r="R3914">
        <v>-5.4259439999999999E-2</v>
      </c>
      <c r="S3914">
        <v>-2.9913940000000001</v>
      </c>
      <c r="T3914">
        <v>-0.26693879999999998</v>
      </c>
      <c r="U3914">
        <v>-0.59568789999999905</v>
      </c>
      <c r="V3914">
        <v>-9.2405539999999994E-2</v>
      </c>
      <c r="W3914">
        <v>5.845438E-2</v>
      </c>
      <c r="X3914">
        <v>0.9940042</v>
      </c>
      <c r="Y3914">
        <v>-0.2314011</v>
      </c>
      <c r="Z3914">
        <v>-1.3559160000000001E-2</v>
      </c>
      <c r="AA3914">
        <v>0.97276399999999996</v>
      </c>
      <c r="AB3914">
        <v>31</v>
      </c>
      <c r="AC3914">
        <v>-12.154</v>
      </c>
      <c r="AD3914">
        <v>-1.1112411626350001</v>
      </c>
      <c r="AE3914">
        <v>-2.48959999999999</v>
      </c>
      <c r="AF3914">
        <v>-2.9262545145429799</v>
      </c>
      <c r="AG3914">
        <v>-1.1112411626350001</v>
      </c>
      <c r="AH3914">
        <v>11.9546874158764</v>
      </c>
      <c r="AI3914">
        <v>95.159182346499804</v>
      </c>
      <c r="AJ3914">
        <v>103.75434606194899</v>
      </c>
      <c r="AK3914">
        <v>12.357684800023501</v>
      </c>
      <c r="AL3914">
        <v>86.6489005581589</v>
      </c>
      <c r="AM3914">
        <v>95.311118725546606</v>
      </c>
      <c r="AN3914">
        <v>1.0000000239907501</v>
      </c>
    </row>
    <row r="3915" spans="1:40" x14ac:dyDescent="0.25">
      <c r="A3915" t="str">
        <f>"20190312151351726"</f>
        <v>20190312151351726</v>
      </c>
      <c r="B3915" t="str">
        <f>"1552374831724763"</f>
        <v>1552374831724763</v>
      </c>
      <c r="C3915" t="s">
        <v>40</v>
      </c>
      <c r="D3915">
        <v>4.6037999999999997</v>
      </c>
      <c r="E3915">
        <v>0.43854280000000001</v>
      </c>
      <c r="F3915" t="s">
        <v>42</v>
      </c>
      <c r="G3915">
        <v>-258.46910000000003</v>
      </c>
      <c r="H3915" s="1">
        <v>-1.0918639999999999E-6</v>
      </c>
      <c r="I3915">
        <v>137.41810000000001</v>
      </c>
      <c r="J3915">
        <v>-246.42670000000001</v>
      </c>
      <c r="K3915">
        <v>1.111272</v>
      </c>
      <c r="L3915">
        <v>139.93450000000001</v>
      </c>
      <c r="M3915">
        <v>-0.99935229999999997</v>
      </c>
      <c r="N3915">
        <v>0</v>
      </c>
      <c r="O3915">
        <v>3.5341259999999999E-2</v>
      </c>
      <c r="P3915">
        <v>-0.9970099</v>
      </c>
      <c r="Q3915">
        <v>5.197864E-2</v>
      </c>
      <c r="R3915">
        <v>-5.7182620000000003E-2</v>
      </c>
      <c r="S3915">
        <v>-2.9896389999999999</v>
      </c>
      <c r="T3915">
        <v>-0.26846229999999999</v>
      </c>
      <c r="U3915">
        <v>-0.60546880000000003</v>
      </c>
      <c r="V3915">
        <v>-9.2674370000000006E-2</v>
      </c>
      <c r="W3915">
        <v>5.8262540000000002E-2</v>
      </c>
      <c r="X3915">
        <v>0.99399040000000005</v>
      </c>
      <c r="Y3915">
        <v>-0.23197229999999999</v>
      </c>
      <c r="Z3915">
        <v>-1.342843E-2</v>
      </c>
      <c r="AA3915">
        <v>0.97262969999999904</v>
      </c>
      <c r="AB3915">
        <v>31</v>
      </c>
      <c r="AC3915">
        <v>-12.042400000000001</v>
      </c>
      <c r="AD3915">
        <v>-1.1112730918639999</v>
      </c>
      <c r="AE3915">
        <v>-2.5164</v>
      </c>
      <c r="AF3915">
        <v>-2.9166335427126899</v>
      </c>
      <c r="AG3915">
        <v>-1.1112730918639999</v>
      </c>
      <c r="AH3915">
        <v>11.8492600079085</v>
      </c>
      <c r="AI3915">
        <v>95.203346587903695</v>
      </c>
      <c r="AJ3915">
        <v>103.828161399986</v>
      </c>
      <c r="AK3915">
        <v>12.2534338796191</v>
      </c>
      <c r="AL3915">
        <v>86.659910827853494</v>
      </c>
      <c r="AM3915">
        <v>95.326554832104193</v>
      </c>
      <c r="AN3915">
        <v>0.99999998885715402</v>
      </c>
    </row>
    <row r="3916" spans="1:40" x14ac:dyDescent="0.25">
      <c r="A3916" t="str">
        <f>"20190312151351747"</f>
        <v>20190312151351747</v>
      </c>
      <c r="B3916" t="str">
        <f>"1552374831744283"</f>
        <v>1552374831744283</v>
      </c>
      <c r="C3916" t="s">
        <v>40</v>
      </c>
      <c r="D3916">
        <v>4.630789</v>
      </c>
      <c r="E3916">
        <v>0.4381601</v>
      </c>
      <c r="F3916" t="s">
        <v>42</v>
      </c>
      <c r="G3916">
        <v>-255.95050000000001</v>
      </c>
      <c r="H3916" s="1">
        <v>-2.0481400000000002E-6</v>
      </c>
      <c r="I3916">
        <v>137.7637</v>
      </c>
      <c r="J3916">
        <v>-246.72069999999999</v>
      </c>
      <c r="K3916">
        <v>1.1112949999999999</v>
      </c>
      <c r="L3916">
        <v>139.9426</v>
      </c>
      <c r="M3916">
        <v>-0.99943300000000002</v>
      </c>
      <c r="N3916">
        <v>0</v>
      </c>
      <c r="O3916">
        <v>3.2976709999999999E-2</v>
      </c>
      <c r="P3916">
        <v>-0.99689499999999998</v>
      </c>
      <c r="Q3916">
        <v>5.1681900000000003E-2</v>
      </c>
      <c r="R3916">
        <v>-5.9412760000000002E-2</v>
      </c>
      <c r="S3916">
        <v>-2.9881129999999998</v>
      </c>
      <c r="T3916">
        <v>-0.34866710000000001</v>
      </c>
      <c r="U3916">
        <v>-0.68107600000000001</v>
      </c>
      <c r="V3916">
        <v>-9.254838E-2</v>
      </c>
      <c r="W3916">
        <v>5.7981209999999998E-2</v>
      </c>
      <c r="X3916">
        <v>0.99401859999999997</v>
      </c>
      <c r="Y3916">
        <v>-0.25241659999999999</v>
      </c>
      <c r="Z3916">
        <v>-1.8282659999999999E-2</v>
      </c>
      <c r="AA3916">
        <v>0.96744589999999997</v>
      </c>
      <c r="AB3916">
        <v>32</v>
      </c>
      <c r="AC3916">
        <v>-9.2298000000000098</v>
      </c>
      <c r="AD3916">
        <v>-1.11129704814</v>
      </c>
      <c r="AE3916">
        <v>-2.1788999999999898</v>
      </c>
      <c r="AF3916">
        <v>-2.4484688324866499</v>
      </c>
      <c r="AG3916">
        <v>-1.11129704814</v>
      </c>
      <c r="AH3916">
        <v>9.0289429409401798</v>
      </c>
      <c r="AI3916">
        <v>96.774490050215405</v>
      </c>
      <c r="AJ3916">
        <v>105.17257210790299</v>
      </c>
      <c r="AK3916">
        <v>9.4208169169991098</v>
      </c>
      <c r="AL3916">
        <v>86.676057183080601</v>
      </c>
      <c r="AM3916">
        <v>95.319204951272994</v>
      </c>
      <c r="AN3916">
        <v>1.0000000002498199</v>
      </c>
    </row>
    <row r="3917" spans="1:40" x14ac:dyDescent="0.25">
      <c r="A3917" t="str">
        <f>"20190312151351769"</f>
        <v>20190312151351769</v>
      </c>
      <c r="B3917" t="str">
        <f>"1552374831764779"</f>
        <v>1552374831764779</v>
      </c>
      <c r="C3917" t="s">
        <v>40</v>
      </c>
      <c r="D3917">
        <v>4.6317830000000004</v>
      </c>
      <c r="E3917">
        <v>0.4413821</v>
      </c>
      <c r="F3917" t="s">
        <v>42</v>
      </c>
      <c r="G3917">
        <v>-256.24619999999999</v>
      </c>
      <c r="H3917" s="1">
        <v>-1.9260019999999999E-6</v>
      </c>
      <c r="I3917">
        <v>137.7371</v>
      </c>
      <c r="J3917">
        <v>-247.03559999999999</v>
      </c>
      <c r="K3917">
        <v>1.1113189999999999</v>
      </c>
      <c r="L3917">
        <v>139.95050000000001</v>
      </c>
      <c r="M3917">
        <v>-0.99951330000000005</v>
      </c>
      <c r="N3917">
        <v>0</v>
      </c>
      <c r="O3917">
        <v>3.044067E-2</v>
      </c>
      <c r="P3917">
        <v>-0.99672369999999999</v>
      </c>
      <c r="Q3917">
        <v>5.2390150000000003E-2</v>
      </c>
      <c r="R3917">
        <v>-6.1625260000000001E-2</v>
      </c>
      <c r="S3917">
        <v>-2.9861909999999998</v>
      </c>
      <c r="T3917">
        <v>-0.34838520000000001</v>
      </c>
      <c r="U3917">
        <v>-0.69139099999999998</v>
      </c>
      <c r="V3917">
        <v>-9.223779E-2</v>
      </c>
      <c r="W3917">
        <v>5.8706670000000002E-2</v>
      </c>
      <c r="X3917">
        <v>0.99400489999999997</v>
      </c>
      <c r="Y3917">
        <v>-0.25328499999999998</v>
      </c>
      <c r="Z3917">
        <v>-1.8030859999999999E-2</v>
      </c>
      <c r="AA3917">
        <v>0.96722359999999996</v>
      </c>
      <c r="AB3917">
        <v>32</v>
      </c>
      <c r="AC3917">
        <v>-9.2105999999999995</v>
      </c>
      <c r="AD3917">
        <v>-1.1113209260020001</v>
      </c>
      <c r="AE3917">
        <v>-2.2134</v>
      </c>
      <c r="AF3917">
        <v>-2.4589149407862601</v>
      </c>
      <c r="AG3917">
        <v>-1.1113209260020001</v>
      </c>
      <c r="AH3917">
        <v>9.0148785392262791</v>
      </c>
      <c r="AI3917">
        <v>96.782412980601094</v>
      </c>
      <c r="AJ3917">
        <v>105.25696262139699</v>
      </c>
      <c r="AK3917">
        <v>9.4100654601120794</v>
      </c>
      <c r="AL3917">
        <v>86.634420499508806</v>
      </c>
      <c r="AM3917">
        <v>95.301528369389004</v>
      </c>
      <c r="AN3917">
        <v>1.0000000121152901</v>
      </c>
    </row>
    <row r="3918" spans="1:40" x14ac:dyDescent="0.25">
      <c r="A3918" t="str">
        <f>"20190312151351792"</f>
        <v>20190312151351792</v>
      </c>
      <c r="B3918" t="str">
        <f>"1552374831784556"</f>
        <v>1552374831784556</v>
      </c>
      <c r="C3918" t="s">
        <v>40</v>
      </c>
      <c r="D3918">
        <v>4.5681250000000002</v>
      </c>
      <c r="E3918">
        <v>0.44121579999999999</v>
      </c>
      <c r="F3918" t="s">
        <v>42</v>
      </c>
      <c r="G3918">
        <v>-257.89109999999999</v>
      </c>
      <c r="H3918" s="1">
        <v>-1.264589E-6</v>
      </c>
      <c r="I3918">
        <v>137.50839999999999</v>
      </c>
      <c r="J3918">
        <v>-247.35849999999999</v>
      </c>
      <c r="K3918">
        <v>1.111334</v>
      </c>
      <c r="L3918">
        <v>139.95779999999999</v>
      </c>
      <c r="M3918">
        <v>-0.99958899999999995</v>
      </c>
      <c r="N3918">
        <v>0</v>
      </c>
      <c r="O3918">
        <v>2.784172E-2</v>
      </c>
      <c r="P3918">
        <v>-0.99656650000000002</v>
      </c>
      <c r="Q3918">
        <v>5.2704510000000003E-2</v>
      </c>
      <c r="R3918">
        <v>-6.385615E-2</v>
      </c>
      <c r="S3918">
        <v>-2.9844059999999999</v>
      </c>
      <c r="T3918">
        <v>-0.30552699999999999</v>
      </c>
      <c r="U3918">
        <v>-0.671386699999999</v>
      </c>
      <c r="V3918">
        <v>-9.1881930000000001E-2</v>
      </c>
      <c r="W3918">
        <v>5.9038449999999999E-2</v>
      </c>
      <c r="X3918">
        <v>0.99401819999999996</v>
      </c>
      <c r="Y3918">
        <v>-0.24519750000000001</v>
      </c>
      <c r="Z3918">
        <v>-1.517493E-2</v>
      </c>
      <c r="AA3918">
        <v>0.96935439999999995</v>
      </c>
      <c r="AB3918">
        <v>32</v>
      </c>
      <c r="AC3918">
        <v>-10.5326</v>
      </c>
      <c r="AD3918">
        <v>-1.111335264589</v>
      </c>
      <c r="AE3918">
        <v>-2.44939999999999</v>
      </c>
      <c r="AF3918">
        <v>-2.7130478504093301</v>
      </c>
      <c r="AG3918">
        <v>-1.111335264589</v>
      </c>
      <c r="AH3918">
        <v>10.350992831519701</v>
      </c>
      <c r="AI3918">
        <v>95.929304896675006</v>
      </c>
      <c r="AJ3918">
        <v>104.687133486479</v>
      </c>
      <c r="AK3918">
        <v>10.758194425976001</v>
      </c>
      <c r="AL3918">
        <v>86.6153778517821</v>
      </c>
      <c r="AM3918">
        <v>95.281120306165406</v>
      </c>
      <c r="AN3918">
        <v>1.0000000047850801</v>
      </c>
    </row>
    <row r="3919" spans="1:40" x14ac:dyDescent="0.25">
      <c r="A3919" t="str">
        <f>"20190312151351814"</f>
        <v>20190312151351814</v>
      </c>
      <c r="B3919" t="str">
        <f>"1552374831804076"</f>
        <v>1552374831804076</v>
      </c>
      <c r="C3919" t="s">
        <v>40</v>
      </c>
      <c r="D3919">
        <v>4.5409629999999996</v>
      </c>
      <c r="E3919">
        <v>0.4399497</v>
      </c>
      <c r="F3919" t="s">
        <v>42</v>
      </c>
      <c r="G3919">
        <v>-257.98390000000001</v>
      </c>
      <c r="H3919" s="1">
        <v>-1.2252590000000001E-6</v>
      </c>
      <c r="I3919">
        <v>137.53739999999999</v>
      </c>
      <c r="J3919">
        <v>-247.67689999999999</v>
      </c>
      <c r="K3919">
        <v>1.111354</v>
      </c>
      <c r="L3919">
        <v>139.96420000000001</v>
      </c>
      <c r="M3919">
        <v>-0.99965669999999995</v>
      </c>
      <c r="N3919">
        <v>0</v>
      </c>
      <c r="O3919">
        <v>2.5288910000000001E-2</v>
      </c>
      <c r="P3919">
        <v>-0.99640589999999996</v>
      </c>
      <c r="Q3919">
        <v>5.2915190000000001E-2</v>
      </c>
      <c r="R3919">
        <v>-6.614971E-2</v>
      </c>
      <c r="S3919">
        <v>-2.983276</v>
      </c>
      <c r="T3919">
        <v>-0.312029</v>
      </c>
      <c r="U3919">
        <v>-0.67956539999999999</v>
      </c>
      <c r="V3919">
        <v>-9.1634209999999994E-2</v>
      </c>
      <c r="W3919">
        <v>5.9265980000000003E-2</v>
      </c>
      <c r="X3919">
        <v>0.99402749999999995</v>
      </c>
      <c r="Y3919">
        <v>-0.24528369999999999</v>
      </c>
      <c r="Z3919">
        <v>-1.52385E-2</v>
      </c>
      <c r="AA3919">
        <v>0.96933159999999896</v>
      </c>
      <c r="AB3919">
        <v>32</v>
      </c>
      <c r="AC3919">
        <v>-10.307</v>
      </c>
      <c r="AD3919">
        <v>-1.111355225259</v>
      </c>
      <c r="AE3919">
        <v>-2.4268000000000098</v>
      </c>
      <c r="AF3919">
        <v>-2.6574097483865802</v>
      </c>
      <c r="AG3919">
        <v>-1.111355225259</v>
      </c>
      <c r="AH3919">
        <v>10.130734669921599</v>
      </c>
      <c r="AI3919">
        <v>96.057072325527599</v>
      </c>
      <c r="AJ3919">
        <v>104.698207562362</v>
      </c>
      <c r="AK3919">
        <v>10.532270503546799</v>
      </c>
      <c r="AL3919">
        <v>86.602318383983999</v>
      </c>
      <c r="AM3919">
        <v>95.266913226925595</v>
      </c>
      <c r="AN3919">
        <v>0.99999997779196603</v>
      </c>
    </row>
    <row r="3920" spans="1:40" x14ac:dyDescent="0.25">
      <c r="A3920" t="str">
        <f>"20190312151351840"</f>
        <v>20190312151351840</v>
      </c>
      <c r="B3920" t="str">
        <f>"1552374831834332"</f>
        <v>1552374831834332</v>
      </c>
      <c r="C3920" t="s">
        <v>40</v>
      </c>
      <c r="D3920">
        <v>4.4906670000000002</v>
      </c>
      <c r="E3920">
        <v>0.42219590000000001</v>
      </c>
      <c r="F3920" t="s">
        <v>42</v>
      </c>
      <c r="G3920">
        <v>-258.54539999999997</v>
      </c>
      <c r="H3920" s="1">
        <v>-1.064018E-6</v>
      </c>
      <c r="I3920">
        <v>137.42519999999999</v>
      </c>
      <c r="J3920">
        <v>-248.03039999999999</v>
      </c>
      <c r="K3920">
        <v>1.11137</v>
      </c>
      <c r="L3920">
        <v>139.97040000000001</v>
      </c>
      <c r="M3920">
        <v>-0.9997239</v>
      </c>
      <c r="N3920">
        <v>0</v>
      </c>
      <c r="O3920">
        <v>2.247482E-2</v>
      </c>
      <c r="P3920">
        <v>-0.99631210000000003</v>
      </c>
      <c r="Q3920">
        <v>5.2826440000000002E-2</v>
      </c>
      <c r="R3920">
        <v>-6.7616780000000001E-2</v>
      </c>
      <c r="S3920">
        <v>-2.9807589999999999</v>
      </c>
      <c r="T3920">
        <v>-0.304797599999999</v>
      </c>
      <c r="U3920">
        <v>-0.69631960000000004</v>
      </c>
      <c r="V3920">
        <v>-9.0300169999999999E-2</v>
      </c>
      <c r="W3920">
        <v>5.920218E-2</v>
      </c>
      <c r="X3920">
        <v>0.99415339999999996</v>
      </c>
      <c r="Y3920">
        <v>-0.24796979999999999</v>
      </c>
      <c r="Z3920">
        <v>-1.474176E-2</v>
      </c>
      <c r="AA3920">
        <v>0.96865559999999995</v>
      </c>
      <c r="AB3920">
        <v>32</v>
      </c>
      <c r="AC3920">
        <v>-10.514999999999899</v>
      </c>
      <c r="AD3920">
        <v>-1.1113710640179999</v>
      </c>
      <c r="AE3920">
        <v>-2.5452000000000199</v>
      </c>
      <c r="AF3920">
        <v>-2.7518454194413802</v>
      </c>
      <c r="AG3920">
        <v>-1.1113710640179999</v>
      </c>
      <c r="AH3920">
        <v>10.3459597721214</v>
      </c>
      <c r="AI3920">
        <v>95.926723762822803</v>
      </c>
      <c r="AJ3920">
        <v>104.894819640211</v>
      </c>
      <c r="AK3920">
        <v>10.763209672806299</v>
      </c>
      <c r="AL3920">
        <v>86.605980362752803</v>
      </c>
      <c r="AM3920">
        <v>95.190003991170897</v>
      </c>
      <c r="AN3920">
        <v>1.0000000007751699</v>
      </c>
    </row>
    <row r="3921" spans="1:40" x14ac:dyDescent="0.25">
      <c r="A3921" t="str">
        <f>"20190312151351862"</f>
        <v>20190312151351862</v>
      </c>
      <c r="B3921" t="str">
        <f>"1552374831854827"</f>
        <v>1552374831854827</v>
      </c>
      <c r="C3921" t="s">
        <v>40</v>
      </c>
      <c r="D3921">
        <v>4.5001749999999996</v>
      </c>
      <c r="E3921">
        <v>0.42123139999999998</v>
      </c>
      <c r="F3921" t="s">
        <v>42</v>
      </c>
      <c r="G3921">
        <v>-257.75009999999997</v>
      </c>
      <c r="H3921" s="1">
        <v>-1.3922369999999999E-6</v>
      </c>
      <c r="I3921">
        <v>137.2089</v>
      </c>
      <c r="J3921">
        <v>-248.3519</v>
      </c>
      <c r="K3921">
        <v>1.1113690000000001</v>
      </c>
      <c r="L3921">
        <v>139.9753</v>
      </c>
      <c r="M3921">
        <v>-0.99977729999999998</v>
      </c>
      <c r="N3921">
        <v>0</v>
      </c>
      <c r="O3921">
        <v>1.9943929999999999E-2</v>
      </c>
      <c r="P3921">
        <v>-0.99619729999999995</v>
      </c>
      <c r="Q3921">
        <v>5.3020940000000003E-2</v>
      </c>
      <c r="R3921">
        <v>-6.9136630000000004E-2</v>
      </c>
      <c r="S3921">
        <v>-2.971832</v>
      </c>
      <c r="T3921">
        <v>-0.33980719999999998</v>
      </c>
      <c r="U3921">
        <v>-0.84432980000000002</v>
      </c>
      <c r="V3921">
        <v>-8.9300169999999998E-2</v>
      </c>
      <c r="W3921">
        <v>5.941925E-2</v>
      </c>
      <c r="X3921">
        <v>0.99423070000000002</v>
      </c>
      <c r="Y3921">
        <v>-0.29055049999999999</v>
      </c>
      <c r="Z3921">
        <v>-1.8469739999999998E-2</v>
      </c>
      <c r="AA3921">
        <v>0.95668140000000002</v>
      </c>
      <c r="AB3921">
        <v>32</v>
      </c>
      <c r="AC3921">
        <v>-9.3981999999999708</v>
      </c>
      <c r="AD3921">
        <v>-1.111370392237</v>
      </c>
      <c r="AE3921">
        <v>-2.7664</v>
      </c>
      <c r="AF3921">
        <v>-2.9157685579571302</v>
      </c>
      <c r="AG3921">
        <v>-1.111370392237</v>
      </c>
      <c r="AH3921">
        <v>9.2224734835322106</v>
      </c>
      <c r="AI3921">
        <v>96.554595601840703</v>
      </c>
      <c r="AJ3921">
        <v>107.544821907311</v>
      </c>
      <c r="AK3921">
        <v>9.7360601675815008</v>
      </c>
      <c r="AL3921">
        <v>86.593520980210798</v>
      </c>
      <c r="AM3921">
        <v>95.132440752737494</v>
      </c>
      <c r="AN3921">
        <v>0.99999992622753797</v>
      </c>
    </row>
    <row r="3922" spans="1:40" x14ac:dyDescent="0.25">
      <c r="A3922" t="str">
        <f>"20190312151351883"</f>
        <v>20190312151351883</v>
      </c>
      <c r="B3922" t="str">
        <f>"1552374831874349"</f>
        <v>1552374831874349</v>
      </c>
      <c r="C3922" t="s">
        <v>40</v>
      </c>
      <c r="D3922">
        <v>4.4711509999999999</v>
      </c>
      <c r="E3922">
        <v>0.42200149999999997</v>
      </c>
      <c r="F3922" t="s">
        <v>42</v>
      </c>
      <c r="G3922">
        <v>-258.06459999999998</v>
      </c>
      <c r="H3922" s="1">
        <v>-1.2944620000000001E-6</v>
      </c>
      <c r="I3922">
        <v>137.17410000000001</v>
      </c>
      <c r="J3922">
        <v>-248.65289999999999</v>
      </c>
      <c r="K3922">
        <v>1.1113550000000001</v>
      </c>
      <c r="L3922">
        <v>139.97899999999899</v>
      </c>
      <c r="M3922">
        <v>-0.99982099999999996</v>
      </c>
      <c r="N3922">
        <v>0</v>
      </c>
      <c r="O3922">
        <v>1.7611990000000001E-2</v>
      </c>
      <c r="P3922">
        <v>-0.99606530000000004</v>
      </c>
      <c r="Q3922">
        <v>5.3212860000000001E-2</v>
      </c>
      <c r="R3922">
        <v>-7.0869630000000003E-2</v>
      </c>
      <c r="S3922">
        <v>-2.970078</v>
      </c>
      <c r="T3922">
        <v>-0.33985189999999998</v>
      </c>
      <c r="U3922">
        <v>-0.85655210000000004</v>
      </c>
      <c r="V3922">
        <v>-8.8709739999999995E-2</v>
      </c>
      <c r="W3922">
        <v>5.9631070000000001E-2</v>
      </c>
      <c r="X3922">
        <v>0.99427089999999996</v>
      </c>
      <c r="Y3922">
        <v>-0.29211169999999997</v>
      </c>
      <c r="Z3922">
        <v>-1.8298689999999999E-2</v>
      </c>
      <c r="AA3922">
        <v>0.95620919999999998</v>
      </c>
      <c r="AB3922">
        <v>32</v>
      </c>
      <c r="AC3922">
        <v>-9.4116999999999909</v>
      </c>
      <c r="AD3922">
        <v>-1.1113562944619999</v>
      </c>
      <c r="AE3922">
        <v>-2.8048999999999702</v>
      </c>
      <c r="AF3922">
        <v>-2.9326717009058298</v>
      </c>
      <c r="AG3922">
        <v>-1.1113562944619999</v>
      </c>
      <c r="AH3922">
        <v>9.2424793914453591</v>
      </c>
      <c r="AI3922">
        <v>96.538312852472401</v>
      </c>
      <c r="AJ3922">
        <v>107.604418719108</v>
      </c>
      <c r="AK3922">
        <v>9.7600769166962191</v>
      </c>
      <c r="AL3922">
        <v>86.581363118898494</v>
      </c>
      <c r="AM3922">
        <v>95.0984807568626</v>
      </c>
      <c r="AN3922">
        <v>0.99999995253351004</v>
      </c>
    </row>
    <row r="3923" spans="1:40" x14ac:dyDescent="0.25">
      <c r="A3923" t="str">
        <f>"20190312151351905"</f>
        <v>20190312151351905</v>
      </c>
      <c r="B3923" t="str">
        <f>"1552374831894375"</f>
        <v>1552374831894375</v>
      </c>
      <c r="C3923" t="s">
        <v>40</v>
      </c>
      <c r="D3923">
        <v>4.4591779999999996</v>
      </c>
      <c r="E3923">
        <v>0.42202240000000002</v>
      </c>
      <c r="F3923" t="s">
        <v>42</v>
      </c>
      <c r="G3923">
        <v>-258.03269999999998</v>
      </c>
      <c r="H3923" s="1">
        <v>-1.278128E-6</v>
      </c>
      <c r="I3923">
        <v>137.27629999999999</v>
      </c>
      <c r="J3923">
        <v>-248.96899999999999</v>
      </c>
      <c r="K3923">
        <v>1.111324</v>
      </c>
      <c r="L3923">
        <v>139.98230000000001</v>
      </c>
      <c r="M3923">
        <v>-0.99986030000000004</v>
      </c>
      <c r="N3923">
        <v>0</v>
      </c>
      <c r="O3923">
        <v>1.521368E-2</v>
      </c>
      <c r="P3923">
        <v>-0.99594300000000002</v>
      </c>
      <c r="Q3923">
        <v>5.2512219999999998E-2</v>
      </c>
      <c r="R3923">
        <v>-7.3077100000000006E-2</v>
      </c>
      <c r="S3923">
        <v>-2.9697879999999999</v>
      </c>
      <c r="T3923">
        <v>-0.35187570000000001</v>
      </c>
      <c r="U3923">
        <v>-0.85569759999999995</v>
      </c>
      <c r="V3923">
        <v>-8.8522290000000003E-2</v>
      </c>
      <c r="W3923">
        <v>5.8947529999999998E-2</v>
      </c>
      <c r="X3923">
        <v>0.9943284</v>
      </c>
      <c r="Y3923">
        <v>-0.28948689999999999</v>
      </c>
      <c r="Z3923">
        <v>-1.8514639999999999E-2</v>
      </c>
      <c r="AA3923">
        <v>0.95700289999999999</v>
      </c>
      <c r="AB3923">
        <v>32</v>
      </c>
      <c r="AC3923">
        <v>-9.0636999999999492</v>
      </c>
      <c r="AD3923">
        <v>-1.1113252781280001</v>
      </c>
      <c r="AE3923">
        <v>-2.7060000000000102</v>
      </c>
      <c r="AF3923">
        <v>-2.80486532062036</v>
      </c>
      <c r="AG3923">
        <v>-1.1113252781280001</v>
      </c>
      <c r="AH3923">
        <v>8.89864905662456</v>
      </c>
      <c r="AI3923">
        <v>96.792507089718399</v>
      </c>
      <c r="AJ3923">
        <v>107.494916717956</v>
      </c>
      <c r="AK3923">
        <v>9.3961837132737092</v>
      </c>
      <c r="AL3923">
        <v>86.620596212558397</v>
      </c>
      <c r="AM3923">
        <v>95.087471236250195</v>
      </c>
      <c r="AN3923">
        <v>0.999999987083252</v>
      </c>
    </row>
    <row r="3924" spans="1:40" x14ac:dyDescent="0.25">
      <c r="A3924" t="str">
        <f>"20190312151351926"</f>
        <v>20190312151351926</v>
      </c>
      <c r="B3924" t="str">
        <f>"1552374831924632"</f>
        <v>1552374831924632</v>
      </c>
      <c r="C3924" t="s">
        <v>40</v>
      </c>
      <c r="D3924">
        <v>4.4877630000000002</v>
      </c>
      <c r="E3924">
        <v>0.42170940000000001</v>
      </c>
      <c r="F3924" t="s">
        <v>42</v>
      </c>
      <c r="G3924">
        <v>-258.24259999999998</v>
      </c>
      <c r="H3924" s="1">
        <v>-1.202979E-6</v>
      </c>
      <c r="I3924">
        <v>137.2903</v>
      </c>
      <c r="J3924">
        <v>-249.28309999999999</v>
      </c>
      <c r="K3924">
        <v>1.1112820000000001</v>
      </c>
      <c r="L3924">
        <v>139.98480000000001</v>
      </c>
      <c r="M3924">
        <v>-0.99989280000000003</v>
      </c>
      <c r="N3924">
        <v>0</v>
      </c>
      <c r="O3924">
        <v>1.289979E-2</v>
      </c>
      <c r="P3924">
        <v>-0.99578860000000002</v>
      </c>
      <c r="Q3924">
        <v>5.1892849999999997E-2</v>
      </c>
      <c r="R3924">
        <v>-7.5580690000000006E-2</v>
      </c>
      <c r="S3924">
        <v>-2.967743</v>
      </c>
      <c r="T3924">
        <v>-0.35565039999999998</v>
      </c>
      <c r="U3924">
        <v>-0.86148069999999899</v>
      </c>
      <c r="V3924">
        <v>-8.8713199999999895E-2</v>
      </c>
      <c r="W3924">
        <v>5.8340129999999997E-2</v>
      </c>
      <c r="X3924">
        <v>0.99434719999999999</v>
      </c>
      <c r="Y3924">
        <v>-0.2891437</v>
      </c>
      <c r="Z3924">
        <v>-1.8428219999999999E-2</v>
      </c>
      <c r="AA3924">
        <v>0.95710830000000002</v>
      </c>
      <c r="AB3924">
        <v>32</v>
      </c>
      <c r="AC3924">
        <v>-8.9594999999999896</v>
      </c>
      <c r="AD3924">
        <v>-1.1112832029790001</v>
      </c>
      <c r="AE3924">
        <v>-2.6945000000000001</v>
      </c>
      <c r="AF3924">
        <v>-2.77076319121457</v>
      </c>
      <c r="AG3924">
        <v>-1.1112832029790001</v>
      </c>
      <c r="AH3924">
        <v>8.7998434333541606</v>
      </c>
      <c r="AI3924">
        <v>96.868447500679096</v>
      </c>
      <c r="AJ3924">
        <v>107.47739323274</v>
      </c>
      <c r="AK3924">
        <v>9.2924336678051702</v>
      </c>
      <c r="AL3924">
        <v>86.655457638527196</v>
      </c>
      <c r="AM3924">
        <v>95.098289389054102</v>
      </c>
      <c r="AN3924">
        <v>0.99999997838524801</v>
      </c>
    </row>
    <row r="3925" spans="1:40" x14ac:dyDescent="0.25">
      <c r="A3925" t="str">
        <f>"20190312151351949"</f>
        <v>20190312151351949</v>
      </c>
      <c r="B3925" t="str">
        <f>"1552374831944152"</f>
        <v>1552374831944152</v>
      </c>
      <c r="C3925" t="s">
        <v>40</v>
      </c>
      <c r="D3925">
        <v>4.4680809999999997</v>
      </c>
      <c r="E3925">
        <v>0.42168670000000003</v>
      </c>
      <c r="F3925" t="s">
        <v>42</v>
      </c>
      <c r="G3925">
        <v>-258.55930000000001</v>
      </c>
      <c r="H3925" s="1">
        <v>-1.103358E-6</v>
      </c>
      <c r="I3925">
        <v>137.25960000000001</v>
      </c>
      <c r="J3925">
        <v>-249.6018</v>
      </c>
      <c r="K3925">
        <v>1.111229</v>
      </c>
      <c r="L3925">
        <v>139.98670000000001</v>
      </c>
      <c r="M3925">
        <v>-0.99991960000000002</v>
      </c>
      <c r="N3925">
        <v>0</v>
      </c>
      <c r="O3925">
        <v>1.062686E-2</v>
      </c>
      <c r="P3925">
        <v>-0.99558760000000002</v>
      </c>
      <c r="Q3925">
        <v>5.1562869999999997E-2</v>
      </c>
      <c r="R3925">
        <v>-7.8402470000000002E-2</v>
      </c>
      <c r="S3925">
        <v>-2.9650729999999998</v>
      </c>
      <c r="T3925">
        <v>-0.35521209999999998</v>
      </c>
      <c r="U3925">
        <v>-0.87107849999999998</v>
      </c>
      <c r="V3925">
        <v>-8.9263430000000005E-2</v>
      </c>
      <c r="W3925">
        <v>5.8021679999999999E-2</v>
      </c>
      <c r="X3925">
        <v>0.99431659999999999</v>
      </c>
      <c r="Y3925">
        <v>-0.29006700000000002</v>
      </c>
      <c r="Z3925">
        <v>-1.8201370000000001E-2</v>
      </c>
      <c r="AA3925">
        <v>0.95683320000000005</v>
      </c>
      <c r="AB3925">
        <v>32</v>
      </c>
      <c r="AC3925">
        <v>-8.9575000000000102</v>
      </c>
      <c r="AD3925">
        <v>-1.1112301033580001</v>
      </c>
      <c r="AE3925">
        <v>-2.7271000000000001</v>
      </c>
      <c r="AF3925">
        <v>-2.7829423583703301</v>
      </c>
      <c r="AG3925">
        <v>-1.1112301033580001</v>
      </c>
      <c r="AH3925">
        <v>8.8040138858366692</v>
      </c>
      <c r="AI3925">
        <v>96.862492647959598</v>
      </c>
      <c r="AJ3925">
        <v>107.541707361516</v>
      </c>
      <c r="AK3925">
        <v>9.3000140330338095</v>
      </c>
      <c r="AL3925">
        <v>86.673734472408796</v>
      </c>
      <c r="AM3925">
        <v>95.129899577456001</v>
      </c>
      <c r="AN3925">
        <v>0.99999998816047297</v>
      </c>
    </row>
    <row r="3926" spans="1:40" x14ac:dyDescent="0.25">
      <c r="A3926" t="str">
        <f>"20190312151351971"</f>
        <v>20190312151351971</v>
      </c>
      <c r="B3926" t="str">
        <f>"1552374831964648"</f>
        <v>1552374831964648</v>
      </c>
      <c r="C3926" t="s">
        <v>40</v>
      </c>
      <c r="D3926">
        <v>4.4425559999999997</v>
      </c>
      <c r="E3926">
        <v>0.42174139999999999</v>
      </c>
      <c r="F3926" t="s">
        <v>42</v>
      </c>
      <c r="G3926">
        <v>-258.83539999999999</v>
      </c>
      <c r="H3926" s="1">
        <v>-1.0131920000000001E-6</v>
      </c>
      <c r="I3926">
        <v>137.24539999999999</v>
      </c>
      <c r="J3926">
        <v>-249.92750000000001</v>
      </c>
      <c r="K3926">
        <v>1.1111799999999901</v>
      </c>
      <c r="L3926">
        <v>139.988</v>
      </c>
      <c r="M3926">
        <v>-0.99994090000000002</v>
      </c>
      <c r="N3926">
        <v>0</v>
      </c>
      <c r="O3926">
        <v>8.3747359999999903E-3</v>
      </c>
      <c r="P3926">
        <v>-0.99538479999999996</v>
      </c>
      <c r="Q3926">
        <v>5.079256E-2</v>
      </c>
      <c r="R3926">
        <v>-8.1421380000000002E-2</v>
      </c>
      <c r="S3926">
        <v>-2.9625089999999998</v>
      </c>
      <c r="T3926">
        <v>-0.35653049999999997</v>
      </c>
      <c r="U3926">
        <v>-0.87951659999999898</v>
      </c>
      <c r="V3926">
        <v>-9.002976E-2</v>
      </c>
      <c r="W3926">
        <v>5.7261430000000002E-2</v>
      </c>
      <c r="X3926">
        <v>0.99429160000000005</v>
      </c>
      <c r="Y3926">
        <v>-0.29063870000000003</v>
      </c>
      <c r="Z3926">
        <v>-1.804536E-2</v>
      </c>
      <c r="AA3926">
        <v>0.95666269999999998</v>
      </c>
      <c r="AB3926">
        <v>32</v>
      </c>
      <c r="AC3926">
        <v>-8.9078999999999802</v>
      </c>
      <c r="AD3926">
        <v>-1.1111810131919999</v>
      </c>
      <c r="AE3926">
        <v>-2.7425999999999999</v>
      </c>
      <c r="AF3926">
        <v>-2.7776283636994101</v>
      </c>
      <c r="AG3926">
        <v>-1.1111810131919999</v>
      </c>
      <c r="AH3926">
        <v>8.7601106502071406</v>
      </c>
      <c r="AI3926">
        <v>96.894332431864598</v>
      </c>
      <c r="AJ3926">
        <v>107.592616545379</v>
      </c>
      <c r="AK3926">
        <v>9.2568613025570592</v>
      </c>
      <c r="AL3926">
        <v>86.717366198197496</v>
      </c>
      <c r="AM3926">
        <v>95.173831345192397</v>
      </c>
      <c r="AN3926">
        <v>1.0000000074409301</v>
      </c>
    </row>
    <row r="3927" spans="1:40" x14ac:dyDescent="0.25">
      <c r="A3927" t="str">
        <f>"20190312151351994"</f>
        <v>20190312151351994</v>
      </c>
      <c r="B3927" t="str">
        <f>"1552374831984675"</f>
        <v>1552374831984675</v>
      </c>
      <c r="C3927" t="s">
        <v>40</v>
      </c>
      <c r="D3927">
        <v>4.4386789999999996</v>
      </c>
      <c r="E3927">
        <v>0.42164760000000001</v>
      </c>
      <c r="F3927" t="s">
        <v>42</v>
      </c>
      <c r="G3927">
        <v>-259.089</v>
      </c>
      <c r="H3927" s="1">
        <v>-9.2874860000000001E-7</v>
      </c>
      <c r="I3927">
        <v>137.23840000000001</v>
      </c>
      <c r="J3927">
        <v>-250.26480000000001</v>
      </c>
      <c r="K3927">
        <v>1.11113</v>
      </c>
      <c r="L3927">
        <v>139.98859999999999</v>
      </c>
      <c r="M3927">
        <v>-0.99995730000000005</v>
      </c>
      <c r="N3927">
        <v>0</v>
      </c>
      <c r="O3927">
        <v>6.1214930000000004E-3</v>
      </c>
      <c r="P3927">
        <v>-0.99517949999999999</v>
      </c>
      <c r="Q3927">
        <v>5.0230530000000002E-2</v>
      </c>
      <c r="R3927">
        <v>-8.4232319999999999E-2</v>
      </c>
      <c r="S3927">
        <v>-2.959549</v>
      </c>
      <c r="T3927">
        <v>-0.35896040000000001</v>
      </c>
      <c r="U3927">
        <v>-0.88821410000000001</v>
      </c>
      <c r="V3927">
        <v>-9.0588740000000001E-2</v>
      </c>
      <c r="W3927">
        <v>5.6711579999999998E-2</v>
      </c>
      <c r="X3927">
        <v>0.99427239999999995</v>
      </c>
      <c r="Y3927">
        <v>-0.29130840000000002</v>
      </c>
      <c r="Z3927">
        <v>-1.7950379999999998E-2</v>
      </c>
      <c r="AA3927">
        <v>0.9564608</v>
      </c>
      <c r="AB3927">
        <v>33</v>
      </c>
      <c r="AC3927">
        <v>-8.8241999999999905</v>
      </c>
      <c r="AD3927">
        <v>-1.1111309287486</v>
      </c>
      <c r="AE3927">
        <v>-2.7501999999999698</v>
      </c>
      <c r="AF3927">
        <v>-2.7642193185813899</v>
      </c>
      <c r="AG3927">
        <v>-1.1111309287486</v>
      </c>
      <c r="AH3927">
        <v>8.6817329527448095</v>
      </c>
      <c r="AI3927">
        <v>96.953036730641301</v>
      </c>
      <c r="AJ3927">
        <v>107.66120879237801</v>
      </c>
      <c r="AK3927">
        <v>9.1786713333039405</v>
      </c>
      <c r="AL3927">
        <v>86.748921746739498</v>
      </c>
      <c r="AM3927">
        <v>95.205878830619994</v>
      </c>
      <c r="AN3927">
        <v>1.00000006426132</v>
      </c>
    </row>
    <row r="3928" spans="1:40" x14ac:dyDescent="0.25">
      <c r="A3928" t="str">
        <f>"20190312151352015"</f>
        <v>20190312151352015</v>
      </c>
      <c r="B3928" t="str">
        <f>"1552374832004194"</f>
        <v>1552374832004194</v>
      </c>
      <c r="C3928" t="s">
        <v>40</v>
      </c>
      <c r="D3928">
        <v>4.4473089999999997</v>
      </c>
      <c r="E3928">
        <v>0.42168030000000001</v>
      </c>
      <c r="F3928" t="s">
        <v>42</v>
      </c>
      <c r="G3928">
        <v>-259.42149999999998</v>
      </c>
      <c r="H3928" s="1">
        <v>-8.2328279999999999E-7</v>
      </c>
      <c r="I3928">
        <v>137.20949999999999</v>
      </c>
      <c r="J3928">
        <v>-250.58439999999999</v>
      </c>
      <c r="K3928">
        <v>1.111086</v>
      </c>
      <c r="L3928">
        <v>139.98859999999999</v>
      </c>
      <c r="M3928">
        <v>-0.99996770000000001</v>
      </c>
      <c r="N3928">
        <v>0</v>
      </c>
      <c r="O3928">
        <v>4.0678049999999999E-3</v>
      </c>
      <c r="P3928">
        <v>-0.99497619999999998</v>
      </c>
      <c r="Q3928">
        <v>5.0274659999999999E-2</v>
      </c>
      <c r="R3928">
        <v>-8.6573549999999999E-2</v>
      </c>
      <c r="S3928">
        <v>-2.9566650000000001</v>
      </c>
      <c r="T3928">
        <v>-0.35878179999999998</v>
      </c>
      <c r="U3928">
        <v>-0.89733890000000005</v>
      </c>
      <c r="V3928">
        <v>-9.0880009999999997E-2</v>
      </c>
      <c r="W3928">
        <v>5.6769180000000002E-2</v>
      </c>
      <c r="X3928">
        <v>0.99424250000000003</v>
      </c>
      <c r="Y3928">
        <v>-0.29231459999999998</v>
      </c>
      <c r="Z3928">
        <v>-1.7766919999999999E-2</v>
      </c>
      <c r="AA3928">
        <v>0.95615709999999998</v>
      </c>
      <c r="AB3928">
        <v>33</v>
      </c>
      <c r="AC3928">
        <v>-8.8370999999999906</v>
      </c>
      <c r="AD3928">
        <v>-1.1110868232828</v>
      </c>
      <c r="AE3928">
        <v>-2.7791000000000001</v>
      </c>
      <c r="AF3928">
        <v>-2.7751047518014902</v>
      </c>
      <c r="AG3928">
        <v>-1.1110868232828</v>
      </c>
      <c r="AH3928">
        <v>8.7005615760915394</v>
      </c>
      <c r="AI3928">
        <v>96.9367468866607</v>
      </c>
      <c r="AJ3928">
        <v>107.69044508615499</v>
      </c>
      <c r="AK3928">
        <v>9.1997549995477801</v>
      </c>
      <c r="AL3928">
        <v>86.745616080916804</v>
      </c>
      <c r="AM3928">
        <v>95.222681071518707</v>
      </c>
      <c r="AN3928">
        <v>1.00000003241086</v>
      </c>
    </row>
    <row r="3929" spans="1:40" x14ac:dyDescent="0.25">
      <c r="A3929" t="str">
        <f>"20190312151352040"</f>
        <v>20190312151352040</v>
      </c>
      <c r="B3929" t="str">
        <f>"1552374832034450"</f>
        <v>1552374832034450</v>
      </c>
      <c r="C3929" t="s">
        <v>40</v>
      </c>
      <c r="D3929">
        <v>4.4399470000000001</v>
      </c>
      <c r="E3929">
        <v>0.42213840000000002</v>
      </c>
      <c r="F3929" t="s">
        <v>42</v>
      </c>
      <c r="G3929">
        <v>-259.75810000000001</v>
      </c>
      <c r="H3929" s="1">
        <v>-7.1638039999999998E-7</v>
      </c>
      <c r="I3929">
        <v>137.1807</v>
      </c>
      <c r="J3929">
        <v>-250.92750000000001</v>
      </c>
      <c r="K3929">
        <v>1.111035</v>
      </c>
      <c r="L3929">
        <v>139.988</v>
      </c>
      <c r="M3929">
        <v>-0.99997400000000003</v>
      </c>
      <c r="N3929">
        <v>0</v>
      </c>
      <c r="O3929">
        <v>1.9548719999999999E-3</v>
      </c>
      <c r="P3929">
        <v>-0.99476949999999997</v>
      </c>
      <c r="Q3929">
        <v>5.0753949999999999E-2</v>
      </c>
      <c r="R3929">
        <v>-8.8645089999999996E-2</v>
      </c>
      <c r="S3929">
        <v>-2.9545439999999998</v>
      </c>
      <c r="T3929">
        <v>-0.3578421</v>
      </c>
      <c r="U3929">
        <v>-0.90431209999999995</v>
      </c>
      <c r="V3929">
        <v>-9.0843770000000004E-2</v>
      </c>
      <c r="W3929">
        <v>5.7266190000000002E-2</v>
      </c>
      <c r="X3929">
        <v>0.99421729999999997</v>
      </c>
      <c r="Y3929">
        <v>-0.29257260000000002</v>
      </c>
      <c r="Z3929">
        <v>-1.7492730000000001E-2</v>
      </c>
      <c r="AA3929">
        <v>0.95608329999999997</v>
      </c>
      <c r="AB3929">
        <v>33</v>
      </c>
      <c r="AC3929">
        <v>-8.8306000000000004</v>
      </c>
      <c r="AD3929">
        <v>-1.1110357163804001</v>
      </c>
      <c r="AE3929">
        <v>-2.8072999999999899</v>
      </c>
      <c r="AF3929">
        <v>-2.7845251141895901</v>
      </c>
      <c r="AG3929">
        <v>-1.1110357163804001</v>
      </c>
      <c r="AH3929">
        <v>8.7000164682189798</v>
      </c>
      <c r="AI3929">
        <v>96.934665461521007</v>
      </c>
      <c r="AJ3929">
        <v>107.74777710805699</v>
      </c>
      <c r="AK3929">
        <v>9.2020794944353206</v>
      </c>
      <c r="AL3929">
        <v>86.717093074288599</v>
      </c>
      <c r="AM3929">
        <v>95.220741539306403</v>
      </c>
      <c r="AN3929">
        <v>1.0000000233421</v>
      </c>
    </row>
    <row r="3930" spans="1:40" x14ac:dyDescent="0.25">
      <c r="A3930" t="str">
        <f>"20190312151352062"</f>
        <v>20190312151352062</v>
      </c>
      <c r="B3930" t="str">
        <f>"1552374832053970"</f>
        <v>1552374832053970</v>
      </c>
      <c r="C3930" t="s">
        <v>40</v>
      </c>
      <c r="D3930">
        <v>4.4500900000000003</v>
      </c>
      <c r="E3930">
        <v>0.42235260000000002</v>
      </c>
      <c r="F3930" t="s">
        <v>42</v>
      </c>
      <c r="G3930">
        <v>-260.18680000000001</v>
      </c>
      <c r="H3930" s="1">
        <v>-4.6304639999999998E-6</v>
      </c>
      <c r="I3930">
        <v>137.14519999999999</v>
      </c>
      <c r="J3930">
        <v>-251.26159999999999</v>
      </c>
      <c r="K3930">
        <v>1.110973</v>
      </c>
      <c r="L3930">
        <v>139.98679999999999</v>
      </c>
      <c r="M3930">
        <v>-0.99997590000000003</v>
      </c>
      <c r="N3930">
        <v>0</v>
      </c>
      <c r="O3930" s="1">
        <v>-1.126261E-5</v>
      </c>
      <c r="P3930">
        <v>-0.99456359999999999</v>
      </c>
      <c r="Q3930">
        <v>5.1562620000000003E-2</v>
      </c>
      <c r="R3930">
        <v>-9.0469800000000003E-2</v>
      </c>
      <c r="S3930">
        <v>-2.9530639999999999</v>
      </c>
      <c r="T3930">
        <v>-0.35434500000000002</v>
      </c>
      <c r="U3930">
        <v>-0.90663150000000003</v>
      </c>
      <c r="V3930">
        <v>-9.0707620000000003E-2</v>
      </c>
      <c r="W3930">
        <v>5.8094029999999998E-2</v>
      </c>
      <c r="X3930">
        <v>0.99418169999999995</v>
      </c>
      <c r="Y3930">
        <v>-0.29157060000000001</v>
      </c>
      <c r="Z3930">
        <v>-1.7040799999999998E-2</v>
      </c>
      <c r="AA3930">
        <v>0.95639750000000001</v>
      </c>
      <c r="AB3930">
        <v>33</v>
      </c>
      <c r="AC3930">
        <v>-8.9252000000000091</v>
      </c>
      <c r="AD3930">
        <v>-1.110977630464</v>
      </c>
      <c r="AE3930">
        <v>-2.8416000000000001</v>
      </c>
      <c r="AF3930">
        <v>-2.8020788413511402</v>
      </c>
      <c r="AG3930">
        <v>-1.110977630464</v>
      </c>
      <c r="AH3930">
        <v>8.8014106498397506</v>
      </c>
      <c r="AI3930">
        <v>96.858516683774994</v>
      </c>
      <c r="AJ3930">
        <v>107.659759234785</v>
      </c>
      <c r="AK3930">
        <v>9.3032653705917507</v>
      </c>
      <c r="AL3930">
        <v>86.669582226867405</v>
      </c>
      <c r="AM3930">
        <v>95.213145853662994</v>
      </c>
      <c r="AN3930">
        <v>1.00000002063129</v>
      </c>
    </row>
    <row r="3931" spans="1:40" x14ac:dyDescent="0.25">
      <c r="A3931" t="str">
        <f>"20190312151352082"</f>
        <v>20190312151352082</v>
      </c>
      <c r="B3931" t="str">
        <f>"1552374832074467"</f>
        <v>1552374832074467</v>
      </c>
      <c r="C3931" t="s">
        <v>40</v>
      </c>
      <c r="D3931">
        <v>4.3868</v>
      </c>
      <c r="E3931">
        <v>0.42249940000000002</v>
      </c>
      <c r="F3931" t="s">
        <v>42</v>
      </c>
      <c r="G3931">
        <v>-260.59410000000003</v>
      </c>
      <c r="H3931" s="1">
        <v>-4.462075E-6</v>
      </c>
      <c r="I3931">
        <v>137.1095</v>
      </c>
      <c r="J3931">
        <v>-251.5643</v>
      </c>
      <c r="K3931">
        <v>1.1109180000000001</v>
      </c>
      <c r="L3931">
        <v>139.98519999999999</v>
      </c>
      <c r="M3931">
        <v>-0.99997440000000004</v>
      </c>
      <c r="N3931">
        <v>0</v>
      </c>
      <c r="O3931">
        <v>-1.7133960000000001E-3</v>
      </c>
      <c r="P3931">
        <v>-0.99438559999999998</v>
      </c>
      <c r="Q3931">
        <v>5.2111709999999999E-2</v>
      </c>
      <c r="R3931">
        <v>-9.2098079999999999E-2</v>
      </c>
      <c r="S3931">
        <v>-2.951813</v>
      </c>
      <c r="T3931">
        <v>-0.35139779999999998</v>
      </c>
      <c r="U3931">
        <v>-0.91004940000000001</v>
      </c>
      <c r="V3931">
        <v>-9.0637280000000001E-2</v>
      </c>
      <c r="W3931">
        <v>5.8661449999999997E-2</v>
      </c>
      <c r="X3931">
        <v>0.99415480000000001</v>
      </c>
      <c r="Y3931">
        <v>-0.29111379999999998</v>
      </c>
      <c r="Z3931">
        <v>-1.6680159999999999E-2</v>
      </c>
      <c r="AA3931">
        <v>0.95654300000000003</v>
      </c>
      <c r="AB3931">
        <v>33</v>
      </c>
      <c r="AC3931">
        <v>-9.0298000000000194</v>
      </c>
      <c r="AD3931">
        <v>-1.110922462075</v>
      </c>
      <c r="AE3931">
        <v>-2.8756999999999899</v>
      </c>
      <c r="AF3931">
        <v>-2.8214507223949701</v>
      </c>
      <c r="AG3931">
        <v>-1.110922462075</v>
      </c>
      <c r="AH3931">
        <v>8.912239915552</v>
      </c>
      <c r="AI3931">
        <v>96.7771474728942</v>
      </c>
      <c r="AJ3931">
        <v>107.566826287441</v>
      </c>
      <c r="AK3931">
        <v>9.4139658597216194</v>
      </c>
      <c r="AL3931">
        <v>86.637015928536897</v>
      </c>
      <c r="AM3931">
        <v>95.209265697502204</v>
      </c>
      <c r="AN3931">
        <v>1.00000002430247</v>
      </c>
    </row>
    <row r="3932" spans="1:40" x14ac:dyDescent="0.25">
      <c r="A3932" t="str">
        <f>"20190312151352106"</f>
        <v>20190312151352106</v>
      </c>
      <c r="B3932" t="str">
        <f>"1552374832094502"</f>
        <v>1552374832094502</v>
      </c>
      <c r="C3932" t="s">
        <v>40</v>
      </c>
      <c r="D3932">
        <v>4.4458260000000003</v>
      </c>
      <c r="E3932">
        <v>0.4223635</v>
      </c>
      <c r="F3932" t="s">
        <v>42</v>
      </c>
      <c r="G3932">
        <v>-260.96140000000003</v>
      </c>
      <c r="H3932" s="1">
        <v>-4.3104350000000002E-6</v>
      </c>
      <c r="I3932">
        <v>137.07589999999999</v>
      </c>
      <c r="J3932">
        <v>-251.9006</v>
      </c>
      <c r="K3932">
        <v>1.1108549999999999</v>
      </c>
      <c r="L3932">
        <v>139.9828</v>
      </c>
      <c r="M3932">
        <v>-0.99996949999999996</v>
      </c>
      <c r="N3932">
        <v>0</v>
      </c>
      <c r="O3932">
        <v>-3.5224950000000001E-3</v>
      </c>
      <c r="P3932">
        <v>-0.99426479999999995</v>
      </c>
      <c r="Q3932">
        <v>5.1971570000000002E-2</v>
      </c>
      <c r="R3932">
        <v>-9.3470910000000004E-2</v>
      </c>
      <c r="S3932">
        <v>-2.9506230000000002</v>
      </c>
      <c r="T3932">
        <v>-0.34882350000000001</v>
      </c>
      <c r="U3932">
        <v>-0.91345209999999999</v>
      </c>
      <c r="V3932">
        <v>-9.0200840000000004E-2</v>
      </c>
      <c r="W3932">
        <v>5.8543869999999998E-2</v>
      </c>
      <c r="X3932">
        <v>0.99420140000000001</v>
      </c>
      <c r="Y3932">
        <v>-0.29054140000000001</v>
      </c>
      <c r="Z3932">
        <v>-1.6321160000000001E-2</v>
      </c>
      <c r="AA3932">
        <v>0.9567232</v>
      </c>
      <c r="AB3932">
        <v>33</v>
      </c>
      <c r="AC3932">
        <v>-9.0608000000000199</v>
      </c>
      <c r="AD3932">
        <v>-1.110859310435</v>
      </c>
      <c r="AE3932">
        <v>-2.9068999999999998</v>
      </c>
      <c r="AF3932">
        <v>-2.8363107589068899</v>
      </c>
      <c r="AG3932">
        <v>-1.110859310435</v>
      </c>
      <c r="AH3932">
        <v>8.9490244863633901</v>
      </c>
      <c r="AI3932">
        <v>96.748476214210996</v>
      </c>
      <c r="AJ3932">
        <v>107.58553156383699</v>
      </c>
      <c r="AK3932">
        <v>9.4532378784310005</v>
      </c>
      <c r="AL3932">
        <v>86.643764282442703</v>
      </c>
      <c r="AM3932">
        <v>95.184077189063103</v>
      </c>
      <c r="AN3932">
        <v>1.00000000000662</v>
      </c>
    </row>
    <row r="3933" spans="1:40" x14ac:dyDescent="0.25">
      <c r="A3933" t="str">
        <f>"20190312151352127"</f>
        <v>20190312151352127</v>
      </c>
      <c r="B3933" t="str">
        <f>"1552374832124750"</f>
        <v>1552374832124750</v>
      </c>
      <c r="C3933" t="s">
        <v>40</v>
      </c>
      <c r="D3933">
        <v>4.4795290000000003</v>
      </c>
      <c r="E3933">
        <v>0.42246400000000001</v>
      </c>
      <c r="F3933" t="s">
        <v>42</v>
      </c>
      <c r="G3933">
        <v>-261.30500000000001</v>
      </c>
      <c r="H3933" s="1">
        <v>-4.167127E-6</v>
      </c>
      <c r="I3933">
        <v>137.05279999999999</v>
      </c>
      <c r="J3933">
        <v>-252.2209</v>
      </c>
      <c r="K3933">
        <v>1.110795</v>
      </c>
      <c r="L3933">
        <v>139.98009999999999</v>
      </c>
      <c r="M3933">
        <v>-0.99996249999999998</v>
      </c>
      <c r="N3933">
        <v>0</v>
      </c>
      <c r="O3933">
        <v>-5.1608590000000003E-3</v>
      </c>
      <c r="P3933">
        <v>-0.99411050000000001</v>
      </c>
      <c r="Q3933">
        <v>5.2556070000000003E-2</v>
      </c>
      <c r="R3933">
        <v>-9.4776410000000005E-2</v>
      </c>
      <c r="S3933">
        <v>-2.9491420000000002</v>
      </c>
      <c r="T3933">
        <v>-0.34835890000000003</v>
      </c>
      <c r="U3933">
        <v>-0.91882319999999995</v>
      </c>
      <c r="V3933">
        <v>-8.987146E-2</v>
      </c>
      <c r="W3933">
        <v>5.9149359999999998E-2</v>
      </c>
      <c r="X3933">
        <v>0.99419539999999995</v>
      </c>
      <c r="Y3933">
        <v>-0.2907131</v>
      </c>
      <c r="Z3933">
        <v>-1.612456E-2</v>
      </c>
      <c r="AA3933">
        <v>0.95667440000000004</v>
      </c>
      <c r="AB3933">
        <v>33</v>
      </c>
      <c r="AC3933">
        <v>-9.0840999999999994</v>
      </c>
      <c r="AD3933">
        <v>-1.1107991671270001</v>
      </c>
      <c r="AE3933">
        <v>-2.9272999999999998</v>
      </c>
      <c r="AF3933">
        <v>-2.8418829046923801</v>
      </c>
      <c r="AG3933">
        <v>-1.1107991671270001</v>
      </c>
      <c r="AH3933">
        <v>8.9774807472314908</v>
      </c>
      <c r="AI3933">
        <v>96.727657496589998</v>
      </c>
      <c r="AJ3933">
        <v>107.565539307717</v>
      </c>
      <c r="AK3933">
        <v>9.4818423210146801</v>
      </c>
      <c r="AL3933">
        <v>86.609012069054003</v>
      </c>
      <c r="AM3933">
        <v>95.165280452076303</v>
      </c>
      <c r="AN3933">
        <v>1.00000000974605</v>
      </c>
    </row>
    <row r="3934" spans="1:40" x14ac:dyDescent="0.25">
      <c r="A3934" t="str">
        <f>"20190312151352150"</f>
        <v>20190312151352150</v>
      </c>
      <c r="B3934" t="str">
        <f>"1552374832144270"</f>
        <v>1552374832144270</v>
      </c>
      <c r="C3934" t="s">
        <v>40</v>
      </c>
      <c r="D3934">
        <v>4.451454</v>
      </c>
      <c r="E3934">
        <v>0.4224096</v>
      </c>
      <c r="F3934" t="s">
        <v>42</v>
      </c>
      <c r="G3934">
        <v>-261.70929999999998</v>
      </c>
      <c r="H3934" s="1">
        <v>-4.0006079999999997E-6</v>
      </c>
      <c r="I3934">
        <v>137.0138</v>
      </c>
      <c r="J3934">
        <v>-252.55840000000001</v>
      </c>
      <c r="K3934">
        <v>1.110744</v>
      </c>
      <c r="L3934">
        <v>139.9768</v>
      </c>
      <c r="M3934">
        <v>-0.99995239999999996</v>
      </c>
      <c r="N3934">
        <v>0</v>
      </c>
      <c r="O3934">
        <v>-6.8211290000000004E-3</v>
      </c>
      <c r="P3934">
        <v>-0.99398790000000004</v>
      </c>
      <c r="Q3934">
        <v>5.279768E-2</v>
      </c>
      <c r="R3934">
        <v>-9.5919539999999998E-2</v>
      </c>
      <c r="S3934">
        <v>-2.9481510000000002</v>
      </c>
      <c r="T3934">
        <v>-0.3451399</v>
      </c>
      <c r="U3934">
        <v>-0.92166139999999996</v>
      </c>
      <c r="V3934">
        <v>-8.9357569999999997E-2</v>
      </c>
      <c r="W3934">
        <v>5.9412590000000001E-2</v>
      </c>
      <c r="X3934">
        <v>0.99422600000000005</v>
      </c>
      <c r="Y3934">
        <v>-0.290103</v>
      </c>
      <c r="Z3934">
        <v>-1.5755459999999999E-2</v>
      </c>
      <c r="AA3934">
        <v>0.95686570000000004</v>
      </c>
      <c r="AB3934">
        <v>33</v>
      </c>
      <c r="AC3934">
        <v>-9.1508999999999805</v>
      </c>
      <c r="AD3934">
        <v>-1.1107480006079999</v>
      </c>
      <c r="AE3934">
        <v>-2.9629999999999899</v>
      </c>
      <c r="AF3934">
        <v>-2.8623398752279101</v>
      </c>
      <c r="AG3934">
        <v>-1.1107480006079999</v>
      </c>
      <c r="AH3934">
        <v>9.0502111897785902</v>
      </c>
      <c r="AI3934">
        <v>96.674316307096106</v>
      </c>
      <c r="AJ3934">
        <v>107.550770683248</v>
      </c>
      <c r="AK3934">
        <v>9.5568338513216702</v>
      </c>
      <c r="AL3934">
        <v>86.593903446308303</v>
      </c>
      <c r="AM3934">
        <v>95.135746273809303</v>
      </c>
      <c r="AN3934">
        <v>0.99999998512140598</v>
      </c>
    </row>
    <row r="3935" spans="1:40" x14ac:dyDescent="0.25">
      <c r="A3935" t="str">
        <f>"20190312151352171"</f>
        <v>20190312151352171</v>
      </c>
      <c r="B3935" t="str">
        <f>"1552374832164766"</f>
        <v>1552374832164766</v>
      </c>
      <c r="C3935" t="s">
        <v>40</v>
      </c>
      <c r="D3935">
        <v>4.4312909999999999</v>
      </c>
      <c r="E3935">
        <v>0.42233569999999998</v>
      </c>
      <c r="F3935" t="s">
        <v>42</v>
      </c>
      <c r="G3935">
        <v>-262.06119999999999</v>
      </c>
      <c r="H3935" s="1">
        <v>-3.8535550000000001E-6</v>
      </c>
      <c r="I3935">
        <v>136.99180000000001</v>
      </c>
      <c r="J3935">
        <v>-252.8862</v>
      </c>
      <c r="K3935">
        <v>1.1107009999999999</v>
      </c>
      <c r="L3935">
        <v>139.97309999999999</v>
      </c>
      <c r="M3935">
        <v>-0.99994050000000001</v>
      </c>
      <c r="N3935">
        <v>0</v>
      </c>
      <c r="O3935">
        <v>-8.3737440000000007E-3</v>
      </c>
      <c r="P3935">
        <v>-0.99392899999999995</v>
      </c>
      <c r="Q3935">
        <v>5.2858639999999998E-2</v>
      </c>
      <c r="R3935">
        <v>-9.6495709999999998E-2</v>
      </c>
      <c r="S3935">
        <v>-2.9471280000000002</v>
      </c>
      <c r="T3935">
        <v>-0.34448250000000002</v>
      </c>
      <c r="U3935">
        <v>-0.92573550000000004</v>
      </c>
      <c r="V3935">
        <v>-8.8383320000000001E-2</v>
      </c>
      <c r="W3935">
        <v>5.9495399999999997E-2</v>
      </c>
      <c r="X3935">
        <v>0.99430819999999998</v>
      </c>
      <c r="Y3935">
        <v>-0.28993419999999998</v>
      </c>
      <c r="Z3935">
        <v>-1.554152E-2</v>
      </c>
      <c r="AA3935">
        <v>0.9569204</v>
      </c>
      <c r="AB3935">
        <v>33</v>
      </c>
      <c r="AC3935">
        <v>-9.1749999999999794</v>
      </c>
      <c r="AD3935">
        <v>-1.1107048535549999</v>
      </c>
      <c r="AE3935">
        <v>-2.9812999999999699</v>
      </c>
      <c r="AF3935">
        <v>-2.8663695710133998</v>
      </c>
      <c r="AG3935">
        <v>-1.1107048535549999</v>
      </c>
      <c r="AH3935">
        <v>9.0792937477295297</v>
      </c>
      <c r="AI3935">
        <v>96.653951526594597</v>
      </c>
      <c r="AJ3935">
        <v>107.521116318219</v>
      </c>
      <c r="AK3935">
        <v>9.5855784774265302</v>
      </c>
      <c r="AL3935">
        <v>86.589150614190004</v>
      </c>
      <c r="AM3935">
        <v>95.079628950141498</v>
      </c>
      <c r="AN3935">
        <v>1.0000000552313</v>
      </c>
    </row>
    <row r="3936" spans="1:40" x14ac:dyDescent="0.25">
      <c r="A3936" t="str">
        <f>"20190312151352194"</f>
        <v>20190312151352194</v>
      </c>
      <c r="B3936" t="str">
        <f>"1552374832184812"</f>
        <v>1552374832184812</v>
      </c>
      <c r="C3936" t="s">
        <v>40</v>
      </c>
      <c r="D3936">
        <v>4.4590779999999999</v>
      </c>
      <c r="E3936">
        <v>0.42226999999999998</v>
      </c>
      <c r="F3936" t="s">
        <v>42</v>
      </c>
      <c r="G3936">
        <v>-262.4074</v>
      </c>
      <c r="H3936" s="1">
        <v>-3.7083659999999998E-6</v>
      </c>
      <c r="I3936">
        <v>136.97299999999899</v>
      </c>
      <c r="J3936">
        <v>-253.22739999999999</v>
      </c>
      <c r="K3936">
        <v>1.110649</v>
      </c>
      <c r="L3936">
        <v>139.96870000000001</v>
      </c>
      <c r="M3936">
        <v>-0.99992630000000005</v>
      </c>
      <c r="N3936">
        <v>0</v>
      </c>
      <c r="O3936">
        <v>-9.924446E-3</v>
      </c>
      <c r="P3936">
        <v>-0.99387510000000001</v>
      </c>
      <c r="Q3936">
        <v>5.3219929999999999E-2</v>
      </c>
      <c r="R3936">
        <v>-9.6851859999999998E-2</v>
      </c>
      <c r="S3936">
        <v>-2.946472</v>
      </c>
      <c r="T3936">
        <v>-0.34372649999999999</v>
      </c>
      <c r="U3936">
        <v>-0.92839050000000001</v>
      </c>
      <c r="V3936">
        <v>-8.7191679999999994E-2</v>
      </c>
      <c r="W3936">
        <v>5.988048E-2</v>
      </c>
      <c r="X3936">
        <v>0.9943902</v>
      </c>
      <c r="Y3936">
        <v>-0.2893173</v>
      </c>
      <c r="Z3936">
        <v>-1.529792E-2</v>
      </c>
      <c r="AA3936">
        <v>0.95711100000000005</v>
      </c>
      <c r="AB3936">
        <v>33</v>
      </c>
      <c r="AC3936">
        <v>-9.18</v>
      </c>
      <c r="AD3936">
        <v>-1.1106527083660001</v>
      </c>
      <c r="AE3936">
        <v>-2.9957000000000198</v>
      </c>
      <c r="AF3936">
        <v>-2.8665228954706099</v>
      </c>
      <c r="AG3936">
        <v>-1.1106527083660001</v>
      </c>
      <c r="AH3936">
        <v>9.0890413208785894</v>
      </c>
      <c r="AI3936">
        <v>96.647178251013798</v>
      </c>
      <c r="AJ3936">
        <v>107.504352863113</v>
      </c>
      <c r="AK3936">
        <v>9.5948514882460003</v>
      </c>
      <c r="AL3936">
        <v>86.567047440229004</v>
      </c>
      <c r="AM3936">
        <v>95.011082147455795</v>
      </c>
      <c r="AN3936">
        <v>0.999999965401145</v>
      </c>
    </row>
    <row r="3937" spans="1:40" x14ac:dyDescent="0.25">
      <c r="A3937" t="str">
        <f>"20190312151352217"</f>
        <v>20190312151352217</v>
      </c>
      <c r="B3937" t="str">
        <f>"1552374832204312"</f>
        <v>1552374832204312</v>
      </c>
      <c r="C3937" t="s">
        <v>40</v>
      </c>
      <c r="D3937">
        <v>4.4973890000000001</v>
      </c>
      <c r="E3937">
        <v>0.4223423</v>
      </c>
      <c r="F3937" t="s">
        <v>42</v>
      </c>
      <c r="G3937">
        <v>-262.73759999999999</v>
      </c>
      <c r="H3937" s="1">
        <v>-3.5679970000000001E-6</v>
      </c>
      <c r="I3937">
        <v>136.9657</v>
      </c>
      <c r="J3937">
        <v>-253.5521</v>
      </c>
      <c r="K3937">
        <v>1.110598</v>
      </c>
      <c r="L3937">
        <v>139.96420000000001</v>
      </c>
      <c r="M3937">
        <v>-0.9999112</v>
      </c>
      <c r="N3937">
        <v>0</v>
      </c>
      <c r="O3937">
        <v>-1.133339E-2</v>
      </c>
      <c r="P3937">
        <v>-0.9938323</v>
      </c>
      <c r="Q3937">
        <v>5.2992690000000002E-2</v>
      </c>
      <c r="R3937">
        <v>-9.7413070000000004E-2</v>
      </c>
      <c r="S3937">
        <v>-2.946259</v>
      </c>
      <c r="T3937">
        <v>-0.34408250000000001</v>
      </c>
      <c r="U3937">
        <v>-0.9303131</v>
      </c>
      <c r="V3937">
        <v>-8.6343470000000005E-2</v>
      </c>
      <c r="W3937">
        <v>5.967629E-2</v>
      </c>
      <c r="X3937">
        <v>0.99447649999999999</v>
      </c>
      <c r="Y3937">
        <v>-0.28856720000000002</v>
      </c>
      <c r="Z3937">
        <v>-1.511064E-2</v>
      </c>
      <c r="AA3937">
        <v>0.95734039999999998</v>
      </c>
      <c r="AB3937">
        <v>33</v>
      </c>
      <c r="AC3937">
        <v>-9.1854999999999905</v>
      </c>
      <c r="AD3937">
        <v>-1.110601567997</v>
      </c>
      <c r="AE3937">
        <v>-2.9984999999999999</v>
      </c>
      <c r="AF3937">
        <v>-2.85646528035402</v>
      </c>
      <c r="AG3937">
        <v>-1.110601567997</v>
      </c>
      <c r="AH3937">
        <v>9.0986913638294897</v>
      </c>
      <c r="AI3937">
        <v>96.642601698784404</v>
      </c>
      <c r="AJ3937">
        <v>107.42928608779199</v>
      </c>
      <c r="AK3937">
        <v>9.6009902757439995</v>
      </c>
      <c r="AL3937">
        <v>86.578767681312598</v>
      </c>
      <c r="AM3937">
        <v>94.9621499278052</v>
      </c>
      <c r="AN3937">
        <v>0.999999981726027</v>
      </c>
    </row>
    <row r="3938" spans="1:40" x14ac:dyDescent="0.25">
      <c r="A3938" t="str">
        <f>"20190312151352241"</f>
        <v>20190312151352241</v>
      </c>
      <c r="B3938" t="str">
        <f>"1552374832234569"</f>
        <v>1552374832234569</v>
      </c>
      <c r="C3938" t="s">
        <v>40</v>
      </c>
      <c r="D3938">
        <v>4.6906939999999997</v>
      </c>
      <c r="E3938">
        <v>0.48458950000000001</v>
      </c>
      <c r="F3938" t="s">
        <v>42</v>
      </c>
      <c r="G3938">
        <v>-263.02969999999999</v>
      </c>
      <c r="H3938" s="1">
        <v>-3.442427E-6</v>
      </c>
      <c r="I3938">
        <v>136.96729999999999</v>
      </c>
      <c r="J3938">
        <v>-253.91720000000001</v>
      </c>
      <c r="K3938">
        <v>1.1105309999999999</v>
      </c>
      <c r="L3938">
        <v>139.95859999999999</v>
      </c>
      <c r="M3938">
        <v>-0.99989309999999998</v>
      </c>
      <c r="N3938">
        <v>0</v>
      </c>
      <c r="O3938">
        <v>-1.283394E-2</v>
      </c>
      <c r="P3938">
        <v>-0.99378250000000001</v>
      </c>
      <c r="Q3938">
        <v>5.2584850000000002E-2</v>
      </c>
      <c r="R3938">
        <v>-9.8139980000000002E-2</v>
      </c>
      <c r="S3938">
        <v>-2.9457399999999998</v>
      </c>
      <c r="T3938">
        <v>-0.34519050000000001</v>
      </c>
      <c r="U3938">
        <v>-0.93145750000000005</v>
      </c>
      <c r="V3938">
        <v>-8.5567699999999997E-2</v>
      </c>
      <c r="W3938">
        <v>5.9294529999999998E-2</v>
      </c>
      <c r="X3938">
        <v>0.99456639999999996</v>
      </c>
      <c r="Y3938">
        <v>-0.28752220000000001</v>
      </c>
      <c r="Z3938">
        <v>-1.493014E-2</v>
      </c>
      <c r="AA3938">
        <v>0.9576576</v>
      </c>
      <c r="AB3938">
        <v>34</v>
      </c>
      <c r="AC3938">
        <v>-9.1124999999999794</v>
      </c>
      <c r="AD3938">
        <v>-1.1105344424269901</v>
      </c>
      <c r="AE3938">
        <v>-2.9912999999999901</v>
      </c>
      <c r="AF3938">
        <v>-2.8360770636523598</v>
      </c>
      <c r="AG3938">
        <v>-1.1105344424269901</v>
      </c>
      <c r="AH3938">
        <v>9.0290840448268401</v>
      </c>
      <c r="AI3938">
        <v>96.692639829020095</v>
      </c>
      <c r="AJ3938">
        <v>107.43774504458899</v>
      </c>
      <c r="AK3938">
        <v>9.5289547457912906</v>
      </c>
      <c r="AL3938">
        <v>86.600679777393793</v>
      </c>
      <c r="AM3938">
        <v>94.917343791378798</v>
      </c>
      <c r="AN3938">
        <v>0.99999999829008501</v>
      </c>
    </row>
    <row r="3939" spans="1:40" x14ac:dyDescent="0.25">
      <c r="A3939" t="str">
        <f>"20190312151352262"</f>
        <v>20190312151352262</v>
      </c>
      <c r="B3939" t="str">
        <f>"1552374832254088"</f>
        <v>1552374832254088</v>
      </c>
      <c r="C3939" t="s">
        <v>40</v>
      </c>
      <c r="D3939">
        <v>4.5578289999999999</v>
      </c>
      <c r="E3939">
        <v>0.50151009999999996</v>
      </c>
      <c r="F3939" t="s">
        <v>42</v>
      </c>
      <c r="G3939">
        <v>-268.9513</v>
      </c>
      <c r="H3939" s="1">
        <v>-8.3242509999999996E-7</v>
      </c>
      <c r="I3939">
        <v>137.7765</v>
      </c>
      <c r="J3939">
        <v>-254.24199999999999</v>
      </c>
      <c r="K3939">
        <v>1.110466</v>
      </c>
      <c r="L3939">
        <v>139.95320000000001</v>
      </c>
      <c r="M3939">
        <v>-0.99987619999999999</v>
      </c>
      <c r="N3939">
        <v>0</v>
      </c>
      <c r="O3939">
        <v>-1.4083180000000001E-2</v>
      </c>
      <c r="P3939">
        <v>-0.99379309999999998</v>
      </c>
      <c r="Q3939">
        <v>5.203282E-2</v>
      </c>
      <c r="R3939">
        <v>-9.8327349999999994E-2</v>
      </c>
      <c r="S3939">
        <v>-2.9876399999999999</v>
      </c>
      <c r="T3939">
        <v>-0.22069059999999999</v>
      </c>
      <c r="U3939">
        <v>-0.43362430000000002</v>
      </c>
      <c r="V3939">
        <v>-8.450038E-2</v>
      </c>
      <c r="W3939">
        <v>5.8769979999999999E-2</v>
      </c>
      <c r="X3939">
        <v>0.99468880000000004</v>
      </c>
      <c r="Y3939">
        <v>-0.1293752</v>
      </c>
      <c r="Z3939">
        <v>-3.7138399999999999E-3</v>
      </c>
      <c r="AA3939">
        <v>0.99158880000000005</v>
      </c>
      <c r="AB3939">
        <v>34</v>
      </c>
      <c r="AC3939">
        <v>-14.709299999999899</v>
      </c>
      <c r="AD3939">
        <v>-1.1104668324250999</v>
      </c>
      <c r="AE3939">
        <v>-2.1767000000000101</v>
      </c>
      <c r="AF3939">
        <v>-1.95840281383536</v>
      </c>
      <c r="AG3939">
        <v>-1.1104668324250999</v>
      </c>
      <c r="AH3939">
        <v>14.656752531188801</v>
      </c>
      <c r="AI3939">
        <v>94.294705170474501</v>
      </c>
      <c r="AJ3939">
        <v>97.6106559927738</v>
      </c>
      <c r="AK3939">
        <v>14.8286504081681</v>
      </c>
      <c r="AL3939">
        <v>86.630786845735301</v>
      </c>
      <c r="AM3939">
        <v>94.8557082508284</v>
      </c>
      <c r="AN3939">
        <v>1.0000000168073899</v>
      </c>
    </row>
    <row r="3940" spans="1:40" x14ac:dyDescent="0.25">
      <c r="A3940" t="str">
        <f>"20190312151352283"</f>
        <v>20190312151352283</v>
      </c>
      <c r="B3940" t="str">
        <f>"1552374832274588"</f>
        <v>1552374832274588</v>
      </c>
      <c r="C3940" t="s">
        <v>40</v>
      </c>
      <c r="D3940">
        <v>4.5549720000000002</v>
      </c>
      <c r="E3940">
        <v>0.50892510000000002</v>
      </c>
      <c r="F3940" t="s">
        <v>42</v>
      </c>
      <c r="G3940">
        <v>-271.20350000000002</v>
      </c>
      <c r="H3940" s="1">
        <v>-3.9958970000000003E-6</v>
      </c>
      <c r="I3940">
        <v>138.26349999999999</v>
      </c>
      <c r="J3940">
        <v>-254.56630000000001</v>
      </c>
      <c r="K3940">
        <v>1.1103879999999999</v>
      </c>
      <c r="L3940">
        <v>139.94759999999999</v>
      </c>
      <c r="M3940">
        <v>-0.99985919999999895</v>
      </c>
      <c r="N3940">
        <v>0</v>
      </c>
      <c r="O3940">
        <v>-1.5239340000000001E-2</v>
      </c>
      <c r="P3940">
        <v>-0.99373310000000004</v>
      </c>
      <c r="Q3940">
        <v>5.2427059999999998E-2</v>
      </c>
      <c r="R3940">
        <v>-9.8723240000000004E-2</v>
      </c>
      <c r="S3940">
        <v>-2.999466</v>
      </c>
      <c r="T3940">
        <v>-0.1963751</v>
      </c>
      <c r="U3940">
        <v>-0.298797599999999</v>
      </c>
      <c r="V3940">
        <v>-8.3736530000000003E-2</v>
      </c>
      <c r="W3940">
        <v>5.9191250000000001E-2</v>
      </c>
      <c r="X3940">
        <v>0.99472839999999996</v>
      </c>
      <c r="Y3940">
        <v>-8.380485E-2</v>
      </c>
      <c r="Z3940">
        <v>-1.739668E-3</v>
      </c>
      <c r="AA3940">
        <v>0.99648060000000005</v>
      </c>
      <c r="AB3940">
        <v>34</v>
      </c>
      <c r="AC3940">
        <v>-16.6372</v>
      </c>
      <c r="AD3940">
        <v>-1.1103919958970001</v>
      </c>
      <c r="AE3940">
        <v>-1.6840999999999999</v>
      </c>
      <c r="AF3940">
        <v>-1.424079098432</v>
      </c>
      <c r="AG3940">
        <v>-1.1103919958970001</v>
      </c>
      <c r="AH3940">
        <v>16.587793363567499</v>
      </c>
      <c r="AI3940">
        <v>93.815689595841803</v>
      </c>
      <c r="AJ3940">
        <v>94.9068699291592</v>
      </c>
      <c r="AK3940">
        <v>16.685798162975502</v>
      </c>
      <c r="AL3940">
        <v>86.606607703646105</v>
      </c>
      <c r="AM3940">
        <v>94.811830950316903</v>
      </c>
      <c r="AN3940">
        <v>1.00000000014978</v>
      </c>
    </row>
    <row r="3941" spans="1:40" x14ac:dyDescent="0.25">
      <c r="A3941" t="str">
        <f>"20190312151352305"</f>
        <v>20190312151352305</v>
      </c>
      <c r="B3941" t="str">
        <f>"1552374832294104"</f>
        <v>1552374832294104</v>
      </c>
      <c r="C3941" t="s">
        <v>40</v>
      </c>
      <c r="D3941">
        <v>4.5469039999999996</v>
      </c>
      <c r="E3941">
        <v>0.51289709999999999</v>
      </c>
      <c r="F3941" t="s">
        <v>42</v>
      </c>
      <c r="G3941">
        <v>-272.84589999999997</v>
      </c>
      <c r="H3941" s="1">
        <v>-3.2523109999999999E-6</v>
      </c>
      <c r="I3941">
        <v>138.48349999999999</v>
      </c>
      <c r="J3941">
        <v>-254.90170000000001</v>
      </c>
      <c r="K3941">
        <v>1.1103000000000001</v>
      </c>
      <c r="L3941">
        <v>139.94139999999999</v>
      </c>
      <c r="M3941">
        <v>-0.99984170000000006</v>
      </c>
      <c r="N3941">
        <v>0</v>
      </c>
      <c r="O3941">
        <v>-1.6328760000000001E-2</v>
      </c>
      <c r="P3941">
        <v>-0.99366500000000002</v>
      </c>
      <c r="Q3941">
        <v>5.269501E-2</v>
      </c>
      <c r="R3941">
        <v>-9.9263180000000006E-2</v>
      </c>
      <c r="S3941">
        <v>-3.0046390000000001</v>
      </c>
      <c r="T3941">
        <v>-0.18251709999999999</v>
      </c>
      <c r="U3941">
        <v>-0.24064640000000001</v>
      </c>
      <c r="V3941">
        <v>-8.3181989999999997E-2</v>
      </c>
      <c r="W3941">
        <v>5.9488270000000003E-2</v>
      </c>
      <c r="X3941">
        <v>0.99475720000000001</v>
      </c>
      <c r="Y3941">
        <v>-6.3461970000000006E-2</v>
      </c>
      <c r="Z3941">
        <v>-9.3342779999999997E-4</v>
      </c>
      <c r="AA3941">
        <v>0.99798379999999998</v>
      </c>
      <c r="AB3941">
        <v>34</v>
      </c>
      <c r="AC3941">
        <v>-17.944199999999899</v>
      </c>
      <c r="AD3941">
        <v>-1.1103032523109999</v>
      </c>
      <c r="AE3941">
        <v>-1.45789999999999</v>
      </c>
      <c r="AF3941">
        <v>-1.1602787040406499</v>
      </c>
      <c r="AG3941">
        <v>-1.1103032523109999</v>
      </c>
      <c r="AH3941">
        <v>17.897541399085899</v>
      </c>
      <c r="AI3941">
        <v>93.542470754663498</v>
      </c>
      <c r="AJ3941">
        <v>93.709234296319096</v>
      </c>
      <c r="AK3941">
        <v>17.969446516660899</v>
      </c>
      <c r="AL3941">
        <v>86.589559643189901</v>
      </c>
      <c r="AM3941">
        <v>94.7799752941078</v>
      </c>
      <c r="AN3941">
        <v>0.999999992339896</v>
      </c>
    </row>
    <row r="3942" spans="1:40" x14ac:dyDescent="0.25">
      <c r="A3942" t="str">
        <f>"20190312151352329"</f>
        <v>20190312151352329</v>
      </c>
      <c r="B3942" t="str">
        <f>"1552374832324361"</f>
        <v>1552374832324361</v>
      </c>
      <c r="C3942" t="s">
        <v>40</v>
      </c>
      <c r="D3942">
        <v>4.5643940000000001</v>
      </c>
      <c r="E3942">
        <v>0.51624890000000001</v>
      </c>
      <c r="F3942" t="s">
        <v>42</v>
      </c>
      <c r="G3942">
        <v>-273.98970000000003</v>
      </c>
      <c r="H3942" s="1">
        <v>-2.739924E-6</v>
      </c>
      <c r="I3942">
        <v>138.60579999999999</v>
      </c>
      <c r="J3942">
        <v>-255.2508</v>
      </c>
      <c r="K3942">
        <v>1.1102030000000001</v>
      </c>
      <c r="L3942">
        <v>139.93469999999999</v>
      </c>
      <c r="M3942">
        <v>-0.99982490000000002</v>
      </c>
      <c r="N3942">
        <v>0</v>
      </c>
      <c r="O3942">
        <v>-1.7332509999999999E-2</v>
      </c>
      <c r="P3942">
        <v>-0.99364220000000003</v>
      </c>
      <c r="Q3942">
        <v>5.280613E-2</v>
      </c>
      <c r="R3942">
        <v>-9.9431500000000006E-2</v>
      </c>
      <c r="S3942">
        <v>-3.0073850000000002</v>
      </c>
      <c r="T3942">
        <v>-0.1749328</v>
      </c>
      <c r="U3942">
        <v>-0.21041869999999999</v>
      </c>
      <c r="V3942">
        <v>-8.2338369999999994E-2</v>
      </c>
      <c r="W3942">
        <v>5.963106E-2</v>
      </c>
      <c r="X3942">
        <v>0.99481889999999995</v>
      </c>
      <c r="Y3942">
        <v>-5.2436499999999997E-2</v>
      </c>
      <c r="Z3942">
        <v>-5.1596330000000003E-4</v>
      </c>
      <c r="AA3942">
        <v>0.99862410000000001</v>
      </c>
      <c r="AB3942">
        <v>34</v>
      </c>
      <c r="AC3942">
        <v>-18.738900000000001</v>
      </c>
      <c r="AD3942">
        <v>-1.110205739924</v>
      </c>
      <c r="AE3942">
        <v>-1.3289</v>
      </c>
      <c r="AF3942">
        <v>-1.00040616399042</v>
      </c>
      <c r="AG3942">
        <v>-1.110205739924</v>
      </c>
      <c r="AH3942">
        <v>18.693829909989098</v>
      </c>
      <c r="AI3942">
        <v>93.393895439343595</v>
      </c>
      <c r="AJ3942">
        <v>93.063279522817098</v>
      </c>
      <c r="AK3942">
        <v>18.753470238372199</v>
      </c>
      <c r="AL3942">
        <v>86.581364050928201</v>
      </c>
      <c r="AM3942">
        <v>94.731426559925097</v>
      </c>
      <c r="AN3942">
        <v>1.0000000571440899</v>
      </c>
    </row>
    <row r="3943" spans="1:40" x14ac:dyDescent="0.25">
      <c r="A3943" t="str">
        <f>"20190312151352349"</f>
        <v>20190312151352349</v>
      </c>
      <c r="B3943" t="str">
        <f>"1552374832343881"</f>
        <v>1552374832343881</v>
      </c>
      <c r="C3943" t="s">
        <v>40</v>
      </c>
      <c r="D3943">
        <v>4.5801930000000004</v>
      </c>
      <c r="E3943">
        <v>0.51765139999999998</v>
      </c>
      <c r="F3943" t="s">
        <v>42</v>
      </c>
      <c r="G3943">
        <v>-274.85629999999998</v>
      </c>
      <c r="H3943" s="1">
        <v>-2.345152E-6</v>
      </c>
      <c r="I3943">
        <v>138.73560000000001</v>
      </c>
      <c r="J3943">
        <v>-255.5797</v>
      </c>
      <c r="K3943">
        <v>1.110109</v>
      </c>
      <c r="L3943">
        <v>139.9282</v>
      </c>
      <c r="M3943">
        <v>-0.99980959999999997</v>
      </c>
      <c r="N3943">
        <v>0</v>
      </c>
      <c r="O3943">
        <v>-1.8186089999999999E-2</v>
      </c>
      <c r="P3943">
        <v>-0.99359810000000004</v>
      </c>
      <c r="Q3943">
        <v>5.2906420000000003E-2</v>
      </c>
      <c r="R3943">
        <v>-9.9819630000000006E-2</v>
      </c>
      <c r="S3943">
        <v>-3.009827</v>
      </c>
      <c r="T3943">
        <v>-0.17043849999999999</v>
      </c>
      <c r="U3943">
        <v>-0.184082</v>
      </c>
      <c r="V3943">
        <v>-8.1865250000000001E-2</v>
      </c>
      <c r="W3943">
        <v>5.9760059999999997E-2</v>
      </c>
      <c r="X3943">
        <v>0.99485020000000002</v>
      </c>
      <c r="Y3943">
        <v>-4.2844210000000001E-2</v>
      </c>
      <c r="Z3943">
        <v>-1.8308880000000001E-4</v>
      </c>
      <c r="AA3943">
        <v>0.99908169999999996</v>
      </c>
      <c r="AB3943">
        <v>34</v>
      </c>
      <c r="AC3943">
        <v>-19.276599999999899</v>
      </c>
      <c r="AD3943">
        <v>-1.1101113451519999</v>
      </c>
      <c r="AE3943">
        <v>-1.1925999999999899</v>
      </c>
      <c r="AF3943">
        <v>-0.839055936334554</v>
      </c>
      <c r="AG3943">
        <v>-1.1101113451519999</v>
      </c>
      <c r="AH3943">
        <v>19.2315639962566</v>
      </c>
      <c r="AI3943">
        <v>93.300508656138206</v>
      </c>
      <c r="AJ3943">
        <v>92.498179324443001</v>
      </c>
      <c r="AK3943">
        <v>19.2818416082346</v>
      </c>
      <c r="AL3943">
        <v>86.573959674063005</v>
      </c>
      <c r="AM3943">
        <v>94.704214597052896</v>
      </c>
      <c r="AN3943">
        <v>1.0000000521843999</v>
      </c>
    </row>
    <row r="3944" spans="1:40" x14ac:dyDescent="0.25">
      <c r="A3944" t="str">
        <f>"20190312151352373"</f>
        <v>20190312151352373</v>
      </c>
      <c r="B3944" t="str">
        <f>"1552374832364377"</f>
        <v>1552374832364377</v>
      </c>
      <c r="C3944" t="s">
        <v>40</v>
      </c>
      <c r="D3944">
        <v>4.5529799999999998</v>
      </c>
      <c r="E3944">
        <v>0.51883440000000003</v>
      </c>
      <c r="F3944" t="s">
        <v>42</v>
      </c>
      <c r="G3944">
        <v>-275.3954</v>
      </c>
      <c r="H3944" s="1">
        <v>-2.105769E-6</v>
      </c>
      <c r="I3944">
        <v>138.78129999999999</v>
      </c>
      <c r="J3944">
        <v>-255.92920000000001</v>
      </c>
      <c r="K3944">
        <v>1.110031</v>
      </c>
      <c r="L3944">
        <v>139.9211</v>
      </c>
      <c r="M3944">
        <v>-0.99979459999999998</v>
      </c>
      <c r="N3944">
        <v>0</v>
      </c>
      <c r="O3944">
        <v>-1.8988310000000001E-2</v>
      </c>
      <c r="P3944">
        <v>-0.99358369999999996</v>
      </c>
      <c r="Q3944">
        <v>5.2428740000000001E-2</v>
      </c>
      <c r="R3944">
        <v>-0.1002156</v>
      </c>
      <c r="S3944">
        <v>-3.0108030000000001</v>
      </c>
      <c r="T3944">
        <v>-0.16867079999999901</v>
      </c>
      <c r="U3944">
        <v>-0.17425539999999901</v>
      </c>
      <c r="V3944">
        <v>-8.1449499999999994E-2</v>
      </c>
      <c r="W3944">
        <v>5.9311200000000001E-2</v>
      </c>
      <c r="X3944">
        <v>0.99491110000000005</v>
      </c>
      <c r="Y3944">
        <v>-3.8781610000000001E-2</v>
      </c>
      <c r="Z3944" s="1">
        <v>-2.267899E-5</v>
      </c>
      <c r="AA3944">
        <v>0.99924769999999896</v>
      </c>
      <c r="AB3944">
        <v>34</v>
      </c>
      <c r="AC3944">
        <v>-19.466199999999901</v>
      </c>
      <c r="AD3944">
        <v>-1.1100331057690001</v>
      </c>
      <c r="AE3944">
        <v>-1.1397999999999999</v>
      </c>
      <c r="AF3944">
        <v>-0.76746792855901702</v>
      </c>
      <c r="AG3944">
        <v>-1.1100331057690001</v>
      </c>
      <c r="AH3944">
        <v>19.421396957935301</v>
      </c>
      <c r="AI3944">
        <v>93.268645128295603</v>
      </c>
      <c r="AJ3944">
        <v>92.262958016519505</v>
      </c>
      <c r="AK3944">
        <v>19.468226429620302</v>
      </c>
      <c r="AL3944">
        <v>86.599722870369604</v>
      </c>
      <c r="AM3944">
        <v>94.680145581336006</v>
      </c>
      <c r="AN3944">
        <v>0.99999996819944903</v>
      </c>
    </row>
    <row r="3945" spans="1:40" x14ac:dyDescent="0.25">
      <c r="A3945" t="str">
        <f>"20190312151352395"</f>
        <v>20190312151352395</v>
      </c>
      <c r="B3945" t="str">
        <f>"1552374832383897"</f>
        <v>1552374832383897</v>
      </c>
      <c r="C3945" t="s">
        <v>40</v>
      </c>
      <c r="D3945">
        <v>4.5814349999999999</v>
      </c>
      <c r="E3945">
        <v>0.519883599999999</v>
      </c>
      <c r="F3945" t="s">
        <v>42</v>
      </c>
      <c r="G3945">
        <v>-275.95069999999998</v>
      </c>
      <c r="H3945" s="1">
        <v>-1.8608419999999999E-6</v>
      </c>
      <c r="I3945">
        <v>138.81890000000001</v>
      </c>
      <c r="J3945">
        <v>-256.27370000000002</v>
      </c>
      <c r="K3945">
        <v>1.10995</v>
      </c>
      <c r="L3945">
        <v>139.91390000000001</v>
      </c>
      <c r="M3945">
        <v>-0.99978140000000004</v>
      </c>
      <c r="N3945">
        <v>0</v>
      </c>
      <c r="O3945">
        <v>-1.9668229999999998E-2</v>
      </c>
      <c r="P3945">
        <v>-0.9935446</v>
      </c>
      <c r="Q3945">
        <v>5.252308E-2</v>
      </c>
      <c r="R3945">
        <v>-0.1005511</v>
      </c>
      <c r="S3945">
        <v>-3.0114749999999999</v>
      </c>
      <c r="T3945">
        <v>-0.16696240000000001</v>
      </c>
      <c r="U3945">
        <v>-0.16577149999999999</v>
      </c>
      <c r="V3945">
        <v>-8.1097829999999996E-2</v>
      </c>
      <c r="W3945">
        <v>5.9434010000000002E-2</v>
      </c>
      <c r="X3945">
        <v>0.9949325</v>
      </c>
      <c r="Y3945">
        <v>-3.5289859999999999E-2</v>
      </c>
      <c r="Z3945">
        <v>1.11833E-4</v>
      </c>
      <c r="AA3945">
        <v>0.99937710000000002</v>
      </c>
      <c r="AB3945">
        <v>34</v>
      </c>
      <c r="AC3945">
        <v>-19.6769999999999</v>
      </c>
      <c r="AD3945">
        <v>-1.109951860842</v>
      </c>
      <c r="AE3945">
        <v>-1.09499999999999</v>
      </c>
      <c r="AF3945">
        <v>-0.70552866477737997</v>
      </c>
      <c r="AG3945">
        <v>-1.109951860842</v>
      </c>
      <c r="AH3945">
        <v>19.632454550663201</v>
      </c>
      <c r="AI3945">
        <v>93.233779700608693</v>
      </c>
      <c r="AJ3945">
        <v>92.058144400892601</v>
      </c>
      <c r="AK3945">
        <v>19.676458917042599</v>
      </c>
      <c r="AL3945">
        <v>86.592673945037802</v>
      </c>
      <c r="AM3945">
        <v>94.6599277725268</v>
      </c>
      <c r="AN3945">
        <v>0.99999996956581905</v>
      </c>
    </row>
    <row r="3946" spans="1:40" x14ac:dyDescent="0.25">
      <c r="A3946" t="str">
        <f>"20190312151352418"</f>
        <v>20190312151352418</v>
      </c>
      <c r="B3946" t="str">
        <f>"1552374832414153"</f>
        <v>1552374832414153</v>
      </c>
      <c r="C3946" t="s">
        <v>40</v>
      </c>
      <c r="D3946">
        <v>4.542637</v>
      </c>
      <c r="E3946">
        <v>0.5210574</v>
      </c>
      <c r="F3946" t="s">
        <v>42</v>
      </c>
      <c r="G3946">
        <v>-276.6062</v>
      </c>
      <c r="H3946" s="1">
        <v>-1.5750590000000001E-6</v>
      </c>
      <c r="I3946">
        <v>138.84479999999999</v>
      </c>
      <c r="J3946">
        <v>-256.61320000000001</v>
      </c>
      <c r="K3946">
        <v>1.1098699999999999</v>
      </c>
      <c r="L3946">
        <v>139.9067</v>
      </c>
      <c r="M3946">
        <v>-0.99977020000000005</v>
      </c>
      <c r="N3946">
        <v>0</v>
      </c>
      <c r="O3946">
        <v>-2.0228690000000001E-2</v>
      </c>
      <c r="P3946">
        <v>-0.99349560000000003</v>
      </c>
      <c r="Q3946">
        <v>5.3266889999999997E-2</v>
      </c>
      <c r="R3946">
        <v>-0.10064339999999999</v>
      </c>
      <c r="S3946">
        <v>-3.012146</v>
      </c>
      <c r="T3946">
        <v>-0.16443279999999999</v>
      </c>
      <c r="U3946">
        <v>-0.15837100000000001</v>
      </c>
      <c r="V3946">
        <v>-8.0621090000000006E-2</v>
      </c>
      <c r="W3946">
        <v>6.0207480000000001E-2</v>
      </c>
      <c r="X3946">
        <v>0.99492480000000005</v>
      </c>
      <c r="Y3946">
        <v>-3.227501E-2</v>
      </c>
      <c r="Z3946">
        <v>2.2284219999999999E-4</v>
      </c>
      <c r="AA3946">
        <v>0.99947900000000001</v>
      </c>
      <c r="AB3946">
        <v>34</v>
      </c>
      <c r="AC3946">
        <v>-19.992999999999899</v>
      </c>
      <c r="AD3946">
        <v>-1.109871575059</v>
      </c>
      <c r="AE3946">
        <v>-1.0619000000000001</v>
      </c>
      <c r="AF3946">
        <v>-0.65522679328728195</v>
      </c>
      <c r="AG3946">
        <v>-1.109871575059</v>
      </c>
      <c r="AH3946">
        <v>19.949086156375401</v>
      </c>
      <c r="AI3946">
        <v>93.182667133652004</v>
      </c>
      <c r="AJ3946">
        <v>91.881200894316194</v>
      </c>
      <c r="AK3946">
        <v>19.990677215598598</v>
      </c>
      <c r="AL3946">
        <v>86.548278074818896</v>
      </c>
      <c r="AM3946">
        <v>94.632689302254093</v>
      </c>
      <c r="AN3946">
        <v>1.0000000292278799</v>
      </c>
    </row>
    <row r="3947" spans="1:40" x14ac:dyDescent="0.25">
      <c r="A3947" t="str">
        <f>"20190312151352441"</f>
        <v>20190312151352441</v>
      </c>
      <c r="B3947" t="str">
        <f>"1552374832434649"</f>
        <v>1552374832434649</v>
      </c>
      <c r="C3947" t="s">
        <v>40</v>
      </c>
      <c r="D3947">
        <v>4.5439850000000002</v>
      </c>
      <c r="E3947">
        <v>0.52170039999999995</v>
      </c>
      <c r="F3947" t="s">
        <v>42</v>
      </c>
      <c r="G3947">
        <v>-277.45089999999999</v>
      </c>
      <c r="H3947" s="1">
        <v>-1.2077530000000001E-6</v>
      </c>
      <c r="I3947">
        <v>138.8725</v>
      </c>
      <c r="J3947">
        <v>-256.97370000000001</v>
      </c>
      <c r="K3947">
        <v>1.1097699999999999</v>
      </c>
      <c r="L3947">
        <v>139.8989</v>
      </c>
      <c r="M3947">
        <v>-0.99976039999999999</v>
      </c>
      <c r="N3947">
        <v>0</v>
      </c>
      <c r="O3947">
        <v>-2.0707030000000001E-2</v>
      </c>
      <c r="P3947">
        <v>-0.99337770000000003</v>
      </c>
      <c r="Q3947">
        <v>5.4416720000000002E-2</v>
      </c>
      <c r="R3947">
        <v>-0.1011939</v>
      </c>
      <c r="S3947">
        <v>-3.0131230000000002</v>
      </c>
      <c r="T3947">
        <v>-0.16048660000000001</v>
      </c>
      <c r="U3947">
        <v>-0.14952089999999901</v>
      </c>
      <c r="V3947">
        <v>-8.0684069999999997E-2</v>
      </c>
      <c r="W3947">
        <v>6.1388320000000003E-2</v>
      </c>
      <c r="X3947">
        <v>0.9948475</v>
      </c>
      <c r="Y3947">
        <v>-2.885799E-2</v>
      </c>
      <c r="Z3947">
        <v>3.337697E-4</v>
      </c>
      <c r="AA3947">
        <v>0.99958349999999996</v>
      </c>
      <c r="AB3947">
        <v>34</v>
      </c>
      <c r="AC3947">
        <v>-20.4771999999999</v>
      </c>
      <c r="AD3947">
        <v>-1.109771207753</v>
      </c>
      <c r="AE3947">
        <v>-1.02639999999999</v>
      </c>
      <c r="AF3947">
        <v>-0.600388233103894</v>
      </c>
      <c r="AG3947">
        <v>-1.109771207753</v>
      </c>
      <c r="AH3947">
        <v>20.434195586742</v>
      </c>
      <c r="AI3947">
        <v>93.107313612307493</v>
      </c>
      <c r="AJ3947">
        <v>91.682954339871898</v>
      </c>
      <c r="AK3947">
        <v>20.473114258491101</v>
      </c>
      <c r="AL3947">
        <v>86.480495418473296</v>
      </c>
      <c r="AM3947">
        <v>94.636651190489005</v>
      </c>
      <c r="AN3947">
        <v>0.99999999662021799</v>
      </c>
    </row>
    <row r="3948" spans="1:40" x14ac:dyDescent="0.25">
      <c r="A3948" t="str">
        <f>"20190312151352464"</f>
        <v>20190312151352464</v>
      </c>
      <c r="B3948" t="str">
        <f>"1552374832454169"</f>
        <v>1552374832454169</v>
      </c>
      <c r="C3948" t="s">
        <v>40</v>
      </c>
      <c r="D3948">
        <v>4.5569040000000003</v>
      </c>
      <c r="E3948">
        <v>0.52227709999999905</v>
      </c>
      <c r="F3948" t="s">
        <v>42</v>
      </c>
      <c r="G3948">
        <v>-278.36439999999999</v>
      </c>
      <c r="H3948" s="1">
        <v>-8.1772309999999996E-7</v>
      </c>
      <c r="I3948">
        <v>138.8621</v>
      </c>
      <c r="J3948">
        <v>-257.33850000000001</v>
      </c>
      <c r="K3948">
        <v>1.109664</v>
      </c>
      <c r="L3948">
        <v>139.89099999999999</v>
      </c>
      <c r="M3948">
        <v>-0.99975259999999999</v>
      </c>
      <c r="N3948">
        <v>0</v>
      </c>
      <c r="O3948">
        <v>-2.1071389999999999E-2</v>
      </c>
      <c r="P3948">
        <v>-0.99330779999999996</v>
      </c>
      <c r="Q3948">
        <v>5.5044929999999999E-2</v>
      </c>
      <c r="R3948">
        <v>-0.1015368</v>
      </c>
      <c r="S3948">
        <v>-3.0136720000000001</v>
      </c>
      <c r="T3948">
        <v>-0.1563523</v>
      </c>
      <c r="U3948">
        <v>-0.1460571</v>
      </c>
      <c r="V3948">
        <v>-8.0651349999999997E-2</v>
      </c>
      <c r="W3948">
        <v>6.2048899999999997E-2</v>
      </c>
      <c r="X3948">
        <v>0.99480919999999895</v>
      </c>
      <c r="Y3948">
        <v>-2.734164E-2</v>
      </c>
      <c r="Z3948">
        <v>3.8329409999999999E-4</v>
      </c>
      <c r="AA3948">
        <v>0.99962609999999996</v>
      </c>
      <c r="AB3948">
        <v>35</v>
      </c>
      <c r="AC3948">
        <v>-21.025899999999901</v>
      </c>
      <c r="AD3948">
        <v>-1.1096648177231001</v>
      </c>
      <c r="AE3948">
        <v>-1.0288999999999899</v>
      </c>
      <c r="AF3948">
        <v>-0.58399264885769098</v>
      </c>
      <c r="AG3948">
        <v>-1.1096648177231001</v>
      </c>
      <c r="AH3948">
        <v>20.984603242845299</v>
      </c>
      <c r="AI3948">
        <v>93.025809432495194</v>
      </c>
      <c r="AJ3948">
        <v>91.594105902124397</v>
      </c>
      <c r="AK3948">
        <v>21.022035502806201</v>
      </c>
      <c r="AL3948">
        <v>86.442574781366901</v>
      </c>
      <c r="AM3948">
        <v>94.634956732823298</v>
      </c>
      <c r="AN3948">
        <v>1.0000000253263299</v>
      </c>
    </row>
    <row r="3949" spans="1:40" x14ac:dyDescent="0.25">
      <c r="A3949" t="str">
        <f>"20190312151352485"</f>
        <v>20190312151352485</v>
      </c>
      <c r="B3949" t="str">
        <f>"1552374832474670"</f>
        <v>1552374832474670</v>
      </c>
      <c r="C3949" t="s">
        <v>40</v>
      </c>
      <c r="D3949">
        <v>4.5311279999999998</v>
      </c>
      <c r="E3949">
        <v>0.52268159999999997</v>
      </c>
      <c r="F3949" t="s">
        <v>42</v>
      </c>
      <c r="G3949">
        <v>-279.04140000000001</v>
      </c>
      <c r="H3949" s="1">
        <v>-5.2651249999999998E-7</v>
      </c>
      <c r="I3949">
        <v>138.8665</v>
      </c>
      <c r="J3949">
        <v>-257.6585</v>
      </c>
      <c r="K3949">
        <v>1.1095790000000001</v>
      </c>
      <c r="L3949">
        <v>139.88399999999999</v>
      </c>
      <c r="M3949">
        <v>-0.99974790000000002</v>
      </c>
      <c r="N3949">
        <v>0</v>
      </c>
      <c r="O3949">
        <v>-2.129E-2</v>
      </c>
      <c r="P3949">
        <v>-0.99330059999999998</v>
      </c>
      <c r="Q3949">
        <v>5.560822E-2</v>
      </c>
      <c r="R3949">
        <v>-0.10130160000000001</v>
      </c>
      <c r="S3949">
        <v>-3.014221</v>
      </c>
      <c r="T3949">
        <v>-0.15411649999999999</v>
      </c>
      <c r="U3949">
        <v>-0.14227290000000001</v>
      </c>
      <c r="V3949">
        <v>-8.0185859999999998E-2</v>
      </c>
      <c r="W3949">
        <v>6.2641890000000006E-2</v>
      </c>
      <c r="X3949">
        <v>0.99480959999999996</v>
      </c>
      <c r="Y3949">
        <v>-2.5864560000000002E-2</v>
      </c>
      <c r="Z3949">
        <v>4.2664200000000003E-4</v>
      </c>
      <c r="AA3949">
        <v>0.99966540000000004</v>
      </c>
      <c r="AB3949">
        <v>35</v>
      </c>
      <c r="AC3949">
        <v>-21.382899999999999</v>
      </c>
      <c r="AD3949">
        <v>-1.1095795265124999</v>
      </c>
      <c r="AE3949">
        <v>-1.0174999999999801</v>
      </c>
      <c r="AF3949">
        <v>-0.56050998244802097</v>
      </c>
      <c r="AG3949">
        <v>-1.1095795265124999</v>
      </c>
      <c r="AH3949">
        <v>21.3423780601603</v>
      </c>
      <c r="AI3949">
        <v>92.975075400329203</v>
      </c>
      <c r="AJ3949">
        <v>91.504400108212494</v>
      </c>
      <c r="AK3949">
        <v>21.378550919762802</v>
      </c>
      <c r="AL3949">
        <v>86.408532496055301</v>
      </c>
      <c r="AM3949">
        <v>94.608319171292905</v>
      </c>
      <c r="AN3949">
        <v>0.99999995938943498</v>
      </c>
    </row>
    <row r="3950" spans="1:40" x14ac:dyDescent="0.25">
      <c r="A3950" t="str">
        <f>"20190312151352506"</f>
        <v>20190312151352506</v>
      </c>
      <c r="B3950" t="str">
        <f>"1552374832503944"</f>
        <v>1552374832503944</v>
      </c>
      <c r="C3950" t="s">
        <v>40</v>
      </c>
      <c r="D3950">
        <v>4.5018409999999998</v>
      </c>
      <c r="E3950">
        <v>0.52319720000000003</v>
      </c>
      <c r="F3950" t="s">
        <v>58</v>
      </c>
      <c r="G3950">
        <v>-280.50110000000001</v>
      </c>
      <c r="H3950" s="1">
        <v>-3.5442380000000001E-6</v>
      </c>
      <c r="I3950">
        <v>138.83760000000001</v>
      </c>
      <c r="J3950">
        <v>-257.9982</v>
      </c>
      <c r="K3950">
        <v>1.1095029999999999</v>
      </c>
      <c r="L3950">
        <v>139.8766</v>
      </c>
      <c r="M3950">
        <v>-0.99974459999999998</v>
      </c>
      <c r="N3950">
        <v>0</v>
      </c>
      <c r="O3950">
        <v>-2.1437990000000001E-2</v>
      </c>
      <c r="P3950">
        <v>-0.99341809999999997</v>
      </c>
      <c r="Q3950">
        <v>5.6090769999999998E-2</v>
      </c>
      <c r="R3950">
        <v>-9.9872530000000001E-2</v>
      </c>
      <c r="S3950">
        <v>-3.0143740000000001</v>
      </c>
      <c r="T3950">
        <v>-0.14642349999999901</v>
      </c>
      <c r="U3950">
        <v>-0.13809199999999999</v>
      </c>
      <c r="V3950">
        <v>-7.85941E-2</v>
      </c>
      <c r="W3950">
        <v>6.3154909999999995E-2</v>
      </c>
      <c r="X3950">
        <v>0.99490420000000002</v>
      </c>
      <c r="Y3950">
        <v>-2.4333190000000001E-2</v>
      </c>
      <c r="Z3950">
        <v>4.4969690000000001E-4</v>
      </c>
      <c r="AA3950">
        <v>0.99970380000000003</v>
      </c>
      <c r="AB3950">
        <v>35</v>
      </c>
      <c r="AC3950">
        <v>-22.5029</v>
      </c>
      <c r="AD3950">
        <v>-1.1095065442380001</v>
      </c>
      <c r="AE3950">
        <v>-1.0389999999999799</v>
      </c>
      <c r="AF3950">
        <v>-0.55498562872272195</v>
      </c>
      <c r="AG3950">
        <v>-1.1095065442380001</v>
      </c>
      <c r="AH3950">
        <v>22.465505569746998</v>
      </c>
      <c r="AI3950">
        <v>92.826515144663006</v>
      </c>
      <c r="AJ3950">
        <v>91.415141441042906</v>
      </c>
      <c r="AK3950">
        <v>22.499732316721701</v>
      </c>
      <c r="AL3950">
        <v>86.379080339266295</v>
      </c>
      <c r="AM3950">
        <v>94.516794648477699</v>
      </c>
      <c r="AN3950">
        <v>0.99999997119477801</v>
      </c>
    </row>
    <row r="3951" spans="1:40" x14ac:dyDescent="0.25">
      <c r="A3951" t="str">
        <f>"20190312151352530"</f>
        <v>20190312151352530</v>
      </c>
      <c r="B3951" t="str">
        <f>"1552374832524441"</f>
        <v>1552374832524441</v>
      </c>
      <c r="C3951" t="s">
        <v>40</v>
      </c>
      <c r="D3951">
        <v>4.4766959999999996</v>
      </c>
      <c r="E3951">
        <v>0.52348079999999997</v>
      </c>
      <c r="F3951" t="s">
        <v>58</v>
      </c>
      <c r="G3951">
        <v>-282.19880000000001</v>
      </c>
      <c r="H3951" s="1">
        <v>-4.2960250000000001E-6</v>
      </c>
      <c r="I3951">
        <v>138.8347</v>
      </c>
      <c r="J3951">
        <v>-258.35989999999998</v>
      </c>
      <c r="K3951">
        <v>1.109432</v>
      </c>
      <c r="L3951">
        <v>139.86879999999999</v>
      </c>
      <c r="M3951">
        <v>-0.99974269999999998</v>
      </c>
      <c r="N3951">
        <v>0</v>
      </c>
      <c r="O3951">
        <v>-2.1527230000000001E-2</v>
      </c>
      <c r="P3951">
        <v>-0.993533</v>
      </c>
      <c r="Q3951">
        <v>5.6117420000000001E-2</v>
      </c>
      <c r="R3951">
        <v>-9.8706769999999999E-2</v>
      </c>
      <c r="S3951">
        <v>-3.014618</v>
      </c>
      <c r="T3951">
        <v>-0.138209</v>
      </c>
      <c r="U3951">
        <v>-0.1297913</v>
      </c>
      <c r="V3951">
        <v>-7.7326160000000005E-2</v>
      </c>
      <c r="W3951">
        <v>6.3209630000000003E-2</v>
      </c>
      <c r="X3951">
        <v>0.99500010000000005</v>
      </c>
      <c r="Y3951">
        <v>-2.1496319999999999E-2</v>
      </c>
      <c r="Z3951">
        <v>4.9354640000000001E-4</v>
      </c>
      <c r="AA3951">
        <v>0.99976880000000001</v>
      </c>
      <c r="AB3951">
        <v>35</v>
      </c>
      <c r="AC3951">
        <v>-23.838899999999999</v>
      </c>
      <c r="AD3951">
        <v>-1.1094362960249999</v>
      </c>
      <c r="AE3951">
        <v>-1.03409999999999</v>
      </c>
      <c r="AF3951">
        <v>-0.51953860958189102</v>
      </c>
      <c r="AG3951">
        <v>-1.1094362960249999</v>
      </c>
      <c r="AH3951">
        <v>23.804177311352699</v>
      </c>
      <c r="AI3951">
        <v>92.667806949910101</v>
      </c>
      <c r="AJ3951">
        <v>91.250311825022905</v>
      </c>
      <c r="AK3951">
        <v>23.835679699393999</v>
      </c>
      <c r="AL3951">
        <v>86.375938926240806</v>
      </c>
      <c r="AM3951">
        <v>94.443793946332406</v>
      </c>
      <c r="AN3951">
        <v>0.99999999567254605</v>
      </c>
    </row>
    <row r="3952" spans="1:40" x14ac:dyDescent="0.25">
      <c r="A3952" t="str">
        <f>"20190312151352551"</f>
        <v>20190312151352551</v>
      </c>
      <c r="B3952" t="str">
        <f>"1552374832543961"</f>
        <v>1552374832543961</v>
      </c>
      <c r="C3952" t="s">
        <v>40</v>
      </c>
      <c r="D3952">
        <v>4.531968</v>
      </c>
      <c r="E3952">
        <v>0.52374290000000001</v>
      </c>
      <c r="F3952" t="s">
        <v>58</v>
      </c>
      <c r="G3952">
        <v>-283.13810000000001</v>
      </c>
      <c r="H3952" s="1">
        <v>-4.7183229999999998E-6</v>
      </c>
      <c r="I3952">
        <v>138.84989999999999</v>
      </c>
      <c r="J3952">
        <v>-258.69819999999999</v>
      </c>
      <c r="K3952">
        <v>1.1093850000000001</v>
      </c>
      <c r="L3952">
        <v>139.86150000000001</v>
      </c>
      <c r="M3952">
        <v>-0.99974169999999996</v>
      </c>
      <c r="N3952">
        <v>0</v>
      </c>
      <c r="O3952">
        <v>-2.1567329999999999E-2</v>
      </c>
      <c r="P3952">
        <v>-0.9936971</v>
      </c>
      <c r="Q3952">
        <v>5.5793969999999998E-2</v>
      </c>
      <c r="R3952">
        <v>-9.7229449999999995E-2</v>
      </c>
      <c r="S3952">
        <v>-3.0148320000000002</v>
      </c>
      <c r="T3952">
        <v>-0.13498850000000001</v>
      </c>
      <c r="U3952">
        <v>-0.1239624</v>
      </c>
      <c r="V3952">
        <v>-7.5797859999999995E-2</v>
      </c>
      <c r="W3952">
        <v>6.2909350000000003E-2</v>
      </c>
      <c r="X3952">
        <v>0.99513669999999999</v>
      </c>
      <c r="Y3952">
        <v>-1.952562E-2</v>
      </c>
      <c r="Z3952">
        <v>5.2791969999999998E-4</v>
      </c>
      <c r="AA3952">
        <v>0.99980919999999895</v>
      </c>
      <c r="AB3952">
        <v>35</v>
      </c>
      <c r="AC3952">
        <v>-24.439900000000002</v>
      </c>
      <c r="AD3952">
        <v>-1.1093897183229999</v>
      </c>
      <c r="AE3952">
        <v>-1.01160000000001</v>
      </c>
      <c r="AF3952">
        <v>-0.48325372264976701</v>
      </c>
      <c r="AG3952">
        <v>-1.1093897183229999</v>
      </c>
      <c r="AH3952">
        <v>24.405831174641101</v>
      </c>
      <c r="AI3952">
        <v>92.602131928015794</v>
      </c>
      <c r="AJ3952">
        <v>91.134351081970294</v>
      </c>
      <c r="AK3952">
        <v>24.435811323397001</v>
      </c>
      <c r="AL3952">
        <v>86.3931779446159</v>
      </c>
      <c r="AM3952">
        <v>94.355711121979994</v>
      </c>
      <c r="AN3952">
        <v>0.99999997679244501</v>
      </c>
    </row>
    <row r="3953" spans="1:40" x14ac:dyDescent="0.25">
      <c r="A3953" t="str">
        <f>"20190312151352574"</f>
        <v>20190312151352574</v>
      </c>
      <c r="B3953" t="str">
        <f>"1552374832564460"</f>
        <v>1552374832564460</v>
      </c>
      <c r="C3953" t="s">
        <v>40</v>
      </c>
      <c r="D3953">
        <v>4.3966890000000003</v>
      </c>
      <c r="E3953">
        <v>0.52401629999999999</v>
      </c>
      <c r="F3953" t="s">
        <v>58</v>
      </c>
      <c r="G3953">
        <v>-283.86189999999999</v>
      </c>
      <c r="H3953" s="1">
        <v>-5.0526950000000004E-6</v>
      </c>
      <c r="I3953">
        <v>138.8852</v>
      </c>
      <c r="J3953">
        <v>-259.04680000000002</v>
      </c>
      <c r="K3953">
        <v>1.1093459999999999</v>
      </c>
      <c r="L3953">
        <v>139.85390000000001</v>
      </c>
      <c r="M3953">
        <v>-0.9997414</v>
      </c>
      <c r="N3953">
        <v>0</v>
      </c>
      <c r="O3953">
        <v>-2.1573559999999999E-2</v>
      </c>
      <c r="P3953">
        <v>-0.99386030000000003</v>
      </c>
      <c r="Q3953">
        <v>5.6282400000000003E-2</v>
      </c>
      <c r="R3953">
        <v>-9.5258129999999996E-2</v>
      </c>
      <c r="S3953">
        <v>-3.0150450000000002</v>
      </c>
      <c r="T3953">
        <v>-0.13292419999999999</v>
      </c>
      <c r="U3953">
        <v>-0.11697390000000001</v>
      </c>
      <c r="V3953">
        <v>-7.3810899999999999E-2</v>
      </c>
      <c r="W3953">
        <v>6.3419020000000006E-2</v>
      </c>
      <c r="X3953">
        <v>0.99525370000000002</v>
      </c>
      <c r="Y3953">
        <v>-1.7204879999999999E-2</v>
      </c>
      <c r="Z3953">
        <v>5.7123540000000004E-4</v>
      </c>
      <c r="AA3953">
        <v>0.99985179999999996</v>
      </c>
      <c r="AB3953">
        <v>35</v>
      </c>
      <c r="AC3953">
        <v>-24.815099999999902</v>
      </c>
      <c r="AD3953">
        <v>-1.1093510526949999</v>
      </c>
      <c r="AE3953">
        <v>-0.968700000000012</v>
      </c>
      <c r="AF3953">
        <v>-0.43224810763928001</v>
      </c>
      <c r="AG3953">
        <v>-1.1093510526949999</v>
      </c>
      <c r="AH3953">
        <v>24.780773947334101</v>
      </c>
      <c r="AI3953">
        <v>92.562836686843994</v>
      </c>
      <c r="AJ3953">
        <v>90.9993021631565</v>
      </c>
      <c r="AK3953">
        <v>24.809358226555201</v>
      </c>
      <c r="AL3953">
        <v>86.363917565674299</v>
      </c>
      <c r="AM3953">
        <v>94.241456307932197</v>
      </c>
      <c r="AN3953">
        <v>0.99999997421012998</v>
      </c>
    </row>
    <row r="3954" spans="1:40" x14ac:dyDescent="0.25">
      <c r="A3954" t="str">
        <f>"20190312151352595"</f>
        <v>20190312151352595</v>
      </c>
      <c r="B3954" t="str">
        <f>"1552374832583977"</f>
        <v>1552374832583977</v>
      </c>
      <c r="C3954" t="s">
        <v>40</v>
      </c>
      <c r="D3954">
        <v>4.4747750000000002</v>
      </c>
      <c r="E3954">
        <v>0.52418949999999997</v>
      </c>
      <c r="F3954" t="s">
        <v>58</v>
      </c>
      <c r="G3954">
        <v>-285.01420000000002</v>
      </c>
      <c r="H3954" s="1">
        <v>-5.5897709999999899E-6</v>
      </c>
      <c r="I3954">
        <v>138.91839999999999</v>
      </c>
      <c r="J3954">
        <v>-259.39449999999999</v>
      </c>
      <c r="K3954">
        <v>1.109307</v>
      </c>
      <c r="L3954">
        <v>139.84639999999999</v>
      </c>
      <c r="M3954">
        <v>-0.99974189999999996</v>
      </c>
      <c r="N3954">
        <v>0</v>
      </c>
      <c r="O3954">
        <v>-2.1545849999999998E-2</v>
      </c>
      <c r="P3954">
        <v>-0.99400060000000001</v>
      </c>
      <c r="Q3954">
        <v>5.7072560000000001E-2</v>
      </c>
      <c r="R3954">
        <v>-9.3304360000000003E-2</v>
      </c>
      <c r="S3954">
        <v>-3.0154420000000002</v>
      </c>
      <c r="T3954">
        <v>-0.12882279999999999</v>
      </c>
      <c r="U3954">
        <v>-0.1086273</v>
      </c>
      <c r="V3954">
        <v>-7.1876460000000003E-2</v>
      </c>
      <c r="W3954">
        <v>6.4229419999999995E-2</v>
      </c>
      <c r="X3954">
        <v>0.99534330000000004</v>
      </c>
      <c r="Y3954">
        <v>-1.446598E-2</v>
      </c>
      <c r="Z3954">
        <v>6.1086509999999997E-4</v>
      </c>
      <c r="AA3954">
        <v>0.99989519999999998</v>
      </c>
      <c r="AB3954">
        <v>35</v>
      </c>
      <c r="AC3954">
        <v>-25.619700000000002</v>
      </c>
      <c r="AD3954">
        <v>-1.1093125897709999</v>
      </c>
      <c r="AE3954">
        <v>-0.92799999999999705</v>
      </c>
      <c r="AF3954">
        <v>-0.375069755952609</v>
      </c>
      <c r="AG3954">
        <v>-1.1093125897709999</v>
      </c>
      <c r="AH3954">
        <v>25.585841415898901</v>
      </c>
      <c r="AI3954">
        <v>92.482323419956003</v>
      </c>
      <c r="AJ3954">
        <v>90.839854141814001</v>
      </c>
      <c r="AK3954">
        <v>25.6126244790178</v>
      </c>
      <c r="AL3954">
        <v>86.317390165159097</v>
      </c>
      <c r="AM3954">
        <v>94.130315363667506</v>
      </c>
      <c r="AN3954">
        <v>0.99999996437527805</v>
      </c>
    </row>
    <row r="3955" spans="1:40" x14ac:dyDescent="0.25">
      <c r="A3955" t="str">
        <f>"20190312151352618"</f>
        <v>20190312151352618</v>
      </c>
      <c r="B3955" t="str">
        <f>"1552374832614233"</f>
        <v>1552374832614233</v>
      </c>
      <c r="C3955" t="s">
        <v>40</v>
      </c>
      <c r="D3955">
        <v>4.538373</v>
      </c>
      <c r="E3955">
        <v>0.52446910000000002</v>
      </c>
      <c r="F3955" t="s">
        <v>58</v>
      </c>
      <c r="G3955">
        <v>-286.46449999999999</v>
      </c>
      <c r="H3955" s="1">
        <v>-6.5165779999999901E-6</v>
      </c>
      <c r="I3955">
        <v>138.93700000000001</v>
      </c>
      <c r="J3955">
        <v>-259.74950000000001</v>
      </c>
      <c r="K3955">
        <v>1.1092599999999999</v>
      </c>
      <c r="L3955">
        <v>139.83869999999999</v>
      </c>
      <c r="M3955">
        <v>-0.99974320000000005</v>
      </c>
      <c r="N3955">
        <v>0</v>
      </c>
      <c r="O3955">
        <v>-2.1482109999999999E-2</v>
      </c>
      <c r="P3955">
        <v>-0.99417299999999997</v>
      </c>
      <c r="Q3955">
        <v>5.7259690000000002E-2</v>
      </c>
      <c r="R3955">
        <v>-9.1331460000000003E-2</v>
      </c>
      <c r="S3955">
        <v>-3.0156860000000001</v>
      </c>
      <c r="T3955">
        <v>-0.12358130000000001</v>
      </c>
      <c r="U3955">
        <v>-0.10130309999999999</v>
      </c>
      <c r="V3955">
        <v>-6.9957930000000002E-2</v>
      </c>
      <c r="W3955">
        <v>6.4437839999999996E-2</v>
      </c>
      <c r="X3955">
        <v>0.99546650000000003</v>
      </c>
      <c r="Y3955">
        <v>-1.2102669999999999E-2</v>
      </c>
      <c r="Z3955">
        <v>6.3179489999999996E-4</v>
      </c>
      <c r="AA3955">
        <v>0.9999266</v>
      </c>
      <c r="AB3955">
        <v>35</v>
      </c>
      <c r="AC3955">
        <v>-26.7149999999999</v>
      </c>
      <c r="AD3955">
        <v>-1.109266516578</v>
      </c>
      <c r="AE3955">
        <v>-0.90169999999997597</v>
      </c>
      <c r="AF3955">
        <v>-0.32701922975521203</v>
      </c>
      <c r="AG3955">
        <v>-1.109266516578</v>
      </c>
      <c r="AH3955">
        <v>26.682255235502701</v>
      </c>
      <c r="AI3955">
        <v>92.380419010508604</v>
      </c>
      <c r="AJ3955">
        <v>90.702185158088895</v>
      </c>
      <c r="AK3955">
        <v>26.707305334569799</v>
      </c>
      <c r="AL3955">
        <v>86.305423735829706</v>
      </c>
      <c r="AM3955">
        <v>94.019939304074896</v>
      </c>
      <c r="AN3955">
        <v>0.99999994990799901</v>
      </c>
    </row>
    <row r="3956" spans="1:40" x14ac:dyDescent="0.25">
      <c r="A3956" t="str">
        <f>"20190312151352641"</f>
        <v>20190312151352641</v>
      </c>
      <c r="B3956" t="str">
        <f>"1552374832634729"</f>
        <v>1552374832634729</v>
      </c>
      <c r="C3956" t="s">
        <v>40</v>
      </c>
      <c r="D3956">
        <v>4.473967</v>
      </c>
      <c r="E3956">
        <v>0.54067460000000001</v>
      </c>
      <c r="F3956" t="s">
        <v>58</v>
      </c>
      <c r="G3956">
        <v>-287.57150000000001</v>
      </c>
      <c r="H3956" s="1">
        <v>-7.2216259999999999E-6</v>
      </c>
      <c r="I3956">
        <v>138.98249999999999</v>
      </c>
      <c r="J3956">
        <v>-260.11329999999998</v>
      </c>
      <c r="K3956">
        <v>1.109213</v>
      </c>
      <c r="L3956">
        <v>139.83099999999999</v>
      </c>
      <c r="M3956">
        <v>-0.99974549999999995</v>
      </c>
      <c r="N3956">
        <v>0</v>
      </c>
      <c r="O3956">
        <v>-2.1374199999999999E-2</v>
      </c>
      <c r="P3956">
        <v>-0.99433320000000003</v>
      </c>
      <c r="Q3956">
        <v>5.7266539999999998E-2</v>
      </c>
      <c r="R3956">
        <v>-8.9566080000000006E-2</v>
      </c>
      <c r="S3956">
        <v>-3.0159910000000001</v>
      </c>
      <c r="T3956">
        <v>-0.1202478</v>
      </c>
      <c r="U3956">
        <v>-9.2819209999999999E-2</v>
      </c>
      <c r="V3956">
        <v>-6.8288740000000001E-2</v>
      </c>
      <c r="W3956">
        <v>6.4467339999999998E-2</v>
      </c>
      <c r="X3956">
        <v>0.99558060000000004</v>
      </c>
      <c r="Y3956">
        <v>-9.3989620000000003E-3</v>
      </c>
      <c r="Z3956">
        <v>6.6430489999999998E-4</v>
      </c>
      <c r="AA3956">
        <v>0.99995560000000006</v>
      </c>
      <c r="AB3956">
        <v>35</v>
      </c>
      <c r="AC3956">
        <v>-27.458200000000001</v>
      </c>
      <c r="AD3956">
        <v>-1.1092202216259901</v>
      </c>
      <c r="AE3956">
        <v>-0.84850000000002901</v>
      </c>
      <c r="AF3956">
        <v>-0.26096833905616101</v>
      </c>
      <c r="AG3956">
        <v>-1.1092202216259901</v>
      </c>
      <c r="AH3956">
        <v>27.425350694303098</v>
      </c>
      <c r="AI3956">
        <v>92.315964736030196</v>
      </c>
      <c r="AJ3956">
        <v>90.545186579770501</v>
      </c>
      <c r="AK3956">
        <v>27.449013364410199</v>
      </c>
      <c r="AL3956">
        <v>86.303730397967698</v>
      </c>
      <c r="AM3956">
        <v>93.923878896439405</v>
      </c>
      <c r="AN3956">
        <v>1.0000000605169099</v>
      </c>
    </row>
    <row r="3957" spans="1:40" x14ac:dyDescent="0.25">
      <c r="A3957" t="str">
        <f>"20190312151352665"</f>
        <v>20190312151352665</v>
      </c>
      <c r="B3957" t="str">
        <f>"1552374832654249"</f>
        <v>1552374832654249</v>
      </c>
      <c r="C3957" t="s">
        <v>40</v>
      </c>
      <c r="D3957">
        <v>4.4146869999999998</v>
      </c>
      <c r="E3957">
        <v>0.54120509999999999</v>
      </c>
      <c r="F3957" t="s">
        <v>58</v>
      </c>
      <c r="G3957">
        <v>-280.23770000000002</v>
      </c>
      <c r="H3957" s="1">
        <v>-3.8771079999999999E-6</v>
      </c>
      <c r="I3957">
        <v>140.0926</v>
      </c>
      <c r="J3957">
        <v>-260.48919999999998</v>
      </c>
      <c r="K3957">
        <v>1.109154</v>
      </c>
      <c r="L3957">
        <v>139.82310000000001</v>
      </c>
      <c r="M3957">
        <v>-0.99974909999999995</v>
      </c>
      <c r="N3957">
        <v>0</v>
      </c>
      <c r="O3957">
        <v>-2.1205749999999999E-2</v>
      </c>
      <c r="P3957">
        <v>-0.9945252</v>
      </c>
      <c r="Q3957">
        <v>5.7544070000000003E-2</v>
      </c>
      <c r="R3957">
        <v>-8.7228399999999998E-2</v>
      </c>
      <c r="S3957">
        <v>-3.0302730000000002</v>
      </c>
      <c r="T3957">
        <v>-0.16702210000000001</v>
      </c>
      <c r="U3957">
        <v>3.939819E-2</v>
      </c>
      <c r="V3957">
        <v>-6.6105910000000004E-2</v>
      </c>
      <c r="W3957">
        <v>6.4765680000000006E-2</v>
      </c>
      <c r="X3957">
        <v>0.9957085</v>
      </c>
      <c r="Y3957">
        <v>3.4118059999999999E-2</v>
      </c>
      <c r="Z3957">
        <v>2.1073889999999999E-3</v>
      </c>
      <c r="AA3957">
        <v>0.99941559999999896</v>
      </c>
      <c r="AB3957">
        <v>35</v>
      </c>
      <c r="AC3957">
        <v>-19.7485</v>
      </c>
      <c r="AD3957">
        <v>-1.109157877108</v>
      </c>
      <c r="AE3957">
        <v>0.26949999999999302</v>
      </c>
      <c r="AF3957">
        <v>0.68606830929632001</v>
      </c>
      <c r="AG3957">
        <v>-1.109157877108</v>
      </c>
      <c r="AH3957">
        <v>19.6762883042223</v>
      </c>
      <c r="AI3957">
        <v>93.224409316282603</v>
      </c>
      <c r="AJ3957">
        <v>88.003032912789706</v>
      </c>
      <c r="AK3957">
        <v>19.719463541188102</v>
      </c>
      <c r="AL3957">
        <v>86.286600756465205</v>
      </c>
      <c r="AM3957">
        <v>93.7983399852004</v>
      </c>
      <c r="AN3957">
        <v>1.0000000008075201</v>
      </c>
    </row>
    <row r="3958" spans="1:40" x14ac:dyDescent="0.25">
      <c r="A3958" t="str">
        <f>"20190312151352687"</f>
        <v>20190312151352687</v>
      </c>
      <c r="B3958" t="str">
        <f>"1552374832684506"</f>
        <v>1552374832684506</v>
      </c>
      <c r="C3958" t="s">
        <v>40</v>
      </c>
      <c r="D3958">
        <v>4.4814100000000003</v>
      </c>
      <c r="E3958">
        <v>0.54170289999999999</v>
      </c>
      <c r="F3958" t="s">
        <v>58</v>
      </c>
      <c r="G3958">
        <v>-280.94330000000002</v>
      </c>
      <c r="H3958" s="1">
        <v>-4.2137230000000004E-6</v>
      </c>
      <c r="I3958">
        <v>140.16589999999999</v>
      </c>
      <c r="J3958">
        <v>-260.8331</v>
      </c>
      <c r="K3958">
        <v>1.1090880000000001</v>
      </c>
      <c r="L3958">
        <v>139.8159</v>
      </c>
      <c r="M3958">
        <v>-0.99975360000000002</v>
      </c>
      <c r="N3958">
        <v>0</v>
      </c>
      <c r="O3958">
        <v>-2.0983760000000001E-2</v>
      </c>
      <c r="P3958">
        <v>-0.99468049999999997</v>
      </c>
      <c r="Q3958">
        <v>5.8163659999999999E-2</v>
      </c>
      <c r="R3958">
        <v>-8.5016120000000001E-2</v>
      </c>
      <c r="S3958">
        <v>-3.030548</v>
      </c>
      <c r="T3958">
        <v>-0.1643367</v>
      </c>
      <c r="U3958">
        <v>5.0796510000000003E-2</v>
      </c>
      <c r="V3958">
        <v>-6.4102359999999997E-2</v>
      </c>
      <c r="W3958">
        <v>6.5401399999999998E-2</v>
      </c>
      <c r="X3958">
        <v>0.99579790000000001</v>
      </c>
      <c r="Y3958">
        <v>3.7650679999999999E-2</v>
      </c>
      <c r="Z3958">
        <v>2.1569979999999998E-3</v>
      </c>
      <c r="AA3958">
        <v>0.99928859999999997</v>
      </c>
      <c r="AB3958">
        <v>35</v>
      </c>
      <c r="AC3958">
        <v>-20.110199999999999</v>
      </c>
      <c r="AD3958">
        <v>-1.1090922137229999</v>
      </c>
      <c r="AE3958">
        <v>0.34999999999999398</v>
      </c>
      <c r="AF3958">
        <v>0.769581550335664</v>
      </c>
      <c r="AG3958">
        <v>-1.1090922137229999</v>
      </c>
      <c r="AH3958">
        <v>20.037499663811101</v>
      </c>
      <c r="AI3958">
        <v>93.165806769769603</v>
      </c>
      <c r="AJ3958">
        <v>87.800518338826095</v>
      </c>
      <c r="AK3958">
        <v>20.0829214527765</v>
      </c>
      <c r="AL3958">
        <v>86.2500991274255</v>
      </c>
      <c r="AM3958">
        <v>93.6832112945945</v>
      </c>
      <c r="AN3958">
        <v>0.99999995666196795</v>
      </c>
    </row>
    <row r="3959" spans="1:40" x14ac:dyDescent="0.25">
      <c r="A3959" t="str">
        <f>"20190312151352709"</f>
        <v>20190312151352709</v>
      </c>
      <c r="B3959" t="str">
        <f>"1552374832704026"</f>
        <v>1552374832704026</v>
      </c>
      <c r="C3959" t="s">
        <v>40</v>
      </c>
      <c r="D3959">
        <v>4.514386</v>
      </c>
      <c r="E3959">
        <v>0.54117059999999995</v>
      </c>
      <c r="F3959" t="s">
        <v>58</v>
      </c>
      <c r="G3959">
        <v>-283.46350000000001</v>
      </c>
      <c r="H3959" s="1">
        <v>-5.3682840000000003E-6</v>
      </c>
      <c r="I3959">
        <v>140.28020000000001</v>
      </c>
      <c r="J3959">
        <v>-261.18540000000002</v>
      </c>
      <c r="K3959">
        <v>1.10902099999999</v>
      </c>
      <c r="L3959">
        <v>139.80879999999999</v>
      </c>
      <c r="M3959">
        <v>-0.99975970000000003</v>
      </c>
      <c r="N3959">
        <v>0</v>
      </c>
      <c r="O3959">
        <v>-2.0680049999999998E-2</v>
      </c>
      <c r="P3959">
        <v>-0.99483239999999995</v>
      </c>
      <c r="Q3959">
        <v>5.8058169999999999E-2</v>
      </c>
      <c r="R3959">
        <v>-8.329375E-2</v>
      </c>
      <c r="S3959">
        <v>-3.0300289999999999</v>
      </c>
      <c r="T3959">
        <v>-0.14849899999999999</v>
      </c>
      <c r="U3959">
        <v>6.216431E-2</v>
      </c>
      <c r="V3959">
        <v>-6.2668669999999996E-2</v>
      </c>
      <c r="W3959">
        <v>6.5311469999999996E-2</v>
      </c>
      <c r="X3959">
        <v>0.99589510000000003</v>
      </c>
      <c r="Y3959">
        <v>4.1109479999999997E-2</v>
      </c>
      <c r="Z3959">
        <v>2.019482E-3</v>
      </c>
      <c r="AA3959">
        <v>0.99915259999999995</v>
      </c>
      <c r="AB3959">
        <v>36</v>
      </c>
      <c r="AC3959">
        <v>-22.278099999999899</v>
      </c>
      <c r="AD3959">
        <v>-1.10902636828399</v>
      </c>
      <c r="AE3959">
        <v>0.47140000000001597</v>
      </c>
      <c r="AF3959">
        <v>0.92972063118415005</v>
      </c>
      <c r="AG3959">
        <v>-1.10902636828399</v>
      </c>
      <c r="AH3959">
        <v>22.208575097967898</v>
      </c>
      <c r="AI3959">
        <v>92.856298608245396</v>
      </c>
      <c r="AJ3959">
        <v>87.602818626175306</v>
      </c>
      <c r="AK3959">
        <v>22.255676305600701</v>
      </c>
      <c r="AL3959">
        <v>86.255262940566297</v>
      </c>
      <c r="AM3959">
        <v>93.600702626857597</v>
      </c>
      <c r="AN3959">
        <v>1.0000000002585601</v>
      </c>
    </row>
    <row r="3960" spans="1:40" x14ac:dyDescent="0.25">
      <c r="A3960" t="str">
        <f>"20190312151352730"</f>
        <v>20190312151352730</v>
      </c>
      <c r="B3960" t="str">
        <f>"1552374832724521"</f>
        <v>1552374832724521</v>
      </c>
      <c r="C3960" t="s">
        <v>40</v>
      </c>
      <c r="D3960">
        <v>4.446682</v>
      </c>
      <c r="E3960">
        <v>0.54119439999999996</v>
      </c>
      <c r="F3960" t="s">
        <v>58</v>
      </c>
      <c r="G3960">
        <v>-285.58269999999999</v>
      </c>
      <c r="H3960" s="1">
        <v>-6.4331089999999897E-6</v>
      </c>
      <c r="I3960">
        <v>140.32069999999999</v>
      </c>
      <c r="J3960">
        <v>-261.52839999999998</v>
      </c>
      <c r="K3960">
        <v>1.1089549999999999</v>
      </c>
      <c r="L3960">
        <v>139.80199999999999</v>
      </c>
      <c r="M3960">
        <v>-0.99976730000000003</v>
      </c>
      <c r="N3960">
        <v>0</v>
      </c>
      <c r="O3960">
        <v>-2.0319529999999999E-2</v>
      </c>
      <c r="P3960">
        <v>-0.99495769999999994</v>
      </c>
      <c r="Q3960">
        <v>5.8134760000000001E-2</v>
      </c>
      <c r="R3960">
        <v>-8.1731979999999996E-2</v>
      </c>
      <c r="S3960">
        <v>-3.028931</v>
      </c>
      <c r="T3960">
        <v>-0.1376859</v>
      </c>
      <c r="U3960">
        <v>6.3552860000000003E-2</v>
      </c>
      <c r="V3960">
        <v>-6.145304E-2</v>
      </c>
      <c r="W3960">
        <v>6.5402360000000007E-2</v>
      </c>
      <c r="X3960">
        <v>0.99596490000000004</v>
      </c>
      <c r="Y3960">
        <v>4.1225060000000001E-2</v>
      </c>
      <c r="Z3960">
        <v>1.859507E-3</v>
      </c>
      <c r="AA3960">
        <v>0.99914809999999998</v>
      </c>
      <c r="AB3960">
        <v>36</v>
      </c>
      <c r="AC3960">
        <v>-24.054300000000001</v>
      </c>
      <c r="AD3960">
        <v>-1.1089614331090001</v>
      </c>
      <c r="AE3960">
        <v>0.51869999999996697</v>
      </c>
      <c r="AF3960">
        <v>1.0052422121031299</v>
      </c>
      <c r="AG3960">
        <v>-1.1089614331090001</v>
      </c>
      <c r="AH3960">
        <v>23.987832563850599</v>
      </c>
      <c r="AI3960">
        <v>92.644590854453497</v>
      </c>
      <c r="AJ3960">
        <v>87.600347767069195</v>
      </c>
      <c r="AK3960">
        <v>24.034483944458799</v>
      </c>
      <c r="AL3960">
        <v>86.2500442186237</v>
      </c>
      <c r="AM3960">
        <v>93.530788783939201</v>
      </c>
      <c r="AN3960">
        <v>1.0000000134254099</v>
      </c>
    </row>
    <row r="3961" spans="1:40" x14ac:dyDescent="0.25">
      <c r="A3961" t="str">
        <f>"20190312151352752"</f>
        <v>20190312151352752</v>
      </c>
      <c r="B3961" t="str">
        <f>"1552374832744041"</f>
        <v>1552374832744041</v>
      </c>
      <c r="C3961" t="s">
        <v>40</v>
      </c>
      <c r="D3961">
        <v>4.476407</v>
      </c>
      <c r="E3961">
        <v>0.54078939999999998</v>
      </c>
      <c r="F3961" t="s">
        <v>58</v>
      </c>
      <c r="G3961">
        <v>-286.98430000000002</v>
      </c>
      <c r="H3961" s="1">
        <v>-7.3248399999999898E-6</v>
      </c>
      <c r="I3961">
        <v>140.37989999999999</v>
      </c>
      <c r="J3961">
        <v>-261.88130000000001</v>
      </c>
      <c r="K3961">
        <v>1.1088929999999999</v>
      </c>
      <c r="L3961">
        <v>139.79519999999999</v>
      </c>
      <c r="M3961">
        <v>-0.99977609999999995</v>
      </c>
      <c r="N3961">
        <v>0</v>
      </c>
      <c r="O3961">
        <v>-1.987498E-2</v>
      </c>
      <c r="P3961">
        <v>-0.99498900000000001</v>
      </c>
      <c r="Q3961">
        <v>5.8557940000000003E-2</v>
      </c>
      <c r="R3961">
        <v>-8.1040769999999998E-2</v>
      </c>
      <c r="S3961">
        <v>-3.0285639999999998</v>
      </c>
      <c r="T3961">
        <v>-0.13193640000000001</v>
      </c>
      <c r="U3961">
        <v>6.8756100000000001E-2</v>
      </c>
      <c r="V3961">
        <v>-6.1194329999999998E-2</v>
      </c>
      <c r="W3961">
        <v>6.5840570000000001E-2</v>
      </c>
      <c r="X3961">
        <v>0.99595199999999995</v>
      </c>
      <c r="Y3961">
        <v>4.2503449999999998E-2</v>
      </c>
      <c r="Z3961">
        <v>1.7905929999999901E-3</v>
      </c>
      <c r="AA3961">
        <v>0.9990947</v>
      </c>
      <c r="AB3961">
        <v>36</v>
      </c>
      <c r="AC3961">
        <v>-25.103000000000002</v>
      </c>
      <c r="AD3961">
        <v>-1.10890032484</v>
      </c>
      <c r="AE3961">
        <v>0.584699999999997</v>
      </c>
      <c r="AF3961">
        <v>1.0814102198937301</v>
      </c>
      <c r="AG3961">
        <v>-1.10890032484</v>
      </c>
      <c r="AH3961">
        <v>25.037589561829002</v>
      </c>
      <c r="AI3961">
        <v>92.533580576946505</v>
      </c>
      <c r="AJ3961">
        <v>87.526848363898793</v>
      </c>
      <c r="AK3961">
        <v>25.085453933718799</v>
      </c>
      <c r="AL3961">
        <v>86.224882563974504</v>
      </c>
      <c r="AM3961">
        <v>93.516007374765906</v>
      </c>
      <c r="AN3961">
        <v>1.00000005649303</v>
      </c>
    </row>
    <row r="3962" spans="1:40" x14ac:dyDescent="0.25">
      <c r="A3962" t="str">
        <f>"20190312151352775"</f>
        <v>20190312151352775</v>
      </c>
      <c r="B3962" t="str">
        <f>"1552374832764537"</f>
        <v>1552374832764537</v>
      </c>
      <c r="C3962" t="s">
        <v>40</v>
      </c>
      <c r="D3962">
        <v>4.4385409999999998</v>
      </c>
      <c r="E3962">
        <v>0.54041479999999997</v>
      </c>
      <c r="F3962" t="s">
        <v>58</v>
      </c>
      <c r="G3962">
        <v>-288.3895</v>
      </c>
      <c r="H3962" s="1">
        <v>-8.2022779999999992E-6</v>
      </c>
      <c r="I3962">
        <v>140.38820000000001</v>
      </c>
      <c r="J3962">
        <v>-262.25389999999999</v>
      </c>
      <c r="K3962">
        <v>1.1088199999999999</v>
      </c>
      <c r="L3962">
        <v>139.78829999999999</v>
      </c>
      <c r="M3962">
        <v>-0.99978710000000004</v>
      </c>
      <c r="N3962">
        <v>0</v>
      </c>
      <c r="O3962">
        <v>-1.9314270000000001E-2</v>
      </c>
      <c r="P3962">
        <v>-0.99505739999999998</v>
      </c>
      <c r="Q3962">
        <v>5.9196779999999997E-2</v>
      </c>
      <c r="R3962">
        <v>-7.9728129999999994E-2</v>
      </c>
      <c r="S3962">
        <v>-3.028076</v>
      </c>
      <c r="T3962">
        <v>-0.12667129999999999</v>
      </c>
      <c r="U3962">
        <v>6.7733760000000004E-2</v>
      </c>
      <c r="V3962">
        <v>-6.0426609999999999E-2</v>
      </c>
      <c r="W3962">
        <v>6.6494310000000001E-2</v>
      </c>
      <c r="X3962">
        <v>0.99595540000000005</v>
      </c>
      <c r="Y3962">
        <v>4.16155E-2</v>
      </c>
      <c r="Z3962">
        <v>1.6774789999999999E-3</v>
      </c>
      <c r="AA3962">
        <v>0.99913229999999997</v>
      </c>
      <c r="AB3962">
        <v>36</v>
      </c>
      <c r="AC3962">
        <v>-26.1356</v>
      </c>
      <c r="AD3962">
        <v>-1.1088282022780001</v>
      </c>
      <c r="AE3962">
        <v>0.59990000000001897</v>
      </c>
      <c r="AF3962">
        <v>1.1026078220048201</v>
      </c>
      <c r="AG3962">
        <v>-1.1088282022780001</v>
      </c>
      <c r="AH3962">
        <v>26.0722331836519</v>
      </c>
      <c r="AI3962">
        <v>92.4330973085262</v>
      </c>
      <c r="AJ3962">
        <v>87.578375731505105</v>
      </c>
      <c r="AK3962">
        <v>26.119084730787002</v>
      </c>
      <c r="AL3962">
        <v>86.187343593804798</v>
      </c>
      <c r="AM3962">
        <v>93.471993694173506</v>
      </c>
      <c r="AN3962">
        <v>1.0000000136238101</v>
      </c>
    </row>
    <row r="3963" spans="1:40" x14ac:dyDescent="0.25">
      <c r="A3963" t="str">
        <f>"20190312151352796"</f>
        <v>20190312151352796</v>
      </c>
      <c r="B3963" t="str">
        <f>"1552374832784057"</f>
        <v>1552374832784057</v>
      </c>
      <c r="C3963" t="s">
        <v>40</v>
      </c>
      <c r="D3963">
        <v>4.4467730000000003</v>
      </c>
      <c r="E3963">
        <v>0.54006269999999901</v>
      </c>
      <c r="F3963" t="s">
        <v>58</v>
      </c>
      <c r="G3963">
        <v>-289.38330000000002</v>
      </c>
      <c r="H3963" s="1">
        <v>-8.824893E-6</v>
      </c>
      <c r="I3963">
        <v>140.40039999999999</v>
      </c>
      <c r="J3963">
        <v>-262.60050000000001</v>
      </c>
      <c r="K3963">
        <v>1.1087419999999999</v>
      </c>
      <c r="L3963">
        <v>139.78210000000001</v>
      </c>
      <c r="M3963">
        <v>-0.99979879999999999</v>
      </c>
      <c r="N3963">
        <v>0</v>
      </c>
      <c r="O3963">
        <v>-1.8699540000000001E-2</v>
      </c>
      <c r="P3963">
        <v>-0.99506470000000002</v>
      </c>
      <c r="Q3963">
        <v>5.9848060000000002E-2</v>
      </c>
      <c r="R3963">
        <v>-7.9149750000000005E-2</v>
      </c>
      <c r="S3963">
        <v>-3.0277400000000001</v>
      </c>
      <c r="T3963">
        <v>-0.123749499999999</v>
      </c>
      <c r="U3963">
        <v>6.8313600000000002E-2</v>
      </c>
      <c r="V3963">
        <v>-6.0447180000000003E-2</v>
      </c>
      <c r="W3963">
        <v>6.7158019999999999E-2</v>
      </c>
      <c r="X3963">
        <v>0.99590959999999995</v>
      </c>
      <c r="Y3963">
        <v>4.1198169999999999E-2</v>
      </c>
      <c r="Z3963">
        <v>1.6053619999999999E-3</v>
      </c>
      <c r="AA3963">
        <v>0.99914970000000003</v>
      </c>
      <c r="AB3963">
        <v>36</v>
      </c>
      <c r="AC3963">
        <v>-26.782800000000002</v>
      </c>
      <c r="AD3963">
        <v>-1.108750824893</v>
      </c>
      <c r="AE3963">
        <v>0.61829999999997598</v>
      </c>
      <c r="AF3963">
        <v>1.1171176393993301</v>
      </c>
      <c r="AG3963">
        <v>-1.108750824893</v>
      </c>
      <c r="AH3963">
        <v>26.720785257390499</v>
      </c>
      <c r="AI3963">
        <v>92.373993566624407</v>
      </c>
      <c r="AJ3963">
        <v>87.606025654821806</v>
      </c>
      <c r="AK3963">
        <v>26.767100048072798</v>
      </c>
      <c r="AL3963">
        <v>86.149230548489797</v>
      </c>
      <c r="AM3963">
        <v>93.473332046651095</v>
      </c>
      <c r="AN3963">
        <v>0.99999999629621605</v>
      </c>
    </row>
    <row r="3964" spans="1:40" x14ac:dyDescent="0.25">
      <c r="A3964" t="str">
        <f>"20190312151352820"</f>
        <v>20190312151352820</v>
      </c>
      <c r="B3964" t="str">
        <f>"1552374832814313"</f>
        <v>1552374832814313</v>
      </c>
      <c r="C3964" t="s">
        <v>40</v>
      </c>
      <c r="D3964">
        <v>4.4088240000000001</v>
      </c>
      <c r="E3964">
        <v>0.53966809999999998</v>
      </c>
      <c r="F3964" t="s">
        <v>58</v>
      </c>
      <c r="G3964">
        <v>-290.45159999999998</v>
      </c>
      <c r="H3964" s="1">
        <v>-9.0957580000000003E-6</v>
      </c>
      <c r="I3964">
        <v>140.40270000000001</v>
      </c>
      <c r="J3964">
        <v>-262.96730000000002</v>
      </c>
      <c r="K3964">
        <v>1.1086450000000001</v>
      </c>
      <c r="L3964">
        <v>139.77590000000001</v>
      </c>
      <c r="M3964">
        <v>-0.9998127</v>
      </c>
      <c r="N3964">
        <v>0</v>
      </c>
      <c r="O3964">
        <v>-1.7942019999999999E-2</v>
      </c>
      <c r="P3964">
        <v>-0.99502579999999996</v>
      </c>
      <c r="Q3964">
        <v>6.0345410000000002E-2</v>
      </c>
      <c r="R3964">
        <v>-7.9261150000000002E-2</v>
      </c>
      <c r="S3964">
        <v>-3.0274960000000002</v>
      </c>
      <c r="T3964">
        <v>-0.1205244</v>
      </c>
      <c r="U3964">
        <v>6.7459110000000003E-2</v>
      </c>
      <c r="V3964">
        <v>-6.1298419999999999E-2</v>
      </c>
      <c r="W3964">
        <v>6.7669439999999997E-2</v>
      </c>
      <c r="X3964">
        <v>0.99582300000000001</v>
      </c>
      <c r="Y3964">
        <v>4.0165060000000002E-2</v>
      </c>
      <c r="Z3964">
        <v>1.51299299999999E-3</v>
      </c>
      <c r="AA3964">
        <v>0.99919190000000002</v>
      </c>
      <c r="AB3964">
        <v>36</v>
      </c>
      <c r="AC3964">
        <v>-27.484299999999902</v>
      </c>
      <c r="AD3964">
        <v>-1.108654095758</v>
      </c>
      <c r="AE3964">
        <v>0.62680000000000202</v>
      </c>
      <c r="AF3964">
        <v>1.1180177233724999</v>
      </c>
      <c r="AG3964">
        <v>-1.108654095758</v>
      </c>
      <c r="AH3964">
        <v>27.424029918814799</v>
      </c>
      <c r="AI3964">
        <v>92.313080744372201</v>
      </c>
      <c r="AJ3964">
        <v>87.665469143977404</v>
      </c>
      <c r="AK3964">
        <v>27.469191734047499</v>
      </c>
      <c r="AL3964">
        <v>86.119861731468603</v>
      </c>
      <c r="AM3964">
        <v>93.522428064159101</v>
      </c>
      <c r="AN3964">
        <v>1.0000000483667</v>
      </c>
    </row>
    <row r="3965" spans="1:40" x14ac:dyDescent="0.25">
      <c r="A3965" t="str">
        <f>"20190312151352843"</f>
        <v>20190312151352843</v>
      </c>
      <c r="B3965" t="str">
        <f>"1552374832834809"</f>
        <v>1552374832834809</v>
      </c>
      <c r="C3965" t="s">
        <v>40</v>
      </c>
      <c r="D3965">
        <v>4.5742599999999998</v>
      </c>
      <c r="E3965">
        <v>0.53981129999999999</v>
      </c>
      <c r="F3965" t="s">
        <v>58</v>
      </c>
      <c r="G3965">
        <v>-291.30560000000003</v>
      </c>
      <c r="H3965" s="1">
        <v>-9.0115229999999996E-6</v>
      </c>
      <c r="I3965">
        <v>140.37899999999999</v>
      </c>
      <c r="J3965">
        <v>-263.34109999999998</v>
      </c>
      <c r="K3965">
        <v>1.108533</v>
      </c>
      <c r="L3965">
        <v>139.76990000000001</v>
      </c>
      <c r="M3965">
        <v>-0.9998283</v>
      </c>
      <c r="N3965">
        <v>0</v>
      </c>
      <c r="O3965">
        <v>-1.704818E-2</v>
      </c>
      <c r="P3965">
        <v>-0.99503200000000003</v>
      </c>
      <c r="Q3965">
        <v>6.0937940000000003E-2</v>
      </c>
      <c r="R3965">
        <v>-7.8728380000000001E-2</v>
      </c>
      <c r="S3965">
        <v>-3.0273129999999999</v>
      </c>
      <c r="T3965">
        <v>-0.11843480000000001</v>
      </c>
      <c r="U3965">
        <v>6.4422610000000005E-2</v>
      </c>
      <c r="V3965">
        <v>-6.1638209999999999E-2</v>
      </c>
      <c r="W3965">
        <v>6.827838E-2</v>
      </c>
      <c r="X3965">
        <v>0.99576039999999999</v>
      </c>
      <c r="Y3965">
        <v>3.827502E-2</v>
      </c>
      <c r="Z3965">
        <v>1.414982E-3</v>
      </c>
      <c r="AA3965">
        <v>0.99926630000000005</v>
      </c>
      <c r="AB3965">
        <v>36</v>
      </c>
      <c r="AC3965">
        <v>-27.964500000000001</v>
      </c>
      <c r="AD3965">
        <v>-1.108542011523</v>
      </c>
      <c r="AE3965">
        <v>0.60909999999998299</v>
      </c>
      <c r="AF3965">
        <v>1.08406516810057</v>
      </c>
      <c r="AG3965">
        <v>-1.108542011523</v>
      </c>
      <c r="AH3965">
        <v>27.906219975162301</v>
      </c>
      <c r="AI3965">
        <v>92.273099237170598</v>
      </c>
      <c r="AJ3965">
        <v>87.775365375774797</v>
      </c>
      <c r="AK3965">
        <v>27.949260741245901</v>
      </c>
      <c r="AL3965">
        <v>86.084890928913097</v>
      </c>
      <c r="AM3965">
        <v>93.542126152580394</v>
      </c>
      <c r="AN3965">
        <v>0.99999999015779395</v>
      </c>
    </row>
    <row r="3966" spans="1:40" x14ac:dyDescent="0.25">
      <c r="A3966" t="str">
        <f>"20190312151352867"</f>
        <v>20190312151352867</v>
      </c>
      <c r="B3966" t="str">
        <f>"1552374832854329"</f>
        <v>1552374832854329</v>
      </c>
      <c r="C3966" t="s">
        <v>40</v>
      </c>
      <c r="D3966">
        <v>4.3300020000000004</v>
      </c>
      <c r="E3966">
        <v>0.53938109999999995</v>
      </c>
      <c r="F3966" t="s">
        <v>58</v>
      </c>
      <c r="G3966">
        <v>-291.79730000000001</v>
      </c>
      <c r="H3966" s="1">
        <v>-8.9739110000000007E-6</v>
      </c>
      <c r="I3966">
        <v>140.40010000000001</v>
      </c>
      <c r="J3966">
        <v>-263.73579999999998</v>
      </c>
      <c r="K3966">
        <v>1.1084069999999999</v>
      </c>
      <c r="L3966">
        <v>139.76410000000001</v>
      </c>
      <c r="M3966">
        <v>-0.99984629999999997</v>
      </c>
      <c r="N3966">
        <v>0</v>
      </c>
      <c r="O3966">
        <v>-1.595423E-2</v>
      </c>
      <c r="P3966">
        <v>-0.99508459999999999</v>
      </c>
      <c r="Q3966">
        <v>6.0626359999999997E-2</v>
      </c>
      <c r="R3966">
        <v>-7.8302549999999999E-2</v>
      </c>
      <c r="S3966">
        <v>-3.0274960000000002</v>
      </c>
      <c r="T3966">
        <v>-0.11793960000000001</v>
      </c>
      <c r="U3966">
        <v>6.7047120000000002E-2</v>
      </c>
      <c r="V3966">
        <v>-6.2280910000000002E-2</v>
      </c>
      <c r="W3966">
        <v>6.7988660000000006E-2</v>
      </c>
      <c r="X3966">
        <v>0.99574019999999996</v>
      </c>
      <c r="Y3966">
        <v>3.8047619999999997E-2</v>
      </c>
      <c r="Z3966">
        <v>1.36195E-3</v>
      </c>
      <c r="AA3966">
        <v>0.99927500000000002</v>
      </c>
      <c r="AB3966">
        <v>36</v>
      </c>
      <c r="AC3966">
        <v>-28.061499999999999</v>
      </c>
      <c r="AD3966">
        <v>-1.108415973911</v>
      </c>
      <c r="AE3966">
        <v>0.63599999999999501</v>
      </c>
      <c r="AF3966">
        <v>1.0819433063287101</v>
      </c>
      <c r="AG3966">
        <v>-1.108415973911</v>
      </c>
      <c r="AH3966">
        <v>28.0041111388269</v>
      </c>
      <c r="AI3966">
        <v>92.264922926538205</v>
      </c>
      <c r="AJ3966">
        <v>87.787468833802194</v>
      </c>
      <c r="AK3966">
        <v>28.046914767316199</v>
      </c>
      <c r="AL3966">
        <v>86.101529200022298</v>
      </c>
      <c r="AM3966">
        <v>93.579036720177598</v>
      </c>
      <c r="AN3966">
        <v>0.99999995776753003</v>
      </c>
    </row>
    <row r="3967" spans="1:40" x14ac:dyDescent="0.25">
      <c r="A3967" t="str">
        <f>"20190312151352889"</f>
        <v>20190312151352889</v>
      </c>
      <c r="B3967" t="str">
        <f>"1552374832884585"</f>
        <v>1552374832884585</v>
      </c>
      <c r="C3967" t="s">
        <v>40</v>
      </c>
      <c r="D3967">
        <v>4.2856259999999997</v>
      </c>
      <c r="E3967">
        <v>0.53915100000000005</v>
      </c>
      <c r="F3967" t="s">
        <v>58</v>
      </c>
      <c r="G3967">
        <v>-291.14370000000002</v>
      </c>
      <c r="H3967" s="1">
        <v>-9.0185069999999993E-6</v>
      </c>
      <c r="I3967">
        <v>140.35149999999999</v>
      </c>
      <c r="J3967">
        <v>-264.09219999999999</v>
      </c>
      <c r="K3967">
        <v>1.108277</v>
      </c>
      <c r="L3967">
        <v>139.7594</v>
      </c>
      <c r="M3967">
        <v>-0.99986370000000002</v>
      </c>
      <c r="N3967">
        <v>0</v>
      </c>
      <c r="O3967">
        <v>-1.4822790000000001E-2</v>
      </c>
      <c r="P3967">
        <v>-0.9951506</v>
      </c>
      <c r="Q3967">
        <v>6.0446050000000001E-2</v>
      </c>
      <c r="R3967">
        <v>-7.7600749999999996E-2</v>
      </c>
      <c r="S3967">
        <v>-3.027374</v>
      </c>
      <c r="T3967">
        <v>-0.12243179999999999</v>
      </c>
      <c r="U3967">
        <v>6.4880370000000007E-2</v>
      </c>
      <c r="V3967">
        <v>-6.2685660000000004E-2</v>
      </c>
      <c r="W3967">
        <v>6.7826429999999993E-2</v>
      </c>
      <c r="X3967">
        <v>0.99572590000000005</v>
      </c>
      <c r="Y3967">
        <v>3.620205E-2</v>
      </c>
      <c r="Z3967">
        <v>1.3308180000000001E-3</v>
      </c>
      <c r="AA3967">
        <v>0.9993436</v>
      </c>
      <c r="AB3967">
        <v>36</v>
      </c>
      <c r="AC3967">
        <v>-27.051500000000001</v>
      </c>
      <c r="AD3967">
        <v>-1.108286018507</v>
      </c>
      <c r="AE3967">
        <v>0.59209999999998697</v>
      </c>
      <c r="AF3967">
        <v>0.99136104815885095</v>
      </c>
      <c r="AG3967">
        <v>-1.108286018507</v>
      </c>
      <c r="AH3967">
        <v>26.994462588872398</v>
      </c>
      <c r="AI3967">
        <v>92.349436022619003</v>
      </c>
      <c r="AJ3967">
        <v>87.896780171022797</v>
      </c>
      <c r="AK3967">
        <v>27.035386164962699</v>
      </c>
      <c r="AL3967">
        <v>86.110845935335803</v>
      </c>
      <c r="AM3967">
        <v>93.602286646247904</v>
      </c>
      <c r="AN3967">
        <v>0.99999999225349501</v>
      </c>
    </row>
    <row r="3968" spans="1:40" x14ac:dyDescent="0.25">
      <c r="A3968" t="str">
        <f>"20190312151352909"</f>
        <v>20190312151352909</v>
      </c>
      <c r="B3968" t="str">
        <f>"1552374832904106"</f>
        <v>1552374832904106</v>
      </c>
      <c r="C3968" t="s">
        <v>40</v>
      </c>
      <c r="D3968">
        <v>4.221311</v>
      </c>
      <c r="E3968">
        <v>0.53909169999999995</v>
      </c>
      <c r="F3968" t="s">
        <v>58</v>
      </c>
      <c r="G3968">
        <v>-290.8252</v>
      </c>
      <c r="H3968" s="1">
        <v>-9.0421689999999998E-6</v>
      </c>
      <c r="I3968">
        <v>140.33510000000001</v>
      </c>
      <c r="J3968">
        <v>-264.42770000000002</v>
      </c>
      <c r="K3968">
        <v>1.1081669999999999</v>
      </c>
      <c r="L3968">
        <v>139.75540000000001</v>
      </c>
      <c r="M3968">
        <v>-0.99988049999999995</v>
      </c>
      <c r="N3968">
        <v>0</v>
      </c>
      <c r="O3968">
        <v>-1.365677E-2</v>
      </c>
      <c r="P3968">
        <v>-0.99523490000000003</v>
      </c>
      <c r="Q3968">
        <v>6.0257949999999998E-2</v>
      </c>
      <c r="R3968">
        <v>-7.6659619999999998E-2</v>
      </c>
      <c r="S3968">
        <v>-3.027374</v>
      </c>
      <c r="T3968">
        <v>-0.12550749999999999</v>
      </c>
      <c r="U3968">
        <v>6.5200809999999998E-2</v>
      </c>
      <c r="V3968">
        <v>-6.2888180000000002E-2</v>
      </c>
      <c r="W3968">
        <v>6.7653260000000007E-2</v>
      </c>
      <c r="X3968">
        <v>0.99572490000000002</v>
      </c>
      <c r="Y3968">
        <v>3.5142140000000002E-2</v>
      </c>
      <c r="Z3968">
        <v>1.293946E-3</v>
      </c>
      <c r="AA3968">
        <v>0.99938150000000003</v>
      </c>
      <c r="AB3968">
        <v>36</v>
      </c>
      <c r="AC3968">
        <v>-26.397499999999901</v>
      </c>
      <c r="AD3968">
        <v>-1.1081760421689999</v>
      </c>
      <c r="AE3968">
        <v>0.57970000000000199</v>
      </c>
      <c r="AF3968">
        <v>0.938506802009478</v>
      </c>
      <c r="AG3968">
        <v>-1.1081760421689999</v>
      </c>
      <c r="AH3968">
        <v>26.340721886148799</v>
      </c>
      <c r="AI3968">
        <v>92.407534529287105</v>
      </c>
      <c r="AJ3968">
        <v>87.959443088978801</v>
      </c>
      <c r="AK3968">
        <v>26.3807217232829</v>
      </c>
      <c r="AL3968">
        <v>86.120790647187803</v>
      </c>
      <c r="AM3968">
        <v>93.613897463313805</v>
      </c>
      <c r="AN3968">
        <v>0.99999998162617398</v>
      </c>
    </row>
    <row r="3969" spans="1:40" x14ac:dyDescent="0.25">
      <c r="A3969" t="str">
        <f>"20190312151352931"</f>
        <v>20190312151352931</v>
      </c>
      <c r="B3969" t="str">
        <f>"1552374832924602"</f>
        <v>1552374832924602</v>
      </c>
      <c r="C3969" t="s">
        <v>40</v>
      </c>
      <c r="D3969">
        <v>4.2464959999999996</v>
      </c>
      <c r="E3969">
        <v>0.53904989999999997</v>
      </c>
      <c r="F3969" t="s">
        <v>58</v>
      </c>
      <c r="G3969">
        <v>-291.82260000000002</v>
      </c>
      <c r="H3969" s="1">
        <v>-8.9633549999999998E-6</v>
      </c>
      <c r="I3969">
        <v>140.36850000000001</v>
      </c>
      <c r="J3969">
        <v>-264.78210000000001</v>
      </c>
      <c r="K3969">
        <v>1.108055</v>
      </c>
      <c r="L3969">
        <v>139.7517</v>
      </c>
      <c r="M3969">
        <v>-0.99989790000000001</v>
      </c>
      <c r="N3969">
        <v>0</v>
      </c>
      <c r="O3969">
        <v>-1.231495E-2</v>
      </c>
      <c r="P3969">
        <v>-0.99538360000000004</v>
      </c>
      <c r="Q3969">
        <v>5.9997969999999998E-2</v>
      </c>
      <c r="R3969">
        <v>-7.4914819999999993E-2</v>
      </c>
      <c r="S3969">
        <v>-3.0270389999999998</v>
      </c>
      <c r="T3969">
        <v>-0.1224493</v>
      </c>
      <c r="U3969">
        <v>6.7749019999999993E-2</v>
      </c>
      <c r="V3969">
        <v>-6.2460969999999998E-2</v>
      </c>
      <c r="W3969">
        <v>6.7406359999999999E-2</v>
      </c>
      <c r="X3969">
        <v>0.99576849999999995</v>
      </c>
      <c r="Y3969">
        <v>3.4647789999999998E-2</v>
      </c>
      <c r="Z3969">
        <v>1.1983269999999999E-3</v>
      </c>
      <c r="AA3969">
        <v>0.99939889999999998</v>
      </c>
      <c r="AB3969">
        <v>36</v>
      </c>
      <c r="AC3969">
        <v>-27.040500000000002</v>
      </c>
      <c r="AD3969">
        <v>-1.108063963355</v>
      </c>
      <c r="AE3969">
        <v>0.61680000000001201</v>
      </c>
      <c r="AF3969">
        <v>0.94817304071094599</v>
      </c>
      <c r="AG3969">
        <v>-1.108063963355</v>
      </c>
      <c r="AH3969">
        <v>26.985562936925401</v>
      </c>
      <c r="AI3969">
        <v>92.349873400122604</v>
      </c>
      <c r="AJ3969">
        <v>87.987665709003295</v>
      </c>
      <c r="AK3969">
        <v>27.024941163391599</v>
      </c>
      <c r="AL3969">
        <v>86.134969211085803</v>
      </c>
      <c r="AM3969">
        <v>93.589255297741204</v>
      </c>
      <c r="AN3969">
        <v>0.99999994786701796</v>
      </c>
    </row>
    <row r="3970" spans="1:40" x14ac:dyDescent="0.25">
      <c r="A3970" t="str">
        <f>"20190312151352953"</f>
        <v>20190312151352953</v>
      </c>
      <c r="B3970" t="str">
        <f>"1552374832944121"</f>
        <v>1552374832944121</v>
      </c>
      <c r="C3970" t="s">
        <v>40</v>
      </c>
      <c r="D3970">
        <v>4.41608</v>
      </c>
      <c r="E3970">
        <v>0.53884279999999996</v>
      </c>
      <c r="F3970" t="s">
        <v>58</v>
      </c>
      <c r="G3970">
        <v>-292.62520000000001</v>
      </c>
      <c r="H3970" s="1">
        <v>-8.9073869999999999E-6</v>
      </c>
      <c r="I3970">
        <v>140.42359999999999</v>
      </c>
      <c r="J3970">
        <v>-265.16050000000001</v>
      </c>
      <c r="K3970">
        <v>1.1079300000000001</v>
      </c>
      <c r="L3970">
        <v>139.7483</v>
      </c>
      <c r="M3970">
        <v>-0.99991580000000002</v>
      </c>
      <c r="N3970">
        <v>0</v>
      </c>
      <c r="O3970">
        <v>-1.075665E-2</v>
      </c>
      <c r="P3970">
        <v>-0.99551520000000004</v>
      </c>
      <c r="Q3970">
        <v>6.041581E-2</v>
      </c>
      <c r="R3970">
        <v>-7.2797429999999996E-2</v>
      </c>
      <c r="S3970">
        <v>-3.0267330000000001</v>
      </c>
      <c r="T3970">
        <v>-0.1204542</v>
      </c>
      <c r="U3970">
        <v>7.3043819999999995E-2</v>
      </c>
      <c r="V3970">
        <v>-6.1874150000000003E-2</v>
      </c>
      <c r="W3970">
        <v>6.7838330000000002E-2</v>
      </c>
      <c r="X3970">
        <v>0.99577590000000005</v>
      </c>
      <c r="Y3970">
        <v>3.4842199999999997E-2</v>
      </c>
      <c r="Z3970">
        <v>1.120795E-3</v>
      </c>
      <c r="AA3970">
        <v>0.99939219999999895</v>
      </c>
      <c r="AB3970">
        <v>37</v>
      </c>
      <c r="AC3970">
        <v>-27.464700000000001</v>
      </c>
      <c r="AD3970">
        <v>-1.1079389073869901</v>
      </c>
      <c r="AE3970">
        <v>0.67529999999999202</v>
      </c>
      <c r="AF3970">
        <v>0.96912072793065096</v>
      </c>
      <c r="AG3970">
        <v>-1.1079389073869901</v>
      </c>
      <c r="AH3970">
        <v>27.411265936409801</v>
      </c>
      <c r="AI3970">
        <v>92.313140728376595</v>
      </c>
      <c r="AJ3970">
        <v>87.9751606648652</v>
      </c>
      <c r="AK3970">
        <v>27.450759986645</v>
      </c>
      <c r="AL3970">
        <v>86.110162751829506</v>
      </c>
      <c r="AM3970">
        <v>93.555594852888106</v>
      </c>
      <c r="AN3970">
        <v>1.0000000462381</v>
      </c>
    </row>
    <row r="3971" spans="1:40" x14ac:dyDescent="0.25">
      <c r="A3971" t="str">
        <f>"20190312151352976"</f>
        <v>20190312151352976</v>
      </c>
      <c r="B3971" t="str">
        <f>"1552374832964618"</f>
        <v>1552374832964618</v>
      </c>
      <c r="C3971" t="s">
        <v>40</v>
      </c>
      <c r="D3971">
        <v>4.1425780000000003</v>
      </c>
      <c r="E3971">
        <v>0.53909180000000001</v>
      </c>
      <c r="F3971" t="s">
        <v>58</v>
      </c>
      <c r="G3971">
        <v>-293.46589999999998</v>
      </c>
      <c r="H3971" s="1">
        <v>-8.8473230000000004E-6</v>
      </c>
      <c r="I3971">
        <v>140.4759</v>
      </c>
      <c r="J3971">
        <v>-265.51679999999999</v>
      </c>
      <c r="K3971">
        <v>1.1078170000000001</v>
      </c>
      <c r="L3971">
        <v>139.7458</v>
      </c>
      <c r="M3971">
        <v>-0.99993160000000003</v>
      </c>
      <c r="N3971">
        <v>0</v>
      </c>
      <c r="O3971">
        <v>-9.1779180000000002E-3</v>
      </c>
      <c r="P3971">
        <v>-0.99566619999999995</v>
      </c>
      <c r="Q3971">
        <v>6.0581389999999999E-2</v>
      </c>
      <c r="R3971">
        <v>-7.0561979999999996E-2</v>
      </c>
      <c r="S3971">
        <v>-3.0263979999999999</v>
      </c>
      <c r="T3971">
        <v>-0.1184605</v>
      </c>
      <c r="U3971">
        <v>7.778931E-2</v>
      </c>
      <c r="V3971">
        <v>-6.119202E-2</v>
      </c>
      <c r="W3971">
        <v>6.8019109999999994E-2</v>
      </c>
      <c r="X3971">
        <v>0.99580570000000002</v>
      </c>
      <c r="Y3971">
        <v>3.483547E-2</v>
      </c>
      <c r="Z3971">
        <v>1.0404639999999901E-3</v>
      </c>
      <c r="AA3971">
        <v>0.99939250000000002</v>
      </c>
      <c r="AB3971">
        <v>37</v>
      </c>
      <c r="AC3971">
        <v>-27.949099999999898</v>
      </c>
      <c r="AD3971">
        <v>-1.107825847323</v>
      </c>
      <c r="AE3971">
        <v>0.73009999999999298</v>
      </c>
      <c r="AF3971">
        <v>0.98504397790659404</v>
      </c>
      <c r="AG3971">
        <v>-1.107825847323</v>
      </c>
      <c r="AH3971">
        <v>27.897421700224399</v>
      </c>
      <c r="AI3971">
        <v>92.272645258744703</v>
      </c>
      <c r="AJ3971">
        <v>87.977754881678393</v>
      </c>
      <c r="AK3971">
        <v>27.936780903793402</v>
      </c>
      <c r="AL3971">
        <v>86.099780767290497</v>
      </c>
      <c r="AM3971">
        <v>93.516390226402507</v>
      </c>
      <c r="AN3971">
        <v>1.0000000273946801</v>
      </c>
    </row>
    <row r="3972" spans="1:40" x14ac:dyDescent="0.25">
      <c r="A3972" t="str">
        <f>"20190312151353019"</f>
        <v>20190312151353019</v>
      </c>
      <c r="B3972" t="str">
        <f>"1552374833014393"</f>
        <v>1552374833014393</v>
      </c>
      <c r="C3972" t="s">
        <v>40</v>
      </c>
      <c r="D3972">
        <v>4.088222</v>
      </c>
      <c r="E3972">
        <v>0.57643350000000004</v>
      </c>
      <c r="F3972" t="s">
        <v>58</v>
      </c>
      <c r="G3972">
        <v>-294.86829999999998</v>
      </c>
      <c r="H3972" s="1">
        <v>-8.7540270000000001E-6</v>
      </c>
      <c r="I3972">
        <v>140.58930000000001</v>
      </c>
      <c r="J3972">
        <v>-266.2439</v>
      </c>
      <c r="K3972">
        <v>1.1075820000000001</v>
      </c>
      <c r="L3972">
        <v>139.74270000000001</v>
      </c>
      <c r="M3972">
        <v>-0.99995780000000001</v>
      </c>
      <c r="N3972">
        <v>0</v>
      </c>
      <c r="O3972">
        <v>-5.6483990000000001E-3</v>
      </c>
      <c r="P3972">
        <v>-0.99600010000000005</v>
      </c>
      <c r="Q3972">
        <v>6.0150290000000002E-2</v>
      </c>
      <c r="R3972">
        <v>-6.6077540000000004E-2</v>
      </c>
      <c r="S3972">
        <v>-3.0261840000000002</v>
      </c>
      <c r="T3972">
        <v>-0.1142181</v>
      </c>
      <c r="U3972">
        <v>8.6959839999999997E-2</v>
      </c>
      <c r="V3972">
        <v>-6.0186959999999998E-2</v>
      </c>
      <c r="W3972">
        <v>6.7622349999999998E-2</v>
      </c>
      <c r="X3972">
        <v>0.99589399999999995</v>
      </c>
      <c r="Y3972">
        <v>3.4341259999999998E-2</v>
      </c>
      <c r="Z3972">
        <v>8.6079009999999998E-4</v>
      </c>
      <c r="AA3972">
        <v>0.99940980000000001</v>
      </c>
      <c r="AB3972">
        <v>37</v>
      </c>
      <c r="AC3972">
        <v>-28.624399999999898</v>
      </c>
      <c r="AD3972">
        <v>-1.107590754027</v>
      </c>
      <c r="AE3972">
        <v>0.84659999999999502</v>
      </c>
      <c r="AF3972">
        <v>1.00676673548261</v>
      </c>
      <c r="AG3972">
        <v>-1.107590754027</v>
      </c>
      <c r="AH3972">
        <v>28.576413482225199</v>
      </c>
      <c r="AI3972">
        <v>92.218236329584897</v>
      </c>
      <c r="AJ3972">
        <v>87.982264741431806</v>
      </c>
      <c r="AK3972">
        <v>28.615585684119399</v>
      </c>
      <c r="AL3972">
        <v>86.122566012859494</v>
      </c>
      <c r="AM3972">
        <v>93.458470058317999</v>
      </c>
      <c r="AN3972">
        <v>1.0000000558047799</v>
      </c>
    </row>
    <row r="3973" spans="1:40" x14ac:dyDescent="0.25">
      <c r="A3973" t="str">
        <f>"20190312151353067"</f>
        <v>20190312151353067</v>
      </c>
      <c r="B3973" t="str">
        <f>"1552374833064171"</f>
        <v>1552374833064171</v>
      </c>
      <c r="C3973" t="s">
        <v>40</v>
      </c>
      <c r="D3973">
        <v>4.173584</v>
      </c>
      <c r="E3973">
        <v>0.57643350000000004</v>
      </c>
      <c r="F3973" t="s">
        <v>41</v>
      </c>
      <c r="G3973">
        <v>-267.0496</v>
      </c>
      <c r="H3973">
        <v>1.002329</v>
      </c>
      <c r="I3973">
        <v>139.84479999999999</v>
      </c>
      <c r="J3973">
        <v>-267.02260000000001</v>
      </c>
      <c r="K3973">
        <v>1.107367</v>
      </c>
      <c r="L3973">
        <v>139.74260000000001</v>
      </c>
      <c r="M3973">
        <v>-0.99997259999999999</v>
      </c>
      <c r="N3973">
        <v>0</v>
      </c>
      <c r="O3973">
        <v>-1.508735E-3</v>
      </c>
      <c r="P3973">
        <v>-0.99636599999999997</v>
      </c>
      <c r="Q3973">
        <v>5.9105070000000003E-2</v>
      </c>
      <c r="R3973">
        <v>-6.1336590000000003E-2</v>
      </c>
      <c r="S3973">
        <v>-3.0618590000000001</v>
      </c>
      <c r="T3973">
        <v>-0.39995000000000003</v>
      </c>
      <c r="U3973">
        <v>0.38658140000000002</v>
      </c>
      <c r="V3973">
        <v>-5.9539929999999998E-2</v>
      </c>
      <c r="W3973">
        <v>6.6616590000000003E-2</v>
      </c>
      <c r="X3973">
        <v>0.99600060000000001</v>
      </c>
      <c r="Y3973">
        <v>0.12569559999999999</v>
      </c>
      <c r="Z3973">
        <v>8.3382309999999998E-3</v>
      </c>
      <c r="AA3973">
        <v>0.99203379999999997</v>
      </c>
      <c r="AB3973">
        <v>37</v>
      </c>
      <c r="AC3973">
        <v>-2.6999999999986798E-2</v>
      </c>
      <c r="AD3973">
        <v>-0.10503799999999899</v>
      </c>
      <c r="AE3973">
        <v>0.102199999999982</v>
      </c>
      <c r="AF3973">
        <v>5.1444568006339203E-2</v>
      </c>
      <c r="AG3973">
        <v>-0.10503799999999899</v>
      </c>
      <c r="AH3973">
        <v>1.35080280341293E-2</v>
      </c>
      <c r="AI3973">
        <v>153.14356203494</v>
      </c>
      <c r="AJ3973">
        <v>14.7122933518189</v>
      </c>
      <c r="AK3973">
        <v>0.117736960393623</v>
      </c>
      <c r="AL3973">
        <v>86.180321784653302</v>
      </c>
      <c r="AM3973">
        <v>93.421013830496705</v>
      </c>
      <c r="AN3973">
        <v>0.99999998426399594</v>
      </c>
    </row>
    <row r="3974" spans="1:40" x14ac:dyDescent="0.25">
      <c r="A3974" t="str">
        <f>"20190312151353089"</f>
        <v>20190312151353089</v>
      </c>
      <c r="B3974" t="str">
        <f>"1552374833084666"</f>
        <v>1552374833084666</v>
      </c>
      <c r="C3974" t="s">
        <v>40</v>
      </c>
      <c r="D3974">
        <v>4.3555900000000003</v>
      </c>
      <c r="E3974">
        <v>0.54653169999999995</v>
      </c>
      <c r="F3974" t="s">
        <v>41</v>
      </c>
      <c r="G3974">
        <v>-268.03449999999998</v>
      </c>
      <c r="H3974">
        <v>0.9741765</v>
      </c>
      <c r="I3974">
        <v>139.87549999999999</v>
      </c>
      <c r="J3974">
        <v>-267.38900000000001</v>
      </c>
      <c r="K3974">
        <v>1.1072919999999999</v>
      </c>
      <c r="L3974">
        <v>139.74369999999999</v>
      </c>
      <c r="M3974">
        <v>-0.99997349999999996</v>
      </c>
      <c r="N3974">
        <v>0</v>
      </c>
      <c r="O3974">
        <v>5.2818220000000005E-4</v>
      </c>
      <c r="P3974">
        <v>-0.99651460000000003</v>
      </c>
      <c r="Q3974">
        <v>5.8739020000000003E-2</v>
      </c>
      <c r="R3974">
        <v>-5.9235929999999999E-2</v>
      </c>
      <c r="S3974">
        <v>-3.0595400000000001</v>
      </c>
      <c r="T3974">
        <v>-0.4026827</v>
      </c>
      <c r="U3974">
        <v>0.40156560000000002</v>
      </c>
      <c r="V3974">
        <v>-5.9458669999999998E-2</v>
      </c>
      <c r="W3974">
        <v>6.6267839999999995E-2</v>
      </c>
      <c r="X3974">
        <v>0.99602869999999999</v>
      </c>
      <c r="Y3974">
        <v>0.12852529999999901</v>
      </c>
      <c r="Z3974">
        <v>8.3172079999999995E-3</v>
      </c>
      <c r="AA3974">
        <v>0.99167139999999998</v>
      </c>
      <c r="AB3974">
        <v>37</v>
      </c>
      <c r="AC3974">
        <v>-0.64549999999996999</v>
      </c>
      <c r="AD3974">
        <v>-0.1331155</v>
      </c>
      <c r="AE3974">
        <v>0.131799999999998</v>
      </c>
      <c r="AF3974">
        <v>0.12630272446952201</v>
      </c>
      <c r="AG3974">
        <v>-0.1331155</v>
      </c>
      <c r="AH3974">
        <v>0.62024791574613902</v>
      </c>
      <c r="AI3974">
        <v>101.87627912071601</v>
      </c>
      <c r="AJ3974">
        <v>78.490077948932495</v>
      </c>
      <c r="AK3974">
        <v>0.6468226894104</v>
      </c>
      <c r="AL3974">
        <v>86.200347869614404</v>
      </c>
      <c r="AM3974">
        <v>93.416259748506505</v>
      </c>
      <c r="AN3974">
        <v>0.99999996564006099</v>
      </c>
    </row>
    <row r="3975" spans="1:40" x14ac:dyDescent="0.25">
      <c r="A3975" t="str">
        <f>"20190312151353110"</f>
        <v>20190312151353110</v>
      </c>
      <c r="B3975" t="str">
        <f>"1552374833104185"</f>
        <v>1552374833104185</v>
      </c>
      <c r="C3975" t="s">
        <v>40</v>
      </c>
      <c r="D3975">
        <v>4.2214140000000002</v>
      </c>
      <c r="E3975">
        <v>0.54759089999999999</v>
      </c>
      <c r="F3975" t="s">
        <v>59</v>
      </c>
      <c r="G3975">
        <v>-501.44009999999997</v>
      </c>
      <c r="H3975">
        <v>7.9987699999999995E-2</v>
      </c>
      <c r="I3975">
        <v>154.11269999999999</v>
      </c>
      <c r="J3975">
        <v>-267.74970000000002</v>
      </c>
      <c r="K3975">
        <v>1.1072310000000001</v>
      </c>
      <c r="L3975">
        <v>139.7456</v>
      </c>
      <c r="M3975">
        <v>-0.99997020000000003</v>
      </c>
      <c r="N3975">
        <v>0</v>
      </c>
      <c r="O3975">
        <v>2.5643229999999999E-3</v>
      </c>
      <c r="P3975">
        <v>-0.99668959999999995</v>
      </c>
      <c r="Q3975">
        <v>5.8311689999999999E-2</v>
      </c>
      <c r="R3975">
        <v>-5.6653450000000001E-2</v>
      </c>
      <c r="S3975">
        <v>-3.0223080000000002</v>
      </c>
      <c r="T3975">
        <v>-1.3265610000000001E-2</v>
      </c>
      <c r="U3975">
        <v>0.18554689999999999</v>
      </c>
      <c r="V3975">
        <v>-5.889842E-2</v>
      </c>
      <c r="W3975">
        <v>6.5854360000000001E-2</v>
      </c>
      <c r="X3975">
        <v>0.99608949999999996</v>
      </c>
      <c r="Y3975">
        <v>5.871676E-2</v>
      </c>
      <c r="Z3975">
        <v>1.174941E-4</v>
      </c>
      <c r="AA3975">
        <v>0.99827469999999996</v>
      </c>
      <c r="AB3975">
        <v>37</v>
      </c>
      <c r="AC3975">
        <v>-233.69039999999899</v>
      </c>
      <c r="AD3975">
        <v>-1.0272433000000001</v>
      </c>
      <c r="AE3975">
        <v>14.367099999999899</v>
      </c>
      <c r="AF3975">
        <v>13.767514182557001</v>
      </c>
      <c r="AG3975">
        <v>-1.0272433000000001</v>
      </c>
      <c r="AH3975">
        <v>233.72197537062101</v>
      </c>
      <c r="AI3975">
        <v>90.251386208829601</v>
      </c>
      <c r="AJ3975">
        <v>86.628857919671304</v>
      </c>
      <c r="AK3975">
        <v>234.12936903923401</v>
      </c>
      <c r="AL3975">
        <v>86.224090736025005</v>
      </c>
      <c r="AM3975">
        <v>93.383939085379097</v>
      </c>
      <c r="AN3975">
        <v>1.0000000563098701</v>
      </c>
    </row>
    <row r="3976" spans="1:40" x14ac:dyDescent="0.25">
      <c r="A3976" t="str">
        <f>"20190312151353131"</f>
        <v>20190312151353131</v>
      </c>
      <c r="B3976" t="str">
        <f>"1552374833124682"</f>
        <v>1552374833124682</v>
      </c>
      <c r="C3976" t="s">
        <v>40</v>
      </c>
      <c r="D3976">
        <v>4.277075</v>
      </c>
      <c r="E3976">
        <v>0.54645619999999995</v>
      </c>
      <c r="F3976" t="s">
        <v>60</v>
      </c>
      <c r="G3976">
        <v>-511.92529999999999</v>
      </c>
      <c r="H3976">
        <v>0.43184139999999999</v>
      </c>
      <c r="I3976">
        <v>156.0806</v>
      </c>
      <c r="J3976">
        <v>-268.10820000000001</v>
      </c>
      <c r="K3976">
        <v>1.1071789999999999</v>
      </c>
      <c r="L3976">
        <v>139.7482</v>
      </c>
      <c r="M3976">
        <v>-0.99996280000000004</v>
      </c>
      <c r="N3976">
        <v>0</v>
      </c>
      <c r="O3976">
        <v>4.6075719999999999E-3</v>
      </c>
      <c r="P3976">
        <v>-0.99678180000000005</v>
      </c>
      <c r="Q3976">
        <v>5.8485870000000002E-2</v>
      </c>
      <c r="R3976">
        <v>-5.4823730000000001E-2</v>
      </c>
      <c r="S3976">
        <v>-3.0219420000000001</v>
      </c>
      <c r="T3976">
        <v>-8.3581209999999996E-3</v>
      </c>
      <c r="U3976">
        <v>0.2021637</v>
      </c>
      <c r="V3976">
        <v>-5.909669E-2</v>
      </c>
      <c r="W3976">
        <v>6.6044690000000003E-2</v>
      </c>
      <c r="X3976">
        <v>0.99606510000000004</v>
      </c>
      <c r="Y3976">
        <v>6.2151060000000001E-2</v>
      </c>
      <c r="Z3976" s="1">
        <v>7.3123690000000005E-5</v>
      </c>
      <c r="AA3976">
        <v>0.99806669999999997</v>
      </c>
      <c r="AB3976">
        <v>37</v>
      </c>
      <c r="AC3976">
        <v>-243.81710000000001</v>
      </c>
      <c r="AD3976">
        <v>-0.67533759999999998</v>
      </c>
      <c r="AE3976">
        <v>16.3324</v>
      </c>
      <c r="AF3976">
        <v>15.208675753299101</v>
      </c>
      <c r="AG3976">
        <v>-0.67533759999999998</v>
      </c>
      <c r="AH3976">
        <v>243.88790370312199</v>
      </c>
      <c r="AI3976">
        <v>90.158346845977107</v>
      </c>
      <c r="AJ3976">
        <v>86.431696592576898</v>
      </c>
      <c r="AK3976">
        <v>244.36257788734</v>
      </c>
      <c r="AL3976">
        <v>86.213161630946203</v>
      </c>
      <c r="AM3976">
        <v>93.395386826798003</v>
      </c>
      <c r="AN3976">
        <v>1.00000000164208</v>
      </c>
    </row>
    <row r="3977" spans="1:40" x14ac:dyDescent="0.25">
      <c r="A3977" t="str">
        <f>"20190312151353154"</f>
        <v>20190312151353154</v>
      </c>
      <c r="B3977" t="str">
        <f>"1552374833144201"</f>
        <v>1552374833144201</v>
      </c>
      <c r="C3977" t="s">
        <v>40</v>
      </c>
      <c r="D3977">
        <v>4.2895250000000003</v>
      </c>
      <c r="E3977">
        <v>0.54403059999999903</v>
      </c>
      <c r="F3977" t="s">
        <v>58</v>
      </c>
      <c r="G3977">
        <v>-428.82690000000002</v>
      </c>
      <c r="H3977" s="1">
        <v>-1.520901E-5</v>
      </c>
      <c r="I3977">
        <v>150.2807</v>
      </c>
      <c r="J3977">
        <v>-268.50729999999999</v>
      </c>
      <c r="K3977">
        <v>1.107137</v>
      </c>
      <c r="L3977">
        <v>139.75200000000001</v>
      </c>
      <c r="M3977">
        <v>-0.99994950000000005</v>
      </c>
      <c r="N3977">
        <v>0</v>
      </c>
      <c r="O3977">
        <v>6.8950599999999997E-3</v>
      </c>
      <c r="P3977">
        <v>-0.99685100000000004</v>
      </c>
      <c r="Q3977">
        <v>5.8692590000000003E-2</v>
      </c>
      <c r="R3977">
        <v>-5.332746E-2</v>
      </c>
      <c r="S3977">
        <v>-3.0217900000000002</v>
      </c>
      <c r="T3977">
        <v>-2.0817160000000001E-2</v>
      </c>
      <c r="U3977">
        <v>0.1980286</v>
      </c>
      <c r="V3977">
        <v>-5.9871849999999997E-2</v>
      </c>
      <c r="W3977">
        <v>6.6271159999999996E-2</v>
      </c>
      <c r="X3977">
        <v>0.99600370000000005</v>
      </c>
      <c r="Y3977">
        <v>5.8510010000000001E-2</v>
      </c>
      <c r="Z3977">
        <v>1.538729E-4</v>
      </c>
      <c r="AA3977">
        <v>0.99828680000000003</v>
      </c>
      <c r="AB3977">
        <v>37</v>
      </c>
      <c r="AC3977">
        <v>-160.31960000000001</v>
      </c>
      <c r="AD3977">
        <v>-1.1071522090100001</v>
      </c>
      <c r="AE3977">
        <v>10.528699999999899</v>
      </c>
      <c r="AF3977">
        <v>9.4225594524464693</v>
      </c>
      <c r="AG3977">
        <v>-1.1071522090100001</v>
      </c>
      <c r="AH3977">
        <v>160.380770804364</v>
      </c>
      <c r="AI3977">
        <v>90.394841283706796</v>
      </c>
      <c r="AJ3977">
        <v>86.637670404893001</v>
      </c>
      <c r="AK3977">
        <v>160.66114046791299</v>
      </c>
      <c r="AL3977">
        <v>86.200157122380901</v>
      </c>
      <c r="AM3977">
        <v>93.440028760581896</v>
      </c>
      <c r="AN3977">
        <v>0.99999993774192697</v>
      </c>
    </row>
    <row r="3978" spans="1:40" x14ac:dyDescent="0.25">
      <c r="A3978" t="str">
        <f>"20190312151353176"</f>
        <v>20190312151353176</v>
      </c>
      <c r="B3978" t="str">
        <f>"1552374833174458"</f>
        <v>1552374833174458</v>
      </c>
      <c r="C3978" t="s">
        <v>40</v>
      </c>
      <c r="D3978">
        <v>4.2788830000000004</v>
      </c>
      <c r="E3978">
        <v>0.54201129999999997</v>
      </c>
      <c r="F3978" t="s">
        <v>42</v>
      </c>
      <c r="G3978">
        <v>-349.49349999999998</v>
      </c>
      <c r="H3978" s="1">
        <v>-1.538654E-6</v>
      </c>
      <c r="I3978">
        <v>144.64879999999999</v>
      </c>
      <c r="J3978">
        <v>-268.863</v>
      </c>
      <c r="K3978">
        <v>1.1070930000000001</v>
      </c>
      <c r="L3978">
        <v>139.7561</v>
      </c>
      <c r="M3978">
        <v>-0.99993339999999997</v>
      </c>
      <c r="N3978">
        <v>0</v>
      </c>
      <c r="O3978">
        <v>8.9374829999999995E-3</v>
      </c>
      <c r="P3978">
        <v>-0.99689530000000004</v>
      </c>
      <c r="Q3978">
        <v>5.8730520000000001E-2</v>
      </c>
      <c r="R3978">
        <v>-5.2448590000000003E-2</v>
      </c>
      <c r="S3978">
        <v>-3.0216669999999999</v>
      </c>
      <c r="T3978">
        <v>-4.1308400000000002E-2</v>
      </c>
      <c r="U3978">
        <v>0.1827087</v>
      </c>
      <c r="V3978">
        <v>-6.1023279999999999E-2</v>
      </c>
      <c r="W3978">
        <v>6.6329219999999994E-2</v>
      </c>
      <c r="X3978">
        <v>0.99592999999999998</v>
      </c>
      <c r="Y3978">
        <v>5.1428170000000002E-2</v>
      </c>
      <c r="Z3978">
        <v>2.291347E-4</v>
      </c>
      <c r="AA3978">
        <v>0.99867669999999997</v>
      </c>
      <c r="AB3978">
        <v>37</v>
      </c>
      <c r="AC3978">
        <v>-80.630499999999898</v>
      </c>
      <c r="AD3978">
        <v>-1.1070945386540001</v>
      </c>
      <c r="AE3978">
        <v>4.8926999999999898</v>
      </c>
      <c r="AF3978">
        <v>4.1710681708728297</v>
      </c>
      <c r="AG3978">
        <v>-1.1070945386540001</v>
      </c>
      <c r="AH3978">
        <v>80.655859103399095</v>
      </c>
      <c r="AI3978">
        <v>90.7853518317511</v>
      </c>
      <c r="AJ3978">
        <v>87.039621162219902</v>
      </c>
      <c r="AK3978">
        <v>80.771226781019905</v>
      </c>
      <c r="AL3978">
        <v>86.196823375595599</v>
      </c>
      <c r="AM3978">
        <v>93.506281263537801</v>
      </c>
      <c r="AN3978">
        <v>0.99999998551388303</v>
      </c>
    </row>
    <row r="3979" spans="1:40" x14ac:dyDescent="0.25">
      <c r="A3979" t="str">
        <f>"20190312151353198"</f>
        <v>20190312151353198</v>
      </c>
      <c r="B3979" t="str">
        <f>"1552374833193979"</f>
        <v>1552374833193979</v>
      </c>
      <c r="C3979" t="s">
        <v>40</v>
      </c>
      <c r="D3979">
        <v>4.2862519999999904</v>
      </c>
      <c r="E3979">
        <v>0.54040749999999904</v>
      </c>
      <c r="F3979" t="s">
        <v>42</v>
      </c>
      <c r="G3979">
        <v>-326.48610000000002</v>
      </c>
      <c r="H3979" s="1">
        <v>-2.3834919999999999E-6</v>
      </c>
      <c r="I3979">
        <v>142.9753</v>
      </c>
      <c r="J3979">
        <v>-269.23469999999998</v>
      </c>
      <c r="K3979">
        <v>1.107059</v>
      </c>
      <c r="L3979">
        <v>139.7612</v>
      </c>
      <c r="M3979">
        <v>-0.99991180000000002</v>
      </c>
      <c r="N3979">
        <v>0</v>
      </c>
      <c r="O3979">
        <v>1.1073049999999999E-2</v>
      </c>
      <c r="P3979">
        <v>-0.99696220000000002</v>
      </c>
      <c r="Q3979">
        <v>5.8835220000000001E-2</v>
      </c>
      <c r="R3979">
        <v>-5.1036390000000001E-2</v>
      </c>
      <c r="S3979">
        <v>-3.0216059999999998</v>
      </c>
      <c r="T3979">
        <v>-5.8053260000000002E-2</v>
      </c>
      <c r="U3979">
        <v>0.16880800000000001</v>
      </c>
      <c r="V3979">
        <v>-6.1734160000000003E-2</v>
      </c>
      <c r="W3979">
        <v>6.6452440000000002E-2</v>
      </c>
      <c r="X3979">
        <v>0.99587800000000004</v>
      </c>
      <c r="Y3979">
        <v>4.4714280000000002E-2</v>
      </c>
      <c r="Z3979">
        <v>2.1662299999999999E-4</v>
      </c>
      <c r="AA3979">
        <v>0.99899979999999999</v>
      </c>
      <c r="AB3979">
        <v>38</v>
      </c>
      <c r="AC3979">
        <v>-57.251399999999997</v>
      </c>
      <c r="AD3979">
        <v>-1.107061383492</v>
      </c>
      <c r="AE3979">
        <v>3.2141000000000002</v>
      </c>
      <c r="AF3979">
        <v>2.5789769921039301</v>
      </c>
      <c r="AG3979">
        <v>-1.107061383492</v>
      </c>
      <c r="AH3979">
        <v>57.262136865635703</v>
      </c>
      <c r="AI3979">
        <v>91.106452491558699</v>
      </c>
      <c r="AJ3979">
        <v>87.4212504688753</v>
      </c>
      <c r="AK3979">
        <v>57.330873232939801</v>
      </c>
      <c r="AL3979">
        <v>86.189747880016697</v>
      </c>
      <c r="AM3979">
        <v>93.547208124803902</v>
      </c>
      <c r="AN3979">
        <v>1.00000001208842</v>
      </c>
    </row>
    <row r="3980" spans="1:40" x14ac:dyDescent="0.25">
      <c r="A3980" t="str">
        <f>"20190312151353221"</f>
        <v>20190312151353221</v>
      </c>
      <c r="B3980" t="str">
        <f>"1552374833214474"</f>
        <v>1552374833214474</v>
      </c>
      <c r="C3980" t="s">
        <v>40</v>
      </c>
      <c r="D3980">
        <v>4.3049400000000002</v>
      </c>
      <c r="E3980">
        <v>0.53916219999999904</v>
      </c>
      <c r="F3980" t="s">
        <v>58</v>
      </c>
      <c r="G3980">
        <v>-317.87880000000001</v>
      </c>
      <c r="H3980" s="1">
        <v>-7.0259379999999997E-6</v>
      </c>
      <c r="I3980">
        <v>142.33260000000001</v>
      </c>
      <c r="J3980">
        <v>-269.61799999999999</v>
      </c>
      <c r="K3980">
        <v>1.107035</v>
      </c>
      <c r="L3980">
        <v>139.7672</v>
      </c>
      <c r="M3980">
        <v>-0.99988500000000002</v>
      </c>
      <c r="N3980">
        <v>0</v>
      </c>
      <c r="O3980">
        <v>1.327269E-2</v>
      </c>
      <c r="P3980">
        <v>-0.99708600000000003</v>
      </c>
      <c r="Q3980">
        <v>5.8616090000000003E-2</v>
      </c>
      <c r="R3980">
        <v>-4.8822820000000003E-2</v>
      </c>
      <c r="S3980">
        <v>-3.0213930000000002</v>
      </c>
      <c r="T3980">
        <v>-6.8762420000000005E-2</v>
      </c>
      <c r="U3980">
        <v>0.15971369999999999</v>
      </c>
      <c r="V3980">
        <v>-6.1710769999999998E-2</v>
      </c>
      <c r="W3980">
        <v>6.6249279999999994E-2</v>
      </c>
      <c r="X3980">
        <v>0.99589300000000003</v>
      </c>
      <c r="Y3980">
        <v>3.9521300000000002E-2</v>
      </c>
      <c r="Z3980">
        <v>1.475592E-4</v>
      </c>
      <c r="AA3980">
        <v>0.99921870000000002</v>
      </c>
      <c r="AB3980">
        <v>38</v>
      </c>
      <c r="AC3980">
        <v>-48.260800000000003</v>
      </c>
      <c r="AD3980">
        <v>-1.1070420259379901</v>
      </c>
      <c r="AE3980">
        <v>2.5654000000000101</v>
      </c>
      <c r="AF3980">
        <v>1.9235968182063401</v>
      </c>
      <c r="AG3980">
        <v>-1.1070420259379901</v>
      </c>
      <c r="AH3980">
        <v>48.265274398634403</v>
      </c>
      <c r="AI3980">
        <v>91.3128989405715</v>
      </c>
      <c r="AJ3980">
        <v>87.717703221560598</v>
      </c>
      <c r="AK3980">
        <v>48.316275513968201</v>
      </c>
      <c r="AL3980">
        <v>86.201413854143098</v>
      </c>
      <c r="AM3980">
        <v>93.545814307858905</v>
      </c>
      <c r="AN3980">
        <v>1.0000000268417499</v>
      </c>
    </row>
    <row r="3981" spans="1:40" x14ac:dyDescent="0.25">
      <c r="A3981" t="str">
        <f>"20190312151353244"</f>
        <v>20190312151353244</v>
      </c>
      <c r="B3981" t="str">
        <f>"1552374833233993"</f>
        <v>1552374833233993</v>
      </c>
      <c r="C3981" t="s">
        <v>40</v>
      </c>
      <c r="D3981">
        <v>4.2939179999999997</v>
      </c>
      <c r="E3981">
        <v>0.53825089999999998</v>
      </c>
      <c r="F3981" t="s">
        <v>58</v>
      </c>
      <c r="G3981">
        <v>-311.64749999999998</v>
      </c>
      <c r="H3981" s="1">
        <v>-9.4625889999999997E-6</v>
      </c>
      <c r="I3981">
        <v>141.93549999999999</v>
      </c>
      <c r="J3981">
        <v>-270.0043</v>
      </c>
      <c r="K3981">
        <v>1.10701</v>
      </c>
      <c r="L3981">
        <v>139.77420000000001</v>
      </c>
      <c r="M3981">
        <v>-0.99985310000000005</v>
      </c>
      <c r="N3981">
        <v>0</v>
      </c>
      <c r="O3981">
        <v>1.548799E-2</v>
      </c>
      <c r="P3981">
        <v>-0.99718280000000004</v>
      </c>
      <c r="Q3981">
        <v>5.8549940000000002E-2</v>
      </c>
      <c r="R3981">
        <v>-4.6891740000000001E-2</v>
      </c>
      <c r="S3981">
        <v>-3.021118</v>
      </c>
      <c r="T3981">
        <v>-7.9575419999999994E-2</v>
      </c>
      <c r="U3981">
        <v>0.1558533</v>
      </c>
      <c r="V3981">
        <v>-6.1984989999999997E-2</v>
      </c>
      <c r="W3981">
        <v>6.6200759999999997E-2</v>
      </c>
      <c r="X3981">
        <v>0.99587919999999996</v>
      </c>
      <c r="Y3981">
        <v>3.6038309999999997E-2</v>
      </c>
      <c r="Z3981" s="1">
        <v>6.6656180000000006E-5</v>
      </c>
      <c r="AA3981">
        <v>0.99935039999999997</v>
      </c>
      <c r="AB3981">
        <v>38</v>
      </c>
      <c r="AC3981">
        <v>-41.643199999999901</v>
      </c>
      <c r="AD3981">
        <v>-1.107019462589</v>
      </c>
      <c r="AE3981">
        <v>2.1612999999999798</v>
      </c>
      <c r="AF3981">
        <v>1.5149861653668799</v>
      </c>
      <c r="AG3981">
        <v>-1.107019462589</v>
      </c>
      <c r="AH3981">
        <v>41.642331170873902</v>
      </c>
      <c r="AI3981">
        <v>91.521785687372201</v>
      </c>
      <c r="AJ3981">
        <v>87.916445960226596</v>
      </c>
      <c r="AK3981">
        <v>41.684582527794902</v>
      </c>
      <c r="AL3981">
        <v>86.204199974744697</v>
      </c>
      <c r="AM3981">
        <v>93.561579363306095</v>
      </c>
      <c r="AN3981">
        <v>1.00000003030125</v>
      </c>
    </row>
    <row r="3982" spans="1:40" x14ac:dyDescent="0.25">
      <c r="A3982" t="str">
        <f>"20190312151353267"</f>
        <v>20190312151353267</v>
      </c>
      <c r="B3982" t="str">
        <f>"1552374833254489"</f>
        <v>1552374833254489</v>
      </c>
      <c r="C3982" t="s">
        <v>40</v>
      </c>
      <c r="D3982">
        <v>4.316414</v>
      </c>
      <c r="E3982">
        <v>0.53751599999999999</v>
      </c>
      <c r="F3982" t="s">
        <v>58</v>
      </c>
      <c r="G3982">
        <v>-308.61790000000002</v>
      </c>
      <c r="H3982" s="1">
        <v>-9.9276650000000008E-6</v>
      </c>
      <c r="I3982">
        <v>141.74629999999999</v>
      </c>
      <c r="J3982">
        <v>-270.38749999999999</v>
      </c>
      <c r="K3982">
        <v>1.1069819999999999</v>
      </c>
      <c r="L3982">
        <v>139.78190000000001</v>
      </c>
      <c r="M3982">
        <v>-0.9998165</v>
      </c>
      <c r="N3982">
        <v>0</v>
      </c>
      <c r="O3982">
        <v>1.7684809999999999E-2</v>
      </c>
      <c r="P3982">
        <v>-0.99726060000000005</v>
      </c>
      <c r="Q3982">
        <v>5.855556E-2</v>
      </c>
      <c r="R3982">
        <v>-4.5192580000000003E-2</v>
      </c>
      <c r="S3982">
        <v>-3.020813</v>
      </c>
      <c r="T3982">
        <v>-8.6604239999999999E-2</v>
      </c>
      <c r="U3982">
        <v>0.15428159999999999</v>
      </c>
      <c r="V3982">
        <v>-6.2473019999999997E-2</v>
      </c>
      <c r="W3982">
        <v>6.6225480000000003E-2</v>
      </c>
      <c r="X3982">
        <v>0.99584700000000004</v>
      </c>
      <c r="Y3982">
        <v>3.3329739999999997E-2</v>
      </c>
      <c r="Z3982" s="1">
        <v>-2.9152580000000001E-5</v>
      </c>
      <c r="AA3982">
        <v>0.99944440000000001</v>
      </c>
      <c r="AB3982">
        <v>38</v>
      </c>
      <c r="AC3982">
        <v>-38.230400000000003</v>
      </c>
      <c r="AD3982">
        <v>-1.106991927665</v>
      </c>
      <c r="AE3982">
        <v>1.9643999999999799</v>
      </c>
      <c r="AF3982">
        <v>1.2869009398834099</v>
      </c>
      <c r="AG3982">
        <v>-1.106991927665</v>
      </c>
      <c r="AH3982">
        <v>38.227195110814797</v>
      </c>
      <c r="AI3982">
        <v>91.657782244791406</v>
      </c>
      <c r="AJ3982">
        <v>88.071892092979596</v>
      </c>
      <c r="AK3982">
        <v>38.264866277007798</v>
      </c>
      <c r="AL3982">
        <v>86.202780278482905</v>
      </c>
      <c r="AM3982">
        <v>93.589663681878505</v>
      </c>
      <c r="AN3982">
        <v>0.99999996991907403</v>
      </c>
    </row>
    <row r="3983" spans="1:40" x14ac:dyDescent="0.25">
      <c r="A3983" t="str">
        <f>"20190312151353289"</f>
        <v>20190312151353289</v>
      </c>
      <c r="B3983" t="str">
        <f>"1552374833284747"</f>
        <v>1552374833284747</v>
      </c>
      <c r="C3983" t="s">
        <v>40</v>
      </c>
      <c r="D3983">
        <v>4.2898459999999998</v>
      </c>
      <c r="E3983">
        <v>0.53668169999999904</v>
      </c>
      <c r="F3983" t="s">
        <v>58</v>
      </c>
      <c r="G3983">
        <v>-306.82010000000002</v>
      </c>
      <c r="H3983" s="1">
        <v>-9.6351440000000007E-6</v>
      </c>
      <c r="I3983">
        <v>141.63079999999999</v>
      </c>
      <c r="J3983">
        <v>-270.7783</v>
      </c>
      <c r="K3983">
        <v>1.1069500000000001</v>
      </c>
      <c r="L3983">
        <v>139.79069999999999</v>
      </c>
      <c r="M3983">
        <v>-0.9997743</v>
      </c>
      <c r="N3983">
        <v>0</v>
      </c>
      <c r="O3983">
        <v>1.992292E-2</v>
      </c>
      <c r="P3983">
        <v>-0.99739350000000004</v>
      </c>
      <c r="Q3983">
        <v>5.7604049999999997E-2</v>
      </c>
      <c r="R3983">
        <v>-4.3449630000000003E-2</v>
      </c>
      <c r="S3983">
        <v>-3.0205690000000001</v>
      </c>
      <c r="T3983">
        <v>-9.1778990000000005E-2</v>
      </c>
      <c r="U3983">
        <v>0.1532898</v>
      </c>
      <c r="V3983">
        <v>-6.2965530000000006E-2</v>
      </c>
      <c r="W3983">
        <v>6.5293390000000007E-2</v>
      </c>
      <c r="X3983">
        <v>0.99587760000000003</v>
      </c>
      <c r="Y3983">
        <v>3.0770510000000001E-2</v>
      </c>
      <c r="Z3983">
        <v>-1.3766519999999999E-4</v>
      </c>
      <c r="AA3983">
        <v>0.99952640000000004</v>
      </c>
      <c r="AB3983">
        <v>38</v>
      </c>
      <c r="AC3983">
        <v>-36.041800000000002</v>
      </c>
      <c r="AD3983">
        <v>-1.1069596351440001</v>
      </c>
      <c r="AE3983">
        <v>1.8401000000000001</v>
      </c>
      <c r="AF3983">
        <v>1.1206029970558899</v>
      </c>
      <c r="AG3983">
        <v>-1.1069596351440001</v>
      </c>
      <c r="AH3983">
        <v>36.037401393663501</v>
      </c>
      <c r="AI3983">
        <v>91.758549842536794</v>
      </c>
      <c r="AJ3983">
        <v>88.218929847820505</v>
      </c>
      <c r="AK3983">
        <v>36.071809074661999</v>
      </c>
      <c r="AL3983">
        <v>86.256301211097295</v>
      </c>
      <c r="AM3983">
        <v>93.617777281676496</v>
      </c>
      <c r="AN3983">
        <v>1.00000003946381</v>
      </c>
    </row>
    <row r="3984" spans="1:40" x14ac:dyDescent="0.25">
      <c r="A3984" t="str">
        <f>"20190312151353311"</f>
        <v>20190312151353311</v>
      </c>
      <c r="B3984" t="str">
        <f>"1552374833304266"</f>
        <v>1552374833304266</v>
      </c>
      <c r="C3984" t="s">
        <v>40</v>
      </c>
      <c r="D3984">
        <v>4.3416810000000003</v>
      </c>
      <c r="E3984">
        <v>0.53605809999999998</v>
      </c>
      <c r="F3984" t="s">
        <v>58</v>
      </c>
      <c r="G3984">
        <v>-303.22770000000003</v>
      </c>
      <c r="H3984" s="1">
        <v>-9.0556149999999995E-6</v>
      </c>
      <c r="I3984">
        <v>141.4169</v>
      </c>
      <c r="J3984">
        <v>-271.14490000000001</v>
      </c>
      <c r="K3984">
        <v>1.1069329999999999</v>
      </c>
      <c r="L3984">
        <v>139.7997</v>
      </c>
      <c r="M3984">
        <v>-0.99973020000000001</v>
      </c>
      <c r="N3984">
        <v>0</v>
      </c>
      <c r="O3984">
        <v>2.202221E-2</v>
      </c>
      <c r="P3984">
        <v>-0.99751540000000005</v>
      </c>
      <c r="Q3984">
        <v>5.7017100000000001E-2</v>
      </c>
      <c r="R3984">
        <v>-4.1382790000000003E-2</v>
      </c>
      <c r="S3984">
        <v>-3.0203859999999998</v>
      </c>
      <c r="T3984">
        <v>-0.1030356</v>
      </c>
      <c r="U3984">
        <v>0.15136720000000001</v>
      </c>
      <c r="V3984">
        <v>-6.2993519999999997E-2</v>
      </c>
      <c r="W3984">
        <v>6.4722390000000005E-2</v>
      </c>
      <c r="X3984">
        <v>0.9959131</v>
      </c>
      <c r="Y3984">
        <v>2.8041529999999999E-2</v>
      </c>
      <c r="Z3984">
        <v>-2.7257760000000002E-4</v>
      </c>
      <c r="AA3984">
        <v>0.99960669999999996</v>
      </c>
      <c r="AB3984">
        <v>38</v>
      </c>
      <c r="AC3984">
        <v>-32.082799999999999</v>
      </c>
      <c r="AD3984">
        <v>-1.106942055615</v>
      </c>
      <c r="AE3984">
        <v>1.61719999999999</v>
      </c>
      <c r="AF3984">
        <v>0.90917477840529504</v>
      </c>
      <c r="AG3984">
        <v>-1.106942055615</v>
      </c>
      <c r="AH3984">
        <v>32.072550716646802</v>
      </c>
      <c r="AI3984">
        <v>91.975911000959201</v>
      </c>
      <c r="AJ3984">
        <v>88.376246044802201</v>
      </c>
      <c r="AK3984">
        <v>32.1045234969164</v>
      </c>
      <c r="AL3984">
        <v>86.289086440325093</v>
      </c>
      <c r="AM3984">
        <v>93.619252542013498</v>
      </c>
      <c r="AN3984">
        <v>1.00000003704045</v>
      </c>
    </row>
    <row r="3985" spans="1:40" x14ac:dyDescent="0.25">
      <c r="A3985" t="str">
        <f>"20190312151353333"</f>
        <v>20190312151353333</v>
      </c>
      <c r="B3985" t="str">
        <f>"1552374833323786"</f>
        <v>1552374833323786</v>
      </c>
      <c r="C3985" t="s">
        <v>40</v>
      </c>
      <c r="D3985">
        <v>4.4460240000000004</v>
      </c>
      <c r="E3985">
        <v>0.53580119999999998</v>
      </c>
      <c r="F3985" t="s">
        <v>58</v>
      </c>
      <c r="G3985">
        <v>-301.67079999999999</v>
      </c>
      <c r="H3985" s="1">
        <v>-8.8086159999999994E-6</v>
      </c>
      <c r="I3985">
        <v>141.33930000000001</v>
      </c>
      <c r="J3985">
        <v>-271.52280000000002</v>
      </c>
      <c r="K3985">
        <v>1.1069100000000001</v>
      </c>
      <c r="L3985">
        <v>139.8099</v>
      </c>
      <c r="M3985">
        <v>-0.99968020000000002</v>
      </c>
      <c r="N3985">
        <v>0</v>
      </c>
      <c r="O3985">
        <v>2.4185930000000001E-2</v>
      </c>
      <c r="P3985">
        <v>-0.99762799999999996</v>
      </c>
      <c r="Q3985">
        <v>5.6526020000000003E-2</v>
      </c>
      <c r="R3985">
        <v>-3.9283770000000003E-2</v>
      </c>
      <c r="S3985">
        <v>-3.0200200000000001</v>
      </c>
      <c r="T3985">
        <v>-0.1095129</v>
      </c>
      <c r="U3985">
        <v>0.15231320000000001</v>
      </c>
      <c r="V3985">
        <v>-6.3055280000000005E-2</v>
      </c>
      <c r="W3985">
        <v>6.4247490000000004E-2</v>
      </c>
      <c r="X3985">
        <v>0.99593989999999999</v>
      </c>
      <c r="Y3985">
        <v>2.6198559999999999E-2</v>
      </c>
      <c r="Z3985">
        <v>-4.0146680000000001E-4</v>
      </c>
      <c r="AA3985">
        <v>0.99965669999999995</v>
      </c>
      <c r="AB3985">
        <v>38</v>
      </c>
      <c r="AC3985">
        <v>-30.1479999999999</v>
      </c>
      <c r="AD3985">
        <v>-1.106918808616</v>
      </c>
      <c r="AE3985">
        <v>1.5294000000000001</v>
      </c>
      <c r="AF3985">
        <v>0.798701343156487</v>
      </c>
      <c r="AG3985">
        <v>-1.106918808616</v>
      </c>
      <c r="AH3985">
        <v>30.1356506438906</v>
      </c>
      <c r="AI3985">
        <v>92.1028596367278</v>
      </c>
      <c r="AJ3985">
        <v>88.481814576478001</v>
      </c>
      <c r="AK3985">
        <v>30.166548241637599</v>
      </c>
      <c r="AL3985">
        <v>86.316352805538102</v>
      </c>
      <c r="AM3985">
        <v>93.6226942510268</v>
      </c>
      <c r="AN3985">
        <v>0.99999999635959402</v>
      </c>
    </row>
    <row r="3986" spans="1:40" x14ac:dyDescent="0.25">
      <c r="A3986" t="str">
        <f>"20190312151353355"</f>
        <v>20190312151353355</v>
      </c>
      <c r="B3986" t="str">
        <f>"1552374833344285"</f>
        <v>1552374833344285</v>
      </c>
      <c r="C3986" t="s">
        <v>40</v>
      </c>
      <c r="D3986">
        <v>4.4910730000000001</v>
      </c>
      <c r="E3986">
        <v>0.53545120000000002</v>
      </c>
      <c r="F3986" t="s">
        <v>58</v>
      </c>
      <c r="G3986">
        <v>-301.10950000000003</v>
      </c>
      <c r="H3986" s="1">
        <v>-8.7099449999999992E-6</v>
      </c>
      <c r="I3986">
        <v>141.34270000000001</v>
      </c>
      <c r="J3986">
        <v>-271.89589999999998</v>
      </c>
      <c r="K3986">
        <v>1.106886</v>
      </c>
      <c r="L3986">
        <v>139.82069999999999</v>
      </c>
      <c r="M3986">
        <v>-0.99962600000000001</v>
      </c>
      <c r="N3986">
        <v>0</v>
      </c>
      <c r="O3986">
        <v>2.632174E-2</v>
      </c>
      <c r="P3986">
        <v>-0.99777610000000005</v>
      </c>
      <c r="Q3986">
        <v>5.5425200000000001E-2</v>
      </c>
      <c r="R3986">
        <v>-3.7026719999999999E-2</v>
      </c>
      <c r="S3986">
        <v>-3.0196839999999998</v>
      </c>
      <c r="T3986">
        <v>-0.11297459999999999</v>
      </c>
      <c r="U3986">
        <v>0.15644839999999999</v>
      </c>
      <c r="V3986">
        <v>-6.2935229999999995E-2</v>
      </c>
      <c r="W3986">
        <v>6.3162999999999997E-2</v>
      </c>
      <c r="X3986">
        <v>0.99601689999999998</v>
      </c>
      <c r="Y3986">
        <v>2.5435610000000001E-2</v>
      </c>
      <c r="Z3986">
        <v>-5.0821630000000002E-4</v>
      </c>
      <c r="AA3986">
        <v>0.99967629999999996</v>
      </c>
      <c r="AB3986">
        <v>38</v>
      </c>
      <c r="AC3986">
        <v>-29.2136</v>
      </c>
      <c r="AD3986">
        <v>-1.1068947099449999</v>
      </c>
      <c r="AE3986">
        <v>1.52200000000001</v>
      </c>
      <c r="AF3986">
        <v>0.75142284730239095</v>
      </c>
      <c r="AG3986">
        <v>-1.1068947099449999</v>
      </c>
      <c r="AH3986">
        <v>29.201731000466001</v>
      </c>
      <c r="AI3986">
        <v>92.170045712975707</v>
      </c>
      <c r="AJ3986">
        <v>88.525982618499</v>
      </c>
      <c r="AK3986">
        <v>29.232361273388999</v>
      </c>
      <c r="AL3986">
        <v>86.378616125614698</v>
      </c>
      <c r="AM3986">
        <v>93.615536583525</v>
      </c>
      <c r="AN3986">
        <v>1.00000003641488</v>
      </c>
    </row>
    <row r="3987" spans="1:40" x14ac:dyDescent="0.25">
      <c r="A3987" t="str">
        <f>"20190312151353377"</f>
        <v>20190312151353377</v>
      </c>
      <c r="B3987" t="str">
        <f>"1552374833374538"</f>
        <v>1552374833374538</v>
      </c>
      <c r="C3987" t="s">
        <v>40</v>
      </c>
      <c r="D3987">
        <v>4.3867059999999896</v>
      </c>
      <c r="E3987">
        <v>0.53475620000000001</v>
      </c>
      <c r="F3987" t="s">
        <v>58</v>
      </c>
      <c r="G3987">
        <v>-300.2543</v>
      </c>
      <c r="H3987" s="1">
        <v>-8.5546299999999998E-6</v>
      </c>
      <c r="I3987">
        <v>141.32900000000001</v>
      </c>
      <c r="J3987">
        <v>-272.28570000000002</v>
      </c>
      <c r="K3987">
        <v>1.1068739999999999</v>
      </c>
      <c r="L3987">
        <v>139.83269999999999</v>
      </c>
      <c r="M3987">
        <v>-0.99956480000000003</v>
      </c>
      <c r="N3987">
        <v>0</v>
      </c>
      <c r="O3987">
        <v>2.855245E-2</v>
      </c>
      <c r="P3987">
        <v>-0.99789209999999995</v>
      </c>
      <c r="Q3987">
        <v>5.4641389999999998E-2</v>
      </c>
      <c r="R3987">
        <v>-3.5014030000000002E-2</v>
      </c>
      <c r="S3987">
        <v>-3.019196</v>
      </c>
      <c r="T3987">
        <v>-0.1178463</v>
      </c>
      <c r="U3987">
        <v>0.16058349999999999</v>
      </c>
      <c r="V3987">
        <v>-6.3152479999999997E-2</v>
      </c>
      <c r="W3987">
        <v>6.2396800000000002E-2</v>
      </c>
      <c r="X3987">
        <v>0.99605140000000003</v>
      </c>
      <c r="Y3987">
        <v>2.458086E-2</v>
      </c>
      <c r="Z3987">
        <v>-6.3376129999999896E-4</v>
      </c>
      <c r="AA3987">
        <v>0.99969759999999996</v>
      </c>
      <c r="AB3987">
        <v>38</v>
      </c>
      <c r="AC3987">
        <v>-27.968599999999899</v>
      </c>
      <c r="AD3987">
        <v>-1.1068825546299901</v>
      </c>
      <c r="AE3987">
        <v>1.49630000000001</v>
      </c>
      <c r="AF3987">
        <v>0.69600890239651703</v>
      </c>
      <c r="AG3987">
        <v>-1.1068825546299901</v>
      </c>
      <c r="AH3987">
        <v>27.9562590806018</v>
      </c>
      <c r="AI3987">
        <v>92.266647168631707</v>
      </c>
      <c r="AJ3987">
        <v>88.573838641668203</v>
      </c>
      <c r="AK3987">
        <v>27.986819025457098</v>
      </c>
      <c r="AL3987">
        <v>86.422602767617605</v>
      </c>
      <c r="AM3987">
        <v>93.627858674404806</v>
      </c>
      <c r="AN3987">
        <v>0.999999993911175</v>
      </c>
    </row>
    <row r="3988" spans="1:40" x14ac:dyDescent="0.25">
      <c r="A3988" t="str">
        <f>"20190312151353399"</f>
        <v>20190312151353399</v>
      </c>
      <c r="B3988" t="str">
        <f>"1552374833394058"</f>
        <v>1552374833394058</v>
      </c>
      <c r="C3988" t="s">
        <v>40</v>
      </c>
      <c r="D3988">
        <v>4.3960239999999997</v>
      </c>
      <c r="E3988">
        <v>0.5341456</v>
      </c>
      <c r="F3988" t="s">
        <v>58</v>
      </c>
      <c r="G3988">
        <v>-299.1925</v>
      </c>
      <c r="H3988" s="1">
        <v>-8.5532680000000007E-6</v>
      </c>
      <c r="I3988">
        <v>141.26840000000001</v>
      </c>
      <c r="J3988">
        <v>-272.67270000000002</v>
      </c>
      <c r="K3988">
        <v>1.10686</v>
      </c>
      <c r="L3988">
        <v>139.84559999999999</v>
      </c>
      <c r="M3988">
        <v>-0.99949880000000002</v>
      </c>
      <c r="N3988">
        <v>0</v>
      </c>
      <c r="O3988">
        <v>3.0766100000000001E-2</v>
      </c>
      <c r="P3988">
        <v>-0.99802049999999998</v>
      </c>
      <c r="Q3988">
        <v>5.371712E-2</v>
      </c>
      <c r="R3988">
        <v>-3.2709429999999998E-2</v>
      </c>
      <c r="S3988">
        <v>-3.0188290000000002</v>
      </c>
      <c r="T3988">
        <v>-0.1241877</v>
      </c>
      <c r="U3988">
        <v>0.16107179999999999</v>
      </c>
      <c r="V3988">
        <v>-6.3062950000000007E-2</v>
      </c>
      <c r="W3988">
        <v>6.1489219999999997E-2</v>
      </c>
      <c r="X3988">
        <v>0.99611349999999999</v>
      </c>
      <c r="Y3988">
        <v>2.253838E-2</v>
      </c>
      <c r="Z3988">
        <v>-8.0077640000000003E-4</v>
      </c>
      <c r="AA3988">
        <v>0.99974569999999996</v>
      </c>
      <c r="AB3988">
        <v>38</v>
      </c>
      <c r="AC3988">
        <v>-26.519799999999901</v>
      </c>
      <c r="AD3988">
        <v>-1.106868553268</v>
      </c>
      <c r="AE3988">
        <v>1.42280000000002</v>
      </c>
      <c r="AF3988">
        <v>0.60514178520053297</v>
      </c>
      <c r="AG3988">
        <v>-1.106868553268</v>
      </c>
      <c r="AH3988">
        <v>26.5049808320484</v>
      </c>
      <c r="AI3988">
        <v>92.3907044094111</v>
      </c>
      <c r="AJ3988">
        <v>88.692093084447905</v>
      </c>
      <c r="AK3988">
        <v>26.534983766372701</v>
      </c>
      <c r="AL3988">
        <v>86.474703281870703</v>
      </c>
      <c r="AM3988">
        <v>93.622503990723899</v>
      </c>
      <c r="AN3988">
        <v>0.99999998236057996</v>
      </c>
    </row>
    <row r="3989" spans="1:40" x14ac:dyDescent="0.25">
      <c r="A3989" t="str">
        <f>"20190312151353421"</f>
        <v>20190312151353421</v>
      </c>
      <c r="B3989" t="str">
        <f>"1552374833414554"</f>
        <v>1552374833414554</v>
      </c>
      <c r="C3989" t="s">
        <v>40</v>
      </c>
      <c r="D3989">
        <v>4.4490959999999999</v>
      </c>
      <c r="E3989">
        <v>0.53358240000000001</v>
      </c>
      <c r="F3989" t="s">
        <v>58</v>
      </c>
      <c r="G3989">
        <v>-298.05560000000003</v>
      </c>
      <c r="H3989" s="1">
        <v>-8.6400440000000007E-6</v>
      </c>
      <c r="I3989">
        <v>141.21870000000001</v>
      </c>
      <c r="J3989">
        <v>-273.05239999999998</v>
      </c>
      <c r="K3989">
        <v>1.1068469999999999</v>
      </c>
      <c r="L3989">
        <v>139.85900000000001</v>
      </c>
      <c r="M3989">
        <v>-0.99942960000000003</v>
      </c>
      <c r="N3989">
        <v>0</v>
      </c>
      <c r="O3989">
        <v>3.293666E-2</v>
      </c>
      <c r="P3989">
        <v>-0.99810220000000005</v>
      </c>
      <c r="Q3989">
        <v>5.3229470000000001E-2</v>
      </c>
      <c r="R3989">
        <v>-3.0967680000000001E-2</v>
      </c>
      <c r="S3989">
        <v>-3.0183719999999998</v>
      </c>
      <c r="T3989">
        <v>-0.13162179999999901</v>
      </c>
      <c r="U3989">
        <v>0.16328429999999999</v>
      </c>
      <c r="V3989">
        <v>-6.3489879999999999E-2</v>
      </c>
      <c r="W3989">
        <v>6.1020419999999999E-2</v>
      </c>
      <c r="X3989">
        <v>0.99611519999999998</v>
      </c>
      <c r="Y3989">
        <v>2.1110239999999999E-2</v>
      </c>
      <c r="Z3989">
        <v>-9.7434059999999996E-4</v>
      </c>
      <c r="AA3989">
        <v>0.99977669999999996</v>
      </c>
      <c r="AB3989">
        <v>38</v>
      </c>
      <c r="AC3989">
        <v>-25.0032</v>
      </c>
      <c r="AD3989">
        <v>-1.1068556400439999</v>
      </c>
      <c r="AE3989">
        <v>1.3596999999999999</v>
      </c>
      <c r="AF3989">
        <v>0.53437330187347398</v>
      </c>
      <c r="AG3989">
        <v>-1.1068556400439999</v>
      </c>
      <c r="AH3989">
        <v>24.9855987213625</v>
      </c>
      <c r="AI3989">
        <v>92.535950809457503</v>
      </c>
      <c r="AJ3989">
        <v>88.774787499293893</v>
      </c>
      <c r="AK3989">
        <v>25.015811553867401</v>
      </c>
      <c r="AL3989">
        <v>86.501614049240004</v>
      </c>
      <c r="AM3989">
        <v>93.646955816718801</v>
      </c>
      <c r="AN3989">
        <v>0.99999997409521502</v>
      </c>
    </row>
    <row r="3990" spans="1:40" x14ac:dyDescent="0.25">
      <c r="A3990" t="str">
        <f>"20190312151353444"</f>
        <v>20190312151353444</v>
      </c>
      <c r="B3990" t="str">
        <f>"1552374833434074"</f>
        <v>1552374833434074</v>
      </c>
      <c r="C3990" t="s">
        <v>40</v>
      </c>
      <c r="D3990">
        <v>4.455362</v>
      </c>
      <c r="E3990">
        <v>0.5333251</v>
      </c>
      <c r="F3990" t="s">
        <v>58</v>
      </c>
      <c r="G3990">
        <v>-297.35149999999999</v>
      </c>
      <c r="H3990" s="1">
        <v>-8.6916830000000003E-6</v>
      </c>
      <c r="I3990">
        <v>141.18</v>
      </c>
      <c r="J3990">
        <v>-273.45089999999999</v>
      </c>
      <c r="K3990">
        <v>1.1068260000000001</v>
      </c>
      <c r="L3990">
        <v>139.874</v>
      </c>
      <c r="M3990">
        <v>-0.99935189999999996</v>
      </c>
      <c r="N3990">
        <v>0</v>
      </c>
      <c r="O3990">
        <v>3.5213729999999999E-2</v>
      </c>
      <c r="P3990">
        <v>-0.99817889999999998</v>
      </c>
      <c r="Q3990">
        <v>5.2691219999999997E-2</v>
      </c>
      <c r="R3990">
        <v>-2.937261E-2</v>
      </c>
      <c r="S3990">
        <v>-3.0181269999999998</v>
      </c>
      <c r="T3990">
        <v>-0.13747970000000001</v>
      </c>
      <c r="U3990">
        <v>0.164077799999999</v>
      </c>
      <c r="V3990">
        <v>-6.4170179999999993E-2</v>
      </c>
      <c r="W3990">
        <v>6.0503050000000003E-2</v>
      </c>
      <c r="X3990">
        <v>0.99610319999999997</v>
      </c>
      <c r="Y3990">
        <v>1.9104119999999999E-2</v>
      </c>
      <c r="Z3990">
        <v>-1.16687E-3</v>
      </c>
      <c r="AA3990">
        <v>0.99981679999999995</v>
      </c>
      <c r="AB3990">
        <v>39</v>
      </c>
      <c r="AC3990">
        <v>-23.900600000000001</v>
      </c>
      <c r="AD3990">
        <v>-1.1068346916830001</v>
      </c>
      <c r="AE3990">
        <v>1.30600000000001</v>
      </c>
      <c r="AF3990">
        <v>0.46254820135548802</v>
      </c>
      <c r="AG3990">
        <v>-1.1068346916830001</v>
      </c>
      <c r="AH3990">
        <v>23.8807042528402</v>
      </c>
      <c r="AI3990">
        <v>92.653177092545903</v>
      </c>
      <c r="AJ3990">
        <v>88.890369981181394</v>
      </c>
      <c r="AK3990">
        <v>23.910814906332899</v>
      </c>
      <c r="AL3990">
        <v>86.5313121587496</v>
      </c>
      <c r="AM3990">
        <v>93.685970412742506</v>
      </c>
      <c r="AN3990">
        <v>1.0000000080553799</v>
      </c>
    </row>
    <row r="3991" spans="1:40" x14ac:dyDescent="0.25">
      <c r="A3991" t="str">
        <f>"20190312151353468"</f>
        <v>20190312151353468</v>
      </c>
      <c r="B3991" t="str">
        <f>"1552374833464330"</f>
        <v>1552374833464330</v>
      </c>
      <c r="C3991" t="s">
        <v>40</v>
      </c>
      <c r="D3991">
        <v>4.4599729999999997</v>
      </c>
      <c r="E3991">
        <v>0.52338929999999995</v>
      </c>
      <c r="F3991" t="s">
        <v>58</v>
      </c>
      <c r="G3991">
        <v>-297.20479999999998</v>
      </c>
      <c r="H3991" s="1">
        <v>-8.7071970000000004E-6</v>
      </c>
      <c r="I3991">
        <v>141.19</v>
      </c>
      <c r="J3991">
        <v>-273.85210000000001</v>
      </c>
      <c r="K3991">
        <v>1.1068100000000001</v>
      </c>
      <c r="L3991">
        <v>139.88999999999999</v>
      </c>
      <c r="M3991">
        <v>-0.99926839999999995</v>
      </c>
      <c r="N3991">
        <v>0</v>
      </c>
      <c r="O3991">
        <v>3.7505160000000003E-2</v>
      </c>
      <c r="P3991">
        <v>-0.99822089999999997</v>
      </c>
      <c r="Q3991">
        <v>5.2784949999999997E-2</v>
      </c>
      <c r="R3991">
        <v>-2.7727290000000002E-2</v>
      </c>
      <c r="S3991">
        <v>-3.017792</v>
      </c>
      <c r="T3991">
        <v>-0.14061679999999999</v>
      </c>
      <c r="U3991">
        <v>0.16719059999999999</v>
      </c>
      <c r="V3991">
        <v>-6.4810930000000003E-2</v>
      </c>
      <c r="W3991">
        <v>6.0617289999999997E-2</v>
      </c>
      <c r="X3991">
        <v>0.99605480000000002</v>
      </c>
      <c r="Y3991">
        <v>1.7850319999999999E-2</v>
      </c>
      <c r="Z3991">
        <v>-1.329261E-3</v>
      </c>
      <c r="AA3991">
        <v>0.99983979999999995</v>
      </c>
      <c r="AB3991">
        <v>39</v>
      </c>
      <c r="AC3991">
        <v>-23.352699999999899</v>
      </c>
      <c r="AD3991">
        <v>-1.1068187071969999</v>
      </c>
      <c r="AE3991">
        <v>1.30000000000001</v>
      </c>
      <c r="AF3991">
        <v>0.422268390992665</v>
      </c>
      <c r="AG3991">
        <v>-1.1068187071969999</v>
      </c>
      <c r="AH3991">
        <v>23.332775168576699</v>
      </c>
      <c r="AI3991">
        <v>92.715415496076204</v>
      </c>
      <c r="AJ3991">
        <v>88.963194237760803</v>
      </c>
      <c r="AK3991">
        <v>23.362828495539301</v>
      </c>
      <c r="AL3991">
        <v>86.524754759065203</v>
      </c>
      <c r="AM3991">
        <v>93.722852842938394</v>
      </c>
      <c r="AN3991">
        <v>1.00000003854872</v>
      </c>
    </row>
    <row r="3992" spans="1:40" x14ac:dyDescent="0.25">
      <c r="A3992" t="str">
        <f>"20190312151353491"</f>
        <v>20190312151353491</v>
      </c>
      <c r="B3992" t="str">
        <f>"1552374833483850"</f>
        <v>1552374833483850</v>
      </c>
      <c r="C3992" t="s">
        <v>40</v>
      </c>
      <c r="D3992">
        <v>4.7611059999999998</v>
      </c>
      <c r="E3992">
        <v>0.52329170000000003</v>
      </c>
      <c r="F3992" t="s">
        <v>41</v>
      </c>
      <c r="G3992">
        <v>-274.87830000000002</v>
      </c>
      <c r="H3992">
        <v>1.021158</v>
      </c>
      <c r="I3992">
        <v>139.9205</v>
      </c>
      <c r="J3992">
        <v>-274.2516</v>
      </c>
      <c r="K3992">
        <v>1.106795</v>
      </c>
      <c r="L3992">
        <v>139.9068</v>
      </c>
      <c r="M3992">
        <v>-0.99918010000000002</v>
      </c>
      <c r="N3992">
        <v>0</v>
      </c>
      <c r="O3992">
        <v>3.9785569999999999E-2</v>
      </c>
      <c r="P3992">
        <v>-0.99829400000000001</v>
      </c>
      <c r="Q3992">
        <v>5.2241019999999999E-2</v>
      </c>
      <c r="R3992">
        <v>-2.607578E-2</v>
      </c>
      <c r="S3992">
        <v>-3.0211489999999999</v>
      </c>
      <c r="T3992">
        <v>-0.25213219999999997</v>
      </c>
      <c r="U3992">
        <v>8.9385989999999999E-2</v>
      </c>
      <c r="V3992">
        <v>-6.5438979999999994E-2</v>
      </c>
      <c r="W3992">
        <v>6.0094189999999999E-2</v>
      </c>
      <c r="X3992">
        <v>0.99604539999999997</v>
      </c>
      <c r="Y3992">
        <v>-1.004591E-2</v>
      </c>
      <c r="Z3992">
        <v>-3.731177E-3</v>
      </c>
      <c r="AA3992">
        <v>0.99994260000000001</v>
      </c>
      <c r="AB3992">
        <v>39</v>
      </c>
      <c r="AC3992">
        <v>-0.62670000000002701</v>
      </c>
      <c r="AD3992">
        <v>-8.5636999999999894E-2</v>
      </c>
      <c r="AE3992">
        <v>1.37E-2</v>
      </c>
      <c r="AF3992">
        <v>-1.1039135261364699E-2</v>
      </c>
      <c r="AG3992">
        <v>-8.5636999999999894E-2</v>
      </c>
      <c r="AH3992">
        <v>0.61526576449098502</v>
      </c>
      <c r="AI3992">
        <v>97.922660726220997</v>
      </c>
      <c r="AJ3992">
        <v>91.027894024106402</v>
      </c>
      <c r="AK3992">
        <v>0.62129503396614705</v>
      </c>
      <c r="AL3992">
        <v>86.554780805668699</v>
      </c>
      <c r="AM3992">
        <v>93.758861573071499</v>
      </c>
      <c r="AN3992">
        <v>1.0000000053181699</v>
      </c>
    </row>
    <row r="3993" spans="1:40" x14ac:dyDescent="0.25">
      <c r="A3993" t="str">
        <f>"20190312151353512"</f>
        <v>20190312151353512</v>
      </c>
      <c r="B3993" t="str">
        <f>"1552374833504346"</f>
        <v>1552374833504346</v>
      </c>
      <c r="C3993" t="s">
        <v>40</v>
      </c>
      <c r="D3993">
        <v>4.5037120000000002</v>
      </c>
      <c r="E3993">
        <v>0.52297689999999997</v>
      </c>
      <c r="F3993" t="s">
        <v>41</v>
      </c>
      <c r="G3993">
        <v>-275.22809999999998</v>
      </c>
      <c r="H3993">
        <v>1.0243199999999999</v>
      </c>
      <c r="I3993">
        <v>139.93729999999999</v>
      </c>
      <c r="J3993">
        <v>-274.6189</v>
      </c>
      <c r="K3993">
        <v>1.106784</v>
      </c>
      <c r="L3993">
        <v>139.92310000000001</v>
      </c>
      <c r="M3993">
        <v>-0.99909420000000004</v>
      </c>
      <c r="N3993">
        <v>0</v>
      </c>
      <c r="O3993">
        <v>4.1881500000000002E-2</v>
      </c>
      <c r="P3993">
        <v>-0.99833099999999997</v>
      </c>
      <c r="Q3993">
        <v>5.1864210000000001E-2</v>
      </c>
      <c r="R3993">
        <v>-2.5403619999999998E-2</v>
      </c>
      <c r="S3993">
        <v>-3.0209350000000001</v>
      </c>
      <c r="T3993">
        <v>-0.25518770000000002</v>
      </c>
      <c r="U3993">
        <v>9.3505859999999996E-2</v>
      </c>
      <c r="V3993">
        <v>-6.6859959999999996E-2</v>
      </c>
      <c r="W3993">
        <v>5.9740540000000002E-2</v>
      </c>
      <c r="X3993">
        <v>0.99597230000000003</v>
      </c>
      <c r="Y3993">
        <v>-1.076478E-2</v>
      </c>
      <c r="Z3993">
        <v>-3.9832340000000004E-3</v>
      </c>
      <c r="AA3993">
        <v>0.99993410000000005</v>
      </c>
      <c r="AB3993">
        <v>39</v>
      </c>
      <c r="AC3993">
        <v>-0.60919999999998697</v>
      </c>
      <c r="AD3993">
        <v>-8.2463999999999801E-2</v>
      </c>
      <c r="AE3993">
        <v>1.4199999999988199E-2</v>
      </c>
      <c r="AF3993">
        <v>-1.1123679086741599E-2</v>
      </c>
      <c r="AG3993">
        <v>-8.2463999999999801E-2</v>
      </c>
      <c r="AH3993">
        <v>0.59830311430595295</v>
      </c>
      <c r="AI3993">
        <v>97.846282260410007</v>
      </c>
      <c r="AJ3993">
        <v>91.065123060753507</v>
      </c>
      <c r="AK3993">
        <v>0.60406180488475403</v>
      </c>
      <c r="AL3993">
        <v>86.575079925446005</v>
      </c>
      <c r="AM3993">
        <v>93.840523042400704</v>
      </c>
      <c r="AN3993">
        <v>1.0000000043689901</v>
      </c>
    </row>
    <row r="3994" spans="1:40" x14ac:dyDescent="0.25">
      <c r="A3994" t="str">
        <f>"20190312151353534"</f>
        <v>20190312151353534</v>
      </c>
      <c r="B3994" t="str">
        <f>"1552374833523866"</f>
        <v>1552374833523866</v>
      </c>
      <c r="C3994" t="s">
        <v>40</v>
      </c>
      <c r="D3994">
        <v>4.5560029999999996</v>
      </c>
      <c r="E3994">
        <v>0.52251029999999998</v>
      </c>
      <c r="F3994" t="s">
        <v>41</v>
      </c>
      <c r="G3994">
        <v>-275.57749999999999</v>
      </c>
      <c r="H3994">
        <v>1.0251079999999999</v>
      </c>
      <c r="I3994">
        <v>139.9529</v>
      </c>
      <c r="J3994">
        <v>-275.00729999999999</v>
      </c>
      <c r="K3994">
        <v>1.1067709999999999</v>
      </c>
      <c r="L3994">
        <v>139.94120000000001</v>
      </c>
      <c r="M3994">
        <v>-0.99899899999999997</v>
      </c>
      <c r="N3994">
        <v>0</v>
      </c>
      <c r="O3994">
        <v>4.4095559999999999E-2</v>
      </c>
      <c r="P3994">
        <v>-0.9983514</v>
      </c>
      <c r="Q3994">
        <v>5.163856E-2</v>
      </c>
      <c r="R3994">
        <v>-2.5061279999999998E-2</v>
      </c>
      <c r="S3994">
        <v>-3.0207820000000001</v>
      </c>
      <c r="T3994">
        <v>-0.25743100000000002</v>
      </c>
      <c r="U3994">
        <v>9.3444819999999998E-2</v>
      </c>
      <c r="V3994">
        <v>-6.8726140000000005E-2</v>
      </c>
      <c r="W3994">
        <v>5.9542060000000001E-2</v>
      </c>
      <c r="X3994">
        <v>0.99585710000000005</v>
      </c>
      <c r="Y3994">
        <v>-1.298008E-2</v>
      </c>
      <c r="Z3994">
        <v>-4.300636E-3</v>
      </c>
      <c r="AA3994">
        <v>0.99990650000000003</v>
      </c>
      <c r="AB3994">
        <v>39</v>
      </c>
      <c r="AC3994">
        <v>-0.57019999999999904</v>
      </c>
      <c r="AD3994">
        <v>-8.1662999999999999E-2</v>
      </c>
      <c r="AE3994">
        <v>1.16999999999904E-2</v>
      </c>
      <c r="AF3994">
        <v>-1.3185050070250301E-2</v>
      </c>
      <c r="AG3994">
        <v>-8.1662999999999999E-2</v>
      </c>
      <c r="AH3994">
        <v>0.55870622928496005</v>
      </c>
      <c r="AI3994">
        <v>98.313439444012701</v>
      </c>
      <c r="AJ3994">
        <v>91.351886709741393</v>
      </c>
      <c r="AK3994">
        <v>0.56479672604944597</v>
      </c>
      <c r="AL3994">
        <v>86.586472090610897</v>
      </c>
      <c r="AM3994">
        <v>93.947839731758194</v>
      </c>
      <c r="AN3994">
        <v>0.99999995142437503</v>
      </c>
    </row>
    <row r="3995" spans="1:40" x14ac:dyDescent="0.25">
      <c r="A3995" t="str">
        <f>"20190312151353556"</f>
        <v>20190312151353556</v>
      </c>
      <c r="B3995" t="str">
        <f>"1552374833544362"</f>
        <v>1552374833544362</v>
      </c>
      <c r="C3995" t="s">
        <v>40</v>
      </c>
      <c r="D3995">
        <v>4.5483570000000002</v>
      </c>
      <c r="E3995">
        <v>0.52240319999999996</v>
      </c>
      <c r="F3995" t="s">
        <v>41</v>
      </c>
      <c r="G3995">
        <v>-275.92779999999999</v>
      </c>
      <c r="H3995">
        <v>1.0262629999999999</v>
      </c>
      <c r="I3995">
        <v>139.9691</v>
      </c>
      <c r="J3995">
        <v>-275.39510000000001</v>
      </c>
      <c r="K3995">
        <v>1.106752</v>
      </c>
      <c r="L3995">
        <v>139.96010000000001</v>
      </c>
      <c r="M3995">
        <v>-0.99889870000000003</v>
      </c>
      <c r="N3995">
        <v>0</v>
      </c>
      <c r="O3995">
        <v>4.6303669999999998E-2</v>
      </c>
      <c r="P3995">
        <v>-0.99840519999999999</v>
      </c>
      <c r="Q3995">
        <v>5.0736219999999999E-2</v>
      </c>
      <c r="R3995">
        <v>-2.4756650000000002E-2</v>
      </c>
      <c r="S3995">
        <v>-3.020905</v>
      </c>
      <c r="T3995">
        <v>-0.26419340000000002</v>
      </c>
      <c r="U3995">
        <v>9.1018680000000005E-2</v>
      </c>
      <c r="V3995">
        <v>-7.063055E-2</v>
      </c>
      <c r="W3995">
        <v>5.8666679999999999E-2</v>
      </c>
      <c r="X3995">
        <v>0.99577590000000005</v>
      </c>
      <c r="Y3995">
        <v>-1.5963069999999999E-2</v>
      </c>
      <c r="Z3995">
        <v>-4.7357320000000003E-3</v>
      </c>
      <c r="AA3995">
        <v>0.99986140000000001</v>
      </c>
      <c r="AB3995">
        <v>39</v>
      </c>
      <c r="AC3995">
        <v>-0.53269999999997697</v>
      </c>
      <c r="AD3995">
        <v>-8.0489000000000005E-2</v>
      </c>
      <c r="AE3995">
        <v>8.9999999999861302E-3</v>
      </c>
      <c r="AF3995">
        <v>-1.5326520266537001E-2</v>
      </c>
      <c r="AG3995">
        <v>-8.0489000000000005E-2</v>
      </c>
      <c r="AH3995">
        <v>0.52066197443822704</v>
      </c>
      <c r="AI3995">
        <v>98.784031422653001</v>
      </c>
      <c r="AJ3995">
        <v>91.686106263300999</v>
      </c>
      <c r="AK3995">
        <v>0.52706951436256799</v>
      </c>
      <c r="AL3995">
        <v>86.636715836055302</v>
      </c>
      <c r="AM3995">
        <v>94.057204211926702</v>
      </c>
      <c r="AN3995">
        <v>1.0000000484781599</v>
      </c>
    </row>
    <row r="3996" spans="1:40" x14ac:dyDescent="0.25">
      <c r="A3996" t="str">
        <f>"20190312151353580"</f>
        <v>20190312151353580</v>
      </c>
      <c r="B3996" t="str">
        <f>"1552374833574618"</f>
        <v>1552374833574618</v>
      </c>
      <c r="C3996" t="s">
        <v>40</v>
      </c>
      <c r="D3996">
        <v>4.5134420000000004</v>
      </c>
      <c r="E3996">
        <v>0.52198359999999899</v>
      </c>
      <c r="F3996" t="s">
        <v>41</v>
      </c>
      <c r="G3996">
        <v>-276.28039999999999</v>
      </c>
      <c r="H3996">
        <v>1.028729</v>
      </c>
      <c r="I3996">
        <v>139.98699999999999</v>
      </c>
      <c r="J3996">
        <v>-275.8048</v>
      </c>
      <c r="K3996">
        <v>1.1067370000000001</v>
      </c>
      <c r="L3996">
        <v>139.98089999999999</v>
      </c>
      <c r="M3996">
        <v>-0.99878800000000001</v>
      </c>
      <c r="N3996">
        <v>0</v>
      </c>
      <c r="O3996">
        <v>4.8632830000000002E-2</v>
      </c>
      <c r="P3996">
        <v>-0.9984729</v>
      </c>
      <c r="Q3996">
        <v>4.973698E-2</v>
      </c>
      <c r="R3996">
        <v>-2.4046399999999999E-2</v>
      </c>
      <c r="S3996">
        <v>-3.0205989999999998</v>
      </c>
      <c r="T3996">
        <v>-0.26626620000000001</v>
      </c>
      <c r="U3996">
        <v>9.1415410000000002E-2</v>
      </c>
      <c r="V3996">
        <v>-7.225086E-2</v>
      </c>
      <c r="W3996">
        <v>5.7693679999999997E-2</v>
      </c>
      <c r="X3996">
        <v>0.9957165</v>
      </c>
      <c r="Y3996">
        <v>-1.8139140000000002E-2</v>
      </c>
      <c r="Z3996">
        <v>-5.0735449999999996E-3</v>
      </c>
      <c r="AA3996">
        <v>0.99982260000000001</v>
      </c>
      <c r="AB3996">
        <v>39</v>
      </c>
      <c r="AC3996">
        <v>-0.47559999999998498</v>
      </c>
      <c r="AD3996">
        <v>-7.8007999999999994E-2</v>
      </c>
      <c r="AE3996">
        <v>6.1000000000035401E-3</v>
      </c>
      <c r="AF3996">
        <v>-1.6591377819504802E-2</v>
      </c>
      <c r="AG3996">
        <v>-7.8007999999999994E-2</v>
      </c>
      <c r="AH3996">
        <v>0.46288314855975499</v>
      </c>
      <c r="AI3996">
        <v>99.559936431441898</v>
      </c>
      <c r="AJ3996">
        <v>92.052805631971793</v>
      </c>
      <c r="AK3996">
        <v>0.46970345017100101</v>
      </c>
      <c r="AL3996">
        <v>86.692559220401193</v>
      </c>
      <c r="AM3996">
        <v>94.150204218539798</v>
      </c>
      <c r="AN3996">
        <v>1.00000004792746</v>
      </c>
    </row>
    <row r="3997" spans="1:40" x14ac:dyDescent="0.25">
      <c r="A3997" t="str">
        <f>"20190312151353600"</f>
        <v>20190312151353600</v>
      </c>
      <c r="B3997" t="str">
        <f>"1552374833594138"</f>
        <v>1552374833594138</v>
      </c>
      <c r="C3997" t="s">
        <v>40</v>
      </c>
      <c r="D3997">
        <v>4.5705229999999997</v>
      </c>
      <c r="E3997">
        <v>0.52174069999999995</v>
      </c>
      <c r="F3997" t="s">
        <v>41</v>
      </c>
      <c r="G3997">
        <v>-276.63470000000001</v>
      </c>
      <c r="H3997">
        <v>1.032626</v>
      </c>
      <c r="I3997">
        <v>140.0059</v>
      </c>
      <c r="J3997">
        <v>-276.17419999999998</v>
      </c>
      <c r="K3997">
        <v>1.106724</v>
      </c>
      <c r="L3997">
        <v>140.00059999999999</v>
      </c>
      <c r="M3997">
        <v>-0.99868369999999995</v>
      </c>
      <c r="N3997">
        <v>0</v>
      </c>
      <c r="O3997">
        <v>5.0727729999999999E-2</v>
      </c>
      <c r="P3997">
        <v>-0.99856489999999998</v>
      </c>
      <c r="Q3997">
        <v>4.8162749999999997E-2</v>
      </c>
      <c r="R3997">
        <v>-2.342609E-2</v>
      </c>
      <c r="S3997">
        <v>-3.0201720000000001</v>
      </c>
      <c r="T3997">
        <v>-0.26967869999999999</v>
      </c>
      <c r="U3997">
        <v>8.9950559999999999E-2</v>
      </c>
      <c r="V3997">
        <v>-7.3733899999999894E-2</v>
      </c>
      <c r="W3997">
        <v>5.6147900000000001E-2</v>
      </c>
      <c r="X3997">
        <v>0.99569609999999997</v>
      </c>
      <c r="Y3997">
        <v>-2.0691310000000001E-2</v>
      </c>
      <c r="Z3997">
        <v>-5.4391889999999997E-3</v>
      </c>
      <c r="AA3997">
        <v>0.99977110000000002</v>
      </c>
      <c r="AB3997">
        <v>39</v>
      </c>
      <c r="AC3997">
        <v>-0.460500000000024</v>
      </c>
      <c r="AD3997">
        <v>-7.4097999999999997E-2</v>
      </c>
      <c r="AE3997">
        <v>5.3000000000054098E-3</v>
      </c>
      <c r="AF3997">
        <v>-1.7611687170565899E-2</v>
      </c>
      <c r="AG3997">
        <v>-7.4097999999999997E-2</v>
      </c>
      <c r="AH3997">
        <v>0.44856359371302701</v>
      </c>
      <c r="AI3997">
        <v>99.372861858703402</v>
      </c>
      <c r="AJ3997">
        <v>92.248415451588798</v>
      </c>
      <c r="AK3997">
        <v>0.45498349721032699</v>
      </c>
      <c r="AL3997">
        <v>86.781269564421095</v>
      </c>
      <c r="AM3997">
        <v>94.235171995085196</v>
      </c>
      <c r="AN3997">
        <v>0.99999999911941495</v>
      </c>
    </row>
    <row r="3998" spans="1:40" x14ac:dyDescent="0.25">
      <c r="A3998" t="str">
        <f>"20190312151353622"</f>
        <v>20190312151353622</v>
      </c>
      <c r="B3998" t="str">
        <f>"1552374833614637"</f>
        <v>1552374833614637</v>
      </c>
      <c r="C3998" t="s">
        <v>40</v>
      </c>
      <c r="D3998">
        <v>4.6899600000000001</v>
      </c>
      <c r="E3998">
        <v>0.52206989999999998</v>
      </c>
      <c r="F3998" t="s">
        <v>41</v>
      </c>
      <c r="G3998">
        <v>-276.98649999999998</v>
      </c>
      <c r="H3998">
        <v>1.032702</v>
      </c>
      <c r="I3998">
        <v>140.0249</v>
      </c>
      <c r="J3998">
        <v>-276.54989999999998</v>
      </c>
      <c r="K3998">
        <v>1.106711</v>
      </c>
      <c r="L3998">
        <v>140.0213</v>
      </c>
      <c r="M3998">
        <v>-0.9985735</v>
      </c>
      <c r="N3998">
        <v>0</v>
      </c>
      <c r="O3998">
        <v>5.284705E-2</v>
      </c>
      <c r="P3998">
        <v>-0.99861679999999997</v>
      </c>
      <c r="Q3998">
        <v>4.728276E-2</v>
      </c>
      <c r="R3998">
        <v>-2.3002269999999998E-2</v>
      </c>
      <c r="S3998">
        <v>-3.0196839999999998</v>
      </c>
      <c r="T3998">
        <v>-0.27512989999999998</v>
      </c>
      <c r="U3998">
        <v>8.9813229999999994E-2</v>
      </c>
      <c r="V3998">
        <v>-7.5431380000000006E-2</v>
      </c>
      <c r="W3998">
        <v>5.5303770000000002E-2</v>
      </c>
      <c r="X3998">
        <v>0.99561619999999995</v>
      </c>
      <c r="Y3998">
        <v>-2.282443E-2</v>
      </c>
      <c r="Z3998">
        <v>-5.8389319999999998E-3</v>
      </c>
      <c r="AA3998">
        <v>0.99972240000000001</v>
      </c>
      <c r="AB3998">
        <v>39</v>
      </c>
      <c r="AC3998">
        <v>-0.43659999999999799</v>
      </c>
      <c r="AD3998">
        <v>-7.4008999999999894E-2</v>
      </c>
      <c r="AE3998">
        <v>3.6000000000058199E-3</v>
      </c>
      <c r="AF3998">
        <v>-1.8934684666496199E-2</v>
      </c>
      <c r="AG3998">
        <v>-7.4008999999999894E-2</v>
      </c>
      <c r="AH3998">
        <v>0.42399764752026498</v>
      </c>
      <c r="AI3998">
        <v>99.891590808246406</v>
      </c>
      <c r="AJ3998">
        <v>92.556988694399806</v>
      </c>
      <c r="AK3998">
        <v>0.43082462727557502</v>
      </c>
      <c r="AL3998">
        <v>86.829709954333694</v>
      </c>
      <c r="AM3998">
        <v>94.332652168585</v>
      </c>
      <c r="AN3998">
        <v>1.00000000888367</v>
      </c>
    </row>
    <row r="3999" spans="1:40" x14ac:dyDescent="0.25">
      <c r="A3999" t="str">
        <f>"20190312151353644"</f>
        <v>20190312151353644</v>
      </c>
      <c r="B3999" t="str">
        <f>"1552374833634154"</f>
        <v>1552374833634154</v>
      </c>
      <c r="C3999" t="s">
        <v>40</v>
      </c>
      <c r="D3999">
        <v>4.5485530000000001</v>
      </c>
      <c r="E3999">
        <v>0.52197660000000001</v>
      </c>
      <c r="F3999" t="s">
        <v>41</v>
      </c>
      <c r="G3999">
        <v>-277.3399</v>
      </c>
      <c r="H3999">
        <v>1.0341659999999999</v>
      </c>
      <c r="I3999">
        <v>140.0461</v>
      </c>
      <c r="J3999">
        <v>-276.9581</v>
      </c>
      <c r="K3999">
        <v>1.106714</v>
      </c>
      <c r="L3999">
        <v>140.04470000000001</v>
      </c>
      <c r="M3999">
        <v>-0.99845010000000001</v>
      </c>
      <c r="N3999">
        <v>0</v>
      </c>
      <c r="O3999">
        <v>5.5126689999999999E-2</v>
      </c>
      <c r="P3999">
        <v>-0.99867570000000006</v>
      </c>
      <c r="Q3999">
        <v>4.6608959999999998E-2</v>
      </c>
      <c r="R3999">
        <v>-2.1789429999999999E-2</v>
      </c>
      <c r="S3999">
        <v>-3.019409</v>
      </c>
      <c r="T3999">
        <v>-0.27723710000000001</v>
      </c>
      <c r="U3999">
        <v>9.3658450000000004E-2</v>
      </c>
      <c r="V3999">
        <v>-7.6501250000000007E-2</v>
      </c>
      <c r="W3999">
        <v>5.4667689999999998E-2</v>
      </c>
      <c r="X3999">
        <v>0.9955697</v>
      </c>
      <c r="Y3999">
        <v>-2.3813629999999999E-2</v>
      </c>
      <c r="Z3999">
        <v>-6.1376640000000001E-3</v>
      </c>
      <c r="AA3999">
        <v>0.99969759999999996</v>
      </c>
      <c r="AB3999">
        <v>39</v>
      </c>
      <c r="AC3999">
        <v>-0.38179999999999797</v>
      </c>
      <c r="AD3999">
        <v>-7.2548000000000001E-2</v>
      </c>
      <c r="AE3999">
        <v>1.39999999998963E-3</v>
      </c>
      <c r="AF3999">
        <v>-1.8965360767249799E-2</v>
      </c>
      <c r="AG3999">
        <v>-7.2548000000000001E-2</v>
      </c>
      <c r="AH3999">
        <v>0.368009409545133</v>
      </c>
      <c r="AI3999">
        <v>101.137666740792</v>
      </c>
      <c r="AJ3999">
        <v>92.950127493952905</v>
      </c>
      <c r="AK3999">
        <v>0.37557132841417601</v>
      </c>
      <c r="AL3999">
        <v>86.866209884880206</v>
      </c>
      <c r="AM3999">
        <v>94.394069156490204</v>
      </c>
      <c r="AN3999">
        <v>1.0000000125697901</v>
      </c>
    </row>
    <row r="4000" spans="1:40" x14ac:dyDescent="0.25">
      <c r="A4000" t="str">
        <f>"20190312151353668"</f>
        <v>20190312151353668</v>
      </c>
      <c r="B4000" t="str">
        <f>"1552374833664410"</f>
        <v>1552374833664410</v>
      </c>
      <c r="C4000" t="s">
        <v>40</v>
      </c>
      <c r="D4000">
        <v>4.5243760000000002</v>
      </c>
      <c r="E4000">
        <v>0.52169569999999998</v>
      </c>
      <c r="F4000" t="s">
        <v>58</v>
      </c>
      <c r="G4000">
        <v>-289.1465</v>
      </c>
      <c r="H4000" s="1">
        <v>-8.6886319999999993E-6</v>
      </c>
      <c r="I4000">
        <v>140.4348</v>
      </c>
      <c r="J4000">
        <v>-277.35329999999999</v>
      </c>
      <c r="K4000">
        <v>1.1067279999999999</v>
      </c>
      <c r="L4000">
        <v>140.06829999999999</v>
      </c>
      <c r="M4000">
        <v>-0.99832790000000005</v>
      </c>
      <c r="N4000">
        <v>0</v>
      </c>
      <c r="O4000">
        <v>5.729393E-2</v>
      </c>
      <c r="P4000">
        <v>-0.99873690000000004</v>
      </c>
      <c r="Q4000">
        <v>4.5814090000000002E-2</v>
      </c>
      <c r="R4000">
        <v>-2.0642420000000002E-2</v>
      </c>
      <c r="S4000">
        <v>-3.0189210000000002</v>
      </c>
      <c r="T4000">
        <v>-0.27412029999999998</v>
      </c>
      <c r="U4000">
        <v>9.661865E-2</v>
      </c>
      <c r="V4000">
        <v>-7.752792E-2</v>
      </c>
      <c r="W4000">
        <v>5.3907299999999998E-2</v>
      </c>
      <c r="X4000">
        <v>0.99553170000000002</v>
      </c>
      <c r="Y4000">
        <v>-2.4993020000000001E-2</v>
      </c>
      <c r="Z4000">
        <v>-6.3192379999999996E-3</v>
      </c>
      <c r="AA4000">
        <v>0.99966759999999999</v>
      </c>
      <c r="AB4000">
        <v>39</v>
      </c>
      <c r="AC4000">
        <v>-11.793200000000001</v>
      </c>
      <c r="AD4000">
        <v>-1.106736688632</v>
      </c>
      <c r="AE4000">
        <v>0.36650000000000199</v>
      </c>
      <c r="AF4000">
        <v>-0.30709871773344499</v>
      </c>
      <c r="AG4000">
        <v>-1.106736688632</v>
      </c>
      <c r="AH4000">
        <v>11.691954596179899</v>
      </c>
      <c r="AI4000">
        <v>95.405537033139893</v>
      </c>
      <c r="AJ4000">
        <v>91.504574416605095</v>
      </c>
      <c r="AK4000">
        <v>11.7482329734957</v>
      </c>
      <c r="AL4000">
        <v>86.909841234476502</v>
      </c>
      <c r="AM4000">
        <v>94.452972584747499</v>
      </c>
      <c r="AN4000">
        <v>0.99999997053885203</v>
      </c>
    </row>
    <row r="4001" spans="1:40" x14ac:dyDescent="0.25">
      <c r="A4001" t="str">
        <f>"20190312151353692"</f>
        <v>20190312151353692</v>
      </c>
      <c r="B4001" t="str">
        <f>"1552374833683930"</f>
        <v>1552374833683930</v>
      </c>
      <c r="C4001" t="s">
        <v>40</v>
      </c>
      <c r="D4001">
        <v>4.5041599999999997</v>
      </c>
      <c r="E4001">
        <v>0.52145640000000004</v>
      </c>
      <c r="F4001" t="s">
        <v>41</v>
      </c>
      <c r="G4001">
        <v>-278.38780000000003</v>
      </c>
      <c r="H4001">
        <v>1.014192</v>
      </c>
      <c r="I4001">
        <v>140.1019</v>
      </c>
      <c r="J4001">
        <v>-277.77569999999997</v>
      </c>
      <c r="K4001">
        <v>1.1067499999999999</v>
      </c>
      <c r="L4001">
        <v>140.09440000000001</v>
      </c>
      <c r="M4001">
        <v>-0.9981951</v>
      </c>
      <c r="N4001">
        <v>0</v>
      </c>
      <c r="O4001">
        <v>5.9556499999999998E-2</v>
      </c>
      <c r="P4001">
        <v>-0.99879499999999999</v>
      </c>
      <c r="Q4001">
        <v>4.5134529999999999E-2</v>
      </c>
      <c r="R4001">
        <v>-1.927125E-2</v>
      </c>
      <c r="S4001">
        <v>-3.0182190000000002</v>
      </c>
      <c r="T4001">
        <v>-0.26996179999999997</v>
      </c>
      <c r="U4001">
        <v>9.817505E-2</v>
      </c>
      <c r="V4001">
        <v>-7.8426869999999996E-2</v>
      </c>
      <c r="W4001">
        <v>5.3259260000000003E-2</v>
      </c>
      <c r="X4001">
        <v>0.99549620000000005</v>
      </c>
      <c r="Y4001">
        <v>-2.6730489999999999E-2</v>
      </c>
      <c r="Z4001">
        <v>-6.5042249999999998E-3</v>
      </c>
      <c r="AA4001">
        <v>0.99962150000000005</v>
      </c>
      <c r="AB4001">
        <v>40</v>
      </c>
      <c r="AC4001">
        <v>-0.61210000000005405</v>
      </c>
      <c r="AD4001">
        <v>-9.2557999999999904E-2</v>
      </c>
      <c r="AE4001">
        <v>7.4999999999931797E-3</v>
      </c>
      <c r="AF4001">
        <v>-2.8321442778453901E-2</v>
      </c>
      <c r="AG4001">
        <v>-9.2557999999999904E-2</v>
      </c>
      <c r="AH4001">
        <v>0.59779323880315705</v>
      </c>
      <c r="AI4001">
        <v>98.791670742844104</v>
      </c>
      <c r="AJ4001">
        <v>92.712454061250696</v>
      </c>
      <c r="AK4001">
        <v>0.60557893279391894</v>
      </c>
      <c r="AL4001">
        <v>86.947024712031407</v>
      </c>
      <c r="AM4001">
        <v>94.504554286562197</v>
      </c>
      <c r="AN4001">
        <v>1.0000000034640899</v>
      </c>
    </row>
    <row r="4002" spans="1:40" x14ac:dyDescent="0.25">
      <c r="A4002" t="str">
        <f>"20190312151353714"</f>
        <v>20190312151353714</v>
      </c>
      <c r="B4002" t="str">
        <f>"1552374833704087"</f>
        <v>1552374833704087</v>
      </c>
      <c r="C4002" t="s">
        <v>40</v>
      </c>
      <c r="D4002">
        <v>4.5519059999999998</v>
      </c>
      <c r="E4002">
        <v>0.52120259999999996</v>
      </c>
      <c r="F4002" t="s">
        <v>41</v>
      </c>
      <c r="G4002">
        <v>-278.7448</v>
      </c>
      <c r="H4002">
        <v>1.018748</v>
      </c>
      <c r="I4002">
        <v>140.12690000000001</v>
      </c>
      <c r="J4002">
        <v>-278.18</v>
      </c>
      <c r="K4002">
        <v>1.106784</v>
      </c>
      <c r="L4002">
        <v>140.12020000000001</v>
      </c>
      <c r="M4002">
        <v>-0.99806649999999997</v>
      </c>
      <c r="N4002">
        <v>0</v>
      </c>
      <c r="O4002">
        <v>6.1670700000000002E-2</v>
      </c>
      <c r="P4002">
        <v>-0.99885829999999998</v>
      </c>
      <c r="Q4002">
        <v>4.4328619999999999E-2</v>
      </c>
      <c r="R4002">
        <v>-1.7806760000000001E-2</v>
      </c>
      <c r="S4002">
        <v>-3.017944</v>
      </c>
      <c r="T4002">
        <v>-0.27406540000000001</v>
      </c>
      <c r="U4002">
        <v>0.1005554</v>
      </c>
      <c r="V4002">
        <v>-7.9087080000000004E-2</v>
      </c>
      <c r="W4002">
        <v>5.2481670000000001E-2</v>
      </c>
      <c r="X4002">
        <v>0.99548519999999896</v>
      </c>
      <c r="Y4002">
        <v>-2.8032749999999999E-2</v>
      </c>
      <c r="Z4002">
        <v>-6.8533559999999997E-3</v>
      </c>
      <c r="AA4002">
        <v>0.99958349999999996</v>
      </c>
      <c r="AB4002">
        <v>40</v>
      </c>
      <c r="AC4002">
        <v>-0.56479999999999098</v>
      </c>
      <c r="AD4002">
        <v>-8.8036000000000003E-2</v>
      </c>
      <c r="AE4002">
        <v>6.6999999999950398E-3</v>
      </c>
      <c r="AF4002">
        <v>-2.74779061757696E-2</v>
      </c>
      <c r="AG4002">
        <v>-8.8036000000000003E-2</v>
      </c>
      <c r="AH4002">
        <v>0.55075882909403895</v>
      </c>
      <c r="AI4002">
        <v>99.070519119087095</v>
      </c>
      <c r="AJ4002">
        <v>92.856175260128694</v>
      </c>
      <c r="AK4002">
        <v>0.55842695175720203</v>
      </c>
      <c r="AL4002">
        <v>86.991639539587197</v>
      </c>
      <c r="AM4002">
        <v>94.542366301726503</v>
      </c>
      <c r="AN4002">
        <v>0.99999993766397499</v>
      </c>
    </row>
    <row r="4003" spans="1:40" x14ac:dyDescent="0.25">
      <c r="A4003" t="str">
        <f>"20190312151353735"</f>
        <v>20190312151353735</v>
      </c>
      <c r="B4003" t="str">
        <f>"1552374833724586"</f>
        <v>1552374833724586</v>
      </c>
      <c r="C4003" t="s">
        <v>40</v>
      </c>
      <c r="D4003">
        <v>4.4818989999999896</v>
      </c>
      <c r="E4003">
        <v>0.52098849999999997</v>
      </c>
      <c r="F4003" t="s">
        <v>41</v>
      </c>
      <c r="G4003">
        <v>-279.10230000000001</v>
      </c>
      <c r="H4003">
        <v>1.021881</v>
      </c>
      <c r="I4003">
        <v>140.15170000000001</v>
      </c>
      <c r="J4003">
        <v>-278.54579999999999</v>
      </c>
      <c r="K4003">
        <v>1.106819</v>
      </c>
      <c r="L4003">
        <v>140.14429999999999</v>
      </c>
      <c r="M4003">
        <v>-0.99795</v>
      </c>
      <c r="N4003">
        <v>0</v>
      </c>
      <c r="O4003">
        <v>6.3527269999999997E-2</v>
      </c>
      <c r="P4003">
        <v>-0.99890690000000004</v>
      </c>
      <c r="Q4003">
        <v>4.3885109999999998E-2</v>
      </c>
      <c r="R4003">
        <v>-1.6111090000000002E-2</v>
      </c>
      <c r="S4003">
        <v>-3.0175779999999999</v>
      </c>
      <c r="T4003">
        <v>-0.27777039999999997</v>
      </c>
      <c r="U4003">
        <v>0.1030273</v>
      </c>
      <c r="V4003">
        <v>-7.9257350000000004E-2</v>
      </c>
      <c r="W4003">
        <v>5.206264E-2</v>
      </c>
      <c r="X4003">
        <v>0.99549370000000004</v>
      </c>
      <c r="Y4003">
        <v>-2.904816E-2</v>
      </c>
      <c r="Z4003">
        <v>-7.1631000000000004E-3</v>
      </c>
      <c r="AA4003">
        <v>0.99955240000000001</v>
      </c>
      <c r="AB4003">
        <v>40</v>
      </c>
      <c r="AC4003">
        <v>-0.55650000000002797</v>
      </c>
      <c r="AD4003">
        <v>-8.4937999999999902E-2</v>
      </c>
      <c r="AE4003">
        <v>7.40000000001828E-3</v>
      </c>
      <c r="AF4003">
        <v>-2.7332325896644801E-2</v>
      </c>
      <c r="AG4003">
        <v>-8.4937999999999902E-2</v>
      </c>
      <c r="AH4003">
        <v>0.54319418345216097</v>
      </c>
      <c r="AI4003">
        <v>98.876188971437799</v>
      </c>
      <c r="AJ4003">
        <v>92.880567035470804</v>
      </c>
      <c r="AK4003">
        <v>0.55047383300133401</v>
      </c>
      <c r="AL4003">
        <v>87.015681175118601</v>
      </c>
      <c r="AM4003">
        <v>94.552065996851695</v>
      </c>
      <c r="AN4003">
        <v>0.99999997637624005</v>
      </c>
    </row>
    <row r="4004" spans="1:40" x14ac:dyDescent="0.25">
      <c r="A4004" t="str">
        <f>"20190312151353757"</f>
        <v>20190312151353757</v>
      </c>
      <c r="B4004" t="str">
        <f>"1552374833754839"</f>
        <v>1552374833754839</v>
      </c>
      <c r="C4004" t="s">
        <v>40</v>
      </c>
      <c r="D4004">
        <v>4.6009349999999998</v>
      </c>
      <c r="E4004">
        <v>0.51100849999999998</v>
      </c>
      <c r="F4004" t="s">
        <v>41</v>
      </c>
      <c r="G4004">
        <v>-279.45819999999998</v>
      </c>
      <c r="H4004">
        <v>1.0220659999999999</v>
      </c>
      <c r="I4004">
        <v>140.17660000000001</v>
      </c>
      <c r="J4004">
        <v>-278.94529999999997</v>
      </c>
      <c r="K4004">
        <v>1.1068690000000001</v>
      </c>
      <c r="L4004">
        <v>140.1712</v>
      </c>
      <c r="M4004">
        <v>-0.99782369999999998</v>
      </c>
      <c r="N4004">
        <v>0</v>
      </c>
      <c r="O4004">
        <v>6.5475199999999997E-2</v>
      </c>
      <c r="P4004">
        <v>-0.99897040000000004</v>
      </c>
      <c r="Q4004">
        <v>4.3048019999999999E-2</v>
      </c>
      <c r="R4004">
        <v>-1.432249E-2</v>
      </c>
      <c r="S4004">
        <v>-3.0173030000000001</v>
      </c>
      <c r="T4004">
        <v>-0.280277099999999</v>
      </c>
      <c r="U4004">
        <v>0.1064758</v>
      </c>
      <c r="V4004">
        <v>-7.9431559999999998E-2</v>
      </c>
      <c r="W4004">
        <v>5.1250700000000003E-2</v>
      </c>
      <c r="X4004">
        <v>0.99552200000000002</v>
      </c>
      <c r="Y4004">
        <v>-2.9836419999999999E-2</v>
      </c>
      <c r="Z4004">
        <v>-7.4445680000000004E-3</v>
      </c>
      <c r="AA4004">
        <v>0.9995271</v>
      </c>
      <c r="AB4004">
        <v>40</v>
      </c>
      <c r="AC4004">
        <v>-0.51290000000000102</v>
      </c>
      <c r="AD4004">
        <v>-8.4803000000000101E-2</v>
      </c>
      <c r="AE4004">
        <v>5.4000000000087303E-3</v>
      </c>
      <c r="AF4004">
        <v>-2.74446579703338E-2</v>
      </c>
      <c r="AG4004">
        <v>-8.4803000000000101E-2</v>
      </c>
      <c r="AH4004">
        <v>0.49852603757649899</v>
      </c>
      <c r="AI4004">
        <v>99.639707618474404</v>
      </c>
      <c r="AJ4004">
        <v>93.151043861709695</v>
      </c>
      <c r="AK4004">
        <v>0.50643160268868903</v>
      </c>
      <c r="AL4004">
        <v>87.062264262336001</v>
      </c>
      <c r="AM4004">
        <v>94.561900244956504</v>
      </c>
      <c r="AN4004">
        <v>1.0000000297292599</v>
      </c>
    </row>
    <row r="4005" spans="1:40" x14ac:dyDescent="0.25">
      <c r="A4005" t="str">
        <f>"20190312151353780"</f>
        <v>20190312151353780</v>
      </c>
      <c r="B4005" t="str">
        <f>"1552374833774359"</f>
        <v>1552374833774359</v>
      </c>
      <c r="C4005" t="s">
        <v>40</v>
      </c>
      <c r="D4005">
        <v>4.6043969999999996</v>
      </c>
      <c r="E4005">
        <v>0.50844480000000003</v>
      </c>
      <c r="F4005" t="s">
        <v>58</v>
      </c>
      <c r="G4005">
        <v>-293.35789999999997</v>
      </c>
      <c r="H4005" s="1">
        <v>-8.819401E-6</v>
      </c>
      <c r="I4005">
        <v>140.334</v>
      </c>
      <c r="J4005">
        <v>-279.34629999999999</v>
      </c>
      <c r="K4005">
        <v>1.106935</v>
      </c>
      <c r="L4005">
        <v>140.19899999999899</v>
      </c>
      <c r="M4005">
        <v>-0.99769989999999997</v>
      </c>
      <c r="N4005">
        <v>0</v>
      </c>
      <c r="O4005">
        <v>6.7331749999999996E-2</v>
      </c>
      <c r="P4005">
        <v>-0.99902539999999995</v>
      </c>
      <c r="Q4005">
        <v>4.2325950000000001E-2</v>
      </c>
      <c r="R4005">
        <v>-1.255248E-2</v>
      </c>
      <c r="S4005">
        <v>-3.01355</v>
      </c>
      <c r="T4005">
        <v>-0.23143939999999999</v>
      </c>
      <c r="U4005">
        <v>3.4042360000000001E-2</v>
      </c>
      <c r="V4005">
        <v>-7.9533640000000003E-2</v>
      </c>
      <c r="W4005">
        <v>5.0549719999999999E-2</v>
      </c>
      <c r="X4005">
        <v>0.99554969999999998</v>
      </c>
      <c r="Y4005">
        <v>-5.5697499999999997E-2</v>
      </c>
      <c r="Z4005">
        <v>-7.2955750000000003E-3</v>
      </c>
      <c r="AA4005">
        <v>0.998421</v>
      </c>
      <c r="AB4005">
        <v>40</v>
      </c>
      <c r="AC4005">
        <v>-14.0115999999999</v>
      </c>
      <c r="AD4005">
        <v>-1.106943819401</v>
      </c>
      <c r="AE4005">
        <v>0.13500000000001899</v>
      </c>
      <c r="AF4005">
        <v>-0.80374491400362202</v>
      </c>
      <c r="AG4005">
        <v>-1.106943819401</v>
      </c>
      <c r="AH4005">
        <v>13.9021313395831</v>
      </c>
      <c r="AI4005">
        <v>94.544958921764007</v>
      </c>
      <c r="AJ4005">
        <v>93.308844085640203</v>
      </c>
      <c r="AK4005">
        <v>13.9692729334463</v>
      </c>
      <c r="AL4005">
        <v>87.102479615544695</v>
      </c>
      <c r="AM4005">
        <v>94.567611539451903</v>
      </c>
      <c r="AN4005">
        <v>1.0000000396269</v>
      </c>
    </row>
    <row r="4006" spans="1:40" x14ac:dyDescent="0.25">
      <c r="A4006" t="str">
        <f>"20190312151353802"</f>
        <v>20190312151353802</v>
      </c>
      <c r="B4006" t="str">
        <f>"1552374833793854"</f>
        <v>1552374833793854</v>
      </c>
      <c r="C4006" t="s">
        <v>40</v>
      </c>
      <c r="D4006">
        <v>4.5673519999999996</v>
      </c>
      <c r="E4006">
        <v>0.50761999999999996</v>
      </c>
      <c r="F4006" t="s">
        <v>58</v>
      </c>
      <c r="G4006">
        <v>-293.70030000000003</v>
      </c>
      <c r="H4006" s="1">
        <v>-8.7774190000000003E-6</v>
      </c>
      <c r="I4006">
        <v>140.28890000000001</v>
      </c>
      <c r="J4006">
        <v>-279.74489999999997</v>
      </c>
      <c r="K4006">
        <v>1.1070120000000001</v>
      </c>
      <c r="L4006">
        <v>140.22730000000001</v>
      </c>
      <c r="M4006">
        <v>-0.99758080000000005</v>
      </c>
      <c r="N4006">
        <v>0</v>
      </c>
      <c r="O4006">
        <v>6.9070989999999999E-2</v>
      </c>
      <c r="P4006">
        <v>-0.99909000000000003</v>
      </c>
      <c r="Q4006">
        <v>4.1262559999999997E-2</v>
      </c>
      <c r="R4006">
        <v>-1.081586E-2</v>
      </c>
      <c r="S4006">
        <v>-3.0130309999999998</v>
      </c>
      <c r="T4006">
        <v>-0.23235620000000001</v>
      </c>
      <c r="U4006">
        <v>1.8875119999999999E-2</v>
      </c>
      <c r="V4006">
        <v>-7.9556790000000002E-2</v>
      </c>
      <c r="W4006">
        <v>4.9502940000000002E-2</v>
      </c>
      <c r="X4006">
        <v>0.99560040000000005</v>
      </c>
      <c r="Y4006">
        <v>-6.2432210000000002E-2</v>
      </c>
      <c r="Z4006">
        <v>-7.7190030000000003E-3</v>
      </c>
      <c r="AA4006">
        <v>0.99801930000000005</v>
      </c>
      <c r="AB4006">
        <v>40</v>
      </c>
      <c r="AC4006">
        <v>-13.955399999999999</v>
      </c>
      <c r="AD4006">
        <v>-1.107020777419</v>
      </c>
      <c r="AE4006">
        <v>6.1599999999998503E-2</v>
      </c>
      <c r="AF4006">
        <v>-0.89684683213002203</v>
      </c>
      <c r="AG4006">
        <v>-1.107020777419</v>
      </c>
      <c r="AH4006">
        <v>13.8392413422735</v>
      </c>
      <c r="AI4006">
        <v>94.5639008968068</v>
      </c>
      <c r="AJ4006">
        <v>93.707846710765494</v>
      </c>
      <c r="AK4006">
        <v>13.912384057796601</v>
      </c>
      <c r="AL4006">
        <v>87.162530741856202</v>
      </c>
      <c r="AM4006">
        <v>94.5687037305498</v>
      </c>
      <c r="AN4006">
        <v>0.99999999019195396</v>
      </c>
    </row>
    <row r="4007" spans="1:40" x14ac:dyDescent="0.25">
      <c r="A4007" t="str">
        <f>"20190312151353825"</f>
        <v>20190312151353825</v>
      </c>
      <c r="B4007" t="str">
        <f>"1552374833814351"</f>
        <v>1552374833814351</v>
      </c>
      <c r="C4007" t="s">
        <v>40</v>
      </c>
      <c r="D4007">
        <v>4.5243379999999904</v>
      </c>
      <c r="E4007">
        <v>0.50758349999999997</v>
      </c>
      <c r="F4007" t="s">
        <v>58</v>
      </c>
      <c r="G4007">
        <v>-293.7047</v>
      </c>
      <c r="H4007" s="1">
        <v>-8.7822050000000007E-6</v>
      </c>
      <c r="I4007">
        <v>140.30850000000001</v>
      </c>
      <c r="J4007">
        <v>-280.14620000000002</v>
      </c>
      <c r="K4007">
        <v>1.107102</v>
      </c>
      <c r="L4007">
        <v>140.25630000000001</v>
      </c>
      <c r="M4007">
        <v>-0.99746579999999996</v>
      </c>
      <c r="N4007">
        <v>0</v>
      </c>
      <c r="O4007">
        <v>7.0707699999999998E-2</v>
      </c>
      <c r="P4007">
        <v>-0.99911450000000002</v>
      </c>
      <c r="Q4007">
        <v>4.1001309999999999E-2</v>
      </c>
      <c r="R4007">
        <v>-9.4489150000000004E-3</v>
      </c>
      <c r="S4007">
        <v>-3.0127869999999999</v>
      </c>
      <c r="T4007">
        <v>-0.2389165</v>
      </c>
      <c r="U4007">
        <v>1.7532349999999999E-2</v>
      </c>
      <c r="V4007">
        <v>-7.9841199999999904E-2</v>
      </c>
      <c r="W4007">
        <v>4.925624E-2</v>
      </c>
      <c r="X4007">
        <v>0.99558990000000003</v>
      </c>
      <c r="Y4007">
        <v>-6.4479980000000006E-2</v>
      </c>
      <c r="Z4007">
        <v>-8.1473489999999999E-3</v>
      </c>
      <c r="AA4007">
        <v>0.99788580000000004</v>
      </c>
      <c r="AB4007">
        <v>40</v>
      </c>
      <c r="AC4007">
        <v>-13.558499999999899</v>
      </c>
      <c r="AD4007">
        <v>-1.1071107822049999</v>
      </c>
      <c r="AE4007">
        <v>5.2199999999999101E-2</v>
      </c>
      <c r="AF4007">
        <v>-0.90064601234642006</v>
      </c>
      <c r="AG4007">
        <v>-1.1071107822049999</v>
      </c>
      <c r="AH4007">
        <v>13.4386530385753</v>
      </c>
      <c r="AI4007">
        <v>94.699044619534803</v>
      </c>
      <c r="AJ4007">
        <v>93.834176175886896</v>
      </c>
      <c r="AK4007">
        <v>13.5142240996233</v>
      </c>
      <c r="AL4007">
        <v>87.176682964250702</v>
      </c>
      <c r="AM4007">
        <v>94.585015164529807</v>
      </c>
      <c r="AN4007">
        <v>1.00000002168919</v>
      </c>
    </row>
    <row r="4008" spans="1:40" x14ac:dyDescent="0.25">
      <c r="A4008" t="str">
        <f>"20190312151353847"</f>
        <v>20190312151353847</v>
      </c>
      <c r="B4008" t="str">
        <f>"1552374833844606"</f>
        <v>1552374833844606</v>
      </c>
      <c r="C4008" t="s">
        <v>40</v>
      </c>
      <c r="D4008">
        <v>4.5207940000000004</v>
      </c>
      <c r="E4008">
        <v>0.50782539999999998</v>
      </c>
      <c r="F4008" t="s">
        <v>58</v>
      </c>
      <c r="G4008">
        <v>-294.29989999999998</v>
      </c>
      <c r="H4008" s="1">
        <v>-8.7428450000000001E-6</v>
      </c>
      <c r="I4008">
        <v>140.35749999999999</v>
      </c>
      <c r="J4008">
        <v>-280.55180000000001</v>
      </c>
      <c r="K4008">
        <v>1.1072040000000001</v>
      </c>
      <c r="L4008">
        <v>140.28630000000001</v>
      </c>
      <c r="M4008">
        <v>-0.99735640000000003</v>
      </c>
      <c r="N4008">
        <v>0</v>
      </c>
      <c r="O4008">
        <v>7.2229779999999993E-2</v>
      </c>
      <c r="P4008">
        <v>-0.99913649999999998</v>
      </c>
      <c r="Q4008">
        <v>4.0777630000000002E-2</v>
      </c>
      <c r="R4008">
        <v>-7.9852659999999995E-3</v>
      </c>
      <c r="S4008">
        <v>-3.012543</v>
      </c>
      <c r="T4008">
        <v>-0.2356434</v>
      </c>
      <c r="U4008">
        <v>2.1545410000000001E-2</v>
      </c>
      <c r="V4008">
        <v>-7.9915630000000001E-2</v>
      </c>
      <c r="W4008">
        <v>4.9040970000000003E-2</v>
      </c>
      <c r="X4008">
        <v>0.9955946</v>
      </c>
      <c r="Y4008">
        <v>-6.4679319999999998E-2</v>
      </c>
      <c r="Z4008">
        <v>-8.163043E-3</v>
      </c>
      <c r="AA4008">
        <v>0.99787269999999995</v>
      </c>
      <c r="AB4008">
        <v>40</v>
      </c>
      <c r="AC4008">
        <v>-13.7480999999999</v>
      </c>
      <c r="AD4008">
        <v>-1.107212742845</v>
      </c>
      <c r="AE4008">
        <v>7.1199999999976102E-2</v>
      </c>
      <c r="AF4008">
        <v>-0.91609789044329004</v>
      </c>
      <c r="AG4008">
        <v>-1.107212742845</v>
      </c>
      <c r="AH4008">
        <v>13.628935992034499</v>
      </c>
      <c r="AI4008">
        <v>94.634089559169794</v>
      </c>
      <c r="AJ4008">
        <v>93.845473054791299</v>
      </c>
      <c r="AK4008">
        <v>13.704490201308801</v>
      </c>
      <c r="AL4008">
        <v>87.189032075441702</v>
      </c>
      <c r="AM4008">
        <v>94.589249610314695</v>
      </c>
      <c r="AN4008">
        <v>1.00000006610299</v>
      </c>
    </row>
    <row r="4009" spans="1:40" x14ac:dyDescent="0.25">
      <c r="A4009" t="str">
        <f>"20190312151353870"</f>
        <v>20190312151353870</v>
      </c>
      <c r="B4009" t="str">
        <f>"1552374833864126"</f>
        <v>1552374833864126</v>
      </c>
      <c r="C4009" t="s">
        <v>40</v>
      </c>
      <c r="D4009">
        <v>4.8020339999999999</v>
      </c>
      <c r="E4009">
        <v>0.50784679999999904</v>
      </c>
      <c r="F4009" t="s">
        <v>58</v>
      </c>
      <c r="G4009">
        <v>-295.56049999999999</v>
      </c>
      <c r="H4009" s="1">
        <v>-8.6504969999999997E-6</v>
      </c>
      <c r="I4009">
        <v>140.4272</v>
      </c>
      <c r="J4009">
        <v>-280.96589999999998</v>
      </c>
      <c r="K4009">
        <v>1.1073109999999999</v>
      </c>
      <c r="L4009">
        <v>140.31739999999999</v>
      </c>
      <c r="M4009">
        <v>-0.99725249999999999</v>
      </c>
      <c r="N4009">
        <v>0</v>
      </c>
      <c r="O4009">
        <v>7.36507E-2</v>
      </c>
      <c r="P4009">
        <v>-0.99915920000000003</v>
      </c>
      <c r="Q4009">
        <v>4.0434480000000002E-2</v>
      </c>
      <c r="R4009">
        <v>-6.7990219999999896E-3</v>
      </c>
      <c r="S4009">
        <v>-3.0119020000000001</v>
      </c>
      <c r="T4009">
        <v>-0.2221919</v>
      </c>
      <c r="U4009">
        <v>2.8289789999999999E-2</v>
      </c>
      <c r="V4009">
        <v>-8.0167580000000002E-2</v>
      </c>
      <c r="W4009">
        <v>4.8706149999999997E-2</v>
      </c>
      <c r="X4009">
        <v>0.99559070000000005</v>
      </c>
      <c r="Y4009">
        <v>-6.3909579999999994E-2</v>
      </c>
      <c r="Z4009">
        <v>-7.7759209999999999E-3</v>
      </c>
      <c r="AA4009">
        <v>0.99792539999999996</v>
      </c>
      <c r="AB4009">
        <v>40</v>
      </c>
      <c r="AC4009">
        <v>-14.5946</v>
      </c>
      <c r="AD4009">
        <v>-1.107319650497</v>
      </c>
      <c r="AE4009">
        <v>0.109800000000006</v>
      </c>
      <c r="AF4009">
        <v>-0.95990916182378605</v>
      </c>
      <c r="AG4009">
        <v>-1.107319650497</v>
      </c>
      <c r="AH4009">
        <v>14.4796988471389</v>
      </c>
      <c r="AI4009">
        <v>94.363581365515103</v>
      </c>
      <c r="AJ4009">
        <v>93.792785069314505</v>
      </c>
      <c r="AK4009">
        <v>14.5536683042855</v>
      </c>
      <c r="AL4009">
        <v>87.208238575696797</v>
      </c>
      <c r="AM4009">
        <v>94.603673998746203</v>
      </c>
      <c r="AN4009">
        <v>0.999999985928684</v>
      </c>
    </row>
    <row r="4010" spans="1:40" x14ac:dyDescent="0.25">
      <c r="A4010" t="str">
        <f>"20190312151353897"</f>
        <v>20190312151353897</v>
      </c>
      <c r="B4010" t="str">
        <f>"1552374833893914"</f>
        <v>1552374833893914</v>
      </c>
      <c r="C4010" t="s">
        <v>40</v>
      </c>
      <c r="D4010">
        <v>4.5319190000000003</v>
      </c>
      <c r="E4010">
        <v>0.5078281</v>
      </c>
      <c r="F4010" t="s">
        <v>58</v>
      </c>
      <c r="G4010">
        <v>-296.67349999999999</v>
      </c>
      <c r="H4010" s="1">
        <v>-8.5680970000000003E-6</v>
      </c>
      <c r="I4010">
        <v>140.4855</v>
      </c>
      <c r="J4010">
        <v>-281.44659999999999</v>
      </c>
      <c r="K4010">
        <v>1.1074250000000001</v>
      </c>
      <c r="L4010">
        <v>140.35419999999999</v>
      </c>
      <c r="M4010">
        <v>-0.99713940000000001</v>
      </c>
      <c r="N4010">
        <v>0</v>
      </c>
      <c r="O4010">
        <v>7.5161459999999999E-2</v>
      </c>
      <c r="P4010">
        <v>-0.99919809999999998</v>
      </c>
      <c r="Q4010">
        <v>3.9613900000000001E-2</v>
      </c>
      <c r="R4010">
        <v>-5.8512989999999999E-3</v>
      </c>
      <c r="S4010">
        <v>-3.0113219999999998</v>
      </c>
      <c r="T4010">
        <v>-0.21228549999999999</v>
      </c>
      <c r="U4010">
        <v>3.2226560000000001E-2</v>
      </c>
      <c r="V4010">
        <v>-8.0751340000000005E-2</v>
      </c>
      <c r="W4010">
        <v>4.789409E-2</v>
      </c>
      <c r="X4010">
        <v>0.99558290000000005</v>
      </c>
      <c r="Y4010">
        <v>-6.4143290000000006E-2</v>
      </c>
      <c r="Z4010">
        <v>-7.5457830000000004E-3</v>
      </c>
      <c r="AA4010">
        <v>0.99791220000000003</v>
      </c>
      <c r="AB4010">
        <v>40</v>
      </c>
      <c r="AC4010">
        <v>-15.226900000000001</v>
      </c>
      <c r="AD4010">
        <v>-1.107433568097</v>
      </c>
      <c r="AE4010">
        <v>0.13130000000000999</v>
      </c>
      <c r="AF4010">
        <v>-1.00825123085663</v>
      </c>
      <c r="AG4010">
        <v>-1.107433568097</v>
      </c>
      <c r="AH4010">
        <v>15.113757240834801</v>
      </c>
      <c r="AI4010">
        <v>94.181495491246906</v>
      </c>
      <c r="AJ4010">
        <v>93.816593780128898</v>
      </c>
      <c r="AK4010">
        <v>15.1877792184097</v>
      </c>
      <c r="AL4010">
        <v>87.254820503036598</v>
      </c>
      <c r="AM4010">
        <v>94.637087291594497</v>
      </c>
      <c r="AN4010">
        <v>0.99999996677056602</v>
      </c>
    </row>
    <row r="4011" spans="1:40" x14ac:dyDescent="0.25">
      <c r="A4011" t="str">
        <f>"20190312151353916"</f>
        <v>20190312151353916</v>
      </c>
      <c r="B4011" t="str">
        <f>"1552374833904650"</f>
        <v>1552374833904650</v>
      </c>
      <c r="C4011" t="s">
        <v>40</v>
      </c>
      <c r="D4011">
        <v>4.7322410000000001</v>
      </c>
      <c r="E4011">
        <v>0.50775130000000002</v>
      </c>
      <c r="F4011" t="s">
        <v>58</v>
      </c>
      <c r="G4011">
        <v>-297.47410000000002</v>
      </c>
      <c r="H4011" s="1">
        <v>-8.5124459999999992E-6</v>
      </c>
      <c r="I4011">
        <v>140.5412</v>
      </c>
      <c r="J4011">
        <v>-281.79199999999997</v>
      </c>
      <c r="K4011">
        <v>1.107504</v>
      </c>
      <c r="L4011">
        <v>140.381</v>
      </c>
      <c r="M4011">
        <v>-0.9970639</v>
      </c>
      <c r="N4011">
        <v>0</v>
      </c>
      <c r="O4011">
        <v>7.6155150000000005E-2</v>
      </c>
      <c r="P4011">
        <v>-0.99922029999999995</v>
      </c>
      <c r="Q4011">
        <v>3.9113920000000003E-2</v>
      </c>
      <c r="R4011">
        <v>-5.3880100000000004E-3</v>
      </c>
      <c r="S4011">
        <v>-3.0108640000000002</v>
      </c>
      <c r="T4011">
        <v>-0.20803769999999999</v>
      </c>
      <c r="U4011">
        <v>3.5125730000000001E-2</v>
      </c>
      <c r="V4011">
        <v>-8.1295389999999995E-2</v>
      </c>
      <c r="W4011">
        <v>4.7402090000000001E-2</v>
      </c>
      <c r="X4011">
        <v>0.99556219999999995</v>
      </c>
      <c r="Y4011">
        <v>-6.4186510000000002E-2</v>
      </c>
      <c r="Z4011">
        <v>-7.466098E-3</v>
      </c>
      <c r="AA4011">
        <v>0.99790999999999996</v>
      </c>
      <c r="AB4011">
        <v>40</v>
      </c>
      <c r="AC4011">
        <v>-15.682099999999901</v>
      </c>
      <c r="AD4011">
        <v>-1.1075125124459999</v>
      </c>
      <c r="AE4011">
        <v>0.16020000000000301</v>
      </c>
      <c r="AF4011">
        <v>-1.02944225606124</v>
      </c>
      <c r="AG4011">
        <v>-1.1075125124459999</v>
      </c>
      <c r="AH4011">
        <v>15.571102561854801</v>
      </c>
      <c r="AI4011">
        <v>94.059544243740206</v>
      </c>
      <c r="AJ4011">
        <v>93.782454469295701</v>
      </c>
      <c r="AK4011">
        <v>15.644346273193699</v>
      </c>
      <c r="AL4011">
        <v>87.283042162629101</v>
      </c>
      <c r="AM4011">
        <v>94.668287985320404</v>
      </c>
      <c r="AN4011">
        <v>0.99999999632022996</v>
      </c>
    </row>
    <row r="4012" spans="1:40" x14ac:dyDescent="0.25">
      <c r="A4012" t="str">
        <f>"20190312151353937"</f>
        <v>20190312151353937</v>
      </c>
      <c r="B4012" t="str">
        <f>"1552374833933930"</f>
        <v>1552374833933930</v>
      </c>
      <c r="C4012" t="s">
        <v>40</v>
      </c>
      <c r="D4012">
        <v>4.5377830000000001</v>
      </c>
      <c r="E4012">
        <v>0.50735029999999903</v>
      </c>
      <c r="F4012" t="s">
        <v>58</v>
      </c>
      <c r="G4012">
        <v>-298.0419</v>
      </c>
      <c r="H4012" s="1">
        <v>-8.4712010000000005E-6</v>
      </c>
      <c r="I4012">
        <v>140.57390000000001</v>
      </c>
      <c r="J4012">
        <v>-282.17410000000001</v>
      </c>
      <c r="K4012">
        <v>1.1075950000000001</v>
      </c>
      <c r="L4012">
        <v>140.4109</v>
      </c>
      <c r="M4012">
        <v>-0.99698640000000005</v>
      </c>
      <c r="N4012">
        <v>0</v>
      </c>
      <c r="O4012">
        <v>7.7158260000000006E-2</v>
      </c>
      <c r="P4012">
        <v>-0.99919469999999999</v>
      </c>
      <c r="Q4012">
        <v>3.9850169999999997E-2</v>
      </c>
      <c r="R4012">
        <v>-4.6968210000000003E-3</v>
      </c>
      <c r="S4012">
        <v>-3.0105900000000001</v>
      </c>
      <c r="T4012">
        <v>-0.20518610000000001</v>
      </c>
      <c r="U4012">
        <v>3.575134E-2</v>
      </c>
      <c r="V4012">
        <v>-8.1614329999999999E-2</v>
      </c>
      <c r="W4012">
        <v>4.8146519999999998E-2</v>
      </c>
      <c r="X4012">
        <v>0.99550039999999995</v>
      </c>
      <c r="Y4012">
        <v>-6.498698E-2</v>
      </c>
      <c r="Z4012">
        <v>-7.4600169999999898E-3</v>
      </c>
      <c r="AA4012">
        <v>0.99785820000000003</v>
      </c>
      <c r="AB4012">
        <v>40</v>
      </c>
      <c r="AC4012">
        <v>-15.8677999999999</v>
      </c>
      <c r="AD4012">
        <v>-1.1076034712009999</v>
      </c>
      <c r="AE4012">
        <v>0.16300000000001</v>
      </c>
      <c r="AF4012">
        <v>-1.0567093422504199</v>
      </c>
      <c r="AG4012">
        <v>-1.1076034712009999</v>
      </c>
      <c r="AH4012">
        <v>15.7563084033102</v>
      </c>
      <c r="AI4012">
        <v>94.012059158691599</v>
      </c>
      <c r="AJ4012">
        <v>93.836841385857298</v>
      </c>
      <c r="AK4012">
        <v>15.8304982418002</v>
      </c>
      <c r="AL4012">
        <v>87.240340761180803</v>
      </c>
      <c r="AM4012">
        <v>94.686810941576397</v>
      </c>
      <c r="AN4012">
        <v>1.0000000163248</v>
      </c>
    </row>
    <row r="4013" spans="1:40" x14ac:dyDescent="0.25">
      <c r="A4013" t="str">
        <f>"20190312151353959"</f>
        <v>20190312151353959</v>
      </c>
      <c r="B4013" t="str">
        <f>"1552374833954426"</f>
        <v>1552374833954426</v>
      </c>
      <c r="C4013" t="s">
        <v>40</v>
      </c>
      <c r="D4013">
        <v>4.5415839999999896</v>
      </c>
      <c r="E4013">
        <v>0.50700149999999999</v>
      </c>
      <c r="F4013" t="s">
        <v>58</v>
      </c>
      <c r="G4013">
        <v>-298.76560000000001</v>
      </c>
      <c r="H4013" s="1">
        <v>-8.4146159999999995E-6</v>
      </c>
      <c r="I4013">
        <v>140.60040000000001</v>
      </c>
      <c r="J4013">
        <v>-282.55900000000003</v>
      </c>
      <c r="K4013">
        <v>1.1076999999999999</v>
      </c>
      <c r="L4013">
        <v>140.44149999999999</v>
      </c>
      <c r="M4013">
        <v>-0.99691560000000001</v>
      </c>
      <c r="N4013">
        <v>0</v>
      </c>
      <c r="O4013">
        <v>7.8065759999999998E-2</v>
      </c>
      <c r="P4013">
        <v>-0.99919639999999998</v>
      </c>
      <c r="Q4013">
        <v>3.9871770000000001E-2</v>
      </c>
      <c r="R4013">
        <v>-4.1368719999999998E-3</v>
      </c>
      <c r="S4013">
        <v>-3.0105900000000001</v>
      </c>
      <c r="T4013">
        <v>-0.20097880000000001</v>
      </c>
      <c r="U4013">
        <v>3.437805E-2</v>
      </c>
      <c r="V4013">
        <v>-8.1974039999999998E-2</v>
      </c>
      <c r="W4013">
        <v>4.8176530000000002E-2</v>
      </c>
      <c r="X4013">
        <v>0.99546939999999995</v>
      </c>
      <c r="Y4013">
        <v>-6.6358680000000003E-2</v>
      </c>
      <c r="Z4013">
        <v>-7.4135299999999998E-3</v>
      </c>
      <c r="AA4013">
        <v>0.99776830000000005</v>
      </c>
      <c r="AB4013">
        <v>40</v>
      </c>
      <c r="AC4013">
        <v>-16.206599999999899</v>
      </c>
      <c r="AD4013">
        <v>-1.1077084146159999</v>
      </c>
      <c r="AE4013">
        <v>0.158900000000016</v>
      </c>
      <c r="AF4013">
        <v>-1.1016606020742901</v>
      </c>
      <c r="AG4013">
        <v>-1.1077084146159999</v>
      </c>
      <c r="AH4013">
        <v>16.094363273134601</v>
      </c>
      <c r="AI4013">
        <v>93.928059669850199</v>
      </c>
      <c r="AJ4013">
        <v>93.915793137521604</v>
      </c>
      <c r="AK4013">
        <v>16.1700093748148</v>
      </c>
      <c r="AL4013">
        <v>87.238619337910094</v>
      </c>
      <c r="AM4013">
        <v>94.707521068569406</v>
      </c>
      <c r="AN4013">
        <v>1.0000000238065601</v>
      </c>
    </row>
    <row r="4014" spans="1:40" x14ac:dyDescent="0.25">
      <c r="A4014" t="str">
        <f>"20190312151353979"</f>
        <v>20190312151353979</v>
      </c>
      <c r="B4014" t="str">
        <f>"1552374833973946"</f>
        <v>1552374833973946</v>
      </c>
      <c r="C4014" t="s">
        <v>40</v>
      </c>
      <c r="D4014">
        <v>4.5299360000000002</v>
      </c>
      <c r="E4014">
        <v>0.50660590000000005</v>
      </c>
      <c r="F4014" t="s">
        <v>58</v>
      </c>
      <c r="G4014">
        <v>-299.709</v>
      </c>
      <c r="H4014" s="1">
        <v>-8.3400389999999998E-6</v>
      </c>
      <c r="I4014">
        <v>140.6319</v>
      </c>
      <c r="J4014">
        <v>-282.93740000000003</v>
      </c>
      <c r="K4014">
        <v>1.1077980000000001</v>
      </c>
      <c r="L4014">
        <v>140.4717</v>
      </c>
      <c r="M4014">
        <v>-0.99685259999999998</v>
      </c>
      <c r="N4014">
        <v>0</v>
      </c>
      <c r="O4014">
        <v>7.8861580000000001E-2</v>
      </c>
      <c r="P4014">
        <v>-0.99919360000000002</v>
      </c>
      <c r="Q4014">
        <v>3.9962070000000002E-2</v>
      </c>
      <c r="R4014">
        <v>-3.8999709999999999E-3</v>
      </c>
      <c r="S4014">
        <v>-3.0103149999999999</v>
      </c>
      <c r="T4014">
        <v>-0.19443479999999999</v>
      </c>
      <c r="U4014">
        <v>3.3416750000000002E-2</v>
      </c>
      <c r="V4014">
        <v>-8.2544649999999997E-2</v>
      </c>
      <c r="W4014">
        <v>4.8274650000000002E-2</v>
      </c>
      <c r="X4014">
        <v>0.99541749999999996</v>
      </c>
      <c r="Y4014">
        <v>-6.7489240000000006E-2</v>
      </c>
      <c r="Z4014">
        <v>-7.2610269999999998E-3</v>
      </c>
      <c r="AA4014">
        <v>0.99769359999999996</v>
      </c>
      <c r="AB4014">
        <v>40</v>
      </c>
      <c r="AC4014">
        <v>-16.7715999999999</v>
      </c>
      <c r="AD4014">
        <v>-1.1078063400389999</v>
      </c>
      <c r="AE4014">
        <v>0.16020000000000301</v>
      </c>
      <c r="AF4014">
        <v>-1.15792582551862</v>
      </c>
      <c r="AG4014">
        <v>-1.1078063400389999</v>
      </c>
      <c r="AH4014">
        <v>16.659319831880801</v>
      </c>
      <c r="AI4014">
        <v>93.795306234332699</v>
      </c>
      <c r="AJ4014">
        <v>93.976016624285194</v>
      </c>
      <c r="AK4014">
        <v>16.736217146217001</v>
      </c>
      <c r="AL4014">
        <v>87.232990945007998</v>
      </c>
      <c r="AM4014">
        <v>94.740386690052304</v>
      </c>
      <c r="AN4014">
        <v>1.00000003019124</v>
      </c>
    </row>
    <row r="4015" spans="1:40" x14ac:dyDescent="0.25">
      <c r="A4015" t="str">
        <f>"20190312151354026"</f>
        <v>20190312151354026</v>
      </c>
      <c r="B4015" t="str">
        <f>"1552374834014938"</f>
        <v>1552374834014938</v>
      </c>
      <c r="C4015" t="s">
        <v>40</v>
      </c>
      <c r="D4015">
        <v>4.6861110000000004</v>
      </c>
      <c r="E4015">
        <v>0.50615480000000002</v>
      </c>
      <c r="F4015" t="s">
        <v>58</v>
      </c>
      <c r="G4015">
        <v>-300.35950000000003</v>
      </c>
      <c r="H4015" s="1">
        <v>-8.3945640000000008E-6</v>
      </c>
      <c r="I4015">
        <v>140.65129999999999</v>
      </c>
      <c r="J4015">
        <v>-283.78410000000002</v>
      </c>
      <c r="K4015">
        <v>1.108028</v>
      </c>
      <c r="L4015">
        <v>140.5402</v>
      </c>
      <c r="M4015">
        <v>-0.99673500000000004</v>
      </c>
      <c r="N4015">
        <v>0</v>
      </c>
      <c r="O4015">
        <v>8.0331159999999999E-2</v>
      </c>
      <c r="P4015">
        <v>-0.99919740000000001</v>
      </c>
      <c r="Q4015">
        <v>3.9941160000000003E-2</v>
      </c>
      <c r="R4015">
        <v>-3.1475689999999998E-3</v>
      </c>
      <c r="S4015">
        <v>-3.0101619999999998</v>
      </c>
      <c r="T4015">
        <v>-0.1914052</v>
      </c>
      <c r="U4015">
        <v>3.1021119999999999E-2</v>
      </c>
      <c r="V4015">
        <v>-8.3289409999999994E-2</v>
      </c>
      <c r="W4015">
        <v>4.8265599999999999E-2</v>
      </c>
      <c r="X4015">
        <v>0.99535580000000001</v>
      </c>
      <c r="Y4015">
        <v>-6.975518E-2</v>
      </c>
      <c r="Z4015">
        <v>-7.3136249999999998E-3</v>
      </c>
      <c r="AA4015">
        <v>0.99753729999999996</v>
      </c>
      <c r="AB4015">
        <v>41</v>
      </c>
      <c r="AC4015">
        <v>-16.575399999999998</v>
      </c>
      <c r="AD4015">
        <v>-1.1080363945639999</v>
      </c>
      <c r="AE4015">
        <v>0.111099999999993</v>
      </c>
      <c r="AF4015">
        <v>-1.21539331876573</v>
      </c>
      <c r="AG4015">
        <v>-1.1080363945639999</v>
      </c>
      <c r="AH4015">
        <v>16.457214804336001</v>
      </c>
      <c r="AI4015">
        <v>93.841384670079094</v>
      </c>
      <c r="AJ4015">
        <v>94.223723121893102</v>
      </c>
      <c r="AK4015">
        <v>16.539191173906701</v>
      </c>
      <c r="AL4015">
        <v>87.233509803083095</v>
      </c>
      <c r="AM4015">
        <v>94.783254447590494</v>
      </c>
      <c r="AN4015">
        <v>0.99999993127757103</v>
      </c>
    </row>
    <row r="4016" spans="1:40" x14ac:dyDescent="0.25">
      <c r="A4016" t="str">
        <f>"20190312151354047"</f>
        <v>20190312151354047</v>
      </c>
      <c r="B4016" t="str">
        <f>"1552374834044218"</f>
        <v>1552374834044218</v>
      </c>
      <c r="C4016" t="s">
        <v>40</v>
      </c>
      <c r="D4016">
        <v>4.5533769999999896</v>
      </c>
      <c r="E4016">
        <v>0.50573579999999996</v>
      </c>
      <c r="F4016" t="s">
        <v>58</v>
      </c>
      <c r="G4016">
        <v>-301.36720000000003</v>
      </c>
      <c r="H4016" s="1">
        <v>-8.5781520000000007E-6</v>
      </c>
      <c r="I4016">
        <v>140.71</v>
      </c>
      <c r="J4016">
        <v>-284.17110000000002</v>
      </c>
      <c r="K4016">
        <v>1.108128</v>
      </c>
      <c r="L4016">
        <v>140.5719</v>
      </c>
      <c r="M4016">
        <v>-0.99669050000000003</v>
      </c>
      <c r="N4016">
        <v>0</v>
      </c>
      <c r="O4016">
        <v>8.0877699999999997E-2</v>
      </c>
      <c r="P4016">
        <v>-0.9992008</v>
      </c>
      <c r="Q4016">
        <v>3.9825289999999999E-2</v>
      </c>
      <c r="R4016">
        <v>-3.429451E-3</v>
      </c>
      <c r="S4016">
        <v>-3.0100709999999999</v>
      </c>
      <c r="T4016">
        <v>-0.18968589999999999</v>
      </c>
      <c r="U4016">
        <v>2.9067989999999998E-2</v>
      </c>
      <c r="V4016">
        <v>-8.4127519999999997E-2</v>
      </c>
      <c r="W4016">
        <v>4.8156530000000003E-2</v>
      </c>
      <c r="X4016">
        <v>0.99529060000000003</v>
      </c>
      <c r="Y4016">
        <v>-7.0951E-2</v>
      </c>
      <c r="Z4016">
        <v>-7.3203000000000001E-3</v>
      </c>
      <c r="AA4016">
        <v>0.99745289999999998</v>
      </c>
      <c r="AB4016">
        <v>41</v>
      </c>
      <c r="AC4016">
        <v>-17.196100000000001</v>
      </c>
      <c r="AD4016">
        <v>-1.1081365781520001</v>
      </c>
      <c r="AE4016">
        <v>0.13810000000000799</v>
      </c>
      <c r="AF4016">
        <v>-1.2479977643909399</v>
      </c>
      <c r="AG4016">
        <v>-1.1081365781520001</v>
      </c>
      <c r="AH4016">
        <v>17.080009010570901</v>
      </c>
      <c r="AI4016">
        <v>93.702256962512294</v>
      </c>
      <c r="AJ4016">
        <v>94.179046872771707</v>
      </c>
      <c r="AK4016">
        <v>17.161356965489301</v>
      </c>
      <c r="AL4016">
        <v>87.239766338986399</v>
      </c>
      <c r="AM4016">
        <v>94.831474832341598</v>
      </c>
      <c r="AN4016">
        <v>0.99999993472567295</v>
      </c>
    </row>
    <row r="4017" spans="1:40" x14ac:dyDescent="0.25">
      <c r="A4017" t="str">
        <f>"20190312151354069"</f>
        <v>20190312151354069</v>
      </c>
      <c r="B4017" t="str">
        <f>"1552374834064714"</f>
        <v>1552374834064714</v>
      </c>
      <c r="C4017" t="s">
        <v>40</v>
      </c>
      <c r="D4017">
        <v>4.6978049999999998</v>
      </c>
      <c r="E4017">
        <v>0.50538119999999997</v>
      </c>
      <c r="F4017" t="s">
        <v>58</v>
      </c>
      <c r="G4017">
        <v>-301.62490000000003</v>
      </c>
      <c r="H4017" s="1">
        <v>-8.6167459999999992E-6</v>
      </c>
      <c r="I4017">
        <v>140.71539999999999</v>
      </c>
      <c r="J4017">
        <v>-284.57159999999999</v>
      </c>
      <c r="K4017">
        <v>1.108204</v>
      </c>
      <c r="L4017">
        <v>140.60480000000001</v>
      </c>
      <c r="M4017">
        <v>-0.99664870000000005</v>
      </c>
      <c r="N4017">
        <v>0</v>
      </c>
      <c r="O4017">
        <v>8.1387039999999994E-2</v>
      </c>
      <c r="P4017">
        <v>-0.99919389999999997</v>
      </c>
      <c r="Q4017">
        <v>3.999925E-2</v>
      </c>
      <c r="R4017">
        <v>-3.3972329999999999E-3</v>
      </c>
      <c r="S4017">
        <v>-3.0101010000000001</v>
      </c>
      <c r="T4017">
        <v>-0.1911101</v>
      </c>
      <c r="U4017">
        <v>2.4749759999999999E-2</v>
      </c>
      <c r="V4017">
        <v>-8.4613229999999998E-2</v>
      </c>
      <c r="W4017">
        <v>4.8337989999999997E-2</v>
      </c>
      <c r="X4017">
        <v>0.99524069999999998</v>
      </c>
      <c r="Y4017">
        <v>-7.2882080000000002E-2</v>
      </c>
      <c r="Z4017">
        <v>-7.4686589999999999E-3</v>
      </c>
      <c r="AA4017">
        <v>0.99731259999999999</v>
      </c>
      <c r="AB4017">
        <v>41</v>
      </c>
      <c r="AC4017">
        <v>-17.0533</v>
      </c>
      <c r="AD4017">
        <v>-1.108212616746</v>
      </c>
      <c r="AE4017">
        <v>0.110599999999976</v>
      </c>
      <c r="AF4017">
        <v>-1.2723583537932901</v>
      </c>
      <c r="AG4017">
        <v>-1.108212616746</v>
      </c>
      <c r="AH4017">
        <v>16.934213261985398</v>
      </c>
      <c r="AI4017">
        <v>93.733730019490693</v>
      </c>
      <c r="AJ4017">
        <v>94.296865911248204</v>
      </c>
      <c r="AK4017">
        <v>17.018067157782198</v>
      </c>
      <c r="AL4017">
        <v>87.229357520151495</v>
      </c>
      <c r="AM4017">
        <v>94.859478622655303</v>
      </c>
      <c r="AN4017">
        <v>1.0000000054523801</v>
      </c>
    </row>
    <row r="4018" spans="1:40" x14ac:dyDescent="0.25">
      <c r="A4018" t="str">
        <f>"20190312151354093"</f>
        <v>20190312151354093</v>
      </c>
      <c r="B4018" t="str">
        <f>"1552374834084234"</f>
        <v>1552374834084234</v>
      </c>
      <c r="C4018" t="s">
        <v>40</v>
      </c>
      <c r="D4018">
        <v>4.5713169999999996</v>
      </c>
      <c r="E4018">
        <v>0.50529020000000002</v>
      </c>
      <c r="F4018" t="s">
        <v>58</v>
      </c>
      <c r="G4018">
        <v>-302.08859999999999</v>
      </c>
      <c r="H4018" s="1">
        <v>-8.6889489999999998E-6</v>
      </c>
      <c r="I4018">
        <v>140.73429999999999</v>
      </c>
      <c r="J4018">
        <v>-285.00330000000002</v>
      </c>
      <c r="K4018">
        <v>1.1082799999999999</v>
      </c>
      <c r="L4018">
        <v>140.6405</v>
      </c>
      <c r="M4018">
        <v>-0.99660870000000001</v>
      </c>
      <c r="N4018">
        <v>0</v>
      </c>
      <c r="O4018">
        <v>8.1875229999999993E-2</v>
      </c>
      <c r="P4018">
        <v>-0.99917920000000005</v>
      </c>
      <c r="Q4018">
        <v>4.0367979999999998E-2</v>
      </c>
      <c r="R4018">
        <v>-3.4406419999999998E-3</v>
      </c>
      <c r="S4018">
        <v>-3.0100709999999999</v>
      </c>
      <c r="T4018">
        <v>-0.19043209999999999</v>
      </c>
      <c r="U4018">
        <v>2.2247309999999999E-2</v>
      </c>
      <c r="V4018">
        <v>-8.5151229999999994E-2</v>
      </c>
      <c r="W4018">
        <v>4.8715679999999997E-2</v>
      </c>
      <c r="X4018">
        <v>0.99517639999999996</v>
      </c>
      <c r="Y4018">
        <v>-7.4198130000000001E-2</v>
      </c>
      <c r="Z4018">
        <v>-7.5147149999999999E-3</v>
      </c>
      <c r="AA4018">
        <v>0.99721519999999997</v>
      </c>
      <c r="AB4018">
        <v>41</v>
      </c>
      <c r="AC4018">
        <v>-17.085299999999901</v>
      </c>
      <c r="AD4018">
        <v>-1.108288688949</v>
      </c>
      <c r="AE4018">
        <v>9.3799999999987393E-2</v>
      </c>
      <c r="AF4018">
        <v>-1.2999552039470299</v>
      </c>
      <c r="AG4018">
        <v>-1.108288688949</v>
      </c>
      <c r="AH4018">
        <v>16.964233019143901</v>
      </c>
      <c r="AI4018">
        <v>93.726977721953205</v>
      </c>
      <c r="AJ4018">
        <v>94.381964772224606</v>
      </c>
      <c r="AK4018">
        <v>17.0500260785177</v>
      </c>
      <c r="AL4018">
        <v>87.207691960428093</v>
      </c>
      <c r="AM4018">
        <v>94.890541922904006</v>
      </c>
      <c r="AN4018">
        <v>1.0000000082826599</v>
      </c>
    </row>
    <row r="4019" spans="1:40" x14ac:dyDescent="0.25">
      <c r="A4019" t="str">
        <f>"20190312151354115"</f>
        <v>20190312151354115</v>
      </c>
      <c r="B4019" t="str">
        <f>"1552374834104032"</f>
        <v>1552374834104032</v>
      </c>
      <c r="C4019" t="s">
        <v>40</v>
      </c>
      <c r="D4019">
        <v>4.5700209999999997</v>
      </c>
      <c r="E4019">
        <v>0.50496019999999997</v>
      </c>
      <c r="F4019" t="s">
        <v>58</v>
      </c>
      <c r="G4019">
        <v>-302.51029999999997</v>
      </c>
      <c r="H4019" s="1">
        <v>-8.758549E-6</v>
      </c>
      <c r="I4019">
        <v>140.7646</v>
      </c>
      <c r="J4019">
        <v>-285.41109999999998</v>
      </c>
      <c r="K4019">
        <v>1.108347</v>
      </c>
      <c r="L4019">
        <v>140.67429999999999</v>
      </c>
      <c r="M4019">
        <v>-0.99657430000000002</v>
      </c>
      <c r="N4019">
        <v>0</v>
      </c>
      <c r="O4019">
        <v>8.2292160000000003E-2</v>
      </c>
      <c r="P4019">
        <v>-0.9991757</v>
      </c>
      <c r="Q4019">
        <v>4.0418999999999997E-2</v>
      </c>
      <c r="R4019">
        <v>-3.8353839999999998E-3</v>
      </c>
      <c r="S4019">
        <v>-3.0101930000000001</v>
      </c>
      <c r="T4019">
        <v>-0.19056139999999999</v>
      </c>
      <c r="U4019">
        <v>2.1347049999999999E-2</v>
      </c>
      <c r="V4019">
        <v>-8.596811E-2</v>
      </c>
      <c r="W4019">
        <v>4.8776170000000001E-2</v>
      </c>
      <c r="X4019">
        <v>0.99510319999999997</v>
      </c>
      <c r="Y4019">
        <v>-7.4911179999999994E-2</v>
      </c>
      <c r="Z4019">
        <v>-7.5683759999999999E-3</v>
      </c>
      <c r="AA4019">
        <v>0.99716150000000003</v>
      </c>
      <c r="AB4019">
        <v>41</v>
      </c>
      <c r="AC4019">
        <v>-17.0991999999999</v>
      </c>
      <c r="AD4019">
        <v>-1.108355758549</v>
      </c>
      <c r="AE4019">
        <v>9.03000000000133E-2</v>
      </c>
      <c r="AF4019">
        <v>-1.3116731357532101</v>
      </c>
      <c r="AG4019">
        <v>-1.108355758549</v>
      </c>
      <c r="AH4019">
        <v>16.977302516568098</v>
      </c>
      <c r="AI4019">
        <v>93.724162113085299</v>
      </c>
      <c r="AJ4019">
        <v>94.417918198283104</v>
      </c>
      <c r="AK4019">
        <v>17.0639309551356</v>
      </c>
      <c r="AL4019">
        <v>87.204222003620103</v>
      </c>
      <c r="AM4019">
        <v>94.937588861189099</v>
      </c>
      <c r="AN4019">
        <v>1.00000000467354</v>
      </c>
    </row>
    <row r="4020" spans="1:40" x14ac:dyDescent="0.25">
      <c r="A4020" t="str">
        <f>"20190312151354136"</f>
        <v>20190312151354136</v>
      </c>
      <c r="B4020" t="str">
        <f>"1552374834124528"</f>
        <v>1552374834124528</v>
      </c>
      <c r="C4020" t="s">
        <v>40</v>
      </c>
      <c r="D4020">
        <v>4.7903580000000003</v>
      </c>
      <c r="E4020">
        <v>0.50459030000000005</v>
      </c>
      <c r="F4020" t="s">
        <v>58</v>
      </c>
      <c r="G4020">
        <v>-302.87009999999998</v>
      </c>
      <c r="H4020" s="1">
        <v>-8.8134930000000004E-6</v>
      </c>
      <c r="I4020">
        <v>140.7757</v>
      </c>
      <c r="J4020">
        <v>-285.7996</v>
      </c>
      <c r="K4020">
        <v>1.1084020000000001</v>
      </c>
      <c r="L4020">
        <v>140.70670000000001</v>
      </c>
      <c r="M4020">
        <v>-0.99654330000000002</v>
      </c>
      <c r="N4020">
        <v>0</v>
      </c>
      <c r="O4020">
        <v>8.266192E-2</v>
      </c>
      <c r="P4020">
        <v>-0.99918810000000002</v>
      </c>
      <c r="Q4020">
        <v>4.0083489999999999E-2</v>
      </c>
      <c r="R4020">
        <v>-4.1106249999999997E-3</v>
      </c>
      <c r="S4020">
        <v>-3.0103149999999999</v>
      </c>
      <c r="T4020">
        <v>-0.19110569999999999</v>
      </c>
      <c r="U4020">
        <v>1.747131E-2</v>
      </c>
      <c r="V4020">
        <v>-8.6619520000000005E-2</v>
      </c>
      <c r="W4020">
        <v>4.844992E-2</v>
      </c>
      <c r="X4020">
        <v>0.99506260000000002</v>
      </c>
      <c r="Y4020">
        <v>-7.6559310000000005E-2</v>
      </c>
      <c r="Z4020">
        <v>-7.6653919999999896E-3</v>
      </c>
      <c r="AA4020">
        <v>0.99703560000000002</v>
      </c>
      <c r="AB4020">
        <v>41</v>
      </c>
      <c r="AC4020">
        <v>-17.0704999999999</v>
      </c>
      <c r="AD4020">
        <v>-1.108410813493</v>
      </c>
      <c r="AE4020">
        <v>6.8999999999988404E-2</v>
      </c>
      <c r="AF4020">
        <v>-1.3367290992929299</v>
      </c>
      <c r="AG4020">
        <v>-1.108410813493</v>
      </c>
      <c r="AH4020">
        <v>16.946332631806499</v>
      </c>
      <c r="AI4020">
        <v>93.730666114013999</v>
      </c>
      <c r="AJ4020">
        <v>94.510160421637494</v>
      </c>
      <c r="AK4020">
        <v>17.0350699700411</v>
      </c>
      <c r="AL4020">
        <v>87.222936745903496</v>
      </c>
      <c r="AM4020">
        <v>94.975017578893798</v>
      </c>
      <c r="AN4020">
        <v>0.99999995695589705</v>
      </c>
    </row>
    <row r="4021" spans="1:40" x14ac:dyDescent="0.25">
      <c r="A4021" t="str">
        <f>"20190312151354158"</f>
        <v>20190312151354158</v>
      </c>
      <c r="B4021" t="str">
        <f>"1552374834154784"</f>
        <v>1552374834154784</v>
      </c>
      <c r="C4021" t="s">
        <v>40</v>
      </c>
      <c r="D4021">
        <v>4.9107139999999996</v>
      </c>
      <c r="E4021">
        <v>0.50428309999999998</v>
      </c>
      <c r="F4021" t="s">
        <v>58</v>
      </c>
      <c r="G4021">
        <v>-303.39269999999999</v>
      </c>
      <c r="H4021" s="1">
        <v>-8.8921859999999994E-6</v>
      </c>
      <c r="I4021">
        <v>140.78790000000001</v>
      </c>
      <c r="J4021">
        <v>-286.20299999999997</v>
      </c>
      <c r="K4021">
        <v>1.1084510000000001</v>
      </c>
      <c r="L4021">
        <v>140.7405</v>
      </c>
      <c r="M4021">
        <v>-0.99651279999999998</v>
      </c>
      <c r="N4021">
        <v>0</v>
      </c>
      <c r="O4021">
        <v>8.302785E-2</v>
      </c>
      <c r="P4021">
        <v>-0.99917690000000003</v>
      </c>
      <c r="Q4021">
        <v>4.0329570000000002E-2</v>
      </c>
      <c r="R4021">
        <v>-4.395454E-3</v>
      </c>
      <c r="S4021">
        <v>-3.0101010000000001</v>
      </c>
      <c r="T4021">
        <v>-0.1896439</v>
      </c>
      <c r="U4021">
        <v>1.38855E-2</v>
      </c>
      <c r="V4021">
        <v>-8.7272730000000007E-2</v>
      </c>
      <c r="W4021">
        <v>4.8706630000000001E-2</v>
      </c>
      <c r="X4021">
        <v>0.99499300000000002</v>
      </c>
      <c r="Y4021">
        <v>-7.8113630000000003E-2</v>
      </c>
      <c r="Z4021">
        <v>-7.679384E-3</v>
      </c>
      <c r="AA4021">
        <v>0.99691490000000005</v>
      </c>
      <c r="AB4021">
        <v>41</v>
      </c>
      <c r="AC4021">
        <v>-17.189699999999998</v>
      </c>
      <c r="AD4021">
        <v>-1.1084598921860001</v>
      </c>
      <c r="AE4021">
        <v>4.7400000000010302E-2</v>
      </c>
      <c r="AF4021">
        <v>-1.3743218379501601</v>
      </c>
      <c r="AG4021">
        <v>-1.1084598921860001</v>
      </c>
      <c r="AH4021">
        <v>17.0633275851816</v>
      </c>
      <c r="AI4021">
        <v>93.704835371570098</v>
      </c>
      <c r="AJ4021">
        <v>94.604801135810106</v>
      </c>
      <c r="AK4021">
        <v>17.154433599687</v>
      </c>
      <c r="AL4021">
        <v>87.208210989911194</v>
      </c>
      <c r="AM4021">
        <v>95.012693302343195</v>
      </c>
      <c r="AN4021">
        <v>0.99999996762830401</v>
      </c>
    </row>
    <row r="4022" spans="1:40" x14ac:dyDescent="0.25">
      <c r="A4022" t="str">
        <f>"20190312151354182"</f>
        <v>20190312151354182</v>
      </c>
      <c r="B4022" t="str">
        <f>"1552374834174304"</f>
        <v>1552374834174304</v>
      </c>
      <c r="C4022" t="s">
        <v>40</v>
      </c>
      <c r="D4022">
        <v>4.8145290000000003</v>
      </c>
      <c r="E4022">
        <v>0.50448890000000002</v>
      </c>
      <c r="F4022" t="s">
        <v>58</v>
      </c>
      <c r="G4022">
        <v>-304.12439999999998</v>
      </c>
      <c r="H4022" s="1">
        <v>-9.0018379999999997E-6</v>
      </c>
      <c r="I4022">
        <v>140.80330000000001</v>
      </c>
      <c r="J4022">
        <v>-286.62540000000001</v>
      </c>
      <c r="K4022">
        <v>1.108495</v>
      </c>
      <c r="L4022">
        <v>140.77600000000001</v>
      </c>
      <c r="M4022">
        <v>-0.99648159999999997</v>
      </c>
      <c r="N4022">
        <v>0</v>
      </c>
      <c r="O4022">
        <v>8.3398349999999996E-2</v>
      </c>
      <c r="P4022">
        <v>-0.99917409999999995</v>
      </c>
      <c r="Q4022">
        <v>4.0407680000000001E-2</v>
      </c>
      <c r="R4022">
        <v>-4.3154209999999998E-3</v>
      </c>
      <c r="S4022">
        <v>-3.01004</v>
      </c>
      <c r="T4022">
        <v>-0.1861748</v>
      </c>
      <c r="U4022">
        <v>1.0543820000000001E-2</v>
      </c>
      <c r="V4022">
        <v>-8.7566989999999997E-2</v>
      </c>
      <c r="W4022">
        <v>4.8796649999999997E-2</v>
      </c>
      <c r="X4022">
        <v>0.99496280000000004</v>
      </c>
      <c r="Y4022">
        <v>-7.9598879999999997E-2</v>
      </c>
      <c r="Z4022">
        <v>-7.6081300000000003E-3</v>
      </c>
      <c r="AA4022">
        <v>0.99679790000000001</v>
      </c>
      <c r="AB4022">
        <v>41</v>
      </c>
      <c r="AC4022">
        <v>-17.498999999999899</v>
      </c>
      <c r="AD4022">
        <v>-1.1085040018379999</v>
      </c>
      <c r="AE4022">
        <v>2.7299999999996698E-2</v>
      </c>
      <c r="AF4022">
        <v>-1.4265090006412999</v>
      </c>
      <c r="AG4022">
        <v>-1.1085040018379999</v>
      </c>
      <c r="AH4022">
        <v>17.370606492220801</v>
      </c>
      <c r="AI4022">
        <v>93.639157286177394</v>
      </c>
      <c r="AJ4022">
        <v>94.694709354154497</v>
      </c>
      <c r="AK4022">
        <v>17.464297264951298</v>
      </c>
      <c r="AL4022">
        <v>87.203047263863098</v>
      </c>
      <c r="AM4022">
        <v>95.029660077569602</v>
      </c>
      <c r="AN4022">
        <v>1.00000003208636</v>
      </c>
    </row>
    <row r="4023" spans="1:40" x14ac:dyDescent="0.25">
      <c r="A4023" t="str">
        <f>"20190312151354203"</f>
        <v>20190312151354203</v>
      </c>
      <c r="B4023" t="str">
        <f>"1552374834194803"</f>
        <v>1552374834194803</v>
      </c>
      <c r="C4023" t="s">
        <v>40</v>
      </c>
      <c r="D4023">
        <v>4.5653129999999997</v>
      </c>
      <c r="E4023">
        <v>0.50470199999999998</v>
      </c>
      <c r="F4023" t="s">
        <v>58</v>
      </c>
      <c r="G4023">
        <v>-304.89049999999997</v>
      </c>
      <c r="H4023" s="1">
        <v>-9.1261159999999993E-6</v>
      </c>
      <c r="I4023">
        <v>140.85120000000001</v>
      </c>
      <c r="J4023">
        <v>-287.03280000000001</v>
      </c>
      <c r="K4023">
        <v>1.108527</v>
      </c>
      <c r="L4023">
        <v>140.81039999999999</v>
      </c>
      <c r="M4023">
        <v>-0.99645220000000001</v>
      </c>
      <c r="N4023">
        <v>0</v>
      </c>
      <c r="O4023">
        <v>8.3747710000000003E-2</v>
      </c>
      <c r="P4023">
        <v>-0.99917409999999995</v>
      </c>
      <c r="Q4023">
        <v>4.038303E-2</v>
      </c>
      <c r="R4023">
        <v>-4.5364719999999997E-3</v>
      </c>
      <c r="S4023">
        <v>-3.0099179999999999</v>
      </c>
      <c r="T4023">
        <v>-0.1826711</v>
      </c>
      <c r="U4023">
        <v>1.2390139999999999E-2</v>
      </c>
      <c r="V4023">
        <v>-8.8140609999999994E-2</v>
      </c>
      <c r="W4023">
        <v>4.878379E-2</v>
      </c>
      <c r="X4023">
        <v>0.99491269999999998</v>
      </c>
      <c r="Y4023">
        <v>-7.9348189999999999E-2</v>
      </c>
      <c r="Z4023">
        <v>-7.4790050000000004E-3</v>
      </c>
      <c r="AA4023">
        <v>0.99681889999999995</v>
      </c>
      <c r="AB4023">
        <v>41</v>
      </c>
      <c r="AC4023">
        <v>-17.857699999999902</v>
      </c>
      <c r="AD4023">
        <v>-1.1085361261160001</v>
      </c>
      <c r="AE4023">
        <v>4.0800000000018599E-2</v>
      </c>
      <c r="AF4023">
        <v>-1.44935170900064</v>
      </c>
      <c r="AG4023">
        <v>-1.1085361261160001</v>
      </c>
      <c r="AH4023">
        <v>17.7300570242611</v>
      </c>
      <c r="AI4023">
        <v>93.565783135338904</v>
      </c>
      <c r="AJ4023">
        <v>94.673279022106996</v>
      </c>
      <c r="AK4023">
        <v>17.823703173101698</v>
      </c>
      <c r="AL4023">
        <v>87.203784744700599</v>
      </c>
      <c r="AM4023">
        <v>95.062690523463004</v>
      </c>
      <c r="AN4023">
        <v>0.99999995295961197</v>
      </c>
    </row>
    <row r="4024" spans="1:40" x14ac:dyDescent="0.25">
      <c r="A4024" t="str">
        <f>"20190312151354226"</f>
        <v>20190312151354226</v>
      </c>
      <c r="B4024" t="str">
        <f>"1552374834214320"</f>
        <v>1552374834214320</v>
      </c>
      <c r="C4024" t="s">
        <v>40</v>
      </c>
      <c r="D4024">
        <v>4.6146699999999896</v>
      </c>
      <c r="E4024">
        <v>0.5047895</v>
      </c>
      <c r="F4024" t="s">
        <v>58</v>
      </c>
      <c r="G4024">
        <v>-305.77359999999999</v>
      </c>
      <c r="H4024" s="1">
        <v>-9.2658890000000004E-6</v>
      </c>
      <c r="I4024">
        <v>140.8948</v>
      </c>
      <c r="J4024">
        <v>-287.44600000000003</v>
      </c>
      <c r="K4024">
        <v>1.1085529999999999</v>
      </c>
      <c r="L4024">
        <v>140.84540000000001</v>
      </c>
      <c r="M4024">
        <v>-0.99642280000000005</v>
      </c>
      <c r="N4024">
        <v>0</v>
      </c>
      <c r="O4024">
        <v>8.4096630000000006E-2</v>
      </c>
      <c r="P4024">
        <v>-0.99919400000000003</v>
      </c>
      <c r="Q4024">
        <v>3.9849809999999999E-2</v>
      </c>
      <c r="R4024">
        <v>-4.8777839999999996E-3</v>
      </c>
      <c r="S4024">
        <v>-3.009735</v>
      </c>
      <c r="T4024">
        <v>-0.1780292</v>
      </c>
      <c r="U4024">
        <v>1.3549800000000001E-2</v>
      </c>
      <c r="V4024">
        <v>-8.8834540000000004E-2</v>
      </c>
      <c r="W4024">
        <v>4.8263220000000003E-2</v>
      </c>
      <c r="X4024">
        <v>0.99487639999999999</v>
      </c>
      <c r="Y4024">
        <v>-7.9327339999999996E-2</v>
      </c>
      <c r="Z4024">
        <v>-7.3096539999999996E-3</v>
      </c>
      <c r="AA4024">
        <v>0.99682179999999998</v>
      </c>
      <c r="AB4024">
        <v>41</v>
      </c>
      <c r="AC4024">
        <v>-18.3276</v>
      </c>
      <c r="AD4024">
        <v>-1.108562265889</v>
      </c>
      <c r="AE4024">
        <v>4.9399999999991402E-2</v>
      </c>
      <c r="AF4024">
        <v>-1.4866788084070599</v>
      </c>
      <c r="AG4024">
        <v>-1.108562265889</v>
      </c>
      <c r="AH4024">
        <v>18.2002403869222</v>
      </c>
      <c r="AI4024">
        <v>93.473992431613695</v>
      </c>
      <c r="AJ4024">
        <v>94.669813284467295</v>
      </c>
      <c r="AK4024">
        <v>18.294476606847098</v>
      </c>
      <c r="AL4024">
        <v>87.2336464682094</v>
      </c>
      <c r="AM4024">
        <v>95.102524633648699</v>
      </c>
      <c r="AN4024">
        <v>0.99999998258936995</v>
      </c>
    </row>
    <row r="4025" spans="1:40" x14ac:dyDescent="0.25">
      <c r="A4025" t="str">
        <f>"20190312151354247"</f>
        <v>20190312151354247</v>
      </c>
      <c r="B4025" t="str">
        <f>"1552374834244576"</f>
        <v>1552374834244576</v>
      </c>
      <c r="C4025" t="s">
        <v>40</v>
      </c>
      <c r="D4025">
        <v>4.5508940000000004</v>
      </c>
      <c r="E4025">
        <v>0.50498069999999995</v>
      </c>
      <c r="F4025" t="s">
        <v>58</v>
      </c>
      <c r="G4025">
        <v>-306.27760000000001</v>
      </c>
      <c r="H4025" s="1">
        <v>-9.3485369999999999E-6</v>
      </c>
      <c r="I4025">
        <v>140.92930000000001</v>
      </c>
      <c r="J4025">
        <v>-287.84649999999999</v>
      </c>
      <c r="K4025">
        <v>1.1085700000000001</v>
      </c>
      <c r="L4025">
        <v>140.87950000000001</v>
      </c>
      <c r="M4025">
        <v>-0.99639440000000001</v>
      </c>
      <c r="N4025">
        <v>0</v>
      </c>
      <c r="O4025">
        <v>8.4429509999999999E-2</v>
      </c>
      <c r="P4025">
        <v>-0.99919340000000001</v>
      </c>
      <c r="Q4025">
        <v>3.9796329999999998E-2</v>
      </c>
      <c r="R4025">
        <v>-5.3861539999999998E-3</v>
      </c>
      <c r="S4025">
        <v>-3.0095209999999999</v>
      </c>
      <c r="T4025">
        <v>-0.1771615</v>
      </c>
      <c r="U4025">
        <v>1.339722E-2</v>
      </c>
      <c r="V4025">
        <v>-8.9675770000000002E-2</v>
      </c>
      <c r="W4025">
        <v>4.8222250000000001E-2</v>
      </c>
      <c r="X4025">
        <v>0.99480299999999999</v>
      </c>
      <c r="Y4025">
        <v>-7.9712099999999994E-2</v>
      </c>
      <c r="Z4025">
        <v>-7.3054499999999998E-3</v>
      </c>
      <c r="AA4025">
        <v>0.99679119999999999</v>
      </c>
      <c r="AB4025">
        <v>41</v>
      </c>
      <c r="AC4025">
        <v>-18.431100000000001</v>
      </c>
      <c r="AD4025">
        <v>-1.1085793485369999</v>
      </c>
      <c r="AE4025">
        <v>4.9800000000004702E-2</v>
      </c>
      <c r="AF4025">
        <v>-1.5011303429140801</v>
      </c>
      <c r="AG4025">
        <v>-1.1085793485369999</v>
      </c>
      <c r="AH4025">
        <v>18.303275999343199</v>
      </c>
      <c r="AI4025">
        <v>93.454444310560305</v>
      </c>
      <c r="AJ4025">
        <v>94.688579623482099</v>
      </c>
      <c r="AK4025">
        <v>18.3981589510079</v>
      </c>
      <c r="AL4025">
        <v>87.235996851674997</v>
      </c>
      <c r="AM4025">
        <v>95.150962941515104</v>
      </c>
      <c r="AN4025">
        <v>1.0000000689645701</v>
      </c>
    </row>
    <row r="4026" spans="1:40" x14ac:dyDescent="0.25">
      <c r="A4026" t="str">
        <f>"20190312151354270"</f>
        <v>20190312151354270</v>
      </c>
      <c r="B4026" t="str">
        <f>"1552374834264096"</f>
        <v>1552374834264096</v>
      </c>
      <c r="C4026" t="s">
        <v>40</v>
      </c>
      <c r="D4026">
        <v>4.6261900000000002</v>
      </c>
      <c r="E4026">
        <v>0.50507860000000004</v>
      </c>
      <c r="F4026" t="s">
        <v>58</v>
      </c>
      <c r="G4026">
        <v>-306.97239999999999</v>
      </c>
      <c r="H4026" s="1">
        <v>-9.4593090000000007E-6</v>
      </c>
      <c r="I4026">
        <v>140.96619999999999</v>
      </c>
      <c r="J4026">
        <v>-288.27229999999997</v>
      </c>
      <c r="K4026">
        <v>1.1085879999999999</v>
      </c>
      <c r="L4026">
        <v>140.91589999999999</v>
      </c>
      <c r="M4026">
        <v>-0.99636460000000004</v>
      </c>
      <c r="N4026">
        <v>0</v>
      </c>
      <c r="O4026">
        <v>8.4777939999999996E-2</v>
      </c>
      <c r="P4026">
        <v>-0.99918220000000002</v>
      </c>
      <c r="Q4026">
        <v>4.0011129999999999E-2</v>
      </c>
      <c r="R4026">
        <v>-5.834143E-3</v>
      </c>
      <c r="S4026">
        <v>-3.0093990000000002</v>
      </c>
      <c r="T4026">
        <v>-0.17443129999999901</v>
      </c>
      <c r="U4026">
        <v>1.364136E-2</v>
      </c>
      <c r="V4026">
        <v>-9.0471190000000007E-2</v>
      </c>
      <c r="W4026">
        <v>4.8451349999999997E-2</v>
      </c>
      <c r="X4026">
        <v>0.99471980000000004</v>
      </c>
      <c r="Y4026">
        <v>-7.9987269999999999E-2</v>
      </c>
      <c r="Z4026">
        <v>-7.2214380000000002E-3</v>
      </c>
      <c r="AA4026">
        <v>0.99676969999999998</v>
      </c>
      <c r="AB4026">
        <v>41</v>
      </c>
      <c r="AC4026">
        <v>-18.700099999999999</v>
      </c>
      <c r="AD4026">
        <v>-1.108597459309</v>
      </c>
      <c r="AE4026">
        <v>5.0299999999992899E-2</v>
      </c>
      <c r="AF4026">
        <v>-1.5299159656030801</v>
      </c>
      <c r="AG4026">
        <v>-1.108597459309</v>
      </c>
      <c r="AH4026">
        <v>18.571767491747899</v>
      </c>
      <c r="AI4026">
        <v>93.404576313144403</v>
      </c>
      <c r="AJ4026">
        <v>94.709311745147502</v>
      </c>
      <c r="AK4026">
        <v>18.6676238165477</v>
      </c>
      <c r="AL4026">
        <v>87.222854905782697</v>
      </c>
      <c r="AM4026">
        <v>95.196834965180599</v>
      </c>
      <c r="AN4026">
        <v>1.0000000250244301</v>
      </c>
    </row>
    <row r="4027" spans="1:40" x14ac:dyDescent="0.25">
      <c r="A4027" t="str">
        <f>"20190312151354293"</f>
        <v>20190312151354293</v>
      </c>
      <c r="B4027" t="str">
        <f>"1552374834284593"</f>
        <v>1552374834284593</v>
      </c>
      <c r="C4027" t="s">
        <v>40</v>
      </c>
      <c r="D4027">
        <v>4.6482140000000003</v>
      </c>
      <c r="E4027">
        <v>0.50516439999999996</v>
      </c>
      <c r="F4027" t="s">
        <v>58</v>
      </c>
      <c r="G4027">
        <v>-307.63490000000002</v>
      </c>
      <c r="H4027" s="1">
        <v>-9.5651700000000008E-6</v>
      </c>
      <c r="I4027">
        <v>141.00229999999999</v>
      </c>
      <c r="J4027">
        <v>-288.70249999999999</v>
      </c>
      <c r="K4027">
        <v>1.108609</v>
      </c>
      <c r="L4027">
        <v>140.9528</v>
      </c>
      <c r="M4027">
        <v>-0.99633539999999998</v>
      </c>
      <c r="N4027">
        <v>0</v>
      </c>
      <c r="O4027">
        <v>8.5118620000000006E-2</v>
      </c>
      <c r="P4027">
        <v>-0.99915960000000004</v>
      </c>
      <c r="Q4027">
        <v>4.0595390000000002E-2</v>
      </c>
      <c r="R4027">
        <v>-5.6860189999999996E-3</v>
      </c>
      <c r="S4027">
        <v>-3.00943</v>
      </c>
      <c r="T4027">
        <v>-0.1723037</v>
      </c>
      <c r="U4027">
        <v>1.3427730000000001E-2</v>
      </c>
      <c r="V4027">
        <v>-9.0663480000000005E-2</v>
      </c>
      <c r="W4027">
        <v>4.905288E-2</v>
      </c>
      <c r="X4027">
        <v>0.99467280000000002</v>
      </c>
      <c r="Y4027">
        <v>-8.0404329999999996E-2</v>
      </c>
      <c r="Z4027">
        <v>-7.1647949999999998E-3</v>
      </c>
      <c r="AA4027">
        <v>0.99673659999999997</v>
      </c>
      <c r="AB4027">
        <v>42</v>
      </c>
      <c r="AC4027">
        <v>-18.932400000000001</v>
      </c>
      <c r="AD4027">
        <v>-1.10861856517</v>
      </c>
      <c r="AE4027">
        <v>4.9499999999994701E-2</v>
      </c>
      <c r="AF4027">
        <v>-1.55689791226694</v>
      </c>
      <c r="AG4027">
        <v>-1.10861856517</v>
      </c>
      <c r="AH4027">
        <v>18.803425317656298</v>
      </c>
      <c r="AI4027">
        <v>93.362677126691395</v>
      </c>
      <c r="AJ4027">
        <v>94.733215558799898</v>
      </c>
      <c r="AK4027">
        <v>18.900311370687401</v>
      </c>
      <c r="AL4027">
        <v>87.188348717675098</v>
      </c>
      <c r="AM4027">
        <v>95.208064517221601</v>
      </c>
      <c r="AN4027">
        <v>1.0000000153509201</v>
      </c>
    </row>
    <row r="4028" spans="1:40" x14ac:dyDescent="0.25">
      <c r="A4028" t="str">
        <f>"20190312151354316"</f>
        <v>20190312151354316</v>
      </c>
      <c r="B4028" t="str">
        <f>"1552374834304623"</f>
        <v>1552374834304623</v>
      </c>
      <c r="C4028" t="s">
        <v>40</v>
      </c>
      <c r="D4028">
        <v>4.6517039999999996</v>
      </c>
      <c r="E4028">
        <v>0.50526859999999996</v>
      </c>
      <c r="F4028" t="s">
        <v>58</v>
      </c>
      <c r="G4028">
        <v>-308.62650000000002</v>
      </c>
      <c r="H4028" s="1">
        <v>-9.7212740000000001E-6</v>
      </c>
      <c r="I4028">
        <v>141.04830000000001</v>
      </c>
      <c r="J4028">
        <v>-289.11470000000003</v>
      </c>
      <c r="K4028">
        <v>1.1086370000000001</v>
      </c>
      <c r="L4028">
        <v>140.98820000000001</v>
      </c>
      <c r="M4028">
        <v>-0.99630929999999995</v>
      </c>
      <c r="N4028">
        <v>0</v>
      </c>
      <c r="O4028">
        <v>8.5422600000000001E-2</v>
      </c>
      <c r="P4028">
        <v>-0.99916850000000001</v>
      </c>
      <c r="Q4028">
        <v>4.032637E-2</v>
      </c>
      <c r="R4028">
        <v>-6.0416609999999898E-3</v>
      </c>
      <c r="S4028">
        <v>-3.009369</v>
      </c>
      <c r="T4028">
        <v>-0.1674484</v>
      </c>
      <c r="U4028">
        <v>1.4434809999999999E-2</v>
      </c>
      <c r="V4028">
        <v>-9.132527E-2</v>
      </c>
      <c r="W4028">
        <v>4.8801879999999999E-2</v>
      </c>
      <c r="X4028">
        <v>0.99462459999999997</v>
      </c>
      <c r="Y4028">
        <v>-8.0389390000000005E-2</v>
      </c>
      <c r="Z4028">
        <v>-6.979776E-3</v>
      </c>
      <c r="AA4028">
        <v>0.99673909999999999</v>
      </c>
      <c r="AB4028">
        <v>42</v>
      </c>
      <c r="AC4028">
        <v>-19.511799999999901</v>
      </c>
      <c r="AD4028">
        <v>-1.1086467212739901</v>
      </c>
      <c r="AE4028">
        <v>6.0100000000005503E-2</v>
      </c>
      <c r="AF4028">
        <v>-1.60175623785428</v>
      </c>
      <c r="AG4028">
        <v>-1.1086467212739901</v>
      </c>
      <c r="AH4028">
        <v>19.383033460363801</v>
      </c>
      <c r="AI4028">
        <v>93.262469885467397</v>
      </c>
      <c r="AJ4028">
        <v>94.724019077143396</v>
      </c>
      <c r="AK4028">
        <v>19.4806752122117</v>
      </c>
      <c r="AL4028">
        <v>87.202747192379604</v>
      </c>
      <c r="AM4028">
        <v>95.246121784195395</v>
      </c>
      <c r="AN4028">
        <v>1.0000000116786301</v>
      </c>
    </row>
    <row r="4029" spans="1:40" x14ac:dyDescent="0.25">
      <c r="A4029" t="str">
        <f>"20190312151354337"</f>
        <v>20190312151354337</v>
      </c>
      <c r="B4029" t="str">
        <f>"1552374834334878"</f>
        <v>1552374834334878</v>
      </c>
      <c r="C4029" t="s">
        <v>40</v>
      </c>
      <c r="D4029">
        <v>4.6672940000000001</v>
      </c>
      <c r="E4029">
        <v>0.50539590000000001</v>
      </c>
      <c r="F4029" t="s">
        <v>58</v>
      </c>
      <c r="G4029">
        <v>-309.30970000000002</v>
      </c>
      <c r="H4029" s="1">
        <v>-9.8302299999999999E-6</v>
      </c>
      <c r="I4029">
        <v>141.0848</v>
      </c>
      <c r="J4029">
        <v>-289.51889999999997</v>
      </c>
      <c r="K4029">
        <v>1.1086670000000001</v>
      </c>
      <c r="L4029">
        <v>141.0231</v>
      </c>
      <c r="M4029">
        <v>-0.99628660000000002</v>
      </c>
      <c r="N4029">
        <v>0</v>
      </c>
      <c r="O4029">
        <v>8.5683519999999999E-2</v>
      </c>
      <c r="P4029">
        <v>-0.999166</v>
      </c>
      <c r="Q4029">
        <v>4.0348679999999998E-2</v>
      </c>
      <c r="R4029">
        <v>-6.2749959999999997E-3</v>
      </c>
      <c r="S4029">
        <v>-3.0092469999999998</v>
      </c>
      <c r="T4029">
        <v>-0.1651995</v>
      </c>
      <c r="U4029">
        <v>1.4389040000000001E-2</v>
      </c>
      <c r="V4029">
        <v>-9.1821659999999999E-2</v>
      </c>
      <c r="W4029">
        <v>4.883999E-2</v>
      </c>
      <c r="X4029">
        <v>0.99457700000000004</v>
      </c>
      <c r="Y4029">
        <v>-8.0671409999999999E-2</v>
      </c>
      <c r="Z4029">
        <v>-6.9084649999999999E-3</v>
      </c>
      <c r="AA4029">
        <v>0.99671679999999996</v>
      </c>
      <c r="AB4029">
        <v>42</v>
      </c>
      <c r="AC4029">
        <v>-19.790800000000001</v>
      </c>
      <c r="AD4029">
        <v>-1.1086768302299901</v>
      </c>
      <c r="AE4029">
        <v>6.1700000000001802E-2</v>
      </c>
      <c r="AF4029">
        <v>-1.6292200267263199</v>
      </c>
      <c r="AG4029">
        <v>-1.1086768302299901</v>
      </c>
      <c r="AH4029">
        <v>19.6615973110891</v>
      </c>
      <c r="AI4029">
        <v>93.216372768496896</v>
      </c>
      <c r="AJ4029">
        <v>94.736881536087907</v>
      </c>
      <c r="AK4029">
        <v>19.760109590607101</v>
      </c>
      <c r="AL4029">
        <v>87.200560969740593</v>
      </c>
      <c r="AM4029">
        <v>95.274727205492397</v>
      </c>
      <c r="AN4029">
        <v>0.99999998539867696</v>
      </c>
    </row>
    <row r="4030" spans="1:40" x14ac:dyDescent="0.25">
      <c r="A4030" t="str">
        <f>"20190312151354359"</f>
        <v>20190312151354359</v>
      </c>
      <c r="B4030" t="str">
        <f>"1552374834354398"</f>
        <v>1552374834354398</v>
      </c>
      <c r="C4030" t="s">
        <v>40</v>
      </c>
      <c r="D4030">
        <v>4.6657400000000004</v>
      </c>
      <c r="E4030">
        <v>0.50546899999999995</v>
      </c>
      <c r="F4030" t="s">
        <v>58</v>
      </c>
      <c r="G4030">
        <v>-309.93990000000002</v>
      </c>
      <c r="H4030" s="1">
        <v>-9.9321980000000008E-6</v>
      </c>
      <c r="I4030">
        <v>141.1233</v>
      </c>
      <c r="J4030">
        <v>-289.9203</v>
      </c>
      <c r="K4030">
        <v>1.108711</v>
      </c>
      <c r="L4030">
        <v>141.05779999999999</v>
      </c>
      <c r="M4030">
        <v>-0.99626859999999995</v>
      </c>
      <c r="N4030">
        <v>0</v>
      </c>
      <c r="O4030">
        <v>8.5890789999999995E-2</v>
      </c>
      <c r="P4030">
        <v>-0.99914990000000004</v>
      </c>
      <c r="Q4030">
        <v>4.0759660000000003E-2</v>
      </c>
      <c r="R4030">
        <v>-6.1984300000000004E-3</v>
      </c>
      <c r="S4030">
        <v>-3.0091860000000001</v>
      </c>
      <c r="T4030">
        <v>-0.16337199999999999</v>
      </c>
      <c r="U4030">
        <v>1.4770510000000001E-2</v>
      </c>
      <c r="V4030">
        <v>-9.1955839999999997E-2</v>
      </c>
      <c r="W4030">
        <v>4.926577E-2</v>
      </c>
      <c r="X4030">
        <v>0.99454359999999997</v>
      </c>
      <c r="Y4030">
        <v>-8.0757410000000002E-2</v>
      </c>
      <c r="Z4030">
        <v>-6.8458310000000001E-3</v>
      </c>
      <c r="AA4030">
        <v>0.99671030000000005</v>
      </c>
      <c r="AB4030">
        <v>42</v>
      </c>
      <c r="AC4030">
        <v>-20.019600000000001</v>
      </c>
      <c r="AD4030">
        <v>-1.1087209321980001</v>
      </c>
      <c r="AE4030">
        <v>6.5500000000014297E-2</v>
      </c>
      <c r="AF4030">
        <v>-1.6492445208123001</v>
      </c>
      <c r="AG4030">
        <v>-1.1087209321980001</v>
      </c>
      <c r="AH4030">
        <v>19.890233972212599</v>
      </c>
      <c r="AI4030">
        <v>93.179589159037803</v>
      </c>
      <c r="AJ4030">
        <v>94.739968382781896</v>
      </c>
      <c r="AK4030">
        <v>19.989264045088898</v>
      </c>
      <c r="AL4030">
        <v>87.176136160876993</v>
      </c>
      <c r="AM4030">
        <v>95.282568045779101</v>
      </c>
      <c r="AN4030">
        <v>0.99999998245237898</v>
      </c>
    </row>
    <row r="4031" spans="1:40" x14ac:dyDescent="0.25">
      <c r="A4031" t="str">
        <f>"20190312151354382"</f>
        <v>20190312151354382</v>
      </c>
      <c r="B4031" t="str">
        <f>"1552374834374893"</f>
        <v>1552374834374893</v>
      </c>
      <c r="C4031" t="s">
        <v>40</v>
      </c>
      <c r="D4031">
        <v>4.8251730000000004</v>
      </c>
      <c r="E4031">
        <v>0.50554169999999998</v>
      </c>
      <c r="F4031" t="s">
        <v>58</v>
      </c>
      <c r="G4031">
        <v>-310.5145</v>
      </c>
      <c r="H4031" s="1">
        <v>-9.7005759999999993E-6</v>
      </c>
      <c r="I4031">
        <v>141.166</v>
      </c>
      <c r="J4031">
        <v>-290.3535</v>
      </c>
      <c r="K4031">
        <v>1.1087659999999999</v>
      </c>
      <c r="L4031">
        <v>141.09520000000001</v>
      </c>
      <c r="M4031">
        <v>-0.99625399999999997</v>
      </c>
      <c r="N4031">
        <v>0</v>
      </c>
      <c r="O4031">
        <v>8.6056809999999997E-2</v>
      </c>
      <c r="P4031">
        <v>-0.9991411</v>
      </c>
      <c r="Q4031">
        <v>4.0973500000000003E-2</v>
      </c>
      <c r="R4031">
        <v>-6.2055859999999999E-3</v>
      </c>
      <c r="S4031">
        <v>-3.0092469999999998</v>
      </c>
      <c r="T4031">
        <v>-0.1620077</v>
      </c>
      <c r="U4031">
        <v>1.580811E-2</v>
      </c>
      <c r="V4031">
        <v>-9.2134510000000003E-2</v>
      </c>
      <c r="W4031">
        <v>4.9496270000000002E-2</v>
      </c>
      <c r="X4031">
        <v>0.9945157</v>
      </c>
      <c r="Y4031">
        <v>-8.0584050000000004E-2</v>
      </c>
      <c r="Z4031">
        <v>-6.7928270000000004E-3</v>
      </c>
      <c r="AA4031">
        <v>0.99672470000000002</v>
      </c>
      <c r="AB4031">
        <v>42</v>
      </c>
      <c r="AC4031">
        <v>-20.160999999999898</v>
      </c>
      <c r="AD4031">
        <v>-1.1087757005759999</v>
      </c>
      <c r="AE4031">
        <v>7.07999999999913E-2</v>
      </c>
      <c r="AF4031">
        <v>-1.65949744756495</v>
      </c>
      <c r="AG4031">
        <v>-1.1087757005759999</v>
      </c>
      <c r="AH4031">
        <v>20.031708485812899</v>
      </c>
      <c r="AI4031">
        <v>93.1573535855795</v>
      </c>
      <c r="AJ4031">
        <v>94.735770455132595</v>
      </c>
      <c r="AK4031">
        <v>20.130888211732</v>
      </c>
      <c r="AL4031">
        <v>87.162913580809999</v>
      </c>
      <c r="AM4031">
        <v>95.292921467939905</v>
      </c>
      <c r="AN4031">
        <v>1.0000000631116599</v>
      </c>
    </row>
    <row r="4032" spans="1:40" x14ac:dyDescent="0.25">
      <c r="A4032" t="str">
        <f>"20190312151354404"</f>
        <v>20190312151354404</v>
      </c>
      <c r="B4032" t="str">
        <f>"1552374834394417"</f>
        <v>1552374834394417</v>
      </c>
      <c r="C4032" t="s">
        <v>40</v>
      </c>
      <c r="D4032">
        <v>4.6933819999999997</v>
      </c>
      <c r="E4032">
        <v>0.50559659999999995</v>
      </c>
      <c r="F4032" t="s">
        <v>58</v>
      </c>
      <c r="G4032">
        <v>-311.1771</v>
      </c>
      <c r="H4032" s="1">
        <v>-9.4474149999999997E-6</v>
      </c>
      <c r="I4032">
        <v>141.2072</v>
      </c>
      <c r="J4032">
        <v>-290.76280000000003</v>
      </c>
      <c r="K4032">
        <v>1.1088229999999999</v>
      </c>
      <c r="L4032">
        <v>141.13059999999999</v>
      </c>
      <c r="M4032">
        <v>-0.99624539999999995</v>
      </c>
      <c r="N4032">
        <v>0</v>
      </c>
      <c r="O4032">
        <v>8.6152339999999994E-2</v>
      </c>
      <c r="P4032">
        <v>-0.99913079999999999</v>
      </c>
      <c r="Q4032">
        <v>4.1210709999999998E-2</v>
      </c>
      <c r="R4032">
        <v>-6.2852189999999999E-3</v>
      </c>
      <c r="S4032">
        <v>-3.0092469999999998</v>
      </c>
      <c r="T4032">
        <v>-0.16023109999999999</v>
      </c>
      <c r="U4032">
        <v>1.6174319999999999E-2</v>
      </c>
      <c r="V4032">
        <v>-9.2314969999999996E-2</v>
      </c>
      <c r="W4032">
        <v>4.9753449999999998E-2</v>
      </c>
      <c r="X4032">
        <v>0.99448610000000004</v>
      </c>
      <c r="Y4032">
        <v>-8.056352E-2</v>
      </c>
      <c r="Z4032">
        <v>-6.7229589999999997E-3</v>
      </c>
      <c r="AA4032">
        <v>0.99672680000000002</v>
      </c>
      <c r="AB4032">
        <v>42</v>
      </c>
      <c r="AC4032">
        <v>-20.414299999999901</v>
      </c>
      <c r="AD4032">
        <v>-1.108832447415</v>
      </c>
      <c r="AE4032">
        <v>7.6600000000013296E-2</v>
      </c>
      <c r="AF4032">
        <v>-1.6775394882247101</v>
      </c>
      <c r="AG4032">
        <v>-1.108832447415</v>
      </c>
      <c r="AH4032">
        <v>20.285147125478201</v>
      </c>
      <c r="AI4032">
        <v>93.118181070058597</v>
      </c>
      <c r="AJ4032">
        <v>94.727484410664104</v>
      </c>
      <c r="AK4032">
        <v>20.3845736289306</v>
      </c>
      <c r="AL4032">
        <v>87.148159984895202</v>
      </c>
      <c r="AM4032">
        <v>95.303386385281399</v>
      </c>
      <c r="AN4032">
        <v>1.0000000312831001</v>
      </c>
    </row>
    <row r="4033" spans="1:40" x14ac:dyDescent="0.25">
      <c r="A4033" t="str">
        <f>"20190312151354427"</f>
        <v>20190312151354427</v>
      </c>
      <c r="B4033" t="str">
        <f>"1552374834424670"</f>
        <v>1552374834424670</v>
      </c>
      <c r="C4033" t="s">
        <v>40</v>
      </c>
      <c r="D4033">
        <v>4.6623140000000003</v>
      </c>
      <c r="E4033">
        <v>0.48640230000000001</v>
      </c>
      <c r="F4033" t="s">
        <v>58</v>
      </c>
      <c r="G4033">
        <v>-311.73809999999997</v>
      </c>
      <c r="H4033" s="1">
        <v>-9.2461409999999999E-6</v>
      </c>
      <c r="I4033">
        <v>141.2448</v>
      </c>
      <c r="J4033">
        <v>-291.18700000000001</v>
      </c>
      <c r="K4033">
        <v>1.108895</v>
      </c>
      <c r="L4033">
        <v>141.16739999999999</v>
      </c>
      <c r="M4033">
        <v>-0.99624400000000002</v>
      </c>
      <c r="N4033">
        <v>0</v>
      </c>
      <c r="O4033">
        <v>8.6164729999999995E-2</v>
      </c>
      <c r="P4033">
        <v>-0.99912599999999996</v>
      </c>
      <c r="Q4033">
        <v>4.1275270000000003E-2</v>
      </c>
      <c r="R4033">
        <v>-6.6134879999999998E-3</v>
      </c>
      <c r="S4033">
        <v>-3.009277</v>
      </c>
      <c r="T4033">
        <v>-0.15908120000000001</v>
      </c>
      <c r="U4033">
        <v>1.6372680000000001E-2</v>
      </c>
      <c r="V4033">
        <v>-9.2661670000000002E-2</v>
      </c>
      <c r="W4033">
        <v>4.9842499999999998E-2</v>
      </c>
      <c r="X4033">
        <v>0.99444940000000004</v>
      </c>
      <c r="Y4033">
        <v>-8.0513719999999997E-2</v>
      </c>
      <c r="Z4033">
        <v>-6.674045E-3</v>
      </c>
      <c r="AA4033">
        <v>0.99673120000000004</v>
      </c>
      <c r="AB4033">
        <v>42</v>
      </c>
      <c r="AC4033">
        <v>-20.551099999999899</v>
      </c>
      <c r="AD4033">
        <v>-1.1089042461409999</v>
      </c>
      <c r="AE4033">
        <v>7.7400000000011404E-2</v>
      </c>
      <c r="AF4033">
        <v>-1.68881603862582</v>
      </c>
      <c r="AG4033">
        <v>-1.1089042461409999</v>
      </c>
      <c r="AH4033">
        <v>20.4218746440588</v>
      </c>
      <c r="AI4033">
        <v>93.097545712266694</v>
      </c>
      <c r="AJ4033">
        <v>94.727399334218006</v>
      </c>
      <c r="AK4033">
        <v>20.521567489280201</v>
      </c>
      <c r="AL4033">
        <v>87.143051467070507</v>
      </c>
      <c r="AM4033">
        <v>95.323385009724205</v>
      </c>
      <c r="AN4033">
        <v>1.00000003452689</v>
      </c>
    </row>
    <row r="4034" spans="1:40" x14ac:dyDescent="0.25">
      <c r="A4034" t="str">
        <f>"20190312151354449"</f>
        <v>20190312151354449</v>
      </c>
      <c r="B4034" t="str">
        <f>"1552374834444190"</f>
        <v>1552374834444190</v>
      </c>
      <c r="C4034" t="s">
        <v>40</v>
      </c>
      <c r="D4034">
        <v>4.7266599999999999</v>
      </c>
      <c r="E4034">
        <v>0.48426599999999997</v>
      </c>
      <c r="F4034" t="s">
        <v>58</v>
      </c>
      <c r="G4034">
        <v>-306.7165</v>
      </c>
      <c r="H4034" s="1">
        <v>-9.2678600000000004E-6</v>
      </c>
      <c r="I4034">
        <v>140.4462</v>
      </c>
      <c r="J4034">
        <v>-291.59289999999999</v>
      </c>
      <c r="K4034">
        <v>1.1089690000000001</v>
      </c>
      <c r="L4034">
        <v>141.20240000000001</v>
      </c>
      <c r="M4034">
        <v>-0.996251</v>
      </c>
      <c r="N4034">
        <v>0</v>
      </c>
      <c r="O4034">
        <v>8.6080749999999998E-2</v>
      </c>
      <c r="P4034">
        <v>-0.99911609999999995</v>
      </c>
      <c r="Q4034">
        <v>4.1378230000000002E-2</v>
      </c>
      <c r="R4034">
        <v>-7.417852E-3</v>
      </c>
      <c r="S4034">
        <v>-3.0105590000000002</v>
      </c>
      <c r="T4034">
        <v>-0.21497250000000001</v>
      </c>
      <c r="U4034">
        <v>-0.13980100000000001</v>
      </c>
      <c r="V4034">
        <v>-9.3387979999999995E-2</v>
      </c>
      <c r="W4034">
        <v>4.9969659999999999E-2</v>
      </c>
      <c r="X4034">
        <v>0.99437509999999996</v>
      </c>
      <c r="Y4034">
        <v>-0.13165270000000001</v>
      </c>
      <c r="Z4034">
        <v>-1.0825080000000001E-2</v>
      </c>
      <c r="AA4034">
        <v>0.99123680000000003</v>
      </c>
      <c r="AB4034">
        <v>42</v>
      </c>
      <c r="AC4034">
        <v>-15.1236</v>
      </c>
      <c r="AD4034">
        <v>-1.10897826786</v>
      </c>
      <c r="AE4034">
        <v>-0.75620000000000598</v>
      </c>
      <c r="AF4034">
        <v>-2.0443271111836898</v>
      </c>
      <c r="AG4034">
        <v>-1.10897826786</v>
      </c>
      <c r="AH4034">
        <v>14.9223263820223</v>
      </c>
      <c r="AI4034">
        <v>94.211030926551004</v>
      </c>
      <c r="AJ4034">
        <v>97.800839191400001</v>
      </c>
      <c r="AK4034">
        <v>15.1024809480994</v>
      </c>
      <c r="AL4034">
        <v>87.135756720813006</v>
      </c>
      <c r="AM4034">
        <v>95.365267302370697</v>
      </c>
      <c r="AN4034">
        <v>1.0000000606145001</v>
      </c>
    </row>
    <row r="4035" spans="1:40" x14ac:dyDescent="0.25">
      <c r="A4035" t="str">
        <f>"20190312151354472"</f>
        <v>20190312151354472</v>
      </c>
      <c r="B4035" t="str">
        <f>"1552374834464686"</f>
        <v>1552374834464686</v>
      </c>
      <c r="C4035" t="s">
        <v>40</v>
      </c>
      <c r="D4035">
        <v>4.7163170000000001</v>
      </c>
      <c r="E4035">
        <v>0.48322999999999999</v>
      </c>
      <c r="F4035" t="s">
        <v>58</v>
      </c>
      <c r="G4035">
        <v>-307.91919999999999</v>
      </c>
      <c r="H4035" s="1">
        <v>-9.4089510000000002E-6</v>
      </c>
      <c r="I4035">
        <v>140.3399</v>
      </c>
      <c r="J4035">
        <v>-292.03160000000003</v>
      </c>
      <c r="K4035">
        <v>1.109064</v>
      </c>
      <c r="L4035">
        <v>141.24010000000001</v>
      </c>
      <c r="M4035">
        <v>-0.99626630000000005</v>
      </c>
      <c r="N4035">
        <v>0</v>
      </c>
      <c r="O4035">
        <v>8.5897559999999998E-2</v>
      </c>
      <c r="P4035">
        <v>-0.99908949999999996</v>
      </c>
      <c r="Q4035">
        <v>4.1911709999999998E-2</v>
      </c>
      <c r="R4035">
        <v>-7.9759619999999996E-3</v>
      </c>
      <c r="S4035">
        <v>-3.0099490000000002</v>
      </c>
      <c r="T4035">
        <v>-0.2044532</v>
      </c>
      <c r="U4035">
        <v>-0.15901179999999901</v>
      </c>
      <c r="V4035">
        <v>-9.3769389999999994E-2</v>
      </c>
      <c r="W4035">
        <v>5.0529709999999999E-2</v>
      </c>
      <c r="X4035">
        <v>0.9943109</v>
      </c>
      <c r="Y4035">
        <v>-0.13782700000000001</v>
      </c>
      <c r="Z4035">
        <v>-1.0494399999999999E-2</v>
      </c>
      <c r="AA4035">
        <v>0.99040070000000002</v>
      </c>
      <c r="AB4035">
        <v>42</v>
      </c>
      <c r="AC4035">
        <v>-15.8875999999999</v>
      </c>
      <c r="AD4035">
        <v>-1.1090734089509999</v>
      </c>
      <c r="AE4035">
        <v>-0.90020000000001199</v>
      </c>
      <c r="AF4035">
        <v>-2.2506971479072599</v>
      </c>
      <c r="AG4035">
        <v>-1.1090734089509999</v>
      </c>
      <c r="AH4035">
        <v>15.675403595514901</v>
      </c>
      <c r="AI4035">
        <v>94.006125483579694</v>
      </c>
      <c r="AJ4035">
        <v>98.170767864956602</v>
      </c>
      <c r="AK4035">
        <v>15.8749475388211</v>
      </c>
      <c r="AL4035">
        <v>87.103627624266494</v>
      </c>
      <c r="AM4035">
        <v>95.387396958720103</v>
      </c>
      <c r="AN4035">
        <v>1.00000005797623</v>
      </c>
    </row>
    <row r="4036" spans="1:40" x14ac:dyDescent="0.25">
      <c r="A4036" t="str">
        <f>"20190312151354495"</f>
        <v>20190312151354495</v>
      </c>
      <c r="B4036" t="str">
        <f>"1552374834484206"</f>
        <v>1552374834484206</v>
      </c>
      <c r="C4036" t="s">
        <v>40</v>
      </c>
      <c r="D4036">
        <v>4.9876959999999997</v>
      </c>
      <c r="E4036">
        <v>0.48250110000000002</v>
      </c>
      <c r="F4036" t="s">
        <v>58</v>
      </c>
      <c r="G4036">
        <v>-308.76209999999998</v>
      </c>
      <c r="H4036" s="1">
        <v>-9.5185310000000002E-6</v>
      </c>
      <c r="I4036">
        <v>140.3014</v>
      </c>
      <c r="J4036">
        <v>-292.47190000000001</v>
      </c>
      <c r="K4036">
        <v>1.1091610000000001</v>
      </c>
      <c r="L4036">
        <v>141.27789999999999</v>
      </c>
      <c r="M4036">
        <v>-0.99629029999999996</v>
      </c>
      <c r="N4036">
        <v>0</v>
      </c>
      <c r="O4036">
        <v>8.5614919999999997E-2</v>
      </c>
      <c r="P4036">
        <v>-0.99907749999999995</v>
      </c>
      <c r="Q4036">
        <v>4.2048410000000001E-2</v>
      </c>
      <c r="R4036">
        <v>-8.7280929999999993E-3</v>
      </c>
      <c r="S4036">
        <v>-3.0097659999999999</v>
      </c>
      <c r="T4036">
        <v>-0.19951920000000001</v>
      </c>
      <c r="U4036">
        <v>-0.16888429999999999</v>
      </c>
      <c r="V4036">
        <v>-9.4246510000000006E-2</v>
      </c>
      <c r="W4036">
        <v>5.0693540000000002E-2</v>
      </c>
      <c r="X4036">
        <v>0.99425739999999996</v>
      </c>
      <c r="Y4036">
        <v>-0.1408063</v>
      </c>
      <c r="Z4036">
        <v>-1.0321500000000001E-2</v>
      </c>
      <c r="AA4036">
        <v>0.98998339999999996</v>
      </c>
      <c r="AB4036">
        <v>42</v>
      </c>
      <c r="AC4036">
        <v>-16.290199999999899</v>
      </c>
      <c r="AD4036">
        <v>-1.1091705185309999</v>
      </c>
      <c r="AE4036">
        <v>-0.97649999999998705</v>
      </c>
      <c r="AF4036">
        <v>-2.3567644431232799</v>
      </c>
      <c r="AG4036">
        <v>-1.1091705185309999</v>
      </c>
      <c r="AH4036">
        <v>16.0725311000602</v>
      </c>
      <c r="AI4036">
        <v>93.906102745952495</v>
      </c>
      <c r="AJ4036">
        <v>98.342006693275493</v>
      </c>
      <c r="AK4036">
        <v>16.282225088787801</v>
      </c>
      <c r="AL4036">
        <v>87.094228668079197</v>
      </c>
      <c r="AM4036">
        <v>95.414936374542293</v>
      </c>
      <c r="AN4036">
        <v>1.00000000854983</v>
      </c>
    </row>
    <row r="4037" spans="1:40" x14ac:dyDescent="0.25">
      <c r="A4037" t="str">
        <f>"20190312151354517"</f>
        <v>20190312151354517</v>
      </c>
      <c r="B4037" t="str">
        <f>"1552374834514462"</f>
        <v>1552374834514462</v>
      </c>
      <c r="C4037" t="s">
        <v>40</v>
      </c>
      <c r="D4037">
        <v>4.7200259999999998</v>
      </c>
      <c r="E4037">
        <v>0.48284369999999999</v>
      </c>
      <c r="F4037" t="s">
        <v>58</v>
      </c>
      <c r="G4037">
        <v>-309.50599999999997</v>
      </c>
      <c r="H4037" s="1">
        <v>-9.6180020000000005E-6</v>
      </c>
      <c r="I4037">
        <v>140.2766</v>
      </c>
      <c r="J4037">
        <v>-292.88240000000002</v>
      </c>
      <c r="K4037">
        <v>1.1092610000000001</v>
      </c>
      <c r="L4037">
        <v>141.31290000000001</v>
      </c>
      <c r="M4037">
        <v>-0.99632069999999995</v>
      </c>
      <c r="N4037">
        <v>0</v>
      </c>
      <c r="O4037">
        <v>8.5255499999999998E-2</v>
      </c>
      <c r="P4037">
        <v>-0.99904179999999998</v>
      </c>
      <c r="Q4037">
        <v>4.2700259999999997E-2</v>
      </c>
      <c r="R4037">
        <v>-9.6159309999999994E-3</v>
      </c>
      <c r="S4037">
        <v>-3.0094599999999998</v>
      </c>
      <c r="T4037">
        <v>-0.19596</v>
      </c>
      <c r="U4037">
        <v>-0.1768951</v>
      </c>
      <c r="V4037">
        <v>-9.4780379999999997E-2</v>
      </c>
      <c r="W4037">
        <v>5.1371189999999997E-2</v>
      </c>
      <c r="X4037">
        <v>0.9941719</v>
      </c>
      <c r="Y4037">
        <v>-0.14309439999999901</v>
      </c>
      <c r="Z4037">
        <v>-1.0189210000000001E-2</v>
      </c>
      <c r="AA4037">
        <v>0.9896566</v>
      </c>
      <c r="AB4037">
        <v>42</v>
      </c>
      <c r="AC4037">
        <v>-16.6235999999999</v>
      </c>
      <c r="AD4037">
        <v>-1.109270618002</v>
      </c>
      <c r="AE4037">
        <v>-1.03630000000001</v>
      </c>
      <c r="AF4037">
        <v>-2.43901605458626</v>
      </c>
      <c r="AG4037">
        <v>-1.109270618002</v>
      </c>
      <c r="AH4037">
        <v>16.401966642664501</v>
      </c>
      <c r="AI4037">
        <v>93.827086823523402</v>
      </c>
      <c r="AJ4037">
        <v>98.458055324833893</v>
      </c>
      <c r="AK4037">
        <v>16.619379963331099</v>
      </c>
      <c r="AL4037">
        <v>87.055351627796995</v>
      </c>
      <c r="AM4037">
        <v>95.445891528675503</v>
      </c>
      <c r="AN4037">
        <v>1.00000004317228</v>
      </c>
    </row>
    <row r="4038" spans="1:40" x14ac:dyDescent="0.25">
      <c r="A4038" t="str">
        <f>"20190312151354539"</f>
        <v>20190312151354539</v>
      </c>
      <c r="B4038" t="str">
        <f>"1552374834534958"</f>
        <v>1552374834534958</v>
      </c>
      <c r="C4038" t="s">
        <v>40</v>
      </c>
      <c r="D4038">
        <v>5.1260949999999896</v>
      </c>
      <c r="E4038">
        <v>0.48264609999999902</v>
      </c>
      <c r="F4038" t="s">
        <v>58</v>
      </c>
      <c r="G4038">
        <v>-309.71010000000001</v>
      </c>
      <c r="H4038" s="1">
        <v>-9.6608439999999994E-6</v>
      </c>
      <c r="I4038">
        <v>140.32210000000001</v>
      </c>
      <c r="J4038">
        <v>-293.30489999999998</v>
      </c>
      <c r="K4038">
        <v>1.10937</v>
      </c>
      <c r="L4038">
        <v>141.34870000000001</v>
      </c>
      <c r="M4038">
        <v>-0.99636029999999998</v>
      </c>
      <c r="N4038">
        <v>0</v>
      </c>
      <c r="O4038">
        <v>8.4785650000000004E-2</v>
      </c>
      <c r="P4038">
        <v>-0.99897139999999995</v>
      </c>
      <c r="Q4038">
        <v>4.4002880000000001E-2</v>
      </c>
      <c r="R4038">
        <v>-1.095051E-2</v>
      </c>
      <c r="S4038">
        <v>-3.0096440000000002</v>
      </c>
      <c r="T4038">
        <v>-0.19839380000000001</v>
      </c>
      <c r="U4038">
        <v>-0.17720030000000001</v>
      </c>
      <c r="V4038">
        <v>-9.5648330000000004E-2</v>
      </c>
      <c r="W4038">
        <v>5.2700240000000002E-2</v>
      </c>
      <c r="X4038">
        <v>0.99401919999999999</v>
      </c>
      <c r="Y4038">
        <v>-0.14271410000000001</v>
      </c>
      <c r="Z4038">
        <v>-1.027146E-2</v>
      </c>
      <c r="AA4038">
        <v>0.9897106</v>
      </c>
      <c r="AB4038">
        <v>42</v>
      </c>
      <c r="AC4038">
        <v>-16.405200000000001</v>
      </c>
      <c r="AD4038">
        <v>-1.1093796608440001</v>
      </c>
      <c r="AE4038">
        <v>-1.0266</v>
      </c>
      <c r="AF4038">
        <v>-2.4029369547455599</v>
      </c>
      <c r="AG4038">
        <v>-1.1093796608440001</v>
      </c>
      <c r="AH4038">
        <v>16.185353219575099</v>
      </c>
      <c r="AI4038">
        <v>93.878665008176895</v>
      </c>
      <c r="AJ4038">
        <v>98.444658082174598</v>
      </c>
      <c r="AK4038">
        <v>16.400319755504299</v>
      </c>
      <c r="AL4038">
        <v>86.979099367917598</v>
      </c>
      <c r="AM4038">
        <v>95.496297318601705</v>
      </c>
      <c r="AN4038">
        <v>1.00000004414824</v>
      </c>
    </row>
    <row r="4039" spans="1:40" x14ac:dyDescent="0.25">
      <c r="A4039" t="str">
        <f>"20190312151354561"</f>
        <v>20190312151354561</v>
      </c>
      <c r="B4039" t="str">
        <f>"1552374834554478"</f>
        <v>1552374834554478</v>
      </c>
      <c r="C4039" t="s">
        <v>40</v>
      </c>
      <c r="D4039">
        <v>4.7124090000000001</v>
      </c>
      <c r="E4039">
        <v>0.48236889999999999</v>
      </c>
      <c r="F4039" t="s">
        <v>58</v>
      </c>
      <c r="G4039">
        <v>-310.51639999999998</v>
      </c>
      <c r="H4039" s="1">
        <v>-9.4572229999999994E-6</v>
      </c>
      <c r="I4039">
        <v>140.3023</v>
      </c>
      <c r="J4039">
        <v>-293.71370000000002</v>
      </c>
      <c r="K4039">
        <v>1.109478</v>
      </c>
      <c r="L4039">
        <v>141.38299999999899</v>
      </c>
      <c r="M4039">
        <v>-0.99640649999999997</v>
      </c>
      <c r="N4039">
        <v>0</v>
      </c>
      <c r="O4039">
        <v>8.4236030000000003E-2</v>
      </c>
      <c r="P4039">
        <v>-0.99888429999999995</v>
      </c>
      <c r="Q4039">
        <v>4.563271E-2</v>
      </c>
      <c r="R4039">
        <v>-1.2173349999999999E-2</v>
      </c>
      <c r="S4039">
        <v>-3.0096129999999999</v>
      </c>
      <c r="T4039">
        <v>-0.1939862</v>
      </c>
      <c r="U4039">
        <v>-0.18296809999999999</v>
      </c>
      <c r="V4039">
        <v>-9.6325160000000007E-2</v>
      </c>
      <c r="W4039">
        <v>5.435392E-2</v>
      </c>
      <c r="X4039">
        <v>0.99386470000000005</v>
      </c>
      <c r="Y4039">
        <v>-0.1440786</v>
      </c>
      <c r="Z4039">
        <v>-1.005197E-2</v>
      </c>
      <c r="AA4039">
        <v>0.98951520000000004</v>
      </c>
      <c r="AB4039">
        <v>42</v>
      </c>
      <c r="AC4039">
        <v>-16.802699999999898</v>
      </c>
      <c r="AD4039">
        <v>-1.109487457223</v>
      </c>
      <c r="AE4039">
        <v>-1.08069999999997</v>
      </c>
      <c r="AF4039">
        <v>-2.4815320076727998</v>
      </c>
      <c r="AG4039">
        <v>-1.109487457223</v>
      </c>
      <c r="AH4039">
        <v>16.579947411670101</v>
      </c>
      <c r="AI4039">
        <v>93.786328901124307</v>
      </c>
      <c r="AJ4039">
        <v>98.512311289620399</v>
      </c>
      <c r="AK4039">
        <v>16.801298155100501</v>
      </c>
      <c r="AL4039">
        <v>86.884214197770902</v>
      </c>
      <c r="AM4039">
        <v>95.535804811361501</v>
      </c>
      <c r="AN4039">
        <v>0.99999996348723996</v>
      </c>
    </row>
    <row r="4040" spans="1:40" x14ac:dyDescent="0.25">
      <c r="A4040" t="str">
        <f>"20190312151354583"</f>
        <v>20190312151354583</v>
      </c>
      <c r="B4040" t="str">
        <f>"1552374834573998"</f>
        <v>1552374834573998</v>
      </c>
      <c r="C4040" t="s">
        <v>40</v>
      </c>
      <c r="D4040">
        <v>4.9954839999999896</v>
      </c>
      <c r="E4040">
        <v>0.48230149999999999</v>
      </c>
      <c r="F4040" t="s">
        <v>58</v>
      </c>
      <c r="G4040">
        <v>-311.50209999999998</v>
      </c>
      <c r="H4040" s="1">
        <v>-9.0766220000000007E-6</v>
      </c>
      <c r="I4040">
        <v>140.26609999999999</v>
      </c>
      <c r="J4040">
        <v>-294.13569999999999</v>
      </c>
      <c r="K4040">
        <v>1.1095950000000001</v>
      </c>
      <c r="L4040">
        <v>141.41820000000001</v>
      </c>
      <c r="M4040">
        <v>-0.9964615</v>
      </c>
      <c r="N4040">
        <v>0</v>
      </c>
      <c r="O4040">
        <v>8.3578769999999997E-2</v>
      </c>
      <c r="P4040">
        <v>-0.99875250000000004</v>
      </c>
      <c r="Q4040">
        <v>4.785565E-2</v>
      </c>
      <c r="R4040">
        <v>-1.427577E-2</v>
      </c>
      <c r="S4040">
        <v>-3.0095830000000001</v>
      </c>
      <c r="T4040">
        <v>-0.18771170000000001</v>
      </c>
      <c r="U4040">
        <v>-0.18896479999999999</v>
      </c>
      <c r="V4040">
        <v>-9.7769620000000002E-2</v>
      </c>
      <c r="W4040">
        <v>5.6599690000000001E-2</v>
      </c>
      <c r="X4040">
        <v>0.99359830000000005</v>
      </c>
      <c r="Y4040">
        <v>-0.1454193</v>
      </c>
      <c r="Z4040">
        <v>-9.7279600000000008E-3</v>
      </c>
      <c r="AA4040">
        <v>0.98932229999999999</v>
      </c>
      <c r="AB4040">
        <v>42</v>
      </c>
      <c r="AC4040">
        <v>-17.366399999999999</v>
      </c>
      <c r="AD4040">
        <v>-1.1096040766219999</v>
      </c>
      <c r="AE4040">
        <v>-1.1521000000000099</v>
      </c>
      <c r="AF4040">
        <v>-2.5890651119082801</v>
      </c>
      <c r="AG4040">
        <v>-1.1096040766219999</v>
      </c>
      <c r="AH4040">
        <v>17.139673708226098</v>
      </c>
      <c r="AI4040">
        <v>93.662661359396907</v>
      </c>
      <c r="AJ4040">
        <v>98.589976962551503</v>
      </c>
      <c r="AK4040">
        <v>17.369596834267998</v>
      </c>
      <c r="AL4040">
        <v>86.7553426846858</v>
      </c>
      <c r="AM4040">
        <v>95.619787385449101</v>
      </c>
      <c r="AN4040">
        <v>1.0000000026329601</v>
      </c>
    </row>
    <row r="4041" spans="1:40" x14ac:dyDescent="0.25">
      <c r="A4041" t="str">
        <f>"20190312151354606"</f>
        <v>20190312151354606</v>
      </c>
      <c r="B4041" t="str">
        <f>"1552374834594495"</f>
        <v>1552374834594495</v>
      </c>
      <c r="C4041" t="s">
        <v>40</v>
      </c>
      <c r="D4041">
        <v>4.7301549999999999</v>
      </c>
      <c r="E4041">
        <v>0.48211670000000001</v>
      </c>
      <c r="F4041" t="s">
        <v>58</v>
      </c>
      <c r="G4041">
        <v>-312.72430000000003</v>
      </c>
      <c r="H4041" s="1">
        <v>-8.6010669999999994E-6</v>
      </c>
      <c r="I4041">
        <v>140.20750000000001</v>
      </c>
      <c r="J4041">
        <v>-294.56</v>
      </c>
      <c r="K4041">
        <v>1.1097140000000001</v>
      </c>
      <c r="L4041">
        <v>141.45330000000001</v>
      </c>
      <c r="M4041">
        <v>-0.9965233</v>
      </c>
      <c r="N4041">
        <v>0</v>
      </c>
      <c r="O4041">
        <v>8.2830829999999994E-2</v>
      </c>
      <c r="P4041">
        <v>-0.9985482</v>
      </c>
      <c r="Q4041">
        <v>5.1239270000000003E-2</v>
      </c>
      <c r="R4041">
        <v>-1.66146E-2</v>
      </c>
      <c r="S4041">
        <v>-3.0095519999999998</v>
      </c>
      <c r="T4041">
        <v>-0.179648799999999</v>
      </c>
      <c r="U4041">
        <v>-0.1960297</v>
      </c>
      <c r="V4041">
        <v>-9.9355819999999997E-2</v>
      </c>
      <c r="W4041">
        <v>6.0009010000000002E-2</v>
      </c>
      <c r="X4041">
        <v>0.99324080000000003</v>
      </c>
      <c r="Y4041">
        <v>-0.14702599999999999</v>
      </c>
      <c r="Z4041">
        <v>-9.3137440000000005E-3</v>
      </c>
      <c r="AA4041">
        <v>0.98908879999999999</v>
      </c>
      <c r="AB4041">
        <v>42</v>
      </c>
      <c r="AC4041">
        <v>-18.164300000000001</v>
      </c>
      <c r="AD4041">
        <v>-1.1097226010669901</v>
      </c>
      <c r="AE4041">
        <v>-1.2458</v>
      </c>
      <c r="AF4041">
        <v>-2.73597908685971</v>
      </c>
      <c r="AG4041">
        <v>-1.1097226010669901</v>
      </c>
      <c r="AH4041">
        <v>17.932063994909701</v>
      </c>
      <c r="AI4041">
        <v>93.500812281905596</v>
      </c>
      <c r="AJ4041">
        <v>98.674983510531604</v>
      </c>
      <c r="AK4041">
        <v>18.1734967722943</v>
      </c>
      <c r="AL4041">
        <v>86.559669974411193</v>
      </c>
      <c r="AM4041">
        <v>95.712405947364104</v>
      </c>
      <c r="AN4041">
        <v>0.999999973516845</v>
      </c>
    </row>
    <row r="4042" spans="1:40" x14ac:dyDescent="0.25">
      <c r="A4042" t="str">
        <f>"20190312151354628"</f>
        <v>20190312151354628</v>
      </c>
      <c r="B4042" t="str">
        <f>"1552374834624750"</f>
        <v>1552374834624750</v>
      </c>
      <c r="C4042" t="s">
        <v>40</v>
      </c>
      <c r="D4042">
        <v>5.0567440000000001</v>
      </c>
      <c r="E4042">
        <v>0.48227720000000002</v>
      </c>
      <c r="F4042" t="s">
        <v>58</v>
      </c>
      <c r="G4042">
        <v>-314.31</v>
      </c>
      <c r="H4042" s="1">
        <v>-7.9781379999999997E-6</v>
      </c>
      <c r="I4042">
        <v>140.10890000000001</v>
      </c>
      <c r="J4042">
        <v>-294.97340000000003</v>
      </c>
      <c r="K4042">
        <v>1.1098250000000001</v>
      </c>
      <c r="L4042">
        <v>141.48699999999999</v>
      </c>
      <c r="M4042">
        <v>-0.99658970000000002</v>
      </c>
      <c r="N4042">
        <v>0</v>
      </c>
      <c r="O4042">
        <v>8.2023570000000004E-2</v>
      </c>
      <c r="P4042">
        <v>-0.99831139999999996</v>
      </c>
      <c r="Q4042">
        <v>5.472722E-2</v>
      </c>
      <c r="R4042">
        <v>-1.948136E-2</v>
      </c>
      <c r="S4042">
        <v>-3.0096440000000002</v>
      </c>
      <c r="T4042">
        <v>-0.1691078</v>
      </c>
      <c r="U4042">
        <v>-0.2048645</v>
      </c>
      <c r="V4042">
        <v>-0.1014079</v>
      </c>
      <c r="W4042">
        <v>6.3526570000000004E-2</v>
      </c>
      <c r="X4042">
        <v>0.99281459999999999</v>
      </c>
      <c r="Y4042">
        <v>-0.1491576</v>
      </c>
      <c r="Z4042">
        <v>-8.7817139999999995E-3</v>
      </c>
      <c r="AA4042">
        <v>0.98877440000000005</v>
      </c>
      <c r="AB4042">
        <v>43</v>
      </c>
      <c r="AC4042">
        <v>-19.336599999999901</v>
      </c>
      <c r="AD4042">
        <v>-1.1098329781380001</v>
      </c>
      <c r="AE4042">
        <v>-1.3780999999999799</v>
      </c>
      <c r="AF4042">
        <v>-2.94990865521831</v>
      </c>
      <c r="AG4042">
        <v>-1.1098329781380001</v>
      </c>
      <c r="AH4042">
        <v>19.095808393934501</v>
      </c>
      <c r="AI4042">
        <v>93.287336674314204</v>
      </c>
      <c r="AJ4042">
        <v>98.781601240963994</v>
      </c>
      <c r="AK4042">
        <v>19.354162046736999</v>
      </c>
      <c r="AL4042">
        <v>86.357743079266797</v>
      </c>
      <c r="AM4042">
        <v>95.832069980883105</v>
      </c>
      <c r="AN4042">
        <v>1.0000000086257601</v>
      </c>
    </row>
    <row r="4043" spans="1:40" x14ac:dyDescent="0.25">
      <c r="A4043" t="str">
        <f>"20190312151354651"</f>
        <v>20190312151354651</v>
      </c>
      <c r="B4043" t="str">
        <f>"1552374834644270"</f>
        <v>1552374834644270</v>
      </c>
      <c r="C4043" t="s">
        <v>40</v>
      </c>
      <c r="D4043">
        <v>4.7351000000000001</v>
      </c>
      <c r="E4043">
        <v>0.48231059999999998</v>
      </c>
      <c r="F4043" t="s">
        <v>58</v>
      </c>
      <c r="G4043">
        <v>-316.0607</v>
      </c>
      <c r="H4043" s="1">
        <v>-7.2158020000000001E-6</v>
      </c>
      <c r="I4043">
        <v>139.99770000000001</v>
      </c>
      <c r="J4043">
        <v>-295.4051</v>
      </c>
      <c r="K4043">
        <v>1.1099270000000001</v>
      </c>
      <c r="L4043">
        <v>141.52189999999999</v>
      </c>
      <c r="M4043">
        <v>-0.99666290000000002</v>
      </c>
      <c r="N4043">
        <v>0</v>
      </c>
      <c r="O4043">
        <v>8.1120299999999895E-2</v>
      </c>
      <c r="P4043">
        <v>-0.99804709999999996</v>
      </c>
      <c r="Q4043">
        <v>5.8026389999999997E-2</v>
      </c>
      <c r="R4043">
        <v>-2.3130609999999999E-2</v>
      </c>
      <c r="S4043">
        <v>-3.009674</v>
      </c>
      <c r="T4043">
        <v>-0.1584005</v>
      </c>
      <c r="U4043">
        <v>-0.21257019999999999</v>
      </c>
      <c r="V4043">
        <v>-0.1041424</v>
      </c>
      <c r="W4043">
        <v>6.685779E-2</v>
      </c>
      <c r="X4043">
        <v>0.99231270000000005</v>
      </c>
      <c r="Y4043">
        <v>-0.1508236</v>
      </c>
      <c r="Z4043">
        <v>-8.2221450000000001E-3</v>
      </c>
      <c r="AA4043">
        <v>0.98852649999999997</v>
      </c>
      <c r="AB4043">
        <v>43</v>
      </c>
      <c r="AC4043">
        <v>-20.6556</v>
      </c>
      <c r="AD4043">
        <v>-1.109934215802</v>
      </c>
      <c r="AE4043">
        <v>-1.52419999999997</v>
      </c>
      <c r="AF4043">
        <v>-3.18568516441601</v>
      </c>
      <c r="AG4043">
        <v>-1.109934215802</v>
      </c>
      <c r="AH4043">
        <v>20.405270704881602</v>
      </c>
      <c r="AI4043">
        <v>93.076314245075395</v>
      </c>
      <c r="AJ4043">
        <v>98.873427271049707</v>
      </c>
      <c r="AK4043">
        <v>20.6822536603168</v>
      </c>
      <c r="AL4043">
        <v>86.166471412462101</v>
      </c>
      <c r="AM4043">
        <v>95.991212676537799</v>
      </c>
      <c r="AN4043">
        <v>1.0000000490713601</v>
      </c>
    </row>
    <row r="4044" spans="1:40" x14ac:dyDescent="0.25">
      <c r="A4044" t="str">
        <f>"20190312151354672"</f>
        <v>20190312151354672</v>
      </c>
      <c r="B4044" t="str">
        <f>"1552374834664766"</f>
        <v>1552374834664766</v>
      </c>
      <c r="C4044" t="s">
        <v>40</v>
      </c>
      <c r="D4044">
        <v>4.7381140000000004</v>
      </c>
      <c r="E4044">
        <v>0.48241289999999998</v>
      </c>
      <c r="F4044" t="s">
        <v>58</v>
      </c>
      <c r="G4044">
        <v>-318.06310000000002</v>
      </c>
      <c r="H4044" s="1">
        <v>-6.2856169999999901E-6</v>
      </c>
      <c r="I4044">
        <v>139.83779999999999</v>
      </c>
      <c r="J4044">
        <v>-295.81310000000002</v>
      </c>
      <c r="K4044">
        <v>1.1100219999999901</v>
      </c>
      <c r="L4044">
        <v>141.55439999999999</v>
      </c>
      <c r="M4044">
        <v>-0.99673520000000004</v>
      </c>
      <c r="N4044">
        <v>0</v>
      </c>
      <c r="O4044">
        <v>8.0220879999999994E-2</v>
      </c>
      <c r="P4044">
        <v>-0.99780670000000005</v>
      </c>
      <c r="Q4044">
        <v>6.030787E-2</v>
      </c>
      <c r="R4044">
        <v>-2.7296009999999999E-2</v>
      </c>
      <c r="S4044">
        <v>-3.0093079999999999</v>
      </c>
      <c r="T4044">
        <v>-0.14741470000000001</v>
      </c>
      <c r="U4044">
        <v>-0.22366330000000001</v>
      </c>
      <c r="V4044">
        <v>-0.1073954</v>
      </c>
      <c r="W4044">
        <v>6.9173189999999996E-2</v>
      </c>
      <c r="X4044">
        <v>0.99180710000000005</v>
      </c>
      <c r="Y4044">
        <v>-0.15360499999999999</v>
      </c>
      <c r="Z4044">
        <v>-7.67672699999999E-3</v>
      </c>
      <c r="AA4044">
        <v>0.98810249999999999</v>
      </c>
      <c r="AB4044">
        <v>43</v>
      </c>
      <c r="AC4044">
        <v>-22.25</v>
      </c>
      <c r="AD4044">
        <v>-1.1100282856169901</v>
      </c>
      <c r="AE4044">
        <v>-1.7165999999999899</v>
      </c>
      <c r="AF4044">
        <v>-3.4874277652305099</v>
      </c>
      <c r="AG4044">
        <v>-1.1100282856169901</v>
      </c>
      <c r="AH4044">
        <v>21.9861741383084</v>
      </c>
      <c r="AI4044">
        <v>92.854641804005297</v>
      </c>
      <c r="AJ4044">
        <v>99.013117063582001</v>
      </c>
      <c r="AK4044">
        <v>22.288700465764901</v>
      </c>
      <c r="AL4044">
        <v>86.033500672529996</v>
      </c>
      <c r="AM4044">
        <v>96.1800541234756</v>
      </c>
      <c r="AN4044">
        <v>1.0000000128831701</v>
      </c>
    </row>
    <row r="4045" spans="1:40" x14ac:dyDescent="0.25">
      <c r="A4045" t="str">
        <f>"20190312151354695"</f>
        <v>20190312151354695</v>
      </c>
      <c r="B4045" t="str">
        <f>"1552374834684286"</f>
        <v>1552374834684286</v>
      </c>
      <c r="C4045" t="s">
        <v>40</v>
      </c>
      <c r="D4045">
        <v>4.9722400000000002</v>
      </c>
      <c r="E4045">
        <v>0.48260920000000002</v>
      </c>
      <c r="F4045" t="s">
        <v>58</v>
      </c>
      <c r="G4045">
        <v>-319.75220000000002</v>
      </c>
      <c r="H4045" s="1">
        <v>-5.494597E-6</v>
      </c>
      <c r="I4045">
        <v>139.6788</v>
      </c>
      <c r="J4045">
        <v>-296.26100000000002</v>
      </c>
      <c r="K4045">
        <v>1.110104</v>
      </c>
      <c r="L4045">
        <v>141.58959999999999</v>
      </c>
      <c r="M4045">
        <v>-0.9968167</v>
      </c>
      <c r="N4045">
        <v>0</v>
      </c>
      <c r="O4045">
        <v>7.9192879999999993E-2</v>
      </c>
      <c r="P4045">
        <v>-0.99751429999999996</v>
      </c>
      <c r="Q4045">
        <v>6.2912739999999995E-2</v>
      </c>
      <c r="R4045">
        <v>-3.1740890000000001E-2</v>
      </c>
      <c r="S4045">
        <v>-3.008575</v>
      </c>
      <c r="T4045">
        <v>-0.13950419999999999</v>
      </c>
      <c r="U4045">
        <v>-0.23571780000000001</v>
      </c>
      <c r="V4045">
        <v>-0.11079700000000001</v>
      </c>
      <c r="W4045">
        <v>7.1824470000000001E-2</v>
      </c>
      <c r="X4045">
        <v>0.99124429999999997</v>
      </c>
      <c r="Y4045">
        <v>-0.15656619999999999</v>
      </c>
      <c r="Z4045">
        <v>-7.2870249999999999E-3</v>
      </c>
      <c r="AA4045">
        <v>0.98764059999999998</v>
      </c>
      <c r="AB4045">
        <v>43</v>
      </c>
      <c r="AC4045">
        <v>-23.491199999999999</v>
      </c>
      <c r="AD4045">
        <v>-1.110109494597</v>
      </c>
      <c r="AE4045">
        <v>-1.9107999999999901</v>
      </c>
      <c r="AF4045">
        <v>-3.7568784792463199</v>
      </c>
      <c r="AG4045">
        <v>-1.110109494597</v>
      </c>
      <c r="AH4045">
        <v>23.214585708481401</v>
      </c>
      <c r="AI4045">
        <v>92.702659834858906</v>
      </c>
      <c r="AJ4045">
        <v>99.192631012391502</v>
      </c>
      <c r="AK4045">
        <v>23.5428007810083</v>
      </c>
      <c r="AL4045">
        <v>85.881214496272605</v>
      </c>
      <c r="AM4045">
        <v>96.377801312000699</v>
      </c>
      <c r="AN4045">
        <v>0.99999999599113498</v>
      </c>
    </row>
    <row r="4046" spans="1:40" x14ac:dyDescent="0.25">
      <c r="A4046" t="str">
        <f>"20190312151354718"</f>
        <v>20190312151354718</v>
      </c>
      <c r="B4046" t="str">
        <f>"1552374834714542"</f>
        <v>1552374834714542</v>
      </c>
      <c r="C4046" t="s">
        <v>40</v>
      </c>
      <c r="D4046">
        <v>4.9701420000000001</v>
      </c>
      <c r="E4046">
        <v>0.48296489999999997</v>
      </c>
      <c r="F4046" t="s">
        <v>42</v>
      </c>
      <c r="G4046">
        <v>-321.6574</v>
      </c>
      <c r="H4046" s="1">
        <v>-3.5827800000000001E-6</v>
      </c>
      <c r="I4046">
        <v>139.4949</v>
      </c>
      <c r="J4046">
        <v>-296.68689999999998</v>
      </c>
      <c r="K4046">
        <v>1.1101859999999999</v>
      </c>
      <c r="L4046">
        <v>141.62270000000001</v>
      </c>
      <c r="M4046">
        <v>-0.99689530000000004</v>
      </c>
      <c r="N4046">
        <v>0</v>
      </c>
      <c r="O4046">
        <v>7.8187099999999995E-2</v>
      </c>
      <c r="P4046">
        <v>-0.99711530000000004</v>
      </c>
      <c r="Q4046">
        <v>6.6070840000000006E-2</v>
      </c>
      <c r="R4046">
        <v>-3.7361850000000002E-2</v>
      </c>
      <c r="S4046">
        <v>-3.0078130000000001</v>
      </c>
      <c r="T4046">
        <v>-0.13147519999999999</v>
      </c>
      <c r="U4046">
        <v>-0.2480774</v>
      </c>
      <c r="V4046">
        <v>-0.1153864</v>
      </c>
      <c r="W4046">
        <v>7.5032059999999998E-2</v>
      </c>
      <c r="X4046">
        <v>0.9904828</v>
      </c>
      <c r="Y4046">
        <v>-0.15964700000000001</v>
      </c>
      <c r="Z4046">
        <v>-6.8921390000000003E-3</v>
      </c>
      <c r="AA4046">
        <v>0.98715010000000003</v>
      </c>
      <c r="AB4046">
        <v>43</v>
      </c>
      <c r="AC4046">
        <v>-24.970500000000001</v>
      </c>
      <c r="AD4046">
        <v>-1.1101895827799999</v>
      </c>
      <c r="AE4046">
        <v>-2.1278000000000001</v>
      </c>
      <c r="AF4046">
        <v>-4.0657622319124398</v>
      </c>
      <c r="AG4046">
        <v>-1.1101895827799999</v>
      </c>
      <c r="AH4046">
        <v>24.679245857019101</v>
      </c>
      <c r="AI4046">
        <v>92.541487464444103</v>
      </c>
      <c r="AJ4046">
        <v>99.355115824889495</v>
      </c>
      <c r="AK4046">
        <v>25.0365356930098</v>
      </c>
      <c r="AL4046">
        <v>85.696935620392793</v>
      </c>
      <c r="AM4046">
        <v>96.644727218804803</v>
      </c>
      <c r="AN4046">
        <v>1.00000000421432</v>
      </c>
    </row>
    <row r="4047" spans="1:40" x14ac:dyDescent="0.25">
      <c r="A4047" t="str">
        <f>"20190312151354740"</f>
        <v>20190312151354740</v>
      </c>
      <c r="B4047" t="str">
        <f>"1552374834734066"</f>
        <v>1552374834734066</v>
      </c>
      <c r="C4047" t="s">
        <v>40</v>
      </c>
      <c r="D4047">
        <v>4.8885690000000004</v>
      </c>
      <c r="E4047">
        <v>0.48330410000000001</v>
      </c>
      <c r="F4047" t="s">
        <v>42</v>
      </c>
      <c r="G4047">
        <v>-324.1454</v>
      </c>
      <c r="H4047" s="1">
        <v>-2.563326E-6</v>
      </c>
      <c r="I4047">
        <v>139.2252</v>
      </c>
      <c r="J4047">
        <v>-297.11290000000002</v>
      </c>
      <c r="K4047">
        <v>1.1102540000000001</v>
      </c>
      <c r="L4047">
        <v>141.65530000000001</v>
      </c>
      <c r="M4047">
        <v>-0.99697420000000003</v>
      </c>
      <c r="N4047">
        <v>0</v>
      </c>
      <c r="O4047">
        <v>7.7162439999999999E-2</v>
      </c>
      <c r="P4047">
        <v>-0.9966623</v>
      </c>
      <c r="Q4047">
        <v>6.9266099999999997E-2</v>
      </c>
      <c r="R4047">
        <v>-4.3201450000000002E-2</v>
      </c>
      <c r="S4047">
        <v>-3.0069270000000001</v>
      </c>
      <c r="T4047">
        <v>-0.121575</v>
      </c>
      <c r="U4047">
        <v>-0.26254270000000002</v>
      </c>
      <c r="V4047">
        <v>-0.1201718</v>
      </c>
      <c r="W4047">
        <v>7.8285439999999998E-2</v>
      </c>
      <c r="X4047">
        <v>0.98966160000000003</v>
      </c>
      <c r="Y4047">
        <v>-0.1634005</v>
      </c>
      <c r="Z4047">
        <v>-6.4087119999999996E-3</v>
      </c>
      <c r="AA4047">
        <v>0.98653900000000005</v>
      </c>
      <c r="AB4047">
        <v>43</v>
      </c>
      <c r="AC4047">
        <v>-27.032499999999899</v>
      </c>
      <c r="AD4047">
        <v>-1.110256563326</v>
      </c>
      <c r="AE4047">
        <v>-2.4300999999999999</v>
      </c>
      <c r="AF4047">
        <v>-4.5013078390055403</v>
      </c>
      <c r="AG4047">
        <v>-1.110256563326</v>
      </c>
      <c r="AH4047">
        <v>26.7196651344555</v>
      </c>
      <c r="AI4047">
        <v>92.346363237581997</v>
      </c>
      <c r="AJ4047">
        <v>99.562502161995795</v>
      </c>
      <c r="AK4047">
        <v>27.118903864192902</v>
      </c>
      <c r="AL4047">
        <v>85.509980335349894</v>
      </c>
      <c r="AM4047">
        <v>96.923369366513299</v>
      </c>
      <c r="AN4047">
        <v>0.99999997707289601</v>
      </c>
    </row>
    <row r="4048" spans="1:40" x14ac:dyDescent="0.25">
      <c r="A4048" t="str">
        <f>"20190312151354761"</f>
        <v>20190312151354761</v>
      </c>
      <c r="B4048" t="str">
        <f>"1552374834754558"</f>
        <v>1552374834754558</v>
      </c>
      <c r="C4048" t="s">
        <v>40</v>
      </c>
      <c r="D4048">
        <v>4.7027769999999904</v>
      </c>
      <c r="E4048">
        <v>0.4837167</v>
      </c>
      <c r="F4048" t="s">
        <v>42</v>
      </c>
      <c r="G4048">
        <v>-327.02530000000002</v>
      </c>
      <c r="H4048" s="1">
        <v>-1.3874189999999999E-6</v>
      </c>
      <c r="I4048">
        <v>138.88929999999999</v>
      </c>
      <c r="J4048">
        <v>-297.5147</v>
      </c>
      <c r="K4048">
        <v>1.1103130000000001</v>
      </c>
      <c r="L4048">
        <v>141.6857</v>
      </c>
      <c r="M4048">
        <v>-0.99704859999999995</v>
      </c>
      <c r="N4048">
        <v>0</v>
      </c>
      <c r="O4048">
        <v>7.6184979999999999E-2</v>
      </c>
      <c r="P4048">
        <v>-0.99624389999999996</v>
      </c>
      <c r="Q4048">
        <v>7.105235E-2</v>
      </c>
      <c r="R4048">
        <v>-4.9493669999999997E-2</v>
      </c>
      <c r="S4048">
        <v>-3.0057369999999999</v>
      </c>
      <c r="T4048">
        <v>-0.11156389999999999</v>
      </c>
      <c r="U4048">
        <v>-0.27793879999999999</v>
      </c>
      <c r="V4048">
        <v>-0.12545539999999999</v>
      </c>
      <c r="W4048">
        <v>8.0131659999999993E-2</v>
      </c>
      <c r="X4048">
        <v>0.98885789999999996</v>
      </c>
      <c r="Y4048">
        <v>-0.16750719999999999</v>
      </c>
      <c r="Z4048">
        <v>-5.9223319999999998E-3</v>
      </c>
      <c r="AA4048">
        <v>0.98585310000000004</v>
      </c>
      <c r="AB4048">
        <v>43</v>
      </c>
      <c r="AC4048">
        <v>-29.5106</v>
      </c>
      <c r="AD4048">
        <v>-1.11031438741899</v>
      </c>
      <c r="AE4048">
        <v>-2.7964000000000002</v>
      </c>
      <c r="AF4048">
        <v>-5.0295812373172897</v>
      </c>
      <c r="AG4048">
        <v>-1.11031438741899</v>
      </c>
      <c r="AH4048">
        <v>29.170846078375501</v>
      </c>
      <c r="AI4048">
        <v>92.148101334976502</v>
      </c>
      <c r="AJ4048">
        <v>99.782645494339405</v>
      </c>
      <c r="AK4048">
        <v>29.622082073850901</v>
      </c>
      <c r="AL4048">
        <v>85.403866605566606</v>
      </c>
      <c r="AM4048">
        <v>97.230429582893393</v>
      </c>
      <c r="AN4048">
        <v>1.0000000433579599</v>
      </c>
    </row>
    <row r="4049" spans="1:40" x14ac:dyDescent="0.25">
      <c r="A4049" t="str">
        <f>"20190312151354783"</f>
        <v>20190312151354783</v>
      </c>
      <c r="B4049" t="str">
        <f>"1552374834774078"</f>
        <v>1552374834774078</v>
      </c>
      <c r="C4049" t="s">
        <v>40</v>
      </c>
      <c r="D4049">
        <v>4.9315619999999996</v>
      </c>
      <c r="E4049">
        <v>0.49108550000000001</v>
      </c>
      <c r="F4049" t="s">
        <v>42</v>
      </c>
      <c r="G4049">
        <v>-328.76659999999998</v>
      </c>
      <c r="H4049" s="1">
        <v>-6.8702480000000002E-7</v>
      </c>
      <c r="I4049">
        <v>138.62649999999999</v>
      </c>
      <c r="J4049">
        <v>-297.94290000000001</v>
      </c>
      <c r="K4049">
        <v>1.1103769999999999</v>
      </c>
      <c r="L4049">
        <v>141.71770000000001</v>
      </c>
      <c r="M4049">
        <v>-0.99712719999999999</v>
      </c>
      <c r="N4049">
        <v>0</v>
      </c>
      <c r="O4049">
        <v>7.5136640000000005E-2</v>
      </c>
      <c r="P4049">
        <v>-0.99576189999999998</v>
      </c>
      <c r="Q4049">
        <v>7.2844880000000001E-2</v>
      </c>
      <c r="R4049">
        <v>-5.614305E-2</v>
      </c>
      <c r="S4049">
        <v>-3.0043030000000002</v>
      </c>
      <c r="T4049">
        <v>-0.10673680000000001</v>
      </c>
      <c r="U4049">
        <v>-0.29408260000000003</v>
      </c>
      <c r="V4049">
        <v>-0.13102150000000001</v>
      </c>
      <c r="W4049">
        <v>8.1989010000000001E-2</v>
      </c>
      <c r="X4049">
        <v>0.98798339999999996</v>
      </c>
      <c r="Y4049">
        <v>-0.17177429999999999</v>
      </c>
      <c r="Z4049">
        <v>-5.706104E-3</v>
      </c>
      <c r="AA4049">
        <v>0.98511979999999999</v>
      </c>
      <c r="AB4049">
        <v>43</v>
      </c>
      <c r="AC4049">
        <v>-30.823699999999899</v>
      </c>
      <c r="AD4049">
        <v>-1.1103776870248001</v>
      </c>
      <c r="AE4049">
        <v>-3.0912000000000099</v>
      </c>
      <c r="AF4049">
        <v>-5.3916297259549903</v>
      </c>
      <c r="AG4049">
        <v>-1.1103776870248001</v>
      </c>
      <c r="AH4049">
        <v>30.465147214774898</v>
      </c>
      <c r="AI4049">
        <v>92.055449514903003</v>
      </c>
      <c r="AJ4049">
        <v>100.036115164026</v>
      </c>
      <c r="AK4049">
        <v>30.958485178179401</v>
      </c>
      <c r="AL4049">
        <v>85.297096786455597</v>
      </c>
      <c r="AM4049">
        <v>97.554205648476099</v>
      </c>
      <c r="AN4049">
        <v>1.00000001494929</v>
      </c>
    </row>
    <row r="4050" spans="1:40" x14ac:dyDescent="0.25">
      <c r="A4050" t="str">
        <f>"20190312151354807"</f>
        <v>20190312151354807</v>
      </c>
      <c r="B4050" t="str">
        <f>"1552374834794574"</f>
        <v>1552374834794574</v>
      </c>
      <c r="C4050" t="s">
        <v>40</v>
      </c>
      <c r="D4050">
        <v>5.0179710000000002</v>
      </c>
      <c r="E4050">
        <v>0.4910177</v>
      </c>
      <c r="F4050" t="s">
        <v>42</v>
      </c>
      <c r="G4050">
        <v>-320.42070000000001</v>
      </c>
      <c r="H4050" s="1">
        <v>-4.1376360000000001E-6</v>
      </c>
      <c r="I4050">
        <v>139.7886</v>
      </c>
      <c r="J4050">
        <v>-298.37430000000001</v>
      </c>
      <c r="K4050">
        <v>1.1104320000000001</v>
      </c>
      <c r="L4050">
        <v>141.74930000000001</v>
      </c>
      <c r="M4050">
        <v>-0.99720560000000003</v>
      </c>
      <c r="N4050">
        <v>0</v>
      </c>
      <c r="O4050">
        <v>7.4075580000000002E-2</v>
      </c>
      <c r="P4050">
        <v>-0.99512999999999996</v>
      </c>
      <c r="Q4050">
        <v>7.5489609999999999E-2</v>
      </c>
      <c r="R4050">
        <v>-6.3385590000000006E-2</v>
      </c>
      <c r="S4050">
        <v>-3.009064</v>
      </c>
      <c r="T4050">
        <v>-0.14864579999999999</v>
      </c>
      <c r="U4050">
        <v>-0.25823970000000002</v>
      </c>
      <c r="V4050">
        <v>-0.13715840000000001</v>
      </c>
      <c r="W4050">
        <v>8.4692779999999995E-2</v>
      </c>
      <c r="X4050">
        <v>0.98692179999999996</v>
      </c>
      <c r="Y4050">
        <v>-0.15879689999999999</v>
      </c>
      <c r="Z4050">
        <v>-7.5635809999999998E-3</v>
      </c>
      <c r="AA4050">
        <v>0.98728229999999995</v>
      </c>
      <c r="AB4050">
        <v>43</v>
      </c>
      <c r="AC4050">
        <v>-22.046399999999998</v>
      </c>
      <c r="AD4050">
        <v>-1.1104361376359999</v>
      </c>
      <c r="AE4050">
        <v>-1.9607000000000001</v>
      </c>
      <c r="AF4050">
        <v>-3.5794794939553598</v>
      </c>
      <c r="AG4050">
        <v>-1.1104361376359999</v>
      </c>
      <c r="AH4050">
        <v>21.785742288745499</v>
      </c>
      <c r="AI4050">
        <v>92.879345129174297</v>
      </c>
      <c r="AJ4050">
        <v>99.330546721723607</v>
      </c>
      <c r="AK4050">
        <v>22.105752847054202</v>
      </c>
      <c r="AL4050">
        <v>85.141641079901802</v>
      </c>
      <c r="AM4050">
        <v>97.912056776614605</v>
      </c>
      <c r="AN4050">
        <v>0.99999996649496303</v>
      </c>
    </row>
    <row r="4051" spans="1:40" x14ac:dyDescent="0.25">
      <c r="A4051" t="str">
        <f>"20190312151354828"</f>
        <v>20190312151354828</v>
      </c>
      <c r="B4051" t="str">
        <f>"1552374834824831"</f>
        <v>1552374834824831</v>
      </c>
      <c r="C4051" t="s">
        <v>40</v>
      </c>
      <c r="D4051">
        <v>5.0251760000000001</v>
      </c>
      <c r="E4051">
        <v>0.49208879999999999</v>
      </c>
      <c r="F4051" t="s">
        <v>42</v>
      </c>
      <c r="G4051">
        <v>-323.06060000000002</v>
      </c>
      <c r="H4051" s="1">
        <v>-2.9897259999999998E-6</v>
      </c>
      <c r="I4051">
        <v>139.44479999999999</v>
      </c>
      <c r="J4051">
        <v>-298.79840000000002</v>
      </c>
      <c r="K4051">
        <v>1.1104719999999999</v>
      </c>
      <c r="L4051">
        <v>141.78</v>
      </c>
      <c r="M4051">
        <v>-0.997282</v>
      </c>
      <c r="N4051">
        <v>0</v>
      </c>
      <c r="O4051">
        <v>7.3028699999999905E-2</v>
      </c>
      <c r="P4051">
        <v>-0.99453809999999998</v>
      </c>
      <c r="Q4051">
        <v>7.7295929999999999E-2</v>
      </c>
      <c r="R4051">
        <v>-7.0139270000000004E-2</v>
      </c>
      <c r="S4051">
        <v>-3.0070190000000001</v>
      </c>
      <c r="T4051">
        <v>-0.13526170000000001</v>
      </c>
      <c r="U4051">
        <v>-0.28070070000000003</v>
      </c>
      <c r="V4051">
        <v>-0.14282410000000001</v>
      </c>
      <c r="W4051">
        <v>8.6556060000000004E-2</v>
      </c>
      <c r="X4051">
        <v>0.9859561</v>
      </c>
      <c r="Y4051">
        <v>-0.16517319999999999</v>
      </c>
      <c r="Z4051">
        <v>-6.981948E-3</v>
      </c>
      <c r="AA4051">
        <v>0.98623989999999995</v>
      </c>
      <c r="AB4051">
        <v>43</v>
      </c>
      <c r="AC4051">
        <v>-24.2622</v>
      </c>
      <c r="AD4051">
        <v>-1.110474989726</v>
      </c>
      <c r="AE4051">
        <v>-2.3352000000000102</v>
      </c>
      <c r="AF4051">
        <v>-4.0923911720108697</v>
      </c>
      <c r="AG4051">
        <v>-1.110474989726</v>
      </c>
      <c r="AH4051">
        <v>23.9770972083329</v>
      </c>
      <c r="AI4051">
        <v>92.613954014589396</v>
      </c>
      <c r="AJ4051">
        <v>99.685861909473005</v>
      </c>
      <c r="AK4051">
        <v>24.3491685842741</v>
      </c>
      <c r="AL4051">
        <v>85.034489895596906</v>
      </c>
      <c r="AM4051">
        <v>98.242445427835705</v>
      </c>
      <c r="AN4051">
        <v>1.0000000530953701</v>
      </c>
    </row>
    <row r="4052" spans="1:40" x14ac:dyDescent="0.25">
      <c r="A4052" t="str">
        <f>"20190312151354852"</f>
        <v>20190312151354852</v>
      </c>
      <c r="B4052" t="str">
        <f>"1552374834844351"</f>
        <v>1552374834844351</v>
      </c>
      <c r="C4052" t="s">
        <v>40</v>
      </c>
      <c r="D4052">
        <v>4.6680950000000001</v>
      </c>
      <c r="E4052">
        <v>0.49325839999999999</v>
      </c>
      <c r="F4052" t="s">
        <v>42</v>
      </c>
      <c r="G4052">
        <v>-321.7842</v>
      </c>
      <c r="H4052" s="1">
        <v>-3.5216260000000002E-6</v>
      </c>
      <c r="I4052">
        <v>139.53299999999999</v>
      </c>
      <c r="J4052">
        <v>-299.2448</v>
      </c>
      <c r="K4052">
        <v>1.110503</v>
      </c>
      <c r="L4052">
        <v>141.81180000000001</v>
      </c>
      <c r="M4052">
        <v>-0.99736119999999995</v>
      </c>
      <c r="N4052">
        <v>0</v>
      </c>
      <c r="O4052">
        <v>7.1924409999999994E-2</v>
      </c>
      <c r="P4052">
        <v>-0.99389729999999998</v>
      </c>
      <c r="Q4052">
        <v>7.9420299999999999E-2</v>
      </c>
      <c r="R4052">
        <v>-7.6555449999999997E-2</v>
      </c>
      <c r="S4052">
        <v>-3.0070190000000001</v>
      </c>
      <c r="T4052">
        <v>-0.1452736</v>
      </c>
      <c r="U4052">
        <v>-0.29394530000000002</v>
      </c>
      <c r="V4052">
        <v>-0.14809520000000001</v>
      </c>
      <c r="W4052">
        <v>8.8739180000000001E-2</v>
      </c>
      <c r="X4052">
        <v>0.98498390000000002</v>
      </c>
      <c r="Y4052">
        <v>-0.1683461</v>
      </c>
      <c r="Z4052">
        <v>-7.5199790000000004E-3</v>
      </c>
      <c r="AA4052">
        <v>0.98569929999999994</v>
      </c>
      <c r="AB4052">
        <v>43</v>
      </c>
      <c r="AC4052">
        <v>-22.539400000000001</v>
      </c>
      <c r="AD4052">
        <v>-1.1105065216259999</v>
      </c>
      <c r="AE4052">
        <v>-2.2788000000000102</v>
      </c>
      <c r="AF4052">
        <v>-3.8847747882038401</v>
      </c>
      <c r="AG4052">
        <v>-1.1105065216259999</v>
      </c>
      <c r="AH4052">
        <v>22.263611989735899</v>
      </c>
      <c r="AI4052">
        <v>92.813106560841106</v>
      </c>
      <c r="AJ4052">
        <v>99.897883340317904</v>
      </c>
      <c r="AK4052">
        <v>22.627264941197598</v>
      </c>
      <c r="AL4052">
        <v>84.908923094762002</v>
      </c>
      <c r="AM4052">
        <v>98.550540140919395</v>
      </c>
      <c r="AN4052">
        <v>1.0000000567946501</v>
      </c>
    </row>
    <row r="4053" spans="1:40" x14ac:dyDescent="0.25">
      <c r="A4053" t="str">
        <f>"20190312151354874"</f>
        <v>20190312151354874</v>
      </c>
      <c r="B4053" t="str">
        <f>"1552374834864846"</f>
        <v>1552374834864846</v>
      </c>
      <c r="C4053" t="s">
        <v>40</v>
      </c>
      <c r="D4053">
        <v>4.6751259999999997</v>
      </c>
      <c r="E4053">
        <v>0.49412080000000003</v>
      </c>
      <c r="F4053" t="s">
        <v>42</v>
      </c>
      <c r="G4053">
        <v>-323.9735</v>
      </c>
      <c r="H4053" s="1">
        <v>-2.6218730000000001E-6</v>
      </c>
      <c r="I4053">
        <v>139.31059999999999</v>
      </c>
      <c r="J4053">
        <v>-299.66379999999998</v>
      </c>
      <c r="K4053">
        <v>1.110535</v>
      </c>
      <c r="L4053">
        <v>141.84119999999999</v>
      </c>
      <c r="M4053">
        <v>-0.99743490000000001</v>
      </c>
      <c r="N4053">
        <v>0</v>
      </c>
      <c r="O4053">
        <v>7.0884139999999998E-2</v>
      </c>
      <c r="P4053">
        <v>-0.99325319999999995</v>
      </c>
      <c r="Q4053">
        <v>8.1101850000000003E-2</v>
      </c>
      <c r="R4053">
        <v>-8.2889069999999995E-2</v>
      </c>
      <c r="S4053">
        <v>-3.0057680000000002</v>
      </c>
      <c r="T4053">
        <v>-0.13498189999999999</v>
      </c>
      <c r="U4053">
        <v>-0.30401610000000001</v>
      </c>
      <c r="V4053">
        <v>-0.15334779999999901</v>
      </c>
      <c r="W4053">
        <v>9.0468350000000003E-2</v>
      </c>
      <c r="X4053">
        <v>0.98402230000000002</v>
      </c>
      <c r="Y4053">
        <v>-0.17066419999999999</v>
      </c>
      <c r="Z4053">
        <v>-6.9949490000000003E-3</v>
      </c>
      <c r="AA4053">
        <v>0.98530439999999997</v>
      </c>
      <c r="AB4053">
        <v>43</v>
      </c>
      <c r="AC4053">
        <v>-24.309699999999999</v>
      </c>
      <c r="AD4053">
        <v>-1.1105376218729901</v>
      </c>
      <c r="AE4053">
        <v>-2.53059999999999</v>
      </c>
      <c r="AF4053">
        <v>-4.2387402051842296</v>
      </c>
      <c r="AG4053">
        <v>-1.1105376218729901</v>
      </c>
      <c r="AH4053">
        <v>24.019566231291101</v>
      </c>
      <c r="AI4053">
        <v>92.606944090642401</v>
      </c>
      <c r="AJ4053">
        <v>100.007964124393</v>
      </c>
      <c r="AK4053">
        <v>24.415973752361801</v>
      </c>
      <c r="AL4053">
        <v>84.809448401081099</v>
      </c>
      <c r="AM4053">
        <v>98.857599234135705</v>
      </c>
      <c r="AN4053">
        <v>0.99999997850692601</v>
      </c>
    </row>
    <row r="4054" spans="1:40" x14ac:dyDescent="0.25">
      <c r="A4054" t="str">
        <f>"20190312151354897"</f>
        <v>20190312151354897</v>
      </c>
      <c r="B4054" t="str">
        <f>"1552374834884366"</f>
        <v>1552374834884366</v>
      </c>
      <c r="C4054" t="s">
        <v>40</v>
      </c>
      <c r="D4054">
        <v>4.6526259999999997</v>
      </c>
      <c r="E4054">
        <v>0.4942066</v>
      </c>
      <c r="F4054" t="s">
        <v>42</v>
      </c>
      <c r="G4054">
        <v>-325.72210000000001</v>
      </c>
      <c r="H4054" s="1">
        <v>-1.90951E-6</v>
      </c>
      <c r="I4054">
        <v>139.0977</v>
      </c>
      <c r="J4054">
        <v>-300.10160000000002</v>
      </c>
      <c r="K4054">
        <v>1.1105640000000001</v>
      </c>
      <c r="L4054">
        <v>141.8715</v>
      </c>
      <c r="M4054">
        <v>-0.99751109999999998</v>
      </c>
      <c r="N4054">
        <v>0</v>
      </c>
      <c r="O4054">
        <v>6.9794040000000002E-2</v>
      </c>
      <c r="P4054">
        <v>-0.99267649999999996</v>
      </c>
      <c r="Q4054">
        <v>8.3031809999999998E-2</v>
      </c>
      <c r="R4054">
        <v>-8.7747950000000005E-2</v>
      </c>
      <c r="S4054">
        <v>-3.0044249999999999</v>
      </c>
      <c r="T4054">
        <v>-0.12804109999999999</v>
      </c>
      <c r="U4054">
        <v>-0.3163147</v>
      </c>
      <c r="V4054">
        <v>-0.15708720000000001</v>
      </c>
      <c r="W4054">
        <v>9.2448429999999998E-2</v>
      </c>
      <c r="X4054">
        <v>0.98324809999999996</v>
      </c>
      <c r="Y4054">
        <v>-0.17364389999999999</v>
      </c>
      <c r="Z4054">
        <v>-6.6542540000000001E-3</v>
      </c>
      <c r="AA4054">
        <v>0.98478600000000005</v>
      </c>
      <c r="AB4054">
        <v>43</v>
      </c>
      <c r="AC4054">
        <v>-25.6205</v>
      </c>
      <c r="AD4054">
        <v>-1.11056590950999</v>
      </c>
      <c r="AE4054">
        <v>-2.7737999999999898</v>
      </c>
      <c r="AF4054">
        <v>-4.54683889508064</v>
      </c>
      <c r="AG4054">
        <v>-1.11056590950999</v>
      </c>
      <c r="AH4054">
        <v>25.317392918121602</v>
      </c>
      <c r="AI4054">
        <v>92.472208548636203</v>
      </c>
      <c r="AJ4054">
        <v>100.181411647385</v>
      </c>
      <c r="AK4054">
        <v>25.746407220187798</v>
      </c>
      <c r="AL4054">
        <v>84.695520589255395</v>
      </c>
      <c r="AM4054">
        <v>99.077066611008405</v>
      </c>
      <c r="AN4054">
        <v>0.99999996338345598</v>
      </c>
    </row>
    <row r="4055" spans="1:40" x14ac:dyDescent="0.25">
      <c r="A4055" t="str">
        <f>"20190312151354919"</f>
        <v>20190312151354919</v>
      </c>
      <c r="B4055" t="str">
        <f>"1552374834914622"</f>
        <v>1552374834914622</v>
      </c>
      <c r="C4055" t="s">
        <v>40</v>
      </c>
      <c r="D4055">
        <v>4.6179290000000002</v>
      </c>
      <c r="E4055">
        <v>0.45923589999999997</v>
      </c>
      <c r="F4055" t="s">
        <v>42</v>
      </c>
      <c r="G4055">
        <v>-327.09780000000001</v>
      </c>
      <c r="H4055" s="1">
        <v>-1.3548130000000001E-6</v>
      </c>
      <c r="I4055">
        <v>138.89769999999999</v>
      </c>
      <c r="J4055">
        <v>-300.52969999999999</v>
      </c>
      <c r="K4055">
        <v>1.1105860000000001</v>
      </c>
      <c r="L4055">
        <v>141.9006</v>
      </c>
      <c r="M4055">
        <v>-0.99758449999999999</v>
      </c>
      <c r="N4055">
        <v>0</v>
      </c>
      <c r="O4055">
        <v>6.8725960000000003E-2</v>
      </c>
      <c r="P4055">
        <v>-0.99225940000000001</v>
      </c>
      <c r="Q4055">
        <v>8.4172079999999996E-2</v>
      </c>
      <c r="R4055">
        <v>-9.1302599999999998E-2</v>
      </c>
      <c r="S4055">
        <v>-3.0032040000000002</v>
      </c>
      <c r="T4055">
        <v>-0.12354560000000001</v>
      </c>
      <c r="U4055">
        <v>-0.33081050000000001</v>
      </c>
      <c r="V4055">
        <v>-0.15955749999999999</v>
      </c>
      <c r="W4055">
        <v>9.3637239999999997E-2</v>
      </c>
      <c r="X4055">
        <v>0.98273770000000005</v>
      </c>
      <c r="Y4055">
        <v>-0.17734169999999999</v>
      </c>
      <c r="Z4055">
        <v>-6.4538909999999998E-3</v>
      </c>
      <c r="AA4055">
        <v>0.98412820000000001</v>
      </c>
      <c r="AB4055">
        <v>43</v>
      </c>
      <c r="AC4055">
        <v>-26.568100000000001</v>
      </c>
      <c r="AD4055">
        <v>-1.1105873548129901</v>
      </c>
      <c r="AE4055">
        <v>-3.0029000000000101</v>
      </c>
      <c r="AF4055">
        <v>-4.8135054969439199</v>
      </c>
      <c r="AG4055">
        <v>-1.1105873548129901</v>
      </c>
      <c r="AH4055">
        <v>26.253591596751601</v>
      </c>
      <c r="AI4055">
        <v>92.382629898586899</v>
      </c>
      <c r="AJ4055">
        <v>100.389590559308</v>
      </c>
      <c r="AK4055">
        <v>26.714309108992602</v>
      </c>
      <c r="AL4055">
        <v>84.627109998942601</v>
      </c>
      <c r="AM4055">
        <v>99.222082787587496</v>
      </c>
      <c r="AN4055">
        <v>0.999999957761178</v>
      </c>
    </row>
    <row r="4056" spans="1:40" x14ac:dyDescent="0.25">
      <c r="A4056" t="str">
        <f>"20190312151354941"</f>
        <v>20190312151354941</v>
      </c>
      <c r="B4056" t="str">
        <f>"1552374834935120"</f>
        <v>1552374834935120</v>
      </c>
      <c r="C4056" t="s">
        <v>40</v>
      </c>
      <c r="D4056">
        <v>4.6288489999999998</v>
      </c>
      <c r="E4056">
        <v>0.45688970000000001</v>
      </c>
      <c r="F4056" t="s">
        <v>58</v>
      </c>
      <c r="G4056">
        <v>-318.85120000000001</v>
      </c>
      <c r="H4056" s="1">
        <v>-5.3817889999999998E-6</v>
      </c>
      <c r="I4056">
        <v>138.06610000000001</v>
      </c>
      <c r="J4056">
        <v>-300.95819999999998</v>
      </c>
      <c r="K4056">
        <v>1.110617</v>
      </c>
      <c r="L4056">
        <v>141.92930000000001</v>
      </c>
      <c r="M4056">
        <v>-0.99765709999999996</v>
      </c>
      <c r="N4056">
        <v>0</v>
      </c>
      <c r="O4056">
        <v>6.7654800000000001E-2</v>
      </c>
      <c r="P4056">
        <v>-0.99183860000000001</v>
      </c>
      <c r="Q4056">
        <v>8.5786609999999999E-2</v>
      </c>
      <c r="R4056">
        <v>-9.4323699999999996E-2</v>
      </c>
      <c r="S4056">
        <v>-2.9813230000000002</v>
      </c>
      <c r="T4056">
        <v>-0.1807184</v>
      </c>
      <c r="U4056">
        <v>-0.62396240000000003</v>
      </c>
      <c r="V4056">
        <v>-0.16149369999999999</v>
      </c>
      <c r="W4056">
        <v>9.5296350000000002E-2</v>
      </c>
      <c r="X4056">
        <v>0.98226190000000002</v>
      </c>
      <c r="Y4056">
        <v>-0.27001029999999998</v>
      </c>
      <c r="Z4056">
        <v>-1.2147160000000001E-2</v>
      </c>
      <c r="AA4056">
        <v>0.96278079999999999</v>
      </c>
      <c r="AB4056">
        <v>43</v>
      </c>
      <c r="AC4056">
        <v>-17.893000000000001</v>
      </c>
      <c r="AD4056">
        <v>-1.110622381789</v>
      </c>
      <c r="AE4056">
        <v>-3.8632</v>
      </c>
      <c r="AF4056">
        <v>-5.0463811363885798</v>
      </c>
      <c r="AG4056">
        <v>-1.110622381789</v>
      </c>
      <c r="AH4056">
        <v>17.5261060060521</v>
      </c>
      <c r="AI4056">
        <v>93.484754187430198</v>
      </c>
      <c r="AJ4056">
        <v>106.062966937727</v>
      </c>
      <c r="AK4056">
        <v>18.271941231954699</v>
      </c>
      <c r="AL4056">
        <v>84.531623333934803</v>
      </c>
      <c r="AM4056">
        <v>99.336474600976501</v>
      </c>
      <c r="AN4056">
        <v>1.00000002482731</v>
      </c>
    </row>
    <row r="4057" spans="1:40" x14ac:dyDescent="0.25">
      <c r="A4057" t="str">
        <f>"20190312151354963"</f>
        <v>20190312151354963</v>
      </c>
      <c r="B4057" t="str">
        <f>"1552374834954638"</f>
        <v>1552374834954638</v>
      </c>
      <c r="C4057" t="s">
        <v>40</v>
      </c>
      <c r="D4057">
        <v>4.5834029999999997</v>
      </c>
      <c r="E4057">
        <v>0.456044</v>
      </c>
      <c r="F4057" t="s">
        <v>42</v>
      </c>
      <c r="G4057">
        <v>-320.05399999999997</v>
      </c>
      <c r="H4057" s="1">
        <v>-4.5799329999999901E-6</v>
      </c>
      <c r="I4057">
        <v>137.75129999999999</v>
      </c>
      <c r="J4057">
        <v>-301.38209999999998</v>
      </c>
      <c r="K4057">
        <v>1.110635</v>
      </c>
      <c r="L4057">
        <v>141.9572</v>
      </c>
      <c r="M4057">
        <v>-0.99772799999999995</v>
      </c>
      <c r="N4057">
        <v>0</v>
      </c>
      <c r="O4057">
        <v>6.6593550000000001E-2</v>
      </c>
      <c r="P4057">
        <v>-0.99156840000000002</v>
      </c>
      <c r="Q4057">
        <v>8.7042939999999999E-2</v>
      </c>
      <c r="R4057">
        <v>-9.6001520000000007E-2</v>
      </c>
      <c r="S4057">
        <v>-2.977722</v>
      </c>
      <c r="T4057">
        <v>-0.17318620000000001</v>
      </c>
      <c r="U4057">
        <v>-0.65148930000000005</v>
      </c>
      <c r="V4057">
        <v>-0.1621098</v>
      </c>
      <c r="W4057">
        <v>9.6598279999999995E-2</v>
      </c>
      <c r="X4057">
        <v>0.98203320000000005</v>
      </c>
      <c r="Y4057">
        <v>-0.27775840000000002</v>
      </c>
      <c r="Z4057">
        <v>-1.180609E-2</v>
      </c>
      <c r="AA4057">
        <v>0.96057840000000005</v>
      </c>
      <c r="AB4057">
        <v>43</v>
      </c>
      <c r="AC4057">
        <v>-18.671900000000001</v>
      </c>
      <c r="AD4057">
        <v>-1.110639579933</v>
      </c>
      <c r="AE4057">
        <v>-4.2059000000000104</v>
      </c>
      <c r="AF4057">
        <v>-5.4217990494846697</v>
      </c>
      <c r="AG4057">
        <v>-1.110639579933</v>
      </c>
      <c r="AH4057">
        <v>18.2887644173145</v>
      </c>
      <c r="AI4057">
        <v>93.3321899974557</v>
      </c>
      <c r="AJ4057">
        <v>106.512729981565</v>
      </c>
      <c r="AK4057">
        <v>19.1078080669012</v>
      </c>
      <c r="AL4057">
        <v>84.456682410006295</v>
      </c>
      <c r="AM4057">
        <v>99.373606365106795</v>
      </c>
      <c r="AN4057">
        <v>1.00000001042861</v>
      </c>
    </row>
    <row r="4058" spans="1:40" x14ac:dyDescent="0.25">
      <c r="A4058" t="str">
        <f>"20190312151354986"</f>
        <v>20190312151354986</v>
      </c>
      <c r="B4058" t="str">
        <f>"1552374834974160"</f>
        <v>1552374834974160</v>
      </c>
      <c r="C4058" t="s">
        <v>40</v>
      </c>
      <c r="D4058">
        <v>4.5839600000000003</v>
      </c>
      <c r="E4058">
        <v>0.45623659999999999</v>
      </c>
      <c r="F4058" t="s">
        <v>42</v>
      </c>
      <c r="G4058">
        <v>-320.8442</v>
      </c>
      <c r="H4058" s="1">
        <v>-4.2644689999999998E-6</v>
      </c>
      <c r="I4058">
        <v>137.61869999999999</v>
      </c>
      <c r="J4058">
        <v>-301.82769999999999</v>
      </c>
      <c r="K4058">
        <v>1.1106480000000001</v>
      </c>
      <c r="L4058">
        <v>141.98609999999999</v>
      </c>
      <c r="M4058">
        <v>-0.99780139999999995</v>
      </c>
      <c r="N4058">
        <v>0</v>
      </c>
      <c r="O4058">
        <v>6.5477450000000006E-2</v>
      </c>
      <c r="P4058">
        <v>-0.99141559999999995</v>
      </c>
      <c r="Q4058">
        <v>8.8412930000000001E-2</v>
      </c>
      <c r="R4058">
        <v>-9.6326599999999998E-2</v>
      </c>
      <c r="S4058">
        <v>-2.9761959999999998</v>
      </c>
      <c r="T4058">
        <v>-0.16984299999999999</v>
      </c>
      <c r="U4058">
        <v>-0.66345209999999999</v>
      </c>
      <c r="V4058">
        <v>-0.16132959999999999</v>
      </c>
      <c r="W4058">
        <v>9.8016309999999995E-2</v>
      </c>
      <c r="X4058">
        <v>0.98202120000000004</v>
      </c>
      <c r="Y4058">
        <v>-0.28048600000000001</v>
      </c>
      <c r="Z4058">
        <v>-1.1593330000000001E-2</v>
      </c>
      <c r="AA4058">
        <v>0.95978810000000003</v>
      </c>
      <c r="AB4058">
        <v>43</v>
      </c>
      <c r="AC4058">
        <v>-19.016500000000001</v>
      </c>
      <c r="AD4058">
        <v>-1.11065226446899</v>
      </c>
      <c r="AE4058">
        <v>-4.3673999999999999</v>
      </c>
      <c r="AF4058">
        <v>-5.5851471477154098</v>
      </c>
      <c r="AG4058">
        <v>-1.11065226446899</v>
      </c>
      <c r="AH4058">
        <v>18.629343216438301</v>
      </c>
      <c r="AI4058">
        <v>93.268450789153803</v>
      </c>
      <c r="AJ4058">
        <v>106.688928348405</v>
      </c>
      <c r="AK4058">
        <v>19.4802424469014</v>
      </c>
      <c r="AL4058">
        <v>84.375048013678906</v>
      </c>
      <c r="AM4058">
        <v>99.329400211187107</v>
      </c>
      <c r="AN4058">
        <v>1.0000000370558</v>
      </c>
    </row>
    <row r="4059" spans="1:40" x14ac:dyDescent="0.25">
      <c r="A4059" t="str">
        <f>"20190312151355007"</f>
        <v>20190312151355007</v>
      </c>
      <c r="B4059" t="str">
        <f>"1552374835004415"</f>
        <v>1552374835004415</v>
      </c>
      <c r="C4059" t="s">
        <v>40</v>
      </c>
      <c r="D4059">
        <v>4.541982</v>
      </c>
      <c r="E4059">
        <v>0.45678049999999998</v>
      </c>
      <c r="F4059" t="s">
        <v>42</v>
      </c>
      <c r="G4059">
        <v>-321.4708</v>
      </c>
      <c r="H4059" s="1">
        <v>-3.997375E-6</v>
      </c>
      <c r="I4059">
        <v>137.60900000000001</v>
      </c>
      <c r="J4059">
        <v>-302.22210000000001</v>
      </c>
      <c r="K4059">
        <v>1.1106670000000001</v>
      </c>
      <c r="L4059">
        <v>142.01130000000001</v>
      </c>
      <c r="M4059">
        <v>-0.99786540000000001</v>
      </c>
      <c r="N4059">
        <v>0</v>
      </c>
      <c r="O4059">
        <v>6.4488580000000004E-2</v>
      </c>
      <c r="P4059">
        <v>-0.99134960000000005</v>
      </c>
      <c r="Q4059">
        <v>8.9481980000000003E-2</v>
      </c>
      <c r="R4059">
        <v>-9.6016669999999998E-2</v>
      </c>
      <c r="S4059">
        <v>-2.9765320000000002</v>
      </c>
      <c r="T4059">
        <v>-0.16829839999999999</v>
      </c>
      <c r="U4059">
        <v>-0.6632538</v>
      </c>
      <c r="V4059">
        <v>-0.16004649999999901</v>
      </c>
      <c r="W4059">
        <v>9.9126190000000003E-2</v>
      </c>
      <c r="X4059">
        <v>0.98211970000000004</v>
      </c>
      <c r="Y4059">
        <v>-0.27946379999999998</v>
      </c>
      <c r="Z4059">
        <v>-1.140305E-2</v>
      </c>
      <c r="AA4059">
        <v>0.96008850000000001</v>
      </c>
      <c r="AB4059">
        <v>43</v>
      </c>
      <c r="AC4059">
        <v>-19.2486999999999</v>
      </c>
      <c r="AD4059">
        <v>-1.110670997375</v>
      </c>
      <c r="AE4059">
        <v>-4.4022999999999897</v>
      </c>
      <c r="AF4059">
        <v>-5.6167514785130104</v>
      </c>
      <c r="AG4059">
        <v>-1.110670997375</v>
      </c>
      <c r="AH4059">
        <v>18.865027946641099</v>
      </c>
      <c r="AI4059">
        <v>93.229588020175399</v>
      </c>
      <c r="AJ4059">
        <v>106.58003351237301</v>
      </c>
      <c r="AK4059">
        <v>19.714734760156901</v>
      </c>
      <c r="AL4059">
        <v>84.311145123379305</v>
      </c>
      <c r="AM4059">
        <v>99.255577924626806</v>
      </c>
      <c r="AN4059">
        <v>0.99999999441712795</v>
      </c>
    </row>
    <row r="4060" spans="1:40" x14ac:dyDescent="0.25">
      <c r="A4060" t="str">
        <f>"20190312151355029"</f>
        <v>20190312151355029</v>
      </c>
      <c r="B4060" t="str">
        <f>"1552374835024910"</f>
        <v>1552374835024910</v>
      </c>
      <c r="C4060" t="s">
        <v>40</v>
      </c>
      <c r="D4060">
        <v>4.5162959999999996</v>
      </c>
      <c r="E4060">
        <v>0.45707379999999997</v>
      </c>
      <c r="F4060" t="s">
        <v>42</v>
      </c>
      <c r="G4060">
        <v>-321.36739999999998</v>
      </c>
      <c r="H4060" s="1">
        <v>-4.0114250000000003E-6</v>
      </c>
      <c r="I4060">
        <v>137.7799</v>
      </c>
      <c r="J4060">
        <v>-302.65320000000003</v>
      </c>
      <c r="K4060">
        <v>1.1106780000000001</v>
      </c>
      <c r="L4060">
        <v>142.03829999999999</v>
      </c>
      <c r="M4060">
        <v>-0.9979344</v>
      </c>
      <c r="N4060">
        <v>0</v>
      </c>
      <c r="O4060">
        <v>6.3407400000000003E-2</v>
      </c>
      <c r="P4060">
        <v>-0.99132019999999998</v>
      </c>
      <c r="Q4060">
        <v>9.0052160000000006E-2</v>
      </c>
      <c r="R4060">
        <v>-9.5788449999999997E-2</v>
      </c>
      <c r="S4060">
        <v>-2.978027</v>
      </c>
      <c r="T4060">
        <v>-0.1727639</v>
      </c>
      <c r="U4060">
        <v>-0.6581726</v>
      </c>
      <c r="V4060">
        <v>-0.15875529999999999</v>
      </c>
      <c r="W4060">
        <v>9.9737320000000004E-2</v>
      </c>
      <c r="X4060">
        <v>0.98226740000000001</v>
      </c>
      <c r="Y4060">
        <v>-0.27673720000000002</v>
      </c>
      <c r="Z4060">
        <v>-1.156135E-2</v>
      </c>
      <c r="AA4060">
        <v>0.96087610000000001</v>
      </c>
      <c r="AB4060">
        <v>43</v>
      </c>
      <c r="AC4060">
        <v>-18.714199999999899</v>
      </c>
      <c r="AD4060">
        <v>-1.110682011425</v>
      </c>
      <c r="AE4060">
        <v>-4.2583999999999902</v>
      </c>
      <c r="AF4060">
        <v>-5.4183659376187903</v>
      </c>
      <c r="AG4060">
        <v>-1.110682011425</v>
      </c>
      <c r="AH4060">
        <v>18.345072162444598</v>
      </c>
      <c r="AI4060">
        <v>93.323101413696307</v>
      </c>
      <c r="AJ4060">
        <v>106.45493321232701</v>
      </c>
      <c r="AK4060">
        <v>19.160740502646298</v>
      </c>
      <c r="AL4060">
        <v>84.275955666157401</v>
      </c>
      <c r="AM4060">
        <v>99.180826930532902</v>
      </c>
      <c r="AN4060">
        <v>1.0000000116908101</v>
      </c>
    </row>
    <row r="4061" spans="1:40" x14ac:dyDescent="0.25">
      <c r="A4061" t="str">
        <f>"20190312151355052"</f>
        <v>20190312151355052</v>
      </c>
      <c r="B4061" t="str">
        <f>"1552374835044434"</f>
        <v>1552374835044434</v>
      </c>
      <c r="C4061" t="s">
        <v>40</v>
      </c>
      <c r="D4061">
        <v>4.5318189999999996</v>
      </c>
      <c r="E4061">
        <v>0.4571421</v>
      </c>
      <c r="F4061" t="s">
        <v>42</v>
      </c>
      <c r="G4061">
        <v>-321.1284</v>
      </c>
      <c r="H4061" s="1">
        <v>-4.0793110000000002E-6</v>
      </c>
      <c r="I4061">
        <v>137.9753</v>
      </c>
      <c r="J4061">
        <v>-303.09070000000003</v>
      </c>
      <c r="K4061">
        <v>1.1106849999999999</v>
      </c>
      <c r="L4061">
        <v>142.0652</v>
      </c>
      <c r="M4061">
        <v>-0.99800310000000003</v>
      </c>
      <c r="N4061">
        <v>0</v>
      </c>
      <c r="O4061">
        <v>6.2309919999999998E-2</v>
      </c>
      <c r="P4061">
        <v>-0.99126599999999998</v>
      </c>
      <c r="Q4061">
        <v>9.0809879999999996E-2</v>
      </c>
      <c r="R4061">
        <v>-9.5632480000000006E-2</v>
      </c>
      <c r="S4061">
        <v>-2.9792179999999999</v>
      </c>
      <c r="T4061">
        <v>-0.17910400000000001</v>
      </c>
      <c r="U4061">
        <v>-0.65516660000000004</v>
      </c>
      <c r="V4061">
        <v>-0.1575182</v>
      </c>
      <c r="W4061">
        <v>0.100532</v>
      </c>
      <c r="X4061">
        <v>0.98238550000000002</v>
      </c>
      <c r="Y4061">
        <v>-0.27463949999999998</v>
      </c>
      <c r="Z4061">
        <v>-1.185395E-2</v>
      </c>
      <c r="AA4061">
        <v>0.96147419999999995</v>
      </c>
      <c r="AB4061">
        <v>43</v>
      </c>
      <c r="AC4061">
        <v>-18.037699999999901</v>
      </c>
      <c r="AD4061">
        <v>-1.110689079311</v>
      </c>
      <c r="AE4061">
        <v>-4.0899000000000001</v>
      </c>
      <c r="AF4061">
        <v>-5.1872335905914202</v>
      </c>
      <c r="AG4061">
        <v>-1.110689079311</v>
      </c>
      <c r="AH4061">
        <v>17.6840191354657</v>
      </c>
      <c r="AI4061">
        <v>93.448941941092798</v>
      </c>
      <c r="AJ4061">
        <v>106.34793679529299</v>
      </c>
      <c r="AK4061">
        <v>18.462544660413901</v>
      </c>
      <c r="AL4061">
        <v>84.230193601508702</v>
      </c>
      <c r="AM4061">
        <v>99.109412884252606</v>
      </c>
      <c r="AN4061">
        <v>0.99999996848274397</v>
      </c>
    </row>
    <row r="4062" spans="1:40" x14ac:dyDescent="0.25">
      <c r="A4062" t="str">
        <f>"20190312151355084"</f>
        <v>20190312151355084</v>
      </c>
      <c r="B4062" t="str">
        <f>"1552374835074690"</f>
        <v>1552374835074690</v>
      </c>
      <c r="C4062" t="s">
        <v>40</v>
      </c>
      <c r="D4062">
        <v>4.536594</v>
      </c>
      <c r="E4062">
        <v>0.45760800000000001</v>
      </c>
      <c r="F4062" t="s">
        <v>42</v>
      </c>
      <c r="G4062">
        <v>-321.63929999999999</v>
      </c>
      <c r="H4062" s="1">
        <v>-3.8565310000000001E-6</v>
      </c>
      <c r="I4062">
        <v>137.9956</v>
      </c>
      <c r="J4062">
        <v>-303.7244</v>
      </c>
      <c r="K4062">
        <v>1.110695</v>
      </c>
      <c r="L4062">
        <v>142.1035</v>
      </c>
      <c r="M4062">
        <v>-0.99810049999999995</v>
      </c>
      <c r="N4062">
        <v>0</v>
      </c>
      <c r="O4062">
        <v>6.0720499999999997E-2</v>
      </c>
      <c r="P4062">
        <v>-0.99122089999999996</v>
      </c>
      <c r="Q4062">
        <v>9.13768999999999E-2</v>
      </c>
      <c r="R4062">
        <v>-9.5559649999999996E-2</v>
      </c>
      <c r="S4062">
        <v>-2.9797669999999998</v>
      </c>
      <c r="T4062">
        <v>-0.17842949999999999</v>
      </c>
      <c r="U4062">
        <v>-0.65376279999999998</v>
      </c>
      <c r="V4062">
        <v>-0.1558795</v>
      </c>
      <c r="W4062">
        <v>0.1011468</v>
      </c>
      <c r="X4062">
        <v>0.98258380000000001</v>
      </c>
      <c r="Y4062">
        <v>-0.27264939999999999</v>
      </c>
      <c r="Z4062">
        <v>-1.165485E-2</v>
      </c>
      <c r="AA4062">
        <v>0.96204290000000003</v>
      </c>
      <c r="AB4062">
        <v>43</v>
      </c>
      <c r="AC4062">
        <v>-17.9148999999999</v>
      </c>
      <c r="AD4062">
        <v>-1.1106988565310001</v>
      </c>
      <c r="AE4062">
        <v>-4.1078999999999999</v>
      </c>
      <c r="AF4062">
        <v>-5.1693026121861898</v>
      </c>
      <c r="AG4062">
        <v>-1.1106988565310001</v>
      </c>
      <c r="AH4062">
        <v>17.568236699704801</v>
      </c>
      <c r="AI4062">
        <v>93.470792517125304</v>
      </c>
      <c r="AJ4062">
        <v>106.396066255154</v>
      </c>
      <c r="AK4062">
        <v>18.346615006128701</v>
      </c>
      <c r="AL4062">
        <v>84.194787915674993</v>
      </c>
      <c r="AM4062">
        <v>99.014420450347501</v>
      </c>
      <c r="AN4062">
        <v>1.00000000884646</v>
      </c>
    </row>
    <row r="4063" spans="1:40" x14ac:dyDescent="0.25">
      <c r="A4063" t="str">
        <f>"20190312151355109"</f>
        <v>20190312151355109</v>
      </c>
      <c r="B4063" t="str">
        <f>"1552374835104943"</f>
        <v>1552374835104943</v>
      </c>
      <c r="C4063" t="s">
        <v>40</v>
      </c>
      <c r="D4063">
        <v>4.4877029999999998</v>
      </c>
      <c r="E4063">
        <v>0.45767079999999999</v>
      </c>
      <c r="F4063" t="s">
        <v>42</v>
      </c>
      <c r="G4063">
        <v>-322.98500000000001</v>
      </c>
      <c r="H4063" s="1">
        <v>-3.2951949999999999E-6</v>
      </c>
      <c r="I4063">
        <v>137.90539999999999</v>
      </c>
      <c r="J4063">
        <v>-304.19139999999999</v>
      </c>
      <c r="K4063">
        <v>1.110695</v>
      </c>
      <c r="L4063">
        <v>142.1309</v>
      </c>
      <c r="M4063">
        <v>-0.99817089999999997</v>
      </c>
      <c r="N4063">
        <v>0</v>
      </c>
      <c r="O4063">
        <v>5.9549409999999997E-2</v>
      </c>
      <c r="P4063">
        <v>-0.9911664</v>
      </c>
      <c r="Q4063">
        <v>9.1343060000000004E-2</v>
      </c>
      <c r="R4063">
        <v>-9.6157590000000001E-2</v>
      </c>
      <c r="S4063">
        <v>-2.979797</v>
      </c>
      <c r="T4063">
        <v>-0.17183590000000001</v>
      </c>
      <c r="U4063">
        <v>-0.64947509999999997</v>
      </c>
      <c r="V4063">
        <v>-0.15531919999999999</v>
      </c>
      <c r="W4063">
        <v>0.1011416</v>
      </c>
      <c r="X4063">
        <v>0.98267300000000002</v>
      </c>
      <c r="Y4063">
        <v>-0.27024359999999997</v>
      </c>
      <c r="Z4063">
        <v>-1.109108E-2</v>
      </c>
      <c r="AA4063">
        <v>0.96272809999999998</v>
      </c>
      <c r="AB4063">
        <v>43</v>
      </c>
      <c r="AC4063">
        <v>-18.793600000000001</v>
      </c>
      <c r="AD4063">
        <v>-1.110698295195</v>
      </c>
      <c r="AE4063">
        <v>-4.22550000000001</v>
      </c>
      <c r="AF4063">
        <v>-5.3195231603098598</v>
      </c>
      <c r="AG4063">
        <v>-1.110698295195</v>
      </c>
      <c r="AH4063">
        <v>18.447272791732601</v>
      </c>
      <c r="AI4063">
        <v>93.310988991513497</v>
      </c>
      <c r="AJ4063">
        <v>106.08563916351601</v>
      </c>
      <c r="AK4063">
        <v>19.2310387345203</v>
      </c>
      <c r="AL4063">
        <v>84.195087052745905</v>
      </c>
      <c r="AM4063">
        <v>98.981745798300594</v>
      </c>
      <c r="AN4063">
        <v>0.999999951034098</v>
      </c>
    </row>
    <row r="4064" spans="1:40" x14ac:dyDescent="0.25">
      <c r="A4064" t="str">
        <f>"20190312151355131"</f>
        <v>20190312151355131</v>
      </c>
      <c r="B4064" t="str">
        <f>"1552374835124463"</f>
        <v>1552374835124463</v>
      </c>
      <c r="C4064" t="s">
        <v>40</v>
      </c>
      <c r="D4064">
        <v>4.5037269999999996</v>
      </c>
      <c r="E4064">
        <v>0.45779809999999999</v>
      </c>
      <c r="F4064" t="s">
        <v>42</v>
      </c>
      <c r="G4064">
        <v>-323.56360000000001</v>
      </c>
      <c r="H4064" s="1">
        <v>-3.0479640000000001E-6</v>
      </c>
      <c r="I4064">
        <v>137.8999</v>
      </c>
      <c r="J4064">
        <v>-304.61950000000002</v>
      </c>
      <c r="K4064">
        <v>1.110698</v>
      </c>
      <c r="L4064">
        <v>142.1557</v>
      </c>
      <c r="M4064">
        <v>-0.99823390000000001</v>
      </c>
      <c r="N4064">
        <v>0</v>
      </c>
      <c r="O4064">
        <v>5.8476170000000001E-2</v>
      </c>
      <c r="P4064">
        <v>-0.991039</v>
      </c>
      <c r="Q4064">
        <v>9.1735510000000006E-2</v>
      </c>
      <c r="R4064">
        <v>-9.7089179999999997E-2</v>
      </c>
      <c r="S4064">
        <v>-2.9793090000000002</v>
      </c>
      <c r="T4064">
        <v>-0.17081769999999999</v>
      </c>
      <c r="U4064">
        <v>-0.65069580000000005</v>
      </c>
      <c r="V4064">
        <v>-0.1551865</v>
      </c>
      <c r="W4064">
        <v>0.1015553</v>
      </c>
      <c r="X4064">
        <v>0.98265139999999995</v>
      </c>
      <c r="Y4064">
        <v>-0.2696267</v>
      </c>
      <c r="Z4064">
        <v>-1.094842E-2</v>
      </c>
      <c r="AA4064">
        <v>0.9629027</v>
      </c>
      <c r="AB4064">
        <v>43</v>
      </c>
      <c r="AC4064">
        <v>-18.944099999999899</v>
      </c>
      <c r="AD4064">
        <v>-1.110701047964</v>
      </c>
      <c r="AE4064">
        <v>-4.25579999999999</v>
      </c>
      <c r="AF4064">
        <v>-5.3388849718597298</v>
      </c>
      <c r="AG4064">
        <v>-1.110701047964</v>
      </c>
      <c r="AH4064">
        <v>18.6019302875828</v>
      </c>
      <c r="AI4064">
        <v>93.284711011472098</v>
      </c>
      <c r="AJ4064">
        <v>106.01385177754</v>
      </c>
      <c r="AK4064">
        <v>19.384766183392198</v>
      </c>
      <c r="AL4064">
        <v>84.1712616940045</v>
      </c>
      <c r="AM4064">
        <v>98.974391064917498</v>
      </c>
      <c r="AN4064">
        <v>1.00000005133114</v>
      </c>
    </row>
    <row r="4065" spans="1:40" x14ac:dyDescent="0.25">
      <c r="A4065" t="str">
        <f>"20190312151355152"</f>
        <v>20190312151355152</v>
      </c>
      <c r="B4065" t="str">
        <f>"1552374835144958"</f>
        <v>1552374835144958</v>
      </c>
      <c r="C4065" t="s">
        <v>40</v>
      </c>
      <c r="D4065">
        <v>4.5059990000000001</v>
      </c>
      <c r="E4065">
        <v>0.45786709999999903</v>
      </c>
      <c r="F4065" t="s">
        <v>42</v>
      </c>
      <c r="G4065">
        <v>-324.49939999999998</v>
      </c>
      <c r="H4065" s="1">
        <v>-2.663838E-6</v>
      </c>
      <c r="I4065">
        <v>137.8023</v>
      </c>
      <c r="J4065">
        <v>-305.03609999999998</v>
      </c>
      <c r="K4065">
        <v>1.1107009999999999</v>
      </c>
      <c r="L4065">
        <v>142.17930000000001</v>
      </c>
      <c r="M4065">
        <v>-0.99829449999999997</v>
      </c>
      <c r="N4065">
        <v>0</v>
      </c>
      <c r="O4065">
        <v>5.7431259999999998E-2</v>
      </c>
      <c r="P4065">
        <v>-0.99085440000000002</v>
      </c>
      <c r="Q4065">
        <v>9.2470090000000005E-2</v>
      </c>
      <c r="R4065">
        <v>-9.8269770000000006E-2</v>
      </c>
      <c r="S4065">
        <v>-2.9786679999999999</v>
      </c>
      <c r="T4065">
        <v>-0.16642019999999999</v>
      </c>
      <c r="U4065">
        <v>-0.6522675</v>
      </c>
      <c r="V4065">
        <v>-0.15532779999999999</v>
      </c>
      <c r="W4065">
        <v>0.1023066</v>
      </c>
      <c r="X4065">
        <v>0.98255110000000001</v>
      </c>
      <c r="Y4065">
        <v>-0.2691752</v>
      </c>
      <c r="Z4065">
        <v>-1.0598430000000001E-2</v>
      </c>
      <c r="AA4065">
        <v>0.96303289999999997</v>
      </c>
      <c r="AB4065">
        <v>43</v>
      </c>
      <c r="AC4065">
        <v>-19.4633</v>
      </c>
      <c r="AD4065">
        <v>-1.1107036638379999</v>
      </c>
      <c r="AE4065">
        <v>-4.3769999999999998</v>
      </c>
      <c r="AF4065">
        <v>-5.4706798395599199</v>
      </c>
      <c r="AG4065">
        <v>-1.1107036638379999</v>
      </c>
      <c r="AH4065">
        <v>19.120510921673699</v>
      </c>
      <c r="AI4065">
        <v>93.196571624882495</v>
      </c>
      <c r="AJ4065">
        <v>105.96666126987699</v>
      </c>
      <c r="AK4065">
        <v>19.918733354349499</v>
      </c>
      <c r="AL4065">
        <v>84.127989780180897</v>
      </c>
      <c r="AM4065">
        <v>98.983331214911999</v>
      </c>
      <c r="AN4065">
        <v>1.0000000149838</v>
      </c>
    </row>
    <row r="4066" spans="1:40" x14ac:dyDescent="0.25">
      <c r="A4066" t="str">
        <f>"20190312151355173"</f>
        <v>20190312151355173</v>
      </c>
      <c r="B4066" t="str">
        <f>"1552374835164478"</f>
        <v>1552374835164478</v>
      </c>
      <c r="C4066" t="s">
        <v>40</v>
      </c>
      <c r="D4066">
        <v>4.5062069999999999</v>
      </c>
      <c r="E4066">
        <v>0.45780650000000001</v>
      </c>
      <c r="F4066" t="s">
        <v>42</v>
      </c>
      <c r="G4066">
        <v>-325.42410000000001</v>
      </c>
      <c r="H4066" s="1">
        <v>-2.2863750000000002E-6</v>
      </c>
      <c r="I4066">
        <v>137.69390000000001</v>
      </c>
      <c r="J4066">
        <v>-305.44319999999999</v>
      </c>
      <c r="K4066">
        <v>1.110711</v>
      </c>
      <c r="L4066">
        <v>142.202</v>
      </c>
      <c r="M4066">
        <v>-0.99835249999999998</v>
      </c>
      <c r="N4066">
        <v>0</v>
      </c>
      <c r="O4066">
        <v>5.6410809999999999E-2</v>
      </c>
      <c r="P4066">
        <v>-0.99067830000000001</v>
      </c>
      <c r="Q4066">
        <v>9.3269459999999998E-2</v>
      </c>
      <c r="R4066">
        <v>-9.928592E-2</v>
      </c>
      <c r="S4066">
        <v>-2.9778440000000002</v>
      </c>
      <c r="T4066">
        <v>-0.1622285</v>
      </c>
      <c r="U4066">
        <v>-0.65512079999999995</v>
      </c>
      <c r="V4066">
        <v>-0.1553301</v>
      </c>
      <c r="W4066">
        <v>0.1031215</v>
      </c>
      <c r="X4066">
        <v>0.98246549999999999</v>
      </c>
      <c r="Y4066">
        <v>-0.26915260000000002</v>
      </c>
      <c r="Z4066">
        <v>-1.0278020000000001E-2</v>
      </c>
      <c r="AA4066">
        <v>0.96304270000000003</v>
      </c>
      <c r="AB4066">
        <v>43</v>
      </c>
      <c r="AC4066">
        <v>-19.980899999999998</v>
      </c>
      <c r="AD4066">
        <v>-1.110713286375</v>
      </c>
      <c r="AE4066">
        <v>-4.5080999999999802</v>
      </c>
      <c r="AF4066">
        <v>-5.6116209456339501</v>
      </c>
      <c r="AG4066">
        <v>-1.110713286375</v>
      </c>
      <c r="AH4066">
        <v>19.637018942304199</v>
      </c>
      <c r="AI4066">
        <v>93.112973442505094</v>
      </c>
      <c r="AJ4066">
        <v>105.94821237234601</v>
      </c>
      <c r="AK4066">
        <v>20.4532756932091</v>
      </c>
      <c r="AL4066">
        <v>84.0810509270419</v>
      </c>
      <c r="AM4066">
        <v>98.984232007573894</v>
      </c>
      <c r="AN4066">
        <v>0.99999997120925399</v>
      </c>
    </row>
    <row r="4067" spans="1:40" x14ac:dyDescent="0.25">
      <c r="A4067" t="str">
        <f>"20190312151355196"</f>
        <v>20190312151355196</v>
      </c>
      <c r="B4067" t="str">
        <f>"1552374835194735"</f>
        <v>1552374835194735</v>
      </c>
      <c r="C4067" t="s">
        <v>40</v>
      </c>
      <c r="D4067">
        <v>4.6855079999999996</v>
      </c>
      <c r="E4067">
        <v>0.45815669999999997</v>
      </c>
      <c r="F4067" t="s">
        <v>42</v>
      </c>
      <c r="G4067">
        <v>-326.08159999999998</v>
      </c>
      <c r="H4067" s="1">
        <v>-2.0150370000000002E-6</v>
      </c>
      <c r="I4067">
        <v>137.63339999999999</v>
      </c>
      <c r="J4067">
        <v>-305.89580000000001</v>
      </c>
      <c r="K4067">
        <v>1.110714</v>
      </c>
      <c r="L4067">
        <v>142.22669999999999</v>
      </c>
      <c r="M4067">
        <v>-0.99841559999999996</v>
      </c>
      <c r="N4067">
        <v>0</v>
      </c>
      <c r="O4067">
        <v>5.5276640000000002E-2</v>
      </c>
      <c r="P4067">
        <v>-0.99051299999999998</v>
      </c>
      <c r="Q4067">
        <v>9.3822810000000006E-2</v>
      </c>
      <c r="R4067">
        <v>-0.1004057</v>
      </c>
      <c r="S4067">
        <v>-2.9772340000000002</v>
      </c>
      <c r="T4067">
        <v>-0.1602286</v>
      </c>
      <c r="U4067">
        <v>-0.65904240000000003</v>
      </c>
      <c r="V4067">
        <v>-0.15532409999999999</v>
      </c>
      <c r="W4067">
        <v>0.10369109999999999</v>
      </c>
      <c r="X4067">
        <v>0.98240649999999996</v>
      </c>
      <c r="Y4067">
        <v>-0.26932230000000001</v>
      </c>
      <c r="Z4067">
        <v>-1.0096259999999999E-2</v>
      </c>
      <c r="AA4067">
        <v>0.9629972</v>
      </c>
      <c r="AB4067">
        <v>43</v>
      </c>
      <c r="AC4067">
        <v>-20.185799999999901</v>
      </c>
      <c r="AD4067">
        <v>-1.1107160150369999</v>
      </c>
      <c r="AE4067">
        <v>-4.5932999999999904</v>
      </c>
      <c r="AF4067">
        <v>-5.6857740581315204</v>
      </c>
      <c r="AG4067">
        <v>-1.1107160150369999</v>
      </c>
      <c r="AH4067">
        <v>19.843894101503</v>
      </c>
      <c r="AI4067">
        <v>93.0799746021857</v>
      </c>
      <c r="AJ4067">
        <v>105.98833764539</v>
      </c>
      <c r="AK4067">
        <v>20.672248300991502</v>
      </c>
      <c r="AL4067">
        <v>84.048239380449104</v>
      </c>
      <c r="AM4067">
        <v>98.984421371472294</v>
      </c>
      <c r="AN4067">
        <v>0.99999997575113397</v>
      </c>
    </row>
    <row r="4068" spans="1:40" x14ac:dyDescent="0.25">
      <c r="A4068" t="str">
        <f>"20190312151355219"</f>
        <v>20190312151355219</v>
      </c>
      <c r="B4068" t="str">
        <f>"1552374835214255"</f>
        <v>1552374835214255</v>
      </c>
      <c r="C4068" t="s">
        <v>40</v>
      </c>
      <c r="D4068">
        <v>4.5587869999999997</v>
      </c>
      <c r="E4068">
        <v>0.50776529999999998</v>
      </c>
      <c r="F4068" t="s">
        <v>42</v>
      </c>
      <c r="G4068">
        <v>-326.45139999999998</v>
      </c>
      <c r="H4068" s="1">
        <v>-1.8504009999999999E-6</v>
      </c>
      <c r="I4068">
        <v>137.66720000000001</v>
      </c>
      <c r="J4068">
        <v>-306.32260000000002</v>
      </c>
      <c r="K4068">
        <v>1.110716</v>
      </c>
      <c r="L4068">
        <v>142.24950000000001</v>
      </c>
      <c r="M4068">
        <v>-0.99847419999999998</v>
      </c>
      <c r="N4068">
        <v>0</v>
      </c>
      <c r="O4068">
        <v>5.4207030000000003E-2</v>
      </c>
      <c r="P4068">
        <v>-0.99035890000000004</v>
      </c>
      <c r="Q4068">
        <v>9.4158569999999997E-2</v>
      </c>
      <c r="R4068">
        <v>-0.1016053</v>
      </c>
      <c r="S4068">
        <v>-2.97702</v>
      </c>
      <c r="T4068">
        <v>-0.16086339999999999</v>
      </c>
      <c r="U4068">
        <v>-0.66032409999999997</v>
      </c>
      <c r="V4068">
        <v>-0.15546170000000001</v>
      </c>
      <c r="W4068">
        <v>0.1040402</v>
      </c>
      <c r="X4068">
        <v>0.98234779999999999</v>
      </c>
      <c r="Y4068">
        <v>-0.26869929999999997</v>
      </c>
      <c r="Z4068">
        <v>-1.0062659999999999E-2</v>
      </c>
      <c r="AA4068">
        <v>0.96317149999999996</v>
      </c>
      <c r="AB4068">
        <v>44</v>
      </c>
      <c r="AC4068">
        <v>-20.128799999999899</v>
      </c>
      <c r="AD4068">
        <v>-1.110717850401</v>
      </c>
      <c r="AE4068">
        <v>-4.5823</v>
      </c>
      <c r="AF4068">
        <v>-5.6503878141927997</v>
      </c>
      <c r="AG4068">
        <v>-1.110717850401</v>
      </c>
      <c r="AH4068">
        <v>19.793495520732801</v>
      </c>
      <c r="AI4068">
        <v>93.088669129761897</v>
      </c>
      <c r="AJ4068">
        <v>105.93229065582</v>
      </c>
      <c r="AK4068">
        <v>20.614146635823801</v>
      </c>
      <c r="AL4068">
        <v>84.028128507348001</v>
      </c>
      <c r="AM4068">
        <v>98.992779125998197</v>
      </c>
      <c r="AN4068">
        <v>0.99999995177388301</v>
      </c>
    </row>
    <row r="4069" spans="1:40" x14ac:dyDescent="0.25">
      <c r="A4069" t="str">
        <f>"20190312151355241"</f>
        <v>20190312151355241</v>
      </c>
      <c r="B4069" t="str">
        <f>"1552374835234750"</f>
        <v>1552374835234750</v>
      </c>
      <c r="C4069" t="s">
        <v>40</v>
      </c>
      <c r="D4069">
        <v>4.5526900000000001</v>
      </c>
      <c r="E4069">
        <v>0.51143269999999996</v>
      </c>
      <c r="F4069" t="s">
        <v>42</v>
      </c>
      <c r="G4069">
        <v>-327.03039999999999</v>
      </c>
      <c r="H4069" s="1">
        <v>-1.4640690000000001E-6</v>
      </c>
      <c r="I4069">
        <v>140.3974</v>
      </c>
      <c r="J4069">
        <v>-306.76089999999999</v>
      </c>
      <c r="K4069">
        <v>1.1107209999999901</v>
      </c>
      <c r="L4069">
        <v>142.27250000000001</v>
      </c>
      <c r="M4069">
        <v>-0.99853309999999995</v>
      </c>
      <c r="N4069">
        <v>0</v>
      </c>
      <c r="O4069">
        <v>5.3109129999999997E-2</v>
      </c>
      <c r="P4069">
        <v>-0.99015189999999997</v>
      </c>
      <c r="Q4069">
        <v>9.5335890000000006E-2</v>
      </c>
      <c r="R4069">
        <v>-0.10252120000000001</v>
      </c>
      <c r="S4069">
        <v>-3.0168759999999999</v>
      </c>
      <c r="T4069">
        <v>-0.16181889999999999</v>
      </c>
      <c r="U4069">
        <v>-0.26982119999999998</v>
      </c>
      <c r="V4069">
        <v>-0.1552876</v>
      </c>
      <c r="W4069">
        <v>0.1052305</v>
      </c>
      <c r="X4069">
        <v>0.98224860000000003</v>
      </c>
      <c r="Y4069">
        <v>-0.14157899999999901</v>
      </c>
      <c r="Z4069">
        <v>-6.628526E-3</v>
      </c>
      <c r="AA4069">
        <v>0.98990480000000003</v>
      </c>
      <c r="AB4069">
        <v>44</v>
      </c>
      <c r="AC4069">
        <v>-20.269499999999901</v>
      </c>
      <c r="AD4069">
        <v>-1.1107224640690001</v>
      </c>
      <c r="AE4069">
        <v>-1.8751</v>
      </c>
      <c r="AF4069">
        <v>-2.9402546486038101</v>
      </c>
      <c r="AG4069">
        <v>-1.1107224640690001</v>
      </c>
      <c r="AH4069">
        <v>20.0815113938434</v>
      </c>
      <c r="AI4069">
        <v>93.1325127200694</v>
      </c>
      <c r="AJ4069">
        <v>98.329831589340202</v>
      </c>
      <c r="AK4069">
        <v>20.325990791395299</v>
      </c>
      <c r="AL4069">
        <v>83.959553218121101</v>
      </c>
      <c r="AM4069">
        <v>98.983764922808206</v>
      </c>
      <c r="AN4069">
        <v>1.00000000452298</v>
      </c>
    </row>
    <row r="4070" spans="1:40" x14ac:dyDescent="0.25">
      <c r="A4070" t="str">
        <f>"20190312151355264"</f>
        <v>20190312151355264</v>
      </c>
      <c r="B4070" t="str">
        <f>"1552374835254270"</f>
        <v>1552374835254270</v>
      </c>
      <c r="C4070" t="s">
        <v>40</v>
      </c>
      <c r="D4070">
        <v>4.5485579999999999</v>
      </c>
      <c r="E4070">
        <v>0.51257439999999999</v>
      </c>
      <c r="F4070" t="s">
        <v>42</v>
      </c>
      <c r="G4070">
        <v>-328.46879999999999</v>
      </c>
      <c r="H4070" s="1">
        <v>-8.8067870000000002E-7</v>
      </c>
      <c r="I4070">
        <v>140.5239</v>
      </c>
      <c r="J4070">
        <v>-307.19369999999998</v>
      </c>
      <c r="K4070">
        <v>1.11073</v>
      </c>
      <c r="L4070">
        <v>142.29470000000001</v>
      </c>
      <c r="M4070">
        <v>-0.99858999999999998</v>
      </c>
      <c r="N4070">
        <v>0</v>
      </c>
      <c r="O4070">
        <v>5.202536E-2</v>
      </c>
      <c r="P4070">
        <v>-0.99003490000000005</v>
      </c>
      <c r="Q4070">
        <v>9.6254080000000006E-2</v>
      </c>
      <c r="R4070">
        <v>-0.1027921</v>
      </c>
      <c r="S4070">
        <v>-3.0195310000000002</v>
      </c>
      <c r="T4070">
        <v>-0.1545001</v>
      </c>
      <c r="U4070">
        <v>-0.2432098</v>
      </c>
      <c r="V4070">
        <v>-0.1544886</v>
      </c>
      <c r="W4070">
        <v>0.1061632</v>
      </c>
      <c r="X4070">
        <v>0.98227419999999999</v>
      </c>
      <c r="Y4070">
        <v>-0.131798</v>
      </c>
      <c r="Z4070">
        <v>-6.0207899999999998E-3</v>
      </c>
      <c r="AA4070">
        <v>0.99125830000000004</v>
      </c>
      <c r="AB4070">
        <v>44</v>
      </c>
      <c r="AC4070">
        <v>-21.275099999999998</v>
      </c>
      <c r="AD4070">
        <v>-1.1107308806787</v>
      </c>
      <c r="AE4070">
        <v>-1.7707999999999999</v>
      </c>
      <c r="AF4070">
        <v>-2.8675458001153702</v>
      </c>
      <c r="AG4070">
        <v>-1.1107308806787</v>
      </c>
      <c r="AH4070">
        <v>21.0970455349354</v>
      </c>
      <c r="AI4070">
        <v>92.986353313577894</v>
      </c>
      <c r="AJ4070">
        <v>97.740304394610604</v>
      </c>
      <c r="AK4070">
        <v>21.319987624485002</v>
      </c>
      <c r="AL4070">
        <v>83.905812247646296</v>
      </c>
      <c r="AM4070">
        <v>98.9380598458158</v>
      </c>
      <c r="AN4070">
        <v>0.99999997827491904</v>
      </c>
    </row>
    <row r="4071" spans="1:40" x14ac:dyDescent="0.25">
      <c r="A4071" t="str">
        <f>"20190312151355287"</f>
        <v>20190312151355287</v>
      </c>
      <c r="B4071" t="str">
        <f>"1552374835284527"</f>
        <v>1552374835284527</v>
      </c>
      <c r="C4071" t="s">
        <v>40</v>
      </c>
      <c r="D4071">
        <v>4.5251299999999999</v>
      </c>
      <c r="E4071">
        <v>0.51328090000000004</v>
      </c>
      <c r="F4071" t="s">
        <v>42</v>
      </c>
      <c r="G4071">
        <v>-329.36810000000003</v>
      </c>
      <c r="H4071" s="1">
        <v>-5.0678569999999997E-7</v>
      </c>
      <c r="I4071">
        <v>140.5686</v>
      </c>
      <c r="J4071">
        <v>-307.63249999999999</v>
      </c>
      <c r="K4071">
        <v>1.110733</v>
      </c>
      <c r="L4071">
        <v>142.3168</v>
      </c>
      <c r="M4071">
        <v>-0.99864640000000005</v>
      </c>
      <c r="N4071">
        <v>0</v>
      </c>
      <c r="O4071">
        <v>5.0926569999999997E-2</v>
      </c>
      <c r="P4071">
        <v>-0.98989450000000001</v>
      </c>
      <c r="Q4071">
        <v>9.7427009999999994E-2</v>
      </c>
      <c r="R4071">
        <v>-0.1030388</v>
      </c>
      <c r="S4071">
        <v>-3.020508</v>
      </c>
      <c r="T4071">
        <v>-0.15129960000000001</v>
      </c>
      <c r="U4071">
        <v>-0.23510739999999999</v>
      </c>
      <c r="V4071">
        <v>-0.1536496</v>
      </c>
      <c r="W4071">
        <v>0.1073503</v>
      </c>
      <c r="X4071">
        <v>0.98227679999999995</v>
      </c>
      <c r="Y4071">
        <v>-0.12805419999999901</v>
      </c>
      <c r="Z4071">
        <v>-5.746414E-3</v>
      </c>
      <c r="AA4071">
        <v>0.99175049999999998</v>
      </c>
      <c r="AB4071">
        <v>44</v>
      </c>
      <c r="AC4071">
        <v>-21.735600000000002</v>
      </c>
      <c r="AD4071">
        <v>-1.1107335067857</v>
      </c>
      <c r="AE4071">
        <v>-1.74819999999999</v>
      </c>
      <c r="AF4071">
        <v>-2.8455296408814199</v>
      </c>
      <c r="AG4071">
        <v>-1.1107335067857</v>
      </c>
      <c r="AH4071">
        <v>21.5624113662128</v>
      </c>
      <c r="AI4071">
        <v>92.923539079970297</v>
      </c>
      <c r="AJ4071">
        <v>97.517719511227497</v>
      </c>
      <c r="AK4071">
        <v>21.777703087929499</v>
      </c>
      <c r="AL4071">
        <v>83.837405618183496</v>
      </c>
      <c r="AM4071">
        <v>98.890273123307495</v>
      </c>
      <c r="AN4071">
        <v>0.99999999915424498</v>
      </c>
    </row>
    <row r="4072" spans="1:40" x14ac:dyDescent="0.25">
      <c r="A4072" t="str">
        <f>"20190312151355308"</f>
        <v>20190312151355308</v>
      </c>
      <c r="B4072" t="str">
        <f>"1552374835304047"</f>
        <v>1552374835304047</v>
      </c>
      <c r="C4072" t="s">
        <v>40</v>
      </c>
      <c r="D4072">
        <v>4.5315099999999999</v>
      </c>
      <c r="E4072">
        <v>0.51344520000000005</v>
      </c>
      <c r="F4072" t="s">
        <v>42</v>
      </c>
      <c r="G4072">
        <v>-329.86250000000001</v>
      </c>
      <c r="H4072" s="1">
        <v>-3.0838109999999998E-7</v>
      </c>
      <c r="I4072">
        <v>140.62010000000001</v>
      </c>
      <c r="J4072">
        <v>-308.0711</v>
      </c>
      <c r="K4072">
        <v>1.1107389999999999</v>
      </c>
      <c r="L4072">
        <v>142.3383</v>
      </c>
      <c r="M4072">
        <v>-0.99870179999999997</v>
      </c>
      <c r="N4072">
        <v>0</v>
      </c>
      <c r="O4072">
        <v>4.9828270000000001E-2</v>
      </c>
      <c r="P4072">
        <v>-0.98983650000000001</v>
      </c>
      <c r="Q4072">
        <v>9.8226549999999996E-2</v>
      </c>
      <c r="R4072">
        <v>-0.1028374</v>
      </c>
      <c r="S4072">
        <v>-3.0214840000000001</v>
      </c>
      <c r="T4072">
        <v>-0.15097060000000001</v>
      </c>
      <c r="U4072">
        <v>-0.23060610000000001</v>
      </c>
      <c r="V4072">
        <v>-0.15236710000000001</v>
      </c>
      <c r="W4072">
        <v>0.1081652</v>
      </c>
      <c r="X4072">
        <v>0.98238720000000002</v>
      </c>
      <c r="Y4072">
        <v>-0.12547520000000001</v>
      </c>
      <c r="Z4072">
        <v>-5.6133270000000004E-3</v>
      </c>
      <c r="AA4072">
        <v>0.99208090000000004</v>
      </c>
      <c r="AB4072">
        <v>44</v>
      </c>
      <c r="AC4072">
        <v>-21.791399999999999</v>
      </c>
      <c r="AD4072">
        <v>-1.1107393083810999</v>
      </c>
      <c r="AE4072">
        <v>-1.71819999999999</v>
      </c>
      <c r="AF4072">
        <v>-2.7947377955473098</v>
      </c>
      <c r="AG4072">
        <v>-1.1107393083810999</v>
      </c>
      <c r="AH4072">
        <v>21.6228769162683</v>
      </c>
      <c r="AI4072">
        <v>92.916409119819505</v>
      </c>
      <c r="AJ4072">
        <v>97.364600766185305</v>
      </c>
      <c r="AK4072">
        <v>21.8310125118633</v>
      </c>
      <c r="AL4072">
        <v>83.790441999162695</v>
      </c>
      <c r="AM4072">
        <v>98.816262290923305</v>
      </c>
      <c r="AN4072">
        <v>1.00000002718864</v>
      </c>
    </row>
    <row r="4073" spans="1:40" x14ac:dyDescent="0.25">
      <c r="A4073" t="str">
        <f>"20190312151355332"</f>
        <v>20190312151355332</v>
      </c>
      <c r="B4073" t="str">
        <f>"1552374835324543"</f>
        <v>1552374835324543</v>
      </c>
      <c r="C4073" t="s">
        <v>40</v>
      </c>
      <c r="D4073">
        <v>4.5365169999999999</v>
      </c>
      <c r="E4073">
        <v>0.51367580000000002</v>
      </c>
      <c r="F4073" t="s">
        <v>42</v>
      </c>
      <c r="G4073">
        <v>-330.51839999999999</v>
      </c>
      <c r="H4073" s="1">
        <v>-4.6933450000000002E-6</v>
      </c>
      <c r="I4073">
        <v>140.63740000000001</v>
      </c>
      <c r="J4073">
        <v>-308.52390000000003</v>
      </c>
      <c r="K4073">
        <v>1.1107419999999999</v>
      </c>
      <c r="L4073">
        <v>142.36000000000001</v>
      </c>
      <c r="M4073">
        <v>-0.99875749999999996</v>
      </c>
      <c r="N4073">
        <v>0</v>
      </c>
      <c r="O4073">
        <v>4.8694929999999997E-2</v>
      </c>
      <c r="P4073">
        <v>-0.98974450000000003</v>
      </c>
      <c r="Q4073">
        <v>9.9390450000000005E-2</v>
      </c>
      <c r="R4073">
        <v>-0.10260270000000001</v>
      </c>
      <c r="S4073">
        <v>-3.0218509999999998</v>
      </c>
      <c r="T4073">
        <v>-0.14952799999999999</v>
      </c>
      <c r="U4073">
        <v>-0.22897339999999999</v>
      </c>
      <c r="V4073">
        <v>-0.15101609999999999</v>
      </c>
      <c r="W4073">
        <v>0.1093446</v>
      </c>
      <c r="X4073">
        <v>0.98246520000000004</v>
      </c>
      <c r="Y4073">
        <v>-0.1238148</v>
      </c>
      <c r="Z4073">
        <v>-5.4622219999999897E-3</v>
      </c>
      <c r="AA4073">
        <v>0.99229029999999996</v>
      </c>
      <c r="AB4073">
        <v>44</v>
      </c>
      <c r="AC4073">
        <v>-21.994499999999899</v>
      </c>
      <c r="AD4073">
        <v>-1.1107466933450001</v>
      </c>
      <c r="AE4073">
        <v>-1.7225999999999999</v>
      </c>
      <c r="AF4073">
        <v>-2.7845786180165</v>
      </c>
      <c r="AG4073">
        <v>-1.1107466933450001</v>
      </c>
      <c r="AH4073">
        <v>21.829185438989999</v>
      </c>
      <c r="AI4073">
        <v>92.889526749916101</v>
      </c>
      <c r="AJ4073">
        <v>97.269514433003295</v>
      </c>
      <c r="AK4073">
        <v>22.034086621108301</v>
      </c>
      <c r="AL4073">
        <v>83.722463894652094</v>
      </c>
      <c r="AM4073">
        <v>98.738619722884394</v>
      </c>
      <c r="AN4073">
        <v>0.99999998660970402</v>
      </c>
    </row>
    <row r="4074" spans="1:40" x14ac:dyDescent="0.25">
      <c r="A4074" t="str">
        <f>"20190312151355353"</f>
        <v>20190312151355353</v>
      </c>
      <c r="B4074" t="str">
        <f>"1552374835344063"</f>
        <v>1552374835344063</v>
      </c>
      <c r="C4074" t="s">
        <v>40</v>
      </c>
      <c r="D4074">
        <v>4.5094960000000004</v>
      </c>
      <c r="E4074">
        <v>0.5138317</v>
      </c>
      <c r="F4074" t="s">
        <v>42</v>
      </c>
      <c r="G4074">
        <v>-332.81299999999999</v>
      </c>
      <c r="H4074" s="1">
        <v>-3.623627E-6</v>
      </c>
      <c r="I4074">
        <v>140.5402</v>
      </c>
      <c r="J4074">
        <v>-308.94729999999998</v>
      </c>
      <c r="K4074">
        <v>1.110752</v>
      </c>
      <c r="L4074">
        <v>142.37989999999999</v>
      </c>
      <c r="M4074">
        <v>-0.99880860000000005</v>
      </c>
      <c r="N4074">
        <v>0</v>
      </c>
      <c r="O4074">
        <v>4.7635320000000002E-2</v>
      </c>
      <c r="P4074">
        <v>-0.98964549999999996</v>
      </c>
      <c r="Q4074">
        <v>0.10139529999999999</v>
      </c>
      <c r="R4074">
        <v>-0.1015924</v>
      </c>
      <c r="S4074">
        <v>-3.0214840000000001</v>
      </c>
      <c r="T4074">
        <v>-0.13817270000000001</v>
      </c>
      <c r="U4074">
        <v>-0.22637940000000001</v>
      </c>
      <c r="V4074">
        <v>-0.148965299999999</v>
      </c>
      <c r="W4074">
        <v>0.1113659</v>
      </c>
      <c r="X4074">
        <v>0.98255130000000002</v>
      </c>
      <c r="Y4074">
        <v>-0.1219575</v>
      </c>
      <c r="Z4074">
        <v>-4.9578729999999998E-3</v>
      </c>
      <c r="AA4074">
        <v>0.99252300000000004</v>
      </c>
      <c r="AB4074">
        <v>44</v>
      </c>
      <c r="AC4074">
        <v>-23.8657</v>
      </c>
      <c r="AD4074">
        <v>-1.110755623627</v>
      </c>
      <c r="AE4074">
        <v>-1.8396999999999899</v>
      </c>
      <c r="AF4074">
        <v>-2.9681339514459402</v>
      </c>
      <c r="AG4074">
        <v>-1.110755623627</v>
      </c>
      <c r="AH4074">
        <v>23.6999304804921</v>
      </c>
      <c r="AI4074">
        <v>92.662575127746706</v>
      </c>
      <c r="AJ4074">
        <v>97.138447458516893</v>
      </c>
      <c r="AK4074">
        <v>23.9108825012651</v>
      </c>
      <c r="AL4074">
        <v>83.605940558054101</v>
      </c>
      <c r="AM4074">
        <v>98.621000324382194</v>
      </c>
      <c r="AN4074">
        <v>1.0000000407092899</v>
      </c>
    </row>
    <row r="4075" spans="1:40" x14ac:dyDescent="0.25">
      <c r="A4075" t="str">
        <f>"20190312151355375"</f>
        <v>20190312151355375</v>
      </c>
      <c r="B4075" t="str">
        <f>"1552374835364558"</f>
        <v>1552374835364558</v>
      </c>
      <c r="C4075" t="s">
        <v>40</v>
      </c>
      <c r="D4075">
        <v>4.4948829999999997</v>
      </c>
      <c r="E4075">
        <v>0.5138838</v>
      </c>
      <c r="F4075" t="s">
        <v>42</v>
      </c>
      <c r="G4075">
        <v>-335.33199999999999</v>
      </c>
      <c r="H4075" s="1">
        <v>-2.4061280000000001E-6</v>
      </c>
      <c r="I4075">
        <v>140.43969999999999</v>
      </c>
      <c r="J4075">
        <v>-309.37389999999999</v>
      </c>
      <c r="K4075">
        <v>1.110768</v>
      </c>
      <c r="L4075">
        <v>142.39949999999999</v>
      </c>
      <c r="M4075">
        <v>-0.99885880000000005</v>
      </c>
      <c r="N4075">
        <v>0</v>
      </c>
      <c r="O4075">
        <v>4.6568030000000003E-2</v>
      </c>
      <c r="P4075">
        <v>-0.98970040000000004</v>
      </c>
      <c r="Q4075">
        <v>0.1027081</v>
      </c>
      <c r="R4075">
        <v>-9.9721560000000001E-2</v>
      </c>
      <c r="S4075">
        <v>-3.0216059999999998</v>
      </c>
      <c r="T4075">
        <v>-0.12720480000000001</v>
      </c>
      <c r="U4075">
        <v>-0.22219849999999999</v>
      </c>
      <c r="V4075">
        <v>-0.14605279999999901</v>
      </c>
      <c r="W4075">
        <v>0.1126988</v>
      </c>
      <c r="X4075">
        <v>0.9828365</v>
      </c>
      <c r="Y4075">
        <v>-0.1195577</v>
      </c>
      <c r="Z4075">
        <v>-4.4694419999999997E-3</v>
      </c>
      <c r="AA4075">
        <v>0.99281719999999896</v>
      </c>
      <c r="AB4075">
        <v>44</v>
      </c>
      <c r="AC4075">
        <v>-25.958100000000002</v>
      </c>
      <c r="AD4075">
        <v>-1.1107704061279999</v>
      </c>
      <c r="AE4075">
        <v>-1.9598</v>
      </c>
      <c r="AF4075">
        <v>-3.1608043827268002</v>
      </c>
      <c r="AG4075">
        <v>-1.1107704061279999</v>
      </c>
      <c r="AH4075">
        <v>25.791707743512099</v>
      </c>
      <c r="AI4075">
        <v>92.447741042571707</v>
      </c>
      <c r="AJ4075">
        <v>96.986826846635793</v>
      </c>
      <c r="AK4075">
        <v>26.008396405156098</v>
      </c>
      <c r="AL4075">
        <v>83.529087003710998</v>
      </c>
      <c r="AM4075">
        <v>98.452488553966901</v>
      </c>
      <c r="AN4075">
        <v>1.00000001282076</v>
      </c>
    </row>
    <row r="4076" spans="1:40" x14ac:dyDescent="0.25">
      <c r="A4076" t="str">
        <f>"20190312151355397"</f>
        <v>20190312151355397</v>
      </c>
      <c r="B4076" t="str">
        <f>"1552374835394815"</f>
        <v>1552374835394815</v>
      </c>
      <c r="C4076" t="s">
        <v>40</v>
      </c>
      <c r="D4076">
        <v>4.4563169999999896</v>
      </c>
      <c r="E4076">
        <v>0.51390150000000001</v>
      </c>
      <c r="F4076" t="s">
        <v>42</v>
      </c>
      <c r="G4076">
        <v>-336.74799999999999</v>
      </c>
      <c r="H4076" s="1">
        <v>-1.7361800000000001E-6</v>
      </c>
      <c r="I4076">
        <v>140.4374</v>
      </c>
      <c r="J4076">
        <v>-309.8109</v>
      </c>
      <c r="K4076">
        <v>1.1107769999999999</v>
      </c>
      <c r="L4076">
        <v>142.41899999999899</v>
      </c>
      <c r="M4076">
        <v>-0.99890900000000005</v>
      </c>
      <c r="N4076">
        <v>0</v>
      </c>
      <c r="O4076">
        <v>4.5474819999999999E-2</v>
      </c>
      <c r="P4076">
        <v>-0.9897106</v>
      </c>
      <c r="Q4076">
        <v>0.1045809</v>
      </c>
      <c r="R4076">
        <v>-9.7651989999999994E-2</v>
      </c>
      <c r="S4076">
        <v>-3.0221559999999998</v>
      </c>
      <c r="T4076">
        <v>-0.12263110000000001</v>
      </c>
      <c r="U4076">
        <v>-0.2166138</v>
      </c>
      <c r="V4076">
        <v>-0.14291509999999999</v>
      </c>
      <c r="W4076">
        <v>0.11459229999999999</v>
      </c>
      <c r="X4076">
        <v>0.98307880000000003</v>
      </c>
      <c r="Y4076">
        <v>-0.1166461</v>
      </c>
      <c r="Z4076">
        <v>-4.2050999999999998E-3</v>
      </c>
      <c r="AA4076">
        <v>0.99316470000000001</v>
      </c>
      <c r="AB4076">
        <v>44</v>
      </c>
      <c r="AC4076">
        <v>-26.937100000000001</v>
      </c>
      <c r="AD4076">
        <v>-1.1107787361799999</v>
      </c>
      <c r="AE4076">
        <v>-1.98159999999998</v>
      </c>
      <c r="AF4076">
        <v>-3.19916805811825</v>
      </c>
      <c r="AG4076">
        <v>-1.1107787361799999</v>
      </c>
      <c r="AH4076">
        <v>26.7738306184241</v>
      </c>
      <c r="AI4076">
        <v>92.358934016916706</v>
      </c>
      <c r="AJ4076">
        <v>96.813887650541403</v>
      </c>
      <c r="AK4076">
        <v>26.987154567476999</v>
      </c>
      <c r="AL4076">
        <v>83.419890055147704</v>
      </c>
      <c r="AM4076">
        <v>98.271430695654004</v>
      </c>
      <c r="AN4076">
        <v>1.00000002401836</v>
      </c>
    </row>
    <row r="4077" spans="1:40" x14ac:dyDescent="0.25">
      <c r="A4077" t="str">
        <f>"20190312151355420"</f>
        <v>20190312151355420</v>
      </c>
      <c r="B4077" t="str">
        <f>"1552374835414335"</f>
        <v>1552374835414335</v>
      </c>
      <c r="C4077" t="s">
        <v>40</v>
      </c>
      <c r="D4077">
        <v>4.4332440000000002</v>
      </c>
      <c r="E4077">
        <v>0.51378239999999997</v>
      </c>
      <c r="F4077" t="s">
        <v>42</v>
      </c>
      <c r="G4077">
        <v>-337.31639999999999</v>
      </c>
      <c r="H4077" s="1">
        <v>-1.4851209999999999E-6</v>
      </c>
      <c r="I4077">
        <v>140.50360000000001</v>
      </c>
      <c r="J4077">
        <v>-310.2362</v>
      </c>
      <c r="K4077">
        <v>1.110781</v>
      </c>
      <c r="L4077">
        <v>142.43770000000001</v>
      </c>
      <c r="M4077">
        <v>-0.99895670000000003</v>
      </c>
      <c r="N4077">
        <v>0</v>
      </c>
      <c r="O4077">
        <v>4.4411289999999999E-2</v>
      </c>
      <c r="P4077">
        <v>-0.98977939999999998</v>
      </c>
      <c r="Q4077">
        <v>0.10725079999999999</v>
      </c>
      <c r="R4077">
        <v>-9.3991530000000004E-2</v>
      </c>
      <c r="S4077">
        <v>-3.0233150000000002</v>
      </c>
      <c r="T4077">
        <v>-0.1220934</v>
      </c>
      <c r="U4077">
        <v>-0.2105408</v>
      </c>
      <c r="V4077">
        <v>-0.13822190000000001</v>
      </c>
      <c r="W4077">
        <v>0.1172882</v>
      </c>
      <c r="X4077">
        <v>0.98343179999999997</v>
      </c>
      <c r="Y4077">
        <v>-0.1135805</v>
      </c>
      <c r="Z4077">
        <v>-4.0806690000000003E-3</v>
      </c>
      <c r="AA4077">
        <v>0.99352039999999997</v>
      </c>
      <c r="AB4077">
        <v>44</v>
      </c>
      <c r="AC4077">
        <v>-27.080199999999898</v>
      </c>
      <c r="AD4077">
        <v>-1.110782485121</v>
      </c>
      <c r="AE4077">
        <v>-1.9340999999999999</v>
      </c>
      <c r="AF4077">
        <v>-3.12968716504915</v>
      </c>
      <c r="AG4077">
        <v>-1.110782485121</v>
      </c>
      <c r="AH4077">
        <v>26.922509913048099</v>
      </c>
      <c r="AI4077">
        <v>92.346812302092005</v>
      </c>
      <c r="AJ4077">
        <v>96.630756579329898</v>
      </c>
      <c r="AK4077">
        <v>27.126561143987601</v>
      </c>
      <c r="AL4077">
        <v>83.264377140215203</v>
      </c>
      <c r="AM4077">
        <v>98.000546984148301</v>
      </c>
      <c r="AN4077">
        <v>0.99999996037504402</v>
      </c>
    </row>
    <row r="4078" spans="1:40" x14ac:dyDescent="0.25">
      <c r="A4078" t="str">
        <f>"20190312151355442"</f>
        <v>20190312151355442</v>
      </c>
      <c r="B4078" t="str">
        <f>"1552374835434834"</f>
        <v>1552374835434834</v>
      </c>
      <c r="C4078" t="s">
        <v>40</v>
      </c>
      <c r="D4078">
        <v>4.4236719999999998</v>
      </c>
      <c r="E4078">
        <v>0.51371009999999995</v>
      </c>
      <c r="F4078" t="s">
        <v>42</v>
      </c>
      <c r="G4078">
        <v>-338.99770000000001</v>
      </c>
      <c r="H4078" s="1">
        <v>-6.9728969999999904E-7</v>
      </c>
      <c r="I4078">
        <v>140.52959999999999</v>
      </c>
      <c r="J4078">
        <v>-310.69069999999999</v>
      </c>
      <c r="K4078">
        <v>1.1107929999999999</v>
      </c>
      <c r="L4078">
        <v>142.45699999999999</v>
      </c>
      <c r="M4078">
        <v>-0.99900659999999997</v>
      </c>
      <c r="N4078">
        <v>0</v>
      </c>
      <c r="O4078">
        <v>4.3275099999999997E-2</v>
      </c>
      <c r="P4078">
        <v>-0.98990069999999997</v>
      </c>
      <c r="Q4078">
        <v>0.1094685</v>
      </c>
      <c r="R4078">
        <v>-9.0076600000000007E-2</v>
      </c>
      <c r="S4078">
        <v>-3.024597</v>
      </c>
      <c r="T4078">
        <v>-0.1168116</v>
      </c>
      <c r="U4078">
        <v>-0.2006531</v>
      </c>
      <c r="V4078">
        <v>-0.13320360000000001</v>
      </c>
      <c r="W4078">
        <v>0.1195339</v>
      </c>
      <c r="X4078">
        <v>0.98385389999999995</v>
      </c>
      <c r="Y4078">
        <v>-0.1092023</v>
      </c>
      <c r="Z4078">
        <v>-3.7747850000000001E-3</v>
      </c>
      <c r="AA4078">
        <v>0.99401240000000002</v>
      </c>
      <c r="AB4078">
        <v>44</v>
      </c>
      <c r="AC4078">
        <v>-28.306999999999999</v>
      </c>
      <c r="AD4078">
        <v>-1.1107936972896999</v>
      </c>
      <c r="AE4078">
        <v>-1.9274</v>
      </c>
      <c r="AF4078">
        <v>-3.1458299578392701</v>
      </c>
      <c r="AG4078">
        <v>-1.1107936972896999</v>
      </c>
      <c r="AH4078">
        <v>28.153912878738801</v>
      </c>
      <c r="AI4078">
        <v>92.245435220335295</v>
      </c>
      <c r="AJ4078">
        <v>96.375605124168999</v>
      </c>
      <c r="AK4078">
        <v>28.350889212601299</v>
      </c>
      <c r="AL4078">
        <v>83.134796771636204</v>
      </c>
      <c r="AM4078">
        <v>97.710370329288097</v>
      </c>
      <c r="AN4078">
        <v>1.00000002442368</v>
      </c>
    </row>
    <row r="4079" spans="1:40" x14ac:dyDescent="0.25">
      <c r="A4079" t="str">
        <f>"20190312151355465"</f>
        <v>20190312151355465</v>
      </c>
      <c r="B4079" t="str">
        <f>"1552374835454351"</f>
        <v>1552374835454351</v>
      </c>
      <c r="C4079" t="s">
        <v>40</v>
      </c>
      <c r="D4079">
        <v>4.4198050000000002</v>
      </c>
      <c r="E4079">
        <v>0.51356820000000003</v>
      </c>
      <c r="F4079" t="s">
        <v>42</v>
      </c>
      <c r="G4079">
        <v>-340.61169999999998</v>
      </c>
      <c r="H4079" s="1">
        <v>-4.2399480000000003E-6</v>
      </c>
      <c r="I4079">
        <v>140.5864</v>
      </c>
      <c r="J4079">
        <v>-311.12490000000003</v>
      </c>
      <c r="K4079">
        <v>1.110798</v>
      </c>
      <c r="L4079">
        <v>142.4751</v>
      </c>
      <c r="M4079">
        <v>-0.99905290000000002</v>
      </c>
      <c r="N4079">
        <v>0</v>
      </c>
      <c r="O4079">
        <v>4.2190239999999997E-2</v>
      </c>
      <c r="P4079">
        <v>-0.99007270000000003</v>
      </c>
      <c r="Q4079">
        <v>0.1110066</v>
      </c>
      <c r="R4079">
        <v>-8.6218509999999998E-2</v>
      </c>
      <c r="S4079">
        <v>-3.0258180000000001</v>
      </c>
      <c r="T4079">
        <v>-0.112332</v>
      </c>
      <c r="U4079">
        <v>-0.1891632</v>
      </c>
      <c r="V4079">
        <v>-0.12829189999999999</v>
      </c>
      <c r="W4079">
        <v>0.12109979999999999</v>
      </c>
      <c r="X4079">
        <v>0.98431500000000005</v>
      </c>
      <c r="Y4079">
        <v>-0.10434880000000001</v>
      </c>
      <c r="Z4079">
        <v>-3.498878E-3</v>
      </c>
      <c r="AA4079">
        <v>0.99453460000000005</v>
      </c>
      <c r="AB4079">
        <v>44</v>
      </c>
      <c r="AC4079">
        <v>-29.486799999999899</v>
      </c>
      <c r="AD4079">
        <v>-1.110802239948</v>
      </c>
      <c r="AE4079">
        <v>-1.8887</v>
      </c>
      <c r="AF4079">
        <v>-3.1267246864003999</v>
      </c>
      <c r="AG4079">
        <v>-1.110802239948</v>
      </c>
      <c r="AH4079">
        <v>29.3393867215242</v>
      </c>
      <c r="AI4079">
        <v>92.1560110248748</v>
      </c>
      <c r="AJ4079">
        <v>96.083102488696397</v>
      </c>
      <c r="AK4079">
        <v>29.5264271810182</v>
      </c>
      <c r="AL4079">
        <v>83.044420572994596</v>
      </c>
      <c r="AM4079">
        <v>97.425855356412796</v>
      </c>
      <c r="AN4079">
        <v>0.99999999619532498</v>
      </c>
    </row>
    <row r="4080" spans="1:40" x14ac:dyDescent="0.25">
      <c r="A4080" t="str">
        <f>"20190312151355488"</f>
        <v>20190312151355488</v>
      </c>
      <c r="B4080" t="str">
        <f>"1552374835484607"</f>
        <v>1552374835484607</v>
      </c>
      <c r="C4080" t="s">
        <v>40</v>
      </c>
      <c r="D4080">
        <v>4.4060180000000004</v>
      </c>
      <c r="E4080">
        <v>0.51337179999999905</v>
      </c>
      <c r="F4080" t="s">
        <v>42</v>
      </c>
      <c r="G4080">
        <v>-341.35230000000001</v>
      </c>
      <c r="H4080" s="1">
        <v>-3.9788720000000002E-6</v>
      </c>
      <c r="I4080">
        <v>140.69390000000001</v>
      </c>
      <c r="J4080">
        <v>-311.5677</v>
      </c>
      <c r="K4080">
        <v>1.110803</v>
      </c>
      <c r="L4080">
        <v>142.49299999999999</v>
      </c>
      <c r="M4080">
        <v>-0.99909899999999996</v>
      </c>
      <c r="N4080">
        <v>0</v>
      </c>
      <c r="O4080">
        <v>4.1083630000000003E-2</v>
      </c>
      <c r="P4080">
        <v>-0.99030439999999997</v>
      </c>
      <c r="Q4080">
        <v>0.112362</v>
      </c>
      <c r="R4080">
        <v>-8.1684339999999994E-2</v>
      </c>
      <c r="S4080">
        <v>-3.0270389999999998</v>
      </c>
      <c r="T4080">
        <v>-0.1112384</v>
      </c>
      <c r="U4080">
        <v>-0.17835999999999999</v>
      </c>
      <c r="V4080">
        <v>-0.1226839</v>
      </c>
      <c r="W4080">
        <v>0.1224851</v>
      </c>
      <c r="X4080">
        <v>0.98485840000000002</v>
      </c>
      <c r="Y4080">
        <v>-9.9690650000000006E-2</v>
      </c>
      <c r="Z4080">
        <v>-3.3376840000000001E-3</v>
      </c>
      <c r="AA4080">
        <v>0.99501289999999998</v>
      </c>
      <c r="AB4080">
        <v>44</v>
      </c>
      <c r="AC4080">
        <v>-29.784600000000001</v>
      </c>
      <c r="AD4080">
        <v>-1.1108069788720001</v>
      </c>
      <c r="AE4080">
        <v>-1.7990999999999799</v>
      </c>
      <c r="AF4080">
        <v>-3.0171284481361398</v>
      </c>
      <c r="AG4080">
        <v>-1.1108069788720001</v>
      </c>
      <c r="AH4080">
        <v>29.6444502405467</v>
      </c>
      <c r="AI4080">
        <v>92.134907218670605</v>
      </c>
      <c r="AJ4080">
        <v>95.811391851759197</v>
      </c>
      <c r="AK4080">
        <v>29.8182894593421</v>
      </c>
      <c r="AL4080">
        <v>82.964453466251399</v>
      </c>
      <c r="AM4080">
        <v>97.100762019916203</v>
      </c>
      <c r="AN4080">
        <v>1.00000000354588</v>
      </c>
    </row>
    <row r="4081" spans="1:40" x14ac:dyDescent="0.25">
      <c r="A4081" t="str">
        <f>"20190312151355510"</f>
        <v>20190312151355510</v>
      </c>
      <c r="B4081" t="str">
        <f>"1552374835504127"</f>
        <v>1552374835504127</v>
      </c>
      <c r="C4081" t="s">
        <v>40</v>
      </c>
      <c r="D4081">
        <v>4.6516500000000001</v>
      </c>
      <c r="E4081">
        <v>0.51311530000000005</v>
      </c>
      <c r="F4081" t="s">
        <v>42</v>
      </c>
      <c r="G4081">
        <v>-342.42200000000003</v>
      </c>
      <c r="H4081" s="1">
        <v>-3.548898E-6</v>
      </c>
      <c r="I4081">
        <v>140.80269999999999</v>
      </c>
      <c r="J4081">
        <v>-312.01350000000002</v>
      </c>
      <c r="K4081">
        <v>1.1108</v>
      </c>
      <c r="L4081">
        <v>142.51050000000001</v>
      </c>
      <c r="M4081">
        <v>-0.99914409999999998</v>
      </c>
      <c r="N4081">
        <v>0</v>
      </c>
      <c r="O4081">
        <v>3.9969919999999999E-2</v>
      </c>
      <c r="P4081">
        <v>-0.99055590000000004</v>
      </c>
      <c r="Q4081">
        <v>0.1127013</v>
      </c>
      <c r="R4081">
        <v>-7.8089450000000005E-2</v>
      </c>
      <c r="S4081">
        <v>-3.0280149999999999</v>
      </c>
      <c r="T4081">
        <v>-0.109014</v>
      </c>
      <c r="U4081">
        <v>-0.16587829999999901</v>
      </c>
      <c r="V4081">
        <v>-0.118004</v>
      </c>
      <c r="W4081">
        <v>0.1228514</v>
      </c>
      <c r="X4081">
        <v>0.9853845</v>
      </c>
      <c r="Y4081">
        <v>-9.4480930000000005E-2</v>
      </c>
      <c r="Z4081">
        <v>-3.1365540000000002E-3</v>
      </c>
      <c r="AA4081">
        <v>0.99552169999999895</v>
      </c>
      <c r="AB4081">
        <v>44</v>
      </c>
      <c r="AC4081">
        <v>-30.408499999999901</v>
      </c>
      <c r="AD4081">
        <v>-1.1108035488979999</v>
      </c>
      <c r="AE4081">
        <v>-1.70780000000002</v>
      </c>
      <c r="AF4081">
        <v>-2.9180478046616098</v>
      </c>
      <c r="AG4081">
        <v>-1.1108035488979999</v>
      </c>
      <c r="AH4081">
        <v>30.275660129401899</v>
      </c>
      <c r="AI4081">
        <v>92.091536273105902</v>
      </c>
      <c r="AJ4081">
        <v>95.505312644561201</v>
      </c>
      <c r="AK4081">
        <v>30.436236360391</v>
      </c>
      <c r="AL4081">
        <v>82.943306370810703</v>
      </c>
      <c r="AM4081">
        <v>96.828893497211894</v>
      </c>
      <c r="AN4081">
        <v>1.0000000116690999</v>
      </c>
    </row>
    <row r="4082" spans="1:40" x14ac:dyDescent="0.25">
      <c r="A4082" t="str">
        <f>"20190312151355533"</f>
        <v>20190312151355533</v>
      </c>
      <c r="B4082" t="str">
        <f>"1552374835524623"</f>
        <v>1552374835524623</v>
      </c>
      <c r="C4082" t="s">
        <v>40</v>
      </c>
      <c r="D4082">
        <v>4.374587</v>
      </c>
      <c r="E4082">
        <v>0.51279770000000002</v>
      </c>
      <c r="F4082" t="s">
        <v>42</v>
      </c>
      <c r="G4082">
        <v>-343.22789999999998</v>
      </c>
      <c r="H4082" s="1">
        <v>-3.2277029999999999E-6</v>
      </c>
      <c r="I4082">
        <v>140.89490000000001</v>
      </c>
      <c r="J4082">
        <v>-312.45760000000001</v>
      </c>
      <c r="K4082">
        <v>1.110795</v>
      </c>
      <c r="L4082">
        <v>142.5275</v>
      </c>
      <c r="M4082">
        <v>-0.99918779999999996</v>
      </c>
      <c r="N4082">
        <v>0</v>
      </c>
      <c r="O4082">
        <v>3.886117E-2</v>
      </c>
      <c r="P4082">
        <v>-0.99080990000000002</v>
      </c>
      <c r="Q4082">
        <v>0.1123922</v>
      </c>
      <c r="R4082">
        <v>-7.5259839999999995E-2</v>
      </c>
      <c r="S4082">
        <v>-3.0285030000000002</v>
      </c>
      <c r="T4082">
        <v>-0.1077731</v>
      </c>
      <c r="U4082">
        <v>-0.156738299999999</v>
      </c>
      <c r="V4082">
        <v>-0.11409130000000001</v>
      </c>
      <c r="W4082">
        <v>0.12256649999999999</v>
      </c>
      <c r="X4082">
        <v>0.9858806</v>
      </c>
      <c r="Y4082">
        <v>-9.037597E-2</v>
      </c>
      <c r="Z4082">
        <v>-2.9882149999999998E-3</v>
      </c>
      <c r="AA4082">
        <v>0.99590330000000005</v>
      </c>
      <c r="AB4082">
        <v>44</v>
      </c>
      <c r="AC4082">
        <v>-30.770299999999899</v>
      </c>
      <c r="AD4082">
        <v>-1.110798227703</v>
      </c>
      <c r="AE4082">
        <v>-1.6325999999999901</v>
      </c>
      <c r="AF4082">
        <v>-2.8235351141566398</v>
      </c>
      <c r="AG4082">
        <v>-1.110798227703</v>
      </c>
      <c r="AH4082">
        <v>30.643783234825602</v>
      </c>
      <c r="AI4082">
        <v>92.067241178878703</v>
      </c>
      <c r="AJ4082">
        <v>95.264400307956507</v>
      </c>
      <c r="AK4082">
        <v>30.793630415826598</v>
      </c>
      <c r="AL4082">
        <v>82.959753906373194</v>
      </c>
      <c r="AM4082">
        <v>96.601205616222401</v>
      </c>
      <c r="AN4082">
        <v>0.99999996455714901</v>
      </c>
    </row>
    <row r="4083" spans="1:40" x14ac:dyDescent="0.25">
      <c r="A4083" t="str">
        <f>"20190312151355554"</f>
        <v>20190312151355554</v>
      </c>
      <c r="B4083" t="str">
        <f>"1552374835544143"</f>
        <v>1552374835544143</v>
      </c>
      <c r="C4083" t="s">
        <v>40</v>
      </c>
      <c r="D4083">
        <v>4.3601070000000002</v>
      </c>
      <c r="E4083">
        <v>0.51241270000000005</v>
      </c>
      <c r="F4083" t="s">
        <v>42</v>
      </c>
      <c r="G4083">
        <v>-343.1524</v>
      </c>
      <c r="H4083" s="1">
        <v>-3.2880449999999999E-6</v>
      </c>
      <c r="I4083">
        <v>140.9999</v>
      </c>
      <c r="J4083">
        <v>-312.8836</v>
      </c>
      <c r="K4083">
        <v>1.1107830000000001</v>
      </c>
      <c r="L4083">
        <v>142.54320000000001</v>
      </c>
      <c r="M4083">
        <v>-0.99922829999999996</v>
      </c>
      <c r="N4083">
        <v>0</v>
      </c>
      <c r="O4083">
        <v>3.7799810000000003E-2</v>
      </c>
      <c r="P4083">
        <v>-0.99102900000000005</v>
      </c>
      <c r="Q4083">
        <v>0.1118605</v>
      </c>
      <c r="R4083">
        <v>-7.3137250000000001E-2</v>
      </c>
      <c r="S4083">
        <v>-3.0288089999999999</v>
      </c>
      <c r="T4083">
        <v>-0.1096082</v>
      </c>
      <c r="U4083">
        <v>-0.15072629999999901</v>
      </c>
      <c r="V4083">
        <v>-0.11092879999999999</v>
      </c>
      <c r="W4083">
        <v>0.12205589999999999</v>
      </c>
      <c r="X4083">
        <v>0.98630479999999998</v>
      </c>
      <c r="Y4083">
        <v>-8.7340710000000002E-2</v>
      </c>
      <c r="Z4083">
        <v>-2.945657E-3</v>
      </c>
      <c r="AA4083">
        <v>0.99617420000000001</v>
      </c>
      <c r="AB4083">
        <v>44</v>
      </c>
      <c r="AC4083">
        <v>-30.268799999999999</v>
      </c>
      <c r="AD4083">
        <v>-1.1107862880449999</v>
      </c>
      <c r="AE4083">
        <v>-1.5433000000000101</v>
      </c>
      <c r="AF4083">
        <v>-2.6828134511533701</v>
      </c>
      <c r="AG4083">
        <v>-1.1107862880449999</v>
      </c>
      <c r="AH4083">
        <v>30.148330152851099</v>
      </c>
      <c r="AI4083">
        <v>92.101755865782096</v>
      </c>
      <c r="AJ4083">
        <v>95.085192631177506</v>
      </c>
      <c r="AK4083">
        <v>30.2878382390806</v>
      </c>
      <c r="AL4083">
        <v>82.989230697964501</v>
      </c>
      <c r="AM4083">
        <v>96.417037655554395</v>
      </c>
      <c r="AN4083">
        <v>0.99999999994864497</v>
      </c>
    </row>
    <row r="4084" spans="1:40" x14ac:dyDescent="0.25">
      <c r="A4084" t="str">
        <f>"20190312151355576"</f>
        <v>20190312151355576</v>
      </c>
      <c r="B4084" t="str">
        <f>"1552374835564639"</f>
        <v>1552374835564639</v>
      </c>
      <c r="C4084" t="s">
        <v>40</v>
      </c>
      <c r="D4084">
        <v>4.3653219999999999</v>
      </c>
      <c r="E4084">
        <v>0.50350909999999904</v>
      </c>
      <c r="F4084" t="s">
        <v>42</v>
      </c>
      <c r="G4084">
        <v>-342.83260000000001</v>
      </c>
      <c r="H4084" s="1">
        <v>-3.4475149999999998E-6</v>
      </c>
      <c r="I4084">
        <v>141.08359999999999</v>
      </c>
      <c r="J4084">
        <v>-313.31599999999997</v>
      </c>
      <c r="K4084">
        <v>1.110776</v>
      </c>
      <c r="L4084">
        <v>142.55879999999999</v>
      </c>
      <c r="M4084">
        <v>-0.99926839999999995</v>
      </c>
      <c r="N4084">
        <v>0</v>
      </c>
      <c r="O4084">
        <v>3.6724760000000002E-2</v>
      </c>
      <c r="P4084">
        <v>-0.99134149999999999</v>
      </c>
      <c r="Q4084">
        <v>0.1104208</v>
      </c>
      <c r="R4084">
        <v>-7.1059239999999996E-2</v>
      </c>
      <c r="S4084">
        <v>-3.0289920000000001</v>
      </c>
      <c r="T4084">
        <v>-0.11234329999999999</v>
      </c>
      <c r="U4084">
        <v>-0.14761350000000001</v>
      </c>
      <c r="V4084">
        <v>-0.1077964</v>
      </c>
      <c r="W4084">
        <v>0.12063790000000001</v>
      </c>
      <c r="X4084">
        <v>0.98682639999999999</v>
      </c>
      <c r="Y4084">
        <v>-8.5242579999999998E-2</v>
      </c>
      <c r="Z4084">
        <v>-2.9402909999999998E-3</v>
      </c>
      <c r="AA4084">
        <v>0.99635589999999996</v>
      </c>
      <c r="AB4084">
        <v>44</v>
      </c>
      <c r="AC4084">
        <v>-29.5166</v>
      </c>
      <c r="AD4084">
        <v>-1.1107794475149999</v>
      </c>
      <c r="AE4084">
        <v>-1.4752000000000001</v>
      </c>
      <c r="AF4084">
        <v>-2.55464769970951</v>
      </c>
      <c r="AG4084">
        <v>-1.1107794475149999</v>
      </c>
      <c r="AH4084">
        <v>29.400973162645499</v>
      </c>
      <c r="AI4084">
        <v>92.155512436912801</v>
      </c>
      <c r="AJ4084">
        <v>94.965952366374907</v>
      </c>
      <c r="AK4084">
        <v>29.532647676110098</v>
      </c>
      <c r="AL4084">
        <v>83.071080669817206</v>
      </c>
      <c r="AM4084">
        <v>96.234011637672694</v>
      </c>
      <c r="AN4084">
        <v>0.99999995525316399</v>
      </c>
    </row>
    <row r="4085" spans="1:40" x14ac:dyDescent="0.25">
      <c r="A4085" t="str">
        <f>"20190312151355598"</f>
        <v>20190312151355598</v>
      </c>
      <c r="B4085" t="str">
        <f>"1552374835593919"</f>
        <v>1552374835593919</v>
      </c>
      <c r="C4085" t="s">
        <v>40</v>
      </c>
      <c r="D4085">
        <v>4.379257</v>
      </c>
      <c r="E4085">
        <v>0.50324269999999904</v>
      </c>
      <c r="F4085" t="s">
        <v>42</v>
      </c>
      <c r="G4085">
        <v>-333.14420000000001</v>
      </c>
      <c r="H4085" s="1">
        <v>-3.6281360000000002E-6</v>
      </c>
      <c r="I4085">
        <v>141.1454</v>
      </c>
      <c r="J4085">
        <v>-313.76</v>
      </c>
      <c r="K4085">
        <v>1.110762</v>
      </c>
      <c r="L4085">
        <v>142.57429999999999</v>
      </c>
      <c r="M4085">
        <v>-0.99930810000000003</v>
      </c>
      <c r="N4085">
        <v>0</v>
      </c>
      <c r="O4085">
        <v>3.5624280000000001E-2</v>
      </c>
      <c r="P4085">
        <v>-0.99161449999999995</v>
      </c>
      <c r="Q4085">
        <v>0.1090178</v>
      </c>
      <c r="R4085">
        <v>-6.939534E-2</v>
      </c>
      <c r="S4085">
        <v>-3.029633</v>
      </c>
      <c r="T4085">
        <v>-0.16972100000000001</v>
      </c>
      <c r="U4085">
        <v>-0.2159576</v>
      </c>
      <c r="V4085">
        <v>-0.10505059999999999</v>
      </c>
      <c r="W4085">
        <v>0.1192551</v>
      </c>
      <c r="X4085">
        <v>0.98729060000000002</v>
      </c>
      <c r="Y4085">
        <v>-0.1063708</v>
      </c>
      <c r="Z4085">
        <v>-4.9653939999999997E-3</v>
      </c>
      <c r="AA4085">
        <v>0.99431409999999998</v>
      </c>
      <c r="AB4085">
        <v>44</v>
      </c>
      <c r="AC4085">
        <v>-19.3842</v>
      </c>
      <c r="AD4085">
        <v>-1.1107656281360001</v>
      </c>
      <c r="AE4085">
        <v>-1.4288999999999901</v>
      </c>
      <c r="AF4085">
        <v>-2.1116840873543299</v>
      </c>
      <c r="AG4085">
        <v>-1.1107656281360001</v>
      </c>
      <c r="AH4085">
        <v>19.258094152396499</v>
      </c>
      <c r="AI4085">
        <v>93.281415779221206</v>
      </c>
      <c r="AJ4085">
        <v>96.257584100752595</v>
      </c>
      <c r="AK4085">
        <v>19.405339480359601</v>
      </c>
      <c r="AL4085">
        <v>83.150886222902898</v>
      </c>
      <c r="AM4085">
        <v>96.073586013317197</v>
      </c>
      <c r="AN4085">
        <v>1.00000006814236</v>
      </c>
    </row>
    <row r="4086" spans="1:40" x14ac:dyDescent="0.25">
      <c r="A4086" t="str">
        <f>"20190312151355621"</f>
        <v>20190312151355621</v>
      </c>
      <c r="B4086" t="str">
        <f>"1552374835614414"</f>
        <v>1552374835614414</v>
      </c>
      <c r="C4086" t="s">
        <v>40</v>
      </c>
      <c r="D4086">
        <v>4.3754809999999997</v>
      </c>
      <c r="E4086">
        <v>0.50246099999999905</v>
      </c>
      <c r="F4086" t="s">
        <v>42</v>
      </c>
      <c r="G4086">
        <v>-330.71420000000001</v>
      </c>
      <c r="H4086" s="1">
        <v>-4.7484759999999997E-6</v>
      </c>
      <c r="I4086">
        <v>141.37219999999999</v>
      </c>
      <c r="J4086">
        <v>-314.19209999999998</v>
      </c>
      <c r="K4086">
        <v>1.1107499999999999</v>
      </c>
      <c r="L4086">
        <v>142.589</v>
      </c>
      <c r="M4086">
        <v>-0.99934540000000005</v>
      </c>
      <c r="N4086">
        <v>0</v>
      </c>
      <c r="O4086">
        <v>3.4558859999999997E-2</v>
      </c>
      <c r="P4086">
        <v>-0.99190710000000004</v>
      </c>
      <c r="Q4086">
        <v>0.107256</v>
      </c>
      <c r="R4086">
        <v>-6.7946080000000006E-2</v>
      </c>
      <c r="S4086">
        <v>-3.0321349999999998</v>
      </c>
      <c r="T4086">
        <v>-0.19865269999999999</v>
      </c>
      <c r="U4086">
        <v>-0.2149963</v>
      </c>
      <c r="V4086">
        <v>-0.10255209999999999</v>
      </c>
      <c r="W4086">
        <v>0.11751259999999999</v>
      </c>
      <c r="X4086">
        <v>0.98776200000000003</v>
      </c>
      <c r="Y4086">
        <v>-0.10486280000000001</v>
      </c>
      <c r="Z4086">
        <v>-5.6865020000000004E-3</v>
      </c>
      <c r="AA4086">
        <v>0.99447039999999998</v>
      </c>
      <c r="AB4086">
        <v>44</v>
      </c>
      <c r="AC4086">
        <v>-16.522099999999998</v>
      </c>
      <c r="AD4086">
        <v>-1.1107547484760001</v>
      </c>
      <c r="AE4086">
        <v>-1.2168000000000001</v>
      </c>
      <c r="AF4086">
        <v>-1.77909317797352</v>
      </c>
      <c r="AG4086">
        <v>-1.1107547484760001</v>
      </c>
      <c r="AH4086">
        <v>16.396469291504498</v>
      </c>
      <c r="AI4086">
        <v>93.852951456057795</v>
      </c>
      <c r="AJ4086">
        <v>96.192631903911007</v>
      </c>
      <c r="AK4086">
        <v>16.530068175129301</v>
      </c>
      <c r="AL4086">
        <v>83.251430409697903</v>
      </c>
      <c r="AM4086">
        <v>95.927365052302406</v>
      </c>
      <c r="AN4086">
        <v>0.99999995650858398</v>
      </c>
    </row>
    <row r="4087" spans="1:40" x14ac:dyDescent="0.25">
      <c r="A4087" t="str">
        <f>"20190312151355642"</f>
        <v>20190312151355642</v>
      </c>
      <c r="B4087" t="str">
        <f>"1552374835634911"</f>
        <v>1552374835634911</v>
      </c>
      <c r="C4087" t="s">
        <v>40</v>
      </c>
      <c r="D4087">
        <v>4.3644179999999997</v>
      </c>
      <c r="E4087">
        <v>0.50189470000000003</v>
      </c>
      <c r="F4087" t="s">
        <v>42</v>
      </c>
      <c r="G4087">
        <v>-330.22680000000003</v>
      </c>
      <c r="H4087" s="1">
        <v>-4.9475060000000002E-6</v>
      </c>
      <c r="I4087">
        <v>141.43889999999999</v>
      </c>
      <c r="J4087">
        <v>-314.6277</v>
      </c>
      <c r="K4087">
        <v>1.1107359999999999</v>
      </c>
      <c r="L4087">
        <v>142.60329999999999</v>
      </c>
      <c r="M4087">
        <v>-0.99938170000000004</v>
      </c>
      <c r="N4087">
        <v>0</v>
      </c>
      <c r="O4087">
        <v>3.3492170000000002E-2</v>
      </c>
      <c r="P4087">
        <v>-0.9921584</v>
      </c>
      <c r="Q4087">
        <v>0.10592699999999999</v>
      </c>
      <c r="R4087">
        <v>-6.6341750000000005E-2</v>
      </c>
      <c r="S4087">
        <v>-3.0322879999999999</v>
      </c>
      <c r="T4087">
        <v>-0.21005280000000001</v>
      </c>
      <c r="U4087">
        <v>-0.2174835</v>
      </c>
      <c r="V4087">
        <v>-9.9896639999999995E-2</v>
      </c>
      <c r="W4087">
        <v>0.11620369999999999</v>
      </c>
      <c r="X4087">
        <v>0.98818890000000004</v>
      </c>
      <c r="Y4087">
        <v>-0.10457760000000001</v>
      </c>
      <c r="Z4087">
        <v>-5.9280309999999899E-3</v>
      </c>
      <c r="AA4087">
        <v>0.99449909999999997</v>
      </c>
      <c r="AB4087">
        <v>44</v>
      </c>
      <c r="AC4087">
        <v>-15.5991</v>
      </c>
      <c r="AD4087">
        <v>-1.1107409475059999</v>
      </c>
      <c r="AE4087">
        <v>-1.1644000000000001</v>
      </c>
      <c r="AF4087">
        <v>-1.6777647984750801</v>
      </c>
      <c r="AG4087">
        <v>-1.1107409475059999</v>
      </c>
      <c r="AH4087">
        <v>15.4733286643475</v>
      </c>
      <c r="AI4087">
        <v>94.082045934225604</v>
      </c>
      <c r="AJ4087">
        <v>96.188374338374004</v>
      </c>
      <c r="AK4087">
        <v>15.603606638414901</v>
      </c>
      <c r="AL4087">
        <v>83.326942317582095</v>
      </c>
      <c r="AM4087">
        <v>95.772456319701007</v>
      </c>
      <c r="AN4087">
        <v>0.99999997033009402</v>
      </c>
    </row>
    <row r="4088" spans="1:40" x14ac:dyDescent="0.25">
      <c r="A4088" t="str">
        <f>"20190312151355666"</f>
        <v>20190312151355666</v>
      </c>
      <c r="B4088" t="str">
        <f>"1552374835654431"</f>
        <v>1552374835654431</v>
      </c>
      <c r="C4088" t="s">
        <v>40</v>
      </c>
      <c r="D4088">
        <v>4.5204839999999997</v>
      </c>
      <c r="E4088">
        <v>0.50193989999999999</v>
      </c>
      <c r="F4088" t="s">
        <v>42</v>
      </c>
      <c r="G4088">
        <v>-330.13580000000002</v>
      </c>
      <c r="H4088" s="1">
        <v>-4.9915490000000003E-6</v>
      </c>
      <c r="I4088">
        <v>141.49019999999999</v>
      </c>
      <c r="J4088">
        <v>-315.077</v>
      </c>
      <c r="K4088">
        <v>1.110716</v>
      </c>
      <c r="L4088">
        <v>142.61760000000001</v>
      </c>
      <c r="M4088">
        <v>-0.99941749999999996</v>
      </c>
      <c r="N4088">
        <v>0</v>
      </c>
      <c r="O4088">
        <v>3.240208E-2</v>
      </c>
      <c r="P4088">
        <v>-0.99249180000000004</v>
      </c>
      <c r="Q4088">
        <v>0.1029928</v>
      </c>
      <c r="R4088">
        <v>-6.5973970000000007E-2</v>
      </c>
      <c r="S4088">
        <v>-3.032349</v>
      </c>
      <c r="T4088">
        <v>-0.2171873</v>
      </c>
      <c r="U4088">
        <v>-0.2176361</v>
      </c>
      <c r="V4088">
        <v>-9.844986E-2</v>
      </c>
      <c r="W4088">
        <v>0.1132867</v>
      </c>
      <c r="X4088">
        <v>0.98867269999999896</v>
      </c>
      <c r="Y4088">
        <v>-0.1035239</v>
      </c>
      <c r="Z4088">
        <v>-6.0132049999999998E-3</v>
      </c>
      <c r="AA4088">
        <v>0.99460879999999996</v>
      </c>
      <c r="AB4088">
        <v>44</v>
      </c>
      <c r="AC4088">
        <v>-15.0588</v>
      </c>
      <c r="AD4088">
        <v>-1.1107209915489999</v>
      </c>
      <c r="AE4088">
        <v>-1.1274000000000199</v>
      </c>
      <c r="AF4088">
        <v>-1.60608339286083</v>
      </c>
      <c r="AG4088">
        <v>-1.1107209915489999</v>
      </c>
      <c r="AH4088">
        <v>14.933568287809999</v>
      </c>
      <c r="AI4088">
        <v>94.229382337892801</v>
      </c>
      <c r="AJ4088">
        <v>96.138482412082098</v>
      </c>
      <c r="AK4088">
        <v>15.0606994124634</v>
      </c>
      <c r="AL4088">
        <v>83.495185487085294</v>
      </c>
      <c r="AM4088">
        <v>95.686641804169398</v>
      </c>
      <c r="AN4088">
        <v>0.99999997952809905</v>
      </c>
    </row>
    <row r="4089" spans="1:40" x14ac:dyDescent="0.25">
      <c r="A4089" t="str">
        <f>"20190312151355688"</f>
        <v>20190312151355688</v>
      </c>
      <c r="B4089" t="str">
        <f>"1552374835684687"</f>
        <v>1552374835684687</v>
      </c>
      <c r="C4089" t="s">
        <v>40</v>
      </c>
      <c r="D4089">
        <v>4.5736999999999997</v>
      </c>
      <c r="E4089">
        <v>0.50167419999999996</v>
      </c>
      <c r="F4089" t="s">
        <v>42</v>
      </c>
      <c r="G4089">
        <v>-329.85</v>
      </c>
      <c r="H4089" s="1">
        <v>-5.6487290000000004E-7</v>
      </c>
      <c r="I4089">
        <v>141.56389999999999</v>
      </c>
      <c r="J4089">
        <v>-315.51310000000001</v>
      </c>
      <c r="K4089">
        <v>1.1106929999999999</v>
      </c>
      <c r="L4089">
        <v>142.6309</v>
      </c>
      <c r="M4089">
        <v>-0.99945090000000003</v>
      </c>
      <c r="N4089">
        <v>0</v>
      </c>
      <c r="O4089">
        <v>3.1356009999999997E-2</v>
      </c>
      <c r="P4089">
        <v>-0.99280299999999999</v>
      </c>
      <c r="Q4089">
        <v>9.9944060000000001E-2</v>
      </c>
      <c r="R4089">
        <v>-6.5981629999999999E-2</v>
      </c>
      <c r="S4089">
        <v>-3.0319820000000002</v>
      </c>
      <c r="T4089">
        <v>-0.2279619</v>
      </c>
      <c r="U4089">
        <v>-0.21623229999999999</v>
      </c>
      <c r="V4089">
        <v>-9.7419690000000003E-2</v>
      </c>
      <c r="W4089">
        <v>0.11025359999999999</v>
      </c>
      <c r="X4089">
        <v>0.98911760000000004</v>
      </c>
      <c r="Y4089">
        <v>-0.1020051</v>
      </c>
      <c r="Z4089">
        <v>-6.1761569999999998E-3</v>
      </c>
      <c r="AA4089">
        <v>0.99476469999999995</v>
      </c>
      <c r="AB4089">
        <v>44</v>
      </c>
      <c r="AC4089">
        <v>-14.3369</v>
      </c>
      <c r="AD4089">
        <v>-1.1106935648728999</v>
      </c>
      <c r="AE4089">
        <v>-1.0669999999999999</v>
      </c>
      <c r="AF4089">
        <v>-1.50705389712757</v>
      </c>
      <c r="AG4089">
        <v>-1.1106935648728999</v>
      </c>
      <c r="AH4089">
        <v>14.2115662026536</v>
      </c>
      <c r="AI4089">
        <v>94.444005124454193</v>
      </c>
      <c r="AJ4089">
        <v>96.053261268028095</v>
      </c>
      <c r="AK4089">
        <v>14.334345662649</v>
      </c>
      <c r="AL4089">
        <v>83.670065551601198</v>
      </c>
      <c r="AM4089">
        <v>95.625006281443405</v>
      </c>
      <c r="AN4089">
        <v>1.0000000394712001</v>
      </c>
    </row>
    <row r="4090" spans="1:40" x14ac:dyDescent="0.25">
      <c r="A4090" t="str">
        <f>"20190312151355711"</f>
        <v>20190312151355711</v>
      </c>
      <c r="B4090" t="str">
        <f>"1552374835704207"</f>
        <v>1552374835704207</v>
      </c>
      <c r="C4090" t="s">
        <v>40</v>
      </c>
      <c r="D4090">
        <v>4.3619050000000001</v>
      </c>
      <c r="E4090">
        <v>0.4973785</v>
      </c>
      <c r="F4090" t="s">
        <v>42</v>
      </c>
      <c r="G4090">
        <v>-329.6456</v>
      </c>
      <c r="H4090" s="1">
        <v>-6.6550709999999899E-7</v>
      </c>
      <c r="I4090">
        <v>141.61250000000001</v>
      </c>
      <c r="J4090">
        <v>-315.97000000000003</v>
      </c>
      <c r="K4090">
        <v>1.110671</v>
      </c>
      <c r="L4090">
        <v>142.64449999999999</v>
      </c>
      <c r="M4090">
        <v>-0.99948429999999999</v>
      </c>
      <c r="N4090">
        <v>0</v>
      </c>
      <c r="O4090">
        <v>3.0270720000000001E-2</v>
      </c>
      <c r="P4090">
        <v>-0.99312230000000001</v>
      </c>
      <c r="Q4090">
        <v>9.6874890000000005E-2</v>
      </c>
      <c r="R4090">
        <v>-6.5752980000000003E-2</v>
      </c>
      <c r="S4090">
        <v>-3.0312190000000001</v>
      </c>
      <c r="T4090">
        <v>-0.23822950000000001</v>
      </c>
      <c r="U4090">
        <v>-0.21841430000000001</v>
      </c>
      <c r="V4090">
        <v>-9.6114270000000002E-2</v>
      </c>
      <c r="W4090">
        <v>0.10720150000000001</v>
      </c>
      <c r="X4090">
        <v>0.98958069999999998</v>
      </c>
      <c r="Y4090">
        <v>-0.10162499999999999</v>
      </c>
      <c r="Z4090">
        <v>-6.3549909999999999E-3</v>
      </c>
      <c r="AA4090">
        <v>0.99480250000000003</v>
      </c>
      <c r="AB4090">
        <v>44</v>
      </c>
      <c r="AC4090">
        <v>-13.6755999999999</v>
      </c>
      <c r="AD4090">
        <v>-1.1106716655071001</v>
      </c>
      <c r="AE4090">
        <v>-1.03199999999998</v>
      </c>
      <c r="AF4090">
        <v>-1.43610219544107</v>
      </c>
      <c r="AG4090">
        <v>-1.1106716655071001</v>
      </c>
      <c r="AH4090">
        <v>13.549226848570999</v>
      </c>
      <c r="AI4090">
        <v>94.660244958631196</v>
      </c>
      <c r="AJ4090">
        <v>96.050273572078098</v>
      </c>
      <c r="AK4090">
        <v>13.6703156239476</v>
      </c>
      <c r="AL4090">
        <v>83.845980955530294</v>
      </c>
      <c r="AM4090">
        <v>95.547524100593293</v>
      </c>
      <c r="AN4090">
        <v>1.00000003815618</v>
      </c>
    </row>
    <row r="4091" spans="1:40" x14ac:dyDescent="0.25">
      <c r="A4091" t="str">
        <f>"20190312151355735"</f>
        <v>20190312151355735</v>
      </c>
      <c r="B4091" t="str">
        <f>"1552374835724703"</f>
        <v>1552374835724703</v>
      </c>
      <c r="C4091" t="s">
        <v>40</v>
      </c>
      <c r="D4091">
        <v>4.5471300000000001</v>
      </c>
      <c r="E4091">
        <v>0.49694749999999999</v>
      </c>
      <c r="F4091" t="s">
        <v>42</v>
      </c>
      <c r="G4091">
        <v>-334.26130000000001</v>
      </c>
      <c r="H4091" s="1">
        <v>-3.0994100000000002E-6</v>
      </c>
      <c r="I4091">
        <v>141.1431</v>
      </c>
      <c r="J4091">
        <v>-316.43959999999998</v>
      </c>
      <c r="K4091">
        <v>1.1106450000000001</v>
      </c>
      <c r="L4091">
        <v>142.65790000000001</v>
      </c>
      <c r="M4091">
        <v>-0.99951710000000005</v>
      </c>
      <c r="N4091">
        <v>0</v>
      </c>
      <c r="O4091">
        <v>2.9164869999999999E-2</v>
      </c>
      <c r="P4091">
        <v>-0.99326800000000004</v>
      </c>
      <c r="Q4091">
        <v>9.5147519999999999E-2</v>
      </c>
      <c r="R4091">
        <v>-6.6076460000000004E-2</v>
      </c>
      <c r="S4091">
        <v>-3.022278</v>
      </c>
      <c r="T4091">
        <v>-0.18351709999999999</v>
      </c>
      <c r="U4091">
        <v>-0.2480774</v>
      </c>
      <c r="V4091">
        <v>-9.5338610000000004E-2</v>
      </c>
      <c r="W4091">
        <v>0.1054875</v>
      </c>
      <c r="X4091">
        <v>0.98983989999999999</v>
      </c>
      <c r="Y4091">
        <v>-0.1105859</v>
      </c>
      <c r="Z4091">
        <v>-5.1155469999999998E-3</v>
      </c>
      <c r="AA4091">
        <v>0.9938534</v>
      </c>
      <c r="AB4091">
        <v>44</v>
      </c>
      <c r="AC4091">
        <v>-17.8217</v>
      </c>
      <c r="AD4091">
        <v>-1.1106480994100001</v>
      </c>
      <c r="AE4091">
        <v>-1.5147999999999999</v>
      </c>
      <c r="AF4091">
        <v>-2.0261403574218702</v>
      </c>
      <c r="AG4091">
        <v>-1.1106480994100001</v>
      </c>
      <c r="AH4091">
        <v>17.701680232914502</v>
      </c>
      <c r="AI4091">
        <v>93.566946867889996</v>
      </c>
      <c r="AJ4091">
        <v>96.529677938548602</v>
      </c>
      <c r="AK4091">
        <v>17.851842118309602</v>
      </c>
      <c r="AL4091">
        <v>83.944746036968596</v>
      </c>
      <c r="AM4091">
        <v>95.5015982943967</v>
      </c>
      <c r="AN4091">
        <v>1.00000004542249</v>
      </c>
    </row>
    <row r="4092" spans="1:40" x14ac:dyDescent="0.25">
      <c r="A4092" t="str">
        <f>"20190312151355755"</f>
        <v>20190312151355755</v>
      </c>
      <c r="B4092" t="str">
        <f>"1552374835744223"</f>
        <v>1552374835744223</v>
      </c>
      <c r="C4092" t="s">
        <v>40</v>
      </c>
      <c r="D4092">
        <v>4.3924149999999997</v>
      </c>
      <c r="E4092">
        <v>0.4964654</v>
      </c>
      <c r="F4092" t="s">
        <v>42</v>
      </c>
      <c r="G4092">
        <v>-334.21359999999999</v>
      </c>
      <c r="H4092" s="1">
        <v>-3.1299470000000001E-6</v>
      </c>
      <c r="I4092">
        <v>141.173</v>
      </c>
      <c r="J4092">
        <v>-316.86099999999999</v>
      </c>
      <c r="K4092">
        <v>1.110635</v>
      </c>
      <c r="L4092">
        <v>142.6694</v>
      </c>
      <c r="M4092">
        <v>-0.99954520000000002</v>
      </c>
      <c r="N4092">
        <v>0</v>
      </c>
      <c r="O4092">
        <v>2.8180529999999999E-2</v>
      </c>
      <c r="P4092">
        <v>-0.9934402</v>
      </c>
      <c r="Q4092">
        <v>9.3024570000000001E-2</v>
      </c>
      <c r="R4092">
        <v>-6.6506949999999995E-2</v>
      </c>
      <c r="S4092">
        <v>-3.0216370000000001</v>
      </c>
      <c r="T4092">
        <v>-0.1888146</v>
      </c>
      <c r="U4092">
        <v>-0.25244139999999998</v>
      </c>
      <c r="V4092">
        <v>-9.4789559999999995E-2</v>
      </c>
      <c r="W4092">
        <v>0.1033757</v>
      </c>
      <c r="X4092">
        <v>0.99011530000000003</v>
      </c>
      <c r="Y4092">
        <v>-0.111036</v>
      </c>
      <c r="Z4092">
        <v>-5.2164020000000002E-3</v>
      </c>
      <c r="AA4092">
        <v>0.99380270000000004</v>
      </c>
      <c r="AB4092">
        <v>44</v>
      </c>
      <c r="AC4092">
        <v>-17.352599999999899</v>
      </c>
      <c r="AD4092">
        <v>-1.1106381299470001</v>
      </c>
      <c r="AE4092">
        <v>-1.49639999999999</v>
      </c>
      <c r="AF4092">
        <v>-1.97680103578241</v>
      </c>
      <c r="AG4092">
        <v>-1.1106381299470001</v>
      </c>
      <c r="AH4092">
        <v>17.2334595951646</v>
      </c>
      <c r="AI4092">
        <v>93.663462995346904</v>
      </c>
      <c r="AJ4092">
        <v>96.543635791599101</v>
      </c>
      <c r="AK4092">
        <v>17.3819846107668</v>
      </c>
      <c r="AL4092">
        <v>84.066407965553196</v>
      </c>
      <c r="AM4092">
        <v>95.468595324557796</v>
      </c>
      <c r="AN4092">
        <v>0.99999995166478495</v>
      </c>
    </row>
    <row r="4093" spans="1:40" x14ac:dyDescent="0.25">
      <c r="A4093" t="str">
        <f>"20190312151355778"</f>
        <v>20190312151355778</v>
      </c>
      <c r="B4093" t="str">
        <f>"1552374835774479"</f>
        <v>1552374835774479</v>
      </c>
      <c r="C4093" t="s">
        <v>40</v>
      </c>
      <c r="D4093">
        <v>4.6392850000000001</v>
      </c>
      <c r="E4093">
        <v>0.49345929999999999</v>
      </c>
      <c r="F4093" t="s">
        <v>42</v>
      </c>
      <c r="G4093">
        <v>-334.15460000000002</v>
      </c>
      <c r="H4093" s="1">
        <v>-3.1644039999999998E-6</v>
      </c>
      <c r="I4093">
        <v>141.1978</v>
      </c>
      <c r="J4093">
        <v>-317.29180000000002</v>
      </c>
      <c r="K4093">
        <v>1.1106240000000001</v>
      </c>
      <c r="L4093">
        <v>142.68090000000001</v>
      </c>
      <c r="M4093">
        <v>-0.99957289999999999</v>
      </c>
      <c r="N4093">
        <v>0</v>
      </c>
      <c r="O4093">
        <v>2.7180079999999999E-2</v>
      </c>
      <c r="P4093">
        <v>-0.99360179999999998</v>
      </c>
      <c r="Q4093">
        <v>9.1399170000000002E-2</v>
      </c>
      <c r="R4093">
        <v>-6.6348790000000005E-2</v>
      </c>
      <c r="S4093">
        <v>-3.0207820000000001</v>
      </c>
      <c r="T4093">
        <v>-0.19400129999999999</v>
      </c>
      <c r="U4093">
        <v>-0.25706479999999998</v>
      </c>
      <c r="V4093">
        <v>-9.3637579999999998E-2</v>
      </c>
      <c r="W4093">
        <v>0.10176399999999999</v>
      </c>
      <c r="X4093">
        <v>0.99039189999999999</v>
      </c>
      <c r="Y4093">
        <v>-0.1115608</v>
      </c>
      <c r="Z4093">
        <v>-5.3132930000000002E-3</v>
      </c>
      <c r="AA4093">
        <v>0.99374340000000005</v>
      </c>
      <c r="AB4093">
        <v>44</v>
      </c>
      <c r="AC4093">
        <v>-16.862799999999901</v>
      </c>
      <c r="AD4093">
        <v>-1.110627164404</v>
      </c>
      <c r="AE4093">
        <v>-1.4831000000000001</v>
      </c>
      <c r="AF4093">
        <v>-1.93259168581708</v>
      </c>
      <c r="AG4093">
        <v>-1.110627164404</v>
      </c>
      <c r="AH4093">
        <v>16.744179630429201</v>
      </c>
      <c r="AI4093">
        <v>93.769867415581402</v>
      </c>
      <c r="AJ4093">
        <v>96.583872705182898</v>
      </c>
      <c r="AK4093">
        <v>16.891890208572899</v>
      </c>
      <c r="AL4093">
        <v>84.159241561677504</v>
      </c>
      <c r="AM4093">
        <v>95.401031054355798</v>
      </c>
      <c r="AN4093">
        <v>1.0000000118349299</v>
      </c>
    </row>
    <row r="4094" spans="1:40" x14ac:dyDescent="0.25">
      <c r="A4094" t="str">
        <f>"20190312151355799"</f>
        <v>20190312151355799</v>
      </c>
      <c r="B4094" t="str">
        <f>"1552374835794975"</f>
        <v>1552374835794975</v>
      </c>
      <c r="C4094" t="s">
        <v>40</v>
      </c>
      <c r="D4094">
        <v>4.4246619999999997</v>
      </c>
      <c r="E4094">
        <v>0.49366149999999998</v>
      </c>
      <c r="F4094" t="s">
        <v>42</v>
      </c>
      <c r="G4094">
        <v>-332.12689999999998</v>
      </c>
      <c r="H4094" s="1">
        <v>-4.1485360000000003E-6</v>
      </c>
      <c r="I4094">
        <v>141.29409999999999</v>
      </c>
      <c r="J4094">
        <v>-317.72820000000002</v>
      </c>
      <c r="K4094">
        <v>1.1106180000000001</v>
      </c>
      <c r="L4094">
        <v>142.69200000000001</v>
      </c>
      <c r="M4094">
        <v>-0.99959969999999998</v>
      </c>
      <c r="N4094">
        <v>0</v>
      </c>
      <c r="O4094">
        <v>2.617104E-2</v>
      </c>
      <c r="P4094">
        <v>-0.99373049999999996</v>
      </c>
      <c r="Q4094">
        <v>9.0164640000000004E-2</v>
      </c>
      <c r="R4094">
        <v>-6.6106739999999997E-2</v>
      </c>
      <c r="S4094">
        <v>-3.0213009999999998</v>
      </c>
      <c r="T4094">
        <v>-0.22618940000000001</v>
      </c>
      <c r="U4094">
        <v>-0.28244019999999997</v>
      </c>
      <c r="V4094">
        <v>-9.2393779999999995E-2</v>
      </c>
      <c r="W4094">
        <v>0.1005424</v>
      </c>
      <c r="X4094">
        <v>0.9906334</v>
      </c>
      <c r="Y4094">
        <v>-0.118702</v>
      </c>
      <c r="Z4094">
        <v>-6.3803419999999998E-3</v>
      </c>
      <c r="AA4094">
        <v>0.99290940000000005</v>
      </c>
      <c r="AB4094">
        <v>44</v>
      </c>
      <c r="AC4094">
        <v>-14.3986999999999</v>
      </c>
      <c r="AD4094">
        <v>-1.1106221485359999</v>
      </c>
      <c r="AE4094">
        <v>-1.3979000000000199</v>
      </c>
      <c r="AF4094">
        <v>-1.76387553342004</v>
      </c>
      <c r="AG4094">
        <v>-1.1106221485359999</v>
      </c>
      <c r="AH4094">
        <v>14.2730552596829</v>
      </c>
      <c r="AI4094">
        <v>94.415904302981701</v>
      </c>
      <c r="AJ4094">
        <v>97.044939017277798</v>
      </c>
      <c r="AK4094">
        <v>14.424453019098401</v>
      </c>
      <c r="AL4094">
        <v>84.229594635907802</v>
      </c>
      <c r="AM4094">
        <v>95.328412544014995</v>
      </c>
      <c r="AN4094">
        <v>0.99999995898800298</v>
      </c>
    </row>
    <row r="4095" spans="1:40" x14ac:dyDescent="0.25">
      <c r="A4095" t="str">
        <f>"20190312151355822"</f>
        <v>20190312151355822</v>
      </c>
      <c r="B4095" t="str">
        <f>"1552374835814026"</f>
        <v>1552374835814026</v>
      </c>
      <c r="C4095" t="s">
        <v>40</v>
      </c>
      <c r="D4095">
        <v>4.4065310000000002</v>
      </c>
      <c r="E4095">
        <v>0.49358079999999999</v>
      </c>
      <c r="F4095" t="s">
        <v>42</v>
      </c>
      <c r="G4095">
        <v>-337.32569999999998</v>
      </c>
      <c r="H4095" s="1">
        <v>-1.584553E-6</v>
      </c>
      <c r="I4095">
        <v>140.8939</v>
      </c>
      <c r="J4095">
        <v>-318.17939999999999</v>
      </c>
      <c r="K4095">
        <v>1.110611</v>
      </c>
      <c r="L4095">
        <v>142.70310000000001</v>
      </c>
      <c r="M4095">
        <v>-0.99962640000000003</v>
      </c>
      <c r="N4095">
        <v>0</v>
      </c>
      <c r="O4095">
        <v>2.5131219999999999E-2</v>
      </c>
      <c r="P4095">
        <v>-0.99373210000000001</v>
      </c>
      <c r="Q4095">
        <v>8.9479130000000004E-2</v>
      </c>
      <c r="R4095">
        <v>-6.7008209999999999E-2</v>
      </c>
      <c r="S4095">
        <v>-3.0160520000000002</v>
      </c>
      <c r="T4095">
        <v>-0.1709244</v>
      </c>
      <c r="U4095">
        <v>-0.27673340000000002</v>
      </c>
      <c r="V4095">
        <v>-9.2260270000000005E-2</v>
      </c>
      <c r="W4095">
        <v>9.9865410000000002E-2</v>
      </c>
      <c r="X4095">
        <v>0.9907144</v>
      </c>
      <c r="Y4095">
        <v>-0.1161435</v>
      </c>
      <c r="Z4095">
        <v>-4.701991E-3</v>
      </c>
      <c r="AA4095">
        <v>0.99322129999999997</v>
      </c>
      <c r="AB4095">
        <v>44</v>
      </c>
      <c r="AC4095">
        <v>-19.1463</v>
      </c>
      <c r="AD4095">
        <v>-1.1106125845529999</v>
      </c>
      <c r="AE4095">
        <v>-1.8091999999999999</v>
      </c>
      <c r="AF4095">
        <v>-2.2822150115148299</v>
      </c>
      <c r="AG4095">
        <v>-1.1106125845529999</v>
      </c>
      <c r="AH4095">
        <v>19.031312840696302</v>
      </c>
      <c r="AI4095">
        <v>93.316123583327894</v>
      </c>
      <c r="AJ4095">
        <v>96.838195344535606</v>
      </c>
      <c r="AK4095">
        <v>19.199813387431799</v>
      </c>
      <c r="AL4095">
        <v>84.268579987588296</v>
      </c>
      <c r="AM4095">
        <v>95.320324628889495</v>
      </c>
      <c r="AN4095">
        <v>1.00000003995114</v>
      </c>
    </row>
    <row r="4096" spans="1:40" x14ac:dyDescent="0.25">
      <c r="A4096" t="str">
        <f>"20190312151355844"</f>
        <v>20190312151355844</v>
      </c>
      <c r="B4096" t="str">
        <f>"1552374835834522"</f>
        <v>1552374835834522</v>
      </c>
      <c r="C4096" t="s">
        <v>40</v>
      </c>
      <c r="D4096">
        <v>4.4191140000000004</v>
      </c>
      <c r="E4096">
        <v>0.49359199999999998</v>
      </c>
      <c r="F4096" t="s">
        <v>42</v>
      </c>
      <c r="G4096">
        <v>-337.36450000000002</v>
      </c>
      <c r="H4096" s="1">
        <v>-1.5732659999999999E-6</v>
      </c>
      <c r="I4096">
        <v>140.9205</v>
      </c>
      <c r="J4096">
        <v>-318.60899999999998</v>
      </c>
      <c r="K4096">
        <v>1.1106049999999901</v>
      </c>
      <c r="L4096">
        <v>142.7132</v>
      </c>
      <c r="M4096">
        <v>-0.99965059999999994</v>
      </c>
      <c r="N4096">
        <v>0</v>
      </c>
      <c r="O4096">
        <v>2.414295E-2</v>
      </c>
      <c r="P4096">
        <v>-0.99376810000000004</v>
      </c>
      <c r="Q4096">
        <v>8.9192660000000007E-2</v>
      </c>
      <c r="R4096">
        <v>-6.6856490000000005E-2</v>
      </c>
      <c r="S4096">
        <v>-3.0157470000000002</v>
      </c>
      <c r="T4096">
        <v>-0.17457899999999901</v>
      </c>
      <c r="U4096">
        <v>-0.28021239999999997</v>
      </c>
      <c r="V4096">
        <v>-9.1127059999999996E-2</v>
      </c>
      <c r="W4096">
        <v>9.9590230000000002E-2</v>
      </c>
      <c r="X4096">
        <v>0.99084689999999997</v>
      </c>
      <c r="Y4096">
        <v>-0.1162985</v>
      </c>
      <c r="Z4096">
        <v>-4.7500069999999997E-3</v>
      </c>
      <c r="AA4096">
        <v>0.9932029</v>
      </c>
      <c r="AB4096">
        <v>44</v>
      </c>
      <c r="AC4096">
        <v>-18.755499999999898</v>
      </c>
      <c r="AD4096">
        <v>-1.11060657326599</v>
      </c>
      <c r="AE4096">
        <v>-1.79269999999999</v>
      </c>
      <c r="AF4096">
        <v>-2.2372430353924901</v>
      </c>
      <c r="AG4096">
        <v>-1.11060657326599</v>
      </c>
      <c r="AH4096">
        <v>18.641974181145301</v>
      </c>
      <c r="AI4096">
        <v>93.385166514196897</v>
      </c>
      <c r="AJ4096">
        <v>96.843397966388494</v>
      </c>
      <c r="AK4096">
        <v>18.808559347554599</v>
      </c>
      <c r="AL4096">
        <v>84.284425216317004</v>
      </c>
      <c r="AM4096">
        <v>95.254645730378499</v>
      </c>
      <c r="AN4096">
        <v>0.99999996710765204</v>
      </c>
    </row>
    <row r="4097" spans="1:40" x14ac:dyDescent="0.25">
      <c r="A4097" t="str">
        <f>"20190312151355867"</f>
        <v>20190312151355867</v>
      </c>
      <c r="B4097" t="str">
        <f>"1552374835864779"</f>
        <v>1552374835864779</v>
      </c>
      <c r="C4097" t="s">
        <v>40</v>
      </c>
      <c r="D4097">
        <v>4.449001</v>
      </c>
      <c r="E4097">
        <v>0.49355529999999997</v>
      </c>
      <c r="F4097" t="s">
        <v>42</v>
      </c>
      <c r="G4097">
        <v>-336.68610000000001</v>
      </c>
      <c r="H4097" s="1">
        <v>-1.924134E-6</v>
      </c>
      <c r="I4097">
        <v>141.03380000000001</v>
      </c>
      <c r="J4097">
        <v>-319.06659999999999</v>
      </c>
      <c r="K4097">
        <v>1.1105989999999999</v>
      </c>
      <c r="L4097">
        <v>142.7235</v>
      </c>
      <c r="M4097">
        <v>-0.99967530000000004</v>
      </c>
      <c r="N4097">
        <v>0</v>
      </c>
      <c r="O4097">
        <v>2.3091670000000002E-2</v>
      </c>
      <c r="P4097">
        <v>-0.99381470000000005</v>
      </c>
      <c r="Q4097">
        <v>8.8505159999999999E-2</v>
      </c>
      <c r="R4097">
        <v>-6.707349E-2</v>
      </c>
      <c r="S4097">
        <v>-3.0166019999999998</v>
      </c>
      <c r="T4097">
        <v>-0.18533160000000001</v>
      </c>
      <c r="U4097">
        <v>-0.28024290000000002</v>
      </c>
      <c r="V4097">
        <v>-9.0299729999999995E-2</v>
      </c>
      <c r="W4097">
        <v>9.891316E-2</v>
      </c>
      <c r="X4097">
        <v>0.9909905</v>
      </c>
      <c r="Y4097">
        <v>-0.1152125</v>
      </c>
      <c r="Z4097">
        <v>-4.9429410000000002E-3</v>
      </c>
      <c r="AA4097">
        <v>0.99332860000000001</v>
      </c>
      <c r="AB4097">
        <v>44</v>
      </c>
      <c r="AC4097">
        <v>-17.619499999999999</v>
      </c>
      <c r="AD4097">
        <v>-1.11060092413399</v>
      </c>
      <c r="AE4097">
        <v>-1.68969999999998</v>
      </c>
      <c r="AF4097">
        <v>-2.0879167911879302</v>
      </c>
      <c r="AG4097">
        <v>-1.11060092413399</v>
      </c>
      <c r="AH4097">
        <v>17.506858443874599</v>
      </c>
      <c r="AI4097">
        <v>93.604393103322806</v>
      </c>
      <c r="AJ4097">
        <v>96.801130403405907</v>
      </c>
      <c r="AK4097">
        <v>17.6658688864566</v>
      </c>
      <c r="AL4097">
        <v>84.323411229495406</v>
      </c>
      <c r="AM4097">
        <v>95.206452571186702</v>
      </c>
      <c r="AN4097">
        <v>1.0000000127747499</v>
      </c>
    </row>
    <row r="4098" spans="1:40" x14ac:dyDescent="0.25">
      <c r="A4098" t="str">
        <f>"20190312151355889"</f>
        <v>20190312151355889</v>
      </c>
      <c r="B4098" t="str">
        <f>"1552374835884299"</f>
        <v>1552374835884299</v>
      </c>
      <c r="C4098" t="s">
        <v>40</v>
      </c>
      <c r="D4098">
        <v>4.447673</v>
      </c>
      <c r="E4098">
        <v>0.49361860000000002</v>
      </c>
      <c r="F4098" t="s">
        <v>42</v>
      </c>
      <c r="G4098">
        <v>-336.72269999999997</v>
      </c>
      <c r="H4098" s="1">
        <v>-1.918125E-6</v>
      </c>
      <c r="I4098">
        <v>141.0761</v>
      </c>
      <c r="J4098">
        <v>-319.51010000000002</v>
      </c>
      <c r="K4098">
        <v>1.110592</v>
      </c>
      <c r="L4098">
        <v>142.733</v>
      </c>
      <c r="M4098">
        <v>-0.99969839999999999</v>
      </c>
      <c r="N4098">
        <v>0</v>
      </c>
      <c r="O4098">
        <v>2.207334E-2</v>
      </c>
      <c r="P4098">
        <v>-0.99384700000000004</v>
      </c>
      <c r="Q4098">
        <v>8.7816669999999999E-2</v>
      </c>
      <c r="R4098">
        <v>-6.7504549999999997E-2</v>
      </c>
      <c r="S4098">
        <v>-3.0165709999999999</v>
      </c>
      <c r="T4098">
        <v>-0.18974859999999999</v>
      </c>
      <c r="U4098">
        <v>-0.28144839999999999</v>
      </c>
      <c r="V4098">
        <v>-8.9717920000000007E-2</v>
      </c>
      <c r="W4098">
        <v>9.8234100000000005E-2</v>
      </c>
      <c r="X4098">
        <v>0.99111090000000002</v>
      </c>
      <c r="Y4098">
        <v>-0.1145859</v>
      </c>
      <c r="Z4098">
        <v>-4.9769549999999999E-3</v>
      </c>
      <c r="AA4098">
        <v>0.99340090000000003</v>
      </c>
      <c r="AB4098">
        <v>45</v>
      </c>
      <c r="AC4098">
        <v>-17.212599999999899</v>
      </c>
      <c r="AD4098">
        <v>-1.110593918125</v>
      </c>
      <c r="AE4098">
        <v>-1.6569</v>
      </c>
      <c r="AF4098">
        <v>-2.0280921949828898</v>
      </c>
      <c r="AG4098">
        <v>-1.110593918125</v>
      </c>
      <c r="AH4098">
        <v>17.1012894349461</v>
      </c>
      <c r="AI4098">
        <v>93.689906229296994</v>
      </c>
      <c r="AJ4098">
        <v>96.763286071717701</v>
      </c>
      <c r="AK4098">
        <v>17.256902304299199</v>
      </c>
      <c r="AL4098">
        <v>84.362509013414098</v>
      </c>
      <c r="AM4098">
        <v>95.172464464165003</v>
      </c>
      <c r="AN4098">
        <v>1.00000002983537</v>
      </c>
    </row>
    <row r="4099" spans="1:40" x14ac:dyDescent="0.25">
      <c r="A4099" t="str">
        <f>"20190312151355911"</f>
        <v>20190312151355911</v>
      </c>
      <c r="B4099" t="str">
        <f>"1552374835904794"</f>
        <v>1552374835904794</v>
      </c>
      <c r="C4099" t="s">
        <v>40</v>
      </c>
      <c r="D4099">
        <v>4.552594</v>
      </c>
      <c r="E4099">
        <v>0.49441380000000001</v>
      </c>
      <c r="F4099" t="s">
        <v>42</v>
      </c>
      <c r="G4099">
        <v>-336.84379999999999</v>
      </c>
      <c r="H4099" s="1">
        <v>-1.869721E-6</v>
      </c>
      <c r="I4099">
        <v>141.10939999999999</v>
      </c>
      <c r="J4099">
        <v>-319.95760000000001</v>
      </c>
      <c r="K4099">
        <v>1.110582</v>
      </c>
      <c r="L4099">
        <v>142.74209999999999</v>
      </c>
      <c r="M4099">
        <v>-0.99972039999999995</v>
      </c>
      <c r="N4099">
        <v>0</v>
      </c>
      <c r="O4099">
        <v>2.1046829999999999E-2</v>
      </c>
      <c r="P4099">
        <v>-0.99392999999999998</v>
      </c>
      <c r="Q4099">
        <v>8.6817560000000002E-2</v>
      </c>
      <c r="R4099">
        <v>-6.7570690000000003E-2</v>
      </c>
      <c r="S4099">
        <v>-3.0164789999999999</v>
      </c>
      <c r="T4099">
        <v>-0.19327059999999999</v>
      </c>
      <c r="U4099">
        <v>-0.2825317</v>
      </c>
      <c r="V4099">
        <v>-8.876386E-2</v>
      </c>
      <c r="W4099">
        <v>9.7246089999999993E-2</v>
      </c>
      <c r="X4099">
        <v>0.99129420000000001</v>
      </c>
      <c r="Y4099">
        <v>-0.1139158</v>
      </c>
      <c r="Z4099">
        <v>-4.9822319999999996E-3</v>
      </c>
      <c r="AA4099">
        <v>0.99347790000000002</v>
      </c>
      <c r="AB4099">
        <v>45</v>
      </c>
      <c r="AC4099">
        <v>-16.886199999999899</v>
      </c>
      <c r="AD4099">
        <v>-1.110583869721</v>
      </c>
      <c r="AE4099">
        <v>-1.63269999999999</v>
      </c>
      <c r="AF4099">
        <v>-1.9792778030793801</v>
      </c>
      <c r="AG4099">
        <v>-1.110583869721</v>
      </c>
      <c r="AH4099">
        <v>16.776200193839902</v>
      </c>
      <c r="AI4099">
        <v>93.761439610678295</v>
      </c>
      <c r="AJ4099">
        <v>96.728724888287104</v>
      </c>
      <c r="AK4099">
        <v>16.929023306063499</v>
      </c>
      <c r="AL4099">
        <v>84.419390042878703</v>
      </c>
      <c r="AM4099">
        <v>95.1168128497862</v>
      </c>
      <c r="AN4099">
        <v>1.00000000790801</v>
      </c>
    </row>
    <row r="4100" spans="1:40" x14ac:dyDescent="0.25">
      <c r="A4100" t="str">
        <f>"20190312151355935"</f>
        <v>20190312151355935</v>
      </c>
      <c r="B4100" t="str">
        <f>"1552374835924314"</f>
        <v>1552374835924314</v>
      </c>
      <c r="C4100" t="s">
        <v>40</v>
      </c>
      <c r="D4100">
        <v>4.4730230000000004</v>
      </c>
      <c r="E4100">
        <v>0.528286699999999</v>
      </c>
      <c r="F4100" t="s">
        <v>42</v>
      </c>
      <c r="G4100">
        <v>-336.76819999999998</v>
      </c>
      <c r="H4100" s="1">
        <v>-1.9297860000000002E-6</v>
      </c>
      <c r="I4100">
        <v>141.20099999999999</v>
      </c>
      <c r="J4100">
        <v>-320.40350000000001</v>
      </c>
      <c r="K4100">
        <v>1.110571</v>
      </c>
      <c r="L4100">
        <v>142.75069999999999</v>
      </c>
      <c r="M4100">
        <v>-0.9997414</v>
      </c>
      <c r="N4100">
        <v>0</v>
      </c>
      <c r="O4100">
        <v>2.0023719999999998E-2</v>
      </c>
      <c r="P4100">
        <v>-0.9939848</v>
      </c>
      <c r="Q4100">
        <v>8.5861699999999999E-2</v>
      </c>
      <c r="R4100">
        <v>-6.7987629999999993E-2</v>
      </c>
      <c r="S4100">
        <v>-3.0169069999999998</v>
      </c>
      <c r="T4100">
        <v>-0.19930970000000001</v>
      </c>
      <c r="U4100">
        <v>-0.27656560000000002</v>
      </c>
      <c r="V4100">
        <v>-8.8163640000000001E-2</v>
      </c>
      <c r="W4100">
        <v>9.6299259999999998E-2</v>
      </c>
      <c r="X4100">
        <v>0.99144019999999999</v>
      </c>
      <c r="Y4100">
        <v>-0.1109289</v>
      </c>
      <c r="Z4100">
        <v>-4.9715640000000004E-3</v>
      </c>
      <c r="AA4100">
        <v>0.99381589999999997</v>
      </c>
      <c r="AB4100">
        <v>45</v>
      </c>
      <c r="AC4100">
        <v>-16.3646999999999</v>
      </c>
      <c r="AD4100">
        <v>-1.1105729297859901</v>
      </c>
      <c r="AE4100">
        <v>-1.5497000000000001</v>
      </c>
      <c r="AF4100">
        <v>-1.8685612677419601</v>
      </c>
      <c r="AG4100">
        <v>-1.1105729297859901</v>
      </c>
      <c r="AH4100">
        <v>16.256183370483399</v>
      </c>
      <c r="AI4100">
        <v>93.882713949701895</v>
      </c>
      <c r="AJ4100">
        <v>96.557066313274007</v>
      </c>
      <c r="AK4100">
        <v>16.400865563087201</v>
      </c>
      <c r="AL4100">
        <v>84.473895308071306</v>
      </c>
      <c r="AM4100">
        <v>95.081650339782101</v>
      </c>
      <c r="AN4100">
        <v>1.0000000225353101</v>
      </c>
    </row>
    <row r="4101" spans="1:40" x14ac:dyDescent="0.25">
      <c r="A4101" t="str">
        <f>"20190312151355957"</f>
        <v>20190312151355957</v>
      </c>
      <c r="B4101" t="str">
        <f>"1552374835944810"</f>
        <v>1552374835944810</v>
      </c>
      <c r="C4101" t="s">
        <v>40</v>
      </c>
      <c r="D4101">
        <v>4.4185410000000003</v>
      </c>
      <c r="E4101">
        <v>0.53353269999999997</v>
      </c>
      <c r="F4101" t="s">
        <v>42</v>
      </c>
      <c r="G4101">
        <v>-340.37389999999999</v>
      </c>
      <c r="H4101" s="1">
        <v>-4.6981239999999998E-6</v>
      </c>
      <c r="I4101">
        <v>142.7132</v>
      </c>
      <c r="J4101">
        <v>-320.85419999999999</v>
      </c>
      <c r="K4101">
        <v>1.1105659999999999</v>
      </c>
      <c r="L4101">
        <v>142.75899999999999</v>
      </c>
      <c r="M4101">
        <v>-0.99976149999999997</v>
      </c>
      <c r="N4101">
        <v>0</v>
      </c>
      <c r="O4101">
        <v>1.8990300000000002E-2</v>
      </c>
      <c r="P4101">
        <v>-0.99404519999999996</v>
      </c>
      <c r="Q4101">
        <v>8.5187079999999998E-2</v>
      </c>
      <c r="R4101">
        <v>-6.7952040000000005E-2</v>
      </c>
      <c r="S4101">
        <v>-3.0323180000000001</v>
      </c>
      <c r="T4101">
        <v>-0.16863129999999901</v>
      </c>
      <c r="U4101">
        <v>-5.6762699999999998E-3</v>
      </c>
      <c r="V4101">
        <v>-8.7100789999999997E-2</v>
      </c>
      <c r="W4101">
        <v>9.5635250000000005E-2</v>
      </c>
      <c r="X4101">
        <v>0.99159839999999999</v>
      </c>
      <c r="Y4101">
        <v>-2.0801469999999999E-2</v>
      </c>
      <c r="Z4101">
        <v>-1.633231E-3</v>
      </c>
      <c r="AA4101">
        <v>0.99978230000000001</v>
      </c>
      <c r="AB4101">
        <v>45</v>
      </c>
      <c r="AC4101">
        <v>-19.5197</v>
      </c>
      <c r="AD4101">
        <v>-1.110570698124</v>
      </c>
      <c r="AE4101">
        <v>-4.5799999999985602E-2</v>
      </c>
      <c r="AF4101">
        <v>-0.41515440005552001</v>
      </c>
      <c r="AG4101">
        <v>-1.110570698124</v>
      </c>
      <c r="AH4101">
        <v>19.452342372478</v>
      </c>
      <c r="AI4101">
        <v>93.266834054239695</v>
      </c>
      <c r="AJ4101">
        <v>91.222628309229293</v>
      </c>
      <c r="AK4101">
        <v>19.488441298049501</v>
      </c>
      <c r="AL4101">
        <v>84.512116663374499</v>
      </c>
      <c r="AM4101">
        <v>95.019906998127894</v>
      </c>
      <c r="AN4101">
        <v>1.00000001777187</v>
      </c>
    </row>
    <row r="4102" spans="1:40" x14ac:dyDescent="0.25">
      <c r="A4102" t="str">
        <f>"20190312151355978"</f>
        <v>20190312151355978</v>
      </c>
      <c r="B4102" t="str">
        <f>"1552374835974091"</f>
        <v>1552374835974091</v>
      </c>
      <c r="C4102" t="s">
        <v>40</v>
      </c>
      <c r="D4102">
        <v>4.436248</v>
      </c>
      <c r="E4102">
        <v>0.53557239999999995</v>
      </c>
      <c r="F4102" t="s">
        <v>42</v>
      </c>
      <c r="G4102">
        <v>-340.8261</v>
      </c>
      <c r="H4102" s="1">
        <v>-4.5948609999999998E-6</v>
      </c>
      <c r="I4102">
        <v>142.99860000000001</v>
      </c>
      <c r="J4102">
        <v>-321.29230000000001</v>
      </c>
      <c r="K4102">
        <v>1.1105700000000001</v>
      </c>
      <c r="L4102">
        <v>142.76660000000001</v>
      </c>
      <c r="M4102">
        <v>-0.99978009999999995</v>
      </c>
      <c r="N4102">
        <v>0</v>
      </c>
      <c r="O4102">
        <v>1.798601E-2</v>
      </c>
      <c r="P4102">
        <v>-0.99408529999999995</v>
      </c>
      <c r="Q4102">
        <v>8.4775290000000003E-2</v>
      </c>
      <c r="R4102">
        <v>-6.7881819999999995E-2</v>
      </c>
      <c r="S4102">
        <v>-3.0349430000000002</v>
      </c>
      <c r="T4102">
        <v>-0.16876389999999999</v>
      </c>
      <c r="U4102">
        <v>3.642273E-2</v>
      </c>
      <c r="V4102">
        <v>-8.6032609999999995E-2</v>
      </c>
      <c r="W4102">
        <v>9.5234159999999998E-2</v>
      </c>
      <c r="X4102">
        <v>0.99173020000000001</v>
      </c>
      <c r="Y4102">
        <v>-5.9504639999999999E-3</v>
      </c>
      <c r="Z4102">
        <v>-1.16464E-3</v>
      </c>
      <c r="AA4102">
        <v>0.99998160000000003</v>
      </c>
      <c r="AB4102">
        <v>45</v>
      </c>
      <c r="AC4102">
        <v>-19.5337999999999</v>
      </c>
      <c r="AD4102">
        <v>-1.110574594861</v>
      </c>
      <c r="AE4102">
        <v>0.23199999999999901</v>
      </c>
      <c r="AF4102">
        <v>-0.11900845324539799</v>
      </c>
      <c r="AG4102">
        <v>-1.110574594861</v>
      </c>
      <c r="AH4102">
        <v>19.471881233273301</v>
      </c>
      <c r="AI4102">
        <v>93.264255229477897</v>
      </c>
      <c r="AJ4102">
        <v>90.350176601600396</v>
      </c>
      <c r="AK4102">
        <v>19.503889296891501</v>
      </c>
      <c r="AL4102">
        <v>84.535202550875795</v>
      </c>
      <c r="AM4102">
        <v>94.957997365332801</v>
      </c>
      <c r="AN4102">
        <v>0.99999997240317795</v>
      </c>
    </row>
    <row r="4103" spans="1:40" x14ac:dyDescent="0.25">
      <c r="A4103" t="str">
        <f>"20190312151356001"</f>
        <v>20190312151356001</v>
      </c>
      <c r="B4103" t="str">
        <f>"1552374835994586"</f>
        <v>1552374835994586</v>
      </c>
      <c r="C4103" t="s">
        <v>40</v>
      </c>
      <c r="D4103">
        <v>4.4357189999999997</v>
      </c>
      <c r="E4103">
        <v>0.53610539999999995</v>
      </c>
      <c r="F4103" t="s">
        <v>42</v>
      </c>
      <c r="G4103">
        <v>-341.48430000000002</v>
      </c>
      <c r="H4103" s="1">
        <v>-4.3922400000000003E-6</v>
      </c>
      <c r="I4103">
        <v>143.119</v>
      </c>
      <c r="J4103">
        <v>-321.7364</v>
      </c>
      <c r="K4103">
        <v>1.110573</v>
      </c>
      <c r="L4103">
        <v>142.7739</v>
      </c>
      <c r="M4103">
        <v>-0.99979779999999996</v>
      </c>
      <c r="N4103">
        <v>0</v>
      </c>
      <c r="O4103">
        <v>1.6968469999999999E-2</v>
      </c>
      <c r="P4103">
        <v>-0.99408770000000002</v>
      </c>
      <c r="Q4103">
        <v>8.4667010000000001E-2</v>
      </c>
      <c r="R4103">
        <v>-6.7984660000000002E-2</v>
      </c>
      <c r="S4103">
        <v>-3.0357059999999998</v>
      </c>
      <c r="T4103">
        <v>-0.1669668</v>
      </c>
      <c r="U4103">
        <v>5.2993770000000003E-2</v>
      </c>
      <c r="V4103">
        <v>-8.5124930000000001E-2</v>
      </c>
      <c r="W4103">
        <v>9.5137330000000006E-2</v>
      </c>
      <c r="X4103">
        <v>0.99181779999999997</v>
      </c>
      <c r="Y4103">
        <v>5.0964890000000001E-4</v>
      </c>
      <c r="Z4103">
        <v>-9.1848899999999998E-4</v>
      </c>
      <c r="AA4103">
        <v>0.99999950000000004</v>
      </c>
      <c r="AB4103">
        <v>45</v>
      </c>
      <c r="AC4103">
        <v>-19.747900000000001</v>
      </c>
      <c r="AD4103">
        <v>-1.11057739224</v>
      </c>
      <c r="AE4103">
        <v>0.34510000000000202</v>
      </c>
      <c r="AF4103">
        <v>9.9078249380241106E-3</v>
      </c>
      <c r="AG4103">
        <v>-1.11057739224</v>
      </c>
      <c r="AH4103">
        <v>19.688662617474701</v>
      </c>
      <c r="AI4103">
        <v>93.228458574024401</v>
      </c>
      <c r="AJ4103">
        <v>89.971167340503797</v>
      </c>
      <c r="AK4103">
        <v>19.719962372527299</v>
      </c>
      <c r="AL4103">
        <v>84.540775721303305</v>
      </c>
      <c r="AM4103">
        <v>94.905513877549595</v>
      </c>
      <c r="AN4103">
        <v>0.99999995683193499</v>
      </c>
    </row>
    <row r="4104" spans="1:40" x14ac:dyDescent="0.25">
      <c r="A4104" t="str">
        <f>"20190312151356023"</f>
        <v>20190312151356023</v>
      </c>
      <c r="B4104" t="str">
        <f>"1552374836014106"</f>
        <v>1552374836014106</v>
      </c>
      <c r="C4104" t="s">
        <v>40</v>
      </c>
      <c r="D4104">
        <v>4.5315200000000004</v>
      </c>
      <c r="E4104">
        <v>0.53636709999999999</v>
      </c>
      <c r="F4104" t="s">
        <v>42</v>
      </c>
      <c r="G4104">
        <v>-343.95929999999998</v>
      </c>
      <c r="H4104" s="1">
        <v>-3.5266179999999999E-6</v>
      </c>
      <c r="I4104">
        <v>143.19749999999999</v>
      </c>
      <c r="J4104">
        <v>-322.17930000000001</v>
      </c>
      <c r="K4104">
        <v>1.110573</v>
      </c>
      <c r="L4104">
        <v>142.78059999999999</v>
      </c>
      <c r="M4104">
        <v>-0.99981430000000004</v>
      </c>
      <c r="N4104">
        <v>0</v>
      </c>
      <c r="O4104">
        <v>1.5954050000000001E-2</v>
      </c>
      <c r="P4104">
        <v>-0.99405540000000003</v>
      </c>
      <c r="Q4104">
        <v>8.4747489999999995E-2</v>
      </c>
      <c r="R4104">
        <v>-6.8353360000000002E-2</v>
      </c>
      <c r="S4104">
        <v>-3.0347599999999999</v>
      </c>
      <c r="T4104">
        <v>-0.15166079999999901</v>
      </c>
      <c r="U4104">
        <v>5.7861330000000002E-2</v>
      </c>
      <c r="V4104">
        <v>-8.4486169999999999E-2</v>
      </c>
      <c r="W4104">
        <v>9.523131E-2</v>
      </c>
      <c r="X4104">
        <v>0.99186339999999995</v>
      </c>
      <c r="Y4104">
        <v>3.1242219999999998E-3</v>
      </c>
      <c r="Z4104">
        <v>-7.1870850000000004E-4</v>
      </c>
      <c r="AA4104">
        <v>0.99999490000000002</v>
      </c>
      <c r="AB4104">
        <v>45</v>
      </c>
      <c r="AC4104">
        <v>-21.779999999999902</v>
      </c>
      <c r="AD4104">
        <v>-1.1105765266179899</v>
      </c>
      <c r="AE4104">
        <v>0.41689999999999799</v>
      </c>
      <c r="AF4104">
        <v>6.9167650562897795E-2</v>
      </c>
      <c r="AG4104">
        <v>-1.1105765266179899</v>
      </c>
      <c r="AH4104">
        <v>21.727407687075999</v>
      </c>
      <c r="AI4104">
        <v>92.926059950170497</v>
      </c>
      <c r="AJ4104">
        <v>89.817603594229993</v>
      </c>
      <c r="AK4104">
        <v>21.755882174385999</v>
      </c>
      <c r="AL4104">
        <v>84.535366520279297</v>
      </c>
      <c r="AM4104">
        <v>94.868658759741706</v>
      </c>
      <c r="AN4104">
        <v>0.99999995979257095</v>
      </c>
    </row>
    <row r="4105" spans="1:40" x14ac:dyDescent="0.25">
      <c r="A4105" t="str">
        <f>"20190312151356045"</f>
        <v>20190312151356045</v>
      </c>
      <c r="B4105" t="str">
        <f>"1552374836034602"</f>
        <v>1552374836034602</v>
      </c>
      <c r="C4105" t="s">
        <v>40</v>
      </c>
      <c r="D4105">
        <v>4.4331170000000002</v>
      </c>
      <c r="E4105">
        <v>0.53651329999999997</v>
      </c>
      <c r="F4105" t="s">
        <v>42</v>
      </c>
      <c r="G4105">
        <v>-345.60930000000002</v>
      </c>
      <c r="H4105" s="1">
        <v>-2.8302399999999999E-6</v>
      </c>
      <c r="I4105">
        <v>143.2405</v>
      </c>
      <c r="J4105">
        <v>-322.62169999999998</v>
      </c>
      <c r="K4105">
        <v>1.110573</v>
      </c>
      <c r="L4105">
        <v>142.78700000000001</v>
      </c>
      <c r="M4105">
        <v>-0.99982979999999999</v>
      </c>
      <c r="N4105">
        <v>0</v>
      </c>
      <c r="O4105">
        <v>1.4941289999999999E-2</v>
      </c>
      <c r="P4105">
        <v>-0.99403260000000004</v>
      </c>
      <c r="Q4105">
        <v>8.5124889999999995E-2</v>
      </c>
      <c r="R4105">
        <v>-6.8212770000000006E-2</v>
      </c>
      <c r="S4105">
        <v>-3.0343019999999998</v>
      </c>
      <c r="T4105">
        <v>-0.1438257</v>
      </c>
      <c r="U4105">
        <v>5.9570310000000001E-2</v>
      </c>
      <c r="V4105">
        <v>-8.3341230000000002E-2</v>
      </c>
      <c r="W4105">
        <v>9.5625749999999995E-2</v>
      </c>
      <c r="X4105">
        <v>0.99192239999999998</v>
      </c>
      <c r="Y4105">
        <v>4.6985300000000002E-3</v>
      </c>
      <c r="Z4105">
        <v>-5.9646449999999995E-4</v>
      </c>
      <c r="AA4105">
        <v>0.99998880000000001</v>
      </c>
      <c r="AB4105">
        <v>45</v>
      </c>
      <c r="AC4105">
        <v>-22.9876</v>
      </c>
      <c r="AD4105">
        <v>-1.11057583024</v>
      </c>
      <c r="AE4105">
        <v>0.45349999999999102</v>
      </c>
      <c r="AF4105">
        <v>0.109708890679116</v>
      </c>
      <c r="AG4105">
        <v>-1.11057583024</v>
      </c>
      <c r="AH4105">
        <v>22.938291757785901</v>
      </c>
      <c r="AI4105">
        <v>92.771825083711903</v>
      </c>
      <c r="AJ4105">
        <v>89.725968762264003</v>
      </c>
      <c r="AK4105">
        <v>22.9654227803608</v>
      </c>
      <c r="AL4105">
        <v>84.512663635587501</v>
      </c>
      <c r="AM4105">
        <v>94.802706069713295</v>
      </c>
      <c r="AN4105">
        <v>1.0000000461513601</v>
      </c>
    </row>
    <row r="4106" spans="1:40" x14ac:dyDescent="0.25">
      <c r="A4106" t="str">
        <f>"20190312151356067"</f>
        <v>20190312151356067</v>
      </c>
      <c r="B4106" t="str">
        <f>"1552374836064859"</f>
        <v>1552374836064859</v>
      </c>
      <c r="C4106" t="s">
        <v>40</v>
      </c>
      <c r="D4106">
        <v>4.4393589999999996</v>
      </c>
      <c r="E4106">
        <v>0.53679589999999999</v>
      </c>
      <c r="F4106" t="s">
        <v>42</v>
      </c>
      <c r="G4106">
        <v>-347.37810000000002</v>
      </c>
      <c r="H4106" s="1">
        <v>-2.0843539999999999E-6</v>
      </c>
      <c r="I4106">
        <v>143.28909999999999</v>
      </c>
      <c r="J4106">
        <v>-323.06549999999999</v>
      </c>
      <c r="K4106">
        <v>1.110571</v>
      </c>
      <c r="L4106">
        <v>142.7929</v>
      </c>
      <c r="M4106">
        <v>-0.99984430000000002</v>
      </c>
      <c r="N4106">
        <v>0</v>
      </c>
      <c r="O4106">
        <v>1.3925959999999999E-2</v>
      </c>
      <c r="P4106">
        <v>-0.99411550000000004</v>
      </c>
      <c r="Q4106">
        <v>8.4579799999999997E-2</v>
      </c>
      <c r="R4106">
        <v>-6.7680749999999998E-2</v>
      </c>
      <c r="S4106">
        <v>-3.0339049999999999</v>
      </c>
      <c r="T4106">
        <v>-0.13610220000000001</v>
      </c>
      <c r="U4106">
        <v>6.1538700000000002E-2</v>
      </c>
      <c r="V4106">
        <v>-8.1800960000000006E-2</v>
      </c>
      <c r="W4106">
        <v>9.5100770000000001E-2</v>
      </c>
      <c r="X4106">
        <v>0.99210100000000001</v>
      </c>
      <c r="Y4106">
        <v>6.3612139999999996E-3</v>
      </c>
      <c r="Z4106">
        <v>-4.817485E-4</v>
      </c>
      <c r="AA4106">
        <v>0.99997970000000003</v>
      </c>
      <c r="AB4106">
        <v>45</v>
      </c>
      <c r="AC4106">
        <v>-24.3126</v>
      </c>
      <c r="AD4106">
        <v>-1.110573084354</v>
      </c>
      <c r="AE4106">
        <v>0.49619999999998698</v>
      </c>
      <c r="AF4106">
        <v>0.15722776973893501</v>
      </c>
      <c r="AG4106">
        <v>-1.110573084354</v>
      </c>
      <c r="AH4106">
        <v>24.266539996162699</v>
      </c>
      <c r="AI4106">
        <v>92.620293151771705</v>
      </c>
      <c r="AJ4106">
        <v>89.628774371046703</v>
      </c>
      <c r="AK4106">
        <v>24.292448549551999</v>
      </c>
      <c r="AL4106">
        <v>84.542880089262894</v>
      </c>
      <c r="AM4106">
        <v>94.7135038639058</v>
      </c>
      <c r="AN4106">
        <v>0.99999997385625605</v>
      </c>
    </row>
    <row r="4107" spans="1:40" x14ac:dyDescent="0.25">
      <c r="A4107" t="str">
        <f>"20190312151356090"</f>
        <v>20190312151356090</v>
      </c>
      <c r="B4107" t="str">
        <f>"1552374836084379"</f>
        <v>1552374836084379</v>
      </c>
      <c r="C4107" t="s">
        <v>40</v>
      </c>
      <c r="D4107">
        <v>4.4232239999999896</v>
      </c>
      <c r="E4107">
        <v>0.53699030000000003</v>
      </c>
      <c r="F4107" t="s">
        <v>42</v>
      </c>
      <c r="G4107">
        <v>-349.08280000000002</v>
      </c>
      <c r="H4107" s="1">
        <v>-1.3707029999999999E-6</v>
      </c>
      <c r="I4107">
        <v>143.35550000000001</v>
      </c>
      <c r="J4107">
        <v>-323.51389999999998</v>
      </c>
      <c r="K4107">
        <v>1.1105689999999999</v>
      </c>
      <c r="L4107">
        <v>142.79839999999999</v>
      </c>
      <c r="M4107">
        <v>-0.99985780000000002</v>
      </c>
      <c r="N4107">
        <v>0</v>
      </c>
      <c r="O4107">
        <v>1.290061E-2</v>
      </c>
      <c r="P4107">
        <v>-0.99418119999999999</v>
      </c>
      <c r="Q4107">
        <v>8.3225759999999996E-2</v>
      </c>
      <c r="R4107">
        <v>-6.8390450000000005E-2</v>
      </c>
      <c r="S4107">
        <v>-3.033264</v>
      </c>
      <c r="T4107">
        <v>-0.12947809999999901</v>
      </c>
      <c r="U4107">
        <v>6.5597530000000001E-2</v>
      </c>
      <c r="V4107">
        <v>-8.1489179999999994E-2</v>
      </c>
      <c r="W4107">
        <v>9.3762590000000007E-2</v>
      </c>
      <c r="X4107">
        <v>0.99225399999999997</v>
      </c>
      <c r="Y4107">
        <v>8.7246440000000001E-3</v>
      </c>
      <c r="Z4107">
        <v>-3.642594E-4</v>
      </c>
      <c r="AA4107">
        <v>0.99996189999999996</v>
      </c>
      <c r="AB4107">
        <v>45</v>
      </c>
      <c r="AC4107">
        <v>-25.568899999999999</v>
      </c>
      <c r="AD4107">
        <v>-1.1105703707029999</v>
      </c>
      <c r="AE4107">
        <v>0.55710000000001902</v>
      </c>
      <c r="AF4107">
        <v>0.22675219599836999</v>
      </c>
      <c r="AG4107">
        <v>-1.1105703707029999</v>
      </c>
      <c r="AH4107">
        <v>25.5258264816494</v>
      </c>
      <c r="AI4107">
        <v>92.491139139246101</v>
      </c>
      <c r="AJ4107">
        <v>89.491040883193307</v>
      </c>
      <c r="AK4107">
        <v>25.550980424984601</v>
      </c>
      <c r="AL4107">
        <v>84.619896221403494</v>
      </c>
      <c r="AM4107">
        <v>94.694898280469602</v>
      </c>
      <c r="AN4107">
        <v>0.99999995512828899</v>
      </c>
    </row>
    <row r="4108" spans="1:40" x14ac:dyDescent="0.25">
      <c r="A4108" t="str">
        <f>"20190312151356112"</f>
        <v>20190312151356112</v>
      </c>
      <c r="B4108" t="str">
        <f>"1552374836103898"</f>
        <v>1552374836103898</v>
      </c>
      <c r="C4108" t="s">
        <v>40</v>
      </c>
      <c r="D4108">
        <v>4.4344419999999998</v>
      </c>
      <c r="E4108">
        <v>0.5371165</v>
      </c>
      <c r="F4108" t="s">
        <v>42</v>
      </c>
      <c r="G4108">
        <v>-349.52519999999998</v>
      </c>
      <c r="H4108" s="1">
        <v>-1.18264E-6</v>
      </c>
      <c r="I4108">
        <v>143.36199999999999</v>
      </c>
      <c r="J4108">
        <v>-323.96969999999999</v>
      </c>
      <c r="K4108">
        <v>1.110562</v>
      </c>
      <c r="L4108">
        <v>142.80350000000001</v>
      </c>
      <c r="M4108">
        <v>-0.99987060000000005</v>
      </c>
      <c r="N4108">
        <v>0</v>
      </c>
      <c r="O4108">
        <v>1.1858280000000001E-2</v>
      </c>
      <c r="P4108">
        <v>-0.99425330000000001</v>
      </c>
      <c r="Q4108">
        <v>8.2035910000000004E-2</v>
      </c>
      <c r="R4108">
        <v>-6.8779409999999999E-2</v>
      </c>
      <c r="S4108">
        <v>-3.0329280000000001</v>
      </c>
      <c r="T4108">
        <v>-0.1294931</v>
      </c>
      <c r="U4108">
        <v>6.5734860000000006E-2</v>
      </c>
      <c r="V4108">
        <v>-8.0840410000000001E-2</v>
      </c>
      <c r="W4108">
        <v>9.2589920000000006E-2</v>
      </c>
      <c r="X4108">
        <v>0.9924172</v>
      </c>
      <c r="Y4108">
        <v>9.8127839999999997E-3</v>
      </c>
      <c r="Z4108">
        <v>-2.966507E-4</v>
      </c>
      <c r="AA4108">
        <v>0.99995179999999995</v>
      </c>
      <c r="AB4108">
        <v>45</v>
      </c>
      <c r="AC4108">
        <v>-25.555499999999899</v>
      </c>
      <c r="AD4108">
        <v>-1.11056318264</v>
      </c>
      <c r="AE4108">
        <v>0.55849999999998001</v>
      </c>
      <c r="AF4108">
        <v>0.25491736302508999</v>
      </c>
      <c r="AG4108">
        <v>-1.11056318264</v>
      </c>
      <c r="AH4108">
        <v>25.512169354268501</v>
      </c>
      <c r="AI4108">
        <v>92.492428852505199</v>
      </c>
      <c r="AJ4108">
        <v>89.427520146346893</v>
      </c>
      <c r="AK4108">
        <v>25.5376020527669</v>
      </c>
      <c r="AL4108">
        <v>84.687378987829405</v>
      </c>
      <c r="AM4108">
        <v>94.656922736640595</v>
      </c>
      <c r="AN4108">
        <v>0.99999998201520701</v>
      </c>
    </row>
    <row r="4109" spans="1:40" x14ac:dyDescent="0.25">
      <c r="A4109" t="str">
        <f>"20190312151356136"</f>
        <v>20190312151356136</v>
      </c>
      <c r="B4109" t="str">
        <f>"1552374836124396"</f>
        <v>1552374836124396</v>
      </c>
      <c r="C4109" t="s">
        <v>40</v>
      </c>
      <c r="D4109">
        <v>4.4319350000000002</v>
      </c>
      <c r="E4109">
        <v>0.53723350000000003</v>
      </c>
      <c r="F4109" t="s">
        <v>42</v>
      </c>
      <c r="G4109">
        <v>-350.0222</v>
      </c>
      <c r="H4109" s="1">
        <v>-4.9341150000000001E-6</v>
      </c>
      <c r="I4109">
        <v>143.36879999999999</v>
      </c>
      <c r="J4109">
        <v>-324.42559999999997</v>
      </c>
      <c r="K4109">
        <v>1.1105560000000001</v>
      </c>
      <c r="L4109">
        <v>142.8081</v>
      </c>
      <c r="M4109">
        <v>-0.9998823</v>
      </c>
      <c r="N4109">
        <v>0</v>
      </c>
      <c r="O4109">
        <v>1.0816040000000001E-2</v>
      </c>
      <c r="P4109">
        <v>-0.99436650000000004</v>
      </c>
      <c r="Q4109">
        <v>8.0248769999999997E-2</v>
      </c>
      <c r="R4109">
        <v>-6.9251560000000004E-2</v>
      </c>
      <c r="S4109">
        <v>-3.032562</v>
      </c>
      <c r="T4109">
        <v>-0.12927279999999999</v>
      </c>
      <c r="U4109">
        <v>6.5811159999999994E-2</v>
      </c>
      <c r="V4109">
        <v>-8.0273339999999999E-2</v>
      </c>
      <c r="W4109">
        <v>9.082308E-2</v>
      </c>
      <c r="X4109">
        <v>0.99262649999999997</v>
      </c>
      <c r="Y4109">
        <v>1.088093E-2</v>
      </c>
      <c r="Z4109">
        <v>-2.290274E-4</v>
      </c>
      <c r="AA4109">
        <v>0.99994079999999996</v>
      </c>
      <c r="AB4109">
        <v>45</v>
      </c>
      <c r="AC4109">
        <v>-25.596599999999999</v>
      </c>
      <c r="AD4109">
        <v>-1.11056093411499</v>
      </c>
      <c r="AE4109">
        <v>0.56069999999999698</v>
      </c>
      <c r="AF4109">
        <v>0.28326398675438202</v>
      </c>
      <c r="AG4109">
        <v>-1.11056093411499</v>
      </c>
      <c r="AH4109">
        <v>25.553088476834599</v>
      </c>
      <c r="AI4109">
        <v>92.488408988875705</v>
      </c>
      <c r="AJ4109">
        <v>89.364884358445195</v>
      </c>
      <c r="AK4109">
        <v>25.578778602183299</v>
      </c>
      <c r="AL4109">
        <v>84.7890399878804</v>
      </c>
      <c r="AM4109">
        <v>94.623427221881201</v>
      </c>
      <c r="AN4109">
        <v>1.00000000473884</v>
      </c>
    </row>
    <row r="4110" spans="1:40" x14ac:dyDescent="0.25">
      <c r="A4110" t="str">
        <f>"20190312151356158"</f>
        <v>20190312151356158</v>
      </c>
      <c r="B4110" t="str">
        <f>"1552374836154650"</f>
        <v>1552374836154650</v>
      </c>
      <c r="C4110" t="s">
        <v>40</v>
      </c>
      <c r="D4110">
        <v>4.9612119999999997</v>
      </c>
      <c r="E4110">
        <v>0.53726049999999903</v>
      </c>
      <c r="F4110" t="s">
        <v>42</v>
      </c>
      <c r="G4110">
        <v>-350.18349999999998</v>
      </c>
      <c r="H4110" s="1">
        <v>-4.8787410000000001E-6</v>
      </c>
      <c r="I4110">
        <v>143.36619999999999</v>
      </c>
      <c r="J4110">
        <v>-324.88119999999998</v>
      </c>
      <c r="K4110">
        <v>1.1105560000000001</v>
      </c>
      <c r="L4110">
        <v>142.81229999999999</v>
      </c>
      <c r="M4110">
        <v>-0.99989280000000003</v>
      </c>
      <c r="N4110">
        <v>0</v>
      </c>
      <c r="O4110">
        <v>9.7747449999999996E-3</v>
      </c>
      <c r="P4110">
        <v>-0.99443570000000003</v>
      </c>
      <c r="Q4110">
        <v>7.9191170000000005E-2</v>
      </c>
      <c r="R4110">
        <v>-6.9475750000000003E-2</v>
      </c>
      <c r="S4110">
        <v>-3.0321660000000001</v>
      </c>
      <c r="T4110">
        <v>-0.13073280000000001</v>
      </c>
      <c r="U4110">
        <v>6.5704349999999995E-2</v>
      </c>
      <c r="V4110">
        <v>-7.9460059999999999E-2</v>
      </c>
      <c r="W4110">
        <v>8.9788300000000001E-2</v>
      </c>
      <c r="X4110">
        <v>0.99278599999999995</v>
      </c>
      <c r="Y4110">
        <v>1.1887999999999999E-2</v>
      </c>
      <c r="Z4110">
        <v>-1.6507650000000001E-4</v>
      </c>
      <c r="AA4110">
        <v>0.99992930000000002</v>
      </c>
      <c r="AB4110">
        <v>45</v>
      </c>
      <c r="AC4110">
        <v>-25.302299999999999</v>
      </c>
      <c r="AD4110">
        <v>-1.110560878741</v>
      </c>
      <c r="AE4110">
        <v>0.55389999999999795</v>
      </c>
      <c r="AF4110">
        <v>0.30594618960238101</v>
      </c>
      <c r="AG4110">
        <v>-1.110560878741</v>
      </c>
      <c r="AH4110">
        <v>25.257870117767101</v>
      </c>
      <c r="AI4110">
        <v>92.517426652536201</v>
      </c>
      <c r="AJ4110">
        <v>89.3060155865941</v>
      </c>
      <c r="AK4110">
        <v>25.284124493885798</v>
      </c>
      <c r="AL4110">
        <v>84.848571428396099</v>
      </c>
      <c r="AM4110">
        <v>94.576053344594897</v>
      </c>
      <c r="AN4110">
        <v>0.99999994087404498</v>
      </c>
    </row>
    <row r="4111" spans="1:40" x14ac:dyDescent="0.25">
      <c r="A4111" t="str">
        <f>"20190312151356180"</f>
        <v>20190312151356180</v>
      </c>
      <c r="B4111" t="str">
        <f>"1552374836174171"</f>
        <v>1552374836174171</v>
      </c>
      <c r="C4111" t="s">
        <v>40</v>
      </c>
      <c r="D4111">
        <v>4.470682</v>
      </c>
      <c r="E4111">
        <v>0.53722639999999999</v>
      </c>
      <c r="F4111" t="s">
        <v>42</v>
      </c>
      <c r="G4111">
        <v>-350.51350000000002</v>
      </c>
      <c r="H4111" s="1">
        <v>-4.766355E-6</v>
      </c>
      <c r="I4111">
        <v>143.36580000000001</v>
      </c>
      <c r="J4111">
        <v>-325.30880000000002</v>
      </c>
      <c r="K4111">
        <v>1.110557</v>
      </c>
      <c r="L4111">
        <v>142.8158</v>
      </c>
      <c r="M4111">
        <v>-0.9999017</v>
      </c>
      <c r="N4111">
        <v>0</v>
      </c>
      <c r="O4111">
        <v>8.7978699999999993E-3</v>
      </c>
      <c r="P4111">
        <v>-0.99437830000000005</v>
      </c>
      <c r="Q4111">
        <v>7.9135339999999998E-2</v>
      </c>
      <c r="R4111">
        <v>-7.0352590000000007E-2</v>
      </c>
      <c r="S4111">
        <v>-3.0318299999999998</v>
      </c>
      <c r="T4111">
        <v>-0.131359</v>
      </c>
      <c r="U4111">
        <v>6.5475459999999999E-2</v>
      </c>
      <c r="V4111">
        <v>-7.9366119999999998E-2</v>
      </c>
      <c r="W4111">
        <v>8.9752199999999893E-2</v>
      </c>
      <c r="X4111">
        <v>0.99279680000000003</v>
      </c>
      <c r="Y4111">
        <v>1.2790070000000001E-2</v>
      </c>
      <c r="Z4111">
        <v>-1.040559E-4</v>
      </c>
      <c r="AA4111">
        <v>0.99991819999999998</v>
      </c>
      <c r="AB4111">
        <v>45</v>
      </c>
      <c r="AC4111">
        <v>-25.204699999999999</v>
      </c>
      <c r="AD4111">
        <v>-1.110561766355</v>
      </c>
      <c r="AE4111">
        <v>0.55000000000001104</v>
      </c>
      <c r="AF4111">
        <v>0.32758214533429098</v>
      </c>
      <c r="AG4111">
        <v>-1.110561766355</v>
      </c>
      <c r="AH4111">
        <v>25.159740829089099</v>
      </c>
      <c r="AI4111">
        <v>92.527205789746404</v>
      </c>
      <c r="AJ4111">
        <v>89.254045818218103</v>
      </c>
      <c r="AK4111">
        <v>25.186369648795399</v>
      </c>
      <c r="AL4111">
        <v>84.850648301455294</v>
      </c>
      <c r="AM4111">
        <v>94.570616826215499</v>
      </c>
      <c r="AN4111">
        <v>0.99999996224946597</v>
      </c>
    </row>
    <row r="4112" spans="1:40" x14ac:dyDescent="0.25">
      <c r="A4112" t="str">
        <f>"20190312151356201"</f>
        <v>20190312151356201</v>
      </c>
      <c r="B4112" t="str">
        <f>"1552374836194670"</f>
        <v>1552374836194670</v>
      </c>
      <c r="C4112" t="s">
        <v>40</v>
      </c>
      <c r="D4112">
        <v>4.456213</v>
      </c>
      <c r="E4112">
        <v>0.5370895</v>
      </c>
      <c r="F4112" t="s">
        <v>42</v>
      </c>
      <c r="G4112">
        <v>-351.01490000000001</v>
      </c>
      <c r="H4112" s="1">
        <v>-4.5923659999999998E-6</v>
      </c>
      <c r="I4112">
        <v>143.3466</v>
      </c>
      <c r="J4112">
        <v>-325.75229999999999</v>
      </c>
      <c r="K4112">
        <v>1.1105579999999999</v>
      </c>
      <c r="L4112">
        <v>142.81899999999999</v>
      </c>
      <c r="M4112">
        <v>-0.99990979999999996</v>
      </c>
      <c r="N4112">
        <v>0</v>
      </c>
      <c r="O4112">
        <v>7.7850139999999998E-3</v>
      </c>
      <c r="P4112">
        <v>-0.99439010000000005</v>
      </c>
      <c r="Q4112">
        <v>7.8615459999999998E-2</v>
      </c>
      <c r="R4112">
        <v>-7.0769449999999998E-2</v>
      </c>
      <c r="S4112">
        <v>-3.0317989999999999</v>
      </c>
      <c r="T4112">
        <v>-0.13098080000000001</v>
      </c>
      <c r="U4112">
        <v>6.2622070000000002E-2</v>
      </c>
      <c r="V4112">
        <v>-7.8775010000000006E-2</v>
      </c>
      <c r="W4112">
        <v>8.9260199999999998E-2</v>
      </c>
      <c r="X4112">
        <v>0.99288829999999995</v>
      </c>
      <c r="Y4112">
        <v>1.28615E-2</v>
      </c>
      <c r="Z4112" s="1">
        <v>-5.8484669999999997E-5</v>
      </c>
      <c r="AA4112">
        <v>0.99991730000000001</v>
      </c>
      <c r="AB4112">
        <v>45</v>
      </c>
      <c r="AC4112">
        <v>-25.262599999999999</v>
      </c>
      <c r="AD4112">
        <v>-1.1105625923660001</v>
      </c>
      <c r="AE4112">
        <v>0.52760000000000595</v>
      </c>
      <c r="AF4112">
        <v>0.33026456163196399</v>
      </c>
      <c r="AG4112">
        <v>-1.1105625923660001</v>
      </c>
      <c r="AH4112">
        <v>25.217229751288901</v>
      </c>
      <c r="AI4112">
        <v>92.521451193867605</v>
      </c>
      <c r="AJ4112">
        <v>89.249652563399295</v>
      </c>
      <c r="AK4112">
        <v>25.243832915813702</v>
      </c>
      <c r="AL4112">
        <v>84.878951780042996</v>
      </c>
      <c r="AM4112">
        <v>94.536301679425506</v>
      </c>
      <c r="AN4112">
        <v>1.00000003089071</v>
      </c>
    </row>
    <row r="4113" spans="1:40" x14ac:dyDescent="0.25">
      <c r="A4113" t="str">
        <f>"20190312151356224"</f>
        <v>20190312151356224</v>
      </c>
      <c r="B4113" t="str">
        <f>"1552374836214186"</f>
        <v>1552374836214186</v>
      </c>
      <c r="C4113" t="s">
        <v>40</v>
      </c>
      <c r="D4113">
        <v>4.4663769999999996</v>
      </c>
      <c r="E4113">
        <v>0.53700930000000002</v>
      </c>
      <c r="F4113" t="s">
        <v>42</v>
      </c>
      <c r="G4113">
        <v>-350.69389999999999</v>
      </c>
      <c r="H4113" s="1">
        <v>-4.6956350000000003E-6</v>
      </c>
      <c r="I4113">
        <v>143.31309999999999</v>
      </c>
      <c r="J4113">
        <v>-326.20639999999997</v>
      </c>
      <c r="K4113">
        <v>1.11056</v>
      </c>
      <c r="L4113">
        <v>142.82169999999999</v>
      </c>
      <c r="M4113">
        <v>-0.9999171</v>
      </c>
      <c r="N4113">
        <v>0</v>
      </c>
      <c r="O4113">
        <v>6.7479200000000001E-3</v>
      </c>
      <c r="P4113">
        <v>-0.99438669999999996</v>
      </c>
      <c r="Q4113">
        <v>7.7972550000000002E-2</v>
      </c>
      <c r="R4113">
        <v>-7.1525969999999994E-2</v>
      </c>
      <c r="S4113">
        <v>-3.03186</v>
      </c>
      <c r="T4113">
        <v>-0.13499829999999999</v>
      </c>
      <c r="U4113">
        <v>6.0073849999999998E-2</v>
      </c>
      <c r="V4113">
        <v>-7.84995E-2</v>
      </c>
      <c r="W4113">
        <v>8.8648939999999996E-2</v>
      </c>
      <c r="X4113">
        <v>0.99296490000000004</v>
      </c>
      <c r="Y4113">
        <v>1.30566E-2</v>
      </c>
      <c r="Z4113" s="1">
        <v>-9.7844170000000005E-6</v>
      </c>
      <c r="AA4113">
        <v>0.99991479999999999</v>
      </c>
      <c r="AB4113">
        <v>45</v>
      </c>
      <c r="AC4113">
        <v>-24.487500000000001</v>
      </c>
      <c r="AD4113">
        <v>-1.1105646956349999</v>
      </c>
      <c r="AE4113">
        <v>0.49139999999999801</v>
      </c>
      <c r="AF4113">
        <v>0.325470015385532</v>
      </c>
      <c r="AG4113">
        <v>-1.1105646956349999</v>
      </c>
      <c r="AH4113">
        <v>24.440009781792298</v>
      </c>
      <c r="AI4113">
        <v>92.6015250889387</v>
      </c>
      <c r="AJ4113">
        <v>89.237031566567495</v>
      </c>
      <c r="AK4113">
        <v>24.467393870378</v>
      </c>
      <c r="AL4113">
        <v>84.914113885128501</v>
      </c>
      <c r="AM4113">
        <v>94.520154880444096</v>
      </c>
      <c r="AN4113">
        <v>1.0000000493476899</v>
      </c>
    </row>
    <row r="4114" spans="1:40" x14ac:dyDescent="0.25">
      <c r="A4114" t="str">
        <f>"20190312151356246"</f>
        <v>20190312151356246</v>
      </c>
      <c r="B4114" t="str">
        <f>"1552374836234683"</f>
        <v>1552374836234683</v>
      </c>
      <c r="C4114" t="s">
        <v>40</v>
      </c>
      <c r="D4114">
        <v>4.4166119999999998</v>
      </c>
      <c r="E4114">
        <v>0.53683510000000001</v>
      </c>
      <c r="F4114" t="s">
        <v>42</v>
      </c>
      <c r="G4114">
        <v>-350.58749999999998</v>
      </c>
      <c r="H4114" s="1">
        <v>-4.725971E-6</v>
      </c>
      <c r="I4114">
        <v>143.28</v>
      </c>
      <c r="J4114">
        <v>-326.6508</v>
      </c>
      <c r="K4114">
        <v>1.1105640000000001</v>
      </c>
      <c r="L4114">
        <v>142.82399999999899</v>
      </c>
      <c r="M4114">
        <v>-0.99992300000000001</v>
      </c>
      <c r="N4114">
        <v>0</v>
      </c>
      <c r="O4114">
        <v>5.7339829999999998E-3</v>
      </c>
      <c r="P4114">
        <v>-0.99439010000000005</v>
      </c>
      <c r="Q4114">
        <v>7.7662030000000007E-2</v>
      </c>
      <c r="R4114">
        <v>-7.1812760000000003E-2</v>
      </c>
      <c r="S4114">
        <v>-3.03186</v>
      </c>
      <c r="T4114">
        <v>-0.13810229999999901</v>
      </c>
      <c r="U4114">
        <v>5.699158E-2</v>
      </c>
      <c r="V4114">
        <v>-7.7777890000000002E-2</v>
      </c>
      <c r="W4114">
        <v>8.8374880000000003E-2</v>
      </c>
      <c r="X4114">
        <v>0.99304599999999998</v>
      </c>
      <c r="Y4114">
        <v>1.305303E-2</v>
      </c>
      <c r="Z4114" s="1">
        <v>3.6066950000000002E-5</v>
      </c>
      <c r="AA4114">
        <v>0.99991479999999999</v>
      </c>
      <c r="AB4114">
        <v>45</v>
      </c>
      <c r="AC4114">
        <v>-23.936699999999899</v>
      </c>
      <c r="AD4114">
        <v>-1.110568725971</v>
      </c>
      <c r="AE4114">
        <v>0.456000000000017</v>
      </c>
      <c r="AF4114">
        <v>0.31804718097657803</v>
      </c>
      <c r="AG4114">
        <v>-1.110568725971</v>
      </c>
      <c r="AH4114">
        <v>23.8875198003322</v>
      </c>
      <c r="AI4114">
        <v>92.661619468463002</v>
      </c>
      <c r="AJ4114">
        <v>89.237188095472504</v>
      </c>
      <c r="AK4114">
        <v>23.915436837233301</v>
      </c>
      <c r="AL4114">
        <v>84.929877677257593</v>
      </c>
      <c r="AM4114">
        <v>94.478408718657207</v>
      </c>
      <c r="AN4114">
        <v>0.99999993885193095</v>
      </c>
    </row>
    <row r="4115" spans="1:40" x14ac:dyDescent="0.25">
      <c r="A4115" t="str">
        <f>"20190312151356267"</f>
        <v>20190312151356267</v>
      </c>
      <c r="B4115" t="str">
        <f>"1552374836263964"</f>
        <v>1552374836263964</v>
      </c>
      <c r="C4115" t="s">
        <v>40</v>
      </c>
      <c r="D4115">
        <v>4.4019250000000003</v>
      </c>
      <c r="E4115">
        <v>0.53683289999999995</v>
      </c>
      <c r="F4115" t="s">
        <v>42</v>
      </c>
      <c r="G4115">
        <v>-350.94260000000003</v>
      </c>
      <c r="H4115" s="1">
        <v>-4.6020400000000004E-6</v>
      </c>
      <c r="I4115">
        <v>143.26249999999999</v>
      </c>
      <c r="J4115">
        <v>-327.0865</v>
      </c>
      <c r="K4115">
        <v>1.110574</v>
      </c>
      <c r="L4115">
        <v>142.82579999999999</v>
      </c>
      <c r="M4115">
        <v>-0.99992760000000003</v>
      </c>
      <c r="N4115">
        <v>0</v>
      </c>
      <c r="O4115">
        <v>4.7403130000000003E-3</v>
      </c>
      <c r="P4115">
        <v>-0.99437609999999999</v>
      </c>
      <c r="Q4115">
        <v>7.7440480000000006E-2</v>
      </c>
      <c r="R4115">
        <v>-7.2243169999999995E-2</v>
      </c>
      <c r="S4115">
        <v>-3.0317080000000001</v>
      </c>
      <c r="T4115">
        <v>-0.138603799999999</v>
      </c>
      <c r="U4115">
        <v>5.4733280000000002E-2</v>
      </c>
      <c r="V4115">
        <v>-7.7220339999999998E-2</v>
      </c>
      <c r="W4115">
        <v>8.8197709999999999E-2</v>
      </c>
      <c r="X4115">
        <v>0.99310540000000003</v>
      </c>
      <c r="Y4115">
        <v>1.33017E-2</v>
      </c>
      <c r="Z4115" s="1">
        <v>8.728304E-5</v>
      </c>
      <c r="AA4115">
        <v>0.99991149999999995</v>
      </c>
      <c r="AB4115">
        <v>45</v>
      </c>
      <c r="AC4115">
        <v>-23.856100000000001</v>
      </c>
      <c r="AD4115">
        <v>-1.1105786020399999</v>
      </c>
      <c r="AE4115">
        <v>0.43670000000000098</v>
      </c>
      <c r="AF4115">
        <v>0.322903232169368</v>
      </c>
      <c r="AG4115">
        <v>-1.1105786020399999</v>
      </c>
      <c r="AH4115">
        <v>23.8063262841676</v>
      </c>
      <c r="AI4115">
        <v>92.670698808023502</v>
      </c>
      <c r="AJ4115">
        <v>89.222901605131398</v>
      </c>
      <c r="AK4115">
        <v>23.834404177090398</v>
      </c>
      <c r="AL4115">
        <v>84.940069262089395</v>
      </c>
      <c r="AM4115">
        <v>94.446169609029695</v>
      </c>
      <c r="AN4115">
        <v>1.00000007623405</v>
      </c>
    </row>
    <row r="4116" spans="1:40" x14ac:dyDescent="0.25">
      <c r="A4116" t="str">
        <f>"20190312151356291"</f>
        <v>20190312151356291</v>
      </c>
      <c r="B4116" t="str">
        <f>"1552374836284459"</f>
        <v>1552374836284459</v>
      </c>
      <c r="C4116" t="s">
        <v>40</v>
      </c>
      <c r="D4116">
        <v>4.3257079999999997</v>
      </c>
      <c r="E4116">
        <v>0.53698800000000002</v>
      </c>
      <c r="F4116" t="s">
        <v>42</v>
      </c>
      <c r="G4116">
        <v>-351.08749999999998</v>
      </c>
      <c r="H4116" s="1">
        <v>-4.5502110000000002E-6</v>
      </c>
      <c r="I4116">
        <v>143.2484</v>
      </c>
      <c r="J4116">
        <v>-327.5478</v>
      </c>
      <c r="K4116">
        <v>1.1105830000000001</v>
      </c>
      <c r="L4116">
        <v>142.8272</v>
      </c>
      <c r="M4116">
        <v>-0.99993160000000003</v>
      </c>
      <c r="N4116">
        <v>0</v>
      </c>
      <c r="O4116">
        <v>3.6883419999999998E-3</v>
      </c>
      <c r="P4116">
        <v>-0.99437149999999996</v>
      </c>
      <c r="Q4116">
        <v>7.7394370000000004E-2</v>
      </c>
      <c r="R4116">
        <v>-7.2357290000000005E-2</v>
      </c>
      <c r="S4116">
        <v>-3.0317690000000002</v>
      </c>
      <c r="T4116">
        <v>-0.14028640000000001</v>
      </c>
      <c r="U4116">
        <v>5.33905E-2</v>
      </c>
      <c r="V4116">
        <v>-7.628878E-2</v>
      </c>
      <c r="W4116">
        <v>8.8205779999999998E-2</v>
      </c>
      <c r="X4116">
        <v>0.99317659999999997</v>
      </c>
      <c r="Y4116">
        <v>1.390857E-2</v>
      </c>
      <c r="Z4116">
        <v>1.5102090000000001E-4</v>
      </c>
      <c r="AA4116">
        <v>0.99990330000000005</v>
      </c>
      <c r="AB4116">
        <v>45</v>
      </c>
      <c r="AC4116">
        <v>-23.5396999999999</v>
      </c>
      <c r="AD4116">
        <v>-1.1105875502110001</v>
      </c>
      <c r="AE4116">
        <v>0.42119999999999802</v>
      </c>
      <c r="AF4116">
        <v>0.33362694281220601</v>
      </c>
      <c r="AG4116">
        <v>-1.1105875502110001</v>
      </c>
      <c r="AH4116">
        <v>23.488826672559799</v>
      </c>
      <c r="AI4116">
        <v>92.706743213476102</v>
      </c>
      <c r="AJ4116">
        <v>89.186245839069201</v>
      </c>
      <c r="AK4116">
        <v>23.517433748119998</v>
      </c>
      <c r="AL4116">
        <v>84.939604680083093</v>
      </c>
      <c r="AM4116">
        <v>94.392430057714606</v>
      </c>
      <c r="AN4116">
        <v>0.999999998183428</v>
      </c>
    </row>
    <row r="4117" spans="1:40" x14ac:dyDescent="0.25">
      <c r="A4117" t="str">
        <f>"20190312151356312"</f>
        <v>20190312151356312</v>
      </c>
      <c r="B4117" t="str">
        <f>"1552374836303978"</f>
        <v>1552374836303978</v>
      </c>
      <c r="C4117" t="s">
        <v>40</v>
      </c>
      <c r="D4117">
        <v>4.6704410000000003</v>
      </c>
      <c r="E4117">
        <v>0.53701619999999906</v>
      </c>
      <c r="F4117" t="s">
        <v>42</v>
      </c>
      <c r="G4117">
        <v>-351.80439999999999</v>
      </c>
      <c r="H4117" s="1">
        <v>-4.3085070000000003E-6</v>
      </c>
      <c r="I4117">
        <v>143.261</v>
      </c>
      <c r="J4117">
        <v>-327.99169999999998</v>
      </c>
      <c r="K4117">
        <v>1.11059</v>
      </c>
      <c r="L4117">
        <v>142.82810000000001</v>
      </c>
      <c r="M4117">
        <v>-0.99993430000000005</v>
      </c>
      <c r="N4117">
        <v>0</v>
      </c>
      <c r="O4117">
        <v>2.6765230000000001E-3</v>
      </c>
      <c r="P4117">
        <v>-0.99437719999999996</v>
      </c>
      <c r="Q4117">
        <v>7.7095079999999996E-2</v>
      </c>
      <c r="R4117">
        <v>-7.259786E-2</v>
      </c>
      <c r="S4117">
        <v>-3.0317080000000001</v>
      </c>
      <c r="T4117">
        <v>-0.13880709999999999</v>
      </c>
      <c r="U4117">
        <v>5.4229739999999999E-2</v>
      </c>
      <c r="V4117">
        <v>-7.5523179999999995E-2</v>
      </c>
      <c r="W4117">
        <v>8.7963540000000007E-2</v>
      </c>
      <c r="X4117">
        <v>0.99325660000000005</v>
      </c>
      <c r="Y4117">
        <v>1.5195230000000001E-2</v>
      </c>
      <c r="Z4117">
        <v>2.251698E-4</v>
      </c>
      <c r="AA4117">
        <v>0.99988449999999995</v>
      </c>
      <c r="AB4117">
        <v>45</v>
      </c>
      <c r="AC4117">
        <v>-23.8127</v>
      </c>
      <c r="AD4117">
        <v>-1.110594308507</v>
      </c>
      <c r="AE4117">
        <v>0.43289999999998902</v>
      </c>
      <c r="AF4117">
        <v>0.36835827273029098</v>
      </c>
      <c r="AG4117">
        <v>-1.110594308507</v>
      </c>
      <c r="AH4117">
        <v>23.7621038467414</v>
      </c>
      <c r="AI4117">
        <v>92.675624438637399</v>
      </c>
      <c r="AJ4117">
        <v>89.111876450496396</v>
      </c>
      <c r="AK4117">
        <v>23.790895039037501</v>
      </c>
      <c r="AL4117">
        <v>84.953538200128705</v>
      </c>
      <c r="AM4117">
        <v>94.348170630061801</v>
      </c>
      <c r="AN4117">
        <v>1.0000000042651001</v>
      </c>
    </row>
    <row r="4118" spans="1:40" x14ac:dyDescent="0.25">
      <c r="A4118" t="str">
        <f>"20190312151356337"</f>
        <v>20190312151356337</v>
      </c>
      <c r="B4118" t="str">
        <f>"1552374836334235"</f>
        <v>1552374836334235</v>
      </c>
      <c r="C4118" t="s">
        <v>40</v>
      </c>
      <c r="D4118">
        <v>4.4196619999999998</v>
      </c>
      <c r="E4118">
        <v>0.5525776</v>
      </c>
      <c r="F4118" t="s">
        <v>42</v>
      </c>
      <c r="G4118">
        <v>-351.69029999999998</v>
      </c>
      <c r="H4118" s="1">
        <v>-4.3448850000000003E-6</v>
      </c>
      <c r="I4118">
        <v>143.2473</v>
      </c>
      <c r="J4118">
        <v>-328.47050000000002</v>
      </c>
      <c r="K4118">
        <v>1.110609</v>
      </c>
      <c r="L4118">
        <v>142.82859999999999</v>
      </c>
      <c r="M4118">
        <v>-0.99993580000000004</v>
      </c>
      <c r="N4118">
        <v>0</v>
      </c>
      <c r="O4118">
        <v>1.5853499999999999E-3</v>
      </c>
      <c r="P4118">
        <v>-0.99435530000000005</v>
      </c>
      <c r="Q4118">
        <v>7.720399E-2</v>
      </c>
      <c r="R4118">
        <v>-7.2784470000000004E-2</v>
      </c>
      <c r="S4118">
        <v>-3.0318909999999999</v>
      </c>
      <c r="T4118">
        <v>-0.14208460000000001</v>
      </c>
      <c r="U4118">
        <v>5.36499E-2</v>
      </c>
      <c r="V4118">
        <v>-7.462589E-2</v>
      </c>
      <c r="W4118">
        <v>8.8140709999999997E-2</v>
      </c>
      <c r="X4118">
        <v>0.99330870000000004</v>
      </c>
      <c r="Y4118">
        <v>1.6091290000000001E-2</v>
      </c>
      <c r="Z4118">
        <v>3.0255689999999998E-4</v>
      </c>
      <c r="AA4118">
        <v>0.9998705</v>
      </c>
      <c r="AB4118">
        <v>45</v>
      </c>
      <c r="AC4118">
        <v>-23.2197999999999</v>
      </c>
      <c r="AD4118">
        <v>-1.110613344885</v>
      </c>
      <c r="AE4118">
        <v>0.41870000000000102</v>
      </c>
      <c r="AF4118">
        <v>0.381014264080339</v>
      </c>
      <c r="AG4118">
        <v>-1.110613344885</v>
      </c>
      <c r="AH4118">
        <v>23.16745050574</v>
      </c>
      <c r="AI4118">
        <v>92.744203333578596</v>
      </c>
      <c r="AJ4118">
        <v>89.057792682759995</v>
      </c>
      <c r="AK4118">
        <v>23.197185105248899</v>
      </c>
      <c r="AL4118">
        <v>84.943347457000399</v>
      </c>
      <c r="AM4118">
        <v>94.296480166600006</v>
      </c>
      <c r="AN4118">
        <v>0.99999999085664304</v>
      </c>
    </row>
    <row r="4119" spans="1:40" x14ac:dyDescent="0.25">
      <c r="A4119" t="str">
        <f>"20190312151356360"</f>
        <v>20190312151356360</v>
      </c>
      <c r="B4119" t="str">
        <f>"1552374836354731"</f>
        <v>1552374836354731</v>
      </c>
      <c r="C4119" t="s">
        <v>40</v>
      </c>
      <c r="D4119">
        <v>4.4373570000000004</v>
      </c>
      <c r="E4119">
        <v>0.55213140000000005</v>
      </c>
      <c r="F4119" t="s">
        <v>42</v>
      </c>
      <c r="G4119">
        <v>-354.83089999999999</v>
      </c>
      <c r="H4119" s="1">
        <v>-3.4654520000000001E-6</v>
      </c>
      <c r="I4119">
        <v>144.37289999999999</v>
      </c>
      <c r="J4119">
        <v>-328.94099999999997</v>
      </c>
      <c r="K4119">
        <v>1.110622</v>
      </c>
      <c r="L4119">
        <v>142.82849999999999</v>
      </c>
      <c r="M4119">
        <v>-0.99993600000000005</v>
      </c>
      <c r="N4119">
        <v>0</v>
      </c>
      <c r="O4119">
        <v>5.1335370000000005E-4</v>
      </c>
      <c r="P4119">
        <v>-0.99440790000000001</v>
      </c>
      <c r="Q4119">
        <v>7.7021519999999996E-2</v>
      </c>
      <c r="R4119">
        <v>-7.2255079999999999E-2</v>
      </c>
      <c r="S4119">
        <v>-3.040009</v>
      </c>
      <c r="T4119">
        <v>-0.12808119999999901</v>
      </c>
      <c r="U4119">
        <v>0.17811579999999999</v>
      </c>
      <c r="V4119">
        <v>-7.3030739999999997E-2</v>
      </c>
      <c r="W4119">
        <v>8.8039080000000006E-2</v>
      </c>
      <c r="X4119">
        <v>0.99343630000000005</v>
      </c>
      <c r="Y4119">
        <v>5.7926989999999998E-2</v>
      </c>
      <c r="Z4119">
        <v>1.1970990000000001E-3</v>
      </c>
      <c r="AA4119">
        <v>0.99832010000000004</v>
      </c>
      <c r="AB4119">
        <v>45</v>
      </c>
      <c r="AC4119">
        <v>-25.889900000000001</v>
      </c>
      <c r="AD4119">
        <v>-1.110625465452</v>
      </c>
      <c r="AE4119">
        <v>1.54439999999999</v>
      </c>
      <c r="AF4119">
        <v>1.5283057943129901</v>
      </c>
      <c r="AG4119">
        <v>-1.110625465452</v>
      </c>
      <c r="AH4119">
        <v>25.843300214350201</v>
      </c>
      <c r="AI4119">
        <v>92.456506839075004</v>
      </c>
      <c r="AJ4119">
        <v>86.615617749947901</v>
      </c>
      <c r="AK4119">
        <v>25.912262994468001</v>
      </c>
      <c r="AL4119">
        <v>84.949193326897102</v>
      </c>
      <c r="AM4119">
        <v>94.204436490917104</v>
      </c>
      <c r="AN4119">
        <v>1.0000000253749399</v>
      </c>
    </row>
    <row r="4120" spans="1:40" x14ac:dyDescent="0.25">
      <c r="A4120" t="str">
        <f>"20190312151356381"</f>
        <v>20190312151356381</v>
      </c>
      <c r="B4120" t="str">
        <f>"1552374836374250"</f>
        <v>1552374836374250</v>
      </c>
      <c r="C4120" t="s">
        <v>40</v>
      </c>
      <c r="D4120">
        <v>4.4087209999999999</v>
      </c>
      <c r="E4120">
        <v>0.55209049999999904</v>
      </c>
      <c r="F4120" t="s">
        <v>41</v>
      </c>
      <c r="G4120">
        <v>-329.78910000000002</v>
      </c>
      <c r="H4120">
        <v>1.054054</v>
      </c>
      <c r="I4120">
        <v>142.87639999999999</v>
      </c>
      <c r="J4120">
        <v>-329.36130000000003</v>
      </c>
      <c r="K4120">
        <v>1.1106389999999999</v>
      </c>
      <c r="L4120">
        <v>142.828</v>
      </c>
      <c r="M4120">
        <v>-0.99993509999999997</v>
      </c>
      <c r="N4120">
        <v>0</v>
      </c>
      <c r="O4120">
        <v>-4.4387479999999997E-4</v>
      </c>
      <c r="P4120">
        <v>-0.99444140000000003</v>
      </c>
      <c r="Q4120">
        <v>7.6885419999999996E-2</v>
      </c>
      <c r="R4120">
        <v>-7.1938559999999999E-2</v>
      </c>
      <c r="S4120">
        <v>-3.0450740000000001</v>
      </c>
      <c r="T4120">
        <v>-0.20320170000000001</v>
      </c>
      <c r="U4120">
        <v>0.17137149999999901</v>
      </c>
      <c r="V4120">
        <v>-7.1762409999999999E-2</v>
      </c>
      <c r="W4120">
        <v>8.7987300000000004E-2</v>
      </c>
      <c r="X4120">
        <v>0.99353329999999995</v>
      </c>
      <c r="Y4120">
        <v>5.6506279999999999E-2</v>
      </c>
      <c r="Z4120">
        <v>1.9113559999999999E-3</v>
      </c>
      <c r="AA4120">
        <v>0.99840039999999997</v>
      </c>
      <c r="AB4120">
        <v>45</v>
      </c>
      <c r="AC4120">
        <v>-0.42779999999999002</v>
      </c>
      <c r="AD4120">
        <v>-5.6584999999999802E-2</v>
      </c>
      <c r="AE4120">
        <v>4.83999999999866E-2</v>
      </c>
      <c r="AF4120">
        <v>4.7764799514353501E-2</v>
      </c>
      <c r="AG4120">
        <v>-5.6584999999999802E-2</v>
      </c>
      <c r="AH4120">
        <v>0.42051443165605401</v>
      </c>
      <c r="AI4120">
        <v>97.615375926952296</v>
      </c>
      <c r="AJ4120">
        <v>83.5197418961598</v>
      </c>
      <c r="AK4120">
        <v>0.42698445583962502</v>
      </c>
      <c r="AL4120">
        <v>84.952171599314696</v>
      </c>
      <c r="AM4120">
        <v>94.131270854923102</v>
      </c>
      <c r="AN4120">
        <v>1.0000000133295901</v>
      </c>
    </row>
    <row r="4121" spans="1:40" x14ac:dyDescent="0.25">
      <c r="A4121" t="str">
        <f>"20190312151356402"</f>
        <v>20190312151356402</v>
      </c>
      <c r="B4121" t="str">
        <f>"1552374836394747"</f>
        <v>1552374836394747</v>
      </c>
      <c r="C4121" t="s">
        <v>40</v>
      </c>
      <c r="D4121">
        <v>4.4179510000000004</v>
      </c>
      <c r="E4121">
        <v>0.55209809999999904</v>
      </c>
      <c r="F4121" t="s">
        <v>41</v>
      </c>
      <c r="G4121">
        <v>-330.19290000000001</v>
      </c>
      <c r="H4121">
        <v>1.0540750000000001</v>
      </c>
      <c r="I4121">
        <v>142.87530000000001</v>
      </c>
      <c r="J4121">
        <v>-329.79719999999998</v>
      </c>
      <c r="K4121">
        <v>1.1106499999999999</v>
      </c>
      <c r="L4121">
        <v>142.8271</v>
      </c>
      <c r="M4121">
        <v>-0.99993310000000002</v>
      </c>
      <c r="N4121">
        <v>0</v>
      </c>
      <c r="O4121">
        <v>-1.4340030000000001E-3</v>
      </c>
      <c r="P4121">
        <v>-0.99449659999999995</v>
      </c>
      <c r="Q4121">
        <v>7.6461890000000005E-2</v>
      </c>
      <c r="R4121">
        <v>-7.1624270000000004E-2</v>
      </c>
      <c r="S4121">
        <v>-3.0452880000000002</v>
      </c>
      <c r="T4121">
        <v>-0.20730480000000001</v>
      </c>
      <c r="U4121">
        <v>0.17216489999999901</v>
      </c>
      <c r="V4121">
        <v>-7.0462469999999999E-2</v>
      </c>
      <c r="W4121">
        <v>8.7666190000000005E-2</v>
      </c>
      <c r="X4121">
        <v>0.9936547</v>
      </c>
      <c r="Y4121">
        <v>5.773996E-2</v>
      </c>
      <c r="Z4121">
        <v>2.0588970000000001E-3</v>
      </c>
      <c r="AA4121">
        <v>0.99832949999999998</v>
      </c>
      <c r="AB4121">
        <v>45</v>
      </c>
      <c r="AC4121">
        <v>-0.39570000000003303</v>
      </c>
      <c r="AD4121">
        <v>-5.6574999999999799E-2</v>
      </c>
      <c r="AE4121">
        <v>4.8200000000008403E-2</v>
      </c>
      <c r="AF4121">
        <v>4.780450476255E-2</v>
      </c>
      <c r="AG4121">
        <v>-5.6574999999999799E-2</v>
      </c>
      <c r="AH4121">
        <v>0.387818703166041</v>
      </c>
      <c r="AI4121">
        <v>98.238278175904796</v>
      </c>
      <c r="AJ4121">
        <v>82.972878579081794</v>
      </c>
      <c r="AK4121">
        <v>0.39482825104845598</v>
      </c>
      <c r="AL4121">
        <v>84.970641108735407</v>
      </c>
      <c r="AM4121">
        <v>94.056193130004402</v>
      </c>
      <c r="AN4121">
        <v>0.99999999168985299</v>
      </c>
    </row>
    <row r="4122" spans="1:40" x14ac:dyDescent="0.25">
      <c r="A4122" t="str">
        <f>"20190312151356425"</f>
        <v>20190312151356425</v>
      </c>
      <c r="B4122" t="str">
        <f>"1552374836414267"</f>
        <v>1552374836414267</v>
      </c>
      <c r="C4122" t="s">
        <v>40</v>
      </c>
      <c r="D4122">
        <v>4.7028509999999999</v>
      </c>
      <c r="E4122">
        <v>0.55204089999999995</v>
      </c>
      <c r="F4122" t="s">
        <v>42</v>
      </c>
      <c r="G4122">
        <v>-346.07400000000001</v>
      </c>
      <c r="H4122" s="1">
        <v>-2.7672759999999999E-6</v>
      </c>
      <c r="I4122">
        <v>143.75309999999999</v>
      </c>
      <c r="J4122">
        <v>-330.24549999999999</v>
      </c>
      <c r="K4122">
        <v>1.1106659999999999</v>
      </c>
      <c r="L4122">
        <v>142.82570000000001</v>
      </c>
      <c r="M4122">
        <v>-0.99992990000000004</v>
      </c>
      <c r="N4122">
        <v>0</v>
      </c>
      <c r="O4122">
        <v>-2.4452100000000002E-3</v>
      </c>
      <c r="P4122">
        <v>-0.99450320000000003</v>
      </c>
      <c r="Q4122">
        <v>7.6354149999999996E-2</v>
      </c>
      <c r="R4122">
        <v>-7.1650530000000004E-2</v>
      </c>
      <c r="S4122">
        <v>-3.0450439999999999</v>
      </c>
      <c r="T4122">
        <v>-0.2077813</v>
      </c>
      <c r="U4122">
        <v>0.17326349999999999</v>
      </c>
      <c r="V4122">
        <v>-6.9482539999999995E-2</v>
      </c>
      <c r="W4122">
        <v>8.7679010000000002E-2</v>
      </c>
      <c r="X4122">
        <v>0.99372260000000001</v>
      </c>
      <c r="Y4122">
        <v>5.9106880000000001E-2</v>
      </c>
      <c r="Z4122">
        <v>2.1791789999999998E-3</v>
      </c>
      <c r="AA4122">
        <v>0.99824930000000001</v>
      </c>
      <c r="AB4122">
        <v>45</v>
      </c>
      <c r="AC4122">
        <v>-15.8285</v>
      </c>
      <c r="AD4122">
        <v>-1.1106687672759901</v>
      </c>
      <c r="AE4122">
        <v>0.92739999999997702</v>
      </c>
      <c r="AF4122">
        <v>0.96138646831740104</v>
      </c>
      <c r="AG4122">
        <v>-1.1106687672759901</v>
      </c>
      <c r="AH4122">
        <v>15.7489075734234</v>
      </c>
      <c r="AI4122">
        <v>94.026551740983393</v>
      </c>
      <c r="AJ4122">
        <v>86.506734347721604</v>
      </c>
      <c r="AK4122">
        <v>15.817267109342801</v>
      </c>
      <c r="AL4122">
        <v>84.9699038749729</v>
      </c>
      <c r="AM4122">
        <v>93.999695133566107</v>
      </c>
      <c r="AN4122">
        <v>1.0000000189550899</v>
      </c>
    </row>
    <row r="4123" spans="1:40" x14ac:dyDescent="0.25">
      <c r="A4123" t="str">
        <f>"20190312151356447"</f>
        <v>20190312151356447</v>
      </c>
      <c r="B4123" t="str">
        <f>"1552374836444523"</f>
        <v>1552374836444523</v>
      </c>
      <c r="C4123" t="s">
        <v>40</v>
      </c>
      <c r="D4123">
        <v>4.4878929999999997</v>
      </c>
      <c r="E4123">
        <v>0.55212510000000004</v>
      </c>
      <c r="F4123" t="s">
        <v>42</v>
      </c>
      <c r="G4123">
        <v>-346.35700000000003</v>
      </c>
      <c r="H4123" s="1">
        <v>-2.6422759999999999E-6</v>
      </c>
      <c r="I4123">
        <v>143.7397</v>
      </c>
      <c r="J4123">
        <v>-330.69199999999898</v>
      </c>
      <c r="K4123">
        <v>1.110676</v>
      </c>
      <c r="L4123">
        <v>142.82380000000001</v>
      </c>
      <c r="M4123">
        <v>-0.99992530000000002</v>
      </c>
      <c r="N4123">
        <v>0</v>
      </c>
      <c r="O4123">
        <v>-3.4376239999999998E-3</v>
      </c>
      <c r="P4123">
        <v>-0.99452359999999995</v>
      </c>
      <c r="Q4123">
        <v>7.5885419999999995E-2</v>
      </c>
      <c r="R4123">
        <v>-7.1865209999999999E-2</v>
      </c>
      <c r="S4123">
        <v>-3.0450740000000001</v>
      </c>
      <c r="T4123">
        <v>-0.20991779999999999</v>
      </c>
      <c r="U4123">
        <v>0.17276</v>
      </c>
      <c r="V4123">
        <v>-6.8707409999999997E-2</v>
      </c>
      <c r="W4123">
        <v>8.7347460000000002E-2</v>
      </c>
      <c r="X4123">
        <v>0.99380559999999996</v>
      </c>
      <c r="Y4123">
        <v>5.9925270000000003E-2</v>
      </c>
      <c r="Z4123">
        <v>2.2979599999999999E-3</v>
      </c>
      <c r="AA4123">
        <v>0.99820019999999998</v>
      </c>
      <c r="AB4123">
        <v>45</v>
      </c>
      <c r="AC4123">
        <v>-15.664999999999999</v>
      </c>
      <c r="AD4123">
        <v>-1.110678642276</v>
      </c>
      <c r="AE4123">
        <v>0.91589999999999305</v>
      </c>
      <c r="AF4123">
        <v>0.96491449269138896</v>
      </c>
      <c r="AG4123">
        <v>-1.110678642276</v>
      </c>
      <c r="AH4123">
        <v>15.583685110068201</v>
      </c>
      <c r="AI4123">
        <v>94.068918745141602</v>
      </c>
      <c r="AJ4123">
        <v>86.456869013244997</v>
      </c>
      <c r="AK4123">
        <v>15.6529840169335</v>
      </c>
      <c r="AL4123">
        <v>84.988973000509901</v>
      </c>
      <c r="AM4123">
        <v>93.954888656686606</v>
      </c>
      <c r="AN4123">
        <v>0.99999992877435695</v>
      </c>
    </row>
    <row r="4124" spans="1:40" x14ac:dyDescent="0.25">
      <c r="A4124" t="str">
        <f>"20190312151356468"</f>
        <v>20190312151356468</v>
      </c>
      <c r="B4124" t="str">
        <f>"1552374836465019"</f>
        <v>1552374836465019</v>
      </c>
      <c r="C4124" t="s">
        <v>40</v>
      </c>
      <c r="D4124">
        <v>4.4540930000000003</v>
      </c>
      <c r="E4124">
        <v>0.55238569999999998</v>
      </c>
      <c r="F4124" t="s">
        <v>41</v>
      </c>
      <c r="G4124">
        <v>-331.78719999999998</v>
      </c>
      <c r="H4124">
        <v>1.0351649999999999</v>
      </c>
      <c r="I4124">
        <v>142.8862</v>
      </c>
      <c r="J4124">
        <v>-331.12950000000001</v>
      </c>
      <c r="K4124">
        <v>1.1106830000000001</v>
      </c>
      <c r="L4124">
        <v>142.82159999999999</v>
      </c>
      <c r="M4124">
        <v>-0.99991989999999997</v>
      </c>
      <c r="N4124">
        <v>0</v>
      </c>
      <c r="O4124">
        <v>-4.3913909999999997E-3</v>
      </c>
      <c r="P4124">
        <v>-0.99448630000000005</v>
      </c>
      <c r="Q4124">
        <v>7.5864810000000005E-2</v>
      </c>
      <c r="R4124">
        <v>-7.2398909999999997E-2</v>
      </c>
      <c r="S4124">
        <v>-3.0450439999999999</v>
      </c>
      <c r="T4124">
        <v>-0.21004929999999999</v>
      </c>
      <c r="U4124">
        <v>0.172821</v>
      </c>
      <c r="V4124">
        <v>-6.8290110000000001E-2</v>
      </c>
      <c r="W4124">
        <v>8.7472880000000003E-2</v>
      </c>
      <c r="X4124">
        <v>0.99382340000000002</v>
      </c>
      <c r="Y4124">
        <v>6.0893120000000002E-2</v>
      </c>
      <c r="Z4124">
        <v>2.3984010000000001E-3</v>
      </c>
      <c r="AA4124">
        <v>0.99814139999999996</v>
      </c>
      <c r="AB4124">
        <v>45</v>
      </c>
      <c r="AC4124">
        <v>-0.65769999999997697</v>
      </c>
      <c r="AD4124">
        <v>-7.5518000000000196E-2</v>
      </c>
      <c r="AE4124">
        <v>6.46000000000128E-2</v>
      </c>
      <c r="AF4124">
        <v>6.6617904030738306E-2</v>
      </c>
      <c r="AG4124">
        <v>-7.5518000000000196E-2</v>
      </c>
      <c r="AH4124">
        <v>0.64893616679100696</v>
      </c>
      <c r="AI4124">
        <v>96.603373388768802</v>
      </c>
      <c r="AJ4124">
        <v>84.138713653296804</v>
      </c>
      <c r="AK4124">
        <v>0.65670317650431298</v>
      </c>
      <c r="AL4124">
        <v>84.981759696277393</v>
      </c>
      <c r="AM4124">
        <v>93.930873670825903</v>
      </c>
      <c r="AN4124">
        <v>0.99999999712343302</v>
      </c>
    </row>
    <row r="4125" spans="1:40" x14ac:dyDescent="0.25">
      <c r="A4125" t="str">
        <f>"20190312151356492"</f>
        <v>20190312151356492</v>
      </c>
      <c r="B4125" t="str">
        <f>"1552374836484542"</f>
        <v>1552374836484542</v>
      </c>
      <c r="C4125" t="s">
        <v>40</v>
      </c>
      <c r="D4125">
        <v>4.4504320000000002</v>
      </c>
      <c r="E4125">
        <v>0.55242369999999996</v>
      </c>
      <c r="F4125" t="s">
        <v>41</v>
      </c>
      <c r="G4125">
        <v>-332.19099999999997</v>
      </c>
      <c r="H4125">
        <v>1.03809</v>
      </c>
      <c r="I4125">
        <v>142.88210000000001</v>
      </c>
      <c r="J4125">
        <v>-331.59789999999998</v>
      </c>
      <c r="K4125">
        <v>1.1106879999999999</v>
      </c>
      <c r="L4125">
        <v>142.81870000000001</v>
      </c>
      <c r="M4125">
        <v>-0.9999131</v>
      </c>
      <c r="N4125">
        <v>0</v>
      </c>
      <c r="O4125">
        <v>-5.3916540000000001E-3</v>
      </c>
      <c r="P4125">
        <v>-0.99446920000000005</v>
      </c>
      <c r="Q4125">
        <v>7.5582940000000001E-2</v>
      </c>
      <c r="R4125">
        <v>-7.2929720000000003E-2</v>
      </c>
      <c r="S4125">
        <v>-3.045105</v>
      </c>
      <c r="T4125">
        <v>-0.20823179999999999</v>
      </c>
      <c r="U4125">
        <v>0.17343140000000001</v>
      </c>
      <c r="V4125">
        <v>-6.7821199999999998E-2</v>
      </c>
      <c r="W4125">
        <v>8.7352689999999997E-2</v>
      </c>
      <c r="X4125">
        <v>0.99386609999999997</v>
      </c>
      <c r="Y4125">
        <v>6.2087419999999997E-2</v>
      </c>
      <c r="Z4125">
        <v>2.4866659999999998E-3</v>
      </c>
      <c r="AA4125">
        <v>0.99806760000000005</v>
      </c>
      <c r="AB4125">
        <v>45</v>
      </c>
      <c r="AC4125">
        <v>-0.59309999999999197</v>
      </c>
      <c r="AD4125">
        <v>-7.2597999999999899E-2</v>
      </c>
      <c r="AE4125">
        <v>6.34000000000014E-2</v>
      </c>
      <c r="AF4125">
        <v>6.56249613686129E-2</v>
      </c>
      <c r="AG4125">
        <v>-7.2597999999999899E-2</v>
      </c>
      <c r="AH4125">
        <v>0.58409697499994295</v>
      </c>
      <c r="AI4125">
        <v>97.041162739810105</v>
      </c>
      <c r="AJ4125">
        <v>83.589538957356396</v>
      </c>
      <c r="AK4125">
        <v>0.59223844975036499</v>
      </c>
      <c r="AL4125">
        <v>84.988672632891905</v>
      </c>
      <c r="AM4125">
        <v>93.903799099683894</v>
      </c>
      <c r="AN4125">
        <v>1.00000001617444</v>
      </c>
    </row>
    <row r="4126" spans="1:40" x14ac:dyDescent="0.25">
      <c r="A4126" t="str">
        <f>"20190312151356514"</f>
        <v>20190312151356514</v>
      </c>
      <c r="B4126" t="str">
        <f>"1552374836505035"</f>
        <v>1552374836505035</v>
      </c>
      <c r="C4126" t="s">
        <v>40</v>
      </c>
      <c r="D4126">
        <v>4.4647420000000002</v>
      </c>
      <c r="E4126">
        <v>0.55253129999999995</v>
      </c>
      <c r="F4126" t="s">
        <v>41</v>
      </c>
      <c r="G4126">
        <v>-332.59519999999998</v>
      </c>
      <c r="H4126">
        <v>1.0420450000000001</v>
      </c>
      <c r="I4126">
        <v>142.87540000000001</v>
      </c>
      <c r="J4126">
        <v>-332.04070000000002</v>
      </c>
      <c r="K4126">
        <v>1.110687</v>
      </c>
      <c r="L4126">
        <v>142.81559999999999</v>
      </c>
      <c r="M4126">
        <v>-0.99990590000000001</v>
      </c>
      <c r="N4126">
        <v>0</v>
      </c>
      <c r="O4126">
        <v>-6.3130299999999999E-3</v>
      </c>
      <c r="P4126">
        <v>-0.99445410000000001</v>
      </c>
      <c r="Q4126">
        <v>7.4957510000000005E-2</v>
      </c>
      <c r="R4126">
        <v>-7.377293E-2</v>
      </c>
      <c r="S4126">
        <v>-3.045258</v>
      </c>
      <c r="T4126">
        <v>-0.2097212</v>
      </c>
      <c r="U4126">
        <v>0.17222599999999999</v>
      </c>
      <c r="V4126">
        <v>-6.7742449999999996E-2</v>
      </c>
      <c r="W4126">
        <v>8.6885279999999995E-2</v>
      </c>
      <c r="X4126">
        <v>0.99391240000000003</v>
      </c>
      <c r="Y4126">
        <v>6.2604800000000002E-2</v>
      </c>
      <c r="Z4126">
        <v>2.585431E-3</v>
      </c>
      <c r="AA4126">
        <v>0.99803509999999995</v>
      </c>
      <c r="AB4126">
        <v>45</v>
      </c>
      <c r="AC4126">
        <v>-0.55449999999996102</v>
      </c>
      <c r="AD4126">
        <v>-6.86419999999998E-2</v>
      </c>
      <c r="AE4126">
        <v>5.9800000000024001E-2</v>
      </c>
      <c r="AF4126">
        <v>6.2355089082619802E-2</v>
      </c>
      <c r="AG4126">
        <v>-6.86419999999998E-2</v>
      </c>
      <c r="AH4126">
        <v>0.54584298080140603</v>
      </c>
      <c r="AI4126">
        <v>97.121717011369199</v>
      </c>
      <c r="AJ4126">
        <v>83.482992310116501</v>
      </c>
      <c r="AK4126">
        <v>0.55366455637747403</v>
      </c>
      <c r="AL4126">
        <v>85.015555258827803</v>
      </c>
      <c r="AM4126">
        <v>93.899099146126403</v>
      </c>
      <c r="AN4126">
        <v>0.99999997514322003</v>
      </c>
    </row>
    <row r="4127" spans="1:40" x14ac:dyDescent="0.25">
      <c r="A4127" t="str">
        <f>"20190312151356539"</f>
        <v>20190312151356539</v>
      </c>
      <c r="B4127" t="str">
        <f>"1552374836534315"</f>
        <v>1552374836534315</v>
      </c>
      <c r="C4127" t="s">
        <v>40</v>
      </c>
      <c r="D4127">
        <v>4.4852359999999996</v>
      </c>
      <c r="E4127">
        <v>0.55271359999999903</v>
      </c>
      <c r="F4127" t="s">
        <v>41</v>
      </c>
      <c r="G4127">
        <v>-332.99829999999997</v>
      </c>
      <c r="H4127">
        <v>1.044219</v>
      </c>
      <c r="I4127">
        <v>142.86940000000001</v>
      </c>
      <c r="J4127">
        <v>-332.51710000000003</v>
      </c>
      <c r="K4127">
        <v>1.110692</v>
      </c>
      <c r="L4127">
        <v>142.81180000000001</v>
      </c>
      <c r="M4127">
        <v>-0.99989700000000004</v>
      </c>
      <c r="N4127">
        <v>0</v>
      </c>
      <c r="O4127">
        <v>-7.2678780000000002E-3</v>
      </c>
      <c r="P4127">
        <v>-0.99438510000000002</v>
      </c>
      <c r="Q4127">
        <v>7.548763E-2</v>
      </c>
      <c r="R4127">
        <v>-7.4162389999999995E-2</v>
      </c>
      <c r="S4127">
        <v>-3.0453190000000001</v>
      </c>
      <c r="T4127">
        <v>-0.2114847</v>
      </c>
      <c r="U4127">
        <v>0.17065429999999901</v>
      </c>
      <c r="V4127">
        <v>-6.7178000000000002E-2</v>
      </c>
      <c r="W4127">
        <v>8.7607290000000004E-2</v>
      </c>
      <c r="X4127">
        <v>0.99388739999999998</v>
      </c>
      <c r="Y4127">
        <v>6.303723E-2</v>
      </c>
      <c r="Z4127">
        <v>2.6882799999999999E-3</v>
      </c>
      <c r="AA4127">
        <v>0.99800750000000005</v>
      </c>
      <c r="AB4127">
        <v>45</v>
      </c>
      <c r="AC4127">
        <v>-0.48119999999994401</v>
      </c>
      <c r="AD4127">
        <v>-6.6473000000000004E-2</v>
      </c>
      <c r="AE4127">
        <v>5.7600000000007798E-2</v>
      </c>
      <c r="AF4127">
        <v>5.9967866648176597E-2</v>
      </c>
      <c r="AG4127">
        <v>-6.6473000000000004E-2</v>
      </c>
      <c r="AH4127">
        <v>0.47189088784849798</v>
      </c>
      <c r="AI4127">
        <v>97.9550750233267</v>
      </c>
      <c r="AJ4127">
        <v>82.757675361915204</v>
      </c>
      <c r="AK4127">
        <v>0.48030804156684398</v>
      </c>
      <c r="AL4127">
        <v>84.974029120154199</v>
      </c>
      <c r="AM4127">
        <v>93.866806640761197</v>
      </c>
      <c r="AN4127">
        <v>1.00000004241195</v>
      </c>
    </row>
    <row r="4128" spans="1:40" x14ac:dyDescent="0.25">
      <c r="A4128" t="str">
        <f>"20190312151356559"</f>
        <v>20190312151356559</v>
      </c>
      <c r="B4128" t="str">
        <f>"1552374836554810"</f>
        <v>1552374836554810</v>
      </c>
      <c r="C4128" t="s">
        <v>40</v>
      </c>
      <c r="D4128">
        <v>4.5039439999999997</v>
      </c>
      <c r="E4128">
        <v>0.55553450000000004</v>
      </c>
      <c r="F4128" t="s">
        <v>41</v>
      </c>
      <c r="G4128">
        <v>-333.40460000000002</v>
      </c>
      <c r="H4128">
        <v>1.049642</v>
      </c>
      <c r="I4128">
        <v>142.86179999999999</v>
      </c>
      <c r="J4128">
        <v>-332.94659999999999</v>
      </c>
      <c r="K4128">
        <v>1.11069</v>
      </c>
      <c r="L4128">
        <v>142.80799999999999</v>
      </c>
      <c r="M4128">
        <v>-0.9998882</v>
      </c>
      <c r="N4128">
        <v>0</v>
      </c>
      <c r="O4128">
        <v>-8.0919849999999995E-3</v>
      </c>
      <c r="P4128">
        <v>-0.9943303</v>
      </c>
      <c r="Q4128">
        <v>7.5935009999999997E-2</v>
      </c>
      <c r="R4128">
        <v>-7.4439729999999996E-2</v>
      </c>
      <c r="S4128">
        <v>-3.045563</v>
      </c>
      <c r="T4128">
        <v>-0.2096287</v>
      </c>
      <c r="U4128">
        <v>0.17065429999999901</v>
      </c>
      <c r="V4128">
        <v>-6.6630079999999994E-2</v>
      </c>
      <c r="W4128">
        <v>8.8258500000000004E-2</v>
      </c>
      <c r="X4128">
        <v>0.99386660000000004</v>
      </c>
      <c r="Y4128">
        <v>6.385441E-2</v>
      </c>
      <c r="Z4128">
        <v>2.7492229999999999E-3</v>
      </c>
      <c r="AA4128">
        <v>0.99795540000000005</v>
      </c>
      <c r="AB4128">
        <v>45</v>
      </c>
      <c r="AC4128">
        <v>-0.458000000000026</v>
      </c>
      <c r="AD4128">
        <v>-6.1047999999999901E-2</v>
      </c>
      <c r="AE4128">
        <v>5.37999999999954E-2</v>
      </c>
      <c r="AF4128">
        <v>5.6514243222653603E-2</v>
      </c>
      <c r="AG4128">
        <v>-6.1047999999999901E-2</v>
      </c>
      <c r="AH4128">
        <v>0.44966912726616198</v>
      </c>
      <c r="AI4128">
        <v>97.67169971829</v>
      </c>
      <c r="AJ4128">
        <v>82.836646800943299</v>
      </c>
      <c r="AK4128">
        <v>0.457299728851156</v>
      </c>
      <c r="AL4128">
        <v>84.936572099515899</v>
      </c>
      <c r="AM4128">
        <v>93.835442575269099</v>
      </c>
      <c r="AN4128">
        <v>0.999999974489307</v>
      </c>
    </row>
    <row r="4129" spans="1:40" x14ac:dyDescent="0.25">
      <c r="A4129" t="str">
        <f>"20190312151356582"</f>
        <v>20190312151356582</v>
      </c>
      <c r="B4129" t="str">
        <f>"1552374836574334"</f>
        <v>1552374836574334</v>
      </c>
      <c r="C4129" t="s">
        <v>40</v>
      </c>
      <c r="D4129">
        <v>4.4711999999999996</v>
      </c>
      <c r="E4129">
        <v>0.55563669999999998</v>
      </c>
      <c r="F4129" t="s">
        <v>42</v>
      </c>
      <c r="G4129">
        <v>-363.78769999999997</v>
      </c>
      <c r="H4129" s="1">
        <v>-3.9104480000000003E-6</v>
      </c>
      <c r="I4129">
        <v>144.8219</v>
      </c>
      <c r="J4129">
        <v>-333.39120000000003</v>
      </c>
      <c r="K4129">
        <v>1.110684</v>
      </c>
      <c r="L4129">
        <v>142.8038</v>
      </c>
      <c r="M4129">
        <v>-0.9998783</v>
      </c>
      <c r="N4129">
        <v>0</v>
      </c>
      <c r="O4129">
        <v>-8.9096130000000003E-3</v>
      </c>
      <c r="P4129">
        <v>-0.99434319999999998</v>
      </c>
      <c r="Q4129">
        <v>7.534275E-2</v>
      </c>
      <c r="R4129">
        <v>-7.4869959999999999E-2</v>
      </c>
      <c r="S4129">
        <v>-3.0402830000000001</v>
      </c>
      <c r="T4129">
        <v>-0.1094913</v>
      </c>
      <c r="U4129">
        <v>0.19853209999999999</v>
      </c>
      <c r="V4129">
        <v>-6.6237359999999995E-2</v>
      </c>
      <c r="W4129">
        <v>8.7910349999999998E-2</v>
      </c>
      <c r="X4129">
        <v>0.99392369999999997</v>
      </c>
      <c r="Y4129">
        <v>7.399704E-2</v>
      </c>
      <c r="Z4129">
        <v>1.6510679999999999E-3</v>
      </c>
      <c r="AA4129">
        <v>0.99725710000000001</v>
      </c>
      <c r="AB4129">
        <v>45</v>
      </c>
      <c r="AC4129">
        <v>-30.3964999999999</v>
      </c>
      <c r="AD4129">
        <v>-1.1106879104480001</v>
      </c>
      <c r="AE4129">
        <v>2.0181</v>
      </c>
      <c r="AF4129">
        <v>2.2858245747871799</v>
      </c>
      <c r="AG4129">
        <v>-1.1106879104480001</v>
      </c>
      <c r="AH4129">
        <v>30.336984054545301</v>
      </c>
      <c r="AI4129">
        <v>92.090836699035293</v>
      </c>
      <c r="AJ4129">
        <v>85.691031990852693</v>
      </c>
      <c r="AK4129">
        <v>30.443245936444601</v>
      </c>
      <c r="AL4129">
        <v>84.956597438673896</v>
      </c>
      <c r="AM4129">
        <v>93.812684822429503</v>
      </c>
      <c r="AN4129">
        <v>0.99999996945929004</v>
      </c>
    </row>
    <row r="4130" spans="1:40" x14ac:dyDescent="0.25">
      <c r="A4130" t="str">
        <f>"20190312151356603"</f>
        <v>20190312151356603</v>
      </c>
      <c r="B4130" t="str">
        <f>"1552374836594826"</f>
        <v>1552374836594826</v>
      </c>
      <c r="C4130" t="s">
        <v>40</v>
      </c>
      <c r="D4130">
        <v>4.4722770000000001</v>
      </c>
      <c r="E4130">
        <v>0.55398819999999904</v>
      </c>
      <c r="F4130" t="s">
        <v>42</v>
      </c>
      <c r="G4130">
        <v>-365.60419999999999</v>
      </c>
      <c r="H4130" s="1">
        <v>-3.2753810000000001E-6</v>
      </c>
      <c r="I4130">
        <v>144.90520000000001</v>
      </c>
      <c r="J4130">
        <v>-333.82429999999999</v>
      </c>
      <c r="K4130">
        <v>1.110689</v>
      </c>
      <c r="L4130">
        <v>142.79929999999999</v>
      </c>
      <c r="M4130">
        <v>-0.99986799999999998</v>
      </c>
      <c r="N4130">
        <v>0</v>
      </c>
      <c r="O4130">
        <v>-9.6750570000000008E-3</v>
      </c>
      <c r="P4130">
        <v>-0.99440799999999996</v>
      </c>
      <c r="Q4130">
        <v>7.4629260000000003E-2</v>
      </c>
      <c r="R4130">
        <v>-7.4725319999999998E-2</v>
      </c>
      <c r="S4130">
        <v>-3.039917</v>
      </c>
      <c r="T4130">
        <v>-0.1048152</v>
      </c>
      <c r="U4130">
        <v>0.19831850000000001</v>
      </c>
      <c r="V4130">
        <v>-6.5320470000000005E-2</v>
      </c>
      <c r="W4130">
        <v>8.7460990000000002E-2</v>
      </c>
      <c r="X4130">
        <v>0.99402400000000002</v>
      </c>
      <c r="Y4130">
        <v>7.470214E-2</v>
      </c>
      <c r="Z4130">
        <v>1.6192940000000001E-3</v>
      </c>
      <c r="AA4130">
        <v>0.9972046</v>
      </c>
      <c r="AB4130">
        <v>45</v>
      </c>
      <c r="AC4130">
        <v>-31.779900000000001</v>
      </c>
      <c r="AD4130">
        <v>-1.110692275381</v>
      </c>
      <c r="AE4130">
        <v>2.1059000000000201</v>
      </c>
      <c r="AF4130">
        <v>2.4103686389766898</v>
      </c>
      <c r="AG4130">
        <v>-1.110692275381</v>
      </c>
      <c r="AH4130">
        <v>31.719460914115398</v>
      </c>
      <c r="AI4130">
        <v>91.999695573199105</v>
      </c>
      <c r="AJ4130">
        <v>85.654433093321799</v>
      </c>
      <c r="AK4130">
        <v>31.830295552954698</v>
      </c>
      <c r="AL4130">
        <v>84.982443329912201</v>
      </c>
      <c r="AM4130">
        <v>93.759681914417797</v>
      </c>
      <c r="AN4130">
        <v>0.99999995057439905</v>
      </c>
    </row>
    <row r="4131" spans="1:40" x14ac:dyDescent="0.25">
      <c r="A4131" t="str">
        <f>"20190312151356626"</f>
        <v>20190312151356626</v>
      </c>
      <c r="B4131" t="str">
        <f>"1552374836614347"</f>
        <v>1552374836614347</v>
      </c>
      <c r="C4131" t="s">
        <v>40</v>
      </c>
      <c r="D4131">
        <v>4.4908140000000003</v>
      </c>
      <c r="E4131">
        <v>0.55357429999999996</v>
      </c>
      <c r="F4131" t="s">
        <v>42</v>
      </c>
      <c r="G4131">
        <v>-350.32089999999999</v>
      </c>
      <c r="H4131" s="1">
        <v>-4.9039910000000004E-6</v>
      </c>
      <c r="I4131">
        <v>143.7722</v>
      </c>
      <c r="J4131">
        <v>-334.28039999999999</v>
      </c>
      <c r="K4131">
        <v>1.110695</v>
      </c>
      <c r="L4131">
        <v>142.79429999999999</v>
      </c>
      <c r="M4131">
        <v>-0.99985639999999998</v>
      </c>
      <c r="N4131">
        <v>0</v>
      </c>
      <c r="O4131">
        <v>-1.0453799999999999E-2</v>
      </c>
      <c r="P4131">
        <v>-0.99447479999999999</v>
      </c>
      <c r="Q4131">
        <v>7.3727609999999999E-2</v>
      </c>
      <c r="R4131">
        <v>-7.4727020000000005E-2</v>
      </c>
      <c r="S4131">
        <v>-3.0457459999999998</v>
      </c>
      <c r="T4131">
        <v>-0.20506659999999999</v>
      </c>
      <c r="U4131">
        <v>0.17962649999999999</v>
      </c>
      <c r="V4131">
        <v>-6.4537129999999998E-2</v>
      </c>
      <c r="W4131">
        <v>8.6842509999999998E-2</v>
      </c>
      <c r="X4131">
        <v>0.99412940000000005</v>
      </c>
      <c r="Y4131">
        <v>6.9127709999999995E-2</v>
      </c>
      <c r="Z4131">
        <v>3.0250469999999999E-3</v>
      </c>
      <c r="AA4131">
        <v>0.99760320000000002</v>
      </c>
      <c r="AB4131">
        <v>45</v>
      </c>
      <c r="AC4131">
        <v>-16.040500000000002</v>
      </c>
      <c r="AD4131">
        <v>-1.1106999039909999</v>
      </c>
      <c r="AE4131">
        <v>0.97790000000000499</v>
      </c>
      <c r="AF4131">
        <v>1.14009950569593</v>
      </c>
      <c r="AG4131">
        <v>-1.1106999039909999</v>
      </c>
      <c r="AH4131">
        <v>15.953192797524</v>
      </c>
      <c r="AI4131">
        <v>93.972545193074097</v>
      </c>
      <c r="AJ4131">
        <v>85.912290242841195</v>
      </c>
      <c r="AK4131">
        <v>16.0323997453464</v>
      </c>
      <c r="AL4131">
        <v>85.018015038042705</v>
      </c>
      <c r="AM4131">
        <v>93.714329098045198</v>
      </c>
      <c r="AN4131">
        <v>0.99999996331804697</v>
      </c>
    </row>
    <row r="4132" spans="1:40" x14ac:dyDescent="0.25">
      <c r="A4132" t="str">
        <f>"20190312151356649"</f>
        <v>20190312151356649</v>
      </c>
      <c r="B4132" t="str">
        <f>"1552374836644603"</f>
        <v>1552374836644603</v>
      </c>
      <c r="C4132" t="s">
        <v>40</v>
      </c>
      <c r="D4132">
        <v>4.5193770000000004</v>
      </c>
      <c r="E4132">
        <v>0.55338009999999904</v>
      </c>
      <c r="F4132" t="s">
        <v>41</v>
      </c>
      <c r="G4132">
        <v>-335.39850000000001</v>
      </c>
      <c r="H4132">
        <v>1.034</v>
      </c>
      <c r="I4132">
        <v>142.85900000000001</v>
      </c>
      <c r="J4132">
        <v>-334.7208</v>
      </c>
      <c r="K4132">
        <v>1.1106929999999999</v>
      </c>
      <c r="L4132">
        <v>142.78909999999999</v>
      </c>
      <c r="M4132">
        <v>-0.99984510000000004</v>
      </c>
      <c r="N4132">
        <v>0</v>
      </c>
      <c r="O4132">
        <v>-1.118212E-2</v>
      </c>
      <c r="P4132">
        <v>-0.99444969999999999</v>
      </c>
      <c r="Q4132">
        <v>7.364801E-2</v>
      </c>
      <c r="R4132">
        <v>-7.5141470000000002E-2</v>
      </c>
      <c r="S4132">
        <v>-3.0453800000000002</v>
      </c>
      <c r="T4132">
        <v>-0.2089435</v>
      </c>
      <c r="U4132">
        <v>0.17599489999999901</v>
      </c>
      <c r="V4132">
        <v>-6.4220910000000006E-2</v>
      </c>
      <c r="W4132">
        <v>8.7019230000000003E-2</v>
      </c>
      <c r="X4132">
        <v>0.99413450000000003</v>
      </c>
      <c r="Y4132">
        <v>6.8668320000000005E-2</v>
      </c>
      <c r="Z4132">
        <v>3.1167360000000002E-3</v>
      </c>
      <c r="AA4132">
        <v>0.99763460000000004</v>
      </c>
      <c r="AB4132">
        <v>45</v>
      </c>
      <c r="AC4132">
        <v>-0.67770000000001496</v>
      </c>
      <c r="AD4132">
        <v>-7.66929999999999E-2</v>
      </c>
      <c r="AE4132">
        <v>6.9900000000018198E-2</v>
      </c>
      <c r="AF4132">
        <v>7.6504990541083395E-2</v>
      </c>
      <c r="AG4132">
        <v>-7.66929999999999E-2</v>
      </c>
      <c r="AH4132">
        <v>0.66840596627611604</v>
      </c>
      <c r="AI4132">
        <v>96.503407803983507</v>
      </c>
      <c r="AJ4132">
        <v>83.470405348739803</v>
      </c>
      <c r="AK4132">
        <v>0.67712728905295205</v>
      </c>
      <c r="AL4132">
        <v>85.007851624093604</v>
      </c>
      <c r="AM4132">
        <v>93.696161237789994</v>
      </c>
      <c r="AN4132">
        <v>1.00000003788063</v>
      </c>
    </row>
    <row r="4133" spans="1:40" x14ac:dyDescent="0.25">
      <c r="A4133" t="str">
        <f>"20190312151356670"</f>
        <v>20190312151356670</v>
      </c>
      <c r="B4133" t="str">
        <f>"1552374836664123"</f>
        <v>1552374836664123</v>
      </c>
      <c r="C4133" t="s">
        <v>40</v>
      </c>
      <c r="D4133">
        <v>4.5003199999999897</v>
      </c>
      <c r="E4133">
        <v>0.55334550000000005</v>
      </c>
      <c r="F4133" t="s">
        <v>41</v>
      </c>
      <c r="G4133">
        <v>-335.79910000000001</v>
      </c>
      <c r="H4133">
        <v>1.0367059999999999</v>
      </c>
      <c r="I4133">
        <v>142.85079999999999</v>
      </c>
      <c r="J4133">
        <v>-335.17590000000001</v>
      </c>
      <c r="K4133">
        <v>1.1106940000000001</v>
      </c>
      <c r="L4133">
        <v>142.7834</v>
      </c>
      <c r="M4133">
        <v>-0.99983330000000004</v>
      </c>
      <c r="N4133">
        <v>0</v>
      </c>
      <c r="O4133">
        <v>-1.1916639999999999E-2</v>
      </c>
      <c r="P4133">
        <v>-0.99438689999999996</v>
      </c>
      <c r="Q4133">
        <v>7.3549420000000004E-2</v>
      </c>
      <c r="R4133">
        <v>-7.6061039999999996E-2</v>
      </c>
      <c r="S4133">
        <v>-3.0453190000000001</v>
      </c>
      <c r="T4133">
        <v>-0.2090583</v>
      </c>
      <c r="U4133">
        <v>0.1734619</v>
      </c>
      <c r="V4133">
        <v>-6.4404980000000001E-2</v>
      </c>
      <c r="W4133">
        <v>8.7161269999999999E-2</v>
      </c>
      <c r="X4133">
        <v>0.9941101</v>
      </c>
      <c r="Y4133">
        <v>6.8573620000000002E-2</v>
      </c>
      <c r="Z4133">
        <v>3.1656729999999999E-3</v>
      </c>
      <c r="AA4133">
        <v>0.997641</v>
      </c>
      <c r="AB4133">
        <v>45</v>
      </c>
      <c r="AC4133">
        <v>-0.62319999999999698</v>
      </c>
      <c r="AD4133">
        <v>-7.3988000000000095E-2</v>
      </c>
      <c r="AE4133">
        <v>6.7399999999992105E-2</v>
      </c>
      <c r="AF4133">
        <v>7.3794263201327898E-2</v>
      </c>
      <c r="AG4133">
        <v>-7.3988000000000095E-2</v>
      </c>
      <c r="AH4133">
        <v>0.61380093162677596</v>
      </c>
      <c r="AI4133">
        <v>96.8246356179407</v>
      </c>
      <c r="AJ4133">
        <v>83.144514127708305</v>
      </c>
      <c r="AK4133">
        <v>0.62263263734832097</v>
      </c>
      <c r="AL4133">
        <v>84.999682050256098</v>
      </c>
      <c r="AM4133">
        <v>93.706816409971196</v>
      </c>
      <c r="AN4133">
        <v>0.99999998967941095</v>
      </c>
    </row>
    <row r="4134" spans="1:40" x14ac:dyDescent="0.25">
      <c r="A4134" t="str">
        <f>"20190312151356693"</f>
        <v>20190312151356693</v>
      </c>
      <c r="B4134" t="str">
        <f>"1552374836684622"</f>
        <v>1552374836684622</v>
      </c>
      <c r="C4134" t="s">
        <v>40</v>
      </c>
      <c r="D4134">
        <v>4.495171</v>
      </c>
      <c r="E4134">
        <v>0.55325419999999903</v>
      </c>
      <c r="F4134" t="s">
        <v>41</v>
      </c>
      <c r="G4134">
        <v>-336.2</v>
      </c>
      <c r="H4134">
        <v>1.041031</v>
      </c>
      <c r="I4134">
        <v>142.8409</v>
      </c>
      <c r="J4134">
        <v>-335.62200000000001</v>
      </c>
      <c r="K4134">
        <v>1.110695</v>
      </c>
      <c r="L4134">
        <v>142.7775</v>
      </c>
      <c r="M4134">
        <v>-0.99982179999999998</v>
      </c>
      <c r="N4134">
        <v>0</v>
      </c>
      <c r="O4134">
        <v>-1.262399E-2</v>
      </c>
      <c r="P4134">
        <v>-0.99433170000000004</v>
      </c>
      <c r="Q4134">
        <v>7.3193830000000001E-2</v>
      </c>
      <c r="R4134">
        <v>-7.7119850000000004E-2</v>
      </c>
      <c r="S4134">
        <v>-3.0453190000000001</v>
      </c>
      <c r="T4134">
        <v>-0.20716850000000001</v>
      </c>
      <c r="U4134">
        <v>0.17086789999999999</v>
      </c>
      <c r="V4134">
        <v>-6.4756079999999994E-2</v>
      </c>
      <c r="W4134">
        <v>8.7016850000000007E-2</v>
      </c>
      <c r="X4134">
        <v>0.99409999999999998</v>
      </c>
      <c r="Y4134">
        <v>6.8434419999999996E-2</v>
      </c>
      <c r="Z4134">
        <v>3.1805090000000002E-3</v>
      </c>
      <c r="AA4134">
        <v>0.99765060000000005</v>
      </c>
      <c r="AB4134">
        <v>45</v>
      </c>
      <c r="AC4134">
        <v>-0.57800000000003104</v>
      </c>
      <c r="AD4134">
        <v>-6.9663999999999907E-2</v>
      </c>
      <c r="AE4134">
        <v>6.34000000000014E-2</v>
      </c>
      <c r="AF4134">
        <v>6.9691986733190103E-2</v>
      </c>
      <c r="AG4134">
        <v>-6.9663999999999907E-2</v>
      </c>
      <c r="AH4134">
        <v>0.568986372763153</v>
      </c>
      <c r="AI4134">
        <v>96.929009944757695</v>
      </c>
      <c r="AJ4134">
        <v>83.016939941018506</v>
      </c>
      <c r="AK4134">
        <v>0.57745609209790905</v>
      </c>
      <c r="AL4134">
        <v>85.007988548114994</v>
      </c>
      <c r="AM4134">
        <v>93.727004863262295</v>
      </c>
      <c r="AN4134">
        <v>1.0000000460404399</v>
      </c>
    </row>
    <row r="4135" spans="1:40" x14ac:dyDescent="0.25">
      <c r="A4135" t="str">
        <f>"20190312151356714"</f>
        <v>20190312151356714</v>
      </c>
      <c r="B4135" t="str">
        <f>"1552374836704139"</f>
        <v>1552374836704139</v>
      </c>
      <c r="C4135" t="s">
        <v>40</v>
      </c>
      <c r="D4135">
        <v>4.5492670000000004</v>
      </c>
      <c r="E4135">
        <v>0.55311790000000005</v>
      </c>
      <c r="F4135" t="s">
        <v>41</v>
      </c>
      <c r="G4135">
        <v>-336.59960000000001</v>
      </c>
      <c r="H4135">
        <v>1.04365</v>
      </c>
      <c r="I4135">
        <v>142.8314</v>
      </c>
      <c r="J4135">
        <v>-336.06</v>
      </c>
      <c r="K4135">
        <v>1.11069</v>
      </c>
      <c r="L4135">
        <v>142.7714</v>
      </c>
      <c r="M4135">
        <v>-0.99981030000000004</v>
      </c>
      <c r="N4135">
        <v>0</v>
      </c>
      <c r="O4135">
        <v>-1.331248E-2</v>
      </c>
      <c r="P4135">
        <v>-0.9941487</v>
      </c>
      <c r="Q4135">
        <v>7.3118520000000006E-2</v>
      </c>
      <c r="R4135">
        <v>-7.9513249999999994E-2</v>
      </c>
      <c r="S4135">
        <v>-3.0454409999999998</v>
      </c>
      <c r="T4135">
        <v>-0.20898140000000001</v>
      </c>
      <c r="U4135">
        <v>0.16696169999999999</v>
      </c>
      <c r="V4135">
        <v>-6.6463289999999994E-2</v>
      </c>
      <c r="W4135">
        <v>8.7121820000000003E-2</v>
      </c>
      <c r="X4135">
        <v>0.99397809999999998</v>
      </c>
      <c r="Y4135">
        <v>6.7839999999999998E-2</v>
      </c>
      <c r="Z4135">
        <v>3.235071E-3</v>
      </c>
      <c r="AA4135">
        <v>0.99769099999999999</v>
      </c>
      <c r="AB4135">
        <v>45</v>
      </c>
      <c r="AC4135">
        <v>-0.53960000000000696</v>
      </c>
      <c r="AD4135">
        <v>-6.7039999999999905E-2</v>
      </c>
      <c r="AE4135">
        <v>6.0000000000002197E-2</v>
      </c>
      <c r="AF4135">
        <v>6.6169922506587805E-2</v>
      </c>
      <c r="AG4135">
        <v>-6.7039999999999905E-2</v>
      </c>
      <c r="AH4135">
        <v>0.53066227971829105</v>
      </c>
      <c r="AI4135">
        <v>97.145430394518897</v>
      </c>
      <c r="AJ4135">
        <v>82.892298089456503</v>
      </c>
      <c r="AK4135">
        <v>0.53895758215312395</v>
      </c>
      <c r="AL4135">
        <v>85.001951161244904</v>
      </c>
      <c r="AM4135">
        <v>93.825442258864896</v>
      </c>
      <c r="AN4135">
        <v>1.00000002185867</v>
      </c>
    </row>
    <row r="4136" spans="1:40" x14ac:dyDescent="0.25">
      <c r="A4136" t="str">
        <f>"20190312151356739"</f>
        <v>20190312151356739</v>
      </c>
      <c r="B4136" t="str">
        <f>"1552374836734395"</f>
        <v>1552374836734395</v>
      </c>
      <c r="C4136" t="s">
        <v>40</v>
      </c>
      <c r="D4136">
        <v>4.5100210000000001</v>
      </c>
      <c r="E4136">
        <v>0.46694609999999898</v>
      </c>
      <c r="F4136" t="s">
        <v>41</v>
      </c>
      <c r="G4136">
        <v>-336.99939999999998</v>
      </c>
      <c r="H4136">
        <v>1.046211</v>
      </c>
      <c r="I4136">
        <v>142.82050000000001</v>
      </c>
      <c r="J4136">
        <v>-336.52339999999998</v>
      </c>
      <c r="K4136">
        <v>1.1106799999999999</v>
      </c>
      <c r="L4136">
        <v>142.7646</v>
      </c>
      <c r="M4136">
        <v>-0.99979770000000001</v>
      </c>
      <c r="N4136">
        <v>0</v>
      </c>
      <c r="O4136">
        <v>-1.403868E-2</v>
      </c>
      <c r="P4136">
        <v>-0.99398439999999999</v>
      </c>
      <c r="Q4136">
        <v>7.2643100000000002E-2</v>
      </c>
      <c r="R4136">
        <v>-8.196283E-2</v>
      </c>
      <c r="S4136">
        <v>-3.045715</v>
      </c>
      <c r="T4136">
        <v>-0.20918519999999999</v>
      </c>
      <c r="U4136">
        <v>0.15863039999999901</v>
      </c>
      <c r="V4136">
        <v>-6.8187880000000006E-2</v>
      </c>
      <c r="W4136">
        <v>8.6815920000000005E-2</v>
      </c>
      <c r="X4136">
        <v>0.99388799999999999</v>
      </c>
      <c r="Y4136">
        <v>6.5840940000000001E-2</v>
      </c>
      <c r="Z4136">
        <v>3.2194350000000001E-3</v>
      </c>
      <c r="AA4136">
        <v>0.99782499999999996</v>
      </c>
      <c r="AB4136">
        <v>45</v>
      </c>
      <c r="AC4136">
        <v>-0.47599999999999898</v>
      </c>
      <c r="AD4136">
        <v>-6.4468999999999804E-2</v>
      </c>
      <c r="AE4136">
        <v>5.59000000000082E-2</v>
      </c>
      <c r="AF4136">
        <v>6.1465427454619297E-2</v>
      </c>
      <c r="AG4136">
        <v>-6.4468999999999804E-2</v>
      </c>
      <c r="AH4136">
        <v>0.46672325516142499</v>
      </c>
      <c r="AI4136">
        <v>97.798068172114696</v>
      </c>
      <c r="AJ4136">
        <v>82.497569082955195</v>
      </c>
      <c r="AK4136">
        <v>0.47514718524016902</v>
      </c>
      <c r="AL4136">
        <v>85.019544360665606</v>
      </c>
      <c r="AM4136">
        <v>93.924753258927893</v>
      </c>
      <c r="AN4136">
        <v>0.99999997374417005</v>
      </c>
    </row>
    <row r="4137" spans="1:40" x14ac:dyDescent="0.25">
      <c r="A4137" t="str">
        <f>"20190312151356761"</f>
        <v>20190312151356761</v>
      </c>
      <c r="B4137" t="str">
        <f>"1552374836754891"</f>
        <v>1552374836754891</v>
      </c>
      <c r="C4137" t="s">
        <v>40</v>
      </c>
      <c r="D4137">
        <v>4.4401999999999999</v>
      </c>
      <c r="E4137">
        <v>0.45948030000000001</v>
      </c>
      <c r="F4137" t="s">
        <v>42</v>
      </c>
      <c r="G4137">
        <v>-355.99560000000002</v>
      </c>
      <c r="H4137" s="1">
        <v>-1.7574929999999999E-6</v>
      </c>
      <c r="I4137">
        <v>139.29320000000001</v>
      </c>
      <c r="J4137">
        <v>-336.97579999999999</v>
      </c>
      <c r="K4137">
        <v>1.1106769999999999</v>
      </c>
      <c r="L4137">
        <v>142.7576</v>
      </c>
      <c r="M4137">
        <v>-0.99978549999999999</v>
      </c>
      <c r="N4137">
        <v>0</v>
      </c>
      <c r="O4137">
        <v>-1.474838E-2</v>
      </c>
      <c r="P4137">
        <v>-0.99375270000000004</v>
      </c>
      <c r="Q4137">
        <v>7.2633710000000004E-2</v>
      </c>
      <c r="R4137">
        <v>-8.4736649999999997E-2</v>
      </c>
      <c r="S4137">
        <v>-2.986694</v>
      </c>
      <c r="T4137">
        <v>-0.1703596</v>
      </c>
      <c r="U4137">
        <v>-0.53244019999999903</v>
      </c>
      <c r="V4137">
        <v>-7.0255590000000007E-2</v>
      </c>
      <c r="W4137">
        <v>8.6949399999999996E-2</v>
      </c>
      <c r="X4137">
        <v>0.99373230000000001</v>
      </c>
      <c r="Y4137">
        <v>-0.16073380000000001</v>
      </c>
      <c r="Z4137">
        <v>-3.7108359999999999E-3</v>
      </c>
      <c r="AA4137">
        <v>0.98699079999999995</v>
      </c>
      <c r="AB4137">
        <v>45</v>
      </c>
      <c r="AC4137">
        <v>-19.0198</v>
      </c>
      <c r="AD4137">
        <v>-1.1106787574929999</v>
      </c>
      <c r="AE4137">
        <v>-3.4643999999999799</v>
      </c>
      <c r="AF4137">
        <v>-3.1730094554519899</v>
      </c>
      <c r="AG4137">
        <v>-1.1106787574929999</v>
      </c>
      <c r="AH4137">
        <v>19.006099471241999</v>
      </c>
      <c r="AI4137">
        <v>93.298894759450903</v>
      </c>
      <c r="AJ4137">
        <v>99.477943932385202</v>
      </c>
      <c r="AK4137">
        <v>19.301124667165901</v>
      </c>
      <c r="AL4137">
        <v>85.011867446768605</v>
      </c>
      <c r="AM4137">
        <v>94.044008826417794</v>
      </c>
      <c r="AN4137">
        <v>0.99999996507494804</v>
      </c>
    </row>
    <row r="4138" spans="1:40" x14ac:dyDescent="0.25">
      <c r="A4138" t="str">
        <f>"20190312151356783"</f>
        <v>20190312151356783</v>
      </c>
      <c r="B4138" t="str">
        <f>"1552374836774411"</f>
        <v>1552374836774411</v>
      </c>
      <c r="C4138" t="s">
        <v>40</v>
      </c>
      <c r="D4138">
        <v>4.4229599999999998</v>
      </c>
      <c r="E4138">
        <v>0.45886490000000002</v>
      </c>
      <c r="F4138" t="s">
        <v>42</v>
      </c>
      <c r="G4138">
        <v>-352.6721</v>
      </c>
      <c r="H4138" s="1">
        <v>-3.1314000000000002E-6</v>
      </c>
      <c r="I4138">
        <v>139.5857</v>
      </c>
      <c r="J4138">
        <v>-337.399</v>
      </c>
      <c r="K4138">
        <v>1.110673</v>
      </c>
      <c r="L4138">
        <v>142.7508</v>
      </c>
      <c r="M4138">
        <v>-0.99977360000000004</v>
      </c>
      <c r="N4138">
        <v>0</v>
      </c>
      <c r="O4138">
        <v>-1.541356E-2</v>
      </c>
      <c r="P4138">
        <v>-0.99351420000000001</v>
      </c>
      <c r="Q4138">
        <v>7.2940430000000001E-2</v>
      </c>
      <c r="R4138">
        <v>-8.7233039999999998E-2</v>
      </c>
      <c r="S4138">
        <v>-2.9828800000000002</v>
      </c>
      <c r="T4138">
        <v>-0.2110717</v>
      </c>
      <c r="U4138">
        <v>-0.60278319999999996</v>
      </c>
      <c r="V4138">
        <v>-7.2091799999999998E-2</v>
      </c>
      <c r="W4138">
        <v>8.7372630000000007E-2</v>
      </c>
      <c r="X4138">
        <v>0.99356369999999905</v>
      </c>
      <c r="Y4138">
        <v>-0.1825425</v>
      </c>
      <c r="Z4138">
        <v>-5.3079520000000003E-3</v>
      </c>
      <c r="AA4138">
        <v>0.98318360000000005</v>
      </c>
      <c r="AB4138">
        <v>44</v>
      </c>
      <c r="AC4138">
        <v>-15.273099999999999</v>
      </c>
      <c r="AD4138">
        <v>-1.1106761314</v>
      </c>
      <c r="AE4138">
        <v>-3.16509999999999</v>
      </c>
      <c r="AF4138">
        <v>-2.9145074623440199</v>
      </c>
      <c r="AG4138">
        <v>-1.1106761314</v>
      </c>
      <c r="AH4138">
        <v>15.2427859703692</v>
      </c>
      <c r="AI4138">
        <v>94.093631174342306</v>
      </c>
      <c r="AJ4138">
        <v>100.82462652988499</v>
      </c>
      <c r="AK4138">
        <v>15.5586143134729</v>
      </c>
      <c r="AL4138">
        <v>84.9875257643655</v>
      </c>
      <c r="AM4138">
        <v>94.150040773291394</v>
      </c>
      <c r="AN4138">
        <v>1.00000001502902</v>
      </c>
    </row>
    <row r="4139" spans="1:40" x14ac:dyDescent="0.25">
      <c r="A4139" t="str">
        <f>"20190312151356804"</f>
        <v>20190312151356804</v>
      </c>
      <c r="B4139" t="str">
        <f>"1552374836794908"</f>
        <v>1552374836794908</v>
      </c>
      <c r="C4139" t="s">
        <v>40</v>
      </c>
      <c r="D4139">
        <v>4.9207400000000003</v>
      </c>
      <c r="E4139">
        <v>0.45911239999999998</v>
      </c>
      <c r="F4139" t="s">
        <v>42</v>
      </c>
      <c r="G4139">
        <v>-353.02870000000001</v>
      </c>
      <c r="H4139" s="1">
        <v>-2.989403E-6</v>
      </c>
      <c r="I4139">
        <v>139.52359999999999</v>
      </c>
      <c r="J4139">
        <v>-337.82380000000001</v>
      </c>
      <c r="K4139">
        <v>1.110679</v>
      </c>
      <c r="L4139">
        <v>142.74369999999999</v>
      </c>
      <c r="M4139">
        <v>-0.99976149999999997</v>
      </c>
      <c r="N4139">
        <v>0</v>
      </c>
      <c r="O4139">
        <v>-1.608211E-2</v>
      </c>
      <c r="P4139">
        <v>-0.99331999999999998</v>
      </c>
      <c r="Q4139">
        <v>7.3188639999999999E-2</v>
      </c>
      <c r="R4139">
        <v>-8.9212449999999999E-2</v>
      </c>
      <c r="S4139">
        <v>-2.9810490000000001</v>
      </c>
      <c r="T4139">
        <v>-0.21183850000000001</v>
      </c>
      <c r="U4139">
        <v>-0.61550899999999997</v>
      </c>
      <c r="V4139">
        <v>-7.3406990000000005E-2</v>
      </c>
      <c r="W4139">
        <v>8.7724609999999995E-2</v>
      </c>
      <c r="X4139">
        <v>0.99343630000000005</v>
      </c>
      <c r="Y4139">
        <v>-0.1860204</v>
      </c>
      <c r="Z4139">
        <v>-5.4033629999999996E-3</v>
      </c>
      <c r="AA4139">
        <v>0.98253100000000004</v>
      </c>
      <c r="AB4139">
        <v>44</v>
      </c>
      <c r="AC4139">
        <v>-15.2049</v>
      </c>
      <c r="AD4139">
        <v>-1.110681989403</v>
      </c>
      <c r="AE4139">
        <v>-3.2201</v>
      </c>
      <c r="AF4139">
        <v>-2.9600133838751002</v>
      </c>
      <c r="AG4139">
        <v>-1.110681989403</v>
      </c>
      <c r="AH4139">
        <v>15.177216207601299</v>
      </c>
      <c r="AI4139">
        <v>94.108361732235906</v>
      </c>
      <c r="AJ4139">
        <v>101.03586819964499</v>
      </c>
      <c r="AK4139">
        <v>15.5030056933028</v>
      </c>
      <c r="AL4139">
        <v>84.967280671615796</v>
      </c>
      <c r="AM4139">
        <v>94.226019220738905</v>
      </c>
      <c r="AN4139">
        <v>0.99999993776909901</v>
      </c>
    </row>
    <row r="4140" spans="1:40" x14ac:dyDescent="0.25">
      <c r="A4140" t="str">
        <f>"20190312151356829"</f>
        <v>20190312151356829</v>
      </c>
      <c r="B4140" t="str">
        <f>"1552374836824203"</f>
        <v>1552374836824203</v>
      </c>
      <c r="C4140" t="s">
        <v>40</v>
      </c>
      <c r="D4140">
        <v>4.4500820000000001</v>
      </c>
      <c r="E4140">
        <v>0.4593564</v>
      </c>
      <c r="F4140" t="s">
        <v>42</v>
      </c>
      <c r="G4140">
        <v>-353.34160000000003</v>
      </c>
      <c r="H4140" s="1">
        <v>-2.8563189999999898E-6</v>
      </c>
      <c r="I4140">
        <v>139.5172</v>
      </c>
      <c r="J4140">
        <v>-338.29259999999999</v>
      </c>
      <c r="K4140">
        <v>1.110679</v>
      </c>
      <c r="L4140">
        <v>142.7355</v>
      </c>
      <c r="M4140">
        <v>-0.99974779999999996</v>
      </c>
      <c r="N4140">
        <v>0</v>
      </c>
      <c r="O4140">
        <v>-1.6820129999999999E-2</v>
      </c>
      <c r="P4140">
        <v>-0.99306819999999896</v>
      </c>
      <c r="Q4140">
        <v>7.4088390000000004E-2</v>
      </c>
      <c r="R4140">
        <v>-9.1251269999999995E-2</v>
      </c>
      <c r="S4140">
        <v>-2.9802550000000001</v>
      </c>
      <c r="T4140">
        <v>-0.213311</v>
      </c>
      <c r="U4140">
        <v>-0.61964419999999898</v>
      </c>
      <c r="V4140">
        <v>-7.4715320000000002E-2</v>
      </c>
      <c r="W4140">
        <v>8.8721590000000003E-2</v>
      </c>
      <c r="X4140">
        <v>0.99325030000000003</v>
      </c>
      <c r="Y4140">
        <v>-0.18664839999999999</v>
      </c>
      <c r="Z4140">
        <v>-5.4115459999999997E-3</v>
      </c>
      <c r="AA4140">
        <v>0.9824119</v>
      </c>
      <c r="AB4140">
        <v>44</v>
      </c>
      <c r="AC4140">
        <v>-15.048999999999999</v>
      </c>
      <c r="AD4140">
        <v>-1.110681856319</v>
      </c>
      <c r="AE4140">
        <v>-3.2183000000000002</v>
      </c>
      <c r="AF4140">
        <v>-2.9493278034811201</v>
      </c>
      <c r="AG4140">
        <v>-1.110681856319</v>
      </c>
      <c r="AH4140">
        <v>15.0227573098147</v>
      </c>
      <c r="AI4140">
        <v>94.149446691697193</v>
      </c>
      <c r="AJ4140">
        <v>101.107271499554</v>
      </c>
      <c r="AK4140">
        <v>15.349768267564601</v>
      </c>
      <c r="AL4140">
        <v>84.909934776635296</v>
      </c>
      <c r="AM4140">
        <v>94.301861629683401</v>
      </c>
      <c r="AN4140">
        <v>1.00000002901246</v>
      </c>
    </row>
    <row r="4141" spans="1:40" x14ac:dyDescent="0.25">
      <c r="A4141" t="str">
        <f>"20190312151356851"</f>
        <v>20190312151356851</v>
      </c>
      <c r="B4141" t="str">
        <f>"1552374836844699"</f>
        <v>1552374836844699</v>
      </c>
      <c r="C4141" t="s">
        <v>40</v>
      </c>
      <c r="D4141">
        <v>4.448207</v>
      </c>
      <c r="E4141">
        <v>0.45954640000000002</v>
      </c>
      <c r="F4141" t="s">
        <v>42</v>
      </c>
      <c r="G4141">
        <v>-354.64359999999999</v>
      </c>
      <c r="H4141" s="1">
        <v>-2.3338730000000001E-6</v>
      </c>
      <c r="I4141">
        <v>139.31360000000001</v>
      </c>
      <c r="J4141">
        <v>-338.76499999999999</v>
      </c>
      <c r="K4141">
        <v>1.1106739999999999</v>
      </c>
      <c r="L4141">
        <v>142.7269</v>
      </c>
      <c r="M4141">
        <v>-0.99973369999999995</v>
      </c>
      <c r="N4141">
        <v>0</v>
      </c>
      <c r="O4141">
        <v>-1.7562959999999999E-2</v>
      </c>
      <c r="P4141">
        <v>-0.99284059999999996</v>
      </c>
      <c r="Q4141">
        <v>7.4695079999999997E-2</v>
      </c>
      <c r="R4141">
        <v>-9.3210349999999997E-2</v>
      </c>
      <c r="S4141">
        <v>-2.9787599999999999</v>
      </c>
      <c r="T4141">
        <v>-0.20234009999999999</v>
      </c>
      <c r="U4141">
        <v>-0.62338260000000001</v>
      </c>
      <c r="V4141">
        <v>-7.5938660000000005E-2</v>
      </c>
      <c r="W4141">
        <v>8.941122E-2</v>
      </c>
      <c r="X4141">
        <v>0.99309559999999997</v>
      </c>
      <c r="Y4141">
        <v>-0.18723999999999999</v>
      </c>
      <c r="Z4141">
        <v>-5.1057659999999899E-3</v>
      </c>
      <c r="AA4141">
        <v>0.98230090000000003</v>
      </c>
      <c r="AB4141">
        <v>44</v>
      </c>
      <c r="AC4141">
        <v>-15.8786</v>
      </c>
      <c r="AD4141">
        <v>-1.1106763338729999</v>
      </c>
      <c r="AE4141">
        <v>-3.4132999999999898</v>
      </c>
      <c r="AF4141">
        <v>-3.1192792567173901</v>
      </c>
      <c r="AG4141">
        <v>-1.1106763338729999</v>
      </c>
      <c r="AH4141">
        <v>15.861924470521799</v>
      </c>
      <c r="AI4141">
        <v>93.930366910257902</v>
      </c>
      <c r="AJ4141">
        <v>101.125366241381</v>
      </c>
      <c r="AK4141">
        <v>16.2038314268123</v>
      </c>
      <c r="AL4141">
        <v>84.870263863031894</v>
      </c>
      <c r="AM4141">
        <v>94.372705013597994</v>
      </c>
      <c r="AN4141">
        <v>0.99999995854192103</v>
      </c>
    </row>
    <row r="4142" spans="1:40" x14ac:dyDescent="0.25">
      <c r="A4142" t="str">
        <f>"20190312151356873"</f>
        <v>20190312151356873</v>
      </c>
      <c r="B4142" t="str">
        <f>"1552374836864220"</f>
        <v>1552374836864220</v>
      </c>
      <c r="C4142" t="s">
        <v>40</v>
      </c>
      <c r="D4142">
        <v>4.4492440000000002</v>
      </c>
      <c r="E4142">
        <v>0.45959440000000001</v>
      </c>
      <c r="F4142" t="s">
        <v>42</v>
      </c>
      <c r="G4142">
        <v>-355.3972</v>
      </c>
      <c r="H4142" s="1">
        <v>-2.0267660000000001E-6</v>
      </c>
      <c r="I4142">
        <v>139.22239999999999</v>
      </c>
      <c r="J4142">
        <v>-339.16899999999998</v>
      </c>
      <c r="K4142">
        <v>1.1106799999999999</v>
      </c>
      <c r="L4142">
        <v>142.7193</v>
      </c>
      <c r="M4142">
        <v>-0.99972150000000004</v>
      </c>
      <c r="N4142">
        <v>0</v>
      </c>
      <c r="O4142">
        <v>-1.8197899999999999E-2</v>
      </c>
      <c r="P4142">
        <v>-0.99262209999999995</v>
      </c>
      <c r="Q4142">
        <v>7.5440649999999998E-2</v>
      </c>
      <c r="R4142">
        <v>-9.4921749999999999E-2</v>
      </c>
      <c r="S4142">
        <v>-2.977722</v>
      </c>
      <c r="T4142">
        <v>-0.19884869999999999</v>
      </c>
      <c r="U4142">
        <v>-0.62741089999999999</v>
      </c>
      <c r="V4142">
        <v>-7.7022599999999997E-2</v>
      </c>
      <c r="W4142">
        <v>9.0217610000000004E-2</v>
      </c>
      <c r="X4142">
        <v>0.99293920000000002</v>
      </c>
      <c r="Y4142">
        <v>-0.18797</v>
      </c>
      <c r="Z4142">
        <v>-5.0011070000000003E-3</v>
      </c>
      <c r="AA4142">
        <v>0.98216210000000004</v>
      </c>
      <c r="AB4142">
        <v>44</v>
      </c>
      <c r="AC4142">
        <v>-16.228199999999902</v>
      </c>
      <c r="AD4142">
        <v>-1.11068202676599</v>
      </c>
      <c r="AE4142">
        <v>-3.4969000000000099</v>
      </c>
      <c r="AF4142">
        <v>-3.1867033861487402</v>
      </c>
      <c r="AG4142">
        <v>-1.11068202676599</v>
      </c>
      <c r="AH4142">
        <v>16.216563918512499</v>
      </c>
      <c r="AI4142">
        <v>93.844797788648407</v>
      </c>
      <c r="AJ4142">
        <v>101.11748642420901</v>
      </c>
      <c r="AK4142">
        <v>16.563986185670299</v>
      </c>
      <c r="AL4142">
        <v>84.8238737240153</v>
      </c>
      <c r="AM4142">
        <v>94.435569020280496</v>
      </c>
      <c r="AN4142">
        <v>0.999999976480755</v>
      </c>
    </row>
    <row r="4143" spans="1:40" x14ac:dyDescent="0.25">
      <c r="A4143" t="str">
        <f>"20190312151356894"</f>
        <v>20190312151356894</v>
      </c>
      <c r="B4143" t="str">
        <f>"1552374836884715"</f>
        <v>1552374836884715</v>
      </c>
      <c r="C4143" t="s">
        <v>40</v>
      </c>
      <c r="D4143">
        <v>4.4650119999999998</v>
      </c>
      <c r="E4143">
        <v>0.45955010000000002</v>
      </c>
      <c r="F4143" t="s">
        <v>42</v>
      </c>
      <c r="G4143">
        <v>-356.18740000000003</v>
      </c>
      <c r="H4143" s="1">
        <v>-1.7087320000000001E-6</v>
      </c>
      <c r="I4143">
        <v>139.10429999999999</v>
      </c>
      <c r="J4143">
        <v>-339.60550000000001</v>
      </c>
      <c r="K4143">
        <v>1.1106819999999999</v>
      </c>
      <c r="L4143">
        <v>142.71080000000001</v>
      </c>
      <c r="M4143">
        <v>-0.99970789999999998</v>
      </c>
      <c r="N4143">
        <v>0</v>
      </c>
      <c r="O4143">
        <v>-1.8883230000000001E-2</v>
      </c>
      <c r="P4143">
        <v>-0.992452</v>
      </c>
      <c r="Q4143">
        <v>7.5663019999999998E-2</v>
      </c>
      <c r="R4143">
        <v>-9.6513459999999995E-2</v>
      </c>
      <c r="S4143">
        <v>-2.9765630000000001</v>
      </c>
      <c r="T4143">
        <v>-0.1942624</v>
      </c>
      <c r="U4143">
        <v>-0.63226319999999903</v>
      </c>
      <c r="V4143">
        <v>-7.7935340000000006E-2</v>
      </c>
      <c r="W4143">
        <v>9.0496839999999995E-2</v>
      </c>
      <c r="X4143">
        <v>0.99284260000000002</v>
      </c>
      <c r="Y4143">
        <v>-0.18892210000000001</v>
      </c>
      <c r="Z4143">
        <v>-4.8735979999999998E-3</v>
      </c>
      <c r="AA4143">
        <v>0.98197999999999996</v>
      </c>
      <c r="AB4143">
        <v>44</v>
      </c>
      <c r="AC4143">
        <v>-16.581900000000001</v>
      </c>
      <c r="AD4143">
        <v>-1.1106837087319901</v>
      </c>
      <c r="AE4143">
        <v>-3.6065000000000098</v>
      </c>
      <c r="AF4143">
        <v>-3.2786559085231901</v>
      </c>
      <c r="AG4143">
        <v>-1.1106837087319901</v>
      </c>
      <c r="AH4143">
        <v>16.576042733598602</v>
      </c>
      <c r="AI4143">
        <v>93.760749653347602</v>
      </c>
      <c r="AJ4143">
        <v>101.18839485590701</v>
      </c>
      <c r="AK4143">
        <v>16.933646848018999</v>
      </c>
      <c r="AL4143">
        <v>84.807809494298397</v>
      </c>
      <c r="AM4143">
        <v>94.4883531815304</v>
      </c>
      <c r="AN4143">
        <v>1.00000001182283</v>
      </c>
    </row>
    <row r="4144" spans="1:40" x14ac:dyDescent="0.25">
      <c r="A4144" t="str">
        <f>"20190312151356916"</f>
        <v>20190312151356916</v>
      </c>
      <c r="B4144" t="str">
        <f>"1552374836904234"</f>
        <v>1552374836904234</v>
      </c>
      <c r="C4144" t="s">
        <v>40</v>
      </c>
      <c r="D4144">
        <v>4.4535</v>
      </c>
      <c r="E4144">
        <v>0.45954830000000002</v>
      </c>
      <c r="F4144" t="s">
        <v>42</v>
      </c>
      <c r="G4144">
        <v>-356.83960000000002</v>
      </c>
      <c r="H4144" s="1">
        <v>-1.444066E-6</v>
      </c>
      <c r="I4144">
        <v>139.01900000000001</v>
      </c>
      <c r="J4144">
        <v>-340.03640000000001</v>
      </c>
      <c r="K4144">
        <v>1.110681</v>
      </c>
      <c r="L4144">
        <v>142.7021</v>
      </c>
      <c r="M4144">
        <v>-0.99969419999999998</v>
      </c>
      <c r="N4144">
        <v>0</v>
      </c>
      <c r="O4144">
        <v>-1.9558840000000001E-2</v>
      </c>
      <c r="P4144">
        <v>-0.99220160000000002</v>
      </c>
      <c r="Q4144">
        <v>7.6123579999999996E-2</v>
      </c>
      <c r="R4144">
        <v>-9.8696710000000007E-2</v>
      </c>
      <c r="S4144">
        <v>-2.9754640000000001</v>
      </c>
      <c r="T4144">
        <v>-0.19175980000000001</v>
      </c>
      <c r="U4144">
        <v>-0.63737489999999997</v>
      </c>
      <c r="V4144">
        <v>-7.9451259999999996E-2</v>
      </c>
      <c r="W4144">
        <v>9.1003529999999999E-2</v>
      </c>
      <c r="X4144">
        <v>0.99267609999999995</v>
      </c>
      <c r="Y4144">
        <v>-0.1899537</v>
      </c>
      <c r="Z4144">
        <v>-4.8016980000000001E-3</v>
      </c>
      <c r="AA4144">
        <v>0.98178129999999997</v>
      </c>
      <c r="AB4144">
        <v>44</v>
      </c>
      <c r="AC4144">
        <v>-16.8032</v>
      </c>
      <c r="AD4144">
        <v>-1.1106824440659999</v>
      </c>
      <c r="AE4144">
        <v>-3.6830999999999898</v>
      </c>
      <c r="AF4144">
        <v>-3.3397835071749098</v>
      </c>
      <c r="AG4144">
        <v>-1.1106824440659999</v>
      </c>
      <c r="AH4144">
        <v>16.8019854168511</v>
      </c>
      <c r="AI4144">
        <v>93.709624931097807</v>
      </c>
      <c r="AJ4144">
        <v>101.242326619316</v>
      </c>
      <c r="AK4144">
        <v>17.166667798802099</v>
      </c>
      <c r="AL4144">
        <v>84.778657905735898</v>
      </c>
      <c r="AM4144">
        <v>94.576053121830199</v>
      </c>
      <c r="AN4144">
        <v>0.999999992349629</v>
      </c>
    </row>
    <row r="4145" spans="1:40" x14ac:dyDescent="0.25">
      <c r="A4145" t="str">
        <f>"20190312151356941"</f>
        <v>20190312151356941</v>
      </c>
      <c r="B4145" t="str">
        <f>"1552374836934491"</f>
        <v>1552374836934491</v>
      </c>
      <c r="C4145" t="s">
        <v>40</v>
      </c>
      <c r="D4145">
        <v>4.8215940000000002</v>
      </c>
      <c r="E4145">
        <v>0.45987470000000003</v>
      </c>
      <c r="F4145" t="s">
        <v>42</v>
      </c>
      <c r="G4145">
        <v>-357.52260000000001</v>
      </c>
      <c r="H4145" s="1">
        <v>-1.1691590000000001E-6</v>
      </c>
      <c r="I4145">
        <v>138.917</v>
      </c>
      <c r="J4145">
        <v>-340.49970000000002</v>
      </c>
      <c r="K4145">
        <v>1.1106860000000001</v>
      </c>
      <c r="L4145">
        <v>142.69239999999999</v>
      </c>
      <c r="M4145">
        <v>-0.99967890000000004</v>
      </c>
      <c r="N4145">
        <v>0</v>
      </c>
      <c r="O4145">
        <v>-2.0283510000000001E-2</v>
      </c>
      <c r="P4145">
        <v>-0.99196340000000005</v>
      </c>
      <c r="Q4145">
        <v>7.6194120000000004E-2</v>
      </c>
      <c r="R4145">
        <v>-0.10101110000000001</v>
      </c>
      <c r="S4145">
        <v>-2.97403</v>
      </c>
      <c r="T4145">
        <v>-0.1889043</v>
      </c>
      <c r="U4145">
        <v>-0.64375309999999997</v>
      </c>
      <c r="V4145">
        <v>-8.1048319999999993E-2</v>
      </c>
      <c r="W4145">
        <v>9.1116059999999999E-2</v>
      </c>
      <c r="X4145">
        <v>0.99253670000000005</v>
      </c>
      <c r="Y4145">
        <v>-0.19135949999999999</v>
      </c>
      <c r="Z4145">
        <v>-4.7302000000000004E-3</v>
      </c>
      <c r="AA4145">
        <v>0.98150859999999995</v>
      </c>
      <c r="AB4145">
        <v>44</v>
      </c>
      <c r="AC4145">
        <v>-17.0228999999999</v>
      </c>
      <c r="AD4145">
        <v>-1.1106871691589999</v>
      </c>
      <c r="AE4145">
        <v>-3.7753999999999901</v>
      </c>
      <c r="AF4145">
        <v>-3.4154408107821301</v>
      </c>
      <c r="AG4145">
        <v>-1.1106871691589999</v>
      </c>
      <c r="AH4145">
        <v>17.026896878278801</v>
      </c>
      <c r="AI4145">
        <v>93.659499343952902</v>
      </c>
      <c r="AJ4145">
        <v>101.342483473089</v>
      </c>
      <c r="AK4145">
        <v>17.401553931279601</v>
      </c>
      <c r="AL4145">
        <v>84.772183730080101</v>
      </c>
      <c r="AM4145">
        <v>94.668287158744704</v>
      </c>
      <c r="AN4145">
        <v>1.0000000337058099</v>
      </c>
    </row>
    <row r="4146" spans="1:40" x14ac:dyDescent="0.25">
      <c r="A4146" t="str">
        <f>"20190312151356961"</f>
        <v>20190312151356961</v>
      </c>
      <c r="B4146" t="str">
        <f>"1552374836954988"</f>
        <v>1552374836954988</v>
      </c>
      <c r="C4146" t="s">
        <v>40</v>
      </c>
      <c r="D4146">
        <v>4.4820849999999997</v>
      </c>
      <c r="E4146">
        <v>0.46008320000000003</v>
      </c>
      <c r="F4146" t="s">
        <v>42</v>
      </c>
      <c r="G4146">
        <v>-358.0052</v>
      </c>
      <c r="H4146" s="1">
        <v>-9.6924249999999998E-7</v>
      </c>
      <c r="I4146">
        <v>138.8768</v>
      </c>
      <c r="J4146">
        <v>-340.92320000000001</v>
      </c>
      <c r="K4146">
        <v>1.1106879999999999</v>
      </c>
      <c r="L4146">
        <v>142.6833</v>
      </c>
      <c r="M4146">
        <v>-0.99966480000000002</v>
      </c>
      <c r="N4146">
        <v>0</v>
      </c>
      <c r="O4146">
        <v>-2.0944569999999999E-2</v>
      </c>
      <c r="P4146">
        <v>-0.99174839999999997</v>
      </c>
      <c r="Q4146">
        <v>7.6039049999999997E-2</v>
      </c>
      <c r="R4146">
        <v>-0.1032155</v>
      </c>
      <c r="S4146">
        <v>-2.9728089999999998</v>
      </c>
      <c r="T4146">
        <v>-0.1886188</v>
      </c>
      <c r="U4146">
        <v>-0.64796450000000005</v>
      </c>
      <c r="V4146">
        <v>-8.2597729999999994E-2</v>
      </c>
      <c r="W4146">
        <v>9.0993560000000001E-2</v>
      </c>
      <c r="X4146">
        <v>0.99242019999999997</v>
      </c>
      <c r="Y4146">
        <v>-0.1921223</v>
      </c>
      <c r="Z4146">
        <v>-4.7067849999999998E-3</v>
      </c>
      <c r="AA4146">
        <v>0.98135969999999995</v>
      </c>
      <c r="AB4146">
        <v>44</v>
      </c>
      <c r="AC4146">
        <v>-17.081999999999901</v>
      </c>
      <c r="AD4146">
        <v>-1.1106889692424999</v>
      </c>
      <c r="AE4146">
        <v>-3.8065000000000002</v>
      </c>
      <c r="AF4146">
        <v>-3.4340169284845299</v>
      </c>
      <c r="AG4146">
        <v>-1.1106889692424999</v>
      </c>
      <c r="AH4146">
        <v>17.089156226936399</v>
      </c>
      <c r="AI4146">
        <v>93.645958973539194</v>
      </c>
      <c r="AJ4146">
        <v>101.362102432432</v>
      </c>
      <c r="AK4146">
        <v>17.466120427849798</v>
      </c>
      <c r="AL4146">
        <v>84.779231738273197</v>
      </c>
      <c r="AM4146">
        <v>94.757681451245702</v>
      </c>
      <c r="AN4146">
        <v>1.00000003316533</v>
      </c>
    </row>
    <row r="4147" spans="1:40" x14ac:dyDescent="0.25">
      <c r="A4147" t="str">
        <f>"20190312151356987"</f>
        <v>20190312151356987</v>
      </c>
      <c r="B4147" t="str">
        <f>"1552374836974508"</f>
        <v>1552374836974508</v>
      </c>
      <c r="C4147" t="s">
        <v>40</v>
      </c>
      <c r="D4147">
        <v>4.4745860000000004</v>
      </c>
      <c r="E4147">
        <v>0.46044259999999898</v>
      </c>
      <c r="F4147" t="s">
        <v>42</v>
      </c>
      <c r="G4147">
        <v>-358.25069999999999</v>
      </c>
      <c r="H4147" s="1">
        <v>-8.64048699999999E-7</v>
      </c>
      <c r="I4147">
        <v>138.87620000000001</v>
      </c>
      <c r="J4147">
        <v>-341.41090000000003</v>
      </c>
      <c r="K4147">
        <v>1.110695</v>
      </c>
      <c r="L4147">
        <v>142.67240000000001</v>
      </c>
      <c r="M4147">
        <v>-0.99964810000000004</v>
      </c>
      <c r="N4147">
        <v>0</v>
      </c>
      <c r="O4147">
        <v>-2.1704319999999999E-2</v>
      </c>
      <c r="P4147">
        <v>-0.99149580000000004</v>
      </c>
      <c r="Q4147">
        <v>7.624744E-2</v>
      </c>
      <c r="R4147">
        <v>-0.10546460000000001</v>
      </c>
      <c r="S4147">
        <v>-2.9715880000000001</v>
      </c>
      <c r="T4147">
        <v>-0.19047890000000001</v>
      </c>
      <c r="U4147">
        <v>-0.65287779999999995</v>
      </c>
      <c r="V4147">
        <v>-8.4096379999999998E-2</v>
      </c>
      <c r="W4147">
        <v>9.1232900000000006E-2</v>
      </c>
      <c r="X4147">
        <v>0.9922723</v>
      </c>
      <c r="Y4147">
        <v>-0.1930018</v>
      </c>
      <c r="Z4147">
        <v>-4.7340020000000002E-3</v>
      </c>
      <c r="AA4147">
        <v>0.98118700000000003</v>
      </c>
      <c r="AB4147">
        <v>44</v>
      </c>
      <c r="AC4147">
        <v>-16.839799999999901</v>
      </c>
      <c r="AD4147">
        <v>-1.1106958640486999</v>
      </c>
      <c r="AE4147">
        <v>-3.79619999999999</v>
      </c>
      <c r="AF4147">
        <v>-3.4156263007469301</v>
      </c>
      <c r="AG4147">
        <v>-1.1106958640486999</v>
      </c>
      <c r="AH4147">
        <v>16.848484862838699</v>
      </c>
      <c r="AI4147">
        <v>93.696646906710797</v>
      </c>
      <c r="AJ4147">
        <v>101.46003566600599</v>
      </c>
      <c r="AK4147">
        <v>17.227059833357298</v>
      </c>
      <c r="AL4147">
        <v>84.765461011473604</v>
      </c>
      <c r="AM4147">
        <v>94.844316099451206</v>
      </c>
      <c r="AN4147">
        <v>0.99999998025940195</v>
      </c>
    </row>
    <row r="4148" spans="1:40" x14ac:dyDescent="0.25">
      <c r="A4148" t="str">
        <f>"20190312151357007"</f>
        <v>20190312151357007</v>
      </c>
      <c r="B4148" t="str">
        <f>"1552374837004763"</f>
        <v>1552374837004763</v>
      </c>
      <c r="C4148" t="s">
        <v>40</v>
      </c>
      <c r="D4148">
        <v>4.5366369999999998</v>
      </c>
      <c r="E4148">
        <v>0.46084969999999997</v>
      </c>
      <c r="F4148" t="s">
        <v>42</v>
      </c>
      <c r="G4148">
        <v>-358.71269999999998</v>
      </c>
      <c r="H4148" s="1">
        <v>-6.7119029999999999E-7</v>
      </c>
      <c r="I4148">
        <v>138.846</v>
      </c>
      <c r="J4148">
        <v>-341.82499999999999</v>
      </c>
      <c r="K4148">
        <v>1.1107009999999999</v>
      </c>
      <c r="L4148">
        <v>142.66290000000001</v>
      </c>
      <c r="M4148">
        <v>-0.99963349999999995</v>
      </c>
      <c r="N4148">
        <v>0</v>
      </c>
      <c r="O4148">
        <v>-2.234802E-2</v>
      </c>
      <c r="P4148">
        <v>-0.99124369999999995</v>
      </c>
      <c r="Q4148">
        <v>7.6802980000000007E-2</v>
      </c>
      <c r="R4148">
        <v>-0.1074113</v>
      </c>
      <c r="S4148">
        <v>-2.9704899999999999</v>
      </c>
      <c r="T4148">
        <v>-0.1906919</v>
      </c>
      <c r="U4148">
        <v>-0.65692139999999999</v>
      </c>
      <c r="V4148">
        <v>-8.540855E-2</v>
      </c>
      <c r="W4148">
        <v>9.1808390000000004E-2</v>
      </c>
      <c r="X4148">
        <v>0.99210719999999997</v>
      </c>
      <c r="Y4148">
        <v>-0.1937188</v>
      </c>
      <c r="Z4148">
        <v>-4.7222929999999998E-3</v>
      </c>
      <c r="AA4148">
        <v>0.98104570000000002</v>
      </c>
      <c r="AB4148">
        <v>44</v>
      </c>
      <c r="AC4148">
        <v>-16.887699999999899</v>
      </c>
      <c r="AD4148">
        <v>-1.1107016711902999</v>
      </c>
      <c r="AE4148">
        <v>-3.8169</v>
      </c>
      <c r="AF4148">
        <v>-3.4244028632213301</v>
      </c>
      <c r="AG4148">
        <v>-1.1107016711902999</v>
      </c>
      <c r="AH4148">
        <v>16.899243578558</v>
      </c>
      <c r="AI4148">
        <v>93.685657578488701</v>
      </c>
      <c r="AJ4148">
        <v>101.45510655987501</v>
      </c>
      <c r="AK4148">
        <v>17.278443989533798</v>
      </c>
      <c r="AL4148">
        <v>84.732349257536896</v>
      </c>
      <c r="AM4148">
        <v>94.920349315250704</v>
      </c>
      <c r="AN4148">
        <v>1.0000000485896601</v>
      </c>
    </row>
    <row r="4149" spans="1:40" x14ac:dyDescent="0.25">
      <c r="A4149" t="str">
        <f>"20190312151357028"</f>
        <v>20190312151357028</v>
      </c>
      <c r="B4149" t="str">
        <f>"1552374837024283"</f>
        <v>1552374837024283</v>
      </c>
      <c r="C4149" t="s">
        <v>40</v>
      </c>
      <c r="D4149">
        <v>4.4961229999999999</v>
      </c>
      <c r="E4149">
        <v>0.4611808</v>
      </c>
      <c r="F4149" t="s">
        <v>42</v>
      </c>
      <c r="G4149">
        <v>-358.87549999999999</v>
      </c>
      <c r="H4149" s="1">
        <v>-5.9643389999999996E-7</v>
      </c>
      <c r="I4149">
        <v>138.87389999999999</v>
      </c>
      <c r="J4149">
        <v>-342.2208</v>
      </c>
      <c r="K4149">
        <v>1.1107089999999999</v>
      </c>
      <c r="L4149">
        <v>142.65350000000001</v>
      </c>
      <c r="M4149">
        <v>-0.99961920000000004</v>
      </c>
      <c r="N4149">
        <v>0</v>
      </c>
      <c r="O4149">
        <v>-2.2962730000000001E-2</v>
      </c>
      <c r="P4149">
        <v>-0.99097360000000001</v>
      </c>
      <c r="Q4149">
        <v>7.7424220000000002E-2</v>
      </c>
      <c r="R4149">
        <v>-0.10943840000000001</v>
      </c>
      <c r="S4149">
        <v>-2.9700009999999999</v>
      </c>
      <c r="T4149">
        <v>-0.19347230000000001</v>
      </c>
      <c r="U4149">
        <v>-0.65998840000000003</v>
      </c>
      <c r="V4149">
        <v>-8.6830589999999999E-2</v>
      </c>
      <c r="W4149">
        <v>9.244463E-2</v>
      </c>
      <c r="X4149">
        <v>0.99192460000000005</v>
      </c>
      <c r="Y4149">
        <v>-0.19410569999999999</v>
      </c>
      <c r="Z4149">
        <v>-4.7642179999999998E-3</v>
      </c>
      <c r="AA4149">
        <v>0.98096910000000004</v>
      </c>
      <c r="AB4149">
        <v>44</v>
      </c>
      <c r="AC4149">
        <v>-16.654699999999899</v>
      </c>
      <c r="AD4149">
        <v>-1.11070959643389</v>
      </c>
      <c r="AE4149">
        <v>-3.7796000000000101</v>
      </c>
      <c r="AF4149">
        <v>-3.3818166687161</v>
      </c>
      <c r="AG4149">
        <v>-1.11070959643389</v>
      </c>
      <c r="AH4149">
        <v>16.666611513960301</v>
      </c>
      <c r="AI4149">
        <v>93.736785409456502</v>
      </c>
      <c r="AJ4149">
        <v>101.470142315789</v>
      </c>
      <c r="AK4149">
        <v>17.042485122355</v>
      </c>
      <c r="AL4149">
        <v>84.695739372734906</v>
      </c>
      <c r="AM4149">
        <v>95.002776302723404</v>
      </c>
      <c r="AN4149">
        <v>0.99999998653037203</v>
      </c>
    </row>
    <row r="4150" spans="1:40" x14ac:dyDescent="0.25">
      <c r="A4150" t="str">
        <f>"20190312151357050"</f>
        <v>20190312151357050</v>
      </c>
      <c r="B4150" t="str">
        <f>"1552374837044779"</f>
        <v>1552374837044779</v>
      </c>
      <c r="C4150" t="s">
        <v>40</v>
      </c>
      <c r="D4150">
        <v>4.4756320000000001</v>
      </c>
      <c r="E4150">
        <v>0.46114860000000002</v>
      </c>
      <c r="F4150" t="s">
        <v>42</v>
      </c>
      <c r="G4150">
        <v>-359.07479999999998</v>
      </c>
      <c r="H4150" s="1">
        <v>-5.087263E-7</v>
      </c>
      <c r="I4150">
        <v>138.8861</v>
      </c>
      <c r="J4150">
        <v>-342.66609999999997</v>
      </c>
      <c r="K4150">
        <v>1.1107089999999999</v>
      </c>
      <c r="L4150">
        <v>142.64269999999999</v>
      </c>
      <c r="M4150">
        <v>-0.99960289999999996</v>
      </c>
      <c r="N4150">
        <v>0</v>
      </c>
      <c r="O4150">
        <v>-2.365397E-2</v>
      </c>
      <c r="P4150">
        <v>-0.9907975</v>
      </c>
      <c r="Q4150">
        <v>7.7361650000000004E-2</v>
      </c>
      <c r="R4150">
        <v>-0.1110656</v>
      </c>
      <c r="S4150">
        <v>-2.96936</v>
      </c>
      <c r="T4150">
        <v>-0.195686</v>
      </c>
      <c r="U4150">
        <v>-0.66372679999999995</v>
      </c>
      <c r="V4150">
        <v>-8.7774539999999998E-2</v>
      </c>
      <c r="W4150">
        <v>9.2398579999999994E-2</v>
      </c>
      <c r="X4150">
        <v>0.9918458</v>
      </c>
      <c r="Y4150">
        <v>-0.19464119999999999</v>
      </c>
      <c r="Z4150">
        <v>-4.7915060000000001E-3</v>
      </c>
      <c r="AA4150">
        <v>0.98086280000000003</v>
      </c>
      <c r="AB4150">
        <v>44</v>
      </c>
      <c r="AC4150">
        <v>-16.4087</v>
      </c>
      <c r="AD4150">
        <v>-1.1107095087262999</v>
      </c>
      <c r="AE4150">
        <v>-3.7565999999999899</v>
      </c>
      <c r="AF4150">
        <v>-3.3527750193059802</v>
      </c>
      <c r="AG4150">
        <v>-1.1107095087262999</v>
      </c>
      <c r="AH4150">
        <v>16.4214813007695</v>
      </c>
      <c r="AI4150">
        <v>93.791472692312098</v>
      </c>
      <c r="AJ4150">
        <v>101.539485162924</v>
      </c>
      <c r="AK4150">
        <v>16.797018308449299</v>
      </c>
      <c r="AL4150">
        <v>84.698389145829196</v>
      </c>
      <c r="AM4150">
        <v>95.057281513197594</v>
      </c>
      <c r="AN4150">
        <v>0.99999997921793304</v>
      </c>
    </row>
    <row r="4151" spans="1:40" x14ac:dyDescent="0.25">
      <c r="A4151" t="str">
        <f>"20190312151357072"</f>
        <v>20190312151357072</v>
      </c>
      <c r="B4151" t="str">
        <f>"1552374837064302"</f>
        <v>1552374837064302</v>
      </c>
      <c r="C4151" t="s">
        <v>40</v>
      </c>
      <c r="D4151">
        <v>4.4146720000000004</v>
      </c>
      <c r="E4151">
        <v>0.4396062</v>
      </c>
      <c r="F4151" t="s">
        <v>42</v>
      </c>
      <c r="G4151">
        <v>-359.42529999999999</v>
      </c>
      <c r="H4151" s="1">
        <v>-3.8164890000000001E-7</v>
      </c>
      <c r="I4151">
        <v>138.86449999999999</v>
      </c>
      <c r="J4151">
        <v>-343.09550000000002</v>
      </c>
      <c r="K4151">
        <v>1.110716</v>
      </c>
      <c r="L4151">
        <v>142.6319</v>
      </c>
      <c r="M4151">
        <v>-0.99958659999999999</v>
      </c>
      <c r="N4151">
        <v>0</v>
      </c>
      <c r="O4151">
        <v>-2.4320020000000001E-2</v>
      </c>
      <c r="P4151">
        <v>-0.99057759999999995</v>
      </c>
      <c r="Q4151">
        <v>7.7684030000000001E-2</v>
      </c>
      <c r="R4151">
        <v>-0.1127901</v>
      </c>
      <c r="S4151">
        <v>-2.9682010000000001</v>
      </c>
      <c r="T4151">
        <v>-0.19671730000000001</v>
      </c>
      <c r="U4151">
        <v>-0.66912839999999996</v>
      </c>
      <c r="V4151">
        <v>-8.8841519999999993E-2</v>
      </c>
      <c r="W4151">
        <v>9.2732350000000005E-2</v>
      </c>
      <c r="X4151">
        <v>0.99171969999999998</v>
      </c>
      <c r="Y4151">
        <v>-0.19576360000000001</v>
      </c>
      <c r="Z4151">
        <v>-4.8108079999999998E-3</v>
      </c>
      <c r="AA4151">
        <v>0.98063929999999999</v>
      </c>
      <c r="AB4151">
        <v>44</v>
      </c>
      <c r="AC4151">
        <v>-16.329799999999899</v>
      </c>
      <c r="AD4151">
        <v>-1.1107163816488901</v>
      </c>
      <c r="AE4151">
        <v>-3.7673999999999999</v>
      </c>
      <c r="AF4151">
        <v>-3.3543632388363802</v>
      </c>
      <c r="AG4151">
        <v>-1.1107163816488901</v>
      </c>
      <c r="AH4151">
        <v>16.344806483783199</v>
      </c>
      <c r="AI4151">
        <v>93.808442959963699</v>
      </c>
      <c r="AJ4151">
        <v>101.597498413588</v>
      </c>
      <c r="AK4151">
        <v>16.7223844774255</v>
      </c>
      <c r="AL4151">
        <v>84.679183365412399</v>
      </c>
      <c r="AM4151">
        <v>95.119080166755595</v>
      </c>
      <c r="AN4151">
        <v>1.0000000338902599</v>
      </c>
    </row>
    <row r="4152" spans="1:40" x14ac:dyDescent="0.25">
      <c r="A4152" t="str">
        <f>"20190312151357095"</f>
        <v>20190312151357095</v>
      </c>
      <c r="B4152" t="str">
        <f>"1552374837084795"</f>
        <v>1552374837084795</v>
      </c>
      <c r="C4152" t="s">
        <v>40</v>
      </c>
      <c r="D4152">
        <v>4.4347789999999998</v>
      </c>
      <c r="E4152">
        <v>0.43688189999999999</v>
      </c>
      <c r="F4152" t="s">
        <v>42</v>
      </c>
      <c r="G4152">
        <v>-354.02350000000001</v>
      </c>
      <c r="H4152" s="1">
        <v>-2.5704029999999999E-6</v>
      </c>
      <c r="I4152">
        <v>139.47989999999999</v>
      </c>
      <c r="J4152">
        <v>-343.53640000000001</v>
      </c>
      <c r="K4152">
        <v>1.1107260000000001</v>
      </c>
      <c r="L4152">
        <v>142.6206</v>
      </c>
      <c r="M4152">
        <v>-0.99956970000000001</v>
      </c>
      <c r="N4152">
        <v>0</v>
      </c>
      <c r="O4152">
        <v>-2.5004060000000002E-2</v>
      </c>
      <c r="P4152">
        <v>-0.99038400000000004</v>
      </c>
      <c r="Q4152">
        <v>7.7933970000000005E-2</v>
      </c>
      <c r="R4152">
        <v>-0.1143064</v>
      </c>
      <c r="S4152">
        <v>-2.9550480000000001</v>
      </c>
      <c r="T4152">
        <v>-0.3003517</v>
      </c>
      <c r="U4152">
        <v>-0.85232540000000001</v>
      </c>
      <c r="V4152">
        <v>-8.9682940000000003E-2</v>
      </c>
      <c r="W4152">
        <v>9.2992039999999998E-2</v>
      </c>
      <c r="X4152">
        <v>0.99161960000000005</v>
      </c>
      <c r="Y4152">
        <v>-0.25194119999999998</v>
      </c>
      <c r="Z4152">
        <v>-1.003502E-2</v>
      </c>
      <c r="AA4152">
        <v>0.96769050000000001</v>
      </c>
      <c r="AB4152">
        <v>44</v>
      </c>
      <c r="AC4152">
        <v>-10.4870999999999</v>
      </c>
      <c r="AD4152">
        <v>-1.1107285704029899</v>
      </c>
      <c r="AE4152">
        <v>-3.1406999999999998</v>
      </c>
      <c r="AF4152">
        <v>-2.8481468606427298</v>
      </c>
      <c r="AG4152">
        <v>-1.1107285704029899</v>
      </c>
      <c r="AH4152">
        <v>10.454734400488499</v>
      </c>
      <c r="AI4152">
        <v>95.852716540031295</v>
      </c>
      <c r="AJ4152">
        <v>105.239078338924</v>
      </c>
      <c r="AK4152">
        <v>10.8925263314649</v>
      </c>
      <c r="AL4152">
        <v>84.664239418703602</v>
      </c>
      <c r="AM4152">
        <v>95.167820636701606</v>
      </c>
      <c r="AN4152">
        <v>0.99999999016728203</v>
      </c>
    </row>
    <row r="4153" spans="1:40" x14ac:dyDescent="0.25">
      <c r="A4153" t="str">
        <f>"20190312151357117"</f>
        <v>20190312151357117</v>
      </c>
      <c r="B4153" t="str">
        <f>"1552374837104314"</f>
        <v>1552374837104314</v>
      </c>
      <c r="C4153" t="s">
        <v>40</v>
      </c>
      <c r="D4153">
        <v>4.4806179999999998</v>
      </c>
      <c r="E4153">
        <v>0.43504579999999998</v>
      </c>
      <c r="F4153" t="s">
        <v>42</v>
      </c>
      <c r="G4153">
        <v>-353.84100000000001</v>
      </c>
      <c r="H4153" s="1">
        <v>-2.6361859999999999E-6</v>
      </c>
      <c r="I4153">
        <v>139.55029999999999</v>
      </c>
      <c r="J4153">
        <v>-343.95769999999999</v>
      </c>
      <c r="K4153">
        <v>1.110727</v>
      </c>
      <c r="L4153">
        <v>142.6095</v>
      </c>
      <c r="M4153">
        <v>-0.99955289999999997</v>
      </c>
      <c r="N4153">
        <v>0</v>
      </c>
      <c r="O4153">
        <v>-2.5657800000000001E-2</v>
      </c>
      <c r="P4153">
        <v>-0.99017880000000003</v>
      </c>
      <c r="Q4153">
        <v>7.843087E-2</v>
      </c>
      <c r="R4153">
        <v>-0.11573550000000001</v>
      </c>
      <c r="S4153">
        <v>-2.9526059999999998</v>
      </c>
      <c r="T4153">
        <v>-0.31825940000000003</v>
      </c>
      <c r="U4153">
        <v>-0.87971499999999903</v>
      </c>
      <c r="V4153">
        <v>-9.0467800000000001E-2</v>
      </c>
      <c r="W4153">
        <v>9.3496250000000003E-2</v>
      </c>
      <c r="X4153">
        <v>0.99150090000000002</v>
      </c>
      <c r="Y4153">
        <v>-0.2596116</v>
      </c>
      <c r="Z4153">
        <v>-1.0960030000000001E-2</v>
      </c>
      <c r="AA4153">
        <v>0.96565089999999998</v>
      </c>
      <c r="AB4153">
        <v>44</v>
      </c>
      <c r="AC4153">
        <v>-9.8833000000000197</v>
      </c>
      <c r="AD4153">
        <v>-1.110729636186</v>
      </c>
      <c r="AE4153">
        <v>-3.0592000000000001</v>
      </c>
      <c r="AF4153">
        <v>-2.7726218527556701</v>
      </c>
      <c r="AG4153">
        <v>-1.110729636186</v>
      </c>
      <c r="AH4153">
        <v>9.8450730893137202</v>
      </c>
      <c r="AI4153">
        <v>96.197832026159801</v>
      </c>
      <c r="AJ4153">
        <v>105.728563766463</v>
      </c>
      <c r="AK4153">
        <v>10.2881784780887</v>
      </c>
      <c r="AL4153">
        <v>84.635223970312694</v>
      </c>
      <c r="AM4153">
        <v>95.213419341724602</v>
      </c>
      <c r="AN4153">
        <v>1.00000000315085</v>
      </c>
    </row>
    <row r="4154" spans="1:40" x14ac:dyDescent="0.25">
      <c r="A4154" t="str">
        <f>"20190312151357139"</f>
        <v>20190312151357139</v>
      </c>
      <c r="B4154" t="str">
        <f>"1552374837134572"</f>
        <v>1552374837134572</v>
      </c>
      <c r="C4154" t="s">
        <v>40</v>
      </c>
      <c r="D4154">
        <v>4.4080830000000004</v>
      </c>
      <c r="E4154">
        <v>0.43391150000000001</v>
      </c>
      <c r="F4154" t="s">
        <v>42</v>
      </c>
      <c r="G4154">
        <v>-353.53699999999998</v>
      </c>
      <c r="H4154" s="1">
        <v>-2.7739420000000001E-6</v>
      </c>
      <c r="I4154">
        <v>139.68790000000001</v>
      </c>
      <c r="J4154">
        <v>-344.38839999999999</v>
      </c>
      <c r="K4154">
        <v>1.1107260000000001</v>
      </c>
      <c r="L4154">
        <v>142.59790000000001</v>
      </c>
      <c r="M4154">
        <v>-0.99953539999999996</v>
      </c>
      <c r="N4154">
        <v>0</v>
      </c>
      <c r="O4154">
        <v>-2.6326660000000002E-2</v>
      </c>
      <c r="P4154">
        <v>-0.98998569999999997</v>
      </c>
      <c r="Q4154">
        <v>7.8518169999999998E-2</v>
      </c>
      <c r="R4154">
        <v>-0.1173169</v>
      </c>
      <c r="S4154">
        <v>-2.95166</v>
      </c>
      <c r="T4154">
        <v>-0.342248</v>
      </c>
      <c r="U4154">
        <v>-0.90022279999999999</v>
      </c>
      <c r="V4154">
        <v>-9.1389360000000003E-2</v>
      </c>
      <c r="W4154">
        <v>9.3588350000000001E-2</v>
      </c>
      <c r="X4154">
        <v>0.9914077</v>
      </c>
      <c r="Y4154">
        <v>-0.26497659999999901</v>
      </c>
      <c r="Z4154">
        <v>-1.2001090000000001E-2</v>
      </c>
      <c r="AA4154">
        <v>0.96418020000000004</v>
      </c>
      <c r="AB4154">
        <v>44</v>
      </c>
      <c r="AC4154">
        <v>-9.1485999999999805</v>
      </c>
      <c r="AD4154">
        <v>-1.110728773942</v>
      </c>
      <c r="AE4154">
        <v>-2.9099999999999899</v>
      </c>
      <c r="AF4154">
        <v>-2.6328671413889499</v>
      </c>
      <c r="AG4154">
        <v>-1.110728773942</v>
      </c>
      <c r="AH4154">
        <v>9.1002323953063904</v>
      </c>
      <c r="AI4154">
        <v>96.687199579875397</v>
      </c>
      <c r="AJ4154">
        <v>106.136143525026</v>
      </c>
      <c r="AK4154">
        <v>9.5383403924399897</v>
      </c>
      <c r="AL4154">
        <v>84.629923831628503</v>
      </c>
      <c r="AM4154">
        <v>95.266721580309905</v>
      </c>
      <c r="AN4154">
        <v>1.00000001099811</v>
      </c>
    </row>
    <row r="4155" spans="1:40" x14ac:dyDescent="0.25">
      <c r="A4155" t="str">
        <f>"20190312151357163"</f>
        <v>20190312151357163</v>
      </c>
      <c r="B4155" t="str">
        <f>"1552374837154092"</f>
        <v>1552374837154092</v>
      </c>
      <c r="C4155" t="s">
        <v>40</v>
      </c>
      <c r="D4155">
        <v>4.4673379999999998</v>
      </c>
      <c r="E4155">
        <v>0.4338651</v>
      </c>
      <c r="F4155" t="s">
        <v>42</v>
      </c>
      <c r="G4155">
        <v>-354.04820000000001</v>
      </c>
      <c r="H4155" s="1">
        <v>-2.537699E-6</v>
      </c>
      <c r="I4155">
        <v>139.6046</v>
      </c>
      <c r="J4155">
        <v>-344.86020000000002</v>
      </c>
      <c r="K4155">
        <v>1.110727</v>
      </c>
      <c r="L4155">
        <v>142.5848</v>
      </c>
      <c r="M4155">
        <v>-0.99951559999999995</v>
      </c>
      <c r="N4155">
        <v>0</v>
      </c>
      <c r="O4155">
        <v>-2.7059529999999998E-2</v>
      </c>
      <c r="P4155">
        <v>-0.98982250000000005</v>
      </c>
      <c r="Q4155">
        <v>7.8533809999999996E-2</v>
      </c>
      <c r="R4155">
        <v>-0.1186753</v>
      </c>
      <c r="S4155">
        <v>-2.948944</v>
      </c>
      <c r="T4155">
        <v>-0.33908529999999998</v>
      </c>
      <c r="U4155">
        <v>-0.91377260000000005</v>
      </c>
      <c r="V4155">
        <v>-9.2023099999999997E-2</v>
      </c>
      <c r="W4155">
        <v>9.3609230000000002E-2</v>
      </c>
      <c r="X4155">
        <v>0.99134710000000004</v>
      </c>
      <c r="Y4155">
        <v>-0.2685727</v>
      </c>
      <c r="Z4155">
        <v>-1.2013029999999999E-2</v>
      </c>
      <c r="AA4155">
        <v>0.9631845</v>
      </c>
      <c r="AB4155">
        <v>44</v>
      </c>
      <c r="AC4155">
        <v>-9.1879999999999793</v>
      </c>
      <c r="AD4155">
        <v>-1.1107295376989901</v>
      </c>
      <c r="AE4155">
        <v>-2.9801999999999902</v>
      </c>
      <c r="AF4155">
        <v>-2.6948224266023901</v>
      </c>
      <c r="AG4155">
        <v>-1.1107295376989901</v>
      </c>
      <c r="AH4155">
        <v>9.1443709251403096</v>
      </c>
      <c r="AI4155">
        <v>96.645677768392602</v>
      </c>
      <c r="AJ4155">
        <v>106.42010875406601</v>
      </c>
      <c r="AK4155">
        <v>9.5976719902999204</v>
      </c>
      <c r="AL4155">
        <v>84.628722192561497</v>
      </c>
      <c r="AM4155">
        <v>95.303358499173797</v>
      </c>
      <c r="AN4155">
        <v>1.0000000057766001</v>
      </c>
    </row>
    <row r="4156" spans="1:40" x14ac:dyDescent="0.25">
      <c r="A4156" t="str">
        <f>"20190312151357186"</f>
        <v>20190312151357186</v>
      </c>
      <c r="B4156" t="str">
        <f>"1552374837174588"</f>
        <v>1552374837174588</v>
      </c>
      <c r="C4156" t="s">
        <v>40</v>
      </c>
      <c r="D4156">
        <v>4.4926170000000001</v>
      </c>
      <c r="E4156">
        <v>0.434054</v>
      </c>
      <c r="F4156" t="s">
        <v>42</v>
      </c>
      <c r="G4156">
        <v>-354.51530000000002</v>
      </c>
      <c r="H4156" s="1">
        <v>-2.3421130000000001E-6</v>
      </c>
      <c r="I4156">
        <v>139.57759999999999</v>
      </c>
      <c r="J4156">
        <v>-345.30220000000003</v>
      </c>
      <c r="K4156">
        <v>1.1107320000000001</v>
      </c>
      <c r="L4156">
        <v>142.57230000000001</v>
      </c>
      <c r="M4156">
        <v>-0.99949679999999996</v>
      </c>
      <c r="N4156">
        <v>0</v>
      </c>
      <c r="O4156">
        <v>-2.7747310000000001E-2</v>
      </c>
      <c r="P4156">
        <v>-0.98966520000000002</v>
      </c>
      <c r="Q4156">
        <v>7.8758899999999896E-2</v>
      </c>
      <c r="R4156">
        <v>-0.1198341</v>
      </c>
      <c r="S4156">
        <v>-2.9476619999999998</v>
      </c>
      <c r="T4156">
        <v>-0.33910359999999901</v>
      </c>
      <c r="U4156">
        <v>-0.91809079999999998</v>
      </c>
      <c r="V4156">
        <v>-9.2502310000000004E-2</v>
      </c>
      <c r="W4156">
        <v>9.3837580000000004E-2</v>
      </c>
      <c r="X4156">
        <v>0.99128090000000002</v>
      </c>
      <c r="Y4156">
        <v>-0.26931440000000001</v>
      </c>
      <c r="Z4156">
        <v>-1.198079E-2</v>
      </c>
      <c r="AA4156">
        <v>0.96297779999999999</v>
      </c>
      <c r="AB4156">
        <v>43</v>
      </c>
      <c r="AC4156">
        <v>-9.2130999999999901</v>
      </c>
      <c r="AD4156">
        <v>-1.110734342113</v>
      </c>
      <c r="AE4156">
        <v>-2.9947000000000199</v>
      </c>
      <c r="AF4156">
        <v>-2.7023530028937901</v>
      </c>
      <c r="AG4156">
        <v>-1.110734342113</v>
      </c>
      <c r="AH4156">
        <v>9.1720816988048597</v>
      </c>
      <c r="AI4156">
        <v>96.625930386186695</v>
      </c>
      <c r="AJ4156">
        <v>106.416454839216</v>
      </c>
      <c r="AK4156">
        <v>9.6261895483389104</v>
      </c>
      <c r="AL4156">
        <v>84.615580802598402</v>
      </c>
      <c r="AM4156">
        <v>95.331170979707593</v>
      </c>
      <c r="AN4156">
        <v>0.99999999574020104</v>
      </c>
    </row>
    <row r="4157" spans="1:40" x14ac:dyDescent="0.25">
      <c r="A4157" t="str">
        <f>"20190312151357206"</f>
        <v>20190312151357206</v>
      </c>
      <c r="B4157" t="str">
        <f>"1552374837194107"</f>
        <v>1552374837194107</v>
      </c>
      <c r="C4157" t="s">
        <v>40</v>
      </c>
      <c r="D4157">
        <v>4.4432210000000003</v>
      </c>
      <c r="E4157">
        <v>0.43412210000000001</v>
      </c>
      <c r="F4157" t="s">
        <v>42</v>
      </c>
      <c r="G4157">
        <v>-354.96839999999997</v>
      </c>
      <c r="H4157" s="1">
        <v>-2.1519550000000001E-6</v>
      </c>
      <c r="I4157">
        <v>139.55369999999999</v>
      </c>
      <c r="J4157">
        <v>-345.69830000000002</v>
      </c>
      <c r="K4157">
        <v>1.110743</v>
      </c>
      <c r="L4157">
        <v>142.5608</v>
      </c>
      <c r="M4157">
        <v>-0.99947940000000002</v>
      </c>
      <c r="N4157">
        <v>0</v>
      </c>
      <c r="O4157">
        <v>-2.8363340000000001E-2</v>
      </c>
      <c r="P4157">
        <v>-0.98942470000000005</v>
      </c>
      <c r="Q4157">
        <v>7.9686599999999996E-2</v>
      </c>
      <c r="R4157">
        <v>-0.1211975</v>
      </c>
      <c r="S4157">
        <v>-2.9468380000000001</v>
      </c>
      <c r="T4157">
        <v>-0.33862130000000001</v>
      </c>
      <c r="U4157">
        <v>-0.92024229999999996</v>
      </c>
      <c r="V4157">
        <v>-9.3261700000000003E-2</v>
      </c>
      <c r="W4157">
        <v>9.4764689999999999E-2</v>
      </c>
      <c r="X4157">
        <v>0.99112149999999999</v>
      </c>
      <c r="Y4157">
        <v>-0.26944499999999999</v>
      </c>
      <c r="Z4157">
        <v>-1.190431E-2</v>
      </c>
      <c r="AA4157">
        <v>0.96294219999999997</v>
      </c>
      <c r="AB4157">
        <v>43</v>
      </c>
      <c r="AC4157">
        <v>-9.2700999999999496</v>
      </c>
      <c r="AD4157">
        <v>-1.110745151955</v>
      </c>
      <c r="AE4157">
        <v>-3.0070999999999999</v>
      </c>
      <c r="AF4157">
        <v>-2.7077541293712302</v>
      </c>
      <c r="AG4157">
        <v>-1.110745151955</v>
      </c>
      <c r="AH4157">
        <v>9.2317507737472599</v>
      </c>
      <c r="AI4157">
        <v>96.585874518042502</v>
      </c>
      <c r="AJ4157">
        <v>106.34687946624</v>
      </c>
      <c r="AK4157">
        <v>9.6845706960247693</v>
      </c>
      <c r="AL4157">
        <v>84.5622233373862</v>
      </c>
      <c r="AM4157">
        <v>95.375540858052801</v>
      </c>
      <c r="AN4157">
        <v>0.999999959459967</v>
      </c>
    </row>
    <row r="4158" spans="1:40" x14ac:dyDescent="0.25">
      <c r="A4158" t="str">
        <f>"20190312151357228"</f>
        <v>20190312151357228</v>
      </c>
      <c r="B4158" t="str">
        <f>"1552374837224364"</f>
        <v>1552374837224364</v>
      </c>
      <c r="C4158" t="s">
        <v>40</v>
      </c>
      <c r="D4158">
        <v>4.4305750000000002</v>
      </c>
      <c r="E4158">
        <v>0.43403659999999999</v>
      </c>
      <c r="F4158" t="s">
        <v>42</v>
      </c>
      <c r="G4158">
        <v>-355.44740000000002</v>
      </c>
      <c r="H4158" s="1">
        <v>-1.9555429999999999E-6</v>
      </c>
      <c r="I4158">
        <v>139.5025</v>
      </c>
      <c r="J4158">
        <v>-346.11689999999999</v>
      </c>
      <c r="K4158">
        <v>1.110749</v>
      </c>
      <c r="L4158">
        <v>142.54830000000001</v>
      </c>
      <c r="M4158">
        <v>-0.99946069999999998</v>
      </c>
      <c r="N4158">
        <v>0</v>
      </c>
      <c r="O4158">
        <v>-2.9014640000000001E-2</v>
      </c>
      <c r="P4158">
        <v>-0.9891934</v>
      </c>
      <c r="Q4158">
        <v>8.0194150000000006E-2</v>
      </c>
      <c r="R4158">
        <v>-0.1227413</v>
      </c>
      <c r="S4158">
        <v>-2.9459230000000001</v>
      </c>
      <c r="T4158">
        <v>-0.33564070000000001</v>
      </c>
      <c r="U4158">
        <v>-0.9241028</v>
      </c>
      <c r="V4158">
        <v>-9.4165429999999994E-2</v>
      </c>
      <c r="W4158">
        <v>9.5271190000000006E-2</v>
      </c>
      <c r="X4158">
        <v>0.99098750000000002</v>
      </c>
      <c r="Y4158">
        <v>-0.27007730000000002</v>
      </c>
      <c r="Z4158">
        <v>-1.1764409999999999E-2</v>
      </c>
      <c r="AA4158">
        <v>0.96276680000000003</v>
      </c>
      <c r="AB4158">
        <v>43</v>
      </c>
      <c r="AC4158">
        <v>-9.3305000000000202</v>
      </c>
      <c r="AD4158">
        <v>-1.110750955543</v>
      </c>
      <c r="AE4158">
        <v>-3.0458000000000101</v>
      </c>
      <c r="AF4158">
        <v>-2.73868975784726</v>
      </c>
      <c r="AG4158">
        <v>-1.110750955543</v>
      </c>
      <c r="AH4158">
        <v>9.2959010843994996</v>
      </c>
      <c r="AI4158">
        <v>96.538567902572595</v>
      </c>
      <c r="AJ4158">
        <v>106.41563865503301</v>
      </c>
      <c r="AK4158">
        <v>9.7543818997370195</v>
      </c>
      <c r="AL4158">
        <v>84.533071219591505</v>
      </c>
      <c r="AM4158">
        <v>95.428051172810001</v>
      </c>
      <c r="AN4158">
        <v>0.999999976503675</v>
      </c>
    </row>
    <row r="4159" spans="1:40" x14ac:dyDescent="0.25">
      <c r="A4159" t="str">
        <f>"20190312151357251"</f>
        <v>20190312151357251</v>
      </c>
      <c r="B4159" t="str">
        <f>"1552374837244864"</f>
        <v>1552374837244864</v>
      </c>
      <c r="C4159" t="s">
        <v>40</v>
      </c>
      <c r="D4159">
        <v>4.4955639999999999</v>
      </c>
      <c r="E4159">
        <v>0.43403900000000001</v>
      </c>
      <c r="F4159" t="s">
        <v>42</v>
      </c>
      <c r="G4159">
        <v>-355.66640000000001</v>
      </c>
      <c r="H4159" s="1">
        <v>-1.8564699999999999E-6</v>
      </c>
      <c r="I4159">
        <v>139.53129999999999</v>
      </c>
      <c r="J4159">
        <v>-346.5607</v>
      </c>
      <c r="K4159">
        <v>1.110751</v>
      </c>
      <c r="L4159">
        <v>142.53479999999999</v>
      </c>
      <c r="M4159">
        <v>-0.99944040000000001</v>
      </c>
      <c r="N4159">
        <v>0</v>
      </c>
      <c r="O4159">
        <v>-2.9705269999999999E-2</v>
      </c>
      <c r="P4159">
        <v>-0.98895219999999995</v>
      </c>
      <c r="Q4159">
        <v>8.0692890000000003E-2</v>
      </c>
      <c r="R4159">
        <v>-0.1243481</v>
      </c>
      <c r="S4159">
        <v>-2.9450989999999999</v>
      </c>
      <c r="T4159">
        <v>-0.342561</v>
      </c>
      <c r="U4159">
        <v>-0.93043520000000002</v>
      </c>
      <c r="V4159">
        <v>-9.5093150000000001E-2</v>
      </c>
      <c r="W4159">
        <v>9.5767210000000005E-2</v>
      </c>
      <c r="X4159">
        <v>0.99085109999999998</v>
      </c>
      <c r="Y4159">
        <v>-0.27131060000000001</v>
      </c>
      <c r="Z4159">
        <v>-1.199675E-2</v>
      </c>
      <c r="AA4159">
        <v>0.96241710000000003</v>
      </c>
      <c r="AB4159">
        <v>43</v>
      </c>
      <c r="AC4159">
        <v>-9.1057000000000095</v>
      </c>
      <c r="AD4159">
        <v>-1.11075285647</v>
      </c>
      <c r="AE4159">
        <v>-3.0034999999999998</v>
      </c>
      <c r="AF4159">
        <v>-2.6954814108964298</v>
      </c>
      <c r="AG4159">
        <v>-1.11075285647</v>
      </c>
      <c r="AH4159">
        <v>9.0692016573419902</v>
      </c>
      <c r="AI4159">
        <v>96.695857637544705</v>
      </c>
      <c r="AJ4159">
        <v>106.552614920124</v>
      </c>
      <c r="AK4159">
        <v>9.5262695031255102</v>
      </c>
      <c r="AL4159">
        <v>84.504520863359005</v>
      </c>
      <c r="AM4159">
        <v>95.4819542964498</v>
      </c>
      <c r="AN4159">
        <v>0.99999998402965795</v>
      </c>
    </row>
    <row r="4160" spans="1:40" x14ac:dyDescent="0.25">
      <c r="A4160" t="str">
        <f>"20190312151357273"</f>
        <v>20190312151357273</v>
      </c>
      <c r="B4160" t="str">
        <f>"1552374837264379"</f>
        <v>1552374837264379</v>
      </c>
      <c r="C4160" t="s">
        <v>40</v>
      </c>
      <c r="D4160">
        <v>4.4426769999999998</v>
      </c>
      <c r="E4160">
        <v>0.43397940000000002</v>
      </c>
      <c r="F4160" t="s">
        <v>42</v>
      </c>
      <c r="G4160">
        <v>-356.0822</v>
      </c>
      <c r="H4160" s="1">
        <v>-1.681933E-6</v>
      </c>
      <c r="I4160">
        <v>139.50960000000001</v>
      </c>
      <c r="J4160">
        <v>-346.98379999999997</v>
      </c>
      <c r="K4160">
        <v>1.110754</v>
      </c>
      <c r="L4160">
        <v>142.52170000000001</v>
      </c>
      <c r="M4160">
        <v>-0.99942059999999999</v>
      </c>
      <c r="N4160">
        <v>0</v>
      </c>
      <c r="O4160">
        <v>-3.0363950000000001E-2</v>
      </c>
      <c r="P4160">
        <v>-0.98867490000000002</v>
      </c>
      <c r="Q4160">
        <v>8.1141320000000003E-2</v>
      </c>
      <c r="R4160">
        <v>-0.12624649999999901</v>
      </c>
      <c r="S4160">
        <v>-2.9439389999999999</v>
      </c>
      <c r="T4160">
        <v>-0.34343040000000002</v>
      </c>
      <c r="U4160">
        <v>-0.93533330000000003</v>
      </c>
      <c r="V4160">
        <v>-9.6346180000000003E-2</v>
      </c>
      <c r="W4160">
        <v>9.6211459999999999E-2</v>
      </c>
      <c r="X4160">
        <v>0.99068699999999998</v>
      </c>
      <c r="Y4160">
        <v>-0.27223130000000001</v>
      </c>
      <c r="Z4160">
        <v>-1.2006279999999999E-2</v>
      </c>
      <c r="AA4160">
        <v>0.96215700000000004</v>
      </c>
      <c r="AB4160">
        <v>43</v>
      </c>
      <c r="AC4160">
        <v>-9.0984000000000194</v>
      </c>
      <c r="AD4160">
        <v>-1.110755681933</v>
      </c>
      <c r="AE4160">
        <v>-3.0121000000000002</v>
      </c>
      <c r="AF4160">
        <v>-2.6981729174911502</v>
      </c>
      <c r="AG4160">
        <v>-1.110755681933</v>
      </c>
      <c r="AH4160">
        <v>9.0639271934748908</v>
      </c>
      <c r="AI4160">
        <v>96.698883118441699</v>
      </c>
      <c r="AJ4160">
        <v>106.577349813943</v>
      </c>
      <c r="AK4160">
        <v>9.5220108929911795</v>
      </c>
      <c r="AL4160">
        <v>84.478949118807193</v>
      </c>
      <c r="AM4160">
        <v>95.554654769598699</v>
      </c>
      <c r="AN4160">
        <v>0.99999998170246096</v>
      </c>
    </row>
    <row r="4161" spans="1:40" x14ac:dyDescent="0.25">
      <c r="A4161" t="str">
        <f>"20190312151357295"</f>
        <v>20190312151357295</v>
      </c>
      <c r="B4161" t="str">
        <f>"1552374837284875"</f>
        <v>1552374837284875</v>
      </c>
      <c r="C4161" t="s">
        <v>40</v>
      </c>
      <c r="D4161">
        <v>4.5594650000000003</v>
      </c>
      <c r="E4161">
        <v>0.43425550000000002</v>
      </c>
      <c r="F4161" t="s">
        <v>42</v>
      </c>
      <c r="G4161">
        <v>-356.27379999999999</v>
      </c>
      <c r="H4161" s="1">
        <v>-1.5929759999999901E-6</v>
      </c>
      <c r="I4161">
        <v>139.5478</v>
      </c>
      <c r="J4161">
        <v>-347.4237</v>
      </c>
      <c r="K4161">
        <v>1.1107560000000001</v>
      </c>
      <c r="L4161">
        <v>142.5077</v>
      </c>
      <c r="M4161">
        <v>-0.99939960000000005</v>
      </c>
      <c r="N4161">
        <v>0</v>
      </c>
      <c r="O4161">
        <v>-3.104908E-2</v>
      </c>
      <c r="P4161">
        <v>-0.98837909999999995</v>
      </c>
      <c r="Q4161">
        <v>8.1221799999999997E-2</v>
      </c>
      <c r="R4161">
        <v>-0.1284921</v>
      </c>
      <c r="S4161">
        <v>-2.9429630000000002</v>
      </c>
      <c r="T4161">
        <v>-0.35187400000000002</v>
      </c>
      <c r="U4161">
        <v>-0.94207759999999996</v>
      </c>
      <c r="V4161">
        <v>-9.791938E-2</v>
      </c>
      <c r="W4161">
        <v>9.6286449999999996E-2</v>
      </c>
      <c r="X4161">
        <v>0.99052549999999995</v>
      </c>
      <c r="Y4161">
        <v>-0.27358739999999998</v>
      </c>
      <c r="Z4161">
        <v>-1.2298679999999999E-2</v>
      </c>
      <c r="AA4161">
        <v>0.96176850000000003</v>
      </c>
      <c r="AB4161">
        <v>43</v>
      </c>
      <c r="AC4161">
        <v>-8.8500999999999905</v>
      </c>
      <c r="AD4161">
        <v>-1.1107575929760001</v>
      </c>
      <c r="AE4161">
        <v>-2.9599000000000002</v>
      </c>
      <c r="AF4161">
        <v>-2.6461630632770099</v>
      </c>
      <c r="AG4161">
        <v>-1.1107575929760001</v>
      </c>
      <c r="AH4161">
        <v>8.81288827744517</v>
      </c>
      <c r="AI4161">
        <v>96.883082383337097</v>
      </c>
      <c r="AJ4161">
        <v>106.712941323713</v>
      </c>
      <c r="AK4161">
        <v>9.2683850361611597</v>
      </c>
      <c r="AL4161">
        <v>84.474632711635607</v>
      </c>
      <c r="AM4161">
        <v>95.645687910186496</v>
      </c>
      <c r="AN4161">
        <v>1.0000000257917101</v>
      </c>
    </row>
    <row r="4162" spans="1:40" x14ac:dyDescent="0.25">
      <c r="A4162" t="str">
        <f>"20190312151357318"</f>
        <v>20190312151357318</v>
      </c>
      <c r="B4162" t="str">
        <f>"1552374837315131"</f>
        <v>1552374837315131</v>
      </c>
      <c r="C4162" t="s">
        <v>40</v>
      </c>
      <c r="D4162">
        <v>4.4902790000000001</v>
      </c>
      <c r="E4162">
        <v>0.47821799999999998</v>
      </c>
      <c r="F4162" t="s">
        <v>42</v>
      </c>
      <c r="G4162">
        <v>-356.68400000000003</v>
      </c>
      <c r="H4162" s="1">
        <v>-1.420402E-6</v>
      </c>
      <c r="I4162">
        <v>139.52860000000001</v>
      </c>
      <c r="J4162">
        <v>-347.84539999999998</v>
      </c>
      <c r="K4162">
        <v>1.1107640000000001</v>
      </c>
      <c r="L4162">
        <v>142.494</v>
      </c>
      <c r="M4162">
        <v>-0.99937889999999996</v>
      </c>
      <c r="N4162">
        <v>0</v>
      </c>
      <c r="O4162">
        <v>-3.1706440000000002E-2</v>
      </c>
      <c r="P4162">
        <v>-0.98800670000000002</v>
      </c>
      <c r="Q4162">
        <v>8.1524799999999994E-2</v>
      </c>
      <c r="R4162">
        <v>-0.13113620000000001</v>
      </c>
      <c r="S4162">
        <v>-2.941284</v>
      </c>
      <c r="T4162">
        <v>-0.35280299999999998</v>
      </c>
      <c r="U4162">
        <v>-0.94619750000000002</v>
      </c>
      <c r="V4162">
        <v>-9.9921780000000002E-2</v>
      </c>
      <c r="W4162">
        <v>9.6581180000000003E-2</v>
      </c>
      <c r="X4162">
        <v>0.99029679999999998</v>
      </c>
      <c r="Y4162">
        <v>-0.27432620000000002</v>
      </c>
      <c r="Z4162">
        <v>-1.2301690000000001E-2</v>
      </c>
      <c r="AA4162">
        <v>0.96155800000000002</v>
      </c>
      <c r="AB4162">
        <v>43</v>
      </c>
      <c r="AC4162">
        <v>-8.8386000000000404</v>
      </c>
      <c r="AD4162">
        <v>-1.1107654204020001</v>
      </c>
      <c r="AE4162">
        <v>-2.9653999999999798</v>
      </c>
      <c r="AF4162">
        <v>-2.6460725306837398</v>
      </c>
      <c r="AG4162">
        <v>-1.1107654204020001</v>
      </c>
      <c r="AH4162">
        <v>8.8032217934960695</v>
      </c>
      <c r="AI4162">
        <v>96.890015266526504</v>
      </c>
      <c r="AJ4162">
        <v>106.72972776769799</v>
      </c>
      <c r="AK4162">
        <v>9.25916916371464</v>
      </c>
      <c r="AL4162">
        <v>84.457666819570406</v>
      </c>
      <c r="AM4162">
        <v>95.761691922426905</v>
      </c>
      <c r="AN4162">
        <v>1.0000000192694001</v>
      </c>
    </row>
    <row r="4163" spans="1:40" x14ac:dyDescent="0.25">
      <c r="A4163" t="str">
        <f>"20190312151357340"</f>
        <v>20190312151357340</v>
      </c>
      <c r="B4163" t="str">
        <f>"1552374837334651"</f>
        <v>1552374837334651</v>
      </c>
      <c r="C4163" t="s">
        <v>40</v>
      </c>
      <c r="D4163">
        <v>4.5840480000000001</v>
      </c>
      <c r="E4163">
        <v>0.4810064</v>
      </c>
      <c r="F4163" t="s">
        <v>42</v>
      </c>
      <c r="G4163">
        <v>-359.68079999999998</v>
      </c>
      <c r="H4163" s="1">
        <v>-2.499911E-7</v>
      </c>
      <c r="I4163">
        <v>140.10759999999999</v>
      </c>
      <c r="J4163">
        <v>-348.27249999999998</v>
      </c>
      <c r="K4163">
        <v>1.110768</v>
      </c>
      <c r="L4163">
        <v>142.47989999999999</v>
      </c>
      <c r="M4163">
        <v>-0.99935759999999996</v>
      </c>
      <c r="N4163">
        <v>0</v>
      </c>
      <c r="O4163">
        <v>-3.2372610000000003E-2</v>
      </c>
      <c r="P4163">
        <v>-0.98760530000000002</v>
      </c>
      <c r="Q4163">
        <v>8.2252569999999997E-2</v>
      </c>
      <c r="R4163">
        <v>-0.13367989999999999</v>
      </c>
      <c r="S4163">
        <v>-2.9797359999999999</v>
      </c>
      <c r="T4163">
        <v>-0.2796534</v>
      </c>
      <c r="U4163">
        <v>-0.60081479999999998</v>
      </c>
      <c r="V4163">
        <v>-0.101817</v>
      </c>
      <c r="W4163">
        <v>9.7300189999999995E-2</v>
      </c>
      <c r="X4163">
        <v>0.9900333</v>
      </c>
      <c r="Y4163">
        <v>-0.16525399999999901</v>
      </c>
      <c r="Z4163">
        <v>-4.661994E-3</v>
      </c>
      <c r="AA4163">
        <v>0.98624000000000001</v>
      </c>
      <c r="AB4163">
        <v>43</v>
      </c>
      <c r="AC4163">
        <v>-11.408299999999899</v>
      </c>
      <c r="AD4163">
        <v>-1.1107682499911</v>
      </c>
      <c r="AE4163">
        <v>-2.3722999999999899</v>
      </c>
      <c r="AF4163">
        <v>-1.9836705970516699</v>
      </c>
      <c r="AG4163">
        <v>-1.1107682499911</v>
      </c>
      <c r="AH4163">
        <v>11.3757543383062</v>
      </c>
      <c r="AI4163">
        <v>95.494488342023004</v>
      </c>
      <c r="AJ4163">
        <v>99.891610597773706</v>
      </c>
      <c r="AK4163">
        <v>11.6007129913763</v>
      </c>
      <c r="AL4163">
        <v>84.416275425225393</v>
      </c>
      <c r="AM4163">
        <v>95.871769475291501</v>
      </c>
      <c r="AN4163">
        <v>0.99999998178596206</v>
      </c>
    </row>
    <row r="4164" spans="1:40" x14ac:dyDescent="0.25">
      <c r="A4164" t="str">
        <f>"20190312151357363"</f>
        <v>20190312151357363</v>
      </c>
      <c r="B4164" t="str">
        <f>"1552374837354171"</f>
        <v>1552374837354171</v>
      </c>
      <c r="C4164" t="s">
        <v>40</v>
      </c>
      <c r="D4164">
        <v>4.6730070000000001</v>
      </c>
      <c r="E4164">
        <v>0.48183550000000003</v>
      </c>
      <c r="F4164" t="s">
        <v>42</v>
      </c>
      <c r="G4164">
        <v>-360.97179999999997</v>
      </c>
      <c r="H4164" s="1">
        <v>-3.9536630000000004E-6</v>
      </c>
      <c r="I4164">
        <v>139.98570000000001</v>
      </c>
      <c r="J4164">
        <v>-348.7217</v>
      </c>
      <c r="K4164">
        <v>1.110768</v>
      </c>
      <c r="L4164">
        <v>142.4648</v>
      </c>
      <c r="M4164">
        <v>-0.99933459999999996</v>
      </c>
      <c r="N4164">
        <v>0</v>
      </c>
      <c r="O4164">
        <v>-3.307334E-2</v>
      </c>
      <c r="P4164">
        <v>-0.98713589999999996</v>
      </c>
      <c r="Q4164">
        <v>8.2451259999999998E-2</v>
      </c>
      <c r="R4164">
        <v>-0.1369841</v>
      </c>
      <c r="S4164">
        <v>-2.9801030000000002</v>
      </c>
      <c r="T4164">
        <v>-0.26066260000000002</v>
      </c>
      <c r="U4164">
        <v>-0.58529659999999994</v>
      </c>
      <c r="V4164">
        <v>-0.1044399</v>
      </c>
      <c r="W4164">
        <v>9.7488130000000006E-2</v>
      </c>
      <c r="X4164">
        <v>0.9897416</v>
      </c>
      <c r="Y4164">
        <v>-0.15969229999999901</v>
      </c>
      <c r="Z4164">
        <v>-4.047241E-3</v>
      </c>
      <c r="AA4164">
        <v>0.98715850000000005</v>
      </c>
      <c r="AB4164">
        <v>43</v>
      </c>
      <c r="AC4164">
        <v>-12.2500999999999</v>
      </c>
      <c r="AD4164">
        <v>-1.1107719536630001</v>
      </c>
      <c r="AE4164">
        <v>-2.4790999999999799</v>
      </c>
      <c r="AF4164">
        <v>-2.05630231380984</v>
      </c>
      <c r="AG4164">
        <v>-1.1107719536630001</v>
      </c>
      <c r="AH4164">
        <v>12.2288106335729</v>
      </c>
      <c r="AI4164">
        <v>95.118599104957497</v>
      </c>
      <c r="AJ4164">
        <v>99.545120707749902</v>
      </c>
      <c r="AK4164">
        <v>12.450140683968501</v>
      </c>
      <c r="AL4164">
        <v>84.405456097527804</v>
      </c>
      <c r="AM4164">
        <v>96.023695745397305</v>
      </c>
      <c r="AN4164">
        <v>1.0000000314867299</v>
      </c>
    </row>
    <row r="4165" spans="1:40" x14ac:dyDescent="0.25">
      <c r="A4165" t="str">
        <f>"20190312151357387"</f>
        <v>20190312151357387</v>
      </c>
      <c r="B4165" t="str">
        <f>"1552374837374668"</f>
        <v>1552374837374668</v>
      </c>
      <c r="C4165" t="s">
        <v>40</v>
      </c>
      <c r="D4165">
        <v>4.5141839999999904</v>
      </c>
      <c r="E4165">
        <v>0.48248069999999998</v>
      </c>
      <c r="F4165" t="s">
        <v>42</v>
      </c>
      <c r="G4165">
        <v>-361.93770000000001</v>
      </c>
      <c r="H4165" s="1">
        <v>-3.5051230000000001E-6</v>
      </c>
      <c r="I4165">
        <v>139.85730000000001</v>
      </c>
      <c r="J4165">
        <v>-349.16340000000002</v>
      </c>
      <c r="K4165">
        <v>1.1107689999999999</v>
      </c>
      <c r="L4165">
        <v>142.4495</v>
      </c>
      <c r="M4165">
        <v>-0.99931159999999997</v>
      </c>
      <c r="N4165">
        <v>0</v>
      </c>
      <c r="O4165">
        <v>-3.376287E-2</v>
      </c>
      <c r="P4165">
        <v>-0.98684530000000004</v>
      </c>
      <c r="Q4165">
        <v>8.158841E-2</v>
      </c>
      <c r="R4165">
        <v>-0.13957</v>
      </c>
      <c r="S4165">
        <v>-2.9784549999999999</v>
      </c>
      <c r="T4165">
        <v>-0.25033129999999998</v>
      </c>
      <c r="U4165">
        <v>-0.58761600000000003</v>
      </c>
      <c r="V4165">
        <v>-0.1063479</v>
      </c>
      <c r="W4165">
        <v>9.6617259999999996E-2</v>
      </c>
      <c r="X4165">
        <v>0.98962380000000005</v>
      </c>
      <c r="Y4165">
        <v>-0.159891899999999</v>
      </c>
      <c r="Z4165">
        <v>-3.8403130000000001E-3</v>
      </c>
      <c r="AA4165">
        <v>0.98712710000000004</v>
      </c>
      <c r="AB4165">
        <v>43</v>
      </c>
      <c r="AC4165">
        <v>-12.774299999999901</v>
      </c>
      <c r="AD4165">
        <v>-1.110772505123</v>
      </c>
      <c r="AE4165">
        <v>-2.5921999999999898</v>
      </c>
      <c r="AF4165">
        <v>-2.1438056134616001</v>
      </c>
      <c r="AG4165">
        <v>-1.110772505123</v>
      </c>
      <c r="AH4165">
        <v>12.761870136227</v>
      </c>
      <c r="AI4165">
        <v>94.905998476887703</v>
      </c>
      <c r="AJ4165">
        <v>99.535812392516803</v>
      </c>
      <c r="AK4165">
        <v>12.988265759537301</v>
      </c>
      <c r="AL4165">
        <v>84.4555898685107</v>
      </c>
      <c r="AM4165">
        <v>96.133635178930803</v>
      </c>
      <c r="AN4165">
        <v>1.0000000181453701</v>
      </c>
    </row>
    <row r="4166" spans="1:40" x14ac:dyDescent="0.25">
      <c r="A4166" t="str">
        <f>"20190312151357407"</f>
        <v>20190312151357407</v>
      </c>
      <c r="B4166" t="str">
        <f>"1552374837404923"</f>
        <v>1552374837404923</v>
      </c>
      <c r="C4166" t="s">
        <v>40</v>
      </c>
      <c r="D4166">
        <v>4.4924210000000002</v>
      </c>
      <c r="E4166">
        <v>0.4834542</v>
      </c>
      <c r="F4166" t="s">
        <v>42</v>
      </c>
      <c r="G4166">
        <v>-362.5292</v>
      </c>
      <c r="H4166" s="1">
        <v>-3.2362079999999998E-6</v>
      </c>
      <c r="I4166">
        <v>139.80019999999999</v>
      </c>
      <c r="J4166">
        <v>-349.5634</v>
      </c>
      <c r="K4166">
        <v>1.1107659999999999</v>
      </c>
      <c r="L4166">
        <v>142.43549999999999</v>
      </c>
      <c r="M4166">
        <v>-0.99929029999999996</v>
      </c>
      <c r="N4166">
        <v>0</v>
      </c>
      <c r="O4166">
        <v>-3.4387429999999997E-2</v>
      </c>
      <c r="P4166">
        <v>-0.98659850000000004</v>
      </c>
      <c r="Q4166">
        <v>8.1217460000000005E-2</v>
      </c>
      <c r="R4166">
        <v>-0.1415178</v>
      </c>
      <c r="S4166">
        <v>-2.9769899999999998</v>
      </c>
      <c r="T4166">
        <v>-0.2474066</v>
      </c>
      <c r="U4166">
        <v>-0.5900879</v>
      </c>
      <c r="V4166">
        <v>-0.107682</v>
      </c>
      <c r="W4166">
        <v>9.6239920000000007E-2</v>
      </c>
      <c r="X4166">
        <v>0.98951630000000002</v>
      </c>
      <c r="Y4166">
        <v>-0.1601667</v>
      </c>
      <c r="Z4166">
        <v>-3.7572059999999999E-3</v>
      </c>
      <c r="AA4166">
        <v>0.98708280000000004</v>
      </c>
      <c r="AB4166">
        <v>43</v>
      </c>
      <c r="AC4166">
        <v>-12.9658</v>
      </c>
      <c r="AD4166">
        <v>-1.1107692362079999</v>
      </c>
      <c r="AE4166">
        <v>-2.6353</v>
      </c>
      <c r="AF4166">
        <v>-2.1725158128256701</v>
      </c>
      <c r="AG4166">
        <v>-1.1107692362079999</v>
      </c>
      <c r="AH4166">
        <v>12.957437207248001</v>
      </c>
      <c r="AI4166">
        <v>94.832542174810698</v>
      </c>
      <c r="AJ4166">
        <v>99.517998066459</v>
      </c>
      <c r="AK4166">
        <v>13.1851739553508</v>
      </c>
      <c r="AL4166">
        <v>84.477311099986096</v>
      </c>
      <c r="AM4166">
        <v>96.210651524637399</v>
      </c>
      <c r="AN4166">
        <v>1.0000000216456399</v>
      </c>
    </row>
    <row r="4167" spans="1:40" x14ac:dyDescent="0.25">
      <c r="A4167" t="str">
        <f>"20190312151357429"</f>
        <v>20190312151357429</v>
      </c>
      <c r="B4167" t="str">
        <f>"1552374837424444"</f>
        <v>1552374837424444</v>
      </c>
      <c r="C4167" t="s">
        <v>40</v>
      </c>
      <c r="D4167">
        <v>4.6802809999999999</v>
      </c>
      <c r="E4167">
        <v>0.48399029999999998</v>
      </c>
      <c r="F4167" t="s">
        <v>42</v>
      </c>
      <c r="G4167">
        <v>-362.46809999999999</v>
      </c>
      <c r="H4167" s="1">
        <v>-3.283824E-6</v>
      </c>
      <c r="I4167">
        <v>139.88069999999999</v>
      </c>
      <c r="J4167">
        <v>-349.98219999999998</v>
      </c>
      <c r="K4167">
        <v>1.1107750000000001</v>
      </c>
      <c r="L4167">
        <v>142.4205</v>
      </c>
      <c r="M4167">
        <v>-0.99926769999999998</v>
      </c>
      <c r="N4167">
        <v>0</v>
      </c>
      <c r="O4167">
        <v>-3.5041669999999997E-2</v>
      </c>
      <c r="P4167">
        <v>-0.98653550000000001</v>
      </c>
      <c r="Q4167">
        <v>8.028072E-2</v>
      </c>
      <c r="R4167">
        <v>-0.1424878</v>
      </c>
      <c r="S4167">
        <v>-2.9772949999999998</v>
      </c>
      <c r="T4167">
        <v>-0.2562702</v>
      </c>
      <c r="U4167">
        <v>-0.58940119999999996</v>
      </c>
      <c r="V4167">
        <v>-0.10800369999999999</v>
      </c>
      <c r="W4167">
        <v>9.5300620000000003E-2</v>
      </c>
      <c r="X4167">
        <v>0.98957209999999995</v>
      </c>
      <c r="Y4167">
        <v>-0.15925739999999999</v>
      </c>
      <c r="Z4167">
        <v>-3.7967830000000002E-3</v>
      </c>
      <c r="AA4167">
        <v>0.98722980000000005</v>
      </c>
      <c r="AB4167">
        <v>43</v>
      </c>
      <c r="AC4167">
        <v>-12.485900000000001</v>
      </c>
      <c r="AD4167">
        <v>-1.1107782838239999</v>
      </c>
      <c r="AE4167">
        <v>-2.5398000000000098</v>
      </c>
      <c r="AF4167">
        <v>-2.0848169912239398</v>
      </c>
      <c r="AG4167">
        <v>-1.1107782838239999</v>
      </c>
      <c r="AH4167">
        <v>12.4724501467932</v>
      </c>
      <c r="AI4167">
        <v>95.019968678722407</v>
      </c>
      <c r="AJ4167">
        <v>99.489474408515505</v>
      </c>
      <c r="AK4167">
        <v>12.6941838235844</v>
      </c>
      <c r="AL4167">
        <v>84.531377284919103</v>
      </c>
      <c r="AM4167">
        <v>96.228711721749406</v>
      </c>
      <c r="AN4167">
        <v>0.99999997424224096</v>
      </c>
    </row>
    <row r="4168" spans="1:40" x14ac:dyDescent="0.25">
      <c r="A4168" t="str">
        <f>"20190312151357452"</f>
        <v>20190312151357452</v>
      </c>
      <c r="B4168" t="str">
        <f>"1552374837444939"</f>
        <v>1552374837444939</v>
      </c>
      <c r="C4168" t="s">
        <v>40</v>
      </c>
      <c r="D4168">
        <v>4.5427850000000003</v>
      </c>
      <c r="E4168">
        <v>0.48475950000000001</v>
      </c>
      <c r="F4168" t="s">
        <v>42</v>
      </c>
      <c r="G4168">
        <v>-362.86700000000002</v>
      </c>
      <c r="H4168" s="1">
        <v>-3.1113580000000001E-6</v>
      </c>
      <c r="I4168">
        <v>139.87559999999999</v>
      </c>
      <c r="J4168">
        <v>-350.42320000000001</v>
      </c>
      <c r="K4168">
        <v>1.110778</v>
      </c>
      <c r="L4168">
        <v>142.40440000000001</v>
      </c>
      <c r="M4168">
        <v>-0.99924329999999995</v>
      </c>
      <c r="N4168">
        <v>0</v>
      </c>
      <c r="O4168">
        <v>-3.573084E-2</v>
      </c>
      <c r="P4168">
        <v>-0.98640850000000002</v>
      </c>
      <c r="Q4168">
        <v>7.9876329999999995E-2</v>
      </c>
      <c r="R4168">
        <v>-0.143589299999999</v>
      </c>
      <c r="S4168">
        <v>-2.9768979999999998</v>
      </c>
      <c r="T4168">
        <v>-0.25663629999999998</v>
      </c>
      <c r="U4168">
        <v>-0.58796689999999996</v>
      </c>
      <c r="V4168">
        <v>-0.1084237</v>
      </c>
      <c r="W4168">
        <v>9.4892389999999993E-2</v>
      </c>
      <c r="X4168">
        <v>0.98956540000000004</v>
      </c>
      <c r="Y4168">
        <v>-0.15814879999999901</v>
      </c>
      <c r="Z4168">
        <v>-3.6969920000000001E-3</v>
      </c>
      <c r="AA4168">
        <v>0.98740839999999996</v>
      </c>
      <c r="AB4168">
        <v>43</v>
      </c>
      <c r="AC4168">
        <v>-12.4437999999999</v>
      </c>
      <c r="AD4168">
        <v>-1.110781111358</v>
      </c>
      <c r="AE4168">
        <v>-2.5288000000000102</v>
      </c>
      <c r="AF4168">
        <v>-2.0666905614606499</v>
      </c>
      <c r="AG4168">
        <v>-1.110781111358</v>
      </c>
      <c r="AH4168">
        <v>12.431095944921699</v>
      </c>
      <c r="AI4168">
        <v>95.037328664435705</v>
      </c>
      <c r="AJ4168">
        <v>99.439186183043006</v>
      </c>
      <c r="AK4168">
        <v>12.650580656477</v>
      </c>
      <c r="AL4168">
        <v>84.554873617063294</v>
      </c>
      <c r="AM4168">
        <v>96.252784168887004</v>
      </c>
      <c r="AN4168">
        <v>0.99999997263938001</v>
      </c>
    </row>
    <row r="4169" spans="1:40" x14ac:dyDescent="0.25">
      <c r="A4169" t="str">
        <f>"20190312151357476"</f>
        <v>20190312151357476</v>
      </c>
      <c r="B4169" t="str">
        <f>"1552374837464460"</f>
        <v>1552374837464460</v>
      </c>
      <c r="C4169" t="s">
        <v>40</v>
      </c>
      <c r="D4169">
        <v>4.6673589999999896</v>
      </c>
      <c r="E4169">
        <v>0.4851394</v>
      </c>
      <c r="F4169" t="s">
        <v>42</v>
      </c>
      <c r="G4169">
        <v>-363.1413</v>
      </c>
      <c r="H4169" s="1">
        <v>-3.001592E-6</v>
      </c>
      <c r="I4169">
        <v>139.90539999999999</v>
      </c>
      <c r="J4169">
        <v>-350.86439999999999</v>
      </c>
      <c r="K4169">
        <v>1.1107880000000001</v>
      </c>
      <c r="L4169">
        <v>142.38800000000001</v>
      </c>
      <c r="M4169">
        <v>-0.99921850000000001</v>
      </c>
      <c r="N4169">
        <v>0</v>
      </c>
      <c r="O4169">
        <v>-3.6421080000000002E-2</v>
      </c>
      <c r="P4169">
        <v>-0.9861586</v>
      </c>
      <c r="Q4169">
        <v>8.1201519999999999E-2</v>
      </c>
      <c r="R4169">
        <v>-0.14456189999999999</v>
      </c>
      <c r="S4169">
        <v>-2.9772639999999999</v>
      </c>
      <c r="T4169">
        <v>-0.26002969999999997</v>
      </c>
      <c r="U4169">
        <v>-0.5849915</v>
      </c>
      <c r="V4169">
        <v>-0.1087222</v>
      </c>
      <c r="W4169">
        <v>9.6211459999999999E-2</v>
      </c>
      <c r="X4169">
        <v>0.98940530000000004</v>
      </c>
      <c r="Y4169">
        <v>-0.1564905</v>
      </c>
      <c r="Z4169">
        <v>-3.6145159999999999E-3</v>
      </c>
      <c r="AA4169">
        <v>0.98767289999999996</v>
      </c>
      <c r="AB4169">
        <v>43</v>
      </c>
      <c r="AC4169">
        <v>-12.276899999999999</v>
      </c>
      <c r="AD4169">
        <v>-1.1107910015919999</v>
      </c>
      <c r="AE4169">
        <v>-2.4826000000000099</v>
      </c>
      <c r="AF4169">
        <v>-2.0178916860236402</v>
      </c>
      <c r="AG4169">
        <v>-1.1107910015919999</v>
      </c>
      <c r="AH4169">
        <v>12.2627397273517</v>
      </c>
      <c r="AI4169">
        <v>95.1075565293783</v>
      </c>
      <c r="AJ4169">
        <v>99.344546756389406</v>
      </c>
      <c r="AK4169">
        <v>12.477200372139199</v>
      </c>
      <c r="AL4169">
        <v>84.478949246383394</v>
      </c>
      <c r="AM4169">
        <v>96.270868193730394</v>
      </c>
      <c r="AN4169">
        <v>1.0000000047381301</v>
      </c>
    </row>
    <row r="4170" spans="1:40" x14ac:dyDescent="0.25">
      <c r="A4170" t="str">
        <f>"20190312151357497"</f>
        <v>20190312151357497</v>
      </c>
      <c r="B4170" t="str">
        <f>"1552374837484956"</f>
        <v>1552374837484956</v>
      </c>
      <c r="C4170" t="s">
        <v>40</v>
      </c>
      <c r="D4170">
        <v>4.621702</v>
      </c>
      <c r="E4170">
        <v>0.4854714</v>
      </c>
      <c r="F4170" t="s">
        <v>42</v>
      </c>
      <c r="G4170">
        <v>-363.7971</v>
      </c>
      <c r="H4170" s="1">
        <v>-2.7053580000000001E-6</v>
      </c>
      <c r="I4170">
        <v>139.8494</v>
      </c>
      <c r="J4170">
        <v>-351.2724</v>
      </c>
      <c r="K4170">
        <v>1.110798</v>
      </c>
      <c r="L4170">
        <v>142.37260000000001</v>
      </c>
      <c r="M4170">
        <v>-0.99919500000000006</v>
      </c>
      <c r="N4170">
        <v>0</v>
      </c>
      <c r="O4170">
        <v>-3.7059229999999999E-2</v>
      </c>
      <c r="P4170">
        <v>-0.98587809999999998</v>
      </c>
      <c r="Q4170">
        <v>8.2329609999999998E-2</v>
      </c>
      <c r="R4170">
        <v>-0.14582989999999901</v>
      </c>
      <c r="S4170">
        <v>-2.977509</v>
      </c>
      <c r="T4170">
        <v>-0.25573970000000001</v>
      </c>
      <c r="U4170">
        <v>-0.58445740000000002</v>
      </c>
      <c r="V4170">
        <v>-0.1093693</v>
      </c>
      <c r="W4170">
        <v>9.7332950000000001E-2</v>
      </c>
      <c r="X4170">
        <v>0.98922429999999995</v>
      </c>
      <c r="Y4170">
        <v>-0.15569330000000001</v>
      </c>
      <c r="Z4170">
        <v>-3.466939E-3</v>
      </c>
      <c r="AA4170">
        <v>0.98779930000000005</v>
      </c>
      <c r="AB4170">
        <v>43</v>
      </c>
      <c r="AC4170">
        <v>-12.5246999999999</v>
      </c>
      <c r="AD4170">
        <v>-1.110800705358</v>
      </c>
      <c r="AE4170">
        <v>-2.5232000000000001</v>
      </c>
      <c r="AF4170">
        <v>-2.0418218460022999</v>
      </c>
      <c r="AG4170">
        <v>-1.110800705358</v>
      </c>
      <c r="AH4170">
        <v>12.515013243156201</v>
      </c>
      <c r="AI4170">
        <v>95.006288391631799</v>
      </c>
      <c r="AJ4170">
        <v>99.266155197435097</v>
      </c>
      <c r="AK4170">
        <v>12.7290404640025</v>
      </c>
      <c r="AL4170">
        <v>84.414389741277802</v>
      </c>
      <c r="AM4170">
        <v>96.309036443962398</v>
      </c>
      <c r="AN4170">
        <v>1.00000003132434</v>
      </c>
    </row>
    <row r="4171" spans="1:40" x14ac:dyDescent="0.25">
      <c r="A4171" t="str">
        <f>"20190312151357519"</f>
        <v>20190312151357519</v>
      </c>
      <c r="B4171" t="str">
        <f>"1552374837514236"</f>
        <v>1552374837514236</v>
      </c>
      <c r="C4171" t="s">
        <v>40</v>
      </c>
      <c r="D4171">
        <v>4.4707400000000002</v>
      </c>
      <c r="E4171">
        <v>0.4859195</v>
      </c>
      <c r="F4171" t="s">
        <v>42</v>
      </c>
      <c r="G4171">
        <v>-364.5335</v>
      </c>
      <c r="H4171" s="1">
        <v>-2.3670840000000002E-6</v>
      </c>
      <c r="I4171">
        <v>139.7653</v>
      </c>
      <c r="J4171">
        <v>-351.68680000000001</v>
      </c>
      <c r="K4171">
        <v>1.110806</v>
      </c>
      <c r="L4171">
        <v>142.35669999999999</v>
      </c>
      <c r="M4171">
        <v>-0.99917100000000003</v>
      </c>
      <c r="N4171">
        <v>0</v>
      </c>
      <c r="O4171">
        <v>-3.7708100000000001E-2</v>
      </c>
      <c r="P4171">
        <v>-0.98548740000000001</v>
      </c>
      <c r="Q4171">
        <v>8.4159419999999999E-2</v>
      </c>
      <c r="R4171">
        <v>-0.14741779999999999</v>
      </c>
      <c r="S4171">
        <v>-2.9771420000000002</v>
      </c>
      <c r="T4171">
        <v>-0.24937799999999999</v>
      </c>
      <c r="U4171">
        <v>-0.58532709999999999</v>
      </c>
      <c r="V4171">
        <v>-0.11033</v>
      </c>
      <c r="W4171">
        <v>9.9153710000000006E-2</v>
      </c>
      <c r="X4171">
        <v>0.9889367</v>
      </c>
      <c r="Y4171">
        <v>-0.1553765</v>
      </c>
      <c r="Z4171">
        <v>-3.3145620000000001E-3</v>
      </c>
      <c r="AA4171">
        <v>0.9878498</v>
      </c>
      <c r="AB4171">
        <v>43</v>
      </c>
      <c r="AC4171">
        <v>-12.846699999999901</v>
      </c>
      <c r="AD4171">
        <v>-1.1108083670840001</v>
      </c>
      <c r="AE4171">
        <v>-2.5913999999999899</v>
      </c>
      <c r="AF4171">
        <v>-2.0900596282547599</v>
      </c>
      <c r="AG4171">
        <v>-1.1108083670840001</v>
      </c>
      <c r="AH4171">
        <v>12.8430236333505</v>
      </c>
      <c r="AI4171">
        <v>94.879403380745302</v>
      </c>
      <c r="AJ4171">
        <v>99.243221940960595</v>
      </c>
      <c r="AK4171">
        <v>13.0593070461201</v>
      </c>
      <c r="AL4171">
        <v>84.309560465344006</v>
      </c>
      <c r="AM4171">
        <v>96.365837867256204</v>
      </c>
      <c r="AN4171">
        <v>0.99999998185682604</v>
      </c>
    </row>
    <row r="4172" spans="1:40" x14ac:dyDescent="0.25">
      <c r="A4172" t="str">
        <f>"20190312151357541"</f>
        <v>20190312151357541</v>
      </c>
      <c r="B4172" t="str">
        <f>"1552374837534735"</f>
        <v>1552374837534735</v>
      </c>
      <c r="C4172" t="s">
        <v>40</v>
      </c>
      <c r="D4172">
        <v>4.4998699999999996</v>
      </c>
      <c r="E4172">
        <v>0.4862012</v>
      </c>
      <c r="F4172" t="s">
        <v>42</v>
      </c>
      <c r="G4172">
        <v>-365.15910000000002</v>
      </c>
      <c r="H4172" s="1">
        <v>-2.0818499999999998E-6</v>
      </c>
      <c r="I4172">
        <v>139.7021</v>
      </c>
      <c r="J4172">
        <v>-352.11720000000003</v>
      </c>
      <c r="K4172">
        <v>1.1108169999999999</v>
      </c>
      <c r="L4172">
        <v>142.3398</v>
      </c>
      <c r="M4172">
        <v>-0.99914519999999996</v>
      </c>
      <c r="N4172">
        <v>0</v>
      </c>
      <c r="O4172">
        <v>-3.8383090000000002E-2</v>
      </c>
      <c r="P4172">
        <v>-0.98508759999999995</v>
      </c>
      <c r="Q4172">
        <v>8.5502770000000006E-2</v>
      </c>
      <c r="R4172">
        <v>-0.14930350000000001</v>
      </c>
      <c r="S4172">
        <v>-2.9773860000000001</v>
      </c>
      <c r="T4172">
        <v>-0.24549009999999999</v>
      </c>
      <c r="U4172">
        <v>-0.58665469999999997</v>
      </c>
      <c r="V4172">
        <v>-0.1115631</v>
      </c>
      <c r="W4172">
        <v>0.1004864</v>
      </c>
      <c r="X4172">
        <v>0.98866379999999998</v>
      </c>
      <c r="Y4172">
        <v>-0.1551332</v>
      </c>
      <c r="Z4172">
        <v>-3.1978409999999999E-3</v>
      </c>
      <c r="AA4172">
        <v>0.9878884</v>
      </c>
      <c r="AB4172">
        <v>43</v>
      </c>
      <c r="AC4172">
        <v>-13.041899999999901</v>
      </c>
      <c r="AD4172">
        <v>-1.1108190818499999</v>
      </c>
      <c r="AE4172">
        <v>-2.6376999999999899</v>
      </c>
      <c r="AF4172">
        <v>-2.12033101947998</v>
      </c>
      <c r="AG4172">
        <v>-1.1108190818499999</v>
      </c>
      <c r="AH4172">
        <v>13.042643002382601</v>
      </c>
      <c r="AI4172">
        <v>94.805250642729902</v>
      </c>
      <c r="AJ4172">
        <v>99.233744703126305</v>
      </c>
      <c r="AK4172">
        <v>13.260477335012199</v>
      </c>
      <c r="AL4172">
        <v>84.2328196282551</v>
      </c>
      <c r="AM4172">
        <v>96.438153386757406</v>
      </c>
      <c r="AN4172">
        <v>0.99999997564850396</v>
      </c>
    </row>
    <row r="4173" spans="1:40" x14ac:dyDescent="0.25">
      <c r="A4173" t="str">
        <f>"20190312151357566"</f>
        <v>20190312151357566</v>
      </c>
      <c r="B4173" t="str">
        <f>"1552374837554252"</f>
        <v>1552374837554252</v>
      </c>
      <c r="C4173" t="s">
        <v>40</v>
      </c>
      <c r="D4173">
        <v>4.4615589999999896</v>
      </c>
      <c r="E4173">
        <v>0.48634480000000002</v>
      </c>
      <c r="F4173" t="s">
        <v>42</v>
      </c>
      <c r="G4173">
        <v>-365.928</v>
      </c>
      <c r="H4173" s="1">
        <v>-1.731874E-6</v>
      </c>
      <c r="I4173">
        <v>139.6011</v>
      </c>
      <c r="J4173">
        <v>-352.58519999999999</v>
      </c>
      <c r="K4173">
        <v>1.1108290000000001</v>
      </c>
      <c r="L4173">
        <v>142.3212</v>
      </c>
      <c r="M4173">
        <v>-0.99911669999999997</v>
      </c>
      <c r="N4173">
        <v>0</v>
      </c>
      <c r="O4173">
        <v>-3.9122240000000003E-2</v>
      </c>
      <c r="P4173">
        <v>-0.98476249999999999</v>
      </c>
      <c r="Q4173">
        <v>8.604465E-2</v>
      </c>
      <c r="R4173">
        <v>-0.1511266</v>
      </c>
      <c r="S4173">
        <v>-2.976715</v>
      </c>
      <c r="T4173">
        <v>-0.23942079999999999</v>
      </c>
      <c r="U4173">
        <v>-0.59028630000000004</v>
      </c>
      <c r="V4173">
        <v>-0.11266619999999999</v>
      </c>
      <c r="W4173">
        <v>0.1010192</v>
      </c>
      <c r="X4173">
        <v>0.98848440000000004</v>
      </c>
      <c r="Y4173">
        <v>-0.15562379999999901</v>
      </c>
      <c r="Z4173">
        <v>-3.0802339999999998E-3</v>
      </c>
      <c r="AA4173">
        <v>0.98781160000000001</v>
      </c>
      <c r="AB4173">
        <v>43</v>
      </c>
      <c r="AC4173">
        <v>-13.3428</v>
      </c>
      <c r="AD4173">
        <v>-1.1108307318740001</v>
      </c>
      <c r="AE4173">
        <v>-2.7201</v>
      </c>
      <c r="AF4173">
        <v>-2.1814389927818798</v>
      </c>
      <c r="AG4173">
        <v>-1.1108307318740001</v>
      </c>
      <c r="AH4173">
        <v>13.3501725514062</v>
      </c>
      <c r="AI4173">
        <v>94.694490655480806</v>
      </c>
      <c r="AJ4173">
        <v>99.280205574816904</v>
      </c>
      <c r="AK4173">
        <v>13.572756836635101</v>
      </c>
      <c r="AL4173">
        <v>84.202136329983304</v>
      </c>
      <c r="AM4173">
        <v>96.502439215824097</v>
      </c>
      <c r="AN4173">
        <v>0.99999998021721903</v>
      </c>
    </row>
    <row r="4174" spans="1:40" x14ac:dyDescent="0.25">
      <c r="A4174" t="str">
        <f>"20190312151357589"</f>
        <v>20190312151357589</v>
      </c>
      <c r="B4174" t="str">
        <f>"1552374837584508"</f>
        <v>1552374837584508</v>
      </c>
      <c r="C4174" t="s">
        <v>40</v>
      </c>
      <c r="D4174">
        <v>4.5776190000000003</v>
      </c>
      <c r="E4174">
        <v>0.4866008</v>
      </c>
      <c r="F4174" t="s">
        <v>42</v>
      </c>
      <c r="G4174">
        <v>-366.4941</v>
      </c>
      <c r="H4174" s="1">
        <v>-1.4995729999999999E-6</v>
      </c>
      <c r="I4174">
        <v>139.54159999999999</v>
      </c>
      <c r="J4174">
        <v>-353.02440000000001</v>
      </c>
      <c r="K4174">
        <v>1.1108290000000001</v>
      </c>
      <c r="L4174">
        <v>142.30340000000001</v>
      </c>
      <c r="M4174">
        <v>-0.99908889999999995</v>
      </c>
      <c r="N4174">
        <v>0</v>
      </c>
      <c r="O4174">
        <v>-3.9826180000000003E-2</v>
      </c>
      <c r="P4174">
        <v>-0.9843442</v>
      </c>
      <c r="Q4174">
        <v>8.7099319999999994E-2</v>
      </c>
      <c r="R4174">
        <v>-0.15323299999999901</v>
      </c>
      <c r="S4174">
        <v>-2.9758909999999998</v>
      </c>
      <c r="T4174">
        <v>-0.23767050000000001</v>
      </c>
      <c r="U4174">
        <v>-0.594696</v>
      </c>
      <c r="V4174">
        <v>-0.114092899999999</v>
      </c>
      <c r="W4174">
        <v>0.1020619</v>
      </c>
      <c r="X4174">
        <v>0.98821369999999997</v>
      </c>
      <c r="Y4174">
        <v>-0.156393</v>
      </c>
      <c r="Z4174">
        <v>-3.033118E-3</v>
      </c>
      <c r="AA4174">
        <v>0.98769030000000002</v>
      </c>
      <c r="AB4174">
        <v>42</v>
      </c>
      <c r="AC4174">
        <v>-13.4696999999999</v>
      </c>
      <c r="AD4174">
        <v>-1.1108304995730001</v>
      </c>
      <c r="AE4174">
        <v>-2.76180000000002</v>
      </c>
      <c r="AF4174">
        <v>-2.20868306893738</v>
      </c>
      <c r="AG4174">
        <v>-1.1108304995730001</v>
      </c>
      <c r="AH4174">
        <v>13.4810288894042</v>
      </c>
      <c r="AI4174">
        <v>94.648801667558601</v>
      </c>
      <c r="AJ4174">
        <v>99.3044698758236</v>
      </c>
      <c r="AK4174">
        <v>13.7058514954286</v>
      </c>
      <c r="AL4174">
        <v>84.142084150628904</v>
      </c>
      <c r="AM4174">
        <v>96.585849269791794</v>
      </c>
      <c r="AN4174">
        <v>1.0000000690648501</v>
      </c>
    </row>
    <row r="4175" spans="1:40" x14ac:dyDescent="0.25">
      <c r="A4175" t="str">
        <f>"20190312151357611"</f>
        <v>20190312151357611</v>
      </c>
      <c r="B4175" t="str">
        <f>"1552374837605004"</f>
        <v>1552374837605004</v>
      </c>
      <c r="C4175" t="s">
        <v>40</v>
      </c>
      <c r="D4175">
        <v>4.4652089999999998</v>
      </c>
      <c r="E4175">
        <v>0.48683330000000002</v>
      </c>
      <c r="F4175" t="s">
        <v>42</v>
      </c>
      <c r="G4175">
        <v>-367.1309</v>
      </c>
      <c r="H4175" s="1">
        <v>-1.24013E-6</v>
      </c>
      <c r="I4175">
        <v>139.4641</v>
      </c>
      <c r="J4175">
        <v>-353.44479999999999</v>
      </c>
      <c r="K4175">
        <v>1.1108469999999999</v>
      </c>
      <c r="L4175">
        <v>142.286</v>
      </c>
      <c r="M4175">
        <v>-0.99906159999999999</v>
      </c>
      <c r="N4175">
        <v>0</v>
      </c>
      <c r="O4175">
        <v>-4.050811E-2</v>
      </c>
      <c r="P4175">
        <v>-0.9838808</v>
      </c>
      <c r="Q4175">
        <v>8.8327089999999997E-2</v>
      </c>
      <c r="R4175">
        <v>-0.15549079999999901</v>
      </c>
      <c r="S4175">
        <v>-2.9752809999999998</v>
      </c>
      <c r="T4175">
        <v>-0.23429159999999999</v>
      </c>
      <c r="U4175">
        <v>-0.59883120000000001</v>
      </c>
      <c r="V4175">
        <v>-0.1156958</v>
      </c>
      <c r="W4175">
        <v>0.1032766</v>
      </c>
      <c r="X4175">
        <v>0.98790100000000003</v>
      </c>
      <c r="Y4175">
        <v>-0.15708739999999999</v>
      </c>
      <c r="Z4175">
        <v>-2.9644179999999999E-3</v>
      </c>
      <c r="AA4175">
        <v>0.98758020000000002</v>
      </c>
      <c r="AB4175">
        <v>42</v>
      </c>
      <c r="AC4175">
        <v>-13.6861</v>
      </c>
      <c r="AD4175">
        <v>-1.1108482401299999</v>
      </c>
      <c r="AE4175">
        <v>-2.8218999999999901</v>
      </c>
      <c r="AF4175">
        <v>-2.25089599515234</v>
      </c>
      <c r="AG4175">
        <v>-1.1108482401299999</v>
      </c>
      <c r="AH4175">
        <v>13.702596489910199</v>
      </c>
      <c r="AI4175">
        <v>94.573712072413599</v>
      </c>
      <c r="AJ4175">
        <v>99.32854270739</v>
      </c>
      <c r="AK4175">
        <v>13.930601823284301</v>
      </c>
      <c r="AL4175">
        <v>84.072116701229703</v>
      </c>
      <c r="AM4175">
        <v>96.679639069010406</v>
      </c>
      <c r="AN4175">
        <v>0.99999998002309898</v>
      </c>
    </row>
    <row r="4176" spans="1:40" x14ac:dyDescent="0.25">
      <c r="A4176" t="str">
        <f>"20190312151357631"</f>
        <v>20190312151357631</v>
      </c>
      <c r="B4176" t="str">
        <f>"1552374837624524"</f>
        <v>1552374837624524</v>
      </c>
      <c r="C4176" t="s">
        <v>40</v>
      </c>
      <c r="D4176">
        <v>4.6294690000000003</v>
      </c>
      <c r="E4176">
        <v>0.48697629999999997</v>
      </c>
      <c r="F4176" t="s">
        <v>42</v>
      </c>
      <c r="G4176">
        <v>-367.86309999999997</v>
      </c>
      <c r="H4176" s="1">
        <v>-9.4436399999999997E-7</v>
      </c>
      <c r="I4176">
        <v>139.36060000000001</v>
      </c>
      <c r="J4176">
        <v>-353.81119999999999</v>
      </c>
      <c r="K4176">
        <v>1.11086</v>
      </c>
      <c r="L4176">
        <v>142.27070000000001</v>
      </c>
      <c r="M4176">
        <v>-0.99903699999999995</v>
      </c>
      <c r="N4176">
        <v>0</v>
      </c>
      <c r="O4176">
        <v>-4.1107890000000001E-2</v>
      </c>
      <c r="P4176">
        <v>-0.98347189999999995</v>
      </c>
      <c r="Q4176">
        <v>8.8675420000000005E-2</v>
      </c>
      <c r="R4176">
        <v>-0.15786040000000001</v>
      </c>
      <c r="S4176">
        <v>-2.9743650000000001</v>
      </c>
      <c r="T4176">
        <v>-0.2291589</v>
      </c>
      <c r="U4176">
        <v>-0.60346979999999995</v>
      </c>
      <c r="V4176">
        <v>-0.1174877</v>
      </c>
      <c r="W4176">
        <v>0.10361339999999999</v>
      </c>
      <c r="X4176">
        <v>0.98765429999999999</v>
      </c>
      <c r="Y4176">
        <v>-0.15804689999999999</v>
      </c>
      <c r="Z4176">
        <v>-2.8910950000000002E-3</v>
      </c>
      <c r="AA4176">
        <v>0.98742739999999996</v>
      </c>
      <c r="AB4176">
        <v>42</v>
      </c>
      <c r="AC4176">
        <v>-14.0518999999999</v>
      </c>
      <c r="AD4176">
        <v>-1.1108609443640001</v>
      </c>
      <c r="AE4176">
        <v>-2.9100999999999999</v>
      </c>
      <c r="AF4176">
        <v>-2.3160486233322701</v>
      </c>
      <c r="AG4176">
        <v>-1.1108609443640001</v>
      </c>
      <c r="AH4176">
        <v>14.0753145255941</v>
      </c>
      <c r="AI4176">
        <v>94.4529453309557</v>
      </c>
      <c r="AJ4176">
        <v>99.344107623283804</v>
      </c>
      <c r="AK4176">
        <v>14.307780130326</v>
      </c>
      <c r="AL4176">
        <v>84.052715852946704</v>
      </c>
      <c r="AM4176">
        <v>96.783815370293993</v>
      </c>
      <c r="AN4176">
        <v>1.00000005630966</v>
      </c>
    </row>
    <row r="4177" spans="1:40" x14ac:dyDescent="0.25">
      <c r="A4177" t="str">
        <f>"20190312151357652"</f>
        <v>20190312151357652</v>
      </c>
      <c r="B4177" t="str">
        <f>"1552374837644044"</f>
        <v>1552374837644044</v>
      </c>
      <c r="C4177" t="s">
        <v>40</v>
      </c>
      <c r="D4177">
        <v>4.4748099999999997</v>
      </c>
      <c r="E4177">
        <v>0.48715130000000001</v>
      </c>
      <c r="F4177" t="s">
        <v>42</v>
      </c>
      <c r="G4177">
        <v>-368.31900000000002</v>
      </c>
      <c r="H4177" s="1">
        <v>-7.6012559999999899E-7</v>
      </c>
      <c r="I4177">
        <v>139.29669999999999</v>
      </c>
      <c r="J4177">
        <v>-354.22550000000001</v>
      </c>
      <c r="K4177">
        <v>1.1108709999999999</v>
      </c>
      <c r="L4177">
        <v>142.25299999999999</v>
      </c>
      <c r="M4177">
        <v>-0.99900880000000003</v>
      </c>
      <c r="N4177">
        <v>0</v>
      </c>
      <c r="O4177">
        <v>-4.1792299999999998E-2</v>
      </c>
      <c r="P4177">
        <v>-0.98303850000000004</v>
      </c>
      <c r="Q4177">
        <v>8.8449040000000007E-2</v>
      </c>
      <c r="R4177">
        <v>-0.16066279999999999</v>
      </c>
      <c r="S4177">
        <v>-2.9730829999999999</v>
      </c>
      <c r="T4177">
        <v>-0.22764860000000001</v>
      </c>
      <c r="U4177">
        <v>-0.60943599999999998</v>
      </c>
      <c r="V4177">
        <v>-0.1196295</v>
      </c>
      <c r="W4177">
        <v>0.1033738</v>
      </c>
      <c r="X4177">
        <v>0.98742220000000003</v>
      </c>
      <c r="Y4177">
        <v>-0.15935820000000001</v>
      </c>
      <c r="Z4177">
        <v>-2.8707289999999998E-3</v>
      </c>
      <c r="AA4177">
        <v>0.98721669999999995</v>
      </c>
      <c r="AB4177">
        <v>42</v>
      </c>
      <c r="AC4177">
        <v>-14.093500000000001</v>
      </c>
      <c r="AD4177">
        <v>-1.1108717601256</v>
      </c>
      <c r="AE4177">
        <v>-2.9562999999999899</v>
      </c>
      <c r="AF4177">
        <v>-2.3506588347722799</v>
      </c>
      <c r="AG4177">
        <v>-1.1108717601256</v>
      </c>
      <c r="AH4177">
        <v>14.1207167149696</v>
      </c>
      <c r="AI4177">
        <v>94.437359568817001</v>
      </c>
      <c r="AJ4177">
        <v>99.451291601524701</v>
      </c>
      <c r="AK4177">
        <v>14.3580734630159</v>
      </c>
      <c r="AL4177">
        <v>84.066517585170999</v>
      </c>
      <c r="AM4177">
        <v>96.907908088361296</v>
      </c>
      <c r="AN4177">
        <v>0.99999998042476401</v>
      </c>
    </row>
    <row r="4178" spans="1:40" x14ac:dyDescent="0.25">
      <c r="A4178" t="str">
        <f>"20190312151357676"</f>
        <v>20190312151357676</v>
      </c>
      <c r="B4178" t="str">
        <f>"1552374837664540"</f>
        <v>1552374837664540</v>
      </c>
      <c r="C4178" t="s">
        <v>40</v>
      </c>
      <c r="D4178">
        <v>4.719881</v>
      </c>
      <c r="E4178">
        <v>0.4873672</v>
      </c>
      <c r="F4178" t="s">
        <v>42</v>
      </c>
      <c r="G4178">
        <v>-368.6628</v>
      </c>
      <c r="H4178" s="1">
        <v>-6.1937109999999898E-7</v>
      </c>
      <c r="I4178">
        <v>139.25880000000001</v>
      </c>
      <c r="J4178">
        <v>-354.6619</v>
      </c>
      <c r="K4178">
        <v>1.1108789999999999</v>
      </c>
      <c r="L4178">
        <v>142.23410000000001</v>
      </c>
      <c r="M4178">
        <v>-0.99897829999999999</v>
      </c>
      <c r="N4178">
        <v>0</v>
      </c>
      <c r="O4178">
        <v>-4.251899E-2</v>
      </c>
      <c r="P4178">
        <v>-0.98255380000000003</v>
      </c>
      <c r="Q4178">
        <v>8.9733789999999994E-2</v>
      </c>
      <c r="R4178">
        <v>-0.16290009999999999</v>
      </c>
      <c r="S4178">
        <v>-2.9715880000000001</v>
      </c>
      <c r="T4178">
        <v>-0.2286483</v>
      </c>
      <c r="U4178">
        <v>-0.61627200000000004</v>
      </c>
      <c r="V4178">
        <v>-0.12116929999999999</v>
      </c>
      <c r="W4178">
        <v>0.1046448</v>
      </c>
      <c r="X4178">
        <v>0.98710050000000005</v>
      </c>
      <c r="Y4178">
        <v>-0.16091059999999999</v>
      </c>
      <c r="Z4178">
        <v>-2.8880109999999998E-3</v>
      </c>
      <c r="AA4178">
        <v>0.98696479999999998</v>
      </c>
      <c r="AB4178">
        <v>42</v>
      </c>
      <c r="AC4178">
        <v>-14.0009</v>
      </c>
      <c r="AD4178">
        <v>-1.1108796193710999</v>
      </c>
      <c r="AE4178">
        <v>-2.9752999999999998</v>
      </c>
      <c r="AF4178">
        <v>-2.36300151507429</v>
      </c>
      <c r="AG4178">
        <v>-1.1108796193710999</v>
      </c>
      <c r="AH4178">
        <v>14.030247660361001</v>
      </c>
      <c r="AI4178">
        <v>94.464473657301994</v>
      </c>
      <c r="AJ4178">
        <v>99.560145863109199</v>
      </c>
      <c r="AK4178">
        <v>14.2711484856701</v>
      </c>
      <c r="AL4178">
        <v>83.993297429596197</v>
      </c>
      <c r="AM4178">
        <v>96.998204381026596</v>
      </c>
      <c r="AN4178">
        <v>0.99999996526488899</v>
      </c>
    </row>
    <row r="4179" spans="1:40" x14ac:dyDescent="0.25">
      <c r="A4179" t="str">
        <f>"20190312151357697"</f>
        <v>20190312151357697</v>
      </c>
      <c r="B4179" t="str">
        <f>"1552374837694796"</f>
        <v>1552374837694796</v>
      </c>
      <c r="C4179" t="s">
        <v>40</v>
      </c>
      <c r="D4179">
        <v>4.6067179999999999</v>
      </c>
      <c r="E4179">
        <v>0.48764239999999998</v>
      </c>
      <c r="F4179" t="s">
        <v>42</v>
      </c>
      <c r="G4179">
        <v>-369.33190000000002</v>
      </c>
      <c r="H4179" s="1">
        <v>-3.4920799999999999E-7</v>
      </c>
      <c r="I4179">
        <v>139.1636</v>
      </c>
      <c r="J4179">
        <v>-355.06470000000002</v>
      </c>
      <c r="K4179">
        <v>1.110894</v>
      </c>
      <c r="L4179">
        <v>142.21629999999999</v>
      </c>
      <c r="M4179">
        <v>-0.99894930000000004</v>
      </c>
      <c r="N4179">
        <v>0</v>
      </c>
      <c r="O4179">
        <v>-4.3193450000000001E-2</v>
      </c>
      <c r="P4179">
        <v>-0.98211400000000004</v>
      </c>
      <c r="Q4179">
        <v>9.0520299999999998E-2</v>
      </c>
      <c r="R4179">
        <v>-0.16510169999999999</v>
      </c>
      <c r="S4179">
        <v>-2.9707340000000002</v>
      </c>
      <c r="T4179">
        <v>-0.22495770000000001</v>
      </c>
      <c r="U4179">
        <v>-0.62176509999999996</v>
      </c>
      <c r="V4179">
        <v>-0.1227222</v>
      </c>
      <c r="W4179">
        <v>0.10541970000000001</v>
      </c>
      <c r="X4179">
        <v>0.98682619999999999</v>
      </c>
      <c r="Y4179">
        <v>-0.16205910000000001</v>
      </c>
      <c r="Z4179">
        <v>-2.8344680000000001E-3</v>
      </c>
      <c r="AA4179">
        <v>0.98677700000000002</v>
      </c>
      <c r="AB4179">
        <v>42</v>
      </c>
      <c r="AC4179">
        <v>-14.267200000000001</v>
      </c>
      <c r="AD4179">
        <v>-1.1108943492079999</v>
      </c>
      <c r="AE4179">
        <v>-3.0526999999999802</v>
      </c>
      <c r="AF4179">
        <v>-2.41950181615573</v>
      </c>
      <c r="AG4179">
        <v>-1.1108943492079999</v>
      </c>
      <c r="AH4179">
        <v>14.3028357341149</v>
      </c>
      <c r="AI4179">
        <v>94.3792502484892</v>
      </c>
      <c r="AJ4179">
        <v>99.601395114935698</v>
      </c>
      <c r="AK4179">
        <v>14.548511447242801</v>
      </c>
      <c r="AL4179">
        <v>83.948652197754697</v>
      </c>
      <c r="AM4179">
        <v>97.088936585530206</v>
      </c>
      <c r="AN4179">
        <v>1.00000000026368</v>
      </c>
    </row>
    <row r="4180" spans="1:40" x14ac:dyDescent="0.25">
      <c r="A4180" t="str">
        <f>"20190312151357720"</f>
        <v>20190312151357720</v>
      </c>
      <c r="B4180" t="str">
        <f>"1552374837714315"</f>
        <v>1552374837714315</v>
      </c>
      <c r="C4180" t="s">
        <v>40</v>
      </c>
      <c r="D4180">
        <v>4.5149109999999997</v>
      </c>
      <c r="E4180">
        <v>0.48781200000000002</v>
      </c>
      <c r="F4180" t="s">
        <v>42</v>
      </c>
      <c r="G4180">
        <v>-369.83760000000001</v>
      </c>
      <c r="H4180" s="1">
        <v>-1.791021E-7</v>
      </c>
      <c r="I4180">
        <v>139.0984</v>
      </c>
      <c r="J4180">
        <v>-355.4889</v>
      </c>
      <c r="K4180">
        <v>1.1109070000000001</v>
      </c>
      <c r="L4180">
        <v>142.19739999999999</v>
      </c>
      <c r="M4180">
        <v>-0.99891810000000003</v>
      </c>
      <c r="N4180">
        <v>0</v>
      </c>
      <c r="O4180">
        <v>-4.3907469999999997E-2</v>
      </c>
      <c r="P4180">
        <v>-0.9815218</v>
      </c>
      <c r="Q4180">
        <v>9.1666600000000001E-2</v>
      </c>
      <c r="R4180">
        <v>-0.167965</v>
      </c>
      <c r="S4180">
        <v>-2.9698180000000001</v>
      </c>
      <c r="T4180">
        <v>-0.223325</v>
      </c>
      <c r="U4180">
        <v>-0.62678529999999999</v>
      </c>
      <c r="V4180">
        <v>-0.12490469999999999</v>
      </c>
      <c r="W4180">
        <v>0.10655050000000001</v>
      </c>
      <c r="X4180">
        <v>0.98643080000000005</v>
      </c>
      <c r="Y4180">
        <v>-0.1630161</v>
      </c>
      <c r="Z4180">
        <v>-2.7970069999999998E-3</v>
      </c>
      <c r="AA4180">
        <v>0.98661940000000004</v>
      </c>
      <c r="AB4180">
        <v>42</v>
      </c>
      <c r="AC4180">
        <v>-14.348699999999999</v>
      </c>
      <c r="AD4180">
        <v>-1.1109071791020999</v>
      </c>
      <c r="AE4180">
        <v>-3.0989999999999802</v>
      </c>
      <c r="AF4180">
        <v>-2.4518795285042501</v>
      </c>
      <c r="AG4180">
        <v>-1.1109071791020999</v>
      </c>
      <c r="AH4180">
        <v>14.3885403245832</v>
      </c>
      <c r="AI4180">
        <v>94.352426923034102</v>
      </c>
      <c r="AJ4180">
        <v>99.670598031612897</v>
      </c>
      <c r="AK4180">
        <v>14.6381665742345</v>
      </c>
      <c r="AL4180">
        <v>83.883494885278296</v>
      </c>
      <c r="AM4180">
        <v>97.216551132701696</v>
      </c>
      <c r="AN4180">
        <v>0.99999995816048903</v>
      </c>
    </row>
    <row r="4181" spans="1:40" x14ac:dyDescent="0.25">
      <c r="A4181" t="str">
        <f>"20190312151357742"</f>
        <v>20190312151357742</v>
      </c>
      <c r="B4181" t="str">
        <f>"1552374837734816"</f>
        <v>1552374837734816</v>
      </c>
      <c r="C4181" t="s">
        <v>40</v>
      </c>
      <c r="D4181">
        <v>4.4904380000000002</v>
      </c>
      <c r="E4181">
        <v>0.48799120000000001</v>
      </c>
      <c r="F4181" t="s">
        <v>42</v>
      </c>
      <c r="G4181">
        <v>-370.45319999999998</v>
      </c>
      <c r="H4181" s="1">
        <v>-4.1872039999999996E-6</v>
      </c>
      <c r="I4181">
        <v>138.99979999999999</v>
      </c>
      <c r="J4181">
        <v>-355.9085</v>
      </c>
      <c r="K4181">
        <v>1.110916</v>
      </c>
      <c r="L4181">
        <v>142.17830000000001</v>
      </c>
      <c r="M4181">
        <v>-0.99888699999999997</v>
      </c>
      <c r="N4181">
        <v>0</v>
      </c>
      <c r="O4181">
        <v>-4.4616599999999999E-2</v>
      </c>
      <c r="P4181">
        <v>-0.9808943</v>
      </c>
      <c r="Q4181">
        <v>9.252465E-2</v>
      </c>
      <c r="R4181">
        <v>-0.17113049999999999</v>
      </c>
      <c r="S4181">
        <v>-2.9685060000000001</v>
      </c>
      <c r="T4181">
        <v>-0.22037509999999999</v>
      </c>
      <c r="U4181">
        <v>-0.63430790000000004</v>
      </c>
      <c r="V4181">
        <v>-0.12739600000000001</v>
      </c>
      <c r="W4181">
        <v>0.107393</v>
      </c>
      <c r="X4181">
        <v>0.98602080000000003</v>
      </c>
      <c r="Y4181">
        <v>-0.16480149999999999</v>
      </c>
      <c r="Z4181">
        <v>-2.77429E-3</v>
      </c>
      <c r="AA4181">
        <v>0.9863229</v>
      </c>
      <c r="AB4181">
        <v>42</v>
      </c>
      <c r="AC4181">
        <v>-14.544699999999899</v>
      </c>
      <c r="AD4181">
        <v>-1.110920187204</v>
      </c>
      <c r="AE4181">
        <v>-3.1785000000000099</v>
      </c>
      <c r="AF4181">
        <v>-2.5123344515632202</v>
      </c>
      <c r="AG4181">
        <v>-1.110920187204</v>
      </c>
      <c r="AH4181">
        <v>14.5908022946429</v>
      </c>
      <c r="AI4181">
        <v>94.291102100315996</v>
      </c>
      <c r="AJ4181">
        <v>99.769741535410304</v>
      </c>
      <c r="AK4181">
        <v>14.847137086327599</v>
      </c>
      <c r="AL4181">
        <v>83.834944915227993</v>
      </c>
      <c r="AM4181">
        <v>97.361953414807502</v>
      </c>
      <c r="AN4181">
        <v>1.00000000764882</v>
      </c>
    </row>
    <row r="4182" spans="1:40" x14ac:dyDescent="0.25">
      <c r="A4182" t="str">
        <f>"20190312151357766"</f>
        <v>20190312151357766</v>
      </c>
      <c r="B4182" t="str">
        <f>"1552374837754332"</f>
        <v>1552374837754332</v>
      </c>
      <c r="C4182" t="s">
        <v>40</v>
      </c>
      <c r="D4182">
        <v>4.5291790000000001</v>
      </c>
      <c r="E4182">
        <v>0.48816700000000002</v>
      </c>
      <c r="F4182" t="s">
        <v>42</v>
      </c>
      <c r="G4182">
        <v>-371.00409999999999</v>
      </c>
      <c r="H4182" s="1">
        <v>-3.9666289999999996E-6</v>
      </c>
      <c r="I4182">
        <v>138.9109</v>
      </c>
      <c r="J4182">
        <v>-356.34230000000002</v>
      </c>
      <c r="K4182">
        <v>1.1109230000000001</v>
      </c>
      <c r="L4182">
        <v>142.1583</v>
      </c>
      <c r="M4182">
        <v>-0.99885380000000001</v>
      </c>
      <c r="N4182">
        <v>0</v>
      </c>
      <c r="O4182">
        <v>-4.5352679999999999E-2</v>
      </c>
      <c r="P4182">
        <v>-0.98028300000000002</v>
      </c>
      <c r="Q4182">
        <v>9.3475950000000002E-2</v>
      </c>
      <c r="R4182">
        <v>-0.17409150000000001</v>
      </c>
      <c r="S4182">
        <v>-2.9670100000000001</v>
      </c>
      <c r="T4182">
        <v>-0.21834990000000001</v>
      </c>
      <c r="U4182">
        <v>-0.64218140000000001</v>
      </c>
      <c r="V4182">
        <v>-0.1296561</v>
      </c>
      <c r="W4182">
        <v>0.1083283</v>
      </c>
      <c r="X4182">
        <v>0.98562380000000005</v>
      </c>
      <c r="Y4182">
        <v>-0.166680299999999</v>
      </c>
      <c r="Z4182">
        <v>-2.7644409999999999E-3</v>
      </c>
      <c r="AA4182">
        <v>0.98600710000000003</v>
      </c>
      <c r="AB4182">
        <v>42</v>
      </c>
      <c r="AC4182">
        <v>-14.6617999999999</v>
      </c>
      <c r="AD4182">
        <v>-1.11092696662899</v>
      </c>
      <c r="AE4182">
        <v>-3.2473999999999901</v>
      </c>
      <c r="AF4182">
        <v>-2.5649906632616499</v>
      </c>
      <c r="AG4182">
        <v>-1.11092696662899</v>
      </c>
      <c r="AH4182">
        <v>14.7134838481596</v>
      </c>
      <c r="AI4182">
        <v>94.253952472981794</v>
      </c>
      <c r="AJ4182">
        <v>99.888952324420302</v>
      </c>
      <c r="AK4182">
        <v>14.9766465798541</v>
      </c>
      <c r="AL4182">
        <v>83.781041653040504</v>
      </c>
      <c r="AM4182">
        <v>97.494072390231807</v>
      </c>
      <c r="AN4182">
        <v>0.99999999998726996</v>
      </c>
    </row>
    <row r="4183" spans="1:40" x14ac:dyDescent="0.25">
      <c r="A4183" t="str">
        <f>"20190312151357788"</f>
        <v>20190312151357788</v>
      </c>
      <c r="B4183" t="str">
        <f>"1552374837784588"</f>
        <v>1552374837784588</v>
      </c>
      <c r="C4183" t="s">
        <v>40</v>
      </c>
      <c r="D4183">
        <v>4.5424620000000004</v>
      </c>
      <c r="E4183">
        <v>0.49304940000000003</v>
      </c>
      <c r="F4183" t="s">
        <v>42</v>
      </c>
      <c r="G4183">
        <v>-371.53739999999999</v>
      </c>
      <c r="H4183" s="1">
        <v>-3.7524549999999999E-6</v>
      </c>
      <c r="I4183">
        <v>138.8287</v>
      </c>
      <c r="J4183">
        <v>-356.76609999999999</v>
      </c>
      <c r="K4183">
        <v>1.110938</v>
      </c>
      <c r="L4183">
        <v>142.13839999999999</v>
      </c>
      <c r="M4183">
        <v>-0.99882059999999995</v>
      </c>
      <c r="N4183">
        <v>0</v>
      </c>
      <c r="O4183">
        <v>-4.6081200000000003E-2</v>
      </c>
      <c r="P4183">
        <v>-0.97955479999999995</v>
      </c>
      <c r="Q4183">
        <v>9.4470620000000005E-2</v>
      </c>
      <c r="R4183">
        <v>-0.17761859999999999</v>
      </c>
      <c r="S4183">
        <v>-2.965576</v>
      </c>
      <c r="T4183">
        <v>-0.2168177</v>
      </c>
      <c r="U4183">
        <v>-0.64981080000000002</v>
      </c>
      <c r="V4183">
        <v>-0.13249649999999999</v>
      </c>
      <c r="W4183">
        <v>0.10930429999999999</v>
      </c>
      <c r="X4183">
        <v>0.98513819999999996</v>
      </c>
      <c r="Y4183">
        <v>-0.16848289999999999</v>
      </c>
      <c r="Z4183">
        <v>-2.7583270000000001E-3</v>
      </c>
      <c r="AA4183">
        <v>0.98570069999999999</v>
      </c>
      <c r="AB4183">
        <v>42</v>
      </c>
      <c r="AC4183">
        <v>-14.771299999999901</v>
      </c>
      <c r="AD4183">
        <v>-1.110941752455</v>
      </c>
      <c r="AE4183">
        <v>-3.3096999999999901</v>
      </c>
      <c r="AF4183">
        <v>-2.6113594679325698</v>
      </c>
      <c r="AG4183">
        <v>-1.110941752455</v>
      </c>
      <c r="AH4183">
        <v>14.8282715242902</v>
      </c>
      <c r="AI4183">
        <v>94.219926749187493</v>
      </c>
      <c r="AJ4183">
        <v>99.987764591700099</v>
      </c>
      <c r="AK4183">
        <v>15.0973847485644</v>
      </c>
      <c r="AL4183">
        <v>83.724787003085595</v>
      </c>
      <c r="AM4183">
        <v>97.660048688063497</v>
      </c>
      <c r="AN4183">
        <v>1.00000001280499</v>
      </c>
    </row>
    <row r="4184" spans="1:40" x14ac:dyDescent="0.25">
      <c r="A4184" t="str">
        <f>"20190312151357808"</f>
        <v>20190312151357808</v>
      </c>
      <c r="B4184" t="str">
        <f>"1552374837804108"</f>
        <v>1552374837804108</v>
      </c>
      <c r="C4184" t="s">
        <v>40</v>
      </c>
      <c r="D4184">
        <v>4.5826770000000003</v>
      </c>
      <c r="E4184">
        <v>0.46816930000000001</v>
      </c>
      <c r="F4184" t="s">
        <v>42</v>
      </c>
      <c r="G4184">
        <v>-367.50839999999999</v>
      </c>
      <c r="H4184" s="1">
        <v>-1.1188049999999999E-6</v>
      </c>
      <c r="I4184">
        <v>139.87029999999999</v>
      </c>
      <c r="J4184">
        <v>-357.16059999999999</v>
      </c>
      <c r="K4184">
        <v>1.110962</v>
      </c>
      <c r="L4184">
        <v>142.11959999999999</v>
      </c>
      <c r="M4184">
        <v>-0.99878840000000002</v>
      </c>
      <c r="N4184">
        <v>0</v>
      </c>
      <c r="O4184">
        <v>-4.6773559999999999E-2</v>
      </c>
      <c r="P4184">
        <v>-0.97864260000000003</v>
      </c>
      <c r="Q4184">
        <v>9.6065940000000002E-2</v>
      </c>
      <c r="R4184">
        <v>-0.1817415</v>
      </c>
      <c r="S4184">
        <v>-2.9783019999999998</v>
      </c>
      <c r="T4184">
        <v>-0.30800939999999999</v>
      </c>
      <c r="U4184">
        <v>-0.62881469999999995</v>
      </c>
      <c r="V4184">
        <v>-0.13597899999999999</v>
      </c>
      <c r="W4184">
        <v>0.1108759</v>
      </c>
      <c r="X4184">
        <v>0.98448780000000002</v>
      </c>
      <c r="Y4184">
        <v>-0.160004799999999</v>
      </c>
      <c r="Z4184">
        <v>-3.396788E-3</v>
      </c>
      <c r="AA4184">
        <v>0.98711040000000005</v>
      </c>
      <c r="AB4184">
        <v>42</v>
      </c>
      <c r="AC4184">
        <v>-10.347799999999999</v>
      </c>
      <c r="AD4184">
        <v>-1.110963118805</v>
      </c>
      <c r="AE4184">
        <v>-2.2492999999999999</v>
      </c>
      <c r="AF4184">
        <v>-1.7435865791129901</v>
      </c>
      <c r="AG4184">
        <v>-1.110963118805</v>
      </c>
      <c r="AH4184">
        <v>10.3280156569925</v>
      </c>
      <c r="AI4184">
        <v>96.054556990419201</v>
      </c>
      <c r="AJ4184">
        <v>99.582381733126894</v>
      </c>
      <c r="AK4184">
        <v>10.5329122573622</v>
      </c>
      <c r="AL4184">
        <v>83.634190125868002</v>
      </c>
      <c r="AM4184">
        <v>97.8640260575783</v>
      </c>
      <c r="AN4184">
        <v>0.99999999099532499</v>
      </c>
    </row>
    <row r="4185" spans="1:40" x14ac:dyDescent="0.25">
      <c r="A4185" t="str">
        <f>"20190312151357832"</f>
        <v>20190312151357832</v>
      </c>
      <c r="B4185" t="str">
        <f>"1552374837824604"</f>
        <v>1552374837824604</v>
      </c>
      <c r="C4185" t="s">
        <v>40</v>
      </c>
      <c r="D4185">
        <v>4.5191220000000003</v>
      </c>
      <c r="E4185">
        <v>0.45914440000000001</v>
      </c>
      <c r="F4185" t="s">
        <v>42</v>
      </c>
      <c r="G4185">
        <v>-367.9796</v>
      </c>
      <c r="H4185" s="1">
        <v>-9.5144720000000002E-7</v>
      </c>
      <c r="I4185">
        <v>139.03899999999999</v>
      </c>
      <c r="J4185">
        <v>-357.60059999999999</v>
      </c>
      <c r="K4185">
        <v>1.110989</v>
      </c>
      <c r="L4185">
        <v>142.09829999999999</v>
      </c>
      <c r="M4185">
        <v>-0.99875119999999895</v>
      </c>
      <c r="N4185">
        <v>0</v>
      </c>
      <c r="O4185">
        <v>-4.7564019999999999E-2</v>
      </c>
      <c r="P4185">
        <v>-0.97770570000000001</v>
      </c>
      <c r="Q4185">
        <v>9.7540520000000006E-2</v>
      </c>
      <c r="R4185">
        <v>-0.1859519</v>
      </c>
      <c r="S4185">
        <v>-2.939667</v>
      </c>
      <c r="T4185">
        <v>-0.30186629999999998</v>
      </c>
      <c r="U4185">
        <v>-0.83702089999999996</v>
      </c>
      <c r="V4185">
        <v>-0.13945539999999901</v>
      </c>
      <c r="W4185">
        <v>0.11232399999999999</v>
      </c>
      <c r="X4185">
        <v>0.98383710000000002</v>
      </c>
      <c r="Y4185">
        <v>-0.2269178</v>
      </c>
      <c r="Z4185">
        <v>-6.6269819999999896E-3</v>
      </c>
      <c r="AA4185">
        <v>0.97389139999999996</v>
      </c>
      <c r="AB4185">
        <v>42</v>
      </c>
      <c r="AC4185">
        <v>-10.379</v>
      </c>
      <c r="AD4185">
        <v>-1.1109899514471999</v>
      </c>
      <c r="AE4185">
        <v>-3.0592999999999999</v>
      </c>
      <c r="AF4185">
        <v>-2.5353837536385502</v>
      </c>
      <c r="AG4185">
        <v>-1.1109899514471999</v>
      </c>
      <c r="AH4185">
        <v>10.4031093457582</v>
      </c>
      <c r="AI4185">
        <v>95.923645762115399</v>
      </c>
      <c r="AJ4185">
        <v>103.69677190512699</v>
      </c>
      <c r="AK4185">
        <v>10.765089572791901</v>
      </c>
      <c r="AL4185">
        <v>83.550698373256694</v>
      </c>
      <c r="AM4185">
        <v>98.067726496135506</v>
      </c>
      <c r="AN4185">
        <v>0.99999996445078398</v>
      </c>
    </row>
    <row r="4186" spans="1:40" x14ac:dyDescent="0.25">
      <c r="A4186" t="str">
        <f>"20190312151357855"</f>
        <v>20190312151357855</v>
      </c>
      <c r="B4186" t="str">
        <f>"1552374837844125"</f>
        <v>1552374837844125</v>
      </c>
      <c r="C4186" t="s">
        <v>40</v>
      </c>
      <c r="D4186">
        <v>4.5076939999999999</v>
      </c>
      <c r="E4186">
        <v>0.4565226</v>
      </c>
      <c r="F4186" t="s">
        <v>42</v>
      </c>
      <c r="G4186">
        <v>-367.99259999999998</v>
      </c>
      <c r="H4186" s="1">
        <v>-9.8454099999999992E-7</v>
      </c>
      <c r="I4186">
        <v>138.821</v>
      </c>
      <c r="J4186">
        <v>-358.02010000000001</v>
      </c>
      <c r="K4186">
        <v>1.111008</v>
      </c>
      <c r="L4186">
        <v>142.07759999999999</v>
      </c>
      <c r="M4186">
        <v>-0.99871370000000004</v>
      </c>
      <c r="N4186">
        <v>0</v>
      </c>
      <c r="O4186">
        <v>-4.8346489999999999E-2</v>
      </c>
      <c r="P4186">
        <v>-0.97677800000000004</v>
      </c>
      <c r="Q4186">
        <v>9.9023219999999995E-2</v>
      </c>
      <c r="R4186">
        <v>-0.18999820000000001</v>
      </c>
      <c r="S4186">
        <v>-2.924194</v>
      </c>
      <c r="T4186">
        <v>-0.31262200000000001</v>
      </c>
      <c r="U4186">
        <v>-0.92218020000000001</v>
      </c>
      <c r="V4186">
        <v>-0.14277809999999999</v>
      </c>
      <c r="W4186">
        <v>0.1137794</v>
      </c>
      <c r="X4186">
        <v>0.98319310000000004</v>
      </c>
      <c r="Y4186">
        <v>-0.2532372</v>
      </c>
      <c r="Z4186">
        <v>-8.1582400000000006E-3</v>
      </c>
      <c r="AA4186">
        <v>0.96736979999999995</v>
      </c>
      <c r="AB4186">
        <v>42</v>
      </c>
      <c r="AC4186">
        <v>-9.9724999999999593</v>
      </c>
      <c r="AD4186">
        <v>-1.1110089845410001</v>
      </c>
      <c r="AE4186">
        <v>-3.2565999999999899</v>
      </c>
      <c r="AF4186">
        <v>-2.73987008291467</v>
      </c>
      <c r="AG4186">
        <v>-1.1110089845410001</v>
      </c>
      <c r="AH4186">
        <v>10.006075593459901</v>
      </c>
      <c r="AI4186">
        <v>96.112581170362404</v>
      </c>
      <c r="AJ4186">
        <v>105.31341116964801</v>
      </c>
      <c r="AK4186">
        <v>10.4337326885931</v>
      </c>
      <c r="AL4186">
        <v>83.466772306991899</v>
      </c>
      <c r="AM4186">
        <v>98.262663751134298</v>
      </c>
      <c r="AN4186">
        <v>1.00000000479579</v>
      </c>
    </row>
    <row r="4187" spans="1:40" x14ac:dyDescent="0.25">
      <c r="A4187" t="str">
        <f>"20190312151357877"</f>
        <v>20190312151357877</v>
      </c>
      <c r="B4187" t="str">
        <f>"1552374837874380"</f>
        <v>1552374837874380</v>
      </c>
      <c r="C4187" t="s">
        <v>40</v>
      </c>
      <c r="D4187">
        <v>4.5127940000000004</v>
      </c>
      <c r="E4187">
        <v>0.45543600000000001</v>
      </c>
      <c r="F4187" t="s">
        <v>42</v>
      </c>
      <c r="G4187">
        <v>-367.94420000000002</v>
      </c>
      <c r="H4187" s="1">
        <v>-1.00495E-6</v>
      </c>
      <c r="I4187">
        <v>138.8229</v>
      </c>
      <c r="J4187">
        <v>-358.42910000000001</v>
      </c>
      <c r="K4187">
        <v>1.1110500000000001</v>
      </c>
      <c r="L4187">
        <v>142.05709999999999</v>
      </c>
      <c r="M4187">
        <v>-0.99867450000000002</v>
      </c>
      <c r="N4187">
        <v>0</v>
      </c>
      <c r="O4187">
        <v>-4.9150970000000002E-2</v>
      </c>
      <c r="P4187">
        <v>-0.97593399999999997</v>
      </c>
      <c r="Q4187">
        <v>0.1001063</v>
      </c>
      <c r="R4187">
        <v>-0.19373270000000001</v>
      </c>
      <c r="S4187">
        <v>-2.9182739999999998</v>
      </c>
      <c r="T4187">
        <v>-0.32670510000000003</v>
      </c>
      <c r="U4187">
        <v>-0.95704650000000002</v>
      </c>
      <c r="V4187">
        <v>-0.14576620000000001</v>
      </c>
      <c r="W4187">
        <v>0.1148334</v>
      </c>
      <c r="X4187">
        <v>0.9826319</v>
      </c>
      <c r="Y4187">
        <v>-0.26333030000000002</v>
      </c>
      <c r="Z4187">
        <v>-8.9871919999999998E-3</v>
      </c>
      <c r="AA4187">
        <v>0.96466390000000002</v>
      </c>
      <c r="AB4187">
        <v>42</v>
      </c>
      <c r="AC4187">
        <v>-9.5151000000000092</v>
      </c>
      <c r="AD4187">
        <v>-1.11105100495</v>
      </c>
      <c r="AE4187">
        <v>-3.23419999999998</v>
      </c>
      <c r="AF4187">
        <v>-2.72920155069643</v>
      </c>
      <c r="AG4187">
        <v>-1.11105100495</v>
      </c>
      <c r="AH4187">
        <v>9.5459051339301197</v>
      </c>
      <c r="AI4187">
        <v>96.385204995924994</v>
      </c>
      <c r="AJ4187">
        <v>105.95538432171099</v>
      </c>
      <c r="AK4187">
        <v>9.9903593662048795</v>
      </c>
      <c r="AL4187">
        <v>83.405983907636596</v>
      </c>
      <c r="AM4187">
        <v>98.437872369738002</v>
      </c>
      <c r="AN4187">
        <v>0.99999997285780395</v>
      </c>
    </row>
    <row r="4188" spans="1:40" x14ac:dyDescent="0.25">
      <c r="A4188" t="str">
        <f>"20190312151357899"</f>
        <v>20190312151357899</v>
      </c>
      <c r="B4188" t="str">
        <f>"1552374837894876"</f>
        <v>1552374837894876</v>
      </c>
      <c r="C4188" t="s">
        <v>40</v>
      </c>
      <c r="D4188">
        <v>4.5258699999999896</v>
      </c>
      <c r="E4188">
        <v>0.4551442</v>
      </c>
      <c r="F4188" t="s">
        <v>42</v>
      </c>
      <c r="G4188">
        <v>-368.30799999999999</v>
      </c>
      <c r="H4188" s="1">
        <v>-8.6321009999999995E-7</v>
      </c>
      <c r="I4188">
        <v>138.7422</v>
      </c>
      <c r="J4188">
        <v>-358.84469999999999</v>
      </c>
      <c r="K4188">
        <v>1.111092</v>
      </c>
      <c r="L4188">
        <v>142.0359</v>
      </c>
      <c r="M4188">
        <v>-0.99863109999999999</v>
      </c>
      <c r="N4188">
        <v>0</v>
      </c>
      <c r="O4188">
        <v>-5.0025689999999998E-2</v>
      </c>
      <c r="P4188">
        <v>-0.97515110000000005</v>
      </c>
      <c r="Q4188">
        <v>0.1010387</v>
      </c>
      <c r="R4188">
        <v>-0.19715930000000001</v>
      </c>
      <c r="S4188">
        <v>-2.913513</v>
      </c>
      <c r="T4188">
        <v>-0.32767560000000001</v>
      </c>
      <c r="U4188">
        <v>-0.97763060000000002</v>
      </c>
      <c r="V4188">
        <v>-0.1483795</v>
      </c>
      <c r="W4188">
        <v>0.1157339</v>
      </c>
      <c r="X4188">
        <v>0.98213499999999998</v>
      </c>
      <c r="Y4188">
        <v>-0.2690515</v>
      </c>
      <c r="Z4188">
        <v>-9.2353969999999994E-3</v>
      </c>
      <c r="AA4188">
        <v>0.96308150000000003</v>
      </c>
      <c r="AB4188">
        <v>42</v>
      </c>
      <c r="AC4188">
        <v>-9.4633000000000607</v>
      </c>
      <c r="AD4188">
        <v>-1.1110928632101</v>
      </c>
      <c r="AE4188">
        <v>-3.2936999999999999</v>
      </c>
      <c r="AF4188">
        <v>-2.7819060294198898</v>
      </c>
      <c r="AG4188">
        <v>-1.1110928632101</v>
      </c>
      <c r="AH4188">
        <v>9.4994343986231602</v>
      </c>
      <c r="AI4188">
        <v>96.404629101406698</v>
      </c>
      <c r="AJ4188">
        <v>106.32265077826899</v>
      </c>
      <c r="AK4188">
        <v>9.9605613496902894</v>
      </c>
      <c r="AL4188">
        <v>83.354042823656698</v>
      </c>
      <c r="AM4188">
        <v>98.591190759173401</v>
      </c>
      <c r="AN4188">
        <v>0.99999998492722897</v>
      </c>
    </row>
    <row r="4189" spans="1:40" x14ac:dyDescent="0.25">
      <c r="A4189" t="str">
        <f>"20190312151357922"</f>
        <v>20190312151357922</v>
      </c>
      <c r="B4189" t="str">
        <f>"1552374837914399"</f>
        <v>1552374837914399</v>
      </c>
      <c r="C4189" t="s">
        <v>40</v>
      </c>
      <c r="D4189">
        <v>4.5727180000000001</v>
      </c>
      <c r="E4189">
        <v>0.45501229999999998</v>
      </c>
      <c r="F4189" t="s">
        <v>42</v>
      </c>
      <c r="G4189">
        <v>-368.60050000000001</v>
      </c>
      <c r="H4189" s="1">
        <v>-7.4262649999999998E-7</v>
      </c>
      <c r="I4189">
        <v>138.71469999999999</v>
      </c>
      <c r="J4189">
        <v>-359.25529999999998</v>
      </c>
      <c r="K4189">
        <v>1.111154</v>
      </c>
      <c r="L4189">
        <v>142.0145</v>
      </c>
      <c r="M4189">
        <v>-0.99858389999999997</v>
      </c>
      <c r="N4189">
        <v>0</v>
      </c>
      <c r="O4189">
        <v>-5.0959459999999998E-2</v>
      </c>
      <c r="P4189">
        <v>-0.97435260000000001</v>
      </c>
      <c r="Q4189">
        <v>0.10207769999999999</v>
      </c>
      <c r="R4189">
        <v>-0.20054340000000001</v>
      </c>
      <c r="S4189">
        <v>-2.9104920000000001</v>
      </c>
      <c r="T4189">
        <v>-0.33148</v>
      </c>
      <c r="U4189">
        <v>-0.99081419999999998</v>
      </c>
      <c r="V4189">
        <v>-0.15089720000000001</v>
      </c>
      <c r="W4189">
        <v>0.11673550000000001</v>
      </c>
      <c r="X4189">
        <v>0.98163279999999997</v>
      </c>
      <c r="Y4189">
        <v>-0.2723236</v>
      </c>
      <c r="Z4189">
        <v>-9.4228209999999996E-3</v>
      </c>
      <c r="AA4189">
        <v>0.9621596</v>
      </c>
      <c r="AB4189">
        <v>42</v>
      </c>
      <c r="AC4189">
        <v>-9.3452000000000304</v>
      </c>
      <c r="AD4189">
        <v>-1.1111547426265</v>
      </c>
      <c r="AE4189">
        <v>-3.2997999999999998</v>
      </c>
      <c r="AF4189">
        <v>-2.7842313372420602</v>
      </c>
      <c r="AG4189">
        <v>-1.1111547426265</v>
      </c>
      <c r="AH4189">
        <v>9.38328092687264</v>
      </c>
      <c r="AI4189">
        <v>96.476848634999698</v>
      </c>
      <c r="AJ4189">
        <v>106.526811908428</v>
      </c>
      <c r="AK4189">
        <v>9.8505111519125705</v>
      </c>
      <c r="AL4189">
        <v>83.296264152422907</v>
      </c>
      <c r="AM4189">
        <v>98.739135722543907</v>
      </c>
      <c r="AN4189">
        <v>1.00000004798196</v>
      </c>
    </row>
    <row r="4190" spans="1:40" x14ac:dyDescent="0.25">
      <c r="A4190" t="str">
        <f>"20190312151357942"</f>
        <v>20190312151357942</v>
      </c>
      <c r="B4190" t="str">
        <f>"1552374837934892"</f>
        <v>1552374837934892</v>
      </c>
      <c r="C4190" t="s">
        <v>40</v>
      </c>
      <c r="D4190">
        <v>4.5542850000000001</v>
      </c>
      <c r="E4190">
        <v>0.45501760000000002</v>
      </c>
      <c r="F4190" t="s">
        <v>42</v>
      </c>
      <c r="G4190">
        <v>-369.01190000000003</v>
      </c>
      <c r="H4190" s="1">
        <v>-5.7920640000000003E-7</v>
      </c>
      <c r="I4190">
        <v>138.6508</v>
      </c>
      <c r="J4190">
        <v>-359.6551</v>
      </c>
      <c r="K4190">
        <v>1.1112299999999999</v>
      </c>
      <c r="L4190">
        <v>141.9933</v>
      </c>
      <c r="M4190">
        <v>-0.99853309999999995</v>
      </c>
      <c r="N4190">
        <v>0</v>
      </c>
      <c r="O4190">
        <v>-5.1944709999999998E-2</v>
      </c>
      <c r="P4190">
        <v>-0.97357320000000003</v>
      </c>
      <c r="Q4190">
        <v>0.1031299</v>
      </c>
      <c r="R4190">
        <v>-0.20376279999999999</v>
      </c>
      <c r="S4190">
        <v>-2.907349</v>
      </c>
      <c r="T4190">
        <v>-0.33111560000000001</v>
      </c>
      <c r="U4190">
        <v>-1.002335</v>
      </c>
      <c r="V4190">
        <v>-0.15320329999999999</v>
      </c>
      <c r="W4190">
        <v>0.11774800000000001</v>
      </c>
      <c r="X4190">
        <v>0.98115450000000004</v>
      </c>
      <c r="Y4190">
        <v>-0.27509460000000002</v>
      </c>
      <c r="Z4190">
        <v>-9.461143E-3</v>
      </c>
      <c r="AA4190">
        <v>0.96137059999999996</v>
      </c>
      <c r="AB4190">
        <v>42</v>
      </c>
      <c r="AC4190">
        <v>-9.3568000000000193</v>
      </c>
      <c r="AD4190">
        <v>-1.1112305792063999</v>
      </c>
      <c r="AE4190">
        <v>-3.3424999999999998</v>
      </c>
      <c r="AF4190">
        <v>-2.8166621162544399</v>
      </c>
      <c r="AG4190">
        <v>-1.1112305792063999</v>
      </c>
      <c r="AH4190">
        <v>9.4002306309870693</v>
      </c>
      <c r="AI4190">
        <v>96.460591287615799</v>
      </c>
      <c r="AJ4190">
        <v>106.68019039990899</v>
      </c>
      <c r="AK4190">
        <v>9.8758672932079197</v>
      </c>
      <c r="AL4190">
        <v>83.237848971103702</v>
      </c>
      <c r="AM4190">
        <v>98.874839425639905</v>
      </c>
      <c r="AN4190">
        <v>0.99999999775256998</v>
      </c>
    </row>
    <row r="4191" spans="1:40" x14ac:dyDescent="0.25">
      <c r="A4191" t="str">
        <f>"20190312151357967"</f>
        <v>20190312151357967</v>
      </c>
      <c r="B4191" t="str">
        <f>"1552374837954412"</f>
        <v>1552374837954412</v>
      </c>
      <c r="C4191" t="s">
        <v>40</v>
      </c>
      <c r="D4191">
        <v>4.5598739999999998</v>
      </c>
      <c r="E4191">
        <v>0.45503969999999999</v>
      </c>
      <c r="F4191" t="s">
        <v>42</v>
      </c>
      <c r="G4191">
        <v>-369.4083</v>
      </c>
      <c r="H4191" s="1">
        <v>-4.5943749999999997E-7</v>
      </c>
      <c r="I4191">
        <v>138.59389999999999</v>
      </c>
      <c r="J4191">
        <v>-360.0872</v>
      </c>
      <c r="K4191">
        <v>1.11131</v>
      </c>
      <c r="L4191">
        <v>141.96979999999999</v>
      </c>
      <c r="M4191">
        <v>-0.99847249999999999</v>
      </c>
      <c r="N4191">
        <v>0</v>
      </c>
      <c r="O4191">
        <v>-5.3101339999999997E-2</v>
      </c>
      <c r="P4191">
        <v>-0.97273580000000004</v>
      </c>
      <c r="Q4191">
        <v>0.1038756</v>
      </c>
      <c r="R4191">
        <v>-0.2073527</v>
      </c>
      <c r="S4191">
        <v>-2.9046020000000001</v>
      </c>
      <c r="T4191">
        <v>-0.3309377</v>
      </c>
      <c r="U4191">
        <v>-1.0123439999999999</v>
      </c>
      <c r="V4191">
        <v>-0.15571889999999999</v>
      </c>
      <c r="W4191">
        <v>0.11844780000000001</v>
      </c>
      <c r="X4191">
        <v>0.98067409999999999</v>
      </c>
      <c r="Y4191">
        <v>-0.2772136</v>
      </c>
      <c r="Z4191">
        <v>-9.4494399999999999E-3</v>
      </c>
      <c r="AA4191">
        <v>0.9607618</v>
      </c>
      <c r="AB4191">
        <v>42</v>
      </c>
      <c r="AC4191">
        <v>-9.3210999999999995</v>
      </c>
      <c r="AD4191">
        <v>-1.1113104594374901</v>
      </c>
      <c r="AE4191">
        <v>-3.3759000000000001</v>
      </c>
      <c r="AF4191">
        <v>-2.8404217862740602</v>
      </c>
      <c r="AG4191">
        <v>-1.1113104594374901</v>
      </c>
      <c r="AH4191">
        <v>9.3694919153818699</v>
      </c>
      <c r="AI4191">
        <v>96.475822942895803</v>
      </c>
      <c r="AJ4191">
        <v>106.865017667071</v>
      </c>
      <c r="AK4191">
        <v>9.8534453676671792</v>
      </c>
      <c r="AL4191">
        <v>83.197470651694303</v>
      </c>
      <c r="AM4191">
        <v>99.022533418573502</v>
      </c>
      <c r="AN4191">
        <v>0.99999997377642902</v>
      </c>
    </row>
    <row r="4192" spans="1:40" x14ac:dyDescent="0.25">
      <c r="A4192" t="str">
        <f>"20190312151357993"</f>
        <v>20190312151357993</v>
      </c>
      <c r="B4192" t="str">
        <f>"1552374837984668"</f>
        <v>1552374837984668</v>
      </c>
      <c r="C4192" t="s">
        <v>40</v>
      </c>
      <c r="D4192">
        <v>4.5476549999999998</v>
      </c>
      <c r="E4192">
        <v>0.45522089999999998</v>
      </c>
      <c r="F4192" t="s">
        <v>42</v>
      </c>
      <c r="G4192">
        <v>-369.8229</v>
      </c>
      <c r="H4192" s="1">
        <v>-3.3355049999999998E-7</v>
      </c>
      <c r="I4192">
        <v>138.5368</v>
      </c>
      <c r="J4192">
        <v>-360.5838</v>
      </c>
      <c r="K4192">
        <v>1.1114109999999999</v>
      </c>
      <c r="L4192">
        <v>141.9419</v>
      </c>
      <c r="M4192">
        <v>-0.99839370000000005</v>
      </c>
      <c r="N4192">
        <v>0</v>
      </c>
      <c r="O4192">
        <v>-5.4562220000000002E-2</v>
      </c>
      <c r="P4192">
        <v>-0.97188680000000005</v>
      </c>
      <c r="Q4192">
        <v>0.104225</v>
      </c>
      <c r="R4192">
        <v>-0.2111238</v>
      </c>
      <c r="S4192">
        <v>-2.9013979999999999</v>
      </c>
      <c r="T4192">
        <v>-0.33119199999999999</v>
      </c>
      <c r="U4192">
        <v>-1.0230709999999901</v>
      </c>
      <c r="V4192">
        <v>-0.15812100000000001</v>
      </c>
      <c r="W4192">
        <v>0.1187433</v>
      </c>
      <c r="X4192">
        <v>0.98025390000000001</v>
      </c>
      <c r="Y4192">
        <v>-0.27929419999999999</v>
      </c>
      <c r="Z4192">
        <v>-9.4154600000000005E-3</v>
      </c>
      <c r="AA4192">
        <v>0.9601594</v>
      </c>
      <c r="AB4192">
        <v>42</v>
      </c>
      <c r="AC4192">
        <v>-9.2391000000000005</v>
      </c>
      <c r="AD4192">
        <v>-1.1114113335505</v>
      </c>
      <c r="AE4192">
        <v>-3.4051</v>
      </c>
      <c r="AF4192">
        <v>-2.8594321936768101</v>
      </c>
      <c r="AG4192">
        <v>-1.1114113335505</v>
      </c>
      <c r="AH4192">
        <v>9.2927538487139802</v>
      </c>
      <c r="AI4192">
        <v>96.521205512021794</v>
      </c>
      <c r="AJ4192">
        <v>107.10342353746999</v>
      </c>
      <c r="AK4192">
        <v>9.7860544508687699</v>
      </c>
      <c r="AL4192">
        <v>83.180419352910704</v>
      </c>
      <c r="AM4192">
        <v>99.163231884285395</v>
      </c>
      <c r="AN4192">
        <v>0.99999996520054901</v>
      </c>
    </row>
    <row r="4193" spans="1:40" x14ac:dyDescent="0.25">
      <c r="A4193" t="str">
        <f>"20190312151358013"</f>
        <v>20190312151358013</v>
      </c>
      <c r="B4193" t="str">
        <f>"1552374838004188"</f>
        <v>1552374838004188</v>
      </c>
      <c r="C4193" t="s">
        <v>40</v>
      </c>
      <c r="D4193">
        <v>4.544346</v>
      </c>
      <c r="E4193">
        <v>0.45550970000000002</v>
      </c>
      <c r="F4193" t="s">
        <v>42</v>
      </c>
      <c r="G4193">
        <v>-370.30349999999999</v>
      </c>
      <c r="H4193" s="1">
        <v>-4.344123E-6</v>
      </c>
      <c r="I4193">
        <v>138.47730000000001</v>
      </c>
      <c r="J4193">
        <v>-360.95460000000003</v>
      </c>
      <c r="K4193">
        <v>1.1114839999999999</v>
      </c>
      <c r="L4193">
        <v>141.92070000000001</v>
      </c>
      <c r="M4193">
        <v>-0.99832960000000004</v>
      </c>
      <c r="N4193">
        <v>0</v>
      </c>
      <c r="O4193">
        <v>-5.5723099999999998E-2</v>
      </c>
      <c r="P4193">
        <v>-0.9710242</v>
      </c>
      <c r="Q4193">
        <v>0.1046464</v>
      </c>
      <c r="R4193">
        <v>-0.21485170000000001</v>
      </c>
      <c r="S4193">
        <v>-2.897888</v>
      </c>
      <c r="T4193">
        <v>-0.33136529999999997</v>
      </c>
      <c r="U4193">
        <v>-1.032959</v>
      </c>
      <c r="V4193">
        <v>-0.160771</v>
      </c>
      <c r="W4193">
        <v>0.1191197</v>
      </c>
      <c r="X4193">
        <v>0.97977709999999996</v>
      </c>
      <c r="Y4193">
        <v>-0.28144400000000003</v>
      </c>
      <c r="Z4193">
        <v>-9.4172549999999994E-3</v>
      </c>
      <c r="AA4193">
        <v>0.95953140000000003</v>
      </c>
      <c r="AB4193">
        <v>42</v>
      </c>
      <c r="AC4193">
        <v>-9.3488999999999507</v>
      </c>
      <c r="AD4193">
        <v>-1.1114883441229999</v>
      </c>
      <c r="AE4193">
        <v>-3.4433999999999898</v>
      </c>
      <c r="AF4193">
        <v>-2.8811782263973198</v>
      </c>
      <c r="AG4193">
        <v>-1.1114883441229999</v>
      </c>
      <c r="AH4193">
        <v>9.4091609112314707</v>
      </c>
      <c r="AI4193">
        <v>96.4443326780154</v>
      </c>
      <c r="AJ4193">
        <v>107.025106785589</v>
      </c>
      <c r="AK4193">
        <v>9.9029744705736498</v>
      </c>
      <c r="AL4193">
        <v>83.158699240959905</v>
      </c>
      <c r="AM4193">
        <v>99.318584844333799</v>
      </c>
      <c r="AN4193">
        <v>0.99999999152674901</v>
      </c>
    </row>
    <row r="4194" spans="1:40" x14ac:dyDescent="0.25">
      <c r="A4194" t="str">
        <f>"20190312151358032"</f>
        <v>20190312151358032</v>
      </c>
      <c r="B4194" t="str">
        <f>"1552374838024684"</f>
        <v>1552374838024684</v>
      </c>
      <c r="C4194" t="s">
        <v>40</v>
      </c>
      <c r="D4194">
        <v>4.541817</v>
      </c>
      <c r="E4194">
        <v>0.45584520000000001</v>
      </c>
      <c r="F4194" t="s">
        <v>42</v>
      </c>
      <c r="G4194">
        <v>-370.60680000000002</v>
      </c>
      <c r="H4194" s="1">
        <v>-4.2193990000000004E-6</v>
      </c>
      <c r="I4194">
        <v>138.4469</v>
      </c>
      <c r="J4194">
        <v>-361.3109</v>
      </c>
      <c r="K4194">
        <v>1.111559</v>
      </c>
      <c r="L4194">
        <v>141.8998</v>
      </c>
      <c r="M4194">
        <v>-0.99826320000000002</v>
      </c>
      <c r="N4194">
        <v>0</v>
      </c>
      <c r="O4194">
        <v>-5.6899749999999999E-2</v>
      </c>
      <c r="P4194">
        <v>-0.97016420000000003</v>
      </c>
      <c r="Q4194">
        <v>0.1051827</v>
      </c>
      <c r="R4194">
        <v>-0.21844430000000001</v>
      </c>
      <c r="S4194">
        <v>-2.8949280000000002</v>
      </c>
      <c r="T4194">
        <v>-0.33336519999999997</v>
      </c>
      <c r="U4194">
        <v>-1.0418400000000001</v>
      </c>
      <c r="V4194">
        <v>-0.16326949999999901</v>
      </c>
      <c r="W4194">
        <v>0.1196135</v>
      </c>
      <c r="X4194">
        <v>0.9793037</v>
      </c>
      <c r="Y4194">
        <v>-0.28321200000000002</v>
      </c>
      <c r="Z4194">
        <v>-9.4464400000000004E-3</v>
      </c>
      <c r="AA4194">
        <v>0.95901080000000005</v>
      </c>
      <c r="AB4194">
        <v>41</v>
      </c>
      <c r="AC4194">
        <v>-9.2959000000000103</v>
      </c>
      <c r="AD4194">
        <v>-1.1115632193989999</v>
      </c>
      <c r="AE4194">
        <v>-3.4529000000000001</v>
      </c>
      <c r="AF4194">
        <v>-2.8820957494672901</v>
      </c>
      <c r="AG4194">
        <v>-1.1115632193989999</v>
      </c>
      <c r="AH4194">
        <v>9.3597254026662</v>
      </c>
      <c r="AI4194">
        <v>96.475422843605401</v>
      </c>
      <c r="AJ4194">
        <v>107.114920284075</v>
      </c>
      <c r="AK4194">
        <v>9.85629282809378</v>
      </c>
      <c r="AL4194">
        <v>83.130203093544097</v>
      </c>
      <c r="AM4194">
        <v>99.465294636429903</v>
      </c>
      <c r="AN4194">
        <v>1.0000000279230901</v>
      </c>
    </row>
    <row r="4195" spans="1:40" x14ac:dyDescent="0.25">
      <c r="A4195" t="str">
        <f>"20190312151358054"</f>
        <v>20190312151358054</v>
      </c>
      <c r="B4195" t="str">
        <f>"1552374838044205"</f>
        <v>1552374838044205</v>
      </c>
      <c r="C4195" t="s">
        <v>40</v>
      </c>
      <c r="D4195">
        <v>4.5122090000000004</v>
      </c>
      <c r="E4195">
        <v>0.45630759999999998</v>
      </c>
      <c r="F4195" t="s">
        <v>42</v>
      </c>
      <c r="G4195">
        <v>-370.89350000000002</v>
      </c>
      <c r="H4195" s="1">
        <v>-4.1013129999999997E-6</v>
      </c>
      <c r="I4195">
        <v>138.41919999999999</v>
      </c>
      <c r="J4195">
        <v>-361.72539999999998</v>
      </c>
      <c r="K4195">
        <v>1.1116379999999999</v>
      </c>
      <c r="L4195">
        <v>141.87479999999999</v>
      </c>
      <c r="M4195">
        <v>-0.99817990000000001</v>
      </c>
      <c r="N4195">
        <v>0</v>
      </c>
      <c r="O4195">
        <v>-5.834628E-2</v>
      </c>
      <c r="P4195">
        <v>-0.96925629999999996</v>
      </c>
      <c r="Q4195">
        <v>0.10623440000000001</v>
      </c>
      <c r="R4195">
        <v>-0.22193850000000001</v>
      </c>
      <c r="S4195">
        <v>-2.89209</v>
      </c>
      <c r="T4195">
        <v>-0.33547929999999998</v>
      </c>
      <c r="U4195">
        <v>-1.050446</v>
      </c>
      <c r="V4195">
        <v>-0.1654147</v>
      </c>
      <c r="W4195">
        <v>0.120617</v>
      </c>
      <c r="X4195">
        <v>0.97882049999999998</v>
      </c>
      <c r="Y4195">
        <v>-0.28462870000000001</v>
      </c>
      <c r="Z4195">
        <v>-9.4284920000000001E-3</v>
      </c>
      <c r="AA4195">
        <v>0.95859150000000004</v>
      </c>
      <c r="AB4195">
        <v>41</v>
      </c>
      <c r="AC4195">
        <v>-9.1681000000000292</v>
      </c>
      <c r="AD4195">
        <v>-1.111642101313</v>
      </c>
      <c r="AE4195">
        <v>-3.4556</v>
      </c>
      <c r="AF4195">
        <v>-2.8776805048446099</v>
      </c>
      <c r="AG4195">
        <v>-1.111642101313</v>
      </c>
      <c r="AH4195">
        <v>9.2352371292131998</v>
      </c>
      <c r="AI4195">
        <v>96.555665733900994</v>
      </c>
      <c r="AJ4195">
        <v>107.306924525762</v>
      </c>
      <c r="AK4195">
        <v>9.7368577108927905</v>
      </c>
      <c r="AL4195">
        <v>83.072287462738103</v>
      </c>
      <c r="AM4195">
        <v>99.592010249203099</v>
      </c>
      <c r="AN4195">
        <v>1.0000000274426599</v>
      </c>
    </row>
    <row r="4196" spans="1:40" x14ac:dyDescent="0.25">
      <c r="A4196" t="str">
        <f>"20190312151358077"</f>
        <v>20190312151358077</v>
      </c>
      <c r="B4196" t="str">
        <f>"1552374838074460"</f>
        <v>1552374838074460</v>
      </c>
      <c r="C4196" t="s">
        <v>40</v>
      </c>
      <c r="D4196">
        <v>4.498208</v>
      </c>
      <c r="E4196">
        <v>0.45699659999999898</v>
      </c>
      <c r="F4196" t="s">
        <v>42</v>
      </c>
      <c r="G4196">
        <v>-371.30399999999997</v>
      </c>
      <c r="H4196" s="1">
        <v>-3.9340139999999999E-6</v>
      </c>
      <c r="I4196">
        <v>138.36949999999999</v>
      </c>
      <c r="J4196">
        <v>-362.13310000000001</v>
      </c>
      <c r="K4196">
        <v>1.111713</v>
      </c>
      <c r="L4196">
        <v>141.84970000000001</v>
      </c>
      <c r="M4196">
        <v>-0.99809130000000001</v>
      </c>
      <c r="N4196">
        <v>0</v>
      </c>
      <c r="O4196">
        <v>-5.98442E-2</v>
      </c>
      <c r="P4196">
        <v>-0.96829540000000003</v>
      </c>
      <c r="Q4196">
        <v>0.10674980000000001</v>
      </c>
      <c r="R4196">
        <v>-0.22585069999999999</v>
      </c>
      <c r="S4196">
        <v>-2.8897710000000001</v>
      </c>
      <c r="T4196">
        <v>-0.33537240000000001</v>
      </c>
      <c r="U4196">
        <v>-1.0574950000000001</v>
      </c>
      <c r="V4196">
        <v>-0.16792950000000001</v>
      </c>
      <c r="W4196">
        <v>0.1210828</v>
      </c>
      <c r="X4196">
        <v>0.97833460000000005</v>
      </c>
      <c r="Y4196">
        <v>-0.28550530000000002</v>
      </c>
      <c r="Z4196">
        <v>-9.3112349999999993E-3</v>
      </c>
      <c r="AA4196">
        <v>0.95833190000000001</v>
      </c>
      <c r="AB4196">
        <v>41</v>
      </c>
      <c r="AC4196">
        <v>-9.1709000000000103</v>
      </c>
      <c r="AD4196">
        <v>-1.1117169340139901</v>
      </c>
      <c r="AE4196">
        <v>-3.4802000000000199</v>
      </c>
      <c r="AF4196">
        <v>-2.8879759338261199</v>
      </c>
      <c r="AG4196">
        <v>-1.1117169340139901</v>
      </c>
      <c r="AH4196">
        <v>9.2440136377885906</v>
      </c>
      <c r="AI4196">
        <v>96.548422986129395</v>
      </c>
      <c r="AJ4196">
        <v>107.34962953632299</v>
      </c>
      <c r="AK4196">
        <v>9.74823613128825</v>
      </c>
      <c r="AL4196">
        <v>83.045401677196594</v>
      </c>
      <c r="AM4196">
        <v>99.739809862420103</v>
      </c>
      <c r="AN4196">
        <v>0.999999975491624</v>
      </c>
    </row>
    <row r="4197" spans="1:40" x14ac:dyDescent="0.25">
      <c r="A4197" t="str">
        <f>"20190312151358099"</f>
        <v>20190312151358099</v>
      </c>
      <c r="B4197" t="str">
        <f>"1552374838094956"</f>
        <v>1552374838094956</v>
      </c>
      <c r="C4197" t="s">
        <v>40</v>
      </c>
      <c r="D4197">
        <v>4.4936970000000001</v>
      </c>
      <c r="E4197">
        <v>0.4573622</v>
      </c>
      <c r="F4197" t="s">
        <v>42</v>
      </c>
      <c r="G4197">
        <v>-371.80130000000003</v>
      </c>
      <c r="H4197" s="1">
        <v>-3.7352860000000001E-6</v>
      </c>
      <c r="I4197">
        <v>138.28720000000001</v>
      </c>
      <c r="J4197">
        <v>-362.55040000000002</v>
      </c>
      <c r="K4197">
        <v>1.111799</v>
      </c>
      <c r="L4197">
        <v>141.82329999999999</v>
      </c>
      <c r="M4197">
        <v>-0.99799369999999998</v>
      </c>
      <c r="N4197">
        <v>0</v>
      </c>
      <c r="O4197">
        <v>-6.1449719999999999E-2</v>
      </c>
      <c r="P4197">
        <v>-0.9673583</v>
      </c>
      <c r="Q4197">
        <v>0.1069066</v>
      </c>
      <c r="R4197">
        <v>-0.22975880000000001</v>
      </c>
      <c r="S4197">
        <v>-2.8866879999999999</v>
      </c>
      <c r="T4197">
        <v>-0.3319356</v>
      </c>
      <c r="U4197">
        <v>-1.06366</v>
      </c>
      <c r="V4197">
        <v>-0.17033400000000001</v>
      </c>
      <c r="W4197">
        <v>0.1211888</v>
      </c>
      <c r="X4197">
        <v>0.97790569999999999</v>
      </c>
      <c r="Y4197">
        <v>-0.28612910000000003</v>
      </c>
      <c r="Z4197">
        <v>-9.0800180000000005E-3</v>
      </c>
      <c r="AA4197">
        <v>0.95814809999999995</v>
      </c>
      <c r="AB4197">
        <v>41</v>
      </c>
      <c r="AC4197">
        <v>-9.2508999999999997</v>
      </c>
      <c r="AD4197">
        <v>-1.111802735286</v>
      </c>
      <c r="AE4197">
        <v>-3.53609999999997</v>
      </c>
      <c r="AF4197">
        <v>-2.9240340327593999</v>
      </c>
      <c r="AG4197">
        <v>-1.111802735286</v>
      </c>
      <c r="AH4197">
        <v>9.3331093293624008</v>
      </c>
      <c r="AI4197">
        <v>96.485327465002001</v>
      </c>
      <c r="AJ4197">
        <v>107.39561096316299</v>
      </c>
      <c r="AK4197">
        <v>9.8434247140289592</v>
      </c>
      <c r="AL4197">
        <v>83.039283281786894</v>
      </c>
      <c r="AM4197">
        <v>99.8807883471287</v>
      </c>
      <c r="AN4197">
        <v>0.99999997744696401</v>
      </c>
    </row>
    <row r="4198" spans="1:40" x14ac:dyDescent="0.25">
      <c r="A4198" t="str">
        <f>"20190312151358122"</f>
        <v>20190312151358122</v>
      </c>
      <c r="B4198" t="str">
        <f>"1552374838114479"</f>
        <v>1552374838114479</v>
      </c>
      <c r="C4198" t="s">
        <v>40</v>
      </c>
      <c r="D4198">
        <v>4.5001360000000004</v>
      </c>
      <c r="E4198">
        <v>0.45779039999999999</v>
      </c>
      <c r="F4198" t="s">
        <v>42</v>
      </c>
      <c r="G4198">
        <v>-372.23</v>
      </c>
      <c r="H4198" s="1">
        <v>-3.5628450000000002E-6</v>
      </c>
      <c r="I4198">
        <v>138.22229999999999</v>
      </c>
      <c r="J4198">
        <v>-362.95049999999998</v>
      </c>
      <c r="K4198">
        <v>1.1118790000000001</v>
      </c>
      <c r="L4198">
        <v>141.79730000000001</v>
      </c>
      <c r="M4198">
        <v>-0.99789320000000004</v>
      </c>
      <c r="N4198">
        <v>0</v>
      </c>
      <c r="O4198">
        <v>-6.3060950000000005E-2</v>
      </c>
      <c r="P4198">
        <v>-0.96653120000000003</v>
      </c>
      <c r="Q4198">
        <v>0.1062458</v>
      </c>
      <c r="R4198">
        <v>-0.233516</v>
      </c>
      <c r="S4198">
        <v>-2.883057</v>
      </c>
      <c r="T4198">
        <v>-0.331148</v>
      </c>
      <c r="U4198">
        <v>-1.0725100000000001</v>
      </c>
      <c r="V4198">
        <v>-0.1725737</v>
      </c>
      <c r="W4198">
        <v>0.1204793</v>
      </c>
      <c r="X4198">
        <v>0.97760060000000004</v>
      </c>
      <c r="Y4198">
        <v>-0.28756599999999999</v>
      </c>
      <c r="Z4198">
        <v>-8.9670749999999997E-3</v>
      </c>
      <c r="AA4198">
        <v>0.95771879999999998</v>
      </c>
      <c r="AB4198">
        <v>41</v>
      </c>
      <c r="AC4198">
        <v>-9.2795000000000396</v>
      </c>
      <c r="AD4198">
        <v>-1.111882562845</v>
      </c>
      <c r="AE4198">
        <v>-3.5750000000000099</v>
      </c>
      <c r="AF4198">
        <v>-2.94581336023791</v>
      </c>
      <c r="AG4198">
        <v>-1.111882562845</v>
      </c>
      <c r="AH4198">
        <v>9.3693633132604006</v>
      </c>
      <c r="AI4198">
        <v>96.458870054034605</v>
      </c>
      <c r="AJ4198">
        <v>107.453623680102</v>
      </c>
      <c r="AK4198">
        <v>9.8842838932714194</v>
      </c>
      <c r="AL4198">
        <v>83.080234430051604</v>
      </c>
      <c r="AM4198">
        <v>100.011159718247</v>
      </c>
      <c r="AN4198">
        <v>0.99999993839026802</v>
      </c>
    </row>
    <row r="4199" spans="1:40" x14ac:dyDescent="0.25">
      <c r="A4199" t="str">
        <f>"20190312151358144"</f>
        <v>20190312151358144</v>
      </c>
      <c r="B4199" t="str">
        <f>"1552374838134972"</f>
        <v>1552374838134972</v>
      </c>
      <c r="C4199" t="s">
        <v>40</v>
      </c>
      <c r="D4199">
        <v>4.4637060000000002</v>
      </c>
      <c r="E4199">
        <v>0.45816109999999999</v>
      </c>
      <c r="F4199" t="s">
        <v>42</v>
      </c>
      <c r="G4199">
        <v>-372.5829</v>
      </c>
      <c r="H4199" s="1">
        <v>-3.4184269999999999E-6</v>
      </c>
      <c r="I4199">
        <v>138.18299999999999</v>
      </c>
      <c r="J4199">
        <v>-363.36900000000003</v>
      </c>
      <c r="K4199">
        <v>1.111974</v>
      </c>
      <c r="L4199">
        <v>141.76929999999999</v>
      </c>
      <c r="M4199">
        <v>-0.99778009999999995</v>
      </c>
      <c r="N4199">
        <v>0</v>
      </c>
      <c r="O4199">
        <v>-6.4828689999999994E-2</v>
      </c>
      <c r="P4199">
        <v>-0.96548449999999997</v>
      </c>
      <c r="Q4199">
        <v>0.1067704</v>
      </c>
      <c r="R4199">
        <v>-0.2375719</v>
      </c>
      <c r="S4199">
        <v>-2.8793639999999998</v>
      </c>
      <c r="T4199">
        <v>-0.33236840000000001</v>
      </c>
      <c r="U4199">
        <v>-1.080368</v>
      </c>
      <c r="V4199">
        <v>-0.17498069999999999</v>
      </c>
      <c r="W4199">
        <v>0.1209479</v>
      </c>
      <c r="X4199">
        <v>0.97711479999999995</v>
      </c>
      <c r="Y4199">
        <v>-0.28855799999999998</v>
      </c>
      <c r="Z4199">
        <v>-8.8665810000000001E-3</v>
      </c>
      <c r="AA4199">
        <v>0.95742139999999998</v>
      </c>
      <c r="AB4199">
        <v>41</v>
      </c>
      <c r="AC4199">
        <v>-9.2138999999999598</v>
      </c>
      <c r="AD4199">
        <v>-1.1119774184269999</v>
      </c>
      <c r="AE4199">
        <v>-3.5862999999999898</v>
      </c>
      <c r="AF4199">
        <v>-2.9441207786175099</v>
      </c>
      <c r="AG4199">
        <v>-1.1119774184269999</v>
      </c>
      <c r="AH4199">
        <v>9.3092860572621206</v>
      </c>
      <c r="AI4199">
        <v>96.497332627927705</v>
      </c>
      <c r="AJ4199">
        <v>107.54988917244</v>
      </c>
      <c r="AK4199">
        <v>9.8268584926269291</v>
      </c>
      <c r="AL4199">
        <v>83.053188177619504</v>
      </c>
      <c r="AM4199">
        <v>100.152849840906</v>
      </c>
      <c r="AN4199">
        <v>0.99999998613296903</v>
      </c>
    </row>
    <row r="4200" spans="1:40" x14ac:dyDescent="0.25">
      <c r="A4200" t="str">
        <f>"20190312151358168"</f>
        <v>20190312151358168</v>
      </c>
      <c r="B4200" t="str">
        <f>"1552374838164254"</f>
        <v>1552374838164254</v>
      </c>
      <c r="C4200" t="s">
        <v>40</v>
      </c>
      <c r="D4200">
        <v>4.5093350000000001</v>
      </c>
      <c r="E4200">
        <v>0.45848480000000003</v>
      </c>
      <c r="F4200" t="s">
        <v>42</v>
      </c>
      <c r="G4200">
        <v>-373.06150000000002</v>
      </c>
      <c r="H4200" s="1">
        <v>-3.2280650000000002E-6</v>
      </c>
      <c r="I4200">
        <v>138.09889999999999</v>
      </c>
      <c r="J4200">
        <v>-363.78460000000001</v>
      </c>
      <c r="K4200">
        <v>1.1120730000000001</v>
      </c>
      <c r="L4200">
        <v>141.7407</v>
      </c>
      <c r="M4200">
        <v>-0.99765780000000004</v>
      </c>
      <c r="N4200">
        <v>0</v>
      </c>
      <c r="O4200">
        <v>-6.668483E-2</v>
      </c>
      <c r="P4200">
        <v>-0.96438959999999996</v>
      </c>
      <c r="Q4200">
        <v>0.1070035</v>
      </c>
      <c r="R4200">
        <v>-0.2418748</v>
      </c>
      <c r="S4200">
        <v>-2.8757630000000001</v>
      </c>
      <c r="T4200">
        <v>-0.32992389999999999</v>
      </c>
      <c r="U4200">
        <v>-1.088989</v>
      </c>
      <c r="V4200">
        <v>-0.17755379999999901</v>
      </c>
      <c r="W4200">
        <v>0.1211202</v>
      </c>
      <c r="X4200">
        <v>0.97662919999999998</v>
      </c>
      <c r="Y4200">
        <v>-0.28970630000000003</v>
      </c>
      <c r="Z4200">
        <v>-8.6675229999999999E-3</v>
      </c>
      <c r="AA4200">
        <v>0.95707640000000005</v>
      </c>
      <c r="AB4200">
        <v>41</v>
      </c>
      <c r="AC4200">
        <v>-9.2769000000000101</v>
      </c>
      <c r="AD4200">
        <v>-1.1120762280649901</v>
      </c>
      <c r="AE4200">
        <v>-3.6418000000000101</v>
      </c>
      <c r="AF4200">
        <v>-2.97791245135656</v>
      </c>
      <c r="AG4200">
        <v>-1.1120762280649901</v>
      </c>
      <c r="AH4200">
        <v>9.3823042115808999</v>
      </c>
      <c r="AI4200">
        <v>96.445663469104602</v>
      </c>
      <c r="AJ4200">
        <v>107.609266797917</v>
      </c>
      <c r="AK4200">
        <v>9.9061752671563603</v>
      </c>
      <c r="AL4200">
        <v>83.043243269613995</v>
      </c>
      <c r="AM4200">
        <v>100.30398636315201</v>
      </c>
      <c r="AN4200">
        <v>1.00000002451755</v>
      </c>
    </row>
    <row r="4201" spans="1:40" x14ac:dyDescent="0.25">
      <c r="A4201" t="str">
        <f>"20190312151358190"</f>
        <v>20190312151358190</v>
      </c>
      <c r="B4201" t="str">
        <f>"1552374838184748"</f>
        <v>1552374838184748</v>
      </c>
      <c r="C4201" t="s">
        <v>40</v>
      </c>
      <c r="D4201">
        <v>4.4766360000000001</v>
      </c>
      <c r="E4201">
        <v>0.458874</v>
      </c>
      <c r="F4201" t="s">
        <v>42</v>
      </c>
      <c r="G4201">
        <v>-373.4778</v>
      </c>
      <c r="H4201" s="1">
        <v>-3.061506E-6</v>
      </c>
      <c r="I4201">
        <v>138.03110000000001</v>
      </c>
      <c r="J4201">
        <v>-364.2045</v>
      </c>
      <c r="K4201">
        <v>1.112179</v>
      </c>
      <c r="L4201">
        <v>141.71080000000001</v>
      </c>
      <c r="M4201">
        <v>-0.99752300000000005</v>
      </c>
      <c r="N4201">
        <v>0</v>
      </c>
      <c r="O4201">
        <v>-6.8673830000000005E-2</v>
      </c>
      <c r="P4201">
        <v>-0.96331719999999998</v>
      </c>
      <c r="Q4201">
        <v>0.106808</v>
      </c>
      <c r="R4201">
        <v>-0.2461962</v>
      </c>
      <c r="S4201">
        <v>-2.8717039999999998</v>
      </c>
      <c r="T4201">
        <v>-0.3294647</v>
      </c>
      <c r="U4201">
        <v>-1.098984</v>
      </c>
      <c r="V4201">
        <v>-0.18001689999999901</v>
      </c>
      <c r="W4201">
        <v>0.1208603</v>
      </c>
      <c r="X4201">
        <v>0.97621040000000003</v>
      </c>
      <c r="Y4201">
        <v>-0.29116059999999999</v>
      </c>
      <c r="Z4201">
        <v>-8.5242819999999993E-3</v>
      </c>
      <c r="AA4201">
        <v>0.95663629999999999</v>
      </c>
      <c r="AB4201">
        <v>41</v>
      </c>
      <c r="AC4201">
        <v>-9.2733000000000008</v>
      </c>
      <c r="AD4201">
        <v>-1.1121820615060001</v>
      </c>
      <c r="AE4201">
        <v>-3.6796999999999902</v>
      </c>
      <c r="AF4201">
        <v>-2.9968608965099799</v>
      </c>
      <c r="AG4201">
        <v>-1.1121820615060001</v>
      </c>
      <c r="AH4201">
        <v>9.3874690668883698</v>
      </c>
      <c r="AI4201">
        <v>96.439351102259707</v>
      </c>
      <c r="AJ4201">
        <v>107.705192121216</v>
      </c>
      <c r="AK4201">
        <v>9.9167887772581107</v>
      </c>
      <c r="AL4201">
        <v>83.058244620681094</v>
      </c>
      <c r="AM4201">
        <v>100.448184891772</v>
      </c>
      <c r="AN4201">
        <v>1.00000002073492</v>
      </c>
    </row>
    <row r="4202" spans="1:40" x14ac:dyDescent="0.25">
      <c r="A4202" t="str">
        <f>"20190312151358212"</f>
        <v>20190312151358212</v>
      </c>
      <c r="B4202" t="str">
        <f>"1552374838204268"</f>
        <v>1552374838204268</v>
      </c>
      <c r="C4202" t="s">
        <v>40</v>
      </c>
      <c r="D4202">
        <v>4.4190820000000004</v>
      </c>
      <c r="E4202">
        <v>0.4588971</v>
      </c>
      <c r="F4202" t="s">
        <v>42</v>
      </c>
      <c r="G4202">
        <v>-373.89859999999999</v>
      </c>
      <c r="H4202" s="1">
        <v>-2.8931669999999998E-6</v>
      </c>
      <c r="I4202">
        <v>137.9623</v>
      </c>
      <c r="J4202">
        <v>-364.59460000000001</v>
      </c>
      <c r="K4202">
        <v>1.1122749999999999</v>
      </c>
      <c r="L4202">
        <v>141.6823</v>
      </c>
      <c r="M4202">
        <v>-0.99738749999999998</v>
      </c>
      <c r="N4202">
        <v>0</v>
      </c>
      <c r="O4202">
        <v>-7.0612300000000003E-2</v>
      </c>
      <c r="P4202">
        <v>-0.96206469999999999</v>
      </c>
      <c r="Q4202">
        <v>0.107284</v>
      </c>
      <c r="R4202">
        <v>-0.25084099999999998</v>
      </c>
      <c r="S4202">
        <v>-2.86734</v>
      </c>
      <c r="T4202">
        <v>-0.32896409999999998</v>
      </c>
      <c r="U4202">
        <v>-1.1087039999999999</v>
      </c>
      <c r="V4202">
        <v>-0.1828688</v>
      </c>
      <c r="W4202">
        <v>0.1212688</v>
      </c>
      <c r="X4202">
        <v>0.97562939999999998</v>
      </c>
      <c r="Y4202">
        <v>-0.29261710000000002</v>
      </c>
      <c r="Z4202">
        <v>-8.3868239999999993E-3</v>
      </c>
      <c r="AA4202">
        <v>0.95619290000000001</v>
      </c>
      <c r="AB4202">
        <v>41</v>
      </c>
      <c r="AC4202">
        <v>-9.3039999999999701</v>
      </c>
      <c r="AD4202">
        <v>-1.1122778931670001</v>
      </c>
      <c r="AE4202">
        <v>-3.71999999999999</v>
      </c>
      <c r="AF4202">
        <v>-3.0164898781931502</v>
      </c>
      <c r="AG4202">
        <v>-1.1122778931670001</v>
      </c>
      <c r="AH4202">
        <v>9.4273152869210808</v>
      </c>
      <c r="AI4202">
        <v>96.411557858237401</v>
      </c>
      <c r="AJ4202">
        <v>107.74328775267399</v>
      </c>
      <c r="AK4202">
        <v>9.9604541470700791</v>
      </c>
      <c r="AL4202">
        <v>83.034665180662898</v>
      </c>
      <c r="AM4202">
        <v>100.61615413225999</v>
      </c>
      <c r="AN4202">
        <v>0.99999992300561702</v>
      </c>
    </row>
    <row r="4203" spans="1:40" x14ac:dyDescent="0.25">
      <c r="A4203" t="str">
        <f>"20190312151358234"</f>
        <v>20190312151358234</v>
      </c>
      <c r="B4203" t="str">
        <f>"1552374838224765"</f>
        <v>1552374838224765</v>
      </c>
      <c r="C4203" t="s">
        <v>40</v>
      </c>
      <c r="D4203">
        <v>4.3630969999999998</v>
      </c>
      <c r="E4203">
        <v>0.43567689999999998</v>
      </c>
      <c r="F4203" t="s">
        <v>42</v>
      </c>
      <c r="G4203">
        <v>-374.32920000000001</v>
      </c>
      <c r="H4203" s="1">
        <v>-2.7255539999999998E-6</v>
      </c>
      <c r="I4203">
        <v>137.86580000000001</v>
      </c>
      <c r="J4203">
        <v>-364.99889999999999</v>
      </c>
      <c r="K4203">
        <v>1.1123799999999999</v>
      </c>
      <c r="L4203">
        <v>141.65170000000001</v>
      </c>
      <c r="M4203">
        <v>-0.99723530000000005</v>
      </c>
      <c r="N4203">
        <v>0</v>
      </c>
      <c r="O4203">
        <v>-7.2731870000000004E-2</v>
      </c>
      <c r="P4203">
        <v>-0.96063799999999999</v>
      </c>
      <c r="Q4203">
        <v>0.1084045</v>
      </c>
      <c r="R4203">
        <v>-0.25578020000000001</v>
      </c>
      <c r="S4203">
        <v>-2.8621829999999999</v>
      </c>
      <c r="T4203">
        <v>-0.32703569999999998</v>
      </c>
      <c r="U4203">
        <v>-1.122101</v>
      </c>
      <c r="V4203">
        <v>-0.1858581</v>
      </c>
      <c r="W4203">
        <v>0.1223138</v>
      </c>
      <c r="X4203">
        <v>0.97493390000000002</v>
      </c>
      <c r="Y4203">
        <v>-0.29506139999999997</v>
      </c>
      <c r="Z4203">
        <v>-8.248811E-3</v>
      </c>
      <c r="AA4203">
        <v>0.95544269999999998</v>
      </c>
      <c r="AB4203">
        <v>41</v>
      </c>
      <c r="AC4203">
        <v>-9.3303000000000207</v>
      </c>
      <c r="AD4203">
        <v>-1.112382725554</v>
      </c>
      <c r="AE4203">
        <v>-3.7858999999999901</v>
      </c>
      <c r="AF4203">
        <v>-3.05983786142325</v>
      </c>
      <c r="AG4203">
        <v>-1.112382725554</v>
      </c>
      <c r="AH4203">
        <v>9.4654486486118792</v>
      </c>
      <c r="AI4203">
        <v>96.380466598720005</v>
      </c>
      <c r="AJ4203">
        <v>107.914147529891</v>
      </c>
      <c r="AK4203">
        <v>10.009731324357199</v>
      </c>
      <c r="AL4203">
        <v>82.974342594915797</v>
      </c>
      <c r="AM4203">
        <v>100.793167528371</v>
      </c>
      <c r="AN4203">
        <v>1.00000000418763</v>
      </c>
    </row>
    <row r="4204" spans="1:40" x14ac:dyDescent="0.25">
      <c r="A4204" t="str">
        <f>"20190312151358256"</f>
        <v>20190312151358256</v>
      </c>
      <c r="B4204" t="str">
        <f>"1552374838244285"</f>
        <v>1552374838244285</v>
      </c>
      <c r="C4204" t="s">
        <v>40</v>
      </c>
      <c r="D4204">
        <v>4.3568419999999897</v>
      </c>
      <c r="E4204">
        <v>0.43335119999999999</v>
      </c>
      <c r="F4204" t="s">
        <v>42</v>
      </c>
      <c r="G4204">
        <v>-373.58409999999998</v>
      </c>
      <c r="H4204" s="1">
        <v>-3.0878689999999999E-6</v>
      </c>
      <c r="I4204">
        <v>137.62520000000001</v>
      </c>
      <c r="J4204">
        <v>-365.41129999999998</v>
      </c>
      <c r="K4204">
        <v>1.1125069999999999</v>
      </c>
      <c r="L4204">
        <v>141.61969999999999</v>
      </c>
      <c r="M4204">
        <v>-0.99706470000000003</v>
      </c>
      <c r="N4204">
        <v>0</v>
      </c>
      <c r="O4204">
        <v>-7.5032929999999998E-2</v>
      </c>
      <c r="P4204">
        <v>-0.9594066</v>
      </c>
      <c r="Q4204">
        <v>0.10864310000000001</v>
      </c>
      <c r="R4204">
        <v>-0.2602603</v>
      </c>
      <c r="S4204">
        <v>-2.8128359999999999</v>
      </c>
      <c r="T4204">
        <v>-0.36445840000000002</v>
      </c>
      <c r="U4204">
        <v>-1.319229</v>
      </c>
      <c r="V4204">
        <v>-0.18820139999999999</v>
      </c>
      <c r="W4204">
        <v>0.1224766</v>
      </c>
      <c r="X4204">
        <v>0.97446379999999999</v>
      </c>
      <c r="Y4204">
        <v>-0.35358979999999901</v>
      </c>
      <c r="Z4204">
        <v>-1.252899E-2</v>
      </c>
      <c r="AA4204">
        <v>0.9353167</v>
      </c>
      <c r="AB4204">
        <v>41</v>
      </c>
      <c r="AC4204">
        <v>-8.1727999999999899</v>
      </c>
      <c r="AD4204">
        <v>-1.112510087869</v>
      </c>
      <c r="AE4204">
        <v>-3.99449999999998</v>
      </c>
      <c r="AF4204">
        <v>-3.3202763864051401</v>
      </c>
      <c r="AG4204">
        <v>-1.112510087869</v>
      </c>
      <c r="AH4204">
        <v>8.3249952010257502</v>
      </c>
      <c r="AI4204">
        <v>97.075751844514699</v>
      </c>
      <c r="AJ4204">
        <v>111.743706622424</v>
      </c>
      <c r="AK4204">
        <v>9.0314704824204401</v>
      </c>
      <c r="AL4204">
        <v>82.964944086345199</v>
      </c>
      <c r="AM4204">
        <v>100.931136351159</v>
      </c>
      <c r="AN4204">
        <v>0.99999999100997905</v>
      </c>
    </row>
    <row r="4205" spans="1:40" x14ac:dyDescent="0.25">
      <c r="A4205" t="str">
        <f>"20190312151358278"</f>
        <v>20190312151358278</v>
      </c>
      <c r="B4205" t="str">
        <f>"1552374838274540"</f>
        <v>1552374838274540</v>
      </c>
      <c r="C4205" t="s">
        <v>40</v>
      </c>
      <c r="D4205">
        <v>4.3748180000000003</v>
      </c>
      <c r="E4205">
        <v>0.43112919999999999</v>
      </c>
      <c r="F4205" t="s">
        <v>42</v>
      </c>
      <c r="G4205">
        <v>-373.62439999999998</v>
      </c>
      <c r="H4205" s="1">
        <v>-3.0649359999999998E-6</v>
      </c>
      <c r="I4205">
        <v>137.65719999999999</v>
      </c>
      <c r="J4205">
        <v>-365.79880000000003</v>
      </c>
      <c r="K4205">
        <v>1.112643</v>
      </c>
      <c r="L4205">
        <v>141.58850000000001</v>
      </c>
      <c r="M4205">
        <v>-0.99688849999999996</v>
      </c>
      <c r="N4205">
        <v>0</v>
      </c>
      <c r="O4205">
        <v>-7.7340939999999997E-2</v>
      </c>
      <c r="P4205">
        <v>-0.95816060000000003</v>
      </c>
      <c r="Q4205">
        <v>0.1086683</v>
      </c>
      <c r="R4205">
        <v>-0.26480150000000002</v>
      </c>
      <c r="S4205">
        <v>-2.8030089999999999</v>
      </c>
      <c r="T4205">
        <v>-0.37968469999999999</v>
      </c>
      <c r="U4205">
        <v>-1.3523099999999999</v>
      </c>
      <c r="V4205">
        <v>-0.19060299999999999</v>
      </c>
      <c r="W4205">
        <v>0.1224213</v>
      </c>
      <c r="X4205">
        <v>0.97400390000000003</v>
      </c>
      <c r="Y4205">
        <v>-0.36146729999999999</v>
      </c>
      <c r="Z4205">
        <v>-1.3271079999999999E-2</v>
      </c>
      <c r="AA4205">
        <v>0.93229030000000002</v>
      </c>
      <c r="AB4205">
        <v>41</v>
      </c>
      <c r="AC4205">
        <v>-7.8255999999999499</v>
      </c>
      <c r="AD4205">
        <v>-1.1126460649359999</v>
      </c>
      <c r="AE4205">
        <v>-3.9313000000000198</v>
      </c>
      <c r="AF4205">
        <v>-3.2615656214610298</v>
      </c>
      <c r="AG4205">
        <v>-1.1126460649359999</v>
      </c>
      <c r="AH4205">
        <v>7.9774711829796798</v>
      </c>
      <c r="AI4205">
        <v>97.356215720132795</v>
      </c>
      <c r="AJ4205">
        <v>112.23705399762601</v>
      </c>
      <c r="AK4205">
        <v>8.6899849277306203</v>
      </c>
      <c r="AL4205">
        <v>82.968136897388106</v>
      </c>
      <c r="AM4205">
        <v>101.072299951293</v>
      </c>
      <c r="AN4205">
        <v>1.00000003775894</v>
      </c>
    </row>
    <row r="4206" spans="1:40" x14ac:dyDescent="0.25">
      <c r="A4206" t="str">
        <f>"20190312151358300"</f>
        <v>20190312151358300</v>
      </c>
      <c r="B4206" t="str">
        <f>"1552374838294060"</f>
        <v>1552374838294060</v>
      </c>
      <c r="C4206" t="s">
        <v>40</v>
      </c>
      <c r="D4206">
        <v>4.3765070000000001</v>
      </c>
      <c r="E4206">
        <v>0.4303864</v>
      </c>
      <c r="F4206" t="s">
        <v>42</v>
      </c>
      <c r="G4206">
        <v>-373.86860000000001</v>
      </c>
      <c r="H4206" s="1">
        <v>-2.9719229999999999E-6</v>
      </c>
      <c r="I4206">
        <v>137.5908</v>
      </c>
      <c r="J4206">
        <v>-366.21629999999999</v>
      </c>
      <c r="K4206">
        <v>1.112797</v>
      </c>
      <c r="L4206">
        <v>141.5538</v>
      </c>
      <c r="M4206">
        <v>-0.99667879999999998</v>
      </c>
      <c r="N4206">
        <v>0</v>
      </c>
      <c r="O4206">
        <v>-7.9996830000000005E-2</v>
      </c>
      <c r="P4206">
        <v>-0.95696009999999998</v>
      </c>
      <c r="Q4206">
        <v>0.1085491</v>
      </c>
      <c r="R4206">
        <v>-0.269155599999999</v>
      </c>
      <c r="S4206">
        <v>-2.7923580000000001</v>
      </c>
      <c r="T4206">
        <v>-0.38500669999999998</v>
      </c>
      <c r="U4206">
        <v>-1.383286</v>
      </c>
      <c r="V4206">
        <v>-0.19248399999999999</v>
      </c>
      <c r="W4206">
        <v>0.122213</v>
      </c>
      <c r="X4206">
        <v>0.97366010000000003</v>
      </c>
      <c r="Y4206">
        <v>-0.36861189999999999</v>
      </c>
      <c r="Z4206">
        <v>-1.359458E-2</v>
      </c>
      <c r="AA4206">
        <v>0.92948399999999998</v>
      </c>
      <c r="AB4206">
        <v>41</v>
      </c>
      <c r="AC4206">
        <v>-7.6523000000000199</v>
      </c>
      <c r="AD4206">
        <v>-1.112799971923</v>
      </c>
      <c r="AE4206">
        <v>-3.9629999999999899</v>
      </c>
      <c r="AF4206">
        <v>-3.2833166364841899</v>
      </c>
      <c r="AG4206">
        <v>-1.112799971923</v>
      </c>
      <c r="AH4206">
        <v>7.81452787990193</v>
      </c>
      <c r="AI4206">
        <v>97.479261429928897</v>
      </c>
      <c r="AJ4206">
        <v>112.789977387286</v>
      </c>
      <c r="AK4206">
        <v>8.5489963094324892</v>
      </c>
      <c r="AL4206">
        <v>82.9801619819617</v>
      </c>
      <c r="AM4206">
        <v>101.182677651698</v>
      </c>
      <c r="AN4206">
        <v>1.0000000489784999</v>
      </c>
    </row>
    <row r="4207" spans="1:40" x14ac:dyDescent="0.25">
      <c r="A4207" t="str">
        <f>"20190312151358323"</f>
        <v>20190312151358323</v>
      </c>
      <c r="B4207" t="str">
        <f>"1552374838314560"</f>
        <v>1552374838314560</v>
      </c>
      <c r="C4207" t="s">
        <v>40</v>
      </c>
      <c r="D4207">
        <v>4.3278169999999996</v>
      </c>
      <c r="E4207">
        <v>0.43070550000000002</v>
      </c>
      <c r="F4207" t="s">
        <v>42</v>
      </c>
      <c r="G4207">
        <v>-374.20979999999997</v>
      </c>
      <c r="H4207" s="1">
        <v>-2.8364929999999999E-6</v>
      </c>
      <c r="I4207">
        <v>137.5292</v>
      </c>
      <c r="J4207">
        <v>-366.61219999999997</v>
      </c>
      <c r="K4207">
        <v>1.112962</v>
      </c>
      <c r="L4207">
        <v>141.5197</v>
      </c>
      <c r="M4207">
        <v>-0.99645890000000004</v>
      </c>
      <c r="N4207">
        <v>0</v>
      </c>
      <c r="O4207">
        <v>-8.2690020000000003E-2</v>
      </c>
      <c r="P4207">
        <v>-0.95576779999999995</v>
      </c>
      <c r="Q4207">
        <v>0.1085498</v>
      </c>
      <c r="R4207">
        <v>-0.2733582</v>
      </c>
      <c r="S4207">
        <v>-2.7845759999999999</v>
      </c>
      <c r="T4207">
        <v>-0.38765070000000001</v>
      </c>
      <c r="U4207">
        <v>-1.4019779999999999</v>
      </c>
      <c r="V4207">
        <v>-0.1941823</v>
      </c>
      <c r="W4207">
        <v>0.1221236</v>
      </c>
      <c r="X4207">
        <v>0.97333400000000003</v>
      </c>
      <c r="Y4207">
        <v>-0.37208530000000001</v>
      </c>
      <c r="Z4207">
        <v>-1.358173E-2</v>
      </c>
      <c r="AA4207">
        <v>0.92809920000000001</v>
      </c>
      <c r="AB4207">
        <v>41</v>
      </c>
      <c r="AC4207">
        <v>-7.5975999999999999</v>
      </c>
      <c r="AD4207">
        <v>-1.112964836493</v>
      </c>
      <c r="AE4207">
        <v>-3.9904999999999902</v>
      </c>
      <c r="AF4207">
        <v>-3.2931244566546298</v>
      </c>
      <c r="AG4207">
        <v>-1.112964836493</v>
      </c>
      <c r="AH4207">
        <v>7.7708876151050097</v>
      </c>
      <c r="AI4207">
        <v>97.512246056204106</v>
      </c>
      <c r="AJ4207">
        <v>112.966119997505</v>
      </c>
      <c r="AK4207">
        <v>8.5129344964518001</v>
      </c>
      <c r="AL4207">
        <v>82.985322589754503</v>
      </c>
      <c r="AM4207">
        <v>101.28250645819401</v>
      </c>
      <c r="AN4207">
        <v>1.0000000074331199</v>
      </c>
    </row>
    <row r="4208" spans="1:40" x14ac:dyDescent="0.25">
      <c r="A4208" t="str">
        <f>"20190312151358345"</f>
        <v>20190312151358345</v>
      </c>
      <c r="B4208" t="str">
        <f>"1552374838334076"</f>
        <v>1552374838334076</v>
      </c>
      <c r="C4208" t="s">
        <v>40</v>
      </c>
      <c r="D4208">
        <v>4.301069</v>
      </c>
      <c r="E4208">
        <v>0.43109769999999997</v>
      </c>
      <c r="F4208" t="s">
        <v>42</v>
      </c>
      <c r="G4208">
        <v>-374.53019999999998</v>
      </c>
      <c r="H4208" s="1">
        <v>-2.7047390000000001E-6</v>
      </c>
      <c r="I4208">
        <v>137.49709999999999</v>
      </c>
      <c r="J4208">
        <v>-367.02019999999999</v>
      </c>
      <c r="K4208">
        <v>1.11314</v>
      </c>
      <c r="L4208">
        <v>141.48339999999999</v>
      </c>
      <c r="M4208">
        <v>-0.99620920000000002</v>
      </c>
      <c r="N4208">
        <v>0</v>
      </c>
      <c r="O4208">
        <v>-8.56465E-2</v>
      </c>
      <c r="P4208">
        <v>-0.95454950000000005</v>
      </c>
      <c r="Q4208">
        <v>0.1084237</v>
      </c>
      <c r="R4208">
        <v>-0.2776325</v>
      </c>
      <c r="S4208">
        <v>-2.7793580000000002</v>
      </c>
      <c r="T4208">
        <v>-0.39067220000000002</v>
      </c>
      <c r="U4208">
        <v>-1.4119870000000001</v>
      </c>
      <c r="V4208">
        <v>-0.19570190000000001</v>
      </c>
      <c r="W4208">
        <v>0.1219026</v>
      </c>
      <c r="X4208">
        <v>0.97305730000000001</v>
      </c>
      <c r="Y4208">
        <v>-0.3726756</v>
      </c>
      <c r="Z4208">
        <v>-1.3353210000000001E-2</v>
      </c>
      <c r="AA4208">
        <v>0.92786559999999996</v>
      </c>
      <c r="AB4208">
        <v>41</v>
      </c>
      <c r="AC4208">
        <v>-7.50999999999999</v>
      </c>
      <c r="AD4208">
        <v>-1.1131427047389999</v>
      </c>
      <c r="AE4208">
        <v>-3.9863</v>
      </c>
      <c r="AF4208">
        <v>-3.27228147308091</v>
      </c>
      <c r="AG4208">
        <v>-1.1131427047389999</v>
      </c>
      <c r="AH4208">
        <v>7.69200739817094</v>
      </c>
      <c r="AI4208">
        <v>97.585174607543607</v>
      </c>
      <c r="AJ4208">
        <v>113.04554158411899</v>
      </c>
      <c r="AK4208">
        <v>8.43290522499208</v>
      </c>
      <c r="AL4208">
        <v>82.998080176804194</v>
      </c>
      <c r="AM4208">
        <v>101.37165716167399</v>
      </c>
      <c r="AN4208">
        <v>0.99999999331682998</v>
      </c>
    </row>
    <row r="4209" spans="1:40" x14ac:dyDescent="0.25">
      <c r="A4209" t="str">
        <f>"20190312151358367"</f>
        <v>20190312151358367</v>
      </c>
      <c r="B4209" t="str">
        <f>"1552374838364332"</f>
        <v>1552374838364332</v>
      </c>
      <c r="C4209" t="s">
        <v>40</v>
      </c>
      <c r="D4209">
        <v>4.3157690000000004</v>
      </c>
      <c r="E4209">
        <v>0.43170950000000002</v>
      </c>
      <c r="F4209" t="s">
        <v>42</v>
      </c>
      <c r="G4209">
        <v>-374.92950000000002</v>
      </c>
      <c r="H4209" s="1">
        <v>-2.5451669999999999E-6</v>
      </c>
      <c r="I4209">
        <v>137.43090000000001</v>
      </c>
      <c r="J4209">
        <v>-367.41109999999998</v>
      </c>
      <c r="K4209">
        <v>1.1133120000000001</v>
      </c>
      <c r="L4209">
        <v>141.44710000000001</v>
      </c>
      <c r="M4209">
        <v>-0.99594510000000003</v>
      </c>
      <c r="N4209">
        <v>0</v>
      </c>
      <c r="O4209">
        <v>-8.8665040000000001E-2</v>
      </c>
      <c r="P4209">
        <v>-0.95317260000000004</v>
      </c>
      <c r="Q4209">
        <v>0.1077405</v>
      </c>
      <c r="R4209">
        <v>-0.28258549999999999</v>
      </c>
      <c r="S4209">
        <v>-2.7738040000000002</v>
      </c>
      <c r="T4209">
        <v>-0.3903819</v>
      </c>
      <c r="U4209">
        <v>-1.421173</v>
      </c>
      <c r="V4209">
        <v>-0.19784689999999999</v>
      </c>
      <c r="W4209">
        <v>0.121120699999999</v>
      </c>
      <c r="X4209">
        <v>0.97272110000000001</v>
      </c>
      <c r="Y4209">
        <v>-0.37307390000000001</v>
      </c>
      <c r="Z4209">
        <v>-1.29911E-2</v>
      </c>
      <c r="AA4209">
        <v>0.9277107</v>
      </c>
      <c r="AB4209">
        <v>41</v>
      </c>
      <c r="AC4209">
        <v>-7.5184000000000397</v>
      </c>
      <c r="AD4209">
        <v>-1.1133145451669999</v>
      </c>
      <c r="AE4209">
        <v>-4.0161999999999898</v>
      </c>
      <c r="AF4209">
        <v>-3.2777653603351302</v>
      </c>
      <c r="AG4209">
        <v>-1.1133145451669999</v>
      </c>
      <c r="AH4209">
        <v>7.7133350566179901</v>
      </c>
      <c r="AI4209">
        <v>97.566851817997502</v>
      </c>
      <c r="AJ4209">
        <v>113.02296245136201</v>
      </c>
      <c r="AK4209">
        <v>8.4545107918522096</v>
      </c>
      <c r="AL4209">
        <v>83.043214091704201</v>
      </c>
      <c r="AM4209">
        <v>101.49686395012399</v>
      </c>
      <c r="AN4209">
        <v>0.99999997909665395</v>
      </c>
    </row>
    <row r="4210" spans="1:40" x14ac:dyDescent="0.25">
      <c r="A4210" t="str">
        <f>"20190312151358390"</f>
        <v>20190312151358390</v>
      </c>
      <c r="B4210" t="str">
        <f>"1552374838384828"</f>
        <v>1552374838384828</v>
      </c>
      <c r="C4210" t="s">
        <v>40</v>
      </c>
      <c r="D4210">
        <v>4.3564470000000002</v>
      </c>
      <c r="E4210">
        <v>0.43183680000000002</v>
      </c>
      <c r="F4210" t="s">
        <v>41</v>
      </c>
      <c r="G4210">
        <v>-368.43220000000002</v>
      </c>
      <c r="H4210">
        <v>0.97033270000000005</v>
      </c>
      <c r="I4210">
        <v>140.9194</v>
      </c>
      <c r="J4210">
        <v>-367.83420000000001</v>
      </c>
      <c r="K4210">
        <v>1.1134869999999999</v>
      </c>
      <c r="L4210">
        <v>141.40629999999999</v>
      </c>
      <c r="M4210">
        <v>-0.99563159999999895</v>
      </c>
      <c r="N4210">
        <v>0</v>
      </c>
      <c r="O4210">
        <v>-9.2116619999999996E-2</v>
      </c>
      <c r="P4210">
        <v>-0.95159740000000004</v>
      </c>
      <c r="Q4210">
        <v>0.10757659999999999</v>
      </c>
      <c r="R4210">
        <v>-0.2879062</v>
      </c>
      <c r="S4210">
        <v>-2.7670590000000002</v>
      </c>
      <c r="T4210">
        <v>-0.38743260000000002</v>
      </c>
      <c r="U4210">
        <v>-1.430634</v>
      </c>
      <c r="V4210">
        <v>-0.19996159999999999</v>
      </c>
      <c r="W4210">
        <v>0.1208523</v>
      </c>
      <c r="X4210">
        <v>0.97232200000000002</v>
      </c>
      <c r="Y4210">
        <v>-0.37333739999999999</v>
      </c>
      <c r="Z4210">
        <v>-1.248325E-2</v>
      </c>
      <c r="AA4210">
        <v>0.92761159999999998</v>
      </c>
      <c r="AB4210">
        <v>41</v>
      </c>
      <c r="AC4210">
        <v>-0.59800000000001297</v>
      </c>
      <c r="AD4210">
        <v>-0.14315430000000001</v>
      </c>
      <c r="AE4210">
        <v>-0.48689999999999101</v>
      </c>
      <c r="AF4210">
        <v>-0.41542133177184398</v>
      </c>
      <c r="AG4210">
        <v>-0.14315430000000001</v>
      </c>
      <c r="AH4210">
        <v>0.61898283202854898</v>
      </c>
      <c r="AI4210">
        <v>100.870412788698</v>
      </c>
      <c r="AJ4210">
        <v>123.866962909276</v>
      </c>
      <c r="AK4210">
        <v>0.75908351506646798</v>
      </c>
      <c r="AL4210">
        <v>83.058706197511697</v>
      </c>
      <c r="AM4210">
        <v>101.621064359653</v>
      </c>
      <c r="AN4210">
        <v>0.999999995786925</v>
      </c>
    </row>
    <row r="4211" spans="1:40" x14ac:dyDescent="0.25">
      <c r="A4211" t="str">
        <f>"20190312151358413"</f>
        <v>20190312151358413</v>
      </c>
      <c r="B4211" t="str">
        <f>"1552374838404348"</f>
        <v>1552374838404348</v>
      </c>
      <c r="C4211" t="s">
        <v>40</v>
      </c>
      <c r="D4211">
        <v>4.300395</v>
      </c>
      <c r="E4211">
        <v>0.43216939999999998</v>
      </c>
      <c r="F4211" t="s">
        <v>41</v>
      </c>
      <c r="G4211">
        <v>-368.8569</v>
      </c>
      <c r="H4211">
        <v>0.97034679999999995</v>
      </c>
      <c r="I4211">
        <v>140.87029999999999</v>
      </c>
      <c r="J4211">
        <v>-368.24020000000002</v>
      </c>
      <c r="K4211">
        <v>1.113634</v>
      </c>
      <c r="L4211">
        <v>141.3657</v>
      </c>
      <c r="M4211">
        <v>-0.99530580000000002</v>
      </c>
      <c r="N4211">
        <v>0</v>
      </c>
      <c r="O4211">
        <v>-9.5573259999999993E-2</v>
      </c>
      <c r="P4211">
        <v>-0.95011959999999995</v>
      </c>
      <c r="Q4211">
        <v>0.1075202</v>
      </c>
      <c r="R4211">
        <v>-0.29276729999999901</v>
      </c>
      <c r="S4211">
        <v>-2.758972</v>
      </c>
      <c r="T4211">
        <v>-0.38615630000000001</v>
      </c>
      <c r="U4211">
        <v>-1.4453279999999999</v>
      </c>
      <c r="V4211">
        <v>-0.20160259999999999</v>
      </c>
      <c r="W4211">
        <v>0.1207046</v>
      </c>
      <c r="X4211">
        <v>0.97200140000000002</v>
      </c>
      <c r="Y4211">
        <v>-0.375135</v>
      </c>
      <c r="Z4211">
        <v>-1.213273E-2</v>
      </c>
      <c r="AA4211">
        <v>0.92689080000000001</v>
      </c>
      <c r="AB4211">
        <v>41</v>
      </c>
      <c r="AC4211">
        <v>-0.61669999999998004</v>
      </c>
      <c r="AD4211">
        <v>-0.143287199999999</v>
      </c>
      <c r="AE4211">
        <v>-0.49540000000001699</v>
      </c>
      <c r="AF4211">
        <v>-0.42039135323343702</v>
      </c>
      <c r="AG4211">
        <v>-0.143287199999999</v>
      </c>
      <c r="AH4211">
        <v>0.64022242110042604</v>
      </c>
      <c r="AI4211">
        <v>100.596500918236</v>
      </c>
      <c r="AJ4211">
        <v>123.290235338464</v>
      </c>
      <c r="AK4211">
        <v>0.77919500770793704</v>
      </c>
      <c r="AL4211">
        <v>83.067230978382099</v>
      </c>
      <c r="AM4211">
        <v>101.717565231943</v>
      </c>
      <c r="AN4211">
        <v>0.99999996519493894</v>
      </c>
    </row>
    <row r="4212" spans="1:40" x14ac:dyDescent="0.25">
      <c r="A4212" t="str">
        <f>"20190312151358434"</f>
        <v>20190312151358434</v>
      </c>
      <c r="B4212" t="str">
        <f>"1552374838424845"</f>
        <v>1552374838424845</v>
      </c>
      <c r="C4212" t="s">
        <v>40</v>
      </c>
      <c r="D4212">
        <v>4.2963979999999999</v>
      </c>
      <c r="E4212">
        <v>0.4324366</v>
      </c>
      <c r="F4212" t="s">
        <v>42</v>
      </c>
      <c r="G4212">
        <v>-376.22300000000001</v>
      </c>
      <c r="H4212" s="1">
        <v>-2.0420500000000002E-6</v>
      </c>
      <c r="I4212">
        <v>137.13900000000001</v>
      </c>
      <c r="J4212">
        <v>-368.62169999999998</v>
      </c>
      <c r="K4212">
        <v>1.113767</v>
      </c>
      <c r="L4212">
        <v>141.3261</v>
      </c>
      <c r="M4212">
        <v>-0.99497639999999998</v>
      </c>
      <c r="N4212">
        <v>0</v>
      </c>
      <c r="O4212">
        <v>-9.8944740000000003E-2</v>
      </c>
      <c r="P4212">
        <v>-0.94848790000000005</v>
      </c>
      <c r="Q4212">
        <v>0.1075502</v>
      </c>
      <c r="R4212">
        <v>-0.29800009999999999</v>
      </c>
      <c r="S4212">
        <v>-2.7519529999999999</v>
      </c>
      <c r="T4212">
        <v>-0.38391039999999998</v>
      </c>
      <c r="U4212">
        <v>-1.4570620000000001</v>
      </c>
      <c r="V4212">
        <v>-0.20371049999999999</v>
      </c>
      <c r="W4212">
        <v>0.1206464</v>
      </c>
      <c r="X4212">
        <v>0.97156909999999996</v>
      </c>
      <c r="Y4212">
        <v>-0.37609969999999998</v>
      </c>
      <c r="Z4212">
        <v>-1.170934E-2</v>
      </c>
      <c r="AA4212">
        <v>0.92650520000000003</v>
      </c>
      <c r="AB4212">
        <v>41</v>
      </c>
      <c r="AC4212">
        <v>-7.6013000000000304</v>
      </c>
      <c r="AD4212">
        <v>-1.1137690420499999</v>
      </c>
      <c r="AE4212">
        <v>-4.1870999999999796</v>
      </c>
      <c r="AF4212">
        <v>-3.3590253471321501</v>
      </c>
      <c r="AG4212">
        <v>-1.1137690420499999</v>
      </c>
      <c r="AH4212">
        <v>7.8490465646632099</v>
      </c>
      <c r="AI4212">
        <v>97.432524968627305</v>
      </c>
      <c r="AJ4212">
        <v>113.168663073076</v>
      </c>
      <c r="AK4212">
        <v>8.6099398799269604</v>
      </c>
      <c r="AL4212">
        <v>83.070590515288501</v>
      </c>
      <c r="AM4212">
        <v>101.841759685981</v>
      </c>
      <c r="AN4212">
        <v>1.0000000188590099</v>
      </c>
    </row>
    <row r="4213" spans="1:40" x14ac:dyDescent="0.25">
      <c r="A4213" t="str">
        <f>"20190312151358457"</f>
        <v>20190312151358457</v>
      </c>
      <c r="B4213" t="str">
        <f>"1552374838454125"</f>
        <v>1552374838454125</v>
      </c>
      <c r="C4213" t="s">
        <v>40</v>
      </c>
      <c r="D4213">
        <v>4.3237180000000004</v>
      </c>
      <c r="E4213">
        <v>0.43287750000000003</v>
      </c>
      <c r="F4213" t="s">
        <v>42</v>
      </c>
      <c r="G4213">
        <v>-376.6309</v>
      </c>
      <c r="H4213" s="1">
        <v>-1.8856279999999999E-6</v>
      </c>
      <c r="I4213">
        <v>137.0343</v>
      </c>
      <c r="J4213">
        <v>-369.02539999999999</v>
      </c>
      <c r="K4213">
        <v>1.113904</v>
      </c>
      <c r="L4213">
        <v>141.28280000000001</v>
      </c>
      <c r="M4213">
        <v>-0.99460199999999999</v>
      </c>
      <c r="N4213">
        <v>0</v>
      </c>
      <c r="O4213">
        <v>-0.1026388</v>
      </c>
      <c r="P4213">
        <v>-0.9469495</v>
      </c>
      <c r="Q4213">
        <v>0.10747379999999999</v>
      </c>
      <c r="R4213">
        <v>-0.30287989999999998</v>
      </c>
      <c r="S4213">
        <v>-2.7441710000000001</v>
      </c>
      <c r="T4213">
        <v>-0.38160909999999998</v>
      </c>
      <c r="U4213">
        <v>-1.4704740000000001</v>
      </c>
      <c r="V4213">
        <v>-0.20514589999999999</v>
      </c>
      <c r="W4213">
        <v>0.12048730000000001</v>
      </c>
      <c r="X4213">
        <v>0.97128680000000001</v>
      </c>
      <c r="Y4213">
        <v>-0.3773125</v>
      </c>
      <c r="Z4213">
        <v>-1.1264049999999999E-2</v>
      </c>
      <c r="AA4213">
        <v>0.92601750000000005</v>
      </c>
      <c r="AB4213">
        <v>40</v>
      </c>
      <c r="AC4213">
        <v>-7.6055000000000001</v>
      </c>
      <c r="AD4213">
        <v>-1.113905885628</v>
      </c>
      <c r="AE4213">
        <v>-4.2484999999999999</v>
      </c>
      <c r="AF4213">
        <v>-3.38992499983615</v>
      </c>
      <c r="AG4213">
        <v>-1.113905885628</v>
      </c>
      <c r="AH4213">
        <v>7.8727235086086003</v>
      </c>
      <c r="AI4213">
        <v>97.404316717134506</v>
      </c>
      <c r="AJ4213">
        <v>113.29628327914899</v>
      </c>
      <c r="AK4213">
        <v>8.6436192228457998</v>
      </c>
      <c r="AL4213">
        <v>83.079773398513794</v>
      </c>
      <c r="AM4213">
        <v>101.926186037159</v>
      </c>
      <c r="AN4213">
        <v>1.0000000388011601</v>
      </c>
    </row>
    <row r="4214" spans="1:40" x14ac:dyDescent="0.25">
      <c r="A4214" t="str">
        <f>"20190312151358479"</f>
        <v>20190312151358479</v>
      </c>
      <c r="B4214" t="str">
        <f>"1552374838474621"</f>
        <v>1552374838474621</v>
      </c>
      <c r="C4214" t="s">
        <v>40</v>
      </c>
      <c r="D4214">
        <v>4.3240429999999996</v>
      </c>
      <c r="E4214">
        <v>0.43309809999999999</v>
      </c>
      <c r="F4214" t="s">
        <v>42</v>
      </c>
      <c r="G4214">
        <v>-377.07139999999998</v>
      </c>
      <c r="H4214" s="1">
        <v>-1.7151249999999999E-6</v>
      </c>
      <c r="I4214">
        <v>136.93010000000001</v>
      </c>
      <c r="J4214">
        <v>-369.42160000000001</v>
      </c>
      <c r="K4214">
        <v>1.1140300000000001</v>
      </c>
      <c r="L4214">
        <v>141.23869999999999</v>
      </c>
      <c r="M4214">
        <v>-0.99420819999999999</v>
      </c>
      <c r="N4214">
        <v>0</v>
      </c>
      <c r="O4214">
        <v>-0.1063851</v>
      </c>
      <c r="P4214">
        <v>-0.94549110000000003</v>
      </c>
      <c r="Q4214">
        <v>0.1080573</v>
      </c>
      <c r="R4214">
        <v>-0.30719770000000002</v>
      </c>
      <c r="S4214">
        <v>-2.737457</v>
      </c>
      <c r="T4214">
        <v>-0.37897720000000001</v>
      </c>
      <c r="U4214">
        <v>-1.4808650000000001</v>
      </c>
      <c r="V4214">
        <v>-0.2059703</v>
      </c>
      <c r="W4214">
        <v>0.1209962</v>
      </c>
      <c r="X4214">
        <v>0.97104900000000005</v>
      </c>
      <c r="Y4214">
        <v>-0.37754529999999997</v>
      </c>
      <c r="Z4214">
        <v>-1.074202E-2</v>
      </c>
      <c r="AA4214">
        <v>0.9259288</v>
      </c>
      <c r="AB4214">
        <v>40</v>
      </c>
      <c r="AC4214">
        <v>-7.6497999999999697</v>
      </c>
      <c r="AD4214">
        <v>-1.1140317151250001</v>
      </c>
      <c r="AE4214">
        <v>-4.3085999999999798</v>
      </c>
      <c r="AF4214">
        <v>-3.4152374131971102</v>
      </c>
      <c r="AG4214">
        <v>-1.1140317151250001</v>
      </c>
      <c r="AH4214">
        <v>7.9370131206139396</v>
      </c>
      <c r="AI4214">
        <v>97.346608080975898</v>
      </c>
      <c r="AJ4214">
        <v>113.281848319004</v>
      </c>
      <c r="AK4214">
        <v>8.71212319286197</v>
      </c>
      <c r="AL4214">
        <v>83.050400432486398</v>
      </c>
      <c r="AM4214">
        <v>101.975579614955</v>
      </c>
      <c r="AN4214">
        <v>1.0000000026487601</v>
      </c>
    </row>
    <row r="4215" spans="1:40" x14ac:dyDescent="0.25">
      <c r="A4215" t="str">
        <f>"20190312151358501"</f>
        <v>20190312151358501</v>
      </c>
      <c r="B4215" t="str">
        <f>"1552374838494140"</f>
        <v>1552374838494140</v>
      </c>
      <c r="C4215" t="s">
        <v>40</v>
      </c>
      <c r="D4215">
        <v>4.3807349999999996</v>
      </c>
      <c r="E4215">
        <v>0.43338189999999999</v>
      </c>
      <c r="F4215" t="s">
        <v>42</v>
      </c>
      <c r="G4215">
        <v>-377.4828</v>
      </c>
      <c r="H4215" s="1">
        <v>-1.582357E-6</v>
      </c>
      <c r="I4215">
        <v>136.83629999999999</v>
      </c>
      <c r="J4215">
        <v>-369.82530000000003</v>
      </c>
      <c r="K4215">
        <v>1.114158</v>
      </c>
      <c r="L4215">
        <v>141.19220000000001</v>
      </c>
      <c r="M4215">
        <v>-0.99377930000000003</v>
      </c>
      <c r="N4215">
        <v>0</v>
      </c>
      <c r="O4215">
        <v>-0.1103194</v>
      </c>
      <c r="P4215">
        <v>-0.94403360000000003</v>
      </c>
      <c r="Q4215">
        <v>0.1078669</v>
      </c>
      <c r="R4215">
        <v>-0.31171409999999899</v>
      </c>
      <c r="S4215">
        <v>-2.7314150000000001</v>
      </c>
      <c r="T4215">
        <v>-0.37747439999999999</v>
      </c>
      <c r="U4215">
        <v>-1.4916689999999999</v>
      </c>
      <c r="V4215">
        <v>-0.2068053</v>
      </c>
      <c r="W4215">
        <v>0.12073059999999999</v>
      </c>
      <c r="X4215">
        <v>0.97090460000000001</v>
      </c>
      <c r="Y4215">
        <v>-0.37760719999999998</v>
      </c>
      <c r="Z4215">
        <v>-1.021852E-2</v>
      </c>
      <c r="AA4215">
        <v>0.92590950000000005</v>
      </c>
      <c r="AB4215">
        <v>40</v>
      </c>
      <c r="AC4215">
        <v>-7.6574999999999704</v>
      </c>
      <c r="AD4215">
        <v>-1.1141595823569901</v>
      </c>
      <c r="AE4215">
        <v>-4.3559000000000196</v>
      </c>
      <c r="AF4215">
        <v>-3.4295827967835701</v>
      </c>
      <c r="AG4215">
        <v>-1.1141595823569901</v>
      </c>
      <c r="AH4215">
        <v>7.9639656439155102</v>
      </c>
      <c r="AI4215">
        <v>97.321938834799099</v>
      </c>
      <c r="AJ4215">
        <v>113.29852724548699</v>
      </c>
      <c r="AK4215">
        <v>8.7423188292591103</v>
      </c>
      <c r="AL4215">
        <v>83.065730737890803</v>
      </c>
      <c r="AM4215">
        <v>102.02445458424801</v>
      </c>
      <c r="AN4215">
        <v>1.0000000260927999</v>
      </c>
    </row>
    <row r="4216" spans="1:40" x14ac:dyDescent="0.25">
      <c r="A4216" t="str">
        <f>"20190312151358523"</f>
        <v>20190312151358523</v>
      </c>
      <c r="B4216" t="str">
        <f>"1552374838514637"</f>
        <v>1552374838514637</v>
      </c>
      <c r="C4216" t="s">
        <v>40</v>
      </c>
      <c r="D4216">
        <v>4.3123480000000001</v>
      </c>
      <c r="E4216">
        <v>0.43360090000000001</v>
      </c>
      <c r="F4216" t="s">
        <v>42</v>
      </c>
      <c r="G4216">
        <v>-377.84019999999998</v>
      </c>
      <c r="H4216" s="1">
        <v>-1.4770110000000001E-6</v>
      </c>
      <c r="I4216">
        <v>136.77500000000001</v>
      </c>
      <c r="J4216">
        <v>-370.2122</v>
      </c>
      <c r="K4216">
        <v>1.1142780000000001</v>
      </c>
      <c r="L4216">
        <v>141.14590000000001</v>
      </c>
      <c r="M4216">
        <v>-0.99334080000000002</v>
      </c>
      <c r="N4216">
        <v>0</v>
      </c>
      <c r="O4216">
        <v>-0.11419940000000001</v>
      </c>
      <c r="P4216">
        <v>-0.94259820000000005</v>
      </c>
      <c r="Q4216">
        <v>0.1080335</v>
      </c>
      <c r="R4216">
        <v>-0.3159708</v>
      </c>
      <c r="S4216">
        <v>-2.7251889999999999</v>
      </c>
      <c r="T4216">
        <v>-0.37883309999999998</v>
      </c>
      <c r="U4216">
        <v>-1.5018769999999999</v>
      </c>
      <c r="V4216">
        <v>-0.20743710000000001</v>
      </c>
      <c r="W4216">
        <v>0.1208272</v>
      </c>
      <c r="X4216">
        <v>0.9707578</v>
      </c>
      <c r="Y4216">
        <v>-0.37756030000000002</v>
      </c>
      <c r="Z4216">
        <v>-9.7723419999999998E-3</v>
      </c>
      <c r="AA4216">
        <v>0.92593340000000002</v>
      </c>
      <c r="AB4216">
        <v>40</v>
      </c>
      <c r="AC4216">
        <v>-7.6279999999999797</v>
      </c>
      <c r="AD4216">
        <v>-1.1142794770110001</v>
      </c>
      <c r="AE4216">
        <v>-4.3708999999999998</v>
      </c>
      <c r="AF4216">
        <v>-3.4162053779078501</v>
      </c>
      <c r="AG4216">
        <v>-1.1142794770110001</v>
      </c>
      <c r="AH4216">
        <v>7.9495933532896199</v>
      </c>
      <c r="AI4216">
        <v>97.338195105031801</v>
      </c>
      <c r="AJ4216">
        <v>113.25480968515301</v>
      </c>
      <c r="AK4216">
        <v>8.7239963560057099</v>
      </c>
      <c r="AL4216">
        <v>83.060155207817402</v>
      </c>
      <c r="AM4216">
        <v>102.06188630039</v>
      </c>
      <c r="AN4216">
        <v>1.00000003448854</v>
      </c>
    </row>
    <row r="4217" spans="1:40" x14ac:dyDescent="0.25">
      <c r="A4217" t="str">
        <f>"20190312151358547"</f>
        <v>20190312151358547</v>
      </c>
      <c r="B4217" t="str">
        <f>"1552374838544892"</f>
        <v>1552374838544892</v>
      </c>
      <c r="C4217" t="s">
        <v>40</v>
      </c>
      <c r="D4217">
        <v>4.3983169999999996</v>
      </c>
      <c r="E4217">
        <v>0.43387920000000002</v>
      </c>
      <c r="F4217" t="s">
        <v>42</v>
      </c>
      <c r="G4217">
        <v>-378.21</v>
      </c>
      <c r="H4217" s="1">
        <v>-1.3726289999999999E-6</v>
      </c>
      <c r="I4217">
        <v>136.6944</v>
      </c>
      <c r="J4217">
        <v>-370.61559999999997</v>
      </c>
      <c r="K4217">
        <v>1.114401</v>
      </c>
      <c r="L4217">
        <v>141.096</v>
      </c>
      <c r="M4217">
        <v>-0.99285420000000002</v>
      </c>
      <c r="N4217">
        <v>0</v>
      </c>
      <c r="O4217">
        <v>-0.1183574</v>
      </c>
      <c r="P4217">
        <v>-0.94133529999999999</v>
      </c>
      <c r="Q4217">
        <v>0.10713979999999999</v>
      </c>
      <c r="R4217">
        <v>-0.32001469999999999</v>
      </c>
      <c r="S4217">
        <v>-2.7188110000000001</v>
      </c>
      <c r="T4217">
        <v>-0.37879629999999997</v>
      </c>
      <c r="U4217">
        <v>-1.51326</v>
      </c>
      <c r="V4217">
        <v>-0.20755760000000001</v>
      </c>
      <c r="W4217">
        <v>0.1198705</v>
      </c>
      <c r="X4217">
        <v>0.97085060000000001</v>
      </c>
      <c r="Y4217">
        <v>-0.37759749999999997</v>
      </c>
      <c r="Z4217">
        <v>-9.2579199999999993E-3</v>
      </c>
      <c r="AA4217">
        <v>0.92592359999999896</v>
      </c>
      <c r="AB4217">
        <v>40</v>
      </c>
      <c r="AC4217">
        <v>-7.5944000000000003</v>
      </c>
      <c r="AD4217">
        <v>-1.114402372629</v>
      </c>
      <c r="AE4217">
        <v>-4.4016000000000002</v>
      </c>
      <c r="AF4217">
        <v>-3.4166265198912198</v>
      </c>
      <c r="AG4217">
        <v>-1.114402372629</v>
      </c>
      <c r="AH4217">
        <v>7.9341450763749801</v>
      </c>
      <c r="AI4217">
        <v>97.350780175240502</v>
      </c>
      <c r="AJ4217">
        <v>113.29783022629201</v>
      </c>
      <c r="AK4217">
        <v>8.7101026123410605</v>
      </c>
      <c r="AL4217">
        <v>83.115371108147102</v>
      </c>
      <c r="AM4217">
        <v>102.06756788890399</v>
      </c>
      <c r="AN4217">
        <v>0.999999990804184</v>
      </c>
    </row>
    <row r="4218" spans="1:40" x14ac:dyDescent="0.25">
      <c r="A4218" t="str">
        <f>"20190312151358569"</f>
        <v>20190312151358569</v>
      </c>
      <c r="B4218" t="str">
        <f>"1552374838564413"</f>
        <v>1552374838564413</v>
      </c>
      <c r="C4218" t="s">
        <v>40</v>
      </c>
      <c r="D4218">
        <v>4.3586340000000003</v>
      </c>
      <c r="E4218">
        <v>0.43410569999999998</v>
      </c>
      <c r="F4218" t="s">
        <v>41</v>
      </c>
      <c r="G4218">
        <v>-371.62830000000002</v>
      </c>
      <c r="H4218">
        <v>0.97246350000000004</v>
      </c>
      <c r="I4218">
        <v>140.5275</v>
      </c>
      <c r="J4218">
        <v>-371.01150000000001</v>
      </c>
      <c r="K4218">
        <v>1.11452</v>
      </c>
      <c r="L4218">
        <v>141.04509999999999</v>
      </c>
      <c r="M4218">
        <v>-0.99234460000000002</v>
      </c>
      <c r="N4218">
        <v>0</v>
      </c>
      <c r="O4218">
        <v>-0.1225547</v>
      </c>
      <c r="P4218">
        <v>-0.93983450000000002</v>
      </c>
      <c r="Q4218">
        <v>0.10585609999999999</v>
      </c>
      <c r="R4218">
        <v>-0.32481710000000003</v>
      </c>
      <c r="S4218">
        <v>-2.7125240000000002</v>
      </c>
      <c r="T4218">
        <v>-0.38022210000000001</v>
      </c>
      <c r="U4218">
        <v>-1.5229029999999999</v>
      </c>
      <c r="V4218">
        <v>-0.20841519999999999</v>
      </c>
      <c r="W4218">
        <v>0.118517899999999</v>
      </c>
      <c r="X4218">
        <v>0.9708329</v>
      </c>
      <c r="Y4218">
        <v>-0.37712069999999998</v>
      </c>
      <c r="Z4218">
        <v>-8.7389659999999904E-3</v>
      </c>
      <c r="AA4218">
        <v>0.92612289999999997</v>
      </c>
      <c r="AB4218">
        <v>40</v>
      </c>
      <c r="AC4218">
        <v>-0.61680000000001201</v>
      </c>
      <c r="AD4218">
        <v>-0.1420565</v>
      </c>
      <c r="AE4218">
        <v>-0.51759999999998696</v>
      </c>
      <c r="AF4218">
        <v>-0.42487254744212899</v>
      </c>
      <c r="AG4218">
        <v>-0.1420565</v>
      </c>
      <c r="AH4218">
        <v>0.65519788917896904</v>
      </c>
      <c r="AI4218">
        <v>100.310182435071</v>
      </c>
      <c r="AJ4218">
        <v>122.96197544832</v>
      </c>
      <c r="AK4218">
        <v>0.79371342734439698</v>
      </c>
      <c r="AL4218">
        <v>83.193425589908998</v>
      </c>
      <c r="AM4218">
        <v>102.11617351483901</v>
      </c>
      <c r="AN4218">
        <v>0.99999995396692798</v>
      </c>
    </row>
    <row r="4219" spans="1:40" x14ac:dyDescent="0.25">
      <c r="A4219" t="str">
        <f>"20190312151358591"</f>
        <v>20190312151358591</v>
      </c>
      <c r="B4219" t="str">
        <f>"1552374838584909"</f>
        <v>1552374838584909</v>
      </c>
      <c r="C4219" t="s">
        <v>40</v>
      </c>
      <c r="D4219">
        <v>4.407502</v>
      </c>
      <c r="E4219">
        <v>0.43436710000000001</v>
      </c>
      <c r="F4219" t="s">
        <v>41</v>
      </c>
      <c r="G4219">
        <v>-371.9864</v>
      </c>
      <c r="H4219">
        <v>0.97595569999999998</v>
      </c>
      <c r="I4219">
        <v>140.4923</v>
      </c>
      <c r="J4219">
        <v>-371.42160000000001</v>
      </c>
      <c r="K4219">
        <v>1.114636</v>
      </c>
      <c r="L4219">
        <v>140.9905</v>
      </c>
      <c r="M4219">
        <v>-0.99178520000000003</v>
      </c>
      <c r="N4219">
        <v>0</v>
      </c>
      <c r="O4219">
        <v>-0.1270027</v>
      </c>
      <c r="P4219">
        <v>-0.93842389999999998</v>
      </c>
      <c r="Q4219">
        <v>0.1045572</v>
      </c>
      <c r="R4219">
        <v>-0.32928560000000001</v>
      </c>
      <c r="S4219">
        <v>-2.7050480000000001</v>
      </c>
      <c r="T4219">
        <v>-0.38449620000000001</v>
      </c>
      <c r="U4219">
        <v>-1.5343929999999999</v>
      </c>
      <c r="V4219">
        <v>-0.20868419999999999</v>
      </c>
      <c r="W4219">
        <v>0.1171618</v>
      </c>
      <c r="X4219">
        <v>0.97093980000000002</v>
      </c>
      <c r="Y4219">
        <v>-0.37703389999999998</v>
      </c>
      <c r="Z4219">
        <v>-8.2713800000000001E-3</v>
      </c>
      <c r="AA4219">
        <v>0.9261625</v>
      </c>
      <c r="AB4219">
        <v>40</v>
      </c>
      <c r="AC4219">
        <v>-0.56479999999999098</v>
      </c>
      <c r="AD4219">
        <v>-0.13868030000000001</v>
      </c>
      <c r="AE4219">
        <v>-0.49819999999999698</v>
      </c>
      <c r="AF4219">
        <v>-0.40857184102670802</v>
      </c>
      <c r="AG4219">
        <v>-0.13868030000000001</v>
      </c>
      <c r="AH4219">
        <v>0.603057516105165</v>
      </c>
      <c r="AI4219">
        <v>100.779125195275</v>
      </c>
      <c r="AJ4219">
        <v>124.117664378496</v>
      </c>
      <c r="AK4219">
        <v>0.74151300906927897</v>
      </c>
      <c r="AL4219">
        <v>83.2716701370408</v>
      </c>
      <c r="AM4219">
        <v>102.130052750586</v>
      </c>
      <c r="AN4219">
        <v>1.0000000389664501</v>
      </c>
    </row>
    <row r="4220" spans="1:40" x14ac:dyDescent="0.25">
      <c r="A4220" t="str">
        <f>"20190312151358614"</f>
        <v>20190312151358614</v>
      </c>
      <c r="B4220" t="str">
        <f>"1552374838604429"</f>
        <v>1552374838604429</v>
      </c>
      <c r="C4220" t="s">
        <v>40</v>
      </c>
      <c r="D4220">
        <v>4.5197310000000002</v>
      </c>
      <c r="E4220">
        <v>0.45691159999999997</v>
      </c>
      <c r="F4220" t="s">
        <v>42</v>
      </c>
      <c r="G4220">
        <v>-379.16460000000001</v>
      </c>
      <c r="H4220" s="1">
        <v>-1.084747E-6</v>
      </c>
      <c r="I4220">
        <v>136.55539999999999</v>
      </c>
      <c r="J4220">
        <v>-371.80950000000001</v>
      </c>
      <c r="K4220">
        <v>1.114733</v>
      </c>
      <c r="L4220">
        <v>140.93709999999999</v>
      </c>
      <c r="M4220">
        <v>-0.99122569999999999</v>
      </c>
      <c r="N4220">
        <v>0</v>
      </c>
      <c r="O4220">
        <v>-0.131297</v>
      </c>
      <c r="P4220">
        <v>-0.93707839999999998</v>
      </c>
      <c r="Q4220">
        <v>0.10434259999999999</v>
      </c>
      <c r="R4220">
        <v>-0.33316200000000001</v>
      </c>
      <c r="S4220">
        <v>-2.6979060000000001</v>
      </c>
      <c r="T4220">
        <v>-0.38837850000000002</v>
      </c>
      <c r="U4220">
        <v>-1.545288</v>
      </c>
      <c r="V4220">
        <v>-0.2085147</v>
      </c>
      <c r="W4220">
        <v>0.1169013</v>
      </c>
      <c r="X4220">
        <v>0.97100759999999997</v>
      </c>
      <c r="Y4220">
        <v>-0.37689119999999998</v>
      </c>
      <c r="Z4220">
        <v>-7.7983200000000001E-3</v>
      </c>
      <c r="AA4220">
        <v>0.92622470000000001</v>
      </c>
      <c r="AB4220">
        <v>40</v>
      </c>
      <c r="AC4220">
        <v>-7.3550999999999904</v>
      </c>
      <c r="AD4220">
        <v>-1.114734084747</v>
      </c>
      <c r="AE4220">
        <v>-4.3816999999999897</v>
      </c>
      <c r="AF4220">
        <v>-3.3216311042219999</v>
      </c>
      <c r="AG4220">
        <v>-1.114734084747</v>
      </c>
      <c r="AH4220">
        <v>7.7356379974179896</v>
      </c>
      <c r="AI4220">
        <v>97.542813955896804</v>
      </c>
      <c r="AJ4220">
        <v>113.238361259833</v>
      </c>
      <c r="AK4220">
        <v>8.4921116631453195</v>
      </c>
      <c r="AL4220">
        <v>83.286698879167602</v>
      </c>
      <c r="AM4220">
        <v>102.119670472907</v>
      </c>
      <c r="AN4220">
        <v>1.00000002665776</v>
      </c>
    </row>
    <row r="4221" spans="1:40" x14ac:dyDescent="0.25">
      <c r="A4221" t="str">
        <f>"20190312151358636"</f>
        <v>20190312151358636</v>
      </c>
      <c r="B4221" t="str">
        <f>"1552374838624924"</f>
        <v>1552374838624924</v>
      </c>
      <c r="C4221" t="s">
        <v>40</v>
      </c>
      <c r="D4221">
        <v>4.7620490000000002</v>
      </c>
      <c r="E4221">
        <v>0.47823850000000001</v>
      </c>
      <c r="F4221" t="s">
        <v>42</v>
      </c>
      <c r="G4221">
        <v>-379.83390000000003</v>
      </c>
      <c r="H4221" s="1">
        <v>-7.6725210000000004E-7</v>
      </c>
      <c r="I4221">
        <v>136.89269999999999</v>
      </c>
      <c r="J4221">
        <v>-372.20150000000001</v>
      </c>
      <c r="K4221">
        <v>1.1148290000000001</v>
      </c>
      <c r="L4221">
        <v>140.88130000000001</v>
      </c>
      <c r="M4221">
        <v>-0.99062919999999999</v>
      </c>
      <c r="N4221">
        <v>0</v>
      </c>
      <c r="O4221">
        <v>-0.13572409999999999</v>
      </c>
      <c r="P4221">
        <v>-0.93578399999999995</v>
      </c>
      <c r="Q4221">
        <v>0.1030621</v>
      </c>
      <c r="R4221">
        <v>-0.33717399999999997</v>
      </c>
      <c r="S4221">
        <v>-2.7510379999999999</v>
      </c>
      <c r="T4221">
        <v>-0.38217309999999999</v>
      </c>
      <c r="U4221">
        <v>-1.386536</v>
      </c>
      <c r="V4221">
        <v>-0.2083304</v>
      </c>
      <c r="W4221">
        <v>0.115579</v>
      </c>
      <c r="X4221">
        <v>0.9712054</v>
      </c>
      <c r="Y4221">
        <v>-0.32327329999999999</v>
      </c>
      <c r="Z4221">
        <v>-3.5619919999999999E-3</v>
      </c>
      <c r="AA4221">
        <v>0.946299</v>
      </c>
      <c r="AB4221">
        <v>40</v>
      </c>
      <c r="AC4221">
        <v>-7.6324000000000103</v>
      </c>
      <c r="AD4221">
        <v>-1.1148297672520999</v>
      </c>
      <c r="AE4221">
        <v>-3.9886000000000199</v>
      </c>
      <c r="AF4221">
        <v>-2.8676058127350501</v>
      </c>
      <c r="AG4221">
        <v>-1.1148297672520999</v>
      </c>
      <c r="AH4221">
        <v>7.9696124530677599</v>
      </c>
      <c r="AI4221">
        <v>97.498381111601702</v>
      </c>
      <c r="AJ4221">
        <v>109.789617642027</v>
      </c>
      <c r="AK4221">
        <v>8.5428760472850094</v>
      </c>
      <c r="AL4221">
        <v>83.362977967354794</v>
      </c>
      <c r="AM4221">
        <v>102.10688107723701</v>
      </c>
      <c r="AN4221">
        <v>0.99999999489715996</v>
      </c>
    </row>
    <row r="4222" spans="1:40" x14ac:dyDescent="0.25">
      <c r="A4222" t="str">
        <f>"20190312151358658"</f>
        <v>20190312151358658</v>
      </c>
      <c r="B4222" t="str">
        <f>"1552374838654205"</f>
        <v>1552374838654205</v>
      </c>
      <c r="C4222" t="s">
        <v>40</v>
      </c>
      <c r="D4222">
        <v>4.6892189999999996</v>
      </c>
      <c r="E4222">
        <v>0.47973909999999997</v>
      </c>
      <c r="F4222" t="s">
        <v>42</v>
      </c>
      <c r="G4222">
        <v>-382.62060000000002</v>
      </c>
      <c r="H4222" s="1">
        <v>-3.7370169999999998E-6</v>
      </c>
      <c r="I4222">
        <v>136.29589999999999</v>
      </c>
      <c r="J4222">
        <v>-372.58569999999997</v>
      </c>
      <c r="K4222">
        <v>1.114919</v>
      </c>
      <c r="L4222">
        <v>140.82490000000001</v>
      </c>
      <c r="M4222">
        <v>-0.9900137</v>
      </c>
      <c r="N4222">
        <v>0</v>
      </c>
      <c r="O4222">
        <v>-0.1401433</v>
      </c>
      <c r="P4222">
        <v>-0.93431330000000001</v>
      </c>
      <c r="Q4222">
        <v>0.1023843</v>
      </c>
      <c r="R4222">
        <v>-0.3414333</v>
      </c>
      <c r="S4222">
        <v>-2.7955320000000001</v>
      </c>
      <c r="T4222">
        <v>-0.29912260000000002</v>
      </c>
      <c r="U4222">
        <v>-1.230286</v>
      </c>
      <c r="V4222">
        <v>-0.20842769999999999</v>
      </c>
      <c r="W4222">
        <v>0.1148576</v>
      </c>
      <c r="X4222">
        <v>0.97127010000000003</v>
      </c>
      <c r="Y4222">
        <v>-0.26993060000000002</v>
      </c>
      <c r="Z4222">
        <v>3.9076809999999998E-4</v>
      </c>
      <c r="AA4222">
        <v>0.96287970000000001</v>
      </c>
      <c r="AB4222">
        <v>40</v>
      </c>
      <c r="AC4222">
        <v>-10.0349</v>
      </c>
      <c r="AD4222">
        <v>-1.1149227370170001</v>
      </c>
      <c r="AE4222">
        <v>-4.5290000000000203</v>
      </c>
      <c r="AF4222">
        <v>-3.0465628755314502</v>
      </c>
      <c r="AG4222">
        <v>-1.1149227370170001</v>
      </c>
      <c r="AH4222">
        <v>10.4633233472341</v>
      </c>
      <c r="AI4222">
        <v>95.841427997157297</v>
      </c>
      <c r="AJ4222">
        <v>106.233758348997</v>
      </c>
      <c r="AK4222">
        <v>10.9547128457508</v>
      </c>
      <c r="AL4222">
        <v>83.404588233005896</v>
      </c>
      <c r="AM4222">
        <v>102.111585596072</v>
      </c>
      <c r="AN4222">
        <v>0.99999999077952995</v>
      </c>
    </row>
    <row r="4223" spans="1:40" x14ac:dyDescent="0.25">
      <c r="A4223" t="str">
        <f>"20190312151358681"</f>
        <v>20190312151358681</v>
      </c>
      <c r="B4223" t="str">
        <f>"1552374838674700"</f>
        <v>1552374838674700</v>
      </c>
      <c r="C4223" t="s">
        <v>40</v>
      </c>
      <c r="D4223">
        <v>4.5416919999999896</v>
      </c>
      <c r="E4223">
        <v>0.47936859999999998</v>
      </c>
      <c r="F4223" t="s">
        <v>42</v>
      </c>
      <c r="G4223">
        <v>-383.7183</v>
      </c>
      <c r="H4223" s="1">
        <v>-3.3324579999999898E-6</v>
      </c>
      <c r="I4223">
        <v>135.92179999999999</v>
      </c>
      <c r="J4223">
        <v>-372.98489999999998</v>
      </c>
      <c r="K4223">
        <v>1.1149979999999999</v>
      </c>
      <c r="L4223">
        <v>140.76429999999999</v>
      </c>
      <c r="M4223">
        <v>-0.98934140000000004</v>
      </c>
      <c r="N4223">
        <v>0</v>
      </c>
      <c r="O4223">
        <v>-0.1448131</v>
      </c>
      <c r="P4223">
        <v>-0.93262789999999995</v>
      </c>
      <c r="Q4223">
        <v>0.1022844</v>
      </c>
      <c r="R4223">
        <v>-0.3460394</v>
      </c>
      <c r="S4223">
        <v>-2.7921749999999999</v>
      </c>
      <c r="T4223">
        <v>-0.27963690000000002</v>
      </c>
      <c r="U4223">
        <v>-1.2297209999999901</v>
      </c>
      <c r="V4223">
        <v>-0.2086595</v>
      </c>
      <c r="W4223">
        <v>0.1147117</v>
      </c>
      <c r="X4223">
        <v>0.97123760000000003</v>
      </c>
      <c r="Y4223">
        <v>-0.26576169999999999</v>
      </c>
      <c r="Z4223">
        <v>1.0008910000000001E-3</v>
      </c>
      <c r="AA4223">
        <v>0.96403830000000001</v>
      </c>
      <c r="AB4223">
        <v>40</v>
      </c>
      <c r="AC4223">
        <v>-10.7334</v>
      </c>
      <c r="AD4223">
        <v>-1.1150013324579999</v>
      </c>
      <c r="AE4223">
        <v>-4.8425000000000002</v>
      </c>
      <c r="AF4223">
        <v>-3.2081602216296798</v>
      </c>
      <c r="AG4223">
        <v>-1.1150013324579999</v>
      </c>
      <c r="AH4223">
        <v>11.220961632157801</v>
      </c>
      <c r="AI4223">
        <v>95.4574486115973</v>
      </c>
      <c r="AJ4223">
        <v>105.955645034843</v>
      </c>
      <c r="AK4223">
        <v>11.723715278417</v>
      </c>
      <c r="AL4223">
        <v>83.413003490058301</v>
      </c>
      <c r="AM4223">
        <v>102.12505071720101</v>
      </c>
      <c r="AN4223">
        <v>1.0000000183554401</v>
      </c>
    </row>
    <row r="4224" spans="1:40" x14ac:dyDescent="0.25">
      <c r="A4224" t="str">
        <f>"20190312151358703"</f>
        <v>20190312151358703</v>
      </c>
      <c r="B4224" t="str">
        <f>"1552374838694221"</f>
        <v>1552374838694221</v>
      </c>
      <c r="C4224" t="s">
        <v>40</v>
      </c>
      <c r="D4224">
        <v>4.5510270000000004</v>
      </c>
      <c r="E4224">
        <v>0.47962090000000002</v>
      </c>
      <c r="F4224" t="s">
        <v>42</v>
      </c>
      <c r="G4224">
        <v>-383.82260000000002</v>
      </c>
      <c r="H4224" s="1">
        <v>-3.289199E-6</v>
      </c>
      <c r="I4224">
        <v>135.9135</v>
      </c>
      <c r="J4224">
        <v>-373.37470000000002</v>
      </c>
      <c r="K4224">
        <v>1.115084</v>
      </c>
      <c r="L4224">
        <v>140.70330000000001</v>
      </c>
      <c r="M4224">
        <v>-0.98865289999999995</v>
      </c>
      <c r="N4224">
        <v>0</v>
      </c>
      <c r="O4224">
        <v>-0.149441299999999</v>
      </c>
      <c r="P4224">
        <v>-0.9307763</v>
      </c>
      <c r="Q4224">
        <v>0.10303569999999999</v>
      </c>
      <c r="R4224">
        <v>-0.35076940000000001</v>
      </c>
      <c r="S4224">
        <v>-2.7855530000000002</v>
      </c>
      <c r="T4224">
        <v>-0.28658450000000002</v>
      </c>
      <c r="U4224">
        <v>-1.2467649999999999</v>
      </c>
      <c r="V4224">
        <v>-0.20908879999999999</v>
      </c>
      <c r="W4224">
        <v>0.11541650000000001</v>
      </c>
      <c r="X4224">
        <v>0.97106179999999997</v>
      </c>
      <c r="Y4224">
        <v>-0.26701019999999998</v>
      </c>
      <c r="Z4224">
        <v>1.4066979999999901E-3</v>
      </c>
      <c r="AA4224">
        <v>0.96369269999999996</v>
      </c>
      <c r="AB4224">
        <v>40</v>
      </c>
      <c r="AC4224">
        <v>-10.447900000000001</v>
      </c>
      <c r="AD4224">
        <v>-1.115087289199</v>
      </c>
      <c r="AE4224">
        <v>-4.7898000000000103</v>
      </c>
      <c r="AF4224">
        <v>-3.1448697546879001</v>
      </c>
      <c r="AG4224">
        <v>-1.115087289199</v>
      </c>
      <c r="AH4224">
        <v>10.9434194597453</v>
      </c>
      <c r="AI4224">
        <v>95.593258162410294</v>
      </c>
      <c r="AJ4224">
        <v>106.03335008648899</v>
      </c>
      <c r="AK4224">
        <v>11.4408065672144</v>
      </c>
      <c r="AL4224">
        <v>83.372351674110902</v>
      </c>
      <c r="AM4224">
        <v>102.151390806018</v>
      </c>
      <c r="AN4224">
        <v>1.00000005708846</v>
      </c>
    </row>
    <row r="4225" spans="1:40" x14ac:dyDescent="0.25">
      <c r="A4225" t="str">
        <f>"20190312151358725"</f>
        <v>20190312151358725</v>
      </c>
      <c r="B4225" t="str">
        <f>"1552374838714717"</f>
        <v>1552374838714717</v>
      </c>
      <c r="C4225" t="s">
        <v>40</v>
      </c>
      <c r="D4225">
        <v>4.5815060000000001</v>
      </c>
      <c r="E4225">
        <v>0.47971150000000001</v>
      </c>
      <c r="F4225" t="s">
        <v>42</v>
      </c>
      <c r="G4225">
        <v>-384.34609999999998</v>
      </c>
      <c r="H4225" s="1">
        <v>-3.096504E-6</v>
      </c>
      <c r="I4225">
        <v>135.7336</v>
      </c>
      <c r="J4225">
        <v>-373.77069999999998</v>
      </c>
      <c r="K4225">
        <v>1.1151530000000001</v>
      </c>
      <c r="L4225">
        <v>140.63929999999999</v>
      </c>
      <c r="M4225">
        <v>-0.98792210000000003</v>
      </c>
      <c r="N4225">
        <v>0</v>
      </c>
      <c r="O4225">
        <v>-0.154198799999999</v>
      </c>
      <c r="P4225">
        <v>-0.92910619999999999</v>
      </c>
      <c r="Q4225">
        <v>0.10433190000000001</v>
      </c>
      <c r="R4225">
        <v>-0.35479119999999997</v>
      </c>
      <c r="S4225">
        <v>-2.7799070000000001</v>
      </c>
      <c r="T4225">
        <v>-0.28253820000000002</v>
      </c>
      <c r="U4225">
        <v>-1.25917099999999</v>
      </c>
      <c r="V4225">
        <v>-0.20867060000000001</v>
      </c>
      <c r="W4225">
        <v>0.11668199999999999</v>
      </c>
      <c r="X4225">
        <v>0.97100039999999999</v>
      </c>
      <c r="Y4225">
        <v>-0.26671050000000002</v>
      </c>
      <c r="Z4225">
        <v>1.850155E-3</v>
      </c>
      <c r="AA4225">
        <v>0.96377489999999999</v>
      </c>
      <c r="AB4225">
        <v>40</v>
      </c>
      <c r="AC4225">
        <v>-10.5754</v>
      </c>
      <c r="AD4225">
        <v>-1.1151560965039999</v>
      </c>
      <c r="AE4225">
        <v>-4.9056999999999897</v>
      </c>
      <c r="AF4225">
        <v>-3.18694802645699</v>
      </c>
      <c r="AG4225">
        <v>-1.1151560965039999</v>
      </c>
      <c r="AH4225">
        <v>11.103824528586101</v>
      </c>
      <c r="AI4225">
        <v>95.513823920750099</v>
      </c>
      <c r="AJ4225">
        <v>106.014195990085</v>
      </c>
      <c r="AK4225">
        <v>11.6058231075843</v>
      </c>
      <c r="AL4225">
        <v>83.299349859211105</v>
      </c>
      <c r="AM4225">
        <v>102.128551065633</v>
      </c>
      <c r="AN4225">
        <v>0.99999994261425795</v>
      </c>
    </row>
    <row r="4226" spans="1:40" x14ac:dyDescent="0.25">
      <c r="A4226" t="str">
        <f>"20190312151358747"</f>
        <v>20190312151358747</v>
      </c>
      <c r="B4226" t="str">
        <f>"1552374838744972"</f>
        <v>1552374838744972</v>
      </c>
      <c r="C4226" t="s">
        <v>40</v>
      </c>
      <c r="D4226">
        <v>4.5860940000000001</v>
      </c>
      <c r="E4226">
        <v>0.47960130000000001</v>
      </c>
      <c r="F4226" t="s">
        <v>42</v>
      </c>
      <c r="G4226">
        <v>-384.88389999999998</v>
      </c>
      <c r="H4226" s="1">
        <v>-2.899056E-6</v>
      </c>
      <c r="I4226">
        <v>135.5461</v>
      </c>
      <c r="J4226">
        <v>-374.14620000000002</v>
      </c>
      <c r="K4226">
        <v>1.115205</v>
      </c>
      <c r="L4226">
        <v>140.57679999999999</v>
      </c>
      <c r="M4226">
        <v>-0.98720059999999998</v>
      </c>
      <c r="N4226">
        <v>0</v>
      </c>
      <c r="O4226">
        <v>-0.15875249999999999</v>
      </c>
      <c r="P4226">
        <v>-0.92813120000000005</v>
      </c>
      <c r="Q4226">
        <v>0.10510849999999999</v>
      </c>
      <c r="R4226">
        <v>-0.35710700000000001</v>
      </c>
      <c r="S4226">
        <v>-2.7746279999999999</v>
      </c>
      <c r="T4226">
        <v>-0.27842260000000002</v>
      </c>
      <c r="U4226">
        <v>-1.271606</v>
      </c>
      <c r="V4226">
        <v>-0.20664940000000001</v>
      </c>
      <c r="W4226">
        <v>0.1174615</v>
      </c>
      <c r="X4226">
        <v>0.9713387</v>
      </c>
      <c r="Y4226">
        <v>-0.26656449999999998</v>
      </c>
      <c r="Z4226">
        <v>2.2535419999999999E-3</v>
      </c>
      <c r="AA4226">
        <v>0.96381439999999996</v>
      </c>
      <c r="AB4226">
        <v>40</v>
      </c>
      <c r="AC4226">
        <v>-10.737699999999901</v>
      </c>
      <c r="AD4226">
        <v>-1.1152078990559999</v>
      </c>
      <c r="AE4226">
        <v>-5.0306999999999897</v>
      </c>
      <c r="AF4226">
        <v>-3.2334522557482401</v>
      </c>
      <c r="AG4226">
        <v>-1.1152078990559999</v>
      </c>
      <c r="AH4226">
        <v>11.300273006564799</v>
      </c>
      <c r="AI4226">
        <v>95.420042360756597</v>
      </c>
      <c r="AJ4226">
        <v>105.96790727057</v>
      </c>
      <c r="AK4226">
        <v>11.8065690262335</v>
      </c>
      <c r="AL4226">
        <v>83.2543791018863</v>
      </c>
      <c r="AM4226">
        <v>102.010439557398</v>
      </c>
      <c r="AN4226">
        <v>1.0000000243101399</v>
      </c>
    </row>
    <row r="4227" spans="1:40" x14ac:dyDescent="0.25">
      <c r="A4227" t="str">
        <f>"20190312151358769"</f>
        <v>20190312151358769</v>
      </c>
      <c r="B4227" t="str">
        <f>"1552374838764493"</f>
        <v>1552374838764493</v>
      </c>
      <c r="C4227" t="s">
        <v>40</v>
      </c>
      <c r="D4227">
        <v>4.5902089999999998</v>
      </c>
      <c r="E4227">
        <v>0.4796878</v>
      </c>
      <c r="F4227" t="s">
        <v>42</v>
      </c>
      <c r="G4227">
        <v>-384.91629999999998</v>
      </c>
      <c r="H4227" s="1">
        <v>-2.8761860000000001E-6</v>
      </c>
      <c r="I4227">
        <v>135.5967</v>
      </c>
      <c r="J4227">
        <v>-374.53</v>
      </c>
      <c r="K4227">
        <v>1.115246</v>
      </c>
      <c r="L4227">
        <v>140.51089999999999</v>
      </c>
      <c r="M4227">
        <v>-0.98643550000000002</v>
      </c>
      <c r="N4227">
        <v>0</v>
      </c>
      <c r="O4227">
        <v>-0.16343840000000001</v>
      </c>
      <c r="P4227">
        <v>-0.92731600000000003</v>
      </c>
      <c r="Q4227">
        <v>0.1043796</v>
      </c>
      <c r="R4227">
        <v>-0.35943009999999997</v>
      </c>
      <c r="S4227">
        <v>-2.7716980000000002</v>
      </c>
      <c r="T4227">
        <v>-0.28700219999999999</v>
      </c>
      <c r="U4227">
        <v>-1.281601</v>
      </c>
      <c r="V4227">
        <v>-0.20445559999999999</v>
      </c>
      <c r="W4227">
        <v>0.116745</v>
      </c>
      <c r="X4227">
        <v>0.97188909999999995</v>
      </c>
      <c r="Y4227">
        <v>-0.26523940000000001</v>
      </c>
      <c r="Z4227">
        <v>2.8355210000000001E-3</v>
      </c>
      <c r="AA4227">
        <v>0.96417839999999999</v>
      </c>
      <c r="AB4227">
        <v>40</v>
      </c>
      <c r="AC4227">
        <v>-10.3863</v>
      </c>
      <c r="AD4227">
        <v>-1.115248876186</v>
      </c>
      <c r="AE4227">
        <v>-4.9141999999999904</v>
      </c>
      <c r="AF4227">
        <v>-3.1209857059273598</v>
      </c>
      <c r="AG4227">
        <v>-1.115248876186</v>
      </c>
      <c r="AH4227">
        <v>10.946743503014099</v>
      </c>
      <c r="AI4227">
        <v>95.595712569648796</v>
      </c>
      <c r="AJ4227">
        <v>105.913185590314</v>
      </c>
      <c r="AK4227">
        <v>11.4374614820431</v>
      </c>
      <c r="AL4227">
        <v>83.295715469274697</v>
      </c>
      <c r="AM4227">
        <v>101.880041558999</v>
      </c>
      <c r="AN4227">
        <v>0.99999995504758399</v>
      </c>
    </row>
    <row r="4228" spans="1:40" x14ac:dyDescent="0.25">
      <c r="A4228" t="str">
        <f>"20190312151358792"</f>
        <v>20190312151358792</v>
      </c>
      <c r="B4228" t="str">
        <f>"1552374838784989"</f>
        <v>1552374838784989</v>
      </c>
      <c r="C4228" t="s">
        <v>40</v>
      </c>
      <c r="D4228">
        <v>4.6239410000000003</v>
      </c>
      <c r="E4228">
        <v>0.47976350000000001</v>
      </c>
      <c r="F4228" t="s">
        <v>42</v>
      </c>
      <c r="G4228">
        <v>-385.02820000000003</v>
      </c>
      <c r="H4228" s="1">
        <v>-2.8235219999999999E-6</v>
      </c>
      <c r="I4228">
        <v>135.62309999999999</v>
      </c>
      <c r="J4228">
        <v>-374.9384</v>
      </c>
      <c r="K4228">
        <v>1.115278</v>
      </c>
      <c r="L4228">
        <v>140.43870000000001</v>
      </c>
      <c r="M4228">
        <v>-0.98559229999999998</v>
      </c>
      <c r="N4228">
        <v>0</v>
      </c>
      <c r="O4228">
        <v>-0.1684495</v>
      </c>
      <c r="P4228">
        <v>-0.92641899999999999</v>
      </c>
      <c r="Q4228">
        <v>0.10270990000000001</v>
      </c>
      <c r="R4228">
        <v>-0.36221399999999998</v>
      </c>
      <c r="S4228">
        <v>-2.7686459999999999</v>
      </c>
      <c r="T4228">
        <v>-0.29412349999999998</v>
      </c>
      <c r="U4228">
        <v>-1.289032</v>
      </c>
      <c r="V4228">
        <v>-0.2023895</v>
      </c>
      <c r="W4228">
        <v>0.1150916</v>
      </c>
      <c r="X4228">
        <v>0.97251860000000001</v>
      </c>
      <c r="Y4228">
        <v>-0.2628836</v>
      </c>
      <c r="Z4228">
        <v>3.5154380000000001E-3</v>
      </c>
      <c r="AA4228">
        <v>0.96482120000000005</v>
      </c>
      <c r="AB4228">
        <v>40</v>
      </c>
      <c r="AC4228">
        <v>-10.0898</v>
      </c>
      <c r="AD4228">
        <v>-1.115280823522</v>
      </c>
      <c r="AE4228">
        <v>-4.8156000000000097</v>
      </c>
      <c r="AF4228">
        <v>-3.0169285622295998</v>
      </c>
      <c r="AG4228">
        <v>-1.115280823522</v>
      </c>
      <c r="AH4228">
        <v>10.6508757349016</v>
      </c>
      <c r="AI4228">
        <v>95.753069299873701</v>
      </c>
      <c r="AJ4228">
        <v>105.815112701252</v>
      </c>
      <c r="AK4228">
        <v>11.1259544842331</v>
      </c>
      <c r="AL4228">
        <v>83.391091621884996</v>
      </c>
      <c r="AM4228">
        <v>101.755948610977</v>
      </c>
      <c r="AN4228">
        <v>1.0000000067233801</v>
      </c>
    </row>
    <row r="4229" spans="1:40" x14ac:dyDescent="0.25">
      <c r="A4229" t="str">
        <f>"20190312151358815"</f>
        <v>20190312151358815</v>
      </c>
      <c r="B4229" t="str">
        <f>"1552374838804509"</f>
        <v>1552374838804509</v>
      </c>
      <c r="C4229" t="s">
        <v>40</v>
      </c>
      <c r="D4229">
        <v>4.6192679999999999</v>
      </c>
      <c r="E4229">
        <v>0.47973640000000001</v>
      </c>
      <c r="F4229" t="s">
        <v>42</v>
      </c>
      <c r="G4229">
        <v>-385.1182</v>
      </c>
      <c r="H4229" s="1">
        <v>-2.7781760000000001E-6</v>
      </c>
      <c r="I4229">
        <v>135.6609</v>
      </c>
      <c r="J4229">
        <v>-375.32330000000002</v>
      </c>
      <c r="K4229">
        <v>1.115291</v>
      </c>
      <c r="L4229">
        <v>140.36869999999999</v>
      </c>
      <c r="M4229">
        <v>-0.9847709</v>
      </c>
      <c r="N4229">
        <v>0</v>
      </c>
      <c r="O4229">
        <v>-0.17318639999999999</v>
      </c>
      <c r="P4229">
        <v>-0.92528840000000001</v>
      </c>
      <c r="Q4229">
        <v>0.1008025</v>
      </c>
      <c r="R4229">
        <v>-0.36562309999999998</v>
      </c>
      <c r="S4229">
        <v>-2.7645569999999999</v>
      </c>
      <c r="T4229">
        <v>-0.30288219999999999</v>
      </c>
      <c r="U4229">
        <v>-1.297501</v>
      </c>
      <c r="V4229">
        <v>-0.20124040000000001</v>
      </c>
      <c r="W4229">
        <v>0.1131915</v>
      </c>
      <c r="X4229">
        <v>0.97297999999999996</v>
      </c>
      <c r="Y4229">
        <v>-0.2612196</v>
      </c>
      <c r="Z4229">
        <v>4.1848249999999997E-3</v>
      </c>
      <c r="AA4229">
        <v>0.96527030000000003</v>
      </c>
      <c r="AB4229">
        <v>40</v>
      </c>
      <c r="AC4229">
        <v>-9.7948999999999806</v>
      </c>
      <c r="AD4229">
        <v>-1.115293778176</v>
      </c>
      <c r="AE4229">
        <v>-4.70779999999999</v>
      </c>
      <c r="AF4229">
        <v>-2.9094603425726202</v>
      </c>
      <c r="AG4229">
        <v>-1.115293778176</v>
      </c>
      <c r="AH4229">
        <v>10.3532354512047</v>
      </c>
      <c r="AI4229">
        <v>95.920808190235604</v>
      </c>
      <c r="AJ4229">
        <v>105.696394880193</v>
      </c>
      <c r="AK4229">
        <v>10.811952830304101</v>
      </c>
      <c r="AL4229">
        <v>83.500675800120803</v>
      </c>
      <c r="AM4229">
        <v>101.685653032942</v>
      </c>
      <c r="AN4229">
        <v>1.0000000473321999</v>
      </c>
    </row>
    <row r="4230" spans="1:40" x14ac:dyDescent="0.25">
      <c r="A4230" t="str">
        <f>"20190312151358837"</f>
        <v>20190312151358837</v>
      </c>
      <c r="B4230" t="str">
        <f>"1552374838834765"</f>
        <v>1552374838834765</v>
      </c>
      <c r="C4230" t="s">
        <v>40</v>
      </c>
      <c r="D4230">
        <v>4.634334</v>
      </c>
      <c r="E4230">
        <v>0.47957270000000002</v>
      </c>
      <c r="F4230" t="s">
        <v>42</v>
      </c>
      <c r="G4230">
        <v>-385.15910000000002</v>
      </c>
      <c r="H4230" s="1">
        <v>-2.752727E-6</v>
      </c>
      <c r="I4230">
        <v>135.7054</v>
      </c>
      <c r="J4230">
        <v>-375.71480000000003</v>
      </c>
      <c r="K4230">
        <v>1.1153090000000001</v>
      </c>
      <c r="L4230">
        <v>140.29560000000001</v>
      </c>
      <c r="M4230">
        <v>-0.98390949999999999</v>
      </c>
      <c r="N4230">
        <v>0</v>
      </c>
      <c r="O4230">
        <v>-0.17801500000000001</v>
      </c>
      <c r="P4230">
        <v>-0.92373839999999996</v>
      </c>
      <c r="Q4230">
        <v>9.9900619999999996E-2</v>
      </c>
      <c r="R4230">
        <v>-0.36976700000000001</v>
      </c>
      <c r="S4230">
        <v>-2.759369</v>
      </c>
      <c r="T4230">
        <v>-0.31288949999999999</v>
      </c>
      <c r="U4230">
        <v>-1.3082279999999999</v>
      </c>
      <c r="V4230">
        <v>-0.2008045</v>
      </c>
      <c r="W4230">
        <v>0.112286999999999</v>
      </c>
      <c r="X4230">
        <v>0.97317480000000001</v>
      </c>
      <c r="Y4230">
        <v>-0.26025130000000002</v>
      </c>
      <c r="Z4230">
        <v>4.8790250000000004E-3</v>
      </c>
      <c r="AA4230">
        <v>0.96552859999999996</v>
      </c>
      <c r="AB4230">
        <v>40</v>
      </c>
      <c r="AC4230">
        <v>-9.4442999999999895</v>
      </c>
      <c r="AD4230">
        <v>-1.115311752727</v>
      </c>
      <c r="AE4230">
        <v>-4.5902000000000003</v>
      </c>
      <c r="AF4230">
        <v>-2.8038138948633802</v>
      </c>
      <c r="AG4230">
        <v>-1.115311752727</v>
      </c>
      <c r="AH4230">
        <v>9.997849765702</v>
      </c>
      <c r="AI4230">
        <v>96.130708098910006</v>
      </c>
      <c r="AJ4230">
        <v>105.665710967572</v>
      </c>
      <c r="AK4230">
        <v>10.443289357302501</v>
      </c>
      <c r="AL4230">
        <v>83.552832073023296</v>
      </c>
      <c r="AM4230">
        <v>101.658764786877</v>
      </c>
      <c r="AN4230">
        <v>1.00000000447214</v>
      </c>
    </row>
    <row r="4231" spans="1:40" x14ac:dyDescent="0.25">
      <c r="A4231" t="str">
        <f>"20190312151358862"</f>
        <v>20190312151358862</v>
      </c>
      <c r="B4231" t="str">
        <f>"1552374838855261"</f>
        <v>1552374838855261</v>
      </c>
      <c r="C4231" t="s">
        <v>40</v>
      </c>
      <c r="D4231">
        <v>4.7930919999999997</v>
      </c>
      <c r="E4231">
        <v>0.47965479999999999</v>
      </c>
      <c r="F4231" t="s">
        <v>42</v>
      </c>
      <c r="G4231">
        <v>-385.35739999999998</v>
      </c>
      <c r="H4231" s="1">
        <v>-2.6749410000000001E-6</v>
      </c>
      <c r="I4231">
        <v>135.6645</v>
      </c>
      <c r="J4231">
        <v>-376.12139999999999</v>
      </c>
      <c r="K4231">
        <v>1.115326</v>
      </c>
      <c r="L4231">
        <v>140.2176</v>
      </c>
      <c r="M4231">
        <v>-0.98298819999999998</v>
      </c>
      <c r="N4231">
        <v>0</v>
      </c>
      <c r="O4231">
        <v>-0.18303469999999999</v>
      </c>
      <c r="P4231">
        <v>-0.92176539999999996</v>
      </c>
      <c r="Q4231">
        <v>0.1000583</v>
      </c>
      <c r="R4231">
        <v>-0.37461620000000001</v>
      </c>
      <c r="S4231">
        <v>-2.752869</v>
      </c>
      <c r="T4231">
        <v>-0.318415</v>
      </c>
      <c r="U4231">
        <v>-1.322128</v>
      </c>
      <c r="V4231">
        <v>-0.2009599</v>
      </c>
      <c r="W4231">
        <v>0.1124325</v>
      </c>
      <c r="X4231">
        <v>0.97312589999999999</v>
      </c>
      <c r="Y4231">
        <v>-0.26018619999999998</v>
      </c>
      <c r="Z4231">
        <v>5.5027059999999996E-3</v>
      </c>
      <c r="AA4231">
        <v>0.96554280000000003</v>
      </c>
      <c r="AB4231">
        <v>40</v>
      </c>
      <c r="AC4231">
        <v>-9.23599999999999</v>
      </c>
      <c r="AD4231">
        <v>-1.1153286749410001</v>
      </c>
      <c r="AE4231">
        <v>-4.5530999999999997</v>
      </c>
      <c r="AF4231">
        <v>-2.7531598169997902</v>
      </c>
      <c r="AG4231">
        <v>-1.1153286749410001</v>
      </c>
      <c r="AH4231">
        <v>9.7984548076878095</v>
      </c>
      <c r="AI4231">
        <v>96.253713471623698</v>
      </c>
      <c r="AJ4231">
        <v>105.694246673571</v>
      </c>
      <c r="AK4231">
        <v>10.238826282801501</v>
      </c>
      <c r="AL4231">
        <v>83.544442270253001</v>
      </c>
      <c r="AM4231">
        <v>101.6681102971</v>
      </c>
      <c r="AN4231">
        <v>0.999999982857534</v>
      </c>
    </row>
    <row r="4232" spans="1:40" x14ac:dyDescent="0.25">
      <c r="A4232" t="str">
        <f>"20190312151358882"</f>
        <v>20190312151358882</v>
      </c>
      <c r="B4232" t="str">
        <f>"1552374838874781"</f>
        <v>1552374838874781</v>
      </c>
      <c r="C4232" t="s">
        <v>40</v>
      </c>
      <c r="D4232">
        <v>4.6822249999999999</v>
      </c>
      <c r="E4232">
        <v>0.47966419999999999</v>
      </c>
      <c r="F4232" t="s">
        <v>42</v>
      </c>
      <c r="G4232">
        <v>-385.78379999999999</v>
      </c>
      <c r="H4232" s="1">
        <v>-2.5180770000000001E-6</v>
      </c>
      <c r="I4232">
        <v>135.51769999999999</v>
      </c>
      <c r="J4232">
        <v>-376.49220000000003</v>
      </c>
      <c r="K4232">
        <v>1.11534</v>
      </c>
      <c r="L4232">
        <v>140.14449999999999</v>
      </c>
      <c r="M4232">
        <v>-0.982124</v>
      </c>
      <c r="N4232">
        <v>0</v>
      </c>
      <c r="O4232">
        <v>-0.18761639999999999</v>
      </c>
      <c r="P4232">
        <v>-0.91988049999999999</v>
      </c>
      <c r="Q4232">
        <v>0.10164819999999999</v>
      </c>
      <c r="R4232">
        <v>-0.37879770000000001</v>
      </c>
      <c r="S4232">
        <v>-2.7461549999999999</v>
      </c>
      <c r="T4232">
        <v>-0.31699179999999999</v>
      </c>
      <c r="U4232">
        <v>-1.3357540000000001</v>
      </c>
      <c r="V4232">
        <v>-0.20089609999999999</v>
      </c>
      <c r="W4232">
        <v>0.1140144</v>
      </c>
      <c r="X4232">
        <v>0.97295500000000001</v>
      </c>
      <c r="Y4232">
        <v>-0.26051220000000003</v>
      </c>
      <c r="Z4232">
        <v>5.9471569999999998E-3</v>
      </c>
      <c r="AA4232">
        <v>0.96545230000000004</v>
      </c>
      <c r="AB4232">
        <v>40</v>
      </c>
      <c r="AC4232">
        <v>-9.2915999999999599</v>
      </c>
      <c r="AD4232">
        <v>-1.115342518077</v>
      </c>
      <c r="AE4232">
        <v>-4.6268000000000002</v>
      </c>
      <c r="AF4232">
        <v>-2.76918718929306</v>
      </c>
      <c r="AG4232">
        <v>-1.115342518077</v>
      </c>
      <c r="AH4232">
        <v>9.8806461818363207</v>
      </c>
      <c r="AI4232">
        <v>96.203320952966493</v>
      </c>
      <c r="AJ4232">
        <v>105.656259908961</v>
      </c>
      <c r="AK4232">
        <v>10.3218000170809</v>
      </c>
      <c r="AL4232">
        <v>83.453219437436303</v>
      </c>
      <c r="AM4232">
        <v>101.666500190861</v>
      </c>
      <c r="AN4232">
        <v>0.99999997921378403</v>
      </c>
    </row>
    <row r="4233" spans="1:40" x14ac:dyDescent="0.25">
      <c r="A4233" t="str">
        <f>"20190312151358904"</f>
        <v>20190312151358904</v>
      </c>
      <c r="B4233" t="str">
        <f>"1552374838894301"</f>
        <v>1552374838894301</v>
      </c>
      <c r="C4233" t="s">
        <v>40</v>
      </c>
      <c r="D4233">
        <v>4.6836000000000002</v>
      </c>
      <c r="E4233">
        <v>0.47986649999999997</v>
      </c>
      <c r="F4233" t="s">
        <v>42</v>
      </c>
      <c r="G4233">
        <v>-386.26260000000002</v>
      </c>
      <c r="H4233" s="1">
        <v>-2.3963869999999999E-6</v>
      </c>
      <c r="I4233">
        <v>135.3374</v>
      </c>
      <c r="J4233">
        <v>-376.86290000000002</v>
      </c>
      <c r="K4233">
        <v>1.115359</v>
      </c>
      <c r="L4233">
        <v>140.06970000000001</v>
      </c>
      <c r="M4233">
        <v>-0.98123769999999999</v>
      </c>
      <c r="N4233">
        <v>0</v>
      </c>
      <c r="O4233">
        <v>-0.19219849999999999</v>
      </c>
      <c r="P4233">
        <v>-0.91803619999999997</v>
      </c>
      <c r="Q4233">
        <v>0.10302799999999999</v>
      </c>
      <c r="R4233">
        <v>-0.38287769999999999</v>
      </c>
      <c r="S4233">
        <v>-2.740631</v>
      </c>
      <c r="T4233">
        <v>-0.31285950000000001</v>
      </c>
      <c r="U4233">
        <v>-1.3483889999999901</v>
      </c>
      <c r="V4233">
        <v>-0.20072209999999999</v>
      </c>
      <c r="W4233">
        <v>0.11538909999999999</v>
      </c>
      <c r="X4233">
        <v>0.9728289</v>
      </c>
      <c r="Y4233">
        <v>-0.26039479999999998</v>
      </c>
      <c r="Z4233">
        <v>6.3552340000000004E-3</v>
      </c>
      <c r="AA4233">
        <v>0.96548129999999999</v>
      </c>
      <c r="AB4233">
        <v>39</v>
      </c>
      <c r="AC4233">
        <v>-9.3996999999999904</v>
      </c>
      <c r="AD4233">
        <v>-1.1153613963869999</v>
      </c>
      <c r="AE4233">
        <v>-4.7323000000000004</v>
      </c>
      <c r="AF4233">
        <v>-2.8057162212867301</v>
      </c>
      <c r="AG4233">
        <v>-1.1153613963869999</v>
      </c>
      <c r="AH4233">
        <v>10.0214879520141</v>
      </c>
      <c r="AI4233">
        <v>96.117371119158506</v>
      </c>
      <c r="AJ4233">
        <v>105.640653803041</v>
      </c>
      <c r="AK4233">
        <v>10.466436610962999</v>
      </c>
      <c r="AL4233">
        <v>83.373932005776297</v>
      </c>
      <c r="AM4233">
        <v>101.658141852957</v>
      </c>
      <c r="AN4233">
        <v>1.0000000372512099</v>
      </c>
    </row>
    <row r="4234" spans="1:40" x14ac:dyDescent="0.25">
      <c r="A4234" t="str">
        <f>"20190312151358926"</f>
        <v>20190312151358926</v>
      </c>
      <c r="B4234" t="str">
        <f>"1552374838914797"</f>
        <v>1552374838914797</v>
      </c>
      <c r="C4234" t="s">
        <v>40</v>
      </c>
      <c r="D4234">
        <v>4.6405469999999998</v>
      </c>
      <c r="E4234">
        <v>0.479931</v>
      </c>
      <c r="F4234" t="s">
        <v>42</v>
      </c>
      <c r="G4234">
        <v>-386.77440000000001</v>
      </c>
      <c r="H4234" s="1">
        <v>-2.2733720000000002E-6</v>
      </c>
      <c r="I4234">
        <v>135.14519999999999</v>
      </c>
      <c r="J4234">
        <v>-377.24110000000002</v>
      </c>
      <c r="K4234">
        <v>1.1153649999999999</v>
      </c>
      <c r="L4234">
        <v>139.9915</v>
      </c>
      <c r="M4234">
        <v>-0.98031049999999997</v>
      </c>
      <c r="N4234">
        <v>0</v>
      </c>
      <c r="O4234">
        <v>-0.19687350000000001</v>
      </c>
      <c r="P4234">
        <v>-0.91618659999999996</v>
      </c>
      <c r="Q4234">
        <v>0.1038857</v>
      </c>
      <c r="R4234">
        <v>-0.38705329999999999</v>
      </c>
      <c r="S4234">
        <v>-2.7355649999999998</v>
      </c>
      <c r="T4234">
        <v>-0.30783959999999999</v>
      </c>
      <c r="U4234">
        <v>-1.359146</v>
      </c>
      <c r="V4234">
        <v>-0.20054420000000001</v>
      </c>
      <c r="W4234">
        <v>0.1162444</v>
      </c>
      <c r="X4234">
        <v>0.97276370000000001</v>
      </c>
      <c r="Y4234">
        <v>-0.2595885</v>
      </c>
      <c r="Z4234">
        <v>6.7774819999999996E-3</v>
      </c>
      <c r="AA4234">
        <v>0.96569559999999999</v>
      </c>
      <c r="AB4234">
        <v>39</v>
      </c>
      <c r="AC4234">
        <v>-9.5332999999999899</v>
      </c>
      <c r="AD4234">
        <v>-1.1153672733719999</v>
      </c>
      <c r="AE4234">
        <v>-4.84630000000001</v>
      </c>
      <c r="AF4234">
        <v>-2.8434293966601398</v>
      </c>
      <c r="AG4234">
        <v>-1.1153672733719999</v>
      </c>
      <c r="AH4234">
        <v>10.190057325057699</v>
      </c>
      <c r="AI4234">
        <v>96.018395222174505</v>
      </c>
      <c r="AJ4234">
        <v>105.591206703174</v>
      </c>
      <c r="AK4234">
        <v>10.6379698803983</v>
      </c>
      <c r="AL4234">
        <v>83.324594508403095</v>
      </c>
      <c r="AM4234">
        <v>101.64885109772401</v>
      </c>
      <c r="AN4234">
        <v>0.99999997636134397</v>
      </c>
    </row>
    <row r="4235" spans="1:40" x14ac:dyDescent="0.25">
      <c r="A4235" t="str">
        <f>"20190312151358947"</f>
        <v>20190312151358947</v>
      </c>
      <c r="B4235" t="str">
        <f>"1552374838945045"</f>
        <v>1552374838945045</v>
      </c>
      <c r="C4235" t="s">
        <v>40</v>
      </c>
      <c r="D4235">
        <v>4.7022250000000003</v>
      </c>
      <c r="E4235">
        <v>0.50227440000000001</v>
      </c>
      <c r="F4235" t="s">
        <v>42</v>
      </c>
      <c r="G4235">
        <v>-387.15390000000002</v>
      </c>
      <c r="H4235" s="1">
        <v>-2.1801769999999999E-6</v>
      </c>
      <c r="I4235">
        <v>135.01009999999999</v>
      </c>
      <c r="J4235">
        <v>-377.61790000000002</v>
      </c>
      <c r="K4235">
        <v>1.115356</v>
      </c>
      <c r="L4235">
        <v>139.91149999999999</v>
      </c>
      <c r="M4235">
        <v>-0.97936559999999995</v>
      </c>
      <c r="N4235">
        <v>0</v>
      </c>
      <c r="O4235">
        <v>-0.2015209</v>
      </c>
      <c r="P4235">
        <v>-0.91460750000000002</v>
      </c>
      <c r="Q4235">
        <v>0.1036406</v>
      </c>
      <c r="R4235">
        <v>-0.39083479999999998</v>
      </c>
      <c r="S4235">
        <v>-2.7297359999999999</v>
      </c>
      <c r="T4235">
        <v>-0.30714629999999998</v>
      </c>
      <c r="U4235">
        <v>-1.3717349999999999</v>
      </c>
      <c r="V4235">
        <v>-0.199937</v>
      </c>
      <c r="W4235">
        <v>0.116009</v>
      </c>
      <c r="X4235">
        <v>0.97291680000000003</v>
      </c>
      <c r="Y4235">
        <v>-0.25941639999999999</v>
      </c>
      <c r="Z4235">
        <v>7.2488639999999998E-3</v>
      </c>
      <c r="AA4235">
        <v>0.9657384</v>
      </c>
      <c r="AB4235">
        <v>39</v>
      </c>
      <c r="AC4235">
        <v>-9.5359999999999996</v>
      </c>
      <c r="AD4235">
        <v>-1.1153581801770001</v>
      </c>
      <c r="AE4235">
        <v>-4.90139999999999</v>
      </c>
      <c r="AF4235">
        <v>-2.84807342290887</v>
      </c>
      <c r="AG4235">
        <v>-1.1153581801770001</v>
      </c>
      <c r="AH4235">
        <v>10.217595583336999</v>
      </c>
      <c r="AI4235">
        <v>96.002703348602907</v>
      </c>
      <c r="AJ4235">
        <v>105.57538871129201</v>
      </c>
      <c r="AK4235">
        <v>10.665589791333399</v>
      </c>
      <c r="AL4235">
        <v>83.33817393791</v>
      </c>
      <c r="AM4235">
        <v>101.612762811504</v>
      </c>
      <c r="AN4235">
        <v>0.99999999588611999</v>
      </c>
    </row>
    <row r="4236" spans="1:40" x14ac:dyDescent="0.25">
      <c r="A4236" t="str">
        <f>"20190312151358970"</f>
        <v>20190312151358970</v>
      </c>
      <c r="B4236" t="str">
        <f>"1552374838964568"</f>
        <v>1552374838964568</v>
      </c>
      <c r="C4236" t="s">
        <v>40</v>
      </c>
      <c r="D4236">
        <v>4.642061</v>
      </c>
      <c r="E4236">
        <v>0.50767890000000004</v>
      </c>
      <c r="F4236" t="s">
        <v>42</v>
      </c>
      <c r="G4236">
        <v>-387.72680000000003</v>
      </c>
      <c r="H4236" s="1">
        <v>-1.85546E-6</v>
      </c>
      <c r="I4236">
        <v>135.49770000000001</v>
      </c>
      <c r="J4236">
        <v>-378.00599999999997</v>
      </c>
      <c r="K4236">
        <v>1.1153390000000001</v>
      </c>
      <c r="L4236">
        <v>139.82730000000001</v>
      </c>
      <c r="M4236">
        <v>-0.97837130000000005</v>
      </c>
      <c r="N4236">
        <v>0</v>
      </c>
      <c r="O4236">
        <v>-0.20629510000000001</v>
      </c>
      <c r="P4236">
        <v>-0.91311560000000003</v>
      </c>
      <c r="Q4236">
        <v>0.1030157</v>
      </c>
      <c r="R4236">
        <v>-0.39447179999999998</v>
      </c>
      <c r="S4236">
        <v>-2.793701</v>
      </c>
      <c r="T4236">
        <v>-0.30824170000000001</v>
      </c>
      <c r="U4236">
        <v>-1.219803</v>
      </c>
      <c r="V4236">
        <v>-0.19903709999999999</v>
      </c>
      <c r="W4236">
        <v>0.1154014</v>
      </c>
      <c r="X4236">
        <v>0.97317359999999997</v>
      </c>
      <c r="Y4236">
        <v>-0.2024637</v>
      </c>
      <c r="Z4236">
        <v>1.0713220000000001E-2</v>
      </c>
      <c r="AA4236">
        <v>0.97923119999999997</v>
      </c>
      <c r="AB4236">
        <v>39</v>
      </c>
      <c r="AC4236">
        <v>-9.7208000000000503</v>
      </c>
      <c r="AD4236">
        <v>-1.1153408554599999</v>
      </c>
      <c r="AE4236">
        <v>-4.3295999999999903</v>
      </c>
      <c r="AF4236">
        <v>-2.20662097425119</v>
      </c>
      <c r="AG4236">
        <v>-1.1153408554599999</v>
      </c>
      <c r="AH4236">
        <v>10.291872864972399</v>
      </c>
      <c r="AI4236">
        <v>96.0486548687051</v>
      </c>
      <c r="AJ4236">
        <v>102.10124870606001</v>
      </c>
      <c r="AK4236">
        <v>10.5846968977208</v>
      </c>
      <c r="AL4236">
        <v>83.373222633108497</v>
      </c>
      <c r="AM4236">
        <v>101.55893635544599</v>
      </c>
      <c r="AN4236">
        <v>1.00000005301766</v>
      </c>
    </row>
    <row r="4237" spans="1:40" x14ac:dyDescent="0.25">
      <c r="A4237" t="str">
        <f>"20190312151358994"</f>
        <v>20190312151358994</v>
      </c>
      <c r="B4237" t="str">
        <f>"1552374838985061"</f>
        <v>1552374838985061</v>
      </c>
      <c r="C4237" t="s">
        <v>40</v>
      </c>
      <c r="D4237">
        <v>4.637759</v>
      </c>
      <c r="E4237">
        <v>0.50992380000000004</v>
      </c>
      <c r="F4237" t="s">
        <v>42</v>
      </c>
      <c r="G4237">
        <v>-388.20150000000001</v>
      </c>
      <c r="H4237" s="1">
        <v>-1.6943630000000001E-6</v>
      </c>
      <c r="I4237">
        <v>135.49610000000001</v>
      </c>
      <c r="J4237">
        <v>-378.40370000000001</v>
      </c>
      <c r="K4237">
        <v>1.1153109999999999</v>
      </c>
      <c r="L4237">
        <v>139.7389</v>
      </c>
      <c r="M4237">
        <v>-0.97733320000000001</v>
      </c>
      <c r="N4237">
        <v>0</v>
      </c>
      <c r="O4237">
        <v>-0.21115819999999999</v>
      </c>
      <c r="P4237">
        <v>-0.91189929999999997</v>
      </c>
      <c r="Q4237">
        <v>0.10165449999999999</v>
      </c>
      <c r="R4237">
        <v>-0.39762570000000003</v>
      </c>
      <c r="S4237">
        <v>-2.8052670000000002</v>
      </c>
      <c r="T4237">
        <v>-0.30688559999999998</v>
      </c>
      <c r="U4237">
        <v>-1.1916960000000001</v>
      </c>
      <c r="V4237">
        <v>-0.1975016</v>
      </c>
      <c r="W4237">
        <v>0.1140736</v>
      </c>
      <c r="X4237">
        <v>0.97364280000000003</v>
      </c>
      <c r="Y4237">
        <v>-0.1879033</v>
      </c>
      <c r="Z4237">
        <v>1.190273E-2</v>
      </c>
      <c r="AA4237">
        <v>0.98211539999999997</v>
      </c>
      <c r="AB4237">
        <v>39</v>
      </c>
      <c r="AC4237">
        <v>-9.7977999999999899</v>
      </c>
      <c r="AD4237">
        <v>-1.1153126943629901</v>
      </c>
      <c r="AE4237">
        <v>-4.2427999999999804</v>
      </c>
      <c r="AF4237">
        <v>-2.0555548418854102</v>
      </c>
      <c r="AG4237">
        <v>-1.1153126943629901</v>
      </c>
      <c r="AH4237">
        <v>10.359788698525501</v>
      </c>
      <c r="AI4237">
        <v>96.028050880269205</v>
      </c>
      <c r="AJ4237">
        <v>101.222677358906</v>
      </c>
      <c r="AK4237">
        <v>10.6204731529392</v>
      </c>
      <c r="AL4237">
        <v>83.449805290808797</v>
      </c>
      <c r="AM4237">
        <v>101.46675443581999</v>
      </c>
      <c r="AN4237">
        <v>0.999999985105679</v>
      </c>
    </row>
    <row r="4238" spans="1:40" x14ac:dyDescent="0.25">
      <c r="A4238" t="str">
        <f>"20190312151359017"</f>
        <v>20190312151359017</v>
      </c>
      <c r="B4238" t="str">
        <f>"1552374839004580"</f>
        <v>1552374839004580</v>
      </c>
      <c r="C4238" t="s">
        <v>40</v>
      </c>
      <c r="D4238">
        <v>4.6421190000000001</v>
      </c>
      <c r="E4238">
        <v>0.51114689999999996</v>
      </c>
      <c r="F4238" t="s">
        <v>42</v>
      </c>
      <c r="G4238">
        <v>-388.5367</v>
      </c>
      <c r="H4238" s="1">
        <v>-1.5895880000000001E-6</v>
      </c>
      <c r="I4238">
        <v>135.46119999999999</v>
      </c>
      <c r="J4238">
        <v>-378.77510000000001</v>
      </c>
      <c r="K4238">
        <v>1.1152690000000001</v>
      </c>
      <c r="L4238">
        <v>139.65450000000001</v>
      </c>
      <c r="M4238">
        <v>-0.9763522</v>
      </c>
      <c r="N4238">
        <v>0</v>
      </c>
      <c r="O4238">
        <v>-0.21564929999999999</v>
      </c>
      <c r="P4238">
        <v>-0.91066899999999995</v>
      </c>
      <c r="Q4238">
        <v>0.1020316</v>
      </c>
      <c r="R4238">
        <v>-0.40033970000000002</v>
      </c>
      <c r="S4238">
        <v>-2.8075260000000002</v>
      </c>
      <c r="T4238">
        <v>-0.30902000000000002</v>
      </c>
      <c r="U4238">
        <v>-1.1851959999999999</v>
      </c>
      <c r="V4238">
        <v>-0.19592509999999999</v>
      </c>
      <c r="W4238">
        <v>0.1144886</v>
      </c>
      <c r="X4238">
        <v>0.97391260000000002</v>
      </c>
      <c r="Y4238">
        <v>-0.1812269</v>
      </c>
      <c r="Z4238">
        <v>1.278874E-2</v>
      </c>
      <c r="AA4238">
        <v>0.98335810000000001</v>
      </c>
      <c r="AB4238">
        <v>39</v>
      </c>
      <c r="AC4238">
        <v>-9.7615999999999801</v>
      </c>
      <c r="AD4238">
        <v>-1.115270589588</v>
      </c>
      <c r="AE4238">
        <v>-4.1933000000000202</v>
      </c>
      <c r="AF4238">
        <v>-1.9676034960256401</v>
      </c>
      <c r="AG4238">
        <v>-1.115270589588</v>
      </c>
      <c r="AH4238">
        <v>10.3224998450741</v>
      </c>
      <c r="AI4238">
        <v>96.058226962661806</v>
      </c>
      <c r="AJ4238">
        <v>100.791866310396</v>
      </c>
      <c r="AK4238">
        <v>10.567369353681499</v>
      </c>
      <c r="AL4238">
        <v>83.425870953188195</v>
      </c>
      <c r="AM4238">
        <v>101.374551107711</v>
      </c>
      <c r="AN4238">
        <v>1.00000001838936</v>
      </c>
    </row>
    <row r="4239" spans="1:40" x14ac:dyDescent="0.25">
      <c r="A4239" t="str">
        <f>"20190312151359060"</f>
        <v>20190312151359060</v>
      </c>
      <c r="B4239" t="str">
        <f>"1552374839054748"</f>
        <v>1552374839054748</v>
      </c>
      <c r="C4239" t="s">
        <v>40</v>
      </c>
      <c r="D4239">
        <v>4.6812069999999997</v>
      </c>
      <c r="E4239">
        <v>0.5122409</v>
      </c>
      <c r="F4239" t="s">
        <v>42</v>
      </c>
      <c r="G4239">
        <v>-388.89890000000003</v>
      </c>
      <c r="H4239" s="1">
        <v>-1.4867509999999901E-6</v>
      </c>
      <c r="I4239">
        <v>135.3843</v>
      </c>
      <c r="J4239">
        <v>-379.52499999999998</v>
      </c>
      <c r="K4239">
        <v>1.1151120000000001</v>
      </c>
      <c r="L4239">
        <v>139.47899999999899</v>
      </c>
      <c r="M4239">
        <v>-0.97436750000000005</v>
      </c>
      <c r="N4239">
        <v>0</v>
      </c>
      <c r="O4239">
        <v>-0.2244467</v>
      </c>
      <c r="P4239">
        <v>-0.90806949999999997</v>
      </c>
      <c r="Q4239">
        <v>0.10247729999999999</v>
      </c>
      <c r="R4239">
        <v>-0.40608919999999998</v>
      </c>
      <c r="S4239">
        <v>-2.8082579999999999</v>
      </c>
      <c r="T4239">
        <v>-0.30936859999999999</v>
      </c>
      <c r="U4239">
        <v>-1.1844939999999999</v>
      </c>
      <c r="V4239">
        <v>-0.19326550000000001</v>
      </c>
      <c r="W4239">
        <v>0.11503239999999899</v>
      </c>
      <c r="X4239">
        <v>0.97437980000000002</v>
      </c>
      <c r="Y4239">
        <v>-0.17213639999999999</v>
      </c>
      <c r="Z4239">
        <v>1.416942E-2</v>
      </c>
      <c r="AA4239">
        <v>0.98497120000000005</v>
      </c>
      <c r="AB4239">
        <v>39</v>
      </c>
      <c r="AC4239">
        <v>-9.3739000000000399</v>
      </c>
      <c r="AD4239">
        <v>-1.115113486751</v>
      </c>
      <c r="AE4239">
        <v>-4.09469999999998</v>
      </c>
      <c r="AF4239">
        <v>-1.8638703187096901</v>
      </c>
      <c r="AG4239">
        <v>-1.115113486751</v>
      </c>
      <c r="AH4239">
        <v>9.9357556367592696</v>
      </c>
      <c r="AI4239">
        <v>96.294747642287604</v>
      </c>
      <c r="AJ4239">
        <v>100.624758785382</v>
      </c>
      <c r="AK4239">
        <v>10.1703849841928</v>
      </c>
      <c r="AL4239">
        <v>83.394506169974804</v>
      </c>
      <c r="AM4239">
        <v>101.218847097284</v>
      </c>
      <c r="AN4239">
        <v>1.0000000005940199</v>
      </c>
    </row>
    <row r="4240" spans="1:40" x14ac:dyDescent="0.25">
      <c r="A4240" t="str">
        <f>"20190312151359083"</f>
        <v>20190312151359083</v>
      </c>
      <c r="B4240" t="str">
        <f>"1552374839074268"</f>
        <v>1552374839074268</v>
      </c>
      <c r="C4240" t="s">
        <v>40</v>
      </c>
      <c r="D4240">
        <v>4.7051759999999998</v>
      </c>
      <c r="E4240">
        <v>0.51238899999999998</v>
      </c>
      <c r="F4240" t="s">
        <v>42</v>
      </c>
      <c r="G4240">
        <v>-389.58640000000003</v>
      </c>
      <c r="H4240" s="1">
        <v>-1.3011929999999999E-6</v>
      </c>
      <c r="I4240">
        <v>135.20249999999999</v>
      </c>
      <c r="J4240">
        <v>-379.90309999999999</v>
      </c>
      <c r="K4240">
        <v>1.114995</v>
      </c>
      <c r="L4240">
        <v>139.38800000000001</v>
      </c>
      <c r="M4240">
        <v>-0.97337660000000004</v>
      </c>
      <c r="N4240">
        <v>0</v>
      </c>
      <c r="O4240">
        <v>-0.22870650000000001</v>
      </c>
      <c r="P4240">
        <v>-0.90703049999999996</v>
      </c>
      <c r="Q4240">
        <v>0.10184940000000001</v>
      </c>
      <c r="R4240">
        <v>-0.40856130000000002</v>
      </c>
      <c r="S4240">
        <v>-2.8055110000000001</v>
      </c>
      <c r="T4240">
        <v>-0.3109403</v>
      </c>
      <c r="U4240">
        <v>-1.1924440000000001</v>
      </c>
      <c r="V4240">
        <v>-0.1916004</v>
      </c>
      <c r="W4240">
        <v>0.11447300000000001</v>
      </c>
      <c r="X4240">
        <v>0.97477440000000004</v>
      </c>
      <c r="Y4240">
        <v>-0.17057020000000001</v>
      </c>
      <c r="Z4240">
        <v>1.4759670000000001E-2</v>
      </c>
      <c r="AA4240">
        <v>0.98523499999999997</v>
      </c>
      <c r="AB4240">
        <v>39</v>
      </c>
      <c r="AC4240">
        <v>-9.6833000000000293</v>
      </c>
      <c r="AD4240">
        <v>-1.114996301193</v>
      </c>
      <c r="AE4240">
        <v>-4.18550000000001</v>
      </c>
      <c r="AF4240">
        <v>-1.8391036774370999</v>
      </c>
      <c r="AG4240">
        <v>-1.114996301193</v>
      </c>
      <c r="AH4240">
        <v>10.2692271862116</v>
      </c>
      <c r="AI4240">
        <v>96.1003911580639</v>
      </c>
      <c r="AJ4240">
        <v>100.153396796788</v>
      </c>
      <c r="AK4240">
        <v>10.4920229741487</v>
      </c>
      <c r="AL4240">
        <v>83.426770270414806</v>
      </c>
      <c r="AM4240">
        <v>101.120219818515</v>
      </c>
      <c r="AN4240">
        <v>0.99999995595225899</v>
      </c>
    </row>
    <row r="4241" spans="1:40" x14ac:dyDescent="0.25">
      <c r="A4241" t="str">
        <f>"20190312151359104"</f>
        <v>20190312151359104</v>
      </c>
      <c r="B4241" t="str">
        <f>"1552374839094764"</f>
        <v>1552374839094764</v>
      </c>
      <c r="C4241" t="s">
        <v>40</v>
      </c>
      <c r="D4241">
        <v>4.6769769999999999</v>
      </c>
      <c r="E4241">
        <v>0.51259330000000003</v>
      </c>
      <c r="F4241" t="s">
        <v>42</v>
      </c>
      <c r="G4241">
        <v>-389.82350000000002</v>
      </c>
      <c r="H4241" s="1">
        <v>-1.2348889999999999E-6</v>
      </c>
      <c r="I4241">
        <v>135.14840000000001</v>
      </c>
      <c r="J4241">
        <v>-380.2756</v>
      </c>
      <c r="K4241">
        <v>1.1148549999999999</v>
      </c>
      <c r="L4241">
        <v>139.29669999999999</v>
      </c>
      <c r="M4241">
        <v>-0.97242390000000001</v>
      </c>
      <c r="N4241">
        <v>0</v>
      </c>
      <c r="O4241">
        <v>-0.23272519999999999</v>
      </c>
      <c r="P4241">
        <v>-0.9062306</v>
      </c>
      <c r="Q4241">
        <v>0.1010696</v>
      </c>
      <c r="R4241">
        <v>-0.41052539999999998</v>
      </c>
      <c r="S4241">
        <v>-2.803223</v>
      </c>
      <c r="T4241">
        <v>-0.31506879999999998</v>
      </c>
      <c r="U4241">
        <v>-1.1979519999999999</v>
      </c>
      <c r="V4241">
        <v>-0.1896128</v>
      </c>
      <c r="W4241">
        <v>0.1137794</v>
      </c>
      <c r="X4241">
        <v>0.97524420000000001</v>
      </c>
      <c r="Y4241">
        <v>-0.1684658</v>
      </c>
      <c r="Z4241">
        <v>1.5484660000000001E-2</v>
      </c>
      <c r="AA4241">
        <v>0.98558590000000001</v>
      </c>
      <c r="AB4241">
        <v>39</v>
      </c>
      <c r="AC4241">
        <v>-9.5479000000000198</v>
      </c>
      <c r="AD4241">
        <v>-1.1148562348890001</v>
      </c>
      <c r="AE4241">
        <v>-4.1482999999999697</v>
      </c>
      <c r="AF4241">
        <v>-1.79153113050429</v>
      </c>
      <c r="AG4241">
        <v>-1.1148562348890001</v>
      </c>
      <c r="AH4241">
        <v>10.1349649510503</v>
      </c>
      <c r="AI4241">
        <v>96.182269404946396</v>
      </c>
      <c r="AJ4241">
        <v>100.024469922318</v>
      </c>
      <c r="AK4241">
        <v>10.3522945657016</v>
      </c>
      <c r="AL4241">
        <v>83.466772326120093</v>
      </c>
      <c r="AM4241">
        <v>101.00252092749299</v>
      </c>
      <c r="AN4241">
        <v>1.0000000077109199</v>
      </c>
    </row>
    <row r="4242" spans="1:40" x14ac:dyDescent="0.25">
      <c r="A4242" t="str">
        <f>"20190312151359127"</f>
        <v>20190312151359127</v>
      </c>
      <c r="B4242" t="str">
        <f>"1552374839114284"</f>
        <v>1552374839114284</v>
      </c>
      <c r="C4242" t="s">
        <v>40</v>
      </c>
      <c r="D4242">
        <v>4.737762</v>
      </c>
      <c r="E4242">
        <v>0.51280209999999904</v>
      </c>
      <c r="F4242" t="s">
        <v>42</v>
      </c>
      <c r="G4242">
        <v>-389.97340000000003</v>
      </c>
      <c r="H4242" s="1">
        <v>-5.0786989999999999E-6</v>
      </c>
      <c r="I4242">
        <v>135.1344</v>
      </c>
      <c r="J4242">
        <v>-380.64819999999997</v>
      </c>
      <c r="K4242">
        <v>1.11466</v>
      </c>
      <c r="L4242">
        <v>139.20400000000001</v>
      </c>
      <c r="M4242">
        <v>-0.97151699999999996</v>
      </c>
      <c r="N4242">
        <v>0</v>
      </c>
      <c r="O4242">
        <v>-0.23648369999999999</v>
      </c>
      <c r="P4242">
        <v>-0.90545819999999999</v>
      </c>
      <c r="Q4242">
        <v>0.1006363</v>
      </c>
      <c r="R4242">
        <v>-0.41233249999999999</v>
      </c>
      <c r="S4242">
        <v>-2.8016359999999998</v>
      </c>
      <c r="T4242">
        <v>-0.32207980000000003</v>
      </c>
      <c r="U4242">
        <v>-1.202469</v>
      </c>
      <c r="V4242">
        <v>-0.18771389999999999</v>
      </c>
      <c r="W4242">
        <v>0.1134497</v>
      </c>
      <c r="X4242">
        <v>0.97564980000000001</v>
      </c>
      <c r="Y4242">
        <v>-0.16624369999999999</v>
      </c>
      <c r="Z4242">
        <v>1.634567E-2</v>
      </c>
      <c r="AA4242">
        <v>0.98594919999999997</v>
      </c>
      <c r="AB4242">
        <v>39</v>
      </c>
      <c r="AC4242">
        <v>-9.3252000000000503</v>
      </c>
      <c r="AD4242">
        <v>-1.114665078699</v>
      </c>
      <c r="AE4242">
        <v>-4.0696000000000003</v>
      </c>
      <c r="AF4242">
        <v>-1.72789058050557</v>
      </c>
      <c r="AG4242">
        <v>-1.114665078699</v>
      </c>
      <c r="AH4242">
        <v>9.9042651867539195</v>
      </c>
      <c r="AI4242">
        <v>96.326510104508202</v>
      </c>
      <c r="AJ4242">
        <v>99.896180168470195</v>
      </c>
      <c r="AK4242">
        <v>10.115461086150001</v>
      </c>
      <c r="AL4242">
        <v>83.485785399426206</v>
      </c>
      <c r="AM4242">
        <v>100.890563679699</v>
      </c>
      <c r="AN4242">
        <v>0.99999993746166804</v>
      </c>
    </row>
    <row r="4243" spans="1:40" x14ac:dyDescent="0.25">
      <c r="A4243" t="str">
        <f>"20190312151359150"</f>
        <v>20190312151359150</v>
      </c>
      <c r="B4243" t="str">
        <f>"1552374839144909"</f>
        <v>1552374839144909</v>
      </c>
      <c r="C4243" t="s">
        <v>40</v>
      </c>
      <c r="D4243">
        <v>4.6330879999999999</v>
      </c>
      <c r="E4243">
        <v>0.51322259999999997</v>
      </c>
      <c r="F4243" t="s">
        <v>42</v>
      </c>
      <c r="G4243">
        <v>-390.23070000000001</v>
      </c>
      <c r="H4243" s="1">
        <v>-4.978504E-6</v>
      </c>
      <c r="I4243">
        <v>135.07669999999999</v>
      </c>
      <c r="J4243">
        <v>-381.02140000000003</v>
      </c>
      <c r="K4243">
        <v>1.114411</v>
      </c>
      <c r="L4243">
        <v>139.10980000000001</v>
      </c>
      <c r="M4243">
        <v>-0.97066399999999997</v>
      </c>
      <c r="N4243">
        <v>0</v>
      </c>
      <c r="O4243">
        <v>-0.23996149999999999</v>
      </c>
      <c r="P4243">
        <v>-0.90452829999999995</v>
      </c>
      <c r="Q4243">
        <v>0.1000122</v>
      </c>
      <c r="R4243">
        <v>-0.41451949999999999</v>
      </c>
      <c r="S4243">
        <v>-2.8002319999999998</v>
      </c>
      <c r="T4243">
        <v>-0.32572889999999999</v>
      </c>
      <c r="U4243">
        <v>-1.20607</v>
      </c>
      <c r="V4243">
        <v>-0.18648580000000001</v>
      </c>
      <c r="W4243">
        <v>0.1129376</v>
      </c>
      <c r="X4243">
        <v>0.97594479999999995</v>
      </c>
      <c r="Y4243">
        <v>-0.163999799999999</v>
      </c>
      <c r="Z4243">
        <v>1.7025470000000001E-2</v>
      </c>
      <c r="AA4243">
        <v>0.98631349999999995</v>
      </c>
      <c r="AB4243">
        <v>39</v>
      </c>
      <c r="AC4243">
        <v>-9.2092999999999794</v>
      </c>
      <c r="AD4243">
        <v>-1.114415978504</v>
      </c>
      <c r="AE4243">
        <v>-4.0331000000000099</v>
      </c>
      <c r="AF4243">
        <v>-1.68440740613618</v>
      </c>
      <c r="AG4243">
        <v>-1.114415978504</v>
      </c>
      <c r="AH4243">
        <v>9.78780196660502</v>
      </c>
      <c r="AI4243">
        <v>96.4022755826024</v>
      </c>
      <c r="AJ4243">
        <v>99.764529308821594</v>
      </c>
      <c r="AK4243">
        <v>9.9940091365011607</v>
      </c>
      <c r="AL4243">
        <v>83.515317125577297</v>
      </c>
      <c r="AM4243">
        <v>100.817807104765</v>
      </c>
      <c r="AN4243">
        <v>1.0000000538712099</v>
      </c>
    </row>
    <row r="4244" spans="1:40" x14ac:dyDescent="0.25">
      <c r="A4244" t="str">
        <f>"20190312151359172"</f>
        <v>20190312151359172</v>
      </c>
      <c r="B4244" t="str">
        <f>"1552374839164430"</f>
        <v>1552374839164430</v>
      </c>
      <c r="C4244" t="s">
        <v>40</v>
      </c>
      <c r="D4244">
        <v>4.5995429999999997</v>
      </c>
      <c r="E4244">
        <v>0.52723900000000001</v>
      </c>
      <c r="F4244" t="s">
        <v>42</v>
      </c>
      <c r="G4244">
        <v>-390.51029999999997</v>
      </c>
      <c r="H4244" s="1">
        <v>-4.8698889999999996E-6</v>
      </c>
      <c r="I4244">
        <v>135.0128</v>
      </c>
      <c r="J4244">
        <v>-381.40050000000002</v>
      </c>
      <c r="K4244">
        <v>1.11416</v>
      </c>
      <c r="L4244">
        <v>139.0129</v>
      </c>
      <c r="M4244">
        <v>-0.96984919999999997</v>
      </c>
      <c r="N4244">
        <v>0</v>
      </c>
      <c r="O4244">
        <v>-0.2432347</v>
      </c>
      <c r="P4244">
        <v>-0.90406439999999999</v>
      </c>
      <c r="Q4244">
        <v>9.8269930000000005E-2</v>
      </c>
      <c r="R4244">
        <v>-0.41594599999999998</v>
      </c>
      <c r="S4244">
        <v>-2.7991640000000002</v>
      </c>
      <c r="T4244">
        <v>-0.32874550000000002</v>
      </c>
      <c r="U4244">
        <v>-1.2085570000000001</v>
      </c>
      <c r="V4244">
        <v>-0.18459639999999999</v>
      </c>
      <c r="W4244">
        <v>0.1113213</v>
      </c>
      <c r="X4244">
        <v>0.97648950000000001</v>
      </c>
      <c r="Y4244">
        <v>-0.1615857</v>
      </c>
      <c r="Z4244">
        <v>1.7669580000000001E-2</v>
      </c>
      <c r="AA4244">
        <v>0.98670049999999998</v>
      </c>
      <c r="AB4244">
        <v>39</v>
      </c>
      <c r="AC4244">
        <v>-9.1097999999999395</v>
      </c>
      <c r="AD4244">
        <v>-1.1141648698890001</v>
      </c>
      <c r="AE4244">
        <v>-4.0000999999999998</v>
      </c>
      <c r="AF4244">
        <v>-1.6432580907354899</v>
      </c>
      <c r="AG4244">
        <v>-1.1141648698890001</v>
      </c>
      <c r="AH4244">
        <v>9.6877327012365608</v>
      </c>
      <c r="AI4244">
        <v>96.469034712223603</v>
      </c>
      <c r="AJ4244">
        <v>99.627026114497497</v>
      </c>
      <c r="AK4244">
        <v>9.88907606405526</v>
      </c>
      <c r="AL4244">
        <v>83.608511697696201</v>
      </c>
      <c r="AM4244">
        <v>100.704916998581</v>
      </c>
      <c r="AN4244">
        <v>1.0000000031684499</v>
      </c>
    </row>
    <row r="4245" spans="1:40" x14ac:dyDescent="0.25">
      <c r="A4245" t="str">
        <f>"20190312151359194"</f>
        <v>20190312151359194</v>
      </c>
      <c r="B4245" t="str">
        <f>"1552374839184923"</f>
        <v>1552374839184923</v>
      </c>
      <c r="C4245" t="s">
        <v>40</v>
      </c>
      <c r="D4245">
        <v>4.6388020000000001</v>
      </c>
      <c r="E4245">
        <v>0.52751079999999995</v>
      </c>
      <c r="F4245" t="s">
        <v>42</v>
      </c>
      <c r="G4245">
        <v>-390.72809999999998</v>
      </c>
      <c r="H4245" s="1">
        <v>-4.7130719999999999E-6</v>
      </c>
      <c r="I4245">
        <v>135.37029999999999</v>
      </c>
      <c r="J4245">
        <v>-381.77120000000002</v>
      </c>
      <c r="K4245">
        <v>1.113904</v>
      </c>
      <c r="L4245">
        <v>138.91720000000001</v>
      </c>
      <c r="M4245">
        <v>-0.96911170000000002</v>
      </c>
      <c r="N4245">
        <v>0</v>
      </c>
      <c r="O4245">
        <v>-0.2461575</v>
      </c>
      <c r="P4245">
        <v>-0.90401869999999995</v>
      </c>
      <c r="Q4245">
        <v>9.7865220000000003E-2</v>
      </c>
      <c r="R4245">
        <v>-0.41614040000000002</v>
      </c>
      <c r="S4245">
        <v>-2.8442690000000002</v>
      </c>
      <c r="T4245">
        <v>-0.33974660000000001</v>
      </c>
      <c r="U4245">
        <v>-1.1107180000000001</v>
      </c>
      <c r="V4245">
        <v>-0.18177299999999999</v>
      </c>
      <c r="W4245">
        <v>0.1110517</v>
      </c>
      <c r="X4245">
        <v>0.97704970000000002</v>
      </c>
      <c r="Y4245">
        <v>-0.1239555</v>
      </c>
      <c r="Z4245">
        <v>2.0614810000000001E-2</v>
      </c>
      <c r="AA4245">
        <v>0.9920736</v>
      </c>
      <c r="AB4245">
        <v>39</v>
      </c>
      <c r="AC4245">
        <v>-8.9568999999999601</v>
      </c>
      <c r="AD4245">
        <v>-1.113908713072</v>
      </c>
      <c r="AE4245">
        <v>-3.5469000000000199</v>
      </c>
      <c r="AF4245">
        <v>-1.21641229973559</v>
      </c>
      <c r="AG4245">
        <v>-1.113908713072</v>
      </c>
      <c r="AH4245">
        <v>9.4283724723344999</v>
      </c>
      <c r="AI4245">
        <v>96.683054032450798</v>
      </c>
      <c r="AJ4245">
        <v>97.351471444267602</v>
      </c>
      <c r="AK4245">
        <v>9.5715546794175896</v>
      </c>
      <c r="AL4245">
        <v>83.624055058614502</v>
      </c>
      <c r="AM4245">
        <v>100.538974672482</v>
      </c>
      <c r="AN4245">
        <v>1.00000000993598</v>
      </c>
    </row>
    <row r="4246" spans="1:40" x14ac:dyDescent="0.25">
      <c r="A4246" t="str">
        <f>"20190312151359217"</f>
        <v>20190312151359217</v>
      </c>
      <c r="B4246" t="str">
        <f>"1552374839204443"</f>
        <v>1552374839204443</v>
      </c>
      <c r="C4246" t="s">
        <v>40</v>
      </c>
      <c r="D4246">
        <v>4.6174359999999997</v>
      </c>
      <c r="E4246">
        <v>0.52765189999999995</v>
      </c>
      <c r="F4246" t="s">
        <v>42</v>
      </c>
      <c r="G4246">
        <v>-391.22770000000003</v>
      </c>
      <c r="H4246" s="1">
        <v>-4.5233730000000001E-6</v>
      </c>
      <c r="I4246">
        <v>135.23140000000001</v>
      </c>
      <c r="J4246">
        <v>-382.15620000000001</v>
      </c>
      <c r="K4246">
        <v>1.1136200000000001</v>
      </c>
      <c r="L4246">
        <v>138.8167</v>
      </c>
      <c r="M4246">
        <v>-0.96842189999999995</v>
      </c>
      <c r="N4246">
        <v>0</v>
      </c>
      <c r="O4246">
        <v>-0.24885879999999999</v>
      </c>
      <c r="P4246">
        <v>-0.90377589999999997</v>
      </c>
      <c r="Q4246">
        <v>9.9331450000000002E-2</v>
      </c>
      <c r="R4246">
        <v>-0.41632079999999999</v>
      </c>
      <c r="S4246">
        <v>-2.8444820000000002</v>
      </c>
      <c r="T4246">
        <v>-0.33506140000000001</v>
      </c>
      <c r="U4246">
        <v>-1.108643</v>
      </c>
      <c r="V4246">
        <v>-0.17921280000000001</v>
      </c>
      <c r="W4246">
        <v>0.1126561</v>
      </c>
      <c r="X4246">
        <v>0.97733890000000001</v>
      </c>
      <c r="Y4246">
        <v>-0.1205499</v>
      </c>
      <c r="Z4246">
        <v>2.0818650000000001E-2</v>
      </c>
      <c r="AA4246">
        <v>0.99248890000000001</v>
      </c>
      <c r="AB4246">
        <v>39</v>
      </c>
      <c r="AC4246">
        <v>-9.0715000000000092</v>
      </c>
      <c r="AD4246">
        <v>-1.113624523373</v>
      </c>
      <c r="AE4246">
        <v>-3.5852999999999802</v>
      </c>
      <c r="AF4246">
        <v>-1.1990701767224099</v>
      </c>
      <c r="AG4246">
        <v>-1.113624523373</v>
      </c>
      <c r="AH4246">
        <v>9.5538507502461396</v>
      </c>
      <c r="AI4246">
        <v>96.597264217720493</v>
      </c>
      <c r="AJ4246">
        <v>97.153587275044401</v>
      </c>
      <c r="AK4246">
        <v>9.6929867959128799</v>
      </c>
      <c r="AL4246">
        <v>83.531548968086099</v>
      </c>
      <c r="AM4246">
        <v>100.390786307301</v>
      </c>
      <c r="AN4246">
        <v>0.999999975002129</v>
      </c>
    </row>
    <row r="4247" spans="1:40" x14ac:dyDescent="0.25">
      <c r="A4247" t="str">
        <f>"20190312151359240"</f>
        <v>20190312151359240</v>
      </c>
      <c r="B4247" t="str">
        <f>"1552374839234231"</f>
        <v>1552374839234231</v>
      </c>
      <c r="C4247" t="s">
        <v>40</v>
      </c>
      <c r="D4247">
        <v>4.6488829999999997</v>
      </c>
      <c r="E4247">
        <v>0.52783219999999997</v>
      </c>
      <c r="F4247" t="s">
        <v>42</v>
      </c>
      <c r="G4247">
        <v>-391.81869999999998</v>
      </c>
      <c r="H4247" s="1">
        <v>-4.3011199999999999E-6</v>
      </c>
      <c r="I4247">
        <v>135.05500000000001</v>
      </c>
      <c r="J4247">
        <v>-382.53500000000003</v>
      </c>
      <c r="K4247">
        <v>1.113316</v>
      </c>
      <c r="L4247">
        <v>138.71709999999999</v>
      </c>
      <c r="M4247">
        <v>-0.96783039999999998</v>
      </c>
      <c r="N4247">
        <v>0</v>
      </c>
      <c r="O4247">
        <v>-0.25114969999999998</v>
      </c>
      <c r="P4247">
        <v>-0.90355419999999997</v>
      </c>
      <c r="Q4247">
        <v>0.1001997</v>
      </c>
      <c r="R4247">
        <v>-0.41659370000000001</v>
      </c>
      <c r="S4247">
        <v>-2.845215</v>
      </c>
      <c r="T4247">
        <v>-0.32791759999999998</v>
      </c>
      <c r="U4247">
        <v>-1.107666</v>
      </c>
      <c r="V4247">
        <v>-0.17713579999999901</v>
      </c>
      <c r="W4247">
        <v>0.1136658</v>
      </c>
      <c r="X4247">
        <v>0.97760060000000004</v>
      </c>
      <c r="Y4247">
        <v>-0.1178145</v>
      </c>
      <c r="Z4247">
        <v>2.0767669999999998E-2</v>
      </c>
      <c r="AA4247">
        <v>0.99281839999999999</v>
      </c>
      <c r="AB4247">
        <v>39</v>
      </c>
      <c r="AC4247">
        <v>-9.2836999999999499</v>
      </c>
      <c r="AD4247">
        <v>-1.1133203011199999</v>
      </c>
      <c r="AE4247">
        <v>-3.6620999999999801</v>
      </c>
      <c r="AF4247">
        <v>-1.1979236269670701</v>
      </c>
      <c r="AG4247">
        <v>-1.1133203011199999</v>
      </c>
      <c r="AH4247">
        <v>9.7841502588102394</v>
      </c>
      <c r="AI4247">
        <v>96.443949416974803</v>
      </c>
      <c r="AJ4247">
        <v>96.980275131916102</v>
      </c>
      <c r="AK4247">
        <v>9.9198840414547398</v>
      </c>
      <c r="AL4247">
        <v>83.473323376962796</v>
      </c>
      <c r="AM4247">
        <v>100.270248892354</v>
      </c>
      <c r="AN4247">
        <v>0.99999996942581904</v>
      </c>
    </row>
    <row r="4248" spans="1:40" x14ac:dyDescent="0.25">
      <c r="A4248" t="str">
        <f>"20190312151359261"</f>
        <v>20190312151359261</v>
      </c>
      <c r="B4248" t="str">
        <f>"1552374839254727"</f>
        <v>1552374839254727</v>
      </c>
      <c r="C4248" t="s">
        <v>40</v>
      </c>
      <c r="D4248">
        <v>4.6108699999999896</v>
      </c>
      <c r="E4248">
        <v>0.5277153</v>
      </c>
      <c r="F4248" t="s">
        <v>42</v>
      </c>
      <c r="G4248">
        <v>-392.32920000000001</v>
      </c>
      <c r="H4248" s="1">
        <v>-4.1078449999999996E-6</v>
      </c>
      <c r="I4248">
        <v>134.90989999999999</v>
      </c>
      <c r="J4248">
        <v>-382.89170000000001</v>
      </c>
      <c r="K4248">
        <v>1.112986</v>
      </c>
      <c r="L4248">
        <v>138.62270000000001</v>
      </c>
      <c r="M4248">
        <v>-0.96736120000000003</v>
      </c>
      <c r="N4248">
        <v>0</v>
      </c>
      <c r="O4248">
        <v>-0.25295200000000001</v>
      </c>
      <c r="P4248">
        <v>-0.90359509999999998</v>
      </c>
      <c r="Q4248">
        <v>9.9748660000000003E-2</v>
      </c>
      <c r="R4248">
        <v>-0.41661280000000001</v>
      </c>
      <c r="S4248">
        <v>-2.8460390000000002</v>
      </c>
      <c r="T4248">
        <v>-0.32351489999999999</v>
      </c>
      <c r="U4248">
        <v>-1.106293</v>
      </c>
      <c r="V4248">
        <v>-0.1752252</v>
      </c>
      <c r="W4248">
        <v>0.11336069999999999</v>
      </c>
      <c r="X4248">
        <v>0.97798030000000002</v>
      </c>
      <c r="Y4248">
        <v>-0.1154536</v>
      </c>
      <c r="Z4248">
        <v>2.0803869999999999E-2</v>
      </c>
      <c r="AA4248">
        <v>0.99309499999999995</v>
      </c>
      <c r="AB4248">
        <v>39</v>
      </c>
      <c r="AC4248">
        <v>-9.4375</v>
      </c>
      <c r="AD4248">
        <v>-1.112990107845</v>
      </c>
      <c r="AE4248">
        <v>-3.7128000000000099</v>
      </c>
      <c r="AF4248">
        <v>-1.19018656540822</v>
      </c>
      <c r="AG4248">
        <v>-1.112990107845</v>
      </c>
      <c r="AH4248">
        <v>9.9499398286091996</v>
      </c>
      <c r="AI4248">
        <v>96.337706911869006</v>
      </c>
      <c r="AJ4248">
        <v>96.821165850247695</v>
      </c>
      <c r="AK4248">
        <v>10.0824894561602</v>
      </c>
      <c r="AL4248">
        <v>83.490918198127403</v>
      </c>
      <c r="AM4248">
        <v>100.15793066977</v>
      </c>
      <c r="AN4248">
        <v>0.99999999310381005</v>
      </c>
    </row>
    <row r="4249" spans="1:40" x14ac:dyDescent="0.25">
      <c r="A4249" t="str">
        <f>"20190312151359284"</f>
        <v>20190312151359284</v>
      </c>
      <c r="B4249" t="str">
        <f>"1552374839274247"</f>
        <v>1552374839274247</v>
      </c>
      <c r="C4249" t="s">
        <v>40</v>
      </c>
      <c r="D4249">
        <v>4.6132960000000001</v>
      </c>
      <c r="E4249">
        <v>0.52764800000000001</v>
      </c>
      <c r="F4249" t="s">
        <v>42</v>
      </c>
      <c r="G4249">
        <v>-392.6164</v>
      </c>
      <c r="H4249" s="1">
        <v>-3.9967259999999997E-6</v>
      </c>
      <c r="I4249">
        <v>134.84180000000001</v>
      </c>
      <c r="J4249">
        <v>-383.26369999999997</v>
      </c>
      <c r="K4249">
        <v>1.112603</v>
      </c>
      <c r="L4249">
        <v>138.5239</v>
      </c>
      <c r="M4249">
        <v>-0.96696729999999997</v>
      </c>
      <c r="N4249">
        <v>0</v>
      </c>
      <c r="O4249">
        <v>-0.25445489999999998</v>
      </c>
      <c r="P4249">
        <v>-0.90370479999999997</v>
      </c>
      <c r="Q4249">
        <v>9.8425659999999998E-2</v>
      </c>
      <c r="R4249">
        <v>-0.4166899</v>
      </c>
      <c r="S4249">
        <v>-2.8458860000000001</v>
      </c>
      <c r="T4249">
        <v>-0.32571209999999901</v>
      </c>
      <c r="U4249">
        <v>-1.1064449999999999</v>
      </c>
      <c r="V4249">
        <v>-0.17363770000000001</v>
      </c>
      <c r="W4249">
        <v>0.1121984</v>
      </c>
      <c r="X4249">
        <v>0.97839739999999997</v>
      </c>
      <c r="Y4249">
        <v>-0.1139999</v>
      </c>
      <c r="Z4249">
        <v>2.1182619999999999E-2</v>
      </c>
      <c r="AA4249">
        <v>0.99325490000000005</v>
      </c>
      <c r="AB4249">
        <v>39</v>
      </c>
      <c r="AC4249">
        <v>-9.35270000000002</v>
      </c>
      <c r="AD4249">
        <v>-1.1126069967259999</v>
      </c>
      <c r="AE4249">
        <v>-3.6820999999999899</v>
      </c>
      <c r="AF4249">
        <v>-1.16647159182441</v>
      </c>
      <c r="AG4249">
        <v>-1.1126069967259999</v>
      </c>
      <c r="AH4249">
        <v>9.8609930193411497</v>
      </c>
      <c r="AI4249">
        <v>96.393205209467794</v>
      </c>
      <c r="AJ4249">
        <v>96.746253394174005</v>
      </c>
      <c r="AK4249">
        <v>9.9918833875897395</v>
      </c>
      <c r="AL4249">
        <v>83.5579407462738</v>
      </c>
      <c r="AM4249">
        <v>100.063588893025</v>
      </c>
      <c r="AN4249">
        <v>1.0000000020752999</v>
      </c>
    </row>
    <row r="4250" spans="1:40" x14ac:dyDescent="0.25">
      <c r="A4250" t="str">
        <f>"20190312151359306"</f>
        <v>20190312151359306</v>
      </c>
      <c r="B4250" t="str">
        <f>"1552374839294743"</f>
        <v>1552374839294743</v>
      </c>
      <c r="C4250" t="s">
        <v>40</v>
      </c>
      <c r="D4250">
        <v>4.6418949999999999</v>
      </c>
      <c r="E4250">
        <v>0.52753809999999901</v>
      </c>
      <c r="F4250" t="s">
        <v>42</v>
      </c>
      <c r="G4250">
        <v>-392.94459999999998</v>
      </c>
      <c r="H4250" s="1">
        <v>-3.8700899999999997E-6</v>
      </c>
      <c r="I4250">
        <v>134.7621</v>
      </c>
      <c r="J4250">
        <v>-383.6311</v>
      </c>
      <c r="K4250">
        <v>1.112212</v>
      </c>
      <c r="L4250">
        <v>138.42609999999999</v>
      </c>
      <c r="M4250">
        <v>-0.9666804</v>
      </c>
      <c r="N4250">
        <v>0</v>
      </c>
      <c r="O4250">
        <v>-0.25554270000000001</v>
      </c>
      <c r="P4250">
        <v>-0.90383610000000003</v>
      </c>
      <c r="Q4250">
        <v>9.7230739999999996E-2</v>
      </c>
      <c r="R4250">
        <v>-0.41668519999999998</v>
      </c>
      <c r="S4250">
        <v>-2.8454899999999999</v>
      </c>
      <c r="T4250">
        <v>-0.32703009999999999</v>
      </c>
      <c r="U4250">
        <v>-1.1056979999999901</v>
      </c>
      <c r="V4250">
        <v>-0.17238310000000001</v>
      </c>
      <c r="W4250">
        <v>0.1111683</v>
      </c>
      <c r="X4250">
        <v>0.97873679999999996</v>
      </c>
      <c r="Y4250">
        <v>-0.11272119999999999</v>
      </c>
      <c r="Z4250">
        <v>2.145681E-2</v>
      </c>
      <c r="AA4250">
        <v>0.99339500000000003</v>
      </c>
      <c r="AB4250">
        <v>39</v>
      </c>
      <c r="AC4250">
        <v>-9.3134999999999692</v>
      </c>
      <c r="AD4250">
        <v>-1.11221587009</v>
      </c>
      <c r="AE4250">
        <v>-3.6639999999999802</v>
      </c>
      <c r="AF4250">
        <v>-1.1478759649738499</v>
      </c>
      <c r="AG4250">
        <v>-1.11221587009</v>
      </c>
      <c r="AH4250">
        <v>9.8193481583433897</v>
      </c>
      <c r="AI4250">
        <v>96.418883168114107</v>
      </c>
      <c r="AJ4250">
        <v>96.6675805965032</v>
      </c>
      <c r="AK4250">
        <v>9.9485798799329395</v>
      </c>
      <c r="AL4250">
        <v>83.617332836385998</v>
      </c>
      <c r="AM4250">
        <v>99.988950870616307</v>
      </c>
      <c r="AN4250">
        <v>1.0000000238823601</v>
      </c>
    </row>
    <row r="4251" spans="1:40" x14ac:dyDescent="0.25">
      <c r="A4251" t="str">
        <f>"20190312151359327"</f>
        <v>20190312151359327</v>
      </c>
      <c r="B4251" t="str">
        <f>"1552374839324999"</f>
        <v>1552374839324999</v>
      </c>
      <c r="C4251" t="s">
        <v>40</v>
      </c>
      <c r="D4251">
        <v>4.6508989999999999</v>
      </c>
      <c r="E4251">
        <v>0.52752049999999995</v>
      </c>
      <c r="F4251" t="s">
        <v>42</v>
      </c>
      <c r="G4251">
        <v>-393.16329999999999</v>
      </c>
      <c r="H4251" s="1">
        <v>-3.7833869999999999E-6</v>
      </c>
      <c r="I4251">
        <v>134.72190000000001</v>
      </c>
      <c r="J4251">
        <v>-383.99619999999999</v>
      </c>
      <c r="K4251">
        <v>1.1118239999999999</v>
      </c>
      <c r="L4251">
        <v>138.3288</v>
      </c>
      <c r="M4251">
        <v>-0.9664973</v>
      </c>
      <c r="N4251">
        <v>0</v>
      </c>
      <c r="O4251">
        <v>-0.25623509999999999</v>
      </c>
      <c r="P4251">
        <v>-0.90391480000000002</v>
      </c>
      <c r="Q4251">
        <v>9.6682370000000004E-2</v>
      </c>
      <c r="R4251">
        <v>-0.41664220000000002</v>
      </c>
      <c r="S4251">
        <v>-2.8451840000000002</v>
      </c>
      <c r="T4251">
        <v>-0.3319763</v>
      </c>
      <c r="U4251">
        <v>-1.1056060000000001</v>
      </c>
      <c r="V4251">
        <v>-0.17151129999999901</v>
      </c>
      <c r="W4251">
        <v>0.11077919999999999</v>
      </c>
      <c r="X4251">
        <v>0.97893399999999997</v>
      </c>
      <c r="Y4251">
        <v>-0.11204890000000001</v>
      </c>
      <c r="Z4251">
        <v>2.1893300000000001E-2</v>
      </c>
      <c r="AA4251">
        <v>0.9934615</v>
      </c>
      <c r="AB4251">
        <v>39</v>
      </c>
      <c r="AC4251">
        <v>-9.1670999999999996</v>
      </c>
      <c r="AD4251">
        <v>-1.1118277833869901</v>
      </c>
      <c r="AE4251">
        <v>-3.6068999999999898</v>
      </c>
      <c r="AF4251">
        <v>-1.12295104679188</v>
      </c>
      <c r="AG4251">
        <v>-1.1118277833869901</v>
      </c>
      <c r="AH4251">
        <v>9.66222322862928</v>
      </c>
      <c r="AI4251">
        <v>96.520621488873601</v>
      </c>
      <c r="AJ4251">
        <v>96.629218960009197</v>
      </c>
      <c r="AK4251">
        <v>9.7905943534223407</v>
      </c>
      <c r="AL4251">
        <v>83.639764816057195</v>
      </c>
      <c r="AM4251">
        <v>99.937480936491895</v>
      </c>
      <c r="AN4251">
        <v>0.99999996676816405</v>
      </c>
    </row>
    <row r="4252" spans="1:40" x14ac:dyDescent="0.25">
      <c r="A4252" t="str">
        <f>"20190312151359350"</f>
        <v>20190312151359350</v>
      </c>
      <c r="B4252" t="str">
        <f>"1552374839344519"</f>
        <v>1552374839344519</v>
      </c>
      <c r="C4252" t="s">
        <v>40</v>
      </c>
      <c r="D4252">
        <v>4.6573419999999999</v>
      </c>
      <c r="E4252">
        <v>0.52740940000000003</v>
      </c>
      <c r="F4252" t="s">
        <v>42</v>
      </c>
      <c r="G4252">
        <v>-393.45209999999997</v>
      </c>
      <c r="H4252" s="1">
        <v>-3.6710079999999999E-6</v>
      </c>
      <c r="I4252">
        <v>134.65690000000001</v>
      </c>
      <c r="J4252">
        <v>-384.36919999999998</v>
      </c>
      <c r="K4252">
        <v>1.1114649999999999</v>
      </c>
      <c r="L4252">
        <v>138.22929999999999</v>
      </c>
      <c r="M4252">
        <v>-0.96639200000000003</v>
      </c>
      <c r="N4252">
        <v>0</v>
      </c>
      <c r="O4252">
        <v>-0.25663259999999999</v>
      </c>
      <c r="P4252">
        <v>-0.9037328</v>
      </c>
      <c r="Q4252">
        <v>9.6926410000000005E-2</v>
      </c>
      <c r="R4252">
        <v>-0.41698000000000002</v>
      </c>
      <c r="S4252">
        <v>-2.8454280000000001</v>
      </c>
      <c r="T4252">
        <v>-0.33456560000000002</v>
      </c>
      <c r="U4252">
        <v>-1.104889</v>
      </c>
      <c r="V4252">
        <v>-0.17138390000000001</v>
      </c>
      <c r="W4252">
        <v>0.111164</v>
      </c>
      <c r="X4252">
        <v>0.97891269999999997</v>
      </c>
      <c r="Y4252">
        <v>-0.1114121</v>
      </c>
      <c r="Z4252">
        <v>2.2141210000000001E-2</v>
      </c>
      <c r="AA4252">
        <v>0.99352759999999996</v>
      </c>
      <c r="AB4252">
        <v>38</v>
      </c>
      <c r="AC4252">
        <v>-9.0828999999999898</v>
      </c>
      <c r="AD4252">
        <v>-1.111468671008</v>
      </c>
      <c r="AE4252">
        <v>-3.57239999999998</v>
      </c>
      <c r="AF4252">
        <v>-1.1071398123343601</v>
      </c>
      <c r="AG4252">
        <v>-1.111468671008</v>
      </c>
      <c r="AH4252">
        <v>9.5714091869513993</v>
      </c>
      <c r="AI4252">
        <v>96.580251695685902</v>
      </c>
      <c r="AJ4252">
        <v>96.598168714171806</v>
      </c>
      <c r="AK4252">
        <v>9.6991234137289801</v>
      </c>
      <c r="AL4252">
        <v>83.617580432474696</v>
      </c>
      <c r="AM4252">
        <v>99.930458052106502</v>
      </c>
      <c r="AN4252">
        <v>0.99999997514824901</v>
      </c>
    </row>
    <row r="4253" spans="1:40" x14ac:dyDescent="0.25">
      <c r="A4253" t="str">
        <f>"20190312151359373"</f>
        <v>20190312151359373</v>
      </c>
      <c r="B4253" t="str">
        <f>"1552374839365016"</f>
        <v>1552374839365016</v>
      </c>
      <c r="C4253" t="s">
        <v>40</v>
      </c>
      <c r="D4253">
        <v>4.651732</v>
      </c>
      <c r="E4253">
        <v>0.52735449999999995</v>
      </c>
      <c r="F4253" t="s">
        <v>42</v>
      </c>
      <c r="G4253">
        <v>-393.82209999999998</v>
      </c>
      <c r="H4253" s="1">
        <v>-3.5302270000000002E-6</v>
      </c>
      <c r="I4253">
        <v>134.55590000000001</v>
      </c>
      <c r="J4253">
        <v>-384.7457</v>
      </c>
      <c r="K4253">
        <v>1.111129</v>
      </c>
      <c r="L4253">
        <v>138.1292</v>
      </c>
      <c r="M4253">
        <v>-0.9663699</v>
      </c>
      <c r="N4253">
        <v>0</v>
      </c>
      <c r="O4253">
        <v>-0.25671690000000003</v>
      </c>
      <c r="P4253">
        <v>-0.90384500000000001</v>
      </c>
      <c r="Q4253">
        <v>9.6517939999999997E-2</v>
      </c>
      <c r="R4253">
        <v>-0.41683209999999998</v>
      </c>
      <c r="S4253">
        <v>-2.8453059999999999</v>
      </c>
      <c r="T4253">
        <v>-0.33455309999999999</v>
      </c>
      <c r="U4253">
        <v>-1.105667</v>
      </c>
      <c r="V4253">
        <v>-0.17103399999999999</v>
      </c>
      <c r="W4253">
        <v>0.11088820000000001</v>
      </c>
      <c r="X4253">
        <v>0.97900520000000002</v>
      </c>
      <c r="Y4253">
        <v>-0.11157549999999999</v>
      </c>
      <c r="Z4253">
        <v>2.2139809999999999E-2</v>
      </c>
      <c r="AA4253">
        <v>0.99350930000000004</v>
      </c>
      <c r="AB4253">
        <v>38</v>
      </c>
      <c r="AC4253">
        <v>-9.0763999999999694</v>
      </c>
      <c r="AD4253">
        <v>-1.1111325302269901</v>
      </c>
      <c r="AE4253">
        <v>-3.5732999999999802</v>
      </c>
      <c r="AF4253">
        <v>-1.1088037056318401</v>
      </c>
      <c r="AG4253">
        <v>-1.1111325302269901</v>
      </c>
      <c r="AH4253">
        <v>9.5654625810221692</v>
      </c>
      <c r="AI4253">
        <v>96.582149463799695</v>
      </c>
      <c r="AJ4253">
        <v>96.612068966052306</v>
      </c>
      <c r="AK4253">
        <v>9.6934068080467295</v>
      </c>
      <c r="AL4253">
        <v>83.633481084429505</v>
      </c>
      <c r="AM4253">
        <v>99.909668431352102</v>
      </c>
      <c r="AN4253">
        <v>1.0000000018411399</v>
      </c>
    </row>
    <row r="4254" spans="1:40" x14ac:dyDescent="0.25">
      <c r="A4254" t="str">
        <f>"20190312151359394"</f>
        <v>20190312151359394</v>
      </c>
      <c r="B4254" t="str">
        <f>"1552374839384535"</f>
        <v>1552374839384535</v>
      </c>
      <c r="C4254" t="s">
        <v>40</v>
      </c>
      <c r="D4254">
        <v>4.6445930000000004</v>
      </c>
      <c r="E4254">
        <v>0.52738039999999997</v>
      </c>
      <c r="F4254" t="s">
        <v>42</v>
      </c>
      <c r="G4254">
        <v>-394.12079999999997</v>
      </c>
      <c r="H4254" s="1">
        <v>-3.414597E-6</v>
      </c>
      <c r="I4254">
        <v>134.4854</v>
      </c>
      <c r="J4254">
        <v>-385.1037</v>
      </c>
      <c r="K4254">
        <v>1.1108229999999999</v>
      </c>
      <c r="L4254">
        <v>138.0341</v>
      </c>
      <c r="M4254">
        <v>-0.96642760000000005</v>
      </c>
      <c r="N4254">
        <v>0</v>
      </c>
      <c r="O4254">
        <v>-0.25650040000000002</v>
      </c>
      <c r="P4254">
        <v>-0.90446479999999996</v>
      </c>
      <c r="Q4254">
        <v>9.6796010000000002E-2</v>
      </c>
      <c r="R4254">
        <v>-0.41542109999999899</v>
      </c>
      <c r="S4254">
        <v>-2.845154</v>
      </c>
      <c r="T4254">
        <v>-0.33720739999999999</v>
      </c>
      <c r="U4254">
        <v>-1.1057889999999999</v>
      </c>
      <c r="V4254">
        <v>-0.1696471</v>
      </c>
      <c r="W4254">
        <v>0.1112915</v>
      </c>
      <c r="X4254">
        <v>0.97920070000000003</v>
      </c>
      <c r="Y4254">
        <v>-0.1118634</v>
      </c>
      <c r="Z4254">
        <v>2.2275369999999999E-2</v>
      </c>
      <c r="AA4254">
        <v>0.99347390000000002</v>
      </c>
      <c r="AB4254">
        <v>38</v>
      </c>
      <c r="AC4254">
        <v>-9.0170999999999708</v>
      </c>
      <c r="AD4254">
        <v>-1.1108264145969999</v>
      </c>
      <c r="AE4254">
        <v>-3.54869999999999</v>
      </c>
      <c r="AF4254">
        <v>-1.10231242401187</v>
      </c>
      <c r="AG4254">
        <v>-1.1108264145969999</v>
      </c>
      <c r="AH4254">
        <v>9.5008529511295894</v>
      </c>
      <c r="AI4254">
        <v>96.624625678425005</v>
      </c>
      <c r="AJ4254">
        <v>96.618008222294407</v>
      </c>
      <c r="AK4254">
        <v>9.62887505384119</v>
      </c>
      <c r="AL4254">
        <v>83.610229598788607</v>
      </c>
      <c r="AM4254">
        <v>99.828961394390603</v>
      </c>
      <c r="AN4254">
        <v>0.99999997369557403</v>
      </c>
    </row>
    <row r="4255" spans="1:40" x14ac:dyDescent="0.25">
      <c r="A4255" t="str">
        <f>"20190312151359417"</f>
        <v>20190312151359417</v>
      </c>
      <c r="B4255" t="str">
        <f>"1552374839414791"</f>
        <v>1552374839414791</v>
      </c>
      <c r="C4255" t="s">
        <v>40</v>
      </c>
      <c r="D4255">
        <v>4.6389969999999998</v>
      </c>
      <c r="E4255">
        <v>0.52745620000000004</v>
      </c>
      <c r="F4255" t="s">
        <v>42</v>
      </c>
      <c r="G4255">
        <v>-394.45949999999999</v>
      </c>
      <c r="H4255" s="1">
        <v>-3.282456E-6</v>
      </c>
      <c r="I4255">
        <v>134.411</v>
      </c>
      <c r="J4255">
        <v>-385.48340000000002</v>
      </c>
      <c r="K4255">
        <v>1.110493</v>
      </c>
      <c r="L4255">
        <v>137.93360000000001</v>
      </c>
      <c r="M4255">
        <v>-0.9665686</v>
      </c>
      <c r="N4255">
        <v>0</v>
      </c>
      <c r="O4255">
        <v>-0.25596849999999999</v>
      </c>
      <c r="P4255">
        <v>-0.90498639999999997</v>
      </c>
      <c r="Q4255">
        <v>9.7964960000000004E-2</v>
      </c>
      <c r="R4255">
        <v>-0.4140083</v>
      </c>
      <c r="S4255">
        <v>-2.8467709999999999</v>
      </c>
      <c r="T4255">
        <v>-0.33800089999999999</v>
      </c>
      <c r="U4255">
        <v>-1.1023860000000001</v>
      </c>
      <c r="V4255">
        <v>-0.16859779999999999</v>
      </c>
      <c r="W4255">
        <v>0.1125903</v>
      </c>
      <c r="X4255">
        <v>0.97923349999999998</v>
      </c>
      <c r="Y4255">
        <v>-0.111191899999999</v>
      </c>
      <c r="Z4255">
        <v>2.230203E-2</v>
      </c>
      <c r="AA4255">
        <v>0.99354869999999995</v>
      </c>
      <c r="AB4255">
        <v>38</v>
      </c>
      <c r="AC4255">
        <v>-8.9760999999999704</v>
      </c>
      <c r="AD4255">
        <v>-1.1104962824560001</v>
      </c>
      <c r="AE4255">
        <v>-3.5226000000000099</v>
      </c>
      <c r="AF4255">
        <v>-1.09286551578953</v>
      </c>
      <c r="AG4255">
        <v>-1.1104962824560001</v>
      </c>
      <c r="AH4255">
        <v>9.4533876494372802</v>
      </c>
      <c r="AI4255">
        <v>96.655943272262405</v>
      </c>
      <c r="AJ4255">
        <v>96.594445239958901</v>
      </c>
      <c r="AK4255">
        <v>9.5809234982585991</v>
      </c>
      <c r="AL4255">
        <v>83.5353434665561</v>
      </c>
      <c r="AM4255">
        <v>99.769021447958707</v>
      </c>
      <c r="AN4255">
        <v>1.0000000206705899</v>
      </c>
    </row>
    <row r="4256" spans="1:40" x14ac:dyDescent="0.25">
      <c r="A4256" t="str">
        <f>"20190312151359440"</f>
        <v>20190312151359440</v>
      </c>
      <c r="B4256" t="str">
        <f>"1552374839434311"</f>
        <v>1552374839434311</v>
      </c>
      <c r="C4256" t="s">
        <v>40</v>
      </c>
      <c r="D4256">
        <v>4.6322429999999999</v>
      </c>
      <c r="E4256">
        <v>0.52750719999999995</v>
      </c>
      <c r="F4256" t="s">
        <v>42</v>
      </c>
      <c r="G4256">
        <v>-394.91539999999998</v>
      </c>
      <c r="H4256" s="1">
        <v>-3.1313080000000002E-6</v>
      </c>
      <c r="I4256">
        <v>134.29830000000001</v>
      </c>
      <c r="J4256">
        <v>-385.85759999999999</v>
      </c>
      <c r="K4256">
        <v>1.110174</v>
      </c>
      <c r="L4256">
        <v>137.83510000000001</v>
      </c>
      <c r="M4256">
        <v>-0.96677780000000002</v>
      </c>
      <c r="N4256">
        <v>0</v>
      </c>
      <c r="O4256">
        <v>-0.25517709999999999</v>
      </c>
      <c r="P4256">
        <v>-0.90549299999999999</v>
      </c>
      <c r="Q4256">
        <v>9.9178150000000007E-2</v>
      </c>
      <c r="R4256">
        <v>-0.41260910000000001</v>
      </c>
      <c r="S4256">
        <v>-2.8489689999999999</v>
      </c>
      <c r="T4256">
        <v>-0.33542739999999999</v>
      </c>
      <c r="U4256">
        <v>-1.0980219999999901</v>
      </c>
      <c r="V4256">
        <v>-0.16782810000000001</v>
      </c>
      <c r="W4256">
        <v>0.11392960000000001</v>
      </c>
      <c r="X4256">
        <v>0.97921080000000005</v>
      </c>
      <c r="Y4256">
        <v>-0.11040999999999999</v>
      </c>
      <c r="Z4256">
        <v>2.2083740000000001E-2</v>
      </c>
      <c r="AA4256">
        <v>0.99364070000000004</v>
      </c>
      <c r="AB4256">
        <v>38</v>
      </c>
      <c r="AC4256">
        <v>-9.0577999999999808</v>
      </c>
      <c r="AD4256">
        <v>-1.110177131308</v>
      </c>
      <c r="AE4256">
        <v>-3.5367999999999902</v>
      </c>
      <c r="AF4256">
        <v>-1.0938234614926701</v>
      </c>
      <c r="AG4256">
        <v>-1.110177131308</v>
      </c>
      <c r="AH4256">
        <v>9.5361748713355201</v>
      </c>
      <c r="AI4256">
        <v>96.597463711939497</v>
      </c>
      <c r="AJ4256">
        <v>96.543374977427007</v>
      </c>
      <c r="AK4256">
        <v>9.6626898017313003</v>
      </c>
      <c r="AL4256">
        <v>83.458110174938795</v>
      </c>
      <c r="AM4256">
        <v>99.7254976431838</v>
      </c>
      <c r="AN4256">
        <v>1.0000000078711999</v>
      </c>
    </row>
    <row r="4257" spans="1:40" x14ac:dyDescent="0.25">
      <c r="A4257" t="str">
        <f>"20190312151359462"</f>
        <v>20190312151359462</v>
      </c>
      <c r="B4257" t="str">
        <f>"1552374839454807"</f>
        <v>1552374839454807</v>
      </c>
      <c r="C4257" t="s">
        <v>40</v>
      </c>
      <c r="D4257">
        <v>4.6199940000000002</v>
      </c>
      <c r="E4257">
        <v>0.52760560000000001</v>
      </c>
      <c r="F4257" t="s">
        <v>42</v>
      </c>
      <c r="G4257">
        <v>-395.38749999999999</v>
      </c>
      <c r="H4257" s="1">
        <v>-3.002146E-6</v>
      </c>
      <c r="I4257">
        <v>134.1799</v>
      </c>
      <c r="J4257">
        <v>-386.21809999999999</v>
      </c>
      <c r="K4257">
        <v>1.109874</v>
      </c>
      <c r="L4257">
        <v>137.7407</v>
      </c>
      <c r="M4257">
        <v>-0.96703519999999998</v>
      </c>
      <c r="N4257">
        <v>0</v>
      </c>
      <c r="O4257">
        <v>-0.2542006</v>
      </c>
      <c r="P4257">
        <v>-0.90616200000000002</v>
      </c>
      <c r="Q4257">
        <v>9.9423919999999999E-2</v>
      </c>
      <c r="R4257">
        <v>-0.41107850000000001</v>
      </c>
      <c r="S4257">
        <v>-2.8511660000000001</v>
      </c>
      <c r="T4257">
        <v>-0.33214529999999998</v>
      </c>
      <c r="U4257">
        <v>-1.093521</v>
      </c>
      <c r="V4257">
        <v>-0.1670837</v>
      </c>
      <c r="W4257">
        <v>0.1142934</v>
      </c>
      <c r="X4257">
        <v>0.97929569999999999</v>
      </c>
      <c r="Y4257">
        <v>-0.1097718</v>
      </c>
      <c r="Z4257">
        <v>2.1792280000000001E-2</v>
      </c>
      <c r="AA4257">
        <v>0.99371790000000004</v>
      </c>
      <c r="AB4257">
        <v>38</v>
      </c>
      <c r="AC4257">
        <v>-9.1693999999999907</v>
      </c>
      <c r="AD4257">
        <v>-1.109877002146</v>
      </c>
      <c r="AE4257">
        <v>-3.5608</v>
      </c>
      <c r="AF4257">
        <v>-1.09868958533814</v>
      </c>
      <c r="AG4257">
        <v>-1.109877002146</v>
      </c>
      <c r="AH4257">
        <v>9.6505275379723603</v>
      </c>
      <c r="AI4257">
        <v>96.518840795327307</v>
      </c>
      <c r="AJ4257">
        <v>96.495023158562901</v>
      </c>
      <c r="AK4257">
        <v>9.7760742389768094</v>
      </c>
      <c r="AL4257">
        <v>83.437128907853605</v>
      </c>
      <c r="AM4257">
        <v>99.682355177992306</v>
      </c>
      <c r="AN4257">
        <v>1.0000000060638601</v>
      </c>
    </row>
    <row r="4258" spans="1:40" x14ac:dyDescent="0.25">
      <c r="A4258" t="str">
        <f>"20190312151359484"</f>
        <v>20190312151359484</v>
      </c>
      <c r="B4258" t="str">
        <f>"1552374839474327"</f>
        <v>1552374839474327</v>
      </c>
      <c r="C4258" t="s">
        <v>40</v>
      </c>
      <c r="D4258">
        <v>4.6535510000000002</v>
      </c>
      <c r="E4258">
        <v>0.52762169999999997</v>
      </c>
      <c r="F4258" t="s">
        <v>42</v>
      </c>
      <c r="G4258">
        <v>-395.74610000000001</v>
      </c>
      <c r="H4258" s="1">
        <v>-2.8997049999999999E-6</v>
      </c>
      <c r="I4258">
        <v>134.1063</v>
      </c>
      <c r="J4258">
        <v>-386.58390000000003</v>
      </c>
      <c r="K4258">
        <v>1.1095999999999999</v>
      </c>
      <c r="L4258">
        <v>137.6456</v>
      </c>
      <c r="M4258">
        <v>-0.96734169999999997</v>
      </c>
      <c r="N4258">
        <v>0</v>
      </c>
      <c r="O4258">
        <v>-0.25303219999999998</v>
      </c>
      <c r="P4258">
        <v>-0.90742500000000004</v>
      </c>
      <c r="Q4258">
        <v>9.9481600000000003E-2</v>
      </c>
      <c r="R4258">
        <v>-0.40826960000000001</v>
      </c>
      <c r="S4258">
        <v>-2.8533629999999999</v>
      </c>
      <c r="T4258">
        <v>-0.33237719999999998</v>
      </c>
      <c r="U4258">
        <v>-1.088379</v>
      </c>
      <c r="V4258">
        <v>-0.16515350000000001</v>
      </c>
      <c r="W4258">
        <v>0.114460199999999</v>
      </c>
      <c r="X4258">
        <v>0.97960360000000002</v>
      </c>
      <c r="Y4258">
        <v>-0.1091521</v>
      </c>
      <c r="Z4258">
        <v>2.1710110000000001E-2</v>
      </c>
      <c r="AA4258">
        <v>0.99378789999999995</v>
      </c>
      <c r="AB4258">
        <v>38</v>
      </c>
      <c r="AC4258">
        <v>-9.1621999999999808</v>
      </c>
      <c r="AD4258">
        <v>-1.10960289970499</v>
      </c>
      <c r="AE4258">
        <v>-3.5392999999999901</v>
      </c>
      <c r="AF4258">
        <v>-1.09157401577581</v>
      </c>
      <c r="AG4258">
        <v>-1.10960289970499</v>
      </c>
      <c r="AH4258">
        <v>9.6366452962515794</v>
      </c>
      <c r="AI4258">
        <v>96.526968974517203</v>
      </c>
      <c r="AJ4258">
        <v>96.462532530087302</v>
      </c>
      <c r="AK4258">
        <v>9.7615411177087399</v>
      </c>
      <c r="AL4258">
        <v>83.427508895557295</v>
      </c>
      <c r="AM4258">
        <v>99.569630271979406</v>
      </c>
      <c r="AN4258">
        <v>1.00000001453962</v>
      </c>
    </row>
    <row r="4259" spans="1:40" x14ac:dyDescent="0.25">
      <c r="A4259" t="str">
        <f>"20190312151359506"</f>
        <v>20190312151359506</v>
      </c>
      <c r="B4259" t="str">
        <f>"1552374839494823"</f>
        <v>1552374839494823</v>
      </c>
      <c r="C4259" t="s">
        <v>40</v>
      </c>
      <c r="D4259">
        <v>4.6119729999999999</v>
      </c>
      <c r="E4259">
        <v>0.52768139999999997</v>
      </c>
      <c r="F4259" t="s">
        <v>42</v>
      </c>
      <c r="G4259">
        <v>-396.08170000000001</v>
      </c>
      <c r="H4259" s="1">
        <v>-2.7993940000000001E-6</v>
      </c>
      <c r="I4259">
        <v>134.05410000000001</v>
      </c>
      <c r="J4259">
        <v>-386.95139999999998</v>
      </c>
      <c r="K4259">
        <v>1.109375</v>
      </c>
      <c r="L4259">
        <v>137.55070000000001</v>
      </c>
      <c r="M4259">
        <v>-0.96768920000000003</v>
      </c>
      <c r="N4259">
        <v>0</v>
      </c>
      <c r="O4259">
        <v>-0.2517008</v>
      </c>
      <c r="P4259">
        <v>-0.90883670000000005</v>
      </c>
      <c r="Q4259">
        <v>0.1000542</v>
      </c>
      <c r="R4259">
        <v>-0.4049758</v>
      </c>
      <c r="S4259">
        <v>-2.8566590000000001</v>
      </c>
      <c r="T4259">
        <v>-0.33373449999999999</v>
      </c>
      <c r="U4259">
        <v>-1.080185</v>
      </c>
      <c r="V4259">
        <v>-0.1628947</v>
      </c>
      <c r="W4259">
        <v>0.1151196</v>
      </c>
      <c r="X4259">
        <v>0.97990449999999996</v>
      </c>
      <c r="Y4259">
        <v>-0.1076537</v>
      </c>
      <c r="Z4259">
        <v>2.172961E-2</v>
      </c>
      <c r="AA4259">
        <v>0.99395100000000003</v>
      </c>
      <c r="AB4259">
        <v>38</v>
      </c>
      <c r="AC4259">
        <v>-9.1303000000000303</v>
      </c>
      <c r="AD4259">
        <v>-1.1093777993939999</v>
      </c>
      <c r="AE4259">
        <v>-3.4965999999999999</v>
      </c>
      <c r="AF4259">
        <v>-1.07183989622715</v>
      </c>
      <c r="AG4259">
        <v>-1.1093777993939999</v>
      </c>
      <c r="AH4259">
        <v>9.5929685028080396</v>
      </c>
      <c r="AI4259">
        <v>96.556222460904095</v>
      </c>
      <c r="AJ4259">
        <v>96.375320031241998</v>
      </c>
      <c r="AK4259">
        <v>9.7162031967636207</v>
      </c>
      <c r="AL4259">
        <v>83.389476676079099</v>
      </c>
      <c r="AM4259">
        <v>99.438271969680201</v>
      </c>
      <c r="AN4259">
        <v>1.00000001735624</v>
      </c>
    </row>
    <row r="4260" spans="1:40" x14ac:dyDescent="0.25">
      <c r="A4260" t="str">
        <f>"20190312151359528"</f>
        <v>20190312151359528</v>
      </c>
      <c r="B4260" t="str">
        <f>"1552374839525080"</f>
        <v>1552374839525080</v>
      </c>
      <c r="C4260" t="s">
        <v>40</v>
      </c>
      <c r="D4260">
        <v>4.5820420000000004</v>
      </c>
      <c r="E4260">
        <v>0.52769790000000005</v>
      </c>
      <c r="F4260" t="s">
        <v>42</v>
      </c>
      <c r="G4260">
        <v>-396.4864</v>
      </c>
      <c r="H4260" s="1">
        <v>-2.6805209999999999E-6</v>
      </c>
      <c r="I4260">
        <v>133.98330000000001</v>
      </c>
      <c r="J4260">
        <v>-387.31740000000002</v>
      </c>
      <c r="K4260">
        <v>1.1091979999999999</v>
      </c>
      <c r="L4260">
        <v>137.45689999999999</v>
      </c>
      <c r="M4260">
        <v>-0.96806559999999997</v>
      </c>
      <c r="N4260">
        <v>0</v>
      </c>
      <c r="O4260">
        <v>-0.2502491</v>
      </c>
      <c r="P4260">
        <v>-0.91048629999999997</v>
      </c>
      <c r="Q4260">
        <v>0.10038519999999999</v>
      </c>
      <c r="R4260">
        <v>-0.40117029999999998</v>
      </c>
      <c r="S4260">
        <v>-2.8606569999999998</v>
      </c>
      <c r="T4260">
        <v>-0.33283099999999999</v>
      </c>
      <c r="U4260">
        <v>-1.0702670000000001</v>
      </c>
      <c r="V4260">
        <v>-0.16021869999999999</v>
      </c>
      <c r="W4260">
        <v>0.11551359999999999</v>
      </c>
      <c r="X4260">
        <v>0.98029920000000004</v>
      </c>
      <c r="Y4260">
        <v>-0.1056638</v>
      </c>
      <c r="Z4260">
        <v>2.1615059999999998E-2</v>
      </c>
      <c r="AA4260">
        <v>0.99416700000000002</v>
      </c>
      <c r="AB4260">
        <v>38</v>
      </c>
      <c r="AC4260">
        <v>-9.1689999999999792</v>
      </c>
      <c r="AD4260">
        <v>-1.109200680521</v>
      </c>
      <c r="AE4260">
        <v>-3.47359999999997</v>
      </c>
      <c r="AF4260">
        <v>-1.0547600171284699</v>
      </c>
      <c r="AG4260">
        <v>-1.109200680521</v>
      </c>
      <c r="AH4260">
        <v>9.6233949158392509</v>
      </c>
      <c r="AI4260">
        <v>96.536146138981707</v>
      </c>
      <c r="AJ4260">
        <v>96.254864597162793</v>
      </c>
      <c r="AK4260">
        <v>9.7443611668288295</v>
      </c>
      <c r="AL4260">
        <v>83.366750229823495</v>
      </c>
      <c r="AM4260">
        <v>99.282271085565597</v>
      </c>
      <c r="AN4260">
        <v>0.99999997256764395</v>
      </c>
    </row>
    <row r="4261" spans="1:40" x14ac:dyDescent="0.25">
      <c r="A4261" t="str">
        <f>"20190312151359551"</f>
        <v>20190312151359551</v>
      </c>
      <c r="B4261" t="str">
        <f>"1552374839544599"</f>
        <v>1552374839544599</v>
      </c>
      <c r="C4261" t="s">
        <v>40</v>
      </c>
      <c r="D4261">
        <v>4.5760489999999896</v>
      </c>
      <c r="E4261">
        <v>0.52768539999999997</v>
      </c>
      <c r="F4261" t="s">
        <v>42</v>
      </c>
      <c r="G4261">
        <v>-396.851</v>
      </c>
      <c r="H4261" s="1">
        <v>-2.5691839999999999E-6</v>
      </c>
      <c r="I4261">
        <v>133.93539999999999</v>
      </c>
      <c r="J4261">
        <v>-387.6909</v>
      </c>
      <c r="K4261">
        <v>1.109056</v>
      </c>
      <c r="L4261">
        <v>137.36189999999999</v>
      </c>
      <c r="M4261">
        <v>-0.96846969999999999</v>
      </c>
      <c r="N4261">
        <v>0</v>
      </c>
      <c r="O4261">
        <v>-0.2486816</v>
      </c>
      <c r="P4261">
        <v>-0.91221920000000001</v>
      </c>
      <c r="Q4261">
        <v>0.1001664</v>
      </c>
      <c r="R4261">
        <v>-0.39726990000000001</v>
      </c>
      <c r="S4261">
        <v>-2.8653559999999998</v>
      </c>
      <c r="T4261">
        <v>-0.33337319999999998</v>
      </c>
      <c r="U4261">
        <v>-1.0583800000000001</v>
      </c>
      <c r="V4261">
        <v>-0.1575616</v>
      </c>
      <c r="W4261">
        <v>0.11533980000000001</v>
      </c>
      <c r="X4261">
        <v>0.98075029999999996</v>
      </c>
      <c r="Y4261">
        <v>-0.103121699999999</v>
      </c>
      <c r="Z4261">
        <v>2.161039E-2</v>
      </c>
      <c r="AA4261">
        <v>0.99443389999999998</v>
      </c>
      <c r="AB4261">
        <v>38</v>
      </c>
      <c r="AC4261">
        <v>-9.1600999999999999</v>
      </c>
      <c r="AD4261">
        <v>-1.109058569184</v>
      </c>
      <c r="AE4261">
        <v>-3.4264999999999999</v>
      </c>
      <c r="AF4261">
        <v>-1.0274173088124801</v>
      </c>
      <c r="AG4261">
        <v>-1.109058569184</v>
      </c>
      <c r="AH4261">
        <v>9.6010092254095003</v>
      </c>
      <c r="AI4261">
        <v>96.552223703633203</v>
      </c>
      <c r="AJ4261">
        <v>96.108056239548404</v>
      </c>
      <c r="AK4261">
        <v>9.7193094087350804</v>
      </c>
      <c r="AL4261">
        <v>83.376775686441704</v>
      </c>
      <c r="AM4261">
        <v>99.126817351112095</v>
      </c>
      <c r="AN4261">
        <v>1.00000003910434</v>
      </c>
    </row>
    <row r="4262" spans="1:40" x14ac:dyDescent="0.25">
      <c r="A4262" t="str">
        <f>"20190312151359573"</f>
        <v>20190312151359573</v>
      </c>
      <c r="B4262" t="str">
        <f>"1552374839565095"</f>
        <v>1552374839565095</v>
      </c>
      <c r="C4262" t="s">
        <v>40</v>
      </c>
      <c r="D4262">
        <v>4.5993079999999997</v>
      </c>
      <c r="E4262">
        <v>0.52765629999999997</v>
      </c>
      <c r="F4262" t="s">
        <v>42</v>
      </c>
      <c r="G4262">
        <v>-397.19400000000002</v>
      </c>
      <c r="H4262" s="1">
        <v>-2.4622720000000002E-6</v>
      </c>
      <c r="I4262">
        <v>133.89850000000001</v>
      </c>
      <c r="J4262">
        <v>-388.05790000000002</v>
      </c>
      <c r="K4262">
        <v>1.10894</v>
      </c>
      <c r="L4262">
        <v>137.26920000000001</v>
      </c>
      <c r="M4262">
        <v>-0.96887659999999998</v>
      </c>
      <c r="N4262">
        <v>0</v>
      </c>
      <c r="O4262">
        <v>-0.24709159999999999</v>
      </c>
      <c r="P4262">
        <v>-0.91383729999999996</v>
      </c>
      <c r="Q4262">
        <v>9.8691409999999993E-2</v>
      </c>
      <c r="R4262">
        <v>-0.39390560000000002</v>
      </c>
      <c r="S4262">
        <v>-2.8699650000000001</v>
      </c>
      <c r="T4262">
        <v>-0.3349415</v>
      </c>
      <c r="U4262">
        <v>-1.0459290000000001</v>
      </c>
      <c r="V4262">
        <v>-0.155490299999999</v>
      </c>
      <c r="W4262">
        <v>0.1138979</v>
      </c>
      <c r="X4262">
        <v>0.98124920000000004</v>
      </c>
      <c r="Y4262">
        <v>-0.10044549999999999</v>
      </c>
      <c r="Z4262">
        <v>2.167792E-2</v>
      </c>
      <c r="AA4262">
        <v>0.99470639999999999</v>
      </c>
      <c r="AB4262">
        <v>38</v>
      </c>
      <c r="AC4262">
        <v>-9.1361000000000008</v>
      </c>
      <c r="AD4262">
        <v>-1.1089424622720001</v>
      </c>
      <c r="AE4262">
        <v>-3.3706999999999998</v>
      </c>
      <c r="AF4262">
        <v>-0.995541510166987</v>
      </c>
      <c r="AG4262">
        <v>-1.1089424622720001</v>
      </c>
      <c r="AH4262">
        <v>9.5617132506246296</v>
      </c>
      <c r="AI4262">
        <v>96.580203546758497</v>
      </c>
      <c r="AJ4262">
        <v>95.944075233081406</v>
      </c>
      <c r="AK4262">
        <v>9.6771491964455105</v>
      </c>
      <c r="AL4262">
        <v>83.459938160165194</v>
      </c>
      <c r="AM4262">
        <v>99.004311646196001</v>
      </c>
      <c r="AN4262">
        <v>0.99999997875956903</v>
      </c>
    </row>
    <row r="4263" spans="1:40" x14ac:dyDescent="0.25">
      <c r="A4263" t="str">
        <f>"20190312151359595"</f>
        <v>20190312151359595</v>
      </c>
      <c r="B4263" t="str">
        <f>"1552374839584615"</f>
        <v>1552374839584615</v>
      </c>
      <c r="C4263" t="s">
        <v>40</v>
      </c>
      <c r="D4263">
        <v>4.5535550000000002</v>
      </c>
      <c r="E4263">
        <v>0.52764489999999997</v>
      </c>
      <c r="F4263" t="s">
        <v>42</v>
      </c>
      <c r="G4263">
        <v>-397.43400000000003</v>
      </c>
      <c r="H4263" s="1">
        <v>-2.382229E-6</v>
      </c>
      <c r="I4263">
        <v>133.89240000000001</v>
      </c>
      <c r="J4263">
        <v>-388.42230000000001</v>
      </c>
      <c r="K4263">
        <v>1.108857</v>
      </c>
      <c r="L4263">
        <v>137.17779999999999</v>
      </c>
      <c r="M4263">
        <v>-0.96928369999999997</v>
      </c>
      <c r="N4263">
        <v>0</v>
      </c>
      <c r="O4263">
        <v>-0.24549019999999999</v>
      </c>
      <c r="P4263">
        <v>-0.91516129999999996</v>
      </c>
      <c r="Q4263">
        <v>9.7655119999999998E-2</v>
      </c>
      <c r="R4263">
        <v>-0.39108009999999999</v>
      </c>
      <c r="S4263">
        <v>-2.873535</v>
      </c>
      <c r="T4263">
        <v>-0.33986270000000002</v>
      </c>
      <c r="U4263">
        <v>-1.0348660000000001</v>
      </c>
      <c r="V4263">
        <v>-0.15403129999999901</v>
      </c>
      <c r="W4263">
        <v>0.1128859</v>
      </c>
      <c r="X4263">
        <v>0.98159620000000003</v>
      </c>
      <c r="Y4263">
        <v>-9.8333829999999997E-2</v>
      </c>
      <c r="Z4263">
        <v>2.1931809999999999E-2</v>
      </c>
      <c r="AA4263">
        <v>0.99491180000000001</v>
      </c>
      <c r="AB4263">
        <v>38</v>
      </c>
      <c r="AC4263">
        <v>-9.01170000000001</v>
      </c>
      <c r="AD4263">
        <v>-1.108859382229</v>
      </c>
      <c r="AE4263">
        <v>-3.2853999999999801</v>
      </c>
      <c r="AF4263">
        <v>-0.95948659206044096</v>
      </c>
      <c r="AG4263">
        <v>-1.108859382229</v>
      </c>
      <c r="AH4263">
        <v>9.4166485533156994</v>
      </c>
      <c r="AI4263">
        <v>96.681668371720903</v>
      </c>
      <c r="AJ4263">
        <v>95.817935967292897</v>
      </c>
      <c r="AK4263">
        <v>9.5301339773669298</v>
      </c>
      <c r="AL4263">
        <v>83.518297926336601</v>
      </c>
      <c r="AM4263">
        <v>98.918084423207404</v>
      </c>
      <c r="AN4263">
        <v>0.99999998382646904</v>
      </c>
    </row>
    <row r="4264" spans="1:40" x14ac:dyDescent="0.25">
      <c r="A4264" t="str">
        <f>"20190312151359618"</f>
        <v>20190312151359618</v>
      </c>
      <c r="B4264" t="str">
        <f>"1552374839614872"</f>
        <v>1552374839614872</v>
      </c>
      <c r="C4264" t="s">
        <v>40</v>
      </c>
      <c r="D4264">
        <v>4.5472659999999996</v>
      </c>
      <c r="E4264">
        <v>0.5276634</v>
      </c>
      <c r="F4264" t="s">
        <v>42</v>
      </c>
      <c r="G4264">
        <v>-397.70600000000002</v>
      </c>
      <c r="H4264" s="1">
        <v>-2.2967060000000001E-6</v>
      </c>
      <c r="I4264">
        <v>133.86600000000001</v>
      </c>
      <c r="J4264">
        <v>-388.79450000000003</v>
      </c>
      <c r="K4264">
        <v>1.1087959999999999</v>
      </c>
      <c r="L4264">
        <v>137.08510000000001</v>
      </c>
      <c r="M4264">
        <v>-0.96969799999999995</v>
      </c>
      <c r="N4264">
        <v>0</v>
      </c>
      <c r="O4264">
        <v>-0.24384929999999999</v>
      </c>
      <c r="P4264">
        <v>-0.91651000000000005</v>
      </c>
      <c r="Q4264">
        <v>9.5747680000000002E-2</v>
      </c>
      <c r="R4264">
        <v>-0.38838430000000002</v>
      </c>
      <c r="S4264">
        <v>-2.8762819999999998</v>
      </c>
      <c r="T4264">
        <v>-0.343551</v>
      </c>
      <c r="U4264">
        <v>-1.0260469999999999</v>
      </c>
      <c r="V4264">
        <v>-0.15274070000000001</v>
      </c>
      <c r="W4264">
        <v>0.1109977</v>
      </c>
      <c r="X4264">
        <v>0.98201320000000003</v>
      </c>
      <c r="Y4264">
        <v>-9.7028379999999997E-2</v>
      </c>
      <c r="Z4264">
        <v>2.2056320000000001E-2</v>
      </c>
      <c r="AA4264">
        <v>0.99503719999999996</v>
      </c>
      <c r="AB4264">
        <v>38</v>
      </c>
      <c r="AC4264">
        <v>-8.9114999999999291</v>
      </c>
      <c r="AD4264">
        <v>-1.1087982967059999</v>
      </c>
      <c r="AE4264">
        <v>-3.2190999999999899</v>
      </c>
      <c r="AF4264">
        <v>-0.93578288109640395</v>
      </c>
      <c r="AG4264">
        <v>-1.1087982967059999</v>
      </c>
      <c r="AH4264">
        <v>9.30013343486028</v>
      </c>
      <c r="AI4264">
        <v>96.765092872242406</v>
      </c>
      <c r="AJ4264">
        <v>95.745783712109301</v>
      </c>
      <c r="AK4264">
        <v>9.4126300877882798</v>
      </c>
      <c r="AL4264">
        <v>83.627168648673006</v>
      </c>
      <c r="AM4264">
        <v>98.840851312918105</v>
      </c>
      <c r="AN4264">
        <v>1.0000000679079999</v>
      </c>
    </row>
    <row r="4265" spans="1:40" x14ac:dyDescent="0.25">
      <c r="A4265" t="str">
        <f>"20190312151359641"</f>
        <v>20190312151359641</v>
      </c>
      <c r="B4265" t="str">
        <f>"1552374839634391"</f>
        <v>1552374839634391</v>
      </c>
      <c r="C4265" t="s">
        <v>40</v>
      </c>
      <c r="D4265">
        <v>4.5549710000000001</v>
      </c>
      <c r="E4265">
        <v>0.52760959999999901</v>
      </c>
      <c r="F4265" t="s">
        <v>42</v>
      </c>
      <c r="G4265">
        <v>-397.935</v>
      </c>
      <c r="H4265" s="1">
        <v>-2.2216110000000001E-6</v>
      </c>
      <c r="I4265">
        <v>133.8553</v>
      </c>
      <c r="J4265">
        <v>-389.17059999999998</v>
      </c>
      <c r="K4265">
        <v>1.108743</v>
      </c>
      <c r="L4265">
        <v>136.99209999999999</v>
      </c>
      <c r="M4265">
        <v>-0.97011289999999994</v>
      </c>
      <c r="N4265">
        <v>0</v>
      </c>
      <c r="O4265">
        <v>-0.2421934</v>
      </c>
      <c r="P4265">
        <v>-0.91742699999999999</v>
      </c>
      <c r="Q4265">
        <v>9.4338850000000002E-2</v>
      </c>
      <c r="R4265">
        <v>-0.38655919999999999</v>
      </c>
      <c r="S4265">
        <v>-2.8787539999999998</v>
      </c>
      <c r="T4265">
        <v>-0.34920909999999999</v>
      </c>
      <c r="U4265">
        <v>-1.0171969999999999</v>
      </c>
      <c r="V4265">
        <v>-0.15241879999999999</v>
      </c>
      <c r="W4265">
        <v>0.1096043</v>
      </c>
      <c r="X4265">
        <v>0.98221959999999997</v>
      </c>
      <c r="Y4265">
        <v>-9.5767359999999996E-2</v>
      </c>
      <c r="Z4265">
        <v>2.230091E-2</v>
      </c>
      <c r="AA4265">
        <v>0.99515390000000004</v>
      </c>
      <c r="AB4265">
        <v>38</v>
      </c>
      <c r="AC4265">
        <v>-8.7644000000000197</v>
      </c>
      <c r="AD4265">
        <v>-1.1087452216110001</v>
      </c>
      <c r="AE4265">
        <v>-3.1367999999999898</v>
      </c>
      <c r="AF4265">
        <v>-0.90759750614637502</v>
      </c>
      <c r="AG4265">
        <v>-1.1087452216110001</v>
      </c>
      <c r="AH4265">
        <v>9.1336303275020505</v>
      </c>
      <c r="AI4265">
        <v>96.887762953836699</v>
      </c>
      <c r="AJ4265">
        <v>95.674781523370598</v>
      </c>
      <c r="AK4265">
        <v>9.2453367791051093</v>
      </c>
      <c r="AL4265">
        <v>83.707494088586003</v>
      </c>
      <c r="AM4265">
        <v>98.820687929098995</v>
      </c>
      <c r="AN4265">
        <v>0.99999996789804402</v>
      </c>
    </row>
    <row r="4266" spans="1:40" x14ac:dyDescent="0.25">
      <c r="A4266" t="str">
        <f>"20190312151359663"</f>
        <v>20190312151359663</v>
      </c>
      <c r="B4266" t="str">
        <f>"1552374839654887"</f>
        <v>1552374839654887</v>
      </c>
      <c r="C4266" t="s">
        <v>40</v>
      </c>
      <c r="D4266">
        <v>4.5645540000000002</v>
      </c>
      <c r="E4266">
        <v>0.52754250000000003</v>
      </c>
      <c r="F4266" t="s">
        <v>42</v>
      </c>
      <c r="G4266">
        <v>-398.20890000000003</v>
      </c>
      <c r="H4266" s="1">
        <v>-2.1384869999999998E-6</v>
      </c>
      <c r="I4266">
        <v>133.81739999999999</v>
      </c>
      <c r="J4266">
        <v>-389.53050000000002</v>
      </c>
      <c r="K4266">
        <v>1.108698</v>
      </c>
      <c r="L4266">
        <v>136.90379999999999</v>
      </c>
      <c r="M4266">
        <v>-0.97050650000000005</v>
      </c>
      <c r="N4266">
        <v>0</v>
      </c>
      <c r="O4266">
        <v>-0.24061150000000001</v>
      </c>
      <c r="P4266">
        <v>-0.91796180000000005</v>
      </c>
      <c r="Q4266">
        <v>9.3863600000000005E-2</v>
      </c>
      <c r="R4266">
        <v>-0.38540370000000002</v>
      </c>
      <c r="S4266">
        <v>-2.8800659999999998</v>
      </c>
      <c r="T4266">
        <v>-0.35330220000000001</v>
      </c>
      <c r="U4266">
        <v>-1.011612</v>
      </c>
      <c r="V4266">
        <v>-0.1527625</v>
      </c>
      <c r="W4266">
        <v>0.1091398</v>
      </c>
      <c r="X4266">
        <v>0.98221800000000004</v>
      </c>
      <c r="Y4266">
        <v>-9.5544110000000002E-2</v>
      </c>
      <c r="Z4266">
        <v>2.239302E-2</v>
      </c>
      <c r="AA4266">
        <v>0.99517330000000004</v>
      </c>
      <c r="AB4266">
        <v>38</v>
      </c>
      <c r="AC4266">
        <v>-8.6783999999999999</v>
      </c>
      <c r="AD4266">
        <v>-1.1087001384870001</v>
      </c>
      <c r="AE4266">
        <v>-3.08639999999999</v>
      </c>
      <c r="AF4266">
        <v>-0.89439126810820202</v>
      </c>
      <c r="AG4266">
        <v>-1.1087001384870001</v>
      </c>
      <c r="AH4266">
        <v>9.0351833796803493</v>
      </c>
      <c r="AI4266">
        <v>96.962055305129098</v>
      </c>
      <c r="AJ4266">
        <v>95.653282009558694</v>
      </c>
      <c r="AK4266">
        <v>9.1467857984103507</v>
      </c>
      <c r="AL4266">
        <v>83.734269046487697</v>
      </c>
      <c r="AM4266">
        <v>98.840278670247599</v>
      </c>
      <c r="AN4266">
        <v>1.0000000384371399</v>
      </c>
    </row>
    <row r="4267" spans="1:40" x14ac:dyDescent="0.25">
      <c r="A4267" t="str">
        <f>"20190312151359686"</f>
        <v>20190312151359686</v>
      </c>
      <c r="B4267" t="str">
        <f>"1552374839674407"</f>
        <v>1552374839674407</v>
      </c>
      <c r="C4267" t="s">
        <v>40</v>
      </c>
      <c r="D4267">
        <v>4.532572</v>
      </c>
      <c r="E4267">
        <v>0.52293429999999996</v>
      </c>
      <c r="F4267" t="s">
        <v>42</v>
      </c>
      <c r="G4267">
        <v>-398.53590000000003</v>
      </c>
      <c r="H4267" s="1">
        <v>-2.0447129999999998E-6</v>
      </c>
      <c r="I4267">
        <v>133.7516</v>
      </c>
      <c r="J4267">
        <v>-389.90249999999997</v>
      </c>
      <c r="K4267">
        <v>1.1086609999999999</v>
      </c>
      <c r="L4267">
        <v>136.81319999999999</v>
      </c>
      <c r="M4267">
        <v>-0.97090989999999999</v>
      </c>
      <c r="N4267">
        <v>0</v>
      </c>
      <c r="O4267">
        <v>-0.23897879999999999</v>
      </c>
      <c r="P4267">
        <v>-0.91859760000000001</v>
      </c>
      <c r="Q4267">
        <v>9.2574299999999998E-2</v>
      </c>
      <c r="R4267">
        <v>-0.3841987</v>
      </c>
      <c r="S4267">
        <v>-2.8809809999999998</v>
      </c>
      <c r="T4267">
        <v>-0.35469220000000001</v>
      </c>
      <c r="U4267">
        <v>-1.0084229999999901</v>
      </c>
      <c r="V4267">
        <v>-0.1530917</v>
      </c>
      <c r="W4267">
        <v>0.10786</v>
      </c>
      <c r="X4267">
        <v>0.98230810000000002</v>
      </c>
      <c r="Y4267">
        <v>-9.6131729999999999E-2</v>
      </c>
      <c r="Z4267">
        <v>2.225738E-2</v>
      </c>
      <c r="AA4267">
        <v>0.9951198</v>
      </c>
      <c r="AB4267">
        <v>38</v>
      </c>
      <c r="AC4267">
        <v>-8.6334000000000497</v>
      </c>
      <c r="AD4267">
        <v>-1.1086630447129999</v>
      </c>
      <c r="AE4267">
        <v>-3.0615999999999901</v>
      </c>
      <c r="AF4267">
        <v>-0.896310108386974</v>
      </c>
      <c r="AG4267">
        <v>-1.1086630447129999</v>
      </c>
      <c r="AH4267">
        <v>8.9833362073276799</v>
      </c>
      <c r="AI4267">
        <v>97.001071580870402</v>
      </c>
      <c r="AJ4267">
        <v>95.697814659136696</v>
      </c>
      <c r="AK4267">
        <v>9.0957591750767701</v>
      </c>
      <c r="AL4267">
        <v>83.808031569214407</v>
      </c>
      <c r="AM4267">
        <v>98.858227734552102</v>
      </c>
      <c r="AN4267">
        <v>1.0000000257672399</v>
      </c>
    </row>
    <row r="4268" spans="1:40" x14ac:dyDescent="0.25">
      <c r="A4268" t="str">
        <f>"20190312151359707"</f>
        <v>20190312151359707</v>
      </c>
      <c r="B4268" t="str">
        <f>"1552374839704665"</f>
        <v>1552374839704665</v>
      </c>
      <c r="C4268" t="s">
        <v>40</v>
      </c>
      <c r="D4268">
        <v>4.5744280000000002</v>
      </c>
      <c r="E4268">
        <v>0.52138430000000002</v>
      </c>
      <c r="F4268" t="s">
        <v>42</v>
      </c>
      <c r="G4268">
        <v>-398.9547</v>
      </c>
      <c r="H4268" s="1">
        <v>-1.9594240000000001E-6</v>
      </c>
      <c r="I4268">
        <v>133.53649999999999</v>
      </c>
      <c r="J4268">
        <v>-390.25279999999998</v>
      </c>
      <c r="K4268">
        <v>1.1086279999999999</v>
      </c>
      <c r="L4268">
        <v>136.7285</v>
      </c>
      <c r="M4268">
        <v>-0.97128729999999996</v>
      </c>
      <c r="N4268">
        <v>0</v>
      </c>
      <c r="O4268">
        <v>-0.23744080000000001</v>
      </c>
      <c r="P4268">
        <v>-0.91955010000000004</v>
      </c>
      <c r="Q4268">
        <v>9.0502369999999999E-2</v>
      </c>
      <c r="R4268">
        <v>-0.38240960000000002</v>
      </c>
      <c r="S4268">
        <v>-2.8672179999999998</v>
      </c>
      <c r="T4268">
        <v>-0.35116229999999998</v>
      </c>
      <c r="U4268">
        <v>-1.0378270000000001</v>
      </c>
      <c r="V4268">
        <v>-0.152688299999999</v>
      </c>
      <c r="W4268">
        <v>0.10579379999999999</v>
      </c>
      <c r="X4268">
        <v>0.98259549999999996</v>
      </c>
      <c r="Y4268">
        <v>-0.10814169999999999</v>
      </c>
      <c r="Z4268">
        <v>2.120646E-2</v>
      </c>
      <c r="AA4268">
        <v>0.9939093</v>
      </c>
      <c r="AB4268">
        <v>38</v>
      </c>
      <c r="AC4268">
        <v>-8.7019000000000197</v>
      </c>
      <c r="AD4268">
        <v>-1.1086299594239899</v>
      </c>
      <c r="AE4268">
        <v>-3.1920000000000002</v>
      </c>
      <c r="AF4268">
        <v>-1.0196904700810701</v>
      </c>
      <c r="AG4268">
        <v>-1.1086299594239899</v>
      </c>
      <c r="AH4268">
        <v>9.0810681474010408</v>
      </c>
      <c r="AI4268">
        <v>96.917263232714205</v>
      </c>
      <c r="AJ4268">
        <v>96.406763451770203</v>
      </c>
      <c r="AK4268">
        <v>9.2051413753102302</v>
      </c>
      <c r="AL4268">
        <v>83.927097192624601</v>
      </c>
      <c r="AM4268">
        <v>98.832711379751998</v>
      </c>
      <c r="AN4268">
        <v>0.99999998084778896</v>
      </c>
    </row>
    <row r="4269" spans="1:40" x14ac:dyDescent="0.25">
      <c r="A4269" t="str">
        <f>"20190312151359730"</f>
        <v>20190312151359730</v>
      </c>
      <c r="B4269" t="str">
        <f>"1552374839724183"</f>
        <v>1552374839724183</v>
      </c>
      <c r="C4269" t="s">
        <v>40</v>
      </c>
      <c r="D4269">
        <v>4.5436899999999998</v>
      </c>
      <c r="E4269">
        <v>0.52061800000000003</v>
      </c>
      <c r="F4269" t="s">
        <v>42</v>
      </c>
      <c r="G4269">
        <v>-398.88170000000002</v>
      </c>
      <c r="H4269" s="1">
        <v>-1.9725799999999998E-6</v>
      </c>
      <c r="I4269">
        <v>133.5804</v>
      </c>
      <c r="J4269">
        <v>-390.62299999999999</v>
      </c>
      <c r="K4269">
        <v>1.108614</v>
      </c>
      <c r="L4269">
        <v>136.6396</v>
      </c>
      <c r="M4269">
        <v>-0.97168370000000004</v>
      </c>
      <c r="N4269">
        <v>0</v>
      </c>
      <c r="O4269">
        <v>-0.23581340000000001</v>
      </c>
      <c r="P4269">
        <v>-0.92039420000000005</v>
      </c>
      <c r="Q4269">
        <v>8.9166739999999994E-2</v>
      </c>
      <c r="R4269">
        <v>-0.38068879999999999</v>
      </c>
      <c r="S4269">
        <v>-2.864166</v>
      </c>
      <c r="T4269">
        <v>-0.3679827</v>
      </c>
      <c r="U4269">
        <v>-1.044907</v>
      </c>
      <c r="V4269">
        <v>-0.15246570000000001</v>
      </c>
      <c r="W4269">
        <v>0.10446179999999999</v>
      </c>
      <c r="X4269">
        <v>0.9827726</v>
      </c>
      <c r="Y4269">
        <v>-0.1123546</v>
      </c>
      <c r="Z4269">
        <v>2.177132E-2</v>
      </c>
      <c r="AA4269">
        <v>0.99342969999999997</v>
      </c>
      <c r="AB4269">
        <v>38</v>
      </c>
      <c r="AC4269">
        <v>-8.2586999999999708</v>
      </c>
      <c r="AD4269">
        <v>-1.10861597257999</v>
      </c>
      <c r="AE4269">
        <v>-3.0592000000000001</v>
      </c>
      <c r="AF4269">
        <v>-1.0091861289734201</v>
      </c>
      <c r="AG4269">
        <v>-1.10861597257999</v>
      </c>
      <c r="AH4269">
        <v>8.6107797118388305</v>
      </c>
      <c r="AI4269">
        <v>97.286993470640894</v>
      </c>
      <c r="AJ4269">
        <v>96.684588631115304</v>
      </c>
      <c r="AK4269">
        <v>8.7403096777738405</v>
      </c>
      <c r="AL4269">
        <v>84.003840671672904</v>
      </c>
      <c r="AM4269">
        <v>98.818472604692801</v>
      </c>
      <c r="AN4269">
        <v>1.00000002032324</v>
      </c>
    </row>
    <row r="4270" spans="1:40" x14ac:dyDescent="0.25">
      <c r="A4270" t="str">
        <f>"20190312151359752"</f>
        <v>20190312151359752</v>
      </c>
      <c r="B4270" t="str">
        <f>"1552374839744679"</f>
        <v>1552374839744679</v>
      </c>
      <c r="C4270" t="s">
        <v>40</v>
      </c>
      <c r="D4270">
        <v>4.5701939999999999</v>
      </c>
      <c r="E4270">
        <v>0.5197425</v>
      </c>
      <c r="F4270" t="s">
        <v>42</v>
      </c>
      <c r="G4270">
        <v>-399.12529999999998</v>
      </c>
      <c r="H4270" s="1">
        <v>-1.9014900000000001E-6</v>
      </c>
      <c r="I4270">
        <v>133.5361</v>
      </c>
      <c r="J4270">
        <v>-390.98790000000002</v>
      </c>
      <c r="K4270">
        <v>1.108609</v>
      </c>
      <c r="L4270">
        <v>136.55269999999999</v>
      </c>
      <c r="M4270">
        <v>-0.97207200000000005</v>
      </c>
      <c r="N4270">
        <v>0</v>
      </c>
      <c r="O4270">
        <v>-0.2342081</v>
      </c>
      <c r="P4270">
        <v>-0.92110380000000003</v>
      </c>
      <c r="Q4270">
        <v>8.9672219999999997E-2</v>
      </c>
      <c r="R4270">
        <v>-0.3788494</v>
      </c>
      <c r="S4270">
        <v>-2.8633419999999998</v>
      </c>
      <c r="T4270">
        <v>-0.37335620000000003</v>
      </c>
      <c r="U4270">
        <v>-1.045166</v>
      </c>
      <c r="V4270">
        <v>-0.152132399999999</v>
      </c>
      <c r="W4270">
        <v>0.1049659</v>
      </c>
      <c r="X4270">
        <v>0.98277049999999999</v>
      </c>
      <c r="Y4270">
        <v>-0.11416850000000001</v>
      </c>
      <c r="Z4270">
        <v>2.178459E-2</v>
      </c>
      <c r="AA4270">
        <v>0.99322250000000001</v>
      </c>
      <c r="AB4270">
        <v>38</v>
      </c>
      <c r="AC4270">
        <v>-8.1373999999999498</v>
      </c>
      <c r="AD4270">
        <v>-1.1086109014900001</v>
      </c>
      <c r="AE4270">
        <v>-3.01659999999998</v>
      </c>
      <c r="AF4270">
        <v>-1.0101383271218001</v>
      </c>
      <c r="AG4270">
        <v>-1.1086109014900001</v>
      </c>
      <c r="AH4270">
        <v>8.4792464750675691</v>
      </c>
      <c r="AI4270">
        <v>97.397109705388104</v>
      </c>
      <c r="AJ4270">
        <v>96.793666591154206</v>
      </c>
      <c r="AK4270">
        <v>8.6108662953136594</v>
      </c>
      <c r="AL4270">
        <v>83.974797970531299</v>
      </c>
      <c r="AM4270">
        <v>98.799515385160703</v>
      </c>
      <c r="AN4270">
        <v>0.99999998148140901</v>
      </c>
    </row>
    <row r="4271" spans="1:40" x14ac:dyDescent="0.25">
      <c r="A4271" t="str">
        <f>"20190312151359774"</f>
        <v>20190312151359774</v>
      </c>
      <c r="B4271" t="str">
        <f>"1552374839764199"</f>
        <v>1552374839764199</v>
      </c>
      <c r="C4271" t="s">
        <v>40</v>
      </c>
      <c r="D4271">
        <v>4.570011</v>
      </c>
      <c r="E4271">
        <v>0.5194204</v>
      </c>
      <c r="F4271" t="s">
        <v>42</v>
      </c>
      <c r="G4271">
        <v>-399.47739999999999</v>
      </c>
      <c r="H4271" s="1">
        <v>-1.8038650000000001E-6</v>
      </c>
      <c r="I4271">
        <v>133.45259999999999</v>
      </c>
      <c r="J4271">
        <v>-391.35270000000003</v>
      </c>
      <c r="K4271">
        <v>1.108608</v>
      </c>
      <c r="L4271">
        <v>136.46639999999999</v>
      </c>
      <c r="M4271">
        <v>-0.97245809999999999</v>
      </c>
      <c r="N4271">
        <v>0</v>
      </c>
      <c r="O4271">
        <v>-0.2326009</v>
      </c>
      <c r="P4271">
        <v>-0.92152000000000001</v>
      </c>
      <c r="Q4271">
        <v>9.0686920000000004E-2</v>
      </c>
      <c r="R4271">
        <v>-0.37759369999999998</v>
      </c>
      <c r="S4271">
        <v>-2.8633120000000001</v>
      </c>
      <c r="T4271">
        <v>-0.37390879999999999</v>
      </c>
      <c r="U4271">
        <v>-1.045563</v>
      </c>
      <c r="V4271">
        <v>-0.15243499999999999</v>
      </c>
      <c r="W4271">
        <v>0.10597819999999999</v>
      </c>
      <c r="X4271">
        <v>0.98261489999999996</v>
      </c>
      <c r="Y4271">
        <v>-0.1159142</v>
      </c>
      <c r="Z4271">
        <v>2.151204E-2</v>
      </c>
      <c r="AA4271">
        <v>0.99302630000000003</v>
      </c>
      <c r="AB4271">
        <v>38</v>
      </c>
      <c r="AC4271">
        <v>-8.1246999999999598</v>
      </c>
      <c r="AD4271">
        <v>-1.1086098038650001</v>
      </c>
      <c r="AE4271">
        <v>-3.0137999999999998</v>
      </c>
      <c r="AF4271">
        <v>-1.0243326335315599</v>
      </c>
      <c r="AG4271">
        <v>-1.1086098038650001</v>
      </c>
      <c r="AH4271">
        <v>8.4643667901301392</v>
      </c>
      <c r="AI4271">
        <v>97.408325629723606</v>
      </c>
      <c r="AJ4271">
        <v>96.900211503556406</v>
      </c>
      <c r="AK4271">
        <v>8.5978938234431208</v>
      </c>
      <c r="AL4271">
        <v>83.916471777791003</v>
      </c>
      <c r="AM4271">
        <v>98.818117607032093</v>
      </c>
      <c r="AN4271">
        <v>0.99999992490112199</v>
      </c>
    </row>
    <row r="4272" spans="1:40" x14ac:dyDescent="0.25">
      <c r="A4272" t="str">
        <f>"20190312151359797"</f>
        <v>20190312151359797</v>
      </c>
      <c r="B4272" t="str">
        <f>"1552374839784696"</f>
        <v>1552374839784696</v>
      </c>
      <c r="C4272" t="s">
        <v>40</v>
      </c>
      <c r="D4272">
        <v>4.8089079999999997</v>
      </c>
      <c r="E4272">
        <v>0.49995410000000001</v>
      </c>
      <c r="F4272" t="s">
        <v>42</v>
      </c>
      <c r="G4272">
        <v>-399.88040000000001</v>
      </c>
      <c r="H4272" s="1">
        <v>-1.6911199999999999E-6</v>
      </c>
      <c r="I4272">
        <v>133.36089999999999</v>
      </c>
      <c r="J4272">
        <v>-391.71559999999999</v>
      </c>
      <c r="K4272">
        <v>1.1086069999999999</v>
      </c>
      <c r="L4272">
        <v>136.38120000000001</v>
      </c>
      <c r="M4272">
        <v>-0.97283889999999995</v>
      </c>
      <c r="N4272">
        <v>0</v>
      </c>
      <c r="O4272">
        <v>-0.2310026</v>
      </c>
      <c r="P4272">
        <v>-0.92164069999999998</v>
      </c>
      <c r="Q4272">
        <v>9.1264769999999995E-2</v>
      </c>
      <c r="R4272">
        <v>-0.37715979999999999</v>
      </c>
      <c r="S4272">
        <v>-2.8646850000000001</v>
      </c>
      <c r="T4272">
        <v>-0.37241180000000002</v>
      </c>
      <c r="U4272">
        <v>-1.0431979999999901</v>
      </c>
      <c r="V4272">
        <v>-0.15359819999999999</v>
      </c>
      <c r="W4272">
        <v>0.10655480000000001</v>
      </c>
      <c r="X4272">
        <v>0.98237140000000001</v>
      </c>
      <c r="Y4272">
        <v>-0.116645899999999</v>
      </c>
      <c r="Z4272">
        <v>2.1182380000000001E-2</v>
      </c>
      <c r="AA4272">
        <v>0.99294760000000004</v>
      </c>
      <c r="AB4272">
        <v>38</v>
      </c>
      <c r="AC4272">
        <v>-8.1648000000000103</v>
      </c>
      <c r="AD4272">
        <v>-1.1086086911199999</v>
      </c>
      <c r="AE4272">
        <v>-3.0203000000000202</v>
      </c>
      <c r="AF4272">
        <v>-1.0354997089810301</v>
      </c>
      <c r="AG4272">
        <v>-1.1086086911199999</v>
      </c>
      <c r="AH4272">
        <v>8.5037879828462906</v>
      </c>
      <c r="AI4272">
        <v>97.373698012728696</v>
      </c>
      <c r="AJ4272">
        <v>96.942682776625702</v>
      </c>
      <c r="AK4272">
        <v>8.6380369838596796</v>
      </c>
      <c r="AL4272">
        <v>83.883247052651001</v>
      </c>
      <c r="AM4272">
        <v>98.886504395810803</v>
      </c>
      <c r="AN4272">
        <v>0.99999994999211805</v>
      </c>
    </row>
    <row r="4273" spans="1:40" x14ac:dyDescent="0.25">
      <c r="A4273" t="str">
        <f>"20190312151359819"</f>
        <v>20190312151359819</v>
      </c>
      <c r="B4273" t="str">
        <f>"1552374839814951"</f>
        <v>1552374839814951</v>
      </c>
      <c r="C4273" t="s">
        <v>40</v>
      </c>
      <c r="D4273">
        <v>4.5391659999999998</v>
      </c>
      <c r="E4273">
        <v>0.48906480000000002</v>
      </c>
      <c r="F4273" t="s">
        <v>42</v>
      </c>
      <c r="G4273">
        <v>-399.3356</v>
      </c>
      <c r="H4273" s="1">
        <v>-1.9308429999999999E-6</v>
      </c>
      <c r="I4273">
        <v>133.1567</v>
      </c>
      <c r="J4273">
        <v>-392.089</v>
      </c>
      <c r="K4273">
        <v>1.108609</v>
      </c>
      <c r="L4273">
        <v>136.29419999999999</v>
      </c>
      <c r="M4273">
        <v>-0.97322620000000004</v>
      </c>
      <c r="N4273">
        <v>0</v>
      </c>
      <c r="O4273">
        <v>-0.2293656</v>
      </c>
      <c r="P4273">
        <v>-0.92181409999999997</v>
      </c>
      <c r="Q4273">
        <v>9.0207720000000005E-2</v>
      </c>
      <c r="R4273">
        <v>-0.3769902</v>
      </c>
      <c r="S4273">
        <v>-2.809113</v>
      </c>
      <c r="T4273">
        <v>-0.40868779999999999</v>
      </c>
      <c r="U4273">
        <v>-1.1886749999999999</v>
      </c>
      <c r="V4273">
        <v>-0.1550532</v>
      </c>
      <c r="W4273">
        <v>0.10549740000000001</v>
      </c>
      <c r="X4273">
        <v>0.98225700000000005</v>
      </c>
      <c r="Y4273">
        <v>-0.16855229999999999</v>
      </c>
      <c r="Z4273">
        <v>1.9573159999999999E-2</v>
      </c>
      <c r="AA4273">
        <v>0.9854984</v>
      </c>
      <c r="AB4273">
        <v>37</v>
      </c>
      <c r="AC4273">
        <v>-7.2465999999999999</v>
      </c>
      <c r="AD4273">
        <v>-1.1086109308430001</v>
      </c>
      <c r="AE4273">
        <v>-3.1374999999999802</v>
      </c>
      <c r="AF4273">
        <v>-1.3646349759443701</v>
      </c>
      <c r="AG4273">
        <v>-1.1086109308430001</v>
      </c>
      <c r="AH4273">
        <v>7.6228379568751103</v>
      </c>
      <c r="AI4273">
        <v>98.146937694925001</v>
      </c>
      <c r="AJ4273">
        <v>100.14953686649299</v>
      </c>
      <c r="AK4273">
        <v>7.8229729214877901</v>
      </c>
      <c r="AL4273">
        <v>83.944175381105296</v>
      </c>
      <c r="AM4273">
        <v>98.970349526096797</v>
      </c>
      <c r="AN4273">
        <v>1.000000005143</v>
      </c>
    </row>
    <row r="4274" spans="1:40" x14ac:dyDescent="0.25">
      <c r="A4274" t="str">
        <f>"20190312151359845"</f>
        <v>20190312151359845</v>
      </c>
      <c r="B4274" t="str">
        <f>"1552374839834471"</f>
        <v>1552374839834471</v>
      </c>
      <c r="C4274" t="s">
        <v>40</v>
      </c>
      <c r="D4274">
        <v>4.5176189999999998</v>
      </c>
      <c r="E4274">
        <v>0.48517320000000003</v>
      </c>
      <c r="F4274" t="s">
        <v>42</v>
      </c>
      <c r="G4274">
        <v>-399.67239999999998</v>
      </c>
      <c r="H4274" s="1">
        <v>-1.903092E-6</v>
      </c>
      <c r="I4274">
        <v>132.83029999999999</v>
      </c>
      <c r="J4274">
        <v>-392.50299999999999</v>
      </c>
      <c r="K4274">
        <v>1.108619</v>
      </c>
      <c r="L4274">
        <v>136.1985</v>
      </c>
      <c r="M4274">
        <v>-0.97364660000000003</v>
      </c>
      <c r="N4274">
        <v>0</v>
      </c>
      <c r="O4274">
        <v>-0.22757450000000001</v>
      </c>
      <c r="P4274">
        <v>-0.92190099999999997</v>
      </c>
      <c r="Q4274">
        <v>8.8542469999999998E-2</v>
      </c>
      <c r="R4274">
        <v>-0.37717220000000001</v>
      </c>
      <c r="S4274">
        <v>-2.775665</v>
      </c>
      <c r="T4274">
        <v>-0.40577299999999999</v>
      </c>
      <c r="U4274">
        <v>-1.267838</v>
      </c>
      <c r="V4274">
        <v>-0.15703049999999999</v>
      </c>
      <c r="W4274">
        <v>0.1038282</v>
      </c>
      <c r="X4274">
        <v>0.98212080000000002</v>
      </c>
      <c r="Y4274">
        <v>-0.19777790000000001</v>
      </c>
      <c r="Z4274">
        <v>1.7253210000000001E-2</v>
      </c>
      <c r="AA4274">
        <v>0.98009500000000005</v>
      </c>
      <c r="AB4274">
        <v>37</v>
      </c>
      <c r="AC4274">
        <v>-7.1693999999999303</v>
      </c>
      <c r="AD4274">
        <v>-1.108620903092</v>
      </c>
      <c r="AE4274">
        <v>-3.3681999999999999</v>
      </c>
      <c r="AF4274">
        <v>-1.61638542283398</v>
      </c>
      <c r="AG4274">
        <v>-1.108620903092</v>
      </c>
      <c r="AH4274">
        <v>7.59899116706453</v>
      </c>
      <c r="AI4274">
        <v>98.121166821175805</v>
      </c>
      <c r="AJ4274">
        <v>102.00844001778</v>
      </c>
      <c r="AK4274">
        <v>7.8477008670723096</v>
      </c>
      <c r="AL4274">
        <v>84.040342059530005</v>
      </c>
      <c r="AM4274">
        <v>99.084086390356504</v>
      </c>
      <c r="AN4274">
        <v>1.0000000694190601</v>
      </c>
    </row>
    <row r="4275" spans="1:40" x14ac:dyDescent="0.25">
      <c r="A4275" t="str">
        <f>"20190312151359867"</f>
        <v>20190312151359867</v>
      </c>
      <c r="B4275" t="str">
        <f>"1552374839854967"</f>
        <v>1552374839854967</v>
      </c>
      <c r="C4275" t="s">
        <v>40</v>
      </c>
      <c r="D4275">
        <v>4.5175939999999999</v>
      </c>
      <c r="E4275">
        <v>0.48321910000000001</v>
      </c>
      <c r="F4275" t="s">
        <v>58</v>
      </c>
      <c r="G4275">
        <v>-400.00040000000001</v>
      </c>
      <c r="H4275" s="1">
        <v>-1.694185E-6</v>
      </c>
      <c r="I4275">
        <v>132.6807</v>
      </c>
      <c r="J4275">
        <v>-392.86770000000001</v>
      </c>
      <c r="K4275">
        <v>1.1086530000000001</v>
      </c>
      <c r="L4275">
        <v>136.1148</v>
      </c>
      <c r="M4275">
        <v>-0.97400039999999999</v>
      </c>
      <c r="N4275">
        <v>0</v>
      </c>
      <c r="O4275">
        <v>-0.2260559</v>
      </c>
      <c r="P4275">
        <v>-0.92172449999999995</v>
      </c>
      <c r="Q4275">
        <v>8.7663569999999996E-2</v>
      </c>
      <c r="R4275">
        <v>-0.3778087</v>
      </c>
      <c r="S4275">
        <v>-2.7629999999999999</v>
      </c>
      <c r="T4275">
        <v>-0.40855599999999997</v>
      </c>
      <c r="U4275">
        <v>-1.2964020000000001</v>
      </c>
      <c r="V4275">
        <v>-0.15923619999999999</v>
      </c>
      <c r="W4275">
        <v>0.1029365</v>
      </c>
      <c r="X4275">
        <v>0.98185940000000005</v>
      </c>
      <c r="Y4275">
        <v>-0.20921899999999999</v>
      </c>
      <c r="Z4275">
        <v>1.6394369999999998E-2</v>
      </c>
      <c r="AA4275">
        <v>0.97773140000000003</v>
      </c>
      <c r="AB4275">
        <v>37</v>
      </c>
      <c r="AC4275">
        <v>-7.1326999999999998</v>
      </c>
      <c r="AD4275">
        <v>-1.108654694185</v>
      </c>
      <c r="AE4275">
        <v>-3.4340999999999999</v>
      </c>
      <c r="AF4275">
        <v>-1.6992900000382301</v>
      </c>
      <c r="AG4275">
        <v>-1.108654694185</v>
      </c>
      <c r="AH4275">
        <v>7.5758239860197598</v>
      </c>
      <c r="AI4275">
        <v>98.126505412363898</v>
      </c>
      <c r="AJ4275">
        <v>102.642438629056</v>
      </c>
      <c r="AK4275">
        <v>7.8428190596443503</v>
      </c>
      <c r="AL4275">
        <v>84.091707443414805</v>
      </c>
      <c r="AM4275">
        <v>99.211922454528505</v>
      </c>
      <c r="AN4275">
        <v>0.99999998589552397</v>
      </c>
    </row>
    <row r="4276" spans="1:40" x14ac:dyDescent="0.25">
      <c r="A4276" t="str">
        <f>"20190312151359889"</f>
        <v>20190312151359889</v>
      </c>
      <c r="B4276" t="str">
        <f>"1552374839885224"</f>
        <v>1552374839885224</v>
      </c>
      <c r="C4276" t="s">
        <v>40</v>
      </c>
      <c r="D4276">
        <v>4.7615439999999998</v>
      </c>
      <c r="E4276">
        <v>0.48127569999999997</v>
      </c>
      <c r="F4276" t="s">
        <v>58</v>
      </c>
      <c r="G4276">
        <v>-400.48219999999998</v>
      </c>
      <c r="H4276" s="1">
        <v>-1.8685739999999999E-6</v>
      </c>
      <c r="I4276">
        <v>132.49160000000001</v>
      </c>
      <c r="J4276">
        <v>-393.21850000000001</v>
      </c>
      <c r="K4276">
        <v>1.1087149999999999</v>
      </c>
      <c r="L4276">
        <v>136.03479999999999</v>
      </c>
      <c r="M4276">
        <v>-0.97431670000000004</v>
      </c>
      <c r="N4276">
        <v>0</v>
      </c>
      <c r="O4276">
        <v>-0.22468840000000001</v>
      </c>
      <c r="P4276">
        <v>-0.92134570000000005</v>
      </c>
      <c r="Q4276">
        <v>8.8125910000000002E-2</v>
      </c>
      <c r="R4276">
        <v>-0.37862309999999999</v>
      </c>
      <c r="S4276">
        <v>-2.755493</v>
      </c>
      <c r="T4276">
        <v>-0.40119310000000002</v>
      </c>
      <c r="U4276">
        <v>-1.3111569999999999</v>
      </c>
      <c r="V4276">
        <v>-0.1615094</v>
      </c>
      <c r="W4276">
        <v>0.103371</v>
      </c>
      <c r="X4276">
        <v>0.98144240000000005</v>
      </c>
      <c r="Y4276">
        <v>-0.21581890000000001</v>
      </c>
      <c r="Z4276">
        <v>1.548515E-2</v>
      </c>
      <c r="AA4276">
        <v>0.97631060000000003</v>
      </c>
      <c r="AB4276">
        <v>37</v>
      </c>
      <c r="AC4276">
        <v>-7.2636999999999698</v>
      </c>
      <c r="AD4276">
        <v>-1.1087168685740001</v>
      </c>
      <c r="AE4276">
        <v>-3.5431999999999801</v>
      </c>
      <c r="AF4276">
        <v>-1.78670578112006</v>
      </c>
      <c r="AG4276">
        <v>-1.1087168685740001</v>
      </c>
      <c r="AH4276">
        <v>7.7286792558725104</v>
      </c>
      <c r="AI4276">
        <v>97.956608704641695</v>
      </c>
      <c r="AJ4276">
        <v>103.016887725356</v>
      </c>
      <c r="AK4276">
        <v>8.0096225680803705</v>
      </c>
      <c r="AL4276">
        <v>84.066679096567</v>
      </c>
      <c r="AM4276">
        <v>99.345025460849001</v>
      </c>
      <c r="AN4276">
        <v>1.0000000172235599</v>
      </c>
    </row>
    <row r="4277" spans="1:40" x14ac:dyDescent="0.25">
      <c r="A4277" t="str">
        <f>"20190312151359913"</f>
        <v>20190312151359913</v>
      </c>
      <c r="B4277" t="str">
        <f>"1552374839904745"</f>
        <v>1552374839904745</v>
      </c>
      <c r="C4277" t="s">
        <v>40</v>
      </c>
      <c r="D4277">
        <v>4.7676980000000002</v>
      </c>
      <c r="E4277">
        <v>0.4803058</v>
      </c>
      <c r="F4277" t="s">
        <v>58</v>
      </c>
      <c r="G4277">
        <v>-400.97809999999998</v>
      </c>
      <c r="H4277" s="1">
        <v>-2.042601E-6</v>
      </c>
      <c r="I4277">
        <v>132.2867</v>
      </c>
      <c r="J4277">
        <v>-393.61790000000002</v>
      </c>
      <c r="K4277">
        <v>1.1088089999999999</v>
      </c>
      <c r="L4277">
        <v>135.9443</v>
      </c>
      <c r="M4277">
        <v>-0.97464709999999999</v>
      </c>
      <c r="N4277">
        <v>0</v>
      </c>
      <c r="O4277">
        <v>-0.22325239999999999</v>
      </c>
      <c r="P4277">
        <v>-0.92100709999999997</v>
      </c>
      <c r="Q4277">
        <v>8.8101189999999996E-2</v>
      </c>
      <c r="R4277">
        <v>-0.37945289999999998</v>
      </c>
      <c r="S4277">
        <v>-2.748138</v>
      </c>
      <c r="T4277">
        <v>-0.39266770000000001</v>
      </c>
      <c r="U4277">
        <v>-1.3274539999999999</v>
      </c>
      <c r="V4277">
        <v>-0.16386689999999901</v>
      </c>
      <c r="W4277">
        <v>0.1033041</v>
      </c>
      <c r="X4277">
        <v>0.98105850000000006</v>
      </c>
      <c r="Y4277">
        <v>-0.22290099999999999</v>
      </c>
      <c r="Z4277">
        <v>1.4509579999999999E-2</v>
      </c>
      <c r="AA4277">
        <v>0.97473310000000002</v>
      </c>
      <c r="AB4277">
        <v>37</v>
      </c>
      <c r="AC4277">
        <v>-7.3601999999999599</v>
      </c>
      <c r="AD4277">
        <v>-1.1088110426009901</v>
      </c>
      <c r="AE4277">
        <v>-3.6576</v>
      </c>
      <c r="AF4277">
        <v>-1.88754520321604</v>
      </c>
      <c r="AG4277">
        <v>-1.1088110426009901</v>
      </c>
      <c r="AH4277">
        <v>7.8482080184619996</v>
      </c>
      <c r="AI4277">
        <v>97.821489568289607</v>
      </c>
      <c r="AJ4277">
        <v>103.523171020121</v>
      </c>
      <c r="AK4277">
        <v>8.1478008028810507</v>
      </c>
      <c r="AL4277">
        <v>84.070532351381303</v>
      </c>
      <c r="AM4277">
        <v>99.482615546681103</v>
      </c>
      <c r="AN4277">
        <v>0.99999993920733299</v>
      </c>
    </row>
    <row r="4278" spans="1:40" x14ac:dyDescent="0.25">
      <c r="A4278" t="str">
        <f>"20190312151359933"</f>
        <v>20190312151359933</v>
      </c>
      <c r="B4278" t="str">
        <f>"1552374839924263"</f>
        <v>1552374839924263</v>
      </c>
      <c r="C4278" t="s">
        <v>40</v>
      </c>
      <c r="D4278">
        <v>4.526878</v>
      </c>
      <c r="E4278">
        <v>0.47938760000000002</v>
      </c>
      <c r="F4278" t="s">
        <v>58</v>
      </c>
      <c r="G4278">
        <v>-401.43110000000001</v>
      </c>
      <c r="H4278" s="1">
        <v>-2.2218160000000001E-6</v>
      </c>
      <c r="I4278">
        <v>132.13759999999999</v>
      </c>
      <c r="J4278">
        <v>-393.93060000000003</v>
      </c>
      <c r="K4278">
        <v>1.1089150000000001</v>
      </c>
      <c r="L4278">
        <v>135.87360000000001</v>
      </c>
      <c r="M4278">
        <v>-0.97487740000000001</v>
      </c>
      <c r="N4278">
        <v>0</v>
      </c>
      <c r="O4278">
        <v>-0.2222452</v>
      </c>
      <c r="P4278">
        <v>-0.92032119999999995</v>
      </c>
      <c r="Q4278">
        <v>8.7392360000000002E-2</v>
      </c>
      <c r="R4278">
        <v>-0.38127670000000002</v>
      </c>
      <c r="S4278">
        <v>-2.743805</v>
      </c>
      <c r="T4278">
        <v>-0.38938709999999999</v>
      </c>
      <c r="U4278">
        <v>-1.3368070000000001</v>
      </c>
      <c r="V4278">
        <v>-0.16683990000000001</v>
      </c>
      <c r="W4278">
        <v>0.1025547</v>
      </c>
      <c r="X4278">
        <v>0.98063599999999995</v>
      </c>
      <c r="Y4278">
        <v>-0.22715740000000001</v>
      </c>
      <c r="Z4278">
        <v>1.3983260000000001E-2</v>
      </c>
      <c r="AA4278">
        <v>0.97375769999999995</v>
      </c>
      <c r="AB4278">
        <v>37</v>
      </c>
      <c r="AC4278">
        <v>-7.5004999999999802</v>
      </c>
      <c r="AD4278">
        <v>-1.1089172218159999</v>
      </c>
      <c r="AE4278">
        <v>-3.73600000000001</v>
      </c>
      <c r="AF4278">
        <v>-1.9414098364448</v>
      </c>
      <c r="AG4278">
        <v>-1.1089172218159999</v>
      </c>
      <c r="AH4278">
        <v>8.0031157072188002</v>
      </c>
      <c r="AI4278">
        <v>97.669054008898996</v>
      </c>
      <c r="AJ4278">
        <v>103.635518298142</v>
      </c>
      <c r="AK4278">
        <v>8.3095505643215795</v>
      </c>
      <c r="AL4278">
        <v>84.113699394803305</v>
      </c>
      <c r="AM4278">
        <v>99.655528415095404</v>
      </c>
      <c r="AN4278">
        <v>0.99999999161004904</v>
      </c>
    </row>
    <row r="4279" spans="1:40" x14ac:dyDescent="0.25">
      <c r="A4279" t="str">
        <f>"20190312151359953"</f>
        <v>20190312151359953</v>
      </c>
      <c r="B4279" t="str">
        <f>"1552374839944759"</f>
        <v>1552374839944759</v>
      </c>
      <c r="C4279" t="s">
        <v>40</v>
      </c>
      <c r="D4279">
        <v>4.5435119999999998</v>
      </c>
      <c r="E4279">
        <v>0.4784407</v>
      </c>
      <c r="F4279" t="s">
        <v>58</v>
      </c>
      <c r="G4279">
        <v>-401.71879999999999</v>
      </c>
      <c r="H4279" s="1">
        <v>-2.3321920000000001E-6</v>
      </c>
      <c r="I4279">
        <v>132.03639999999999</v>
      </c>
      <c r="J4279">
        <v>-394.25990000000002</v>
      </c>
      <c r="K4279">
        <v>1.109051</v>
      </c>
      <c r="L4279">
        <v>135.79949999999999</v>
      </c>
      <c r="M4279">
        <v>-0.97508220000000001</v>
      </c>
      <c r="N4279">
        <v>0</v>
      </c>
      <c r="O4279">
        <v>-0.22134509999999999</v>
      </c>
      <c r="P4279">
        <v>-0.91953810000000002</v>
      </c>
      <c r="Q4279">
        <v>8.7091710000000003E-2</v>
      </c>
      <c r="R4279">
        <v>-0.3832295</v>
      </c>
      <c r="S4279">
        <v>-2.7378849999999999</v>
      </c>
      <c r="T4279">
        <v>-0.38983109999999999</v>
      </c>
      <c r="U4279">
        <v>-1.348938</v>
      </c>
      <c r="V4279">
        <v>-0.1698586</v>
      </c>
      <c r="W4279">
        <v>0.1021961</v>
      </c>
      <c r="X4279">
        <v>0.98015509999999995</v>
      </c>
      <c r="Y4279">
        <v>-0.2323123</v>
      </c>
      <c r="Z4279">
        <v>1.3548660000000001E-2</v>
      </c>
      <c r="AA4279">
        <v>0.97254689999999999</v>
      </c>
      <c r="AB4279">
        <v>37</v>
      </c>
      <c r="AC4279">
        <v>-7.4588999999999697</v>
      </c>
      <c r="AD4279">
        <v>-1.109053332192</v>
      </c>
      <c r="AE4279">
        <v>-3.7631000000000001</v>
      </c>
      <c r="AF4279">
        <v>-1.9836073612296701</v>
      </c>
      <c r="AG4279">
        <v>-1.109053332192</v>
      </c>
      <c r="AH4279">
        <v>7.9664889991582797</v>
      </c>
      <c r="AI4279">
        <v>97.693519459766904</v>
      </c>
      <c r="AJ4279">
        <v>103.981977580289</v>
      </c>
      <c r="AK4279">
        <v>8.2843010828241095</v>
      </c>
      <c r="AL4279">
        <v>84.134354254998001</v>
      </c>
      <c r="AM4279">
        <v>99.831580474577095</v>
      </c>
      <c r="AN4279">
        <v>1.00000000345258</v>
      </c>
    </row>
    <row r="4280" spans="1:40" x14ac:dyDescent="0.25">
      <c r="A4280" t="str">
        <f>"20190312151359975"</f>
        <v>20190312151359975</v>
      </c>
      <c r="B4280" t="str">
        <f>"1552374839964280"</f>
        <v>1552374839964280</v>
      </c>
      <c r="C4280" t="s">
        <v>40</v>
      </c>
      <c r="D4280">
        <v>4.7328210000000004</v>
      </c>
      <c r="E4280">
        <v>0.47784690000000002</v>
      </c>
      <c r="F4280" t="s">
        <v>58</v>
      </c>
      <c r="G4280">
        <v>-402.02260000000001</v>
      </c>
      <c r="H4280" s="1">
        <v>-2.4488600000000001E-6</v>
      </c>
      <c r="I4280">
        <v>131.9298</v>
      </c>
      <c r="J4280">
        <v>-394.63139999999999</v>
      </c>
      <c r="K4280">
        <v>1.109245</v>
      </c>
      <c r="L4280">
        <v>135.71600000000001</v>
      </c>
      <c r="M4280">
        <v>-0.9752575</v>
      </c>
      <c r="N4280">
        <v>0</v>
      </c>
      <c r="O4280">
        <v>-0.22057080000000001</v>
      </c>
      <c r="P4280">
        <v>-0.91872509999999996</v>
      </c>
      <c r="Q4280">
        <v>8.8332099999999997E-2</v>
      </c>
      <c r="R4280">
        <v>-0.3848917</v>
      </c>
      <c r="S4280">
        <v>-2.7319339999999999</v>
      </c>
      <c r="T4280">
        <v>-0.3903102</v>
      </c>
      <c r="U4280">
        <v>-1.361847</v>
      </c>
      <c r="V4280">
        <v>-0.17248269999999999</v>
      </c>
      <c r="W4280">
        <v>0.1033497</v>
      </c>
      <c r="X4280">
        <v>0.97957570000000005</v>
      </c>
      <c r="Y4280">
        <v>-0.23756099999999999</v>
      </c>
      <c r="Z4280">
        <v>1.312221E-2</v>
      </c>
      <c r="AA4280">
        <v>0.97128400000000004</v>
      </c>
      <c r="AB4280">
        <v>37</v>
      </c>
      <c r="AC4280">
        <v>-7.39120000000002</v>
      </c>
      <c r="AD4280">
        <v>-1.1092474488599999</v>
      </c>
      <c r="AE4280">
        <v>-3.7862</v>
      </c>
      <c r="AF4280">
        <v>-2.0263131853141001</v>
      </c>
      <c r="AG4280">
        <v>-1.1092474488599999</v>
      </c>
      <c r="AH4280">
        <v>7.90333271618276</v>
      </c>
      <c r="AI4280">
        <v>97.742152622957704</v>
      </c>
      <c r="AJ4280">
        <v>104.380153952789</v>
      </c>
      <c r="AK4280">
        <v>8.2340174307846201</v>
      </c>
      <c r="AL4280">
        <v>84.067905948893895</v>
      </c>
      <c r="AM4280">
        <v>99.986219049803594</v>
      </c>
      <c r="AN4280">
        <v>0.99999999715993504</v>
      </c>
    </row>
    <row r="4281" spans="1:40" x14ac:dyDescent="0.25">
      <c r="A4281" t="str">
        <f>"20190312151359998"</f>
        <v>20190312151359998</v>
      </c>
      <c r="B4281" t="str">
        <f>"1552374839994535"</f>
        <v>1552374839994535</v>
      </c>
      <c r="C4281" t="s">
        <v>40</v>
      </c>
      <c r="D4281">
        <v>4.5507400000000002</v>
      </c>
      <c r="E4281">
        <v>0.4767381</v>
      </c>
      <c r="F4281" t="s">
        <v>58</v>
      </c>
      <c r="G4281">
        <v>-402.50920000000002</v>
      </c>
      <c r="H4281" s="1">
        <v>-2.6328399999999999E-6</v>
      </c>
      <c r="I4281">
        <v>131.75360000000001</v>
      </c>
      <c r="J4281">
        <v>-394.99020000000002</v>
      </c>
      <c r="K4281">
        <v>1.1094619999999999</v>
      </c>
      <c r="L4281">
        <v>135.6354</v>
      </c>
      <c r="M4281">
        <v>-0.97536920000000005</v>
      </c>
      <c r="N4281">
        <v>0</v>
      </c>
      <c r="O4281">
        <v>-0.2200773</v>
      </c>
      <c r="P4281">
        <v>-0.91766740000000002</v>
      </c>
      <c r="Q4281">
        <v>9.0681280000000003E-2</v>
      </c>
      <c r="R4281">
        <v>-0.38686369999999998</v>
      </c>
      <c r="S4281">
        <v>-2.727509</v>
      </c>
      <c r="T4281">
        <v>-0.38405549999999999</v>
      </c>
      <c r="U4281">
        <v>-1.3718870000000001</v>
      </c>
      <c r="V4281">
        <v>-0.1751846</v>
      </c>
      <c r="W4281">
        <v>0.1055984</v>
      </c>
      <c r="X4281">
        <v>0.97885610000000001</v>
      </c>
      <c r="Y4281">
        <v>-0.24150840000000001</v>
      </c>
      <c r="Z4281">
        <v>1.2595810000000001E-2</v>
      </c>
      <c r="AA4281">
        <v>0.97031690000000004</v>
      </c>
      <c r="AB4281">
        <v>37</v>
      </c>
      <c r="AC4281">
        <v>-7.5190000000000001</v>
      </c>
      <c r="AD4281">
        <v>-1.10946463284</v>
      </c>
      <c r="AE4281">
        <v>-3.8817999999999899</v>
      </c>
      <c r="AF4281">
        <v>-2.0956371244334302</v>
      </c>
      <c r="AG4281">
        <v>-1.10946463284</v>
      </c>
      <c r="AH4281">
        <v>8.0506067920966995</v>
      </c>
      <c r="AI4281">
        <v>97.596531579377199</v>
      </c>
      <c r="AJ4281">
        <v>104.590743128263</v>
      </c>
      <c r="AK4281">
        <v>8.3925488649027198</v>
      </c>
      <c r="AL4281">
        <v>83.938355759412502</v>
      </c>
      <c r="AM4281">
        <v>100.14672850547799</v>
      </c>
      <c r="AN4281">
        <v>0.99999996533346402</v>
      </c>
    </row>
    <row r="4282" spans="1:40" x14ac:dyDescent="0.25">
      <c r="A4282" t="str">
        <f>"20190312151400021"</f>
        <v>20190312151400021</v>
      </c>
      <c r="B4282" t="str">
        <f>"1552374840015033"</f>
        <v>1552374840015033</v>
      </c>
      <c r="C4282" t="s">
        <v>40</v>
      </c>
      <c r="D4282">
        <v>4.8159960000000002</v>
      </c>
      <c r="E4282">
        <v>0.47604459999999998</v>
      </c>
      <c r="F4282" t="s">
        <v>58</v>
      </c>
      <c r="G4282">
        <v>-402.98989999999998</v>
      </c>
      <c r="H4282" s="1">
        <v>-2.8055589999999998E-6</v>
      </c>
      <c r="I4282">
        <v>131.5625</v>
      </c>
      <c r="J4282">
        <v>-395.35989999999998</v>
      </c>
      <c r="K4282">
        <v>1.109699</v>
      </c>
      <c r="L4282">
        <v>135.5523</v>
      </c>
      <c r="M4282">
        <v>-0.97542099999999998</v>
      </c>
      <c r="N4282">
        <v>0</v>
      </c>
      <c r="O4282">
        <v>-0.2198475</v>
      </c>
      <c r="P4282">
        <v>-0.91676040000000003</v>
      </c>
      <c r="Q4282">
        <v>8.9179199999999903E-2</v>
      </c>
      <c r="R4282">
        <v>-0.38935570000000003</v>
      </c>
      <c r="S4282">
        <v>-2.7221980000000001</v>
      </c>
      <c r="T4282">
        <v>-0.37753740000000002</v>
      </c>
      <c r="U4282">
        <v>-1.3859709999999901</v>
      </c>
      <c r="V4282">
        <v>-0.1781105</v>
      </c>
      <c r="W4282">
        <v>0.1039866</v>
      </c>
      <c r="X4282">
        <v>0.97850060000000005</v>
      </c>
      <c r="Y4282">
        <v>-0.2464568</v>
      </c>
      <c r="Z4282">
        <v>1.203708E-2</v>
      </c>
      <c r="AA4282">
        <v>0.96907900000000002</v>
      </c>
      <c r="AB4282">
        <v>37</v>
      </c>
      <c r="AC4282">
        <v>-7.6299999999999901</v>
      </c>
      <c r="AD4282">
        <v>-1.109701805559</v>
      </c>
      <c r="AE4282">
        <v>-3.9897999999999998</v>
      </c>
      <c r="AF4282">
        <v>-2.1783589621800901</v>
      </c>
      <c r="AG4282">
        <v>-1.109701805559</v>
      </c>
      <c r="AH4282">
        <v>8.18457779389027</v>
      </c>
      <c r="AI4282">
        <v>97.464553972656802</v>
      </c>
      <c r="AJ4282">
        <v>104.903995677922</v>
      </c>
      <c r="AK4282">
        <v>8.54189671733468</v>
      </c>
      <c r="AL4282">
        <v>84.031216560969995</v>
      </c>
      <c r="AM4282">
        <v>100.316255924776</v>
      </c>
      <c r="AN4282">
        <v>0.99999999369508497</v>
      </c>
    </row>
    <row r="4283" spans="1:40" x14ac:dyDescent="0.25">
      <c r="A4283" t="str">
        <f>"20190312151400065"</f>
        <v>20190312151400065</v>
      </c>
      <c r="B4283" t="str">
        <f>"1552374840055047"</f>
        <v>1552374840055047</v>
      </c>
      <c r="C4283" t="s">
        <v>40</v>
      </c>
      <c r="D4283">
        <v>4.5128820000000003</v>
      </c>
      <c r="E4283">
        <v>0.47476049999999997</v>
      </c>
      <c r="F4283" t="s">
        <v>58</v>
      </c>
      <c r="G4283">
        <v>-403.22910000000002</v>
      </c>
      <c r="H4283" s="1">
        <v>-2.9116089999999998E-6</v>
      </c>
      <c r="I4283">
        <v>131.50530000000001</v>
      </c>
      <c r="J4283">
        <v>-396.07069999999999</v>
      </c>
      <c r="K4283">
        <v>1.110217</v>
      </c>
      <c r="L4283">
        <v>135.39179999999999</v>
      </c>
      <c r="M4283">
        <v>-0.97531710000000005</v>
      </c>
      <c r="N4283">
        <v>0</v>
      </c>
      <c r="O4283">
        <v>-0.22030830000000001</v>
      </c>
      <c r="P4283">
        <v>-0.91448249999999998</v>
      </c>
      <c r="Q4283">
        <v>8.4456219999999999E-2</v>
      </c>
      <c r="R4283">
        <v>-0.39571309999999998</v>
      </c>
      <c r="S4283">
        <v>-2.7163390000000001</v>
      </c>
      <c r="T4283">
        <v>-0.38305430000000001</v>
      </c>
      <c r="U4283">
        <v>-1.396957</v>
      </c>
      <c r="V4283">
        <v>-0.1844837</v>
      </c>
      <c r="W4283">
        <v>9.9019910000000003E-2</v>
      </c>
      <c r="X4283">
        <v>0.9778348</v>
      </c>
      <c r="Y4283">
        <v>-0.24991769999999999</v>
      </c>
      <c r="Z4283">
        <v>1.205054E-2</v>
      </c>
      <c r="AA4283">
        <v>0.9681921</v>
      </c>
      <c r="AB4283">
        <v>37</v>
      </c>
      <c r="AC4283">
        <v>-7.1584000000000199</v>
      </c>
      <c r="AD4283">
        <v>-1.1102199116089999</v>
      </c>
      <c r="AE4283">
        <v>-3.8864999999999799</v>
      </c>
      <c r="AF4283">
        <v>-2.1733828440937</v>
      </c>
      <c r="AG4283">
        <v>-1.1102199116089999</v>
      </c>
      <c r="AH4283">
        <v>7.6958324095003201</v>
      </c>
      <c r="AI4283">
        <v>97.903984545262205</v>
      </c>
      <c r="AJ4283">
        <v>105.77022973618401</v>
      </c>
      <c r="AK4283">
        <v>8.0735381162319104</v>
      </c>
      <c r="AL4283">
        <v>84.317264869266296</v>
      </c>
      <c r="AM4283">
        <v>100.68415240738901</v>
      </c>
      <c r="AN4283">
        <v>1.00000003711656</v>
      </c>
    </row>
    <row r="4284" spans="1:40" x14ac:dyDescent="0.25">
      <c r="A4284" t="str">
        <f>"20190312151400091"</f>
        <v>20190312151400091</v>
      </c>
      <c r="B4284" t="str">
        <f>"1552374840084328"</f>
        <v>1552374840084328</v>
      </c>
      <c r="C4284" t="s">
        <v>40</v>
      </c>
      <c r="D4284">
        <v>4.5366369999999998</v>
      </c>
      <c r="E4284">
        <v>0.47423359999999898</v>
      </c>
      <c r="F4284" t="s">
        <v>58</v>
      </c>
      <c r="G4284">
        <v>-403.54450000000003</v>
      </c>
      <c r="H4284" s="1">
        <v>-3.0652150000000001E-6</v>
      </c>
      <c r="I4284">
        <v>131.45599999999999</v>
      </c>
      <c r="J4284">
        <v>-396.47669999999999</v>
      </c>
      <c r="K4284">
        <v>1.110517</v>
      </c>
      <c r="L4284">
        <v>135.29939999999999</v>
      </c>
      <c r="M4284">
        <v>-0.97513669999999997</v>
      </c>
      <c r="N4284">
        <v>0</v>
      </c>
      <c r="O4284">
        <v>-0.22110560000000001</v>
      </c>
      <c r="P4284">
        <v>-0.91308469999999997</v>
      </c>
      <c r="Q4284">
        <v>8.3236840000000006E-2</v>
      </c>
      <c r="R4284">
        <v>-0.3991845</v>
      </c>
      <c r="S4284">
        <v>-2.7019039999999999</v>
      </c>
      <c r="T4284">
        <v>-0.40136729999999998</v>
      </c>
      <c r="U4284">
        <v>-1.422882</v>
      </c>
      <c r="V4284">
        <v>-0.18744859999999999</v>
      </c>
      <c r="W4284">
        <v>9.7655160000000005E-2</v>
      </c>
      <c r="X4284">
        <v>0.9774081</v>
      </c>
      <c r="Y4284">
        <v>-0.2584302</v>
      </c>
      <c r="Z4284">
        <v>1.216157E-2</v>
      </c>
      <c r="AA4284">
        <v>0.96595339999999996</v>
      </c>
      <c r="AB4284">
        <v>37</v>
      </c>
      <c r="AC4284">
        <v>-7.0678000000000303</v>
      </c>
      <c r="AD4284">
        <v>-1.110520065215</v>
      </c>
      <c r="AE4284">
        <v>-3.8433999999999702</v>
      </c>
      <c r="AF4284">
        <v>-2.14449113519</v>
      </c>
      <c r="AG4284">
        <v>-1.110520065215</v>
      </c>
      <c r="AH4284">
        <v>7.5979545421728503</v>
      </c>
      <c r="AI4284">
        <v>98.006969239645002</v>
      </c>
      <c r="AJ4284">
        <v>105.761499543659</v>
      </c>
      <c r="AK4284">
        <v>7.97251593093916</v>
      </c>
      <c r="AL4284">
        <v>84.395840210392706</v>
      </c>
      <c r="AM4284">
        <v>100.856439991832</v>
      </c>
      <c r="AN4284">
        <v>1.00000005093109</v>
      </c>
    </row>
    <row r="4285" spans="1:40" x14ac:dyDescent="0.25">
      <c r="A4285" t="str">
        <f>"20190312151400110"</f>
        <v>20190312151400110</v>
      </c>
      <c r="B4285" t="str">
        <f>"1552374840104823"</f>
        <v>1552374840104823</v>
      </c>
      <c r="C4285" t="s">
        <v>40</v>
      </c>
      <c r="D4285">
        <v>4.5785289999999996</v>
      </c>
      <c r="E4285">
        <v>0.47455380000000003</v>
      </c>
      <c r="F4285" t="s">
        <v>58</v>
      </c>
      <c r="G4285">
        <v>-403.7912</v>
      </c>
      <c r="H4285" s="1">
        <v>-3.175325E-6</v>
      </c>
      <c r="I4285">
        <v>131.39830000000001</v>
      </c>
      <c r="J4285">
        <v>-396.78410000000002</v>
      </c>
      <c r="K4285">
        <v>1.110752</v>
      </c>
      <c r="L4285">
        <v>135.22899999999899</v>
      </c>
      <c r="M4285">
        <v>-0.97494539999999996</v>
      </c>
      <c r="N4285">
        <v>0</v>
      </c>
      <c r="O4285">
        <v>-0.22194829999999999</v>
      </c>
      <c r="P4285">
        <v>-0.91157259999999996</v>
      </c>
      <c r="Q4285">
        <v>8.1206700000000007E-2</v>
      </c>
      <c r="R4285">
        <v>-0.4030396</v>
      </c>
      <c r="S4285">
        <v>-2.69455</v>
      </c>
      <c r="T4285">
        <v>-0.40909719999999999</v>
      </c>
      <c r="U4285">
        <v>-1.4370879999999999</v>
      </c>
      <c r="V4285">
        <v>-0.1907509</v>
      </c>
      <c r="W4285">
        <v>9.5506140000000003E-2</v>
      </c>
      <c r="X4285">
        <v>0.9769814</v>
      </c>
      <c r="Y4285">
        <v>-0.26261069999999997</v>
      </c>
      <c r="Z4285">
        <v>1.222238E-2</v>
      </c>
      <c r="AA4285">
        <v>0.96482440000000003</v>
      </c>
      <c r="AB4285">
        <v>37</v>
      </c>
      <c r="AC4285">
        <v>-7.0070999999999799</v>
      </c>
      <c r="AD4285">
        <v>-1.110755175325</v>
      </c>
      <c r="AE4285">
        <v>-3.83069999999997</v>
      </c>
      <c r="AF4285">
        <v>-2.1383801877957</v>
      </c>
      <c r="AG4285">
        <v>-1.110755175325</v>
      </c>
      <c r="AH4285">
        <v>7.53679587776878</v>
      </c>
      <c r="AI4285">
        <v>98.069689163451699</v>
      </c>
      <c r="AJ4285">
        <v>105.839984572929</v>
      </c>
      <c r="AK4285">
        <v>7.9126316096619203</v>
      </c>
      <c r="AL4285">
        <v>84.519547997741697</v>
      </c>
      <c r="AM4285">
        <v>101.047741034398</v>
      </c>
      <c r="AN4285">
        <v>0.99999999228723402</v>
      </c>
    </row>
    <row r="4286" spans="1:40" x14ac:dyDescent="0.25">
      <c r="A4286" t="str">
        <f>"20190312151400132"</f>
        <v>20190312151400132</v>
      </c>
      <c r="B4286" t="str">
        <f>"1552374840124344"</f>
        <v>1552374840124344</v>
      </c>
      <c r="C4286" t="s">
        <v>40</v>
      </c>
      <c r="D4286">
        <v>4.5533469999999996</v>
      </c>
      <c r="E4286">
        <v>0.47482750000000001</v>
      </c>
      <c r="F4286" t="s">
        <v>58</v>
      </c>
      <c r="G4286">
        <v>-403.89519999999999</v>
      </c>
      <c r="H4286" s="1">
        <v>-3.2397730000000002E-6</v>
      </c>
      <c r="I4286">
        <v>131.40809999999999</v>
      </c>
      <c r="J4286">
        <v>-397.13499999999999</v>
      </c>
      <c r="K4286">
        <v>1.111022</v>
      </c>
      <c r="L4286">
        <v>135.14789999999999</v>
      </c>
      <c r="M4286">
        <v>-0.97467090000000001</v>
      </c>
      <c r="N4286">
        <v>0</v>
      </c>
      <c r="O4286">
        <v>-0.2231513</v>
      </c>
      <c r="P4286">
        <v>-0.90980269999999996</v>
      </c>
      <c r="Q4286">
        <v>8.0931970000000006E-2</v>
      </c>
      <c r="R4286">
        <v>-0.40707409999999999</v>
      </c>
      <c r="S4286">
        <v>-2.6894840000000002</v>
      </c>
      <c r="T4286">
        <v>-0.42009649999999998</v>
      </c>
      <c r="U4286">
        <v>-1.445084</v>
      </c>
      <c r="V4286">
        <v>-0.19393250000000001</v>
      </c>
      <c r="W4286">
        <v>9.5091300000000004E-2</v>
      </c>
      <c r="X4286">
        <v>0.97639529999999997</v>
      </c>
      <c r="Y4286">
        <v>-0.26437620000000001</v>
      </c>
      <c r="Z4286">
        <v>1.259614E-2</v>
      </c>
      <c r="AA4286">
        <v>0.96433729999999995</v>
      </c>
      <c r="AB4286">
        <v>37</v>
      </c>
      <c r="AC4286">
        <v>-6.7601999999999904</v>
      </c>
      <c r="AD4286">
        <v>-1.1110252397730001</v>
      </c>
      <c r="AE4286">
        <v>-3.7397999999999998</v>
      </c>
      <c r="AF4286">
        <v>-2.0934669368582699</v>
      </c>
      <c r="AG4286">
        <v>-1.1110252397730001</v>
      </c>
      <c r="AH4286">
        <v>7.2738969046221396</v>
      </c>
      <c r="AI4286">
        <v>98.350425842214506</v>
      </c>
      <c r="AJ4286">
        <v>106.056105153308</v>
      </c>
      <c r="AK4286">
        <v>7.6502651639144501</v>
      </c>
      <c r="AL4286">
        <v>84.543425161530394</v>
      </c>
      <c r="AM4286">
        <v>101.23393410642301</v>
      </c>
      <c r="AN4286">
        <v>0.99999997587701495</v>
      </c>
    </row>
    <row r="4287" spans="1:40" x14ac:dyDescent="0.25">
      <c r="A4287" t="str">
        <f>"20190312151400154"</f>
        <v>20190312151400154</v>
      </c>
      <c r="B4287" t="str">
        <f>"1552374840144839"</f>
        <v>1552374840144839</v>
      </c>
      <c r="C4287" t="s">
        <v>40</v>
      </c>
      <c r="D4287">
        <v>4.5544200000000004</v>
      </c>
      <c r="E4287">
        <v>0.47501919999999997</v>
      </c>
      <c r="F4287" t="s">
        <v>58</v>
      </c>
      <c r="G4287">
        <v>-404.16379999999998</v>
      </c>
      <c r="H4287" s="1">
        <v>-3.3467519999999998E-6</v>
      </c>
      <c r="I4287">
        <v>131.33690000000001</v>
      </c>
      <c r="J4287">
        <v>-397.49650000000003</v>
      </c>
      <c r="K4287">
        <v>1.1113040000000001</v>
      </c>
      <c r="L4287">
        <v>135.06370000000001</v>
      </c>
      <c r="M4287">
        <v>-0.97432640000000004</v>
      </c>
      <c r="N4287">
        <v>0</v>
      </c>
      <c r="O4287">
        <v>-0.22465019999999999</v>
      </c>
      <c r="P4287">
        <v>-0.90713140000000003</v>
      </c>
      <c r="Q4287">
        <v>8.204591E-2</v>
      </c>
      <c r="R4287">
        <v>-0.41277259999999999</v>
      </c>
      <c r="S4287">
        <v>-2.6839900000000001</v>
      </c>
      <c r="T4287">
        <v>-0.42424879999999998</v>
      </c>
      <c r="U4287">
        <v>-1.455276</v>
      </c>
      <c r="V4287">
        <v>-0.19864680000000001</v>
      </c>
      <c r="W4287">
        <v>9.6048179999999997E-2</v>
      </c>
      <c r="X4287">
        <v>0.97535340000000004</v>
      </c>
      <c r="Y4287">
        <v>-0.26653480000000002</v>
      </c>
      <c r="Z4287">
        <v>1.2779479999999999E-2</v>
      </c>
      <c r="AA4287">
        <v>0.96374059999999995</v>
      </c>
      <c r="AB4287">
        <v>37</v>
      </c>
      <c r="AC4287">
        <v>-6.6672999999999503</v>
      </c>
      <c r="AD4287">
        <v>-1.111307346752</v>
      </c>
      <c r="AE4287">
        <v>-3.7267999999999901</v>
      </c>
      <c r="AF4287">
        <v>-2.0893169763484498</v>
      </c>
      <c r="AG4287">
        <v>-1.111307346752</v>
      </c>
      <c r="AH4287">
        <v>7.1821268898529897</v>
      </c>
      <c r="AI4287">
        <v>98.450811226532096</v>
      </c>
      <c r="AJ4287">
        <v>106.21998019166899</v>
      </c>
      <c r="AK4287">
        <v>7.5619571612481504</v>
      </c>
      <c r="AL4287">
        <v>84.488348165512605</v>
      </c>
      <c r="AM4287">
        <v>101.51178373524399</v>
      </c>
      <c r="AN4287">
        <v>1.0000000294615501</v>
      </c>
    </row>
    <row r="4288" spans="1:40" x14ac:dyDescent="0.25">
      <c r="A4288" t="str">
        <f>"20190312151400177"</f>
        <v>20190312151400177</v>
      </c>
      <c r="B4288" t="str">
        <f>"1552374840164360"</f>
        <v>1552374840164360</v>
      </c>
      <c r="C4288" t="s">
        <v>40</v>
      </c>
      <c r="D4288">
        <v>4.5756610000000002</v>
      </c>
      <c r="E4288">
        <v>0.47517959999999898</v>
      </c>
      <c r="F4288" t="s">
        <v>58</v>
      </c>
      <c r="G4288">
        <v>-404.50799999999998</v>
      </c>
      <c r="H4288" s="1">
        <v>-3.4401290000000001E-6</v>
      </c>
      <c r="I4288">
        <v>131.2099</v>
      </c>
      <c r="J4288">
        <v>-397.84829999999999</v>
      </c>
      <c r="K4288">
        <v>1.1115729999999999</v>
      </c>
      <c r="L4288">
        <v>134.98089999999999</v>
      </c>
      <c r="M4288">
        <v>-0.97392939999999995</v>
      </c>
      <c r="N4288">
        <v>0</v>
      </c>
      <c r="O4288">
        <v>-0.22636510000000001</v>
      </c>
      <c r="P4288">
        <v>-0.9043388</v>
      </c>
      <c r="Q4288">
        <v>8.3691500000000002E-2</v>
      </c>
      <c r="R4288">
        <v>-0.4185296</v>
      </c>
      <c r="S4288">
        <v>-2.6761780000000002</v>
      </c>
      <c r="T4288">
        <v>-0.42416559999999998</v>
      </c>
      <c r="U4288">
        <v>-1.4709319999999999</v>
      </c>
      <c r="V4288">
        <v>-0.2032332</v>
      </c>
      <c r="W4288">
        <v>9.7537479999999996E-2</v>
      </c>
      <c r="X4288">
        <v>0.97426009999999996</v>
      </c>
      <c r="Y4288">
        <v>-0.27033499999999999</v>
      </c>
      <c r="Z4288">
        <v>1.274832E-2</v>
      </c>
      <c r="AA4288">
        <v>0.96268189999999998</v>
      </c>
      <c r="AB4288">
        <v>37</v>
      </c>
      <c r="AC4288">
        <v>-6.6597000000000399</v>
      </c>
      <c r="AD4288">
        <v>-1.111576440129</v>
      </c>
      <c r="AE4288">
        <v>-3.7709999999999799</v>
      </c>
      <c r="AF4288">
        <v>-2.1206663559167702</v>
      </c>
      <c r="AG4288">
        <v>-1.111576440129</v>
      </c>
      <c r="AH4288">
        <v>7.1888572597615399</v>
      </c>
      <c r="AI4288">
        <v>98.435852291024403</v>
      </c>
      <c r="AJ4288">
        <v>106.435718023574</v>
      </c>
      <c r="AK4288">
        <v>7.5771034489832196</v>
      </c>
      <c r="AL4288">
        <v>84.4026149354263</v>
      </c>
      <c r="AM4288">
        <v>101.783074790287</v>
      </c>
      <c r="AN4288">
        <v>1.0000000180194999</v>
      </c>
    </row>
    <row r="4289" spans="1:40" x14ac:dyDescent="0.25">
      <c r="A4289" t="str">
        <f>"20190312151400198"</f>
        <v>20190312151400198</v>
      </c>
      <c r="B4289" t="str">
        <f>"1552374840194616"</f>
        <v>1552374840194616</v>
      </c>
      <c r="C4289" t="s">
        <v>40</v>
      </c>
      <c r="D4289">
        <v>4.5543189999999996</v>
      </c>
      <c r="E4289">
        <v>0.4752073</v>
      </c>
      <c r="F4289" t="s">
        <v>58</v>
      </c>
      <c r="G4289">
        <v>-404.88130000000001</v>
      </c>
      <c r="H4289" s="1">
        <v>-3.5351420000000001E-6</v>
      </c>
      <c r="I4289">
        <v>131.05889999999999</v>
      </c>
      <c r="J4289">
        <v>-398.19450000000001</v>
      </c>
      <c r="K4289">
        <v>1.111829</v>
      </c>
      <c r="L4289">
        <v>134.89859999999999</v>
      </c>
      <c r="M4289">
        <v>-0.97347589999999995</v>
      </c>
      <c r="N4289">
        <v>0</v>
      </c>
      <c r="O4289">
        <v>-0.22830800000000001</v>
      </c>
      <c r="P4289">
        <v>-0.90154389999999995</v>
      </c>
      <c r="Q4289">
        <v>8.3751019999999995E-2</v>
      </c>
      <c r="R4289">
        <v>-0.42450539999999998</v>
      </c>
      <c r="S4289">
        <v>-2.6678160000000002</v>
      </c>
      <c r="T4289">
        <v>-0.42165570000000002</v>
      </c>
      <c r="U4289">
        <v>-1.4877469999999999</v>
      </c>
      <c r="V4289">
        <v>-0.20780290000000001</v>
      </c>
      <c r="W4289">
        <v>9.7439709999999999E-2</v>
      </c>
      <c r="X4289">
        <v>0.97330539999999999</v>
      </c>
      <c r="Y4289">
        <v>-0.27431129999999998</v>
      </c>
      <c r="Z4289">
        <v>1.266405E-2</v>
      </c>
      <c r="AA4289">
        <v>0.96155760000000001</v>
      </c>
      <c r="AB4289">
        <v>37</v>
      </c>
      <c r="AC4289">
        <v>-6.6867999999999999</v>
      </c>
      <c r="AD4289">
        <v>-1.111832535142</v>
      </c>
      <c r="AE4289">
        <v>-3.8396999999999899</v>
      </c>
      <c r="AF4289">
        <v>-2.1664067807472098</v>
      </c>
      <c r="AG4289">
        <v>-1.111832535142</v>
      </c>
      <c r="AH4289">
        <v>7.2364321245801202</v>
      </c>
      <c r="AI4289">
        <v>98.373204242862798</v>
      </c>
      <c r="AJ4289">
        <v>106.66638487180499</v>
      </c>
      <c r="AK4289">
        <v>7.6351450424679497</v>
      </c>
      <c r="AL4289">
        <v>84.408243296674996</v>
      </c>
      <c r="AM4289">
        <v>102.05183214643399</v>
      </c>
      <c r="AN4289">
        <v>0.99999997200122603</v>
      </c>
    </row>
    <row r="4290" spans="1:40" x14ac:dyDescent="0.25">
      <c r="A4290" t="str">
        <f>"20190312151400221"</f>
        <v>20190312151400221</v>
      </c>
      <c r="B4290" t="str">
        <f>"1552374840215113"</f>
        <v>1552374840215113</v>
      </c>
      <c r="C4290" t="s">
        <v>40</v>
      </c>
      <c r="D4290">
        <v>4.5270630000000001</v>
      </c>
      <c r="E4290">
        <v>0.47513810000000001</v>
      </c>
      <c r="F4290" t="s">
        <v>58</v>
      </c>
      <c r="G4290">
        <v>-405.1028</v>
      </c>
      <c r="H4290" s="1">
        <v>-3.6342899999999998E-6</v>
      </c>
      <c r="I4290">
        <v>130.98679999999999</v>
      </c>
      <c r="J4290">
        <v>-398.56229999999999</v>
      </c>
      <c r="K4290">
        <v>1.1120939999999999</v>
      </c>
      <c r="L4290">
        <v>134.81010000000001</v>
      </c>
      <c r="M4290">
        <v>-0.97292409999999996</v>
      </c>
      <c r="N4290">
        <v>0</v>
      </c>
      <c r="O4290">
        <v>-0.23064809999999999</v>
      </c>
      <c r="P4290">
        <v>-0.89858079999999996</v>
      </c>
      <c r="Q4290">
        <v>8.290496E-2</v>
      </c>
      <c r="R4290">
        <v>-0.43090580000000001</v>
      </c>
      <c r="S4290">
        <v>-2.6585079999999999</v>
      </c>
      <c r="T4290">
        <v>-0.42786809999999997</v>
      </c>
      <c r="U4290">
        <v>-1.5053859999999999</v>
      </c>
      <c r="V4290">
        <v>-0.2124298</v>
      </c>
      <c r="W4290">
        <v>9.6424560000000006E-2</v>
      </c>
      <c r="X4290">
        <v>0.97240729999999997</v>
      </c>
      <c r="Y4290">
        <v>-0.27824339999999997</v>
      </c>
      <c r="Z4290">
        <v>1.290057E-2</v>
      </c>
      <c r="AA4290">
        <v>0.9604239</v>
      </c>
      <c r="AB4290">
        <v>37</v>
      </c>
      <c r="AC4290">
        <v>-6.5404999999999998</v>
      </c>
      <c r="AD4290">
        <v>-1.11209763429</v>
      </c>
      <c r="AE4290">
        <v>-3.8233000000000099</v>
      </c>
      <c r="AF4290">
        <v>-2.16482275720624</v>
      </c>
      <c r="AG4290">
        <v>-1.11209763429</v>
      </c>
      <c r="AH4290">
        <v>7.0932006603755902</v>
      </c>
      <c r="AI4290">
        <v>98.528259610334601</v>
      </c>
      <c r="AJ4290">
        <v>106.97202600582401</v>
      </c>
      <c r="AK4290">
        <v>7.4991142361391097</v>
      </c>
      <c r="AL4290">
        <v>84.4666826585824</v>
      </c>
      <c r="AM4290">
        <v>102.323100047743</v>
      </c>
      <c r="AN4290">
        <v>1.00000003639626</v>
      </c>
    </row>
    <row r="4291" spans="1:40" x14ac:dyDescent="0.25">
      <c r="A4291" t="str">
        <f>"20190312151400244"</f>
        <v>20190312151400244</v>
      </c>
      <c r="B4291" t="str">
        <f>"1552374840234632"</f>
        <v>1552374840234632</v>
      </c>
      <c r="C4291" t="s">
        <v>40</v>
      </c>
      <c r="D4291">
        <v>4.5408609999999996</v>
      </c>
      <c r="E4291">
        <v>0.47508509999999998</v>
      </c>
      <c r="F4291" t="s">
        <v>58</v>
      </c>
      <c r="G4291">
        <v>-405.32369999999997</v>
      </c>
      <c r="H4291" s="1">
        <v>-3.7525819999999998E-6</v>
      </c>
      <c r="I4291">
        <v>130.91730000000001</v>
      </c>
      <c r="J4291">
        <v>-398.92160000000001</v>
      </c>
      <c r="K4291">
        <v>1.11236</v>
      </c>
      <c r="L4291">
        <v>134.72239999999999</v>
      </c>
      <c r="M4291">
        <v>-0.97231480000000003</v>
      </c>
      <c r="N4291">
        <v>0</v>
      </c>
      <c r="O4291">
        <v>-0.23320250000000001</v>
      </c>
      <c r="P4291">
        <v>-0.89567699999999995</v>
      </c>
      <c r="Q4291">
        <v>8.2211480000000003E-2</v>
      </c>
      <c r="R4291">
        <v>-0.4370404</v>
      </c>
      <c r="S4291">
        <v>-2.6477970000000002</v>
      </c>
      <c r="T4291">
        <v>-0.43550129999999998</v>
      </c>
      <c r="U4291">
        <v>-1.5244139999999999</v>
      </c>
      <c r="V4291">
        <v>-0.21657219999999999</v>
      </c>
      <c r="W4291">
        <v>9.5564999999999997E-2</v>
      </c>
      <c r="X4291">
        <v>0.97157800000000005</v>
      </c>
      <c r="Y4291">
        <v>-0.28254689999999999</v>
      </c>
      <c r="Z4291">
        <v>1.318689E-2</v>
      </c>
      <c r="AA4291">
        <v>0.95916279999999998</v>
      </c>
      <c r="AB4291">
        <v>37</v>
      </c>
      <c r="AC4291">
        <v>-6.4020999999999599</v>
      </c>
      <c r="AD4291">
        <v>-1.112363752582</v>
      </c>
      <c r="AE4291">
        <v>-3.8050999999999799</v>
      </c>
      <c r="AF4291">
        <v>-2.1588520408037701</v>
      </c>
      <c r="AG4291">
        <v>-1.112363752582</v>
      </c>
      <c r="AH4291">
        <v>6.9577824107064599</v>
      </c>
      <c r="AI4291">
        <v>98.681559037404696</v>
      </c>
      <c r="AJ4291">
        <v>107.238006061584</v>
      </c>
      <c r="AK4291">
        <v>7.36944579509729</v>
      </c>
      <c r="AL4291">
        <v>84.516160106325799</v>
      </c>
      <c r="AM4291">
        <v>102.566228046082</v>
      </c>
      <c r="AN4291">
        <v>0.99999999856092003</v>
      </c>
    </row>
    <row r="4292" spans="1:40" x14ac:dyDescent="0.25">
      <c r="A4292" t="str">
        <f>"20190312151400267"</f>
        <v>20190312151400267</v>
      </c>
      <c r="B4292" t="str">
        <f>"1552374840264887"</f>
        <v>1552374840264887</v>
      </c>
      <c r="C4292" t="s">
        <v>40</v>
      </c>
      <c r="D4292">
        <v>4.550224</v>
      </c>
      <c r="E4292">
        <v>0.47500039999999999</v>
      </c>
      <c r="F4292" t="s">
        <v>58</v>
      </c>
      <c r="G4292">
        <v>-405.59359999999998</v>
      </c>
      <c r="H4292" s="1">
        <v>-3.8903590000000004E-6</v>
      </c>
      <c r="I4292">
        <v>130.81819999999999</v>
      </c>
      <c r="J4292">
        <v>-399.28190000000001</v>
      </c>
      <c r="K4292">
        <v>1.112608</v>
      </c>
      <c r="L4292">
        <v>134.63319999999999</v>
      </c>
      <c r="M4292">
        <v>-0.97163219999999995</v>
      </c>
      <c r="N4292">
        <v>0</v>
      </c>
      <c r="O4292">
        <v>-0.23602989999999999</v>
      </c>
      <c r="P4292">
        <v>-0.89253179999999999</v>
      </c>
      <c r="Q4292">
        <v>8.0984349999999997E-2</v>
      </c>
      <c r="R4292">
        <v>-0.44365389999999999</v>
      </c>
      <c r="S4292">
        <v>-2.6368710000000002</v>
      </c>
      <c r="T4292">
        <v>-0.43962570000000001</v>
      </c>
      <c r="U4292">
        <v>-1.543015</v>
      </c>
      <c r="V4292">
        <v>-0.2209632</v>
      </c>
      <c r="W4292">
        <v>9.4168950000000001E-2</v>
      </c>
      <c r="X4292">
        <v>0.97072519999999995</v>
      </c>
      <c r="Y4292">
        <v>-0.28650439999999999</v>
      </c>
      <c r="Z4292">
        <v>1.343659E-2</v>
      </c>
      <c r="AA4292">
        <v>0.95798470000000002</v>
      </c>
      <c r="AB4292">
        <v>37</v>
      </c>
      <c r="AC4292">
        <v>-6.3116999999999699</v>
      </c>
      <c r="AD4292">
        <v>-1.1126118903589901</v>
      </c>
      <c r="AE4292">
        <v>-3.8149999999999902</v>
      </c>
      <c r="AF4292">
        <v>-2.16793161138055</v>
      </c>
      <c r="AG4292">
        <v>-1.1126118903589901</v>
      </c>
      <c r="AH4292">
        <v>6.8773592918645798</v>
      </c>
      <c r="AI4292">
        <v>98.771253743930004</v>
      </c>
      <c r="AJ4292">
        <v>107.4962758867</v>
      </c>
      <c r="AK4292">
        <v>7.2962938208098098</v>
      </c>
      <c r="AL4292">
        <v>84.596510116164595</v>
      </c>
      <c r="AM4292">
        <v>102.82356229468699</v>
      </c>
      <c r="AN4292">
        <v>0.99999997040668998</v>
      </c>
    </row>
    <row r="4293" spans="1:40" x14ac:dyDescent="0.25">
      <c r="A4293" t="str">
        <f>"20190312151400288"</f>
        <v>20190312151400288</v>
      </c>
      <c r="B4293" t="str">
        <f>"1552374840284408"</f>
        <v>1552374840284408</v>
      </c>
      <c r="C4293" t="s">
        <v>40</v>
      </c>
      <c r="D4293">
        <v>4.5007000000000001</v>
      </c>
      <c r="E4293">
        <v>0.4749351</v>
      </c>
      <c r="F4293" t="s">
        <v>58</v>
      </c>
      <c r="G4293">
        <v>-405.82249999999999</v>
      </c>
      <c r="H4293" s="1">
        <v>-4.0094129999999998E-6</v>
      </c>
      <c r="I4293">
        <v>130.73859999999999</v>
      </c>
      <c r="J4293">
        <v>-399.6112</v>
      </c>
      <c r="K4293">
        <v>1.112824</v>
      </c>
      <c r="L4293">
        <v>134.5504</v>
      </c>
      <c r="M4293">
        <v>-0.97094769999999997</v>
      </c>
      <c r="N4293">
        <v>0</v>
      </c>
      <c r="O4293">
        <v>-0.2388306</v>
      </c>
      <c r="P4293">
        <v>-0.88927420000000001</v>
      </c>
      <c r="Q4293">
        <v>7.916898E-2</v>
      </c>
      <c r="R4293">
        <v>-0.45047130000000002</v>
      </c>
      <c r="S4293">
        <v>-2.6248170000000002</v>
      </c>
      <c r="T4293">
        <v>-0.44650390000000001</v>
      </c>
      <c r="U4293">
        <v>-1.562927</v>
      </c>
      <c r="V4293">
        <v>-0.22559660000000001</v>
      </c>
      <c r="W4293">
        <v>9.2194890000000002E-2</v>
      </c>
      <c r="X4293">
        <v>0.96984859999999995</v>
      </c>
      <c r="Y4293">
        <v>-0.29100199999999998</v>
      </c>
      <c r="Z4293">
        <v>1.372865E-2</v>
      </c>
      <c r="AA4293">
        <v>0.95662389999999997</v>
      </c>
      <c r="AB4293">
        <v>36</v>
      </c>
      <c r="AC4293">
        <v>-6.2112999999999898</v>
      </c>
      <c r="AD4293">
        <v>-1.1128280094130001</v>
      </c>
      <c r="AE4293">
        <v>-3.8117999999999999</v>
      </c>
      <c r="AF4293">
        <v>-2.1673183512355698</v>
      </c>
      <c r="AG4293">
        <v>-1.1128280094130001</v>
      </c>
      <c r="AH4293">
        <v>6.7838069344564396</v>
      </c>
      <c r="AI4293">
        <v>98.881261569396102</v>
      </c>
      <c r="AJ4293">
        <v>107.71785361191</v>
      </c>
      <c r="AK4293">
        <v>7.2080296571334896</v>
      </c>
      <c r="AL4293">
        <v>84.710109943690099</v>
      </c>
      <c r="AM4293">
        <v>103.094718526775</v>
      </c>
      <c r="AN4293">
        <v>1.0000000152978099</v>
      </c>
    </row>
    <row r="4294" spans="1:40" x14ac:dyDescent="0.25">
      <c r="A4294" t="str">
        <f>"20190312151400310"</f>
        <v>20190312151400310</v>
      </c>
      <c r="B4294" t="str">
        <f>"1552374840304903"</f>
        <v>1552374840304903</v>
      </c>
      <c r="C4294" t="s">
        <v>40</v>
      </c>
      <c r="D4294">
        <v>4.530805</v>
      </c>
      <c r="E4294">
        <v>0.47120859999999898</v>
      </c>
      <c r="F4294" t="s">
        <v>58</v>
      </c>
      <c r="G4294">
        <v>-406.00459999999998</v>
      </c>
      <c r="H4294" s="1">
        <v>-4.1058679999999999E-6</v>
      </c>
      <c r="I4294">
        <v>130.67930000000001</v>
      </c>
      <c r="J4294">
        <v>-399.96910000000003</v>
      </c>
      <c r="K4294">
        <v>1.1130310000000001</v>
      </c>
      <c r="L4294">
        <v>134.45910000000001</v>
      </c>
      <c r="M4294">
        <v>-0.97014619999999996</v>
      </c>
      <c r="N4294">
        <v>0</v>
      </c>
      <c r="O4294">
        <v>-0.24206569999999999</v>
      </c>
      <c r="P4294">
        <v>-0.88559779999999999</v>
      </c>
      <c r="Q4294">
        <v>7.6911859999999999E-2</v>
      </c>
      <c r="R4294">
        <v>-0.45804089999999997</v>
      </c>
      <c r="S4294">
        <v>-2.6126710000000002</v>
      </c>
      <c r="T4294">
        <v>-0.45476149999999999</v>
      </c>
      <c r="U4294">
        <v>-1.581955</v>
      </c>
      <c r="V4294">
        <v>-0.2306269</v>
      </c>
      <c r="W4294">
        <v>8.9774030000000005E-2</v>
      </c>
      <c r="X4294">
        <v>0.96889210000000003</v>
      </c>
      <c r="Y4294">
        <v>-0.29484850000000001</v>
      </c>
      <c r="Z4294">
        <v>1.4183680000000001E-2</v>
      </c>
      <c r="AA4294">
        <v>0.95543869999999997</v>
      </c>
      <c r="AB4294">
        <v>36</v>
      </c>
      <c r="AC4294">
        <v>-6.0354999999999501</v>
      </c>
      <c r="AD4294">
        <v>-1.1130351058679999</v>
      </c>
      <c r="AE4294">
        <v>-3.7797999999999901</v>
      </c>
      <c r="AF4294">
        <v>-2.15360600579519</v>
      </c>
      <c r="AG4294">
        <v>-1.1130351058679999</v>
      </c>
      <c r="AH4294">
        <v>6.60956531695465</v>
      </c>
      <c r="AI4294">
        <v>99.096572240026006</v>
      </c>
      <c r="AJ4294">
        <v>108.04725228312699</v>
      </c>
      <c r="AK4294">
        <v>7.0401150313174297</v>
      </c>
      <c r="AL4294">
        <v>84.849392775838098</v>
      </c>
      <c r="AM4294">
        <v>103.38904506233099</v>
      </c>
      <c r="AN4294">
        <v>1.00000002245423</v>
      </c>
    </row>
    <row r="4295" spans="1:40" x14ac:dyDescent="0.25">
      <c r="A4295" t="str">
        <f>"20190312151400332"</f>
        <v>20190312151400332</v>
      </c>
      <c r="B4295" t="str">
        <f>"1552374840324424"</f>
        <v>1552374840324424</v>
      </c>
      <c r="C4295" t="s">
        <v>40</v>
      </c>
      <c r="D4295">
        <v>4.5041699999999896</v>
      </c>
      <c r="E4295">
        <v>0.47152529999999998</v>
      </c>
      <c r="F4295" t="s">
        <v>58</v>
      </c>
      <c r="G4295">
        <v>-404.96080000000001</v>
      </c>
      <c r="H4295" s="1">
        <v>-3.6866500000000001E-6</v>
      </c>
      <c r="I4295">
        <v>131.30629999999999</v>
      </c>
      <c r="J4295">
        <v>-400.30759999999998</v>
      </c>
      <c r="K4295">
        <v>1.1132120000000001</v>
      </c>
      <c r="L4295">
        <v>134.37139999999999</v>
      </c>
      <c r="M4295">
        <v>-0.96933579999999997</v>
      </c>
      <c r="N4295">
        <v>0</v>
      </c>
      <c r="O4295">
        <v>-0.24529029999999999</v>
      </c>
      <c r="P4295">
        <v>-0.88189399999999996</v>
      </c>
      <c r="Q4295">
        <v>7.5692540000000003E-2</v>
      </c>
      <c r="R4295">
        <v>-0.46533170000000001</v>
      </c>
      <c r="S4295">
        <v>-2.5912480000000002</v>
      </c>
      <c r="T4295">
        <v>-0.57778240000000003</v>
      </c>
      <c r="U4295">
        <v>-1.6366270000000001</v>
      </c>
      <c r="V4295">
        <v>-0.23540749999999999</v>
      </c>
      <c r="W4295">
        <v>8.8404800000000006E-2</v>
      </c>
      <c r="X4295">
        <v>0.9678677</v>
      </c>
      <c r="Y4295">
        <v>-0.30912469999999997</v>
      </c>
      <c r="Z4295">
        <v>1.7135399999999999E-2</v>
      </c>
      <c r="AA4295">
        <v>0.95086709999999997</v>
      </c>
      <c r="AB4295">
        <v>36</v>
      </c>
      <c r="AC4295">
        <v>-4.6532000000000204</v>
      </c>
      <c r="AD4295">
        <v>-1.11321568665</v>
      </c>
      <c r="AE4295">
        <v>-3.0651000000000002</v>
      </c>
      <c r="AF4295">
        <v>-1.7596901015022699</v>
      </c>
      <c r="AG4295">
        <v>-1.11321568665</v>
      </c>
      <c r="AH4295">
        <v>5.0609261458004804</v>
      </c>
      <c r="AI4295">
        <v>101.736925625838</v>
      </c>
      <c r="AJ4295">
        <v>109.17262462124501</v>
      </c>
      <c r="AK4295">
        <v>5.4725434554305403</v>
      </c>
      <c r="AL4295">
        <v>84.928156922600706</v>
      </c>
      <c r="AM4295">
        <v>103.670201693149</v>
      </c>
      <c r="AN4295">
        <v>0.99999999221128899</v>
      </c>
    </row>
    <row r="4296" spans="1:40" x14ac:dyDescent="0.25">
      <c r="A4296" t="str">
        <f>"20190312151400355"</f>
        <v>20190312151400355</v>
      </c>
      <c r="B4296" t="str">
        <f>"1552374840344920"</f>
        <v>1552374840344920</v>
      </c>
      <c r="C4296" t="s">
        <v>40</v>
      </c>
      <c r="D4296">
        <v>4.6705759999999996</v>
      </c>
      <c r="E4296">
        <v>0.47322829999999999</v>
      </c>
      <c r="F4296" t="s">
        <v>58</v>
      </c>
      <c r="G4296">
        <v>-405.27179999999998</v>
      </c>
      <c r="H4296" s="1">
        <v>-3.8439179999999998E-6</v>
      </c>
      <c r="I4296">
        <v>131.18879999999999</v>
      </c>
      <c r="J4296">
        <v>-400.66590000000002</v>
      </c>
      <c r="K4296">
        <v>1.1133879999999901</v>
      </c>
      <c r="L4296">
        <v>134.27709999999999</v>
      </c>
      <c r="M4296">
        <v>-0.96842010000000001</v>
      </c>
      <c r="N4296">
        <v>0</v>
      </c>
      <c r="O4296">
        <v>-0.2488802</v>
      </c>
      <c r="P4296">
        <v>-0.87786919999999902</v>
      </c>
      <c r="Q4296">
        <v>7.4720179999999997E-2</v>
      </c>
      <c r="R4296">
        <v>-0.4730356</v>
      </c>
      <c r="S4296">
        <v>-2.5790099999999998</v>
      </c>
      <c r="T4296">
        <v>-0.57833970000000001</v>
      </c>
      <c r="U4296">
        <v>-1.653427</v>
      </c>
      <c r="V4296">
        <v>-0.24031</v>
      </c>
      <c r="W4296">
        <v>8.7276690000000004E-2</v>
      </c>
      <c r="X4296">
        <v>0.96676470000000003</v>
      </c>
      <c r="Y4296">
        <v>-0.31204270000000001</v>
      </c>
      <c r="Z4296">
        <v>1.7572259999999999E-2</v>
      </c>
      <c r="AA4296">
        <v>0.94990560000000002</v>
      </c>
      <c r="AB4296">
        <v>36</v>
      </c>
      <c r="AC4296">
        <v>-4.6058999999999601</v>
      </c>
      <c r="AD4296">
        <v>-1.11339184391799</v>
      </c>
      <c r="AE4296">
        <v>-3.0882999999999998</v>
      </c>
      <c r="AF4296">
        <v>-1.77317975965431</v>
      </c>
      <c r="AG4296">
        <v>-1.11339184391799</v>
      </c>
      <c r="AH4296">
        <v>5.02699769389847</v>
      </c>
      <c r="AI4296">
        <v>101.797732066965</v>
      </c>
      <c r="AJ4296">
        <v>109.429344416554</v>
      </c>
      <c r="AK4296">
        <v>5.4455958051081401</v>
      </c>
      <c r="AL4296">
        <v>84.993043981064901</v>
      </c>
      <c r="AM4296">
        <v>103.95917666005199</v>
      </c>
      <c r="AN4296">
        <v>1.00000005094172</v>
      </c>
    </row>
    <row r="4297" spans="1:40" x14ac:dyDescent="0.25">
      <c r="A4297" t="str">
        <f>"20190312151400377"</f>
        <v>20190312151400377</v>
      </c>
      <c r="B4297" t="str">
        <f>"1552374840364440"</f>
        <v>1552374840364440</v>
      </c>
      <c r="C4297" t="s">
        <v>40</v>
      </c>
      <c r="D4297">
        <v>4.4948730000000001</v>
      </c>
      <c r="E4297">
        <v>0.47426889999999999</v>
      </c>
      <c r="F4297" t="s">
        <v>58</v>
      </c>
      <c r="G4297">
        <v>-405.58319999999998</v>
      </c>
      <c r="H4297" s="1">
        <v>-4.0142350000000004E-6</v>
      </c>
      <c r="I4297">
        <v>131.0986</v>
      </c>
      <c r="J4297">
        <v>-401.00189999999998</v>
      </c>
      <c r="K4297">
        <v>1.1135440000000001</v>
      </c>
      <c r="L4297">
        <v>134.18729999999999</v>
      </c>
      <c r="M4297">
        <v>-0.9675068</v>
      </c>
      <c r="N4297">
        <v>0</v>
      </c>
      <c r="O4297">
        <v>-0.25240810000000002</v>
      </c>
      <c r="P4297">
        <v>-0.87433179999999999</v>
      </c>
      <c r="Q4297">
        <v>7.2539790000000007E-2</v>
      </c>
      <c r="R4297">
        <v>-0.47987740000000001</v>
      </c>
      <c r="S4297">
        <v>-2.5713200000000001</v>
      </c>
      <c r="T4297">
        <v>-0.58220830000000001</v>
      </c>
      <c r="U4297">
        <v>-1.6621090000000001</v>
      </c>
      <c r="V4297">
        <v>-0.24431149999999999</v>
      </c>
      <c r="W4297">
        <v>8.4957420000000006E-2</v>
      </c>
      <c r="X4297">
        <v>0.96596800000000005</v>
      </c>
      <c r="Y4297">
        <v>-0.3121758</v>
      </c>
      <c r="Z4297">
        <v>1.837654E-2</v>
      </c>
      <c r="AA4297">
        <v>0.94984659999999999</v>
      </c>
      <c r="AB4297">
        <v>36</v>
      </c>
      <c r="AC4297">
        <v>-4.5812999999999899</v>
      </c>
      <c r="AD4297">
        <v>-1.113548014235</v>
      </c>
      <c r="AE4297">
        <v>-3.0886999999999798</v>
      </c>
      <c r="AF4297">
        <v>-1.7606691166049699</v>
      </c>
      <c r="AG4297">
        <v>-1.113548014235</v>
      </c>
      <c r="AH4297">
        <v>5.0091668621760199</v>
      </c>
      <c r="AI4297">
        <v>101.84463570511301</v>
      </c>
      <c r="AJ4297">
        <v>109.36603497412599</v>
      </c>
      <c r="AK4297">
        <v>5.4250988535966398</v>
      </c>
      <c r="AL4297">
        <v>85.126423761862796</v>
      </c>
      <c r="AM4297">
        <v>104.193534440459</v>
      </c>
      <c r="AN4297">
        <v>1.0000000246346501</v>
      </c>
    </row>
    <row r="4298" spans="1:40" x14ac:dyDescent="0.25">
      <c r="A4298" t="str">
        <f>"20190312151400399"</f>
        <v>20190312151400399</v>
      </c>
      <c r="B4298" t="str">
        <f>"1552374840394696"</f>
        <v>1552374840394696</v>
      </c>
      <c r="C4298" t="s">
        <v>40</v>
      </c>
      <c r="D4298">
        <v>4.4744979999999996</v>
      </c>
      <c r="E4298">
        <v>0.47424889999999997</v>
      </c>
      <c r="F4298" t="s">
        <v>58</v>
      </c>
      <c r="G4298">
        <v>-405.80840000000001</v>
      </c>
      <c r="H4298" s="1">
        <v>-4.144713E-6</v>
      </c>
      <c r="I4298">
        <v>131.04900000000001</v>
      </c>
      <c r="J4298">
        <v>-401.35270000000003</v>
      </c>
      <c r="K4298">
        <v>1.113718</v>
      </c>
      <c r="L4298">
        <v>134.09190000000001</v>
      </c>
      <c r="M4298">
        <v>-0.96649209999999997</v>
      </c>
      <c r="N4298">
        <v>0</v>
      </c>
      <c r="O4298">
        <v>-0.25626520000000003</v>
      </c>
      <c r="P4298">
        <v>-0.87057019999999996</v>
      </c>
      <c r="Q4298">
        <v>7.0805709999999994E-2</v>
      </c>
      <c r="R4298">
        <v>-0.48692380000000002</v>
      </c>
      <c r="S4298">
        <v>-2.5622560000000001</v>
      </c>
      <c r="T4298">
        <v>-0.59360109999999999</v>
      </c>
      <c r="U4298">
        <v>-1.6729579999999999</v>
      </c>
      <c r="V4298">
        <v>-0.248249</v>
      </c>
      <c r="W4298">
        <v>8.3074399999999896E-2</v>
      </c>
      <c r="X4298">
        <v>0.96512750000000003</v>
      </c>
      <c r="Y4298">
        <v>-0.31275380000000003</v>
      </c>
      <c r="Z4298">
        <v>1.9453560000000002E-2</v>
      </c>
      <c r="AA4298">
        <v>0.94963500000000001</v>
      </c>
      <c r="AB4298">
        <v>36</v>
      </c>
      <c r="AC4298">
        <v>-4.45569999999997</v>
      </c>
      <c r="AD4298">
        <v>-1.1137221447129999</v>
      </c>
      <c r="AE4298">
        <v>-3.0428999999999999</v>
      </c>
      <c r="AF4298">
        <v>-1.7257682842811899</v>
      </c>
      <c r="AG4298">
        <v>-1.1137221447129999</v>
      </c>
      <c r="AH4298">
        <v>4.8788795985353497</v>
      </c>
      <c r="AI4298">
        <v>102.145244339187</v>
      </c>
      <c r="AJ4298">
        <v>109.479820275777</v>
      </c>
      <c r="AK4298">
        <v>5.2935922891416096</v>
      </c>
      <c r="AL4298">
        <v>85.234695592919294</v>
      </c>
      <c r="AM4298">
        <v>104.424857875797</v>
      </c>
      <c r="AN4298">
        <v>1.0000000065963</v>
      </c>
    </row>
    <row r="4299" spans="1:40" x14ac:dyDescent="0.25">
      <c r="A4299" t="str">
        <f>"20190312151400423"</f>
        <v>20190312151400423</v>
      </c>
      <c r="B4299" t="str">
        <f>"1552374840414216"</f>
        <v>1552374840414216</v>
      </c>
      <c r="C4299" t="s">
        <v>40</v>
      </c>
      <c r="D4299">
        <v>4.4794219999999996</v>
      </c>
      <c r="E4299">
        <v>0.49308610000000003</v>
      </c>
      <c r="F4299" t="s">
        <v>58</v>
      </c>
      <c r="G4299">
        <v>-406.19940000000003</v>
      </c>
      <c r="H4299" s="1">
        <v>-4.3306700000000003E-6</v>
      </c>
      <c r="I4299">
        <v>130.87610000000001</v>
      </c>
      <c r="J4299">
        <v>-401.70929999999998</v>
      </c>
      <c r="K4299">
        <v>1.113912</v>
      </c>
      <c r="L4299">
        <v>133.9933</v>
      </c>
      <c r="M4299">
        <v>-0.96539359999999996</v>
      </c>
      <c r="N4299">
        <v>0</v>
      </c>
      <c r="O4299">
        <v>-0.26037310000000002</v>
      </c>
      <c r="P4299">
        <v>-0.86698140000000001</v>
      </c>
      <c r="Q4299">
        <v>6.9982169999999996E-2</v>
      </c>
      <c r="R4299">
        <v>-0.49340299999999998</v>
      </c>
      <c r="S4299">
        <v>-2.5480040000000002</v>
      </c>
      <c r="T4299">
        <v>-0.58550619999999998</v>
      </c>
      <c r="U4299">
        <v>-1.6906589999999999</v>
      </c>
      <c r="V4299">
        <v>-0.25135930000000001</v>
      </c>
      <c r="W4299">
        <v>8.2101640000000004E-2</v>
      </c>
      <c r="X4299">
        <v>0.96440539999999997</v>
      </c>
      <c r="Y4299">
        <v>-0.31577949999999999</v>
      </c>
      <c r="Z4299">
        <v>1.9719549999999999E-2</v>
      </c>
      <c r="AA4299">
        <v>0.94862769999999996</v>
      </c>
      <c r="AB4299">
        <v>36</v>
      </c>
      <c r="AC4299">
        <v>-4.4901000000000399</v>
      </c>
      <c r="AD4299">
        <v>-1.11391633067</v>
      </c>
      <c r="AE4299">
        <v>-3.1171999999999902</v>
      </c>
      <c r="AF4299">
        <v>-1.7670430389015801</v>
      </c>
      <c r="AG4299">
        <v>-1.11391633067</v>
      </c>
      <c r="AH4299">
        <v>4.9416926906352598</v>
      </c>
      <c r="AI4299">
        <v>101.983222530636</v>
      </c>
      <c r="AJ4299">
        <v>109.675957699614</v>
      </c>
      <c r="AK4299">
        <v>5.3650328369677096</v>
      </c>
      <c r="AL4299">
        <v>85.290621550326193</v>
      </c>
      <c r="AM4299">
        <v>104.608373366764</v>
      </c>
      <c r="AN4299">
        <v>0.99999997626816906</v>
      </c>
    </row>
    <row r="4300" spans="1:40" x14ac:dyDescent="0.25">
      <c r="A4300" t="str">
        <f>"20190312151400446"</f>
        <v>20190312151400446</v>
      </c>
      <c r="B4300" t="str">
        <f>"1552374840434339"</f>
        <v>1552374840434339</v>
      </c>
      <c r="C4300" t="s">
        <v>40</v>
      </c>
      <c r="D4300">
        <v>4.4821309999999999</v>
      </c>
      <c r="E4300">
        <v>0.49378420000000001</v>
      </c>
      <c r="F4300" t="s">
        <v>58</v>
      </c>
      <c r="G4300">
        <v>-409.00889999999998</v>
      </c>
      <c r="H4300" s="1">
        <v>-5.6530499999999899E-6</v>
      </c>
      <c r="I4300">
        <v>129.5977</v>
      </c>
      <c r="J4300">
        <v>-402.05900000000003</v>
      </c>
      <c r="K4300">
        <v>1.114109</v>
      </c>
      <c r="L4300">
        <v>133.8948</v>
      </c>
      <c r="M4300">
        <v>-0.96424160000000003</v>
      </c>
      <c r="N4300">
        <v>0</v>
      </c>
      <c r="O4300">
        <v>-0.26460699999999998</v>
      </c>
      <c r="P4300">
        <v>-0.86337949999999997</v>
      </c>
      <c r="Q4300">
        <v>6.9979760000000002E-2</v>
      </c>
      <c r="R4300">
        <v>-0.49967879999999998</v>
      </c>
      <c r="S4300">
        <v>-2.6009519999999999</v>
      </c>
      <c r="T4300">
        <v>-0.39690209999999998</v>
      </c>
      <c r="U4300">
        <v>-1.5662229999999999</v>
      </c>
      <c r="V4300">
        <v>-0.25416480000000002</v>
      </c>
      <c r="W4300">
        <v>8.1946720000000001E-2</v>
      </c>
      <c r="X4300">
        <v>0.96368299999999996</v>
      </c>
      <c r="Y4300">
        <v>-0.27067580000000002</v>
      </c>
      <c r="Z4300">
        <v>1.7132290000000001E-2</v>
      </c>
      <c r="AA4300">
        <v>0.96251810000000004</v>
      </c>
      <c r="AB4300">
        <v>36</v>
      </c>
      <c r="AC4300">
        <v>-6.9498999999999498</v>
      </c>
      <c r="AD4300">
        <v>-1.1141146530499999</v>
      </c>
      <c r="AE4300">
        <v>-4.2971000000000004</v>
      </c>
      <c r="AF4300">
        <v>-2.2626405881137899</v>
      </c>
      <c r="AG4300">
        <v>-1.1141146530499999</v>
      </c>
      <c r="AH4300">
        <v>7.6962123436705197</v>
      </c>
      <c r="AI4300">
        <v>97.906874489043204</v>
      </c>
      <c r="AJ4300">
        <v>106.38302201492</v>
      </c>
      <c r="AK4300">
        <v>8.0989183432102294</v>
      </c>
      <c r="AL4300">
        <v>85.299527782440805</v>
      </c>
      <c r="AM4300">
        <v>104.77491972381701</v>
      </c>
      <c r="AN4300">
        <v>0.99999996748339803</v>
      </c>
    </row>
    <row r="4301" spans="1:40" x14ac:dyDescent="0.25">
      <c r="A4301" t="str">
        <f>"20190312151400471"</f>
        <v>20190312151400471</v>
      </c>
      <c r="B4301" t="str">
        <f>"1552374840464595"</f>
        <v>1552374840464595</v>
      </c>
      <c r="C4301" t="s">
        <v>40</v>
      </c>
      <c r="D4301">
        <v>4.4597850000000001</v>
      </c>
      <c r="E4301">
        <v>0.49524780000000002</v>
      </c>
      <c r="F4301" t="s">
        <v>58</v>
      </c>
      <c r="G4301">
        <v>-409.87520000000001</v>
      </c>
      <c r="H4301" s="1">
        <v>-6.0851460000000004E-6</v>
      </c>
      <c r="I4301">
        <v>129.13460000000001</v>
      </c>
      <c r="J4301">
        <v>-402.46039999999999</v>
      </c>
      <c r="K4301">
        <v>1.1143590000000001</v>
      </c>
      <c r="L4301">
        <v>133.7792</v>
      </c>
      <c r="M4301">
        <v>-0.96280730000000003</v>
      </c>
      <c r="N4301">
        <v>0</v>
      </c>
      <c r="O4301">
        <v>-0.26977849999999998</v>
      </c>
      <c r="P4301">
        <v>-0.85927940000000003</v>
      </c>
      <c r="Q4301">
        <v>7.0252880000000004E-2</v>
      </c>
      <c r="R4301">
        <v>-0.50665939999999998</v>
      </c>
      <c r="S4301">
        <v>-2.5913089999999999</v>
      </c>
      <c r="T4301">
        <v>-0.36936380000000002</v>
      </c>
      <c r="U4301">
        <v>-1.5781559999999999</v>
      </c>
      <c r="V4301">
        <v>-0.25686199999999998</v>
      </c>
      <c r="W4301">
        <v>8.2040810000000006E-2</v>
      </c>
      <c r="X4301">
        <v>0.96295960000000003</v>
      </c>
      <c r="Y4301">
        <v>-0.27037939999999999</v>
      </c>
      <c r="Z4301">
        <v>1.6633180000000001E-2</v>
      </c>
      <c r="AA4301">
        <v>0.96261019999999997</v>
      </c>
      <c r="AB4301">
        <v>36</v>
      </c>
      <c r="AC4301">
        <v>-7.4148000000000103</v>
      </c>
      <c r="AD4301">
        <v>-1.1143650851459901</v>
      </c>
      <c r="AE4301">
        <v>-4.6445999999999898</v>
      </c>
      <c r="AF4301">
        <v>-2.4323183796155599</v>
      </c>
      <c r="AG4301">
        <v>-1.1143650851459901</v>
      </c>
      <c r="AH4301">
        <v>8.25899078008778</v>
      </c>
      <c r="AI4301">
        <v>97.374861739630006</v>
      </c>
      <c r="AJ4301">
        <v>106.409992316247</v>
      </c>
      <c r="AK4301">
        <v>8.6815269940479496</v>
      </c>
      <c r="AL4301">
        <v>85.294118698004397</v>
      </c>
      <c r="AM4301">
        <v>104.93545962329701</v>
      </c>
      <c r="AN4301">
        <v>0.999999986390808</v>
      </c>
    </row>
    <row r="4302" spans="1:40" x14ac:dyDescent="0.25">
      <c r="A4302" t="str">
        <f>"20190312151400489"</f>
        <v>20190312151400489</v>
      </c>
      <c r="B4302" t="str">
        <f>"1552374840485091"</f>
        <v>1552374840485091</v>
      </c>
      <c r="C4302" t="s">
        <v>40</v>
      </c>
      <c r="D4302">
        <v>4.4600739999999996</v>
      </c>
      <c r="E4302">
        <v>0.49580380000000002</v>
      </c>
      <c r="F4302" t="s">
        <v>58</v>
      </c>
      <c r="G4302">
        <v>-410.4325</v>
      </c>
      <c r="H4302" s="1">
        <v>-5.9838899999999997E-6</v>
      </c>
      <c r="I4302">
        <v>128.87819999999999</v>
      </c>
      <c r="J4302">
        <v>-402.74169999999998</v>
      </c>
      <c r="K4302">
        <v>1.114533</v>
      </c>
      <c r="L4302">
        <v>133.69669999999999</v>
      </c>
      <c r="M4302">
        <v>-0.96173489999999995</v>
      </c>
      <c r="N4302">
        <v>0</v>
      </c>
      <c r="O4302">
        <v>-0.27357599999999999</v>
      </c>
      <c r="P4302">
        <v>-0.85607049999999996</v>
      </c>
      <c r="Q4302">
        <v>6.9468039999999995E-2</v>
      </c>
      <c r="R4302">
        <v>-0.5121694</v>
      </c>
      <c r="S4302">
        <v>-2.5841059999999998</v>
      </c>
      <c r="T4302">
        <v>-0.36121320000000001</v>
      </c>
      <c r="U4302">
        <v>-1.5886229999999999</v>
      </c>
      <c r="V4302">
        <v>-0.25925969999999998</v>
      </c>
      <c r="W4302">
        <v>8.1119780000000002E-2</v>
      </c>
      <c r="X4302">
        <v>0.96239490000000005</v>
      </c>
      <c r="Y4302">
        <v>-0.270630599999999</v>
      </c>
      <c r="Z4302">
        <v>1.672529E-2</v>
      </c>
      <c r="AA4302">
        <v>0.96253789999999995</v>
      </c>
      <c r="AB4302">
        <v>36</v>
      </c>
      <c r="AC4302">
        <v>-7.6908000000000198</v>
      </c>
      <c r="AD4302">
        <v>-1.1145389838899999</v>
      </c>
      <c r="AE4302">
        <v>-4.8185000000000002</v>
      </c>
      <c r="AF4302">
        <v>-2.4927877500415598</v>
      </c>
      <c r="AG4302">
        <v>-1.1145389838899999</v>
      </c>
      <c r="AH4302">
        <v>8.5862130600117901</v>
      </c>
      <c r="AI4302">
        <v>97.105739052948394</v>
      </c>
      <c r="AJ4302">
        <v>106.18930605765399</v>
      </c>
      <c r="AK4302">
        <v>9.0099524208113806</v>
      </c>
      <c r="AL4302">
        <v>85.347066275814399</v>
      </c>
      <c r="AM4302">
        <v>105.07700211824999</v>
      </c>
      <c r="AN4302">
        <v>0.99999997714867395</v>
      </c>
    </row>
    <row r="4303" spans="1:40" x14ac:dyDescent="0.25">
      <c r="A4303" t="str">
        <f>"20190312151400511"</f>
        <v>20190312151400511</v>
      </c>
      <c r="B4303" t="str">
        <f>"1552374840504611"</f>
        <v>1552374840504611</v>
      </c>
      <c r="C4303" t="s">
        <v>40</v>
      </c>
      <c r="D4303">
        <v>4.4247189999999996</v>
      </c>
      <c r="E4303">
        <v>0.49660989999999999</v>
      </c>
      <c r="F4303" t="s">
        <v>58</v>
      </c>
      <c r="G4303">
        <v>-410.76519999999999</v>
      </c>
      <c r="H4303" s="1">
        <v>-5.8797949999999997E-6</v>
      </c>
      <c r="I4303">
        <v>128.71180000000001</v>
      </c>
      <c r="J4303">
        <v>-403.07470000000001</v>
      </c>
      <c r="K4303">
        <v>1.1147279999999999</v>
      </c>
      <c r="L4303">
        <v>133.59719999999999</v>
      </c>
      <c r="M4303">
        <v>-0.96038920000000005</v>
      </c>
      <c r="N4303">
        <v>0</v>
      </c>
      <c r="O4303">
        <v>-0.27826279999999998</v>
      </c>
      <c r="P4303">
        <v>-0.85261279999999995</v>
      </c>
      <c r="Q4303">
        <v>6.8577299999999994E-2</v>
      </c>
      <c r="R4303">
        <v>-0.51802369999999998</v>
      </c>
      <c r="S4303">
        <v>-2.5759280000000002</v>
      </c>
      <c r="T4303">
        <v>-0.35782239999999998</v>
      </c>
      <c r="U4303">
        <v>-1.6004179999999999</v>
      </c>
      <c r="V4303">
        <v>-0.26117319999999999</v>
      </c>
      <c r="W4303">
        <v>8.0086039999999997E-2</v>
      </c>
      <c r="X4303">
        <v>0.96196400000000004</v>
      </c>
      <c r="Y4303">
        <v>-0.27051570000000003</v>
      </c>
      <c r="Z4303">
        <v>1.7153060000000001E-2</v>
      </c>
      <c r="AA4303">
        <v>0.96256269999999999</v>
      </c>
      <c r="AB4303">
        <v>36</v>
      </c>
      <c r="AC4303">
        <v>-7.6904999999999797</v>
      </c>
      <c r="AD4303">
        <v>-1.1147338797949999</v>
      </c>
      <c r="AE4303">
        <v>-4.8853999999999704</v>
      </c>
      <c r="AF4303">
        <v>-2.5145476428169702</v>
      </c>
      <c r="AG4303">
        <v>-1.1147338797949999</v>
      </c>
      <c r="AH4303">
        <v>8.61727460804115</v>
      </c>
      <c r="AI4303">
        <v>97.078831218237895</v>
      </c>
      <c r="AJ4303">
        <v>106.267409858325</v>
      </c>
      <c r="AK4303">
        <v>9.0456068420615097</v>
      </c>
      <c r="AL4303">
        <v>85.406488555310503</v>
      </c>
      <c r="AM4303">
        <v>105.18964748323501</v>
      </c>
      <c r="AN4303">
        <v>0.99999997574856003</v>
      </c>
    </row>
    <row r="4304" spans="1:40" x14ac:dyDescent="0.25">
      <c r="A4304" t="str">
        <f>"20190312151400544"</f>
        <v>20190312151400544</v>
      </c>
      <c r="B4304" t="str">
        <f>"1552374840534871"</f>
        <v>1552374840534871</v>
      </c>
      <c r="C4304" t="s">
        <v>40</v>
      </c>
      <c r="D4304">
        <v>4.618017</v>
      </c>
      <c r="E4304">
        <v>0.49748330000000002</v>
      </c>
      <c r="F4304" t="s">
        <v>58</v>
      </c>
      <c r="G4304">
        <v>-411.15370000000001</v>
      </c>
      <c r="H4304" s="1">
        <v>-5.7606579999999999E-6</v>
      </c>
      <c r="I4304">
        <v>128.52440000000001</v>
      </c>
      <c r="J4304">
        <v>-403.58539999999999</v>
      </c>
      <c r="K4304">
        <v>1.1150199999999999</v>
      </c>
      <c r="L4304">
        <v>133.441</v>
      </c>
      <c r="M4304">
        <v>-0.95816219999999996</v>
      </c>
      <c r="N4304">
        <v>0</v>
      </c>
      <c r="O4304">
        <v>-0.28583609999999998</v>
      </c>
      <c r="P4304">
        <v>-0.84750329999999996</v>
      </c>
      <c r="Q4304">
        <v>6.7310759999999997E-2</v>
      </c>
      <c r="R4304">
        <v>-0.52650520000000001</v>
      </c>
      <c r="S4304">
        <v>-2.567596</v>
      </c>
      <c r="T4304">
        <v>-0.35427429999999999</v>
      </c>
      <c r="U4304">
        <v>-1.6121829999999999</v>
      </c>
      <c r="V4304">
        <v>-0.26319300000000001</v>
      </c>
      <c r="W4304">
        <v>7.8615829999999998E-2</v>
      </c>
      <c r="X4304">
        <v>0.96153469999999996</v>
      </c>
      <c r="Y4304">
        <v>-0.26754830000000002</v>
      </c>
      <c r="Z4304">
        <v>1.808119E-2</v>
      </c>
      <c r="AA4304">
        <v>0.96337479999999998</v>
      </c>
      <c r="AB4304">
        <v>36</v>
      </c>
      <c r="AC4304">
        <v>-7.5683000000000202</v>
      </c>
      <c r="AD4304">
        <v>-1.1150257606579901</v>
      </c>
      <c r="AE4304">
        <v>-4.9165999999999803</v>
      </c>
      <c r="AF4304">
        <v>-2.5095847065660699</v>
      </c>
      <c r="AG4304">
        <v>-1.1150257606579901</v>
      </c>
      <c r="AH4304">
        <v>8.5277978076888292</v>
      </c>
      <c r="AI4304">
        <v>97.149456562508604</v>
      </c>
      <c r="AJ4304">
        <v>106.39825215114701</v>
      </c>
      <c r="AK4304">
        <v>8.9590531472462906</v>
      </c>
      <c r="AL4304">
        <v>85.490991925560095</v>
      </c>
      <c r="AM4304">
        <v>105.308142104006</v>
      </c>
      <c r="AN4304">
        <v>0.99999999163983899</v>
      </c>
    </row>
    <row r="4305" spans="1:40" x14ac:dyDescent="0.25">
      <c r="A4305" t="str">
        <f>"20190312151400567"</f>
        <v>20190312151400567</v>
      </c>
      <c r="B4305" t="str">
        <f>"1552374840554394"</f>
        <v>1552374840554394</v>
      </c>
      <c r="C4305" t="s">
        <v>40</v>
      </c>
      <c r="D4305">
        <v>4.4296490000000004</v>
      </c>
      <c r="E4305">
        <v>0.49811949999999999</v>
      </c>
      <c r="F4305" t="s">
        <v>58</v>
      </c>
      <c r="G4305">
        <v>-411.97820000000002</v>
      </c>
      <c r="H4305" s="1">
        <v>-5.4917969999999998E-6</v>
      </c>
      <c r="I4305">
        <v>128.0806</v>
      </c>
      <c r="J4305">
        <v>-403.91890000000001</v>
      </c>
      <c r="K4305">
        <v>1.115211</v>
      </c>
      <c r="L4305">
        <v>133.33619999999999</v>
      </c>
      <c r="M4305">
        <v>-0.95658100000000001</v>
      </c>
      <c r="N4305">
        <v>0</v>
      </c>
      <c r="O4305">
        <v>-0.291083799999999</v>
      </c>
      <c r="P4305">
        <v>-0.8437519</v>
      </c>
      <c r="Q4305">
        <v>6.6778210000000005E-2</v>
      </c>
      <c r="R4305">
        <v>-0.53256359999999903</v>
      </c>
      <c r="S4305">
        <v>-2.5535580000000002</v>
      </c>
      <c r="T4305">
        <v>-0.339252</v>
      </c>
      <c r="U4305">
        <v>-1.6309199999999999</v>
      </c>
      <c r="V4305">
        <v>-0.26483200000000001</v>
      </c>
      <c r="W4305">
        <v>7.7940319999999993E-2</v>
      </c>
      <c r="X4305">
        <v>0.96113959999999998</v>
      </c>
      <c r="Y4305">
        <v>-0.2696964</v>
      </c>
      <c r="Z4305">
        <v>1.7818380000000002E-2</v>
      </c>
      <c r="AA4305">
        <v>0.96278050000000004</v>
      </c>
      <c r="AB4305">
        <v>36</v>
      </c>
      <c r="AC4305">
        <v>-8.0593000000000004</v>
      </c>
      <c r="AD4305">
        <v>-1.115216491797</v>
      </c>
      <c r="AE4305">
        <v>-5.2555999999999798</v>
      </c>
      <c r="AF4305">
        <v>-2.64622302527235</v>
      </c>
      <c r="AG4305">
        <v>-1.115216491797</v>
      </c>
      <c r="AH4305">
        <v>9.1177288669026808</v>
      </c>
      <c r="AI4305">
        <v>96.699590929033306</v>
      </c>
      <c r="AJ4305">
        <v>106.18422460689401</v>
      </c>
      <c r="AK4305">
        <v>9.5592459856103709</v>
      </c>
      <c r="AL4305">
        <v>85.529814989757895</v>
      </c>
      <c r="AM4305">
        <v>105.404989227396</v>
      </c>
      <c r="AN4305">
        <v>1.0000000061969301</v>
      </c>
    </row>
    <row r="4306" spans="1:40" x14ac:dyDescent="0.25">
      <c r="A4306" t="str">
        <f>"20190312151400589"</f>
        <v>20190312151400589</v>
      </c>
      <c r="B4306" t="str">
        <f>"1552374840584647"</f>
        <v>1552374840584647</v>
      </c>
      <c r="C4306" t="s">
        <v>40</v>
      </c>
      <c r="D4306">
        <v>4.433001</v>
      </c>
      <c r="E4306">
        <v>0.49921880000000002</v>
      </c>
      <c r="F4306" t="s">
        <v>58</v>
      </c>
      <c r="G4306">
        <v>-412.47120000000001</v>
      </c>
      <c r="H4306" s="1">
        <v>-5.3284529999999997E-6</v>
      </c>
      <c r="I4306">
        <v>127.8078</v>
      </c>
      <c r="J4306">
        <v>-404.25869999999998</v>
      </c>
      <c r="K4306">
        <v>1.115429</v>
      </c>
      <c r="L4306">
        <v>133.227</v>
      </c>
      <c r="M4306">
        <v>-0.95485390000000003</v>
      </c>
      <c r="N4306">
        <v>0</v>
      </c>
      <c r="O4306">
        <v>-0.2966992</v>
      </c>
      <c r="P4306">
        <v>-0.84002600000000005</v>
      </c>
      <c r="Q4306">
        <v>6.5457539999999995E-2</v>
      </c>
      <c r="R4306">
        <v>-0.53858329999999999</v>
      </c>
      <c r="S4306">
        <v>-2.5438839999999998</v>
      </c>
      <c r="T4306">
        <v>-0.33172079999999998</v>
      </c>
      <c r="U4306">
        <v>-1.6443939999999999</v>
      </c>
      <c r="V4306">
        <v>-0.26605420000000002</v>
      </c>
      <c r="W4306">
        <v>7.6470350000000006E-2</v>
      </c>
      <c r="X4306">
        <v>0.96092010000000005</v>
      </c>
      <c r="Y4306">
        <v>-0.2693315</v>
      </c>
      <c r="Z4306">
        <v>1.8089109999999999E-2</v>
      </c>
      <c r="AA4306">
        <v>0.9628776</v>
      </c>
      <c r="AB4306">
        <v>36</v>
      </c>
      <c r="AC4306">
        <v>-8.2125000000000306</v>
      </c>
      <c r="AD4306">
        <v>-1.1154343284529999</v>
      </c>
      <c r="AE4306">
        <v>-5.4192</v>
      </c>
      <c r="AF4306">
        <v>-2.7034645858298099</v>
      </c>
      <c r="AG4306">
        <v>-1.1154343284529999</v>
      </c>
      <c r="AH4306">
        <v>9.3307522233175302</v>
      </c>
      <c r="AI4306">
        <v>96.550102358656602</v>
      </c>
      <c r="AJ4306">
        <v>106.158260652282</v>
      </c>
      <c r="AK4306">
        <v>9.7783358277813495</v>
      </c>
      <c r="AL4306">
        <v>85.614290166075193</v>
      </c>
      <c r="AM4306">
        <v>105.476049116082</v>
      </c>
      <c r="AN4306">
        <v>0.99999999517538596</v>
      </c>
    </row>
    <row r="4307" spans="1:40" x14ac:dyDescent="0.25">
      <c r="A4307" t="str">
        <f>"20190312151400611"</f>
        <v>20190312151400611</v>
      </c>
      <c r="B4307" t="str">
        <f>"1552374840605144"</f>
        <v>1552374840605144</v>
      </c>
      <c r="C4307" t="s">
        <v>40</v>
      </c>
      <c r="D4307">
        <v>4.6561570000000003</v>
      </c>
      <c r="E4307">
        <v>0.49995149999999999</v>
      </c>
      <c r="F4307" t="s">
        <v>58</v>
      </c>
      <c r="G4307">
        <v>-412.96050000000002</v>
      </c>
      <c r="H4307" s="1">
        <v>-5.1710939999999998E-6</v>
      </c>
      <c r="I4307">
        <v>127.5508</v>
      </c>
      <c r="J4307">
        <v>-404.59699999999998</v>
      </c>
      <c r="K4307">
        <v>1.1156489999999999</v>
      </c>
      <c r="L4307">
        <v>133.11590000000001</v>
      </c>
      <c r="M4307">
        <v>-0.95302529999999996</v>
      </c>
      <c r="N4307">
        <v>0</v>
      </c>
      <c r="O4307">
        <v>-0.30252020000000002</v>
      </c>
      <c r="P4307">
        <v>-0.83631690000000003</v>
      </c>
      <c r="Q4307">
        <v>6.4394560000000003E-2</v>
      </c>
      <c r="R4307">
        <v>-0.54445149999999998</v>
      </c>
      <c r="S4307">
        <v>-2.5360109999999998</v>
      </c>
      <c r="T4307">
        <v>-0.32507380000000002</v>
      </c>
      <c r="U4307">
        <v>-1.6542209999999999</v>
      </c>
      <c r="V4307">
        <v>-0.2669223</v>
      </c>
      <c r="W4307">
        <v>7.5265059999999995E-2</v>
      </c>
      <c r="X4307">
        <v>0.96077449999999998</v>
      </c>
      <c r="Y4307">
        <v>-0.26747379999999998</v>
      </c>
      <c r="Z4307">
        <v>1.8486079999999998E-2</v>
      </c>
      <c r="AA4307">
        <v>0.96338780000000002</v>
      </c>
      <c r="AB4307">
        <v>36</v>
      </c>
      <c r="AC4307">
        <v>-8.3635000000000392</v>
      </c>
      <c r="AD4307">
        <v>-1.11565417109399</v>
      </c>
      <c r="AE4307">
        <v>-5.5651000000000099</v>
      </c>
      <c r="AF4307">
        <v>-2.7400696991646201</v>
      </c>
      <c r="AG4307">
        <v>-1.11565417109399</v>
      </c>
      <c r="AH4307">
        <v>9.5376322099450803</v>
      </c>
      <c r="AI4307">
        <v>96.414616500130407</v>
      </c>
      <c r="AJ4307">
        <v>106.02884771740899</v>
      </c>
      <c r="AK4307">
        <v>9.98594484052167</v>
      </c>
      <c r="AL4307">
        <v>85.683547793605399</v>
      </c>
      <c r="AM4307">
        <v>105.526352872158</v>
      </c>
      <c r="AN4307">
        <v>0.99999999167217102</v>
      </c>
    </row>
    <row r="4308" spans="1:40" x14ac:dyDescent="0.25">
      <c r="A4308" t="str">
        <f>"20190312151400635"</f>
        <v>20190312151400635</v>
      </c>
      <c r="B4308" t="str">
        <f>"1552374840624664"</f>
        <v>1552374840624664</v>
      </c>
      <c r="C4308" t="s">
        <v>40</v>
      </c>
      <c r="D4308">
        <v>4.5258529999999997</v>
      </c>
      <c r="E4308">
        <v>0.50903869999999996</v>
      </c>
      <c r="F4308" t="s">
        <v>58</v>
      </c>
      <c r="G4308">
        <v>-413.34589999999997</v>
      </c>
      <c r="H4308" s="1">
        <v>-5.0460690000000001E-6</v>
      </c>
      <c r="I4308">
        <v>127.34520000000001</v>
      </c>
      <c r="J4308">
        <v>-404.94650000000001</v>
      </c>
      <c r="K4308">
        <v>1.1158779999999999</v>
      </c>
      <c r="L4308">
        <v>132.9984</v>
      </c>
      <c r="M4308">
        <v>-0.95101259999999999</v>
      </c>
      <c r="N4308">
        <v>0</v>
      </c>
      <c r="O4308">
        <v>-0.30878889999999998</v>
      </c>
      <c r="P4308">
        <v>-0.83187829999999996</v>
      </c>
      <c r="Q4308">
        <v>6.4347189999999999E-2</v>
      </c>
      <c r="R4308">
        <v>-0.55121519999999902</v>
      </c>
      <c r="S4308">
        <v>-2.5268860000000002</v>
      </c>
      <c r="T4308">
        <v>-0.3222257</v>
      </c>
      <c r="U4308">
        <v>-1.6667019999999999</v>
      </c>
      <c r="V4308">
        <v>-0.26842840000000001</v>
      </c>
      <c r="W4308">
        <v>7.5057250000000006E-2</v>
      </c>
      <c r="X4308">
        <v>0.96037110000000003</v>
      </c>
      <c r="Y4308">
        <v>-0.26607910000000001</v>
      </c>
      <c r="Z4308">
        <v>1.909837E-2</v>
      </c>
      <c r="AA4308">
        <v>0.96376200000000001</v>
      </c>
      <c r="AB4308">
        <v>36</v>
      </c>
      <c r="AC4308">
        <v>-8.3993999999999502</v>
      </c>
      <c r="AD4308">
        <v>-1.1158830460689999</v>
      </c>
      <c r="AE4308">
        <v>-5.6531999999999902</v>
      </c>
      <c r="AF4308">
        <v>-2.7495360414303498</v>
      </c>
      <c r="AG4308">
        <v>-1.1158830460689999</v>
      </c>
      <c r="AH4308">
        <v>9.6178430671337498</v>
      </c>
      <c r="AI4308">
        <v>96.365214424952299</v>
      </c>
      <c r="AJ4308">
        <v>105.954102429608</v>
      </c>
      <c r="AK4308">
        <v>10.065189947519199</v>
      </c>
      <c r="AL4308">
        <v>85.695488340324104</v>
      </c>
      <c r="AM4308">
        <v>105.615936671947</v>
      </c>
      <c r="AN4308">
        <v>1.00000002320966</v>
      </c>
    </row>
    <row r="4309" spans="1:40" x14ac:dyDescent="0.25">
      <c r="A4309" t="str">
        <f>"20190312151400659"</f>
        <v>20190312151400659</v>
      </c>
      <c r="B4309" t="str">
        <f>"1552374840654451"</f>
        <v>1552374840654451</v>
      </c>
      <c r="C4309" t="s">
        <v>40</v>
      </c>
      <c r="D4309">
        <v>4.4606079999999997</v>
      </c>
      <c r="E4309">
        <v>0.51015519999999903</v>
      </c>
      <c r="F4309" t="s">
        <v>58</v>
      </c>
      <c r="G4309">
        <v>-416.30439999999999</v>
      </c>
      <c r="H4309" s="1">
        <v>-4.0892480000000002E-6</v>
      </c>
      <c r="I4309">
        <v>125.7756</v>
      </c>
      <c r="J4309">
        <v>-405.30489999999998</v>
      </c>
      <c r="K4309">
        <v>1.1161239999999999</v>
      </c>
      <c r="L4309">
        <v>132.875</v>
      </c>
      <c r="M4309">
        <v>-0.94880810000000004</v>
      </c>
      <c r="N4309">
        <v>0</v>
      </c>
      <c r="O4309">
        <v>-0.31549650000000001</v>
      </c>
      <c r="P4309">
        <v>-0.82701219999999998</v>
      </c>
      <c r="Q4309">
        <v>6.4607020000000001E-2</v>
      </c>
      <c r="R4309">
        <v>-0.55845959999999994</v>
      </c>
      <c r="S4309">
        <v>-2.5508419999999998</v>
      </c>
      <c r="T4309">
        <v>-0.25061480000000003</v>
      </c>
      <c r="U4309">
        <v>-1.6221620000000001</v>
      </c>
      <c r="V4309">
        <v>-0.27009070000000002</v>
      </c>
      <c r="W4309">
        <v>7.5145219999999999E-2</v>
      </c>
      <c r="X4309">
        <v>0.95989800000000003</v>
      </c>
      <c r="Y4309">
        <v>-0.2431574</v>
      </c>
      <c r="Z4309">
        <v>1.6417850000000001E-2</v>
      </c>
      <c r="AA4309">
        <v>0.96984789999999998</v>
      </c>
      <c r="AB4309">
        <v>36</v>
      </c>
      <c r="AC4309">
        <v>-10.999499999999999</v>
      </c>
      <c r="AD4309">
        <v>-1.1161280892480001</v>
      </c>
      <c r="AE4309">
        <v>-7.0994000000000002</v>
      </c>
      <c r="AF4309">
        <v>-3.2424644963153701</v>
      </c>
      <c r="AG4309">
        <v>-1.1161280892480001</v>
      </c>
      <c r="AH4309">
        <v>12.5861957599652</v>
      </c>
      <c r="AI4309">
        <v>94.9082240585129</v>
      </c>
      <c r="AJ4309">
        <v>104.44645021841799</v>
      </c>
      <c r="AK4309">
        <v>13.0449853058423</v>
      </c>
      <c r="AL4309">
        <v>85.690433571124601</v>
      </c>
      <c r="AM4309">
        <v>105.715241417513</v>
      </c>
      <c r="AN4309">
        <v>0.99999998035966897</v>
      </c>
    </row>
    <row r="4310" spans="1:40" x14ac:dyDescent="0.25">
      <c r="A4310" t="str">
        <f>"20190312151400681"</f>
        <v>20190312151400681</v>
      </c>
      <c r="B4310" t="str">
        <f>"1552374840674947"</f>
        <v>1552374840674947</v>
      </c>
      <c r="C4310" t="s">
        <v>40</v>
      </c>
      <c r="D4310">
        <v>4.3914019999999896</v>
      </c>
      <c r="E4310">
        <v>0.51188679999999998</v>
      </c>
      <c r="F4310" t="s">
        <v>58</v>
      </c>
      <c r="G4310">
        <v>-416.18610000000001</v>
      </c>
      <c r="H4310" s="1">
        <v>-4.1360169999999997E-6</v>
      </c>
      <c r="I4310">
        <v>125.8629</v>
      </c>
      <c r="J4310">
        <v>-405.6345</v>
      </c>
      <c r="K4310">
        <v>1.1163529999999999</v>
      </c>
      <c r="L4310">
        <v>132.75890000000001</v>
      </c>
      <c r="M4310">
        <v>-0.94664099999999995</v>
      </c>
      <c r="N4310">
        <v>0</v>
      </c>
      <c r="O4310">
        <v>-0.32193949999999999</v>
      </c>
      <c r="P4310">
        <v>-0.82211399999999901</v>
      </c>
      <c r="Q4310">
        <v>6.4926399999999995E-2</v>
      </c>
      <c r="R4310">
        <v>-0.56560869999999996</v>
      </c>
      <c r="S4310">
        <v>-2.541779</v>
      </c>
      <c r="T4310">
        <v>-0.26072099999999998</v>
      </c>
      <c r="U4310">
        <v>-1.6379999999999999</v>
      </c>
      <c r="V4310">
        <v>-0.27194410000000002</v>
      </c>
      <c r="W4310">
        <v>7.5294520000000004E-2</v>
      </c>
      <c r="X4310">
        <v>0.95936290000000002</v>
      </c>
      <c r="Y4310">
        <v>-0.2424502</v>
      </c>
      <c r="Z4310">
        <v>1.767964E-2</v>
      </c>
      <c r="AA4310">
        <v>0.97000280000000005</v>
      </c>
      <c r="AB4310">
        <v>36</v>
      </c>
      <c r="AC4310">
        <v>-10.551600000000001</v>
      </c>
      <c r="AD4310">
        <v>-1.1163571360169999</v>
      </c>
      <c r="AE4310">
        <v>-6.8960000000000097</v>
      </c>
      <c r="AF4310">
        <v>-3.1070431076640701</v>
      </c>
      <c r="AG4310">
        <v>-1.1163571360169999</v>
      </c>
      <c r="AH4310">
        <v>12.1150268770573</v>
      </c>
      <c r="AI4310">
        <v>95.100581950513799</v>
      </c>
      <c r="AJ4310">
        <v>104.38417229164</v>
      </c>
      <c r="AK4310">
        <v>12.556824692566201</v>
      </c>
      <c r="AL4310">
        <v>85.681855162305993</v>
      </c>
      <c r="AM4310">
        <v>105.82608282049399</v>
      </c>
      <c r="AN4310">
        <v>1.00000001608162</v>
      </c>
    </row>
    <row r="4311" spans="1:40" x14ac:dyDescent="0.25">
      <c r="A4311" t="str">
        <f>"20190312151400701"</f>
        <v>20190312151400701</v>
      </c>
      <c r="B4311" t="str">
        <f>"1552374840694467"</f>
        <v>1552374840694467</v>
      </c>
      <c r="C4311" t="s">
        <v>40</v>
      </c>
      <c r="D4311">
        <v>4.384754</v>
      </c>
      <c r="E4311">
        <v>0.51314870000000001</v>
      </c>
      <c r="F4311" t="s">
        <v>58</v>
      </c>
      <c r="G4311">
        <v>-416.16680000000002</v>
      </c>
      <c r="H4311" s="1">
        <v>-4.1540390000000004E-6</v>
      </c>
      <c r="I4311">
        <v>125.907</v>
      </c>
      <c r="J4311">
        <v>-405.93009999999998</v>
      </c>
      <c r="K4311">
        <v>1.1165849999999999</v>
      </c>
      <c r="L4311">
        <v>132.65219999999999</v>
      </c>
      <c r="M4311">
        <v>-0.94456960000000001</v>
      </c>
      <c r="N4311">
        <v>0</v>
      </c>
      <c r="O4311">
        <v>-0.32796629999999999</v>
      </c>
      <c r="P4311">
        <v>-0.81703899999999996</v>
      </c>
      <c r="Q4311">
        <v>6.5019759999999996E-2</v>
      </c>
      <c r="R4311">
        <v>-0.57290459999999999</v>
      </c>
      <c r="S4311">
        <v>-2.5354920000000001</v>
      </c>
      <c r="T4311">
        <v>-0.26874629999999999</v>
      </c>
      <c r="U4311">
        <v>-1.649475</v>
      </c>
      <c r="V4311">
        <v>-0.2744162</v>
      </c>
      <c r="W4311">
        <v>7.5211790000000001E-2</v>
      </c>
      <c r="X4311">
        <v>0.9586652</v>
      </c>
      <c r="Y4311">
        <v>-0.24049490000000001</v>
      </c>
      <c r="Z4311">
        <v>1.8858199999999999E-2</v>
      </c>
      <c r="AA4311">
        <v>0.97046719999999997</v>
      </c>
      <c r="AB4311">
        <v>36</v>
      </c>
      <c r="AC4311">
        <v>-10.236700000000001</v>
      </c>
      <c r="AD4311">
        <v>-1.1165891540389901</v>
      </c>
      <c r="AE4311">
        <v>-6.7451999999999801</v>
      </c>
      <c r="AF4311">
        <v>-2.9895583911459802</v>
      </c>
      <c r="AG4311">
        <v>-1.1165891540389901</v>
      </c>
      <c r="AH4311">
        <v>11.785051439540799</v>
      </c>
      <c r="AI4311">
        <v>95.247177096342597</v>
      </c>
      <c r="AJ4311">
        <v>104.234181071384</v>
      </c>
      <c r="AK4311">
        <v>12.209490904440299</v>
      </c>
      <c r="AL4311">
        <v>85.686608716011506</v>
      </c>
      <c r="AM4311">
        <v>105.973674856505</v>
      </c>
      <c r="AN4311">
        <v>1.0000000149342401</v>
      </c>
    </row>
    <row r="4312" spans="1:40" x14ac:dyDescent="0.25">
      <c r="A4312" t="str">
        <f>"20190312151400723"</f>
        <v>20190312151400723</v>
      </c>
      <c r="B4312" t="str">
        <f>"1552374840714963"</f>
        <v>1552374840714963</v>
      </c>
      <c r="C4312" t="s">
        <v>40</v>
      </c>
      <c r="D4312">
        <v>4.3496169999999896</v>
      </c>
      <c r="E4312">
        <v>0.51391769999999903</v>
      </c>
      <c r="F4312" t="s">
        <v>58</v>
      </c>
      <c r="G4312">
        <v>-416.42720000000003</v>
      </c>
      <c r="H4312" s="1">
        <v>-4.0595870000000003E-6</v>
      </c>
      <c r="I4312">
        <v>125.7394</v>
      </c>
      <c r="J4312">
        <v>-406.26080000000002</v>
      </c>
      <c r="K4312">
        <v>1.1168480000000001</v>
      </c>
      <c r="L4312">
        <v>132.53020000000001</v>
      </c>
      <c r="M4312">
        <v>-0.94210590000000005</v>
      </c>
      <c r="N4312">
        <v>0</v>
      </c>
      <c r="O4312">
        <v>-0.33497690000000002</v>
      </c>
      <c r="P4312">
        <v>-0.81056260000000002</v>
      </c>
      <c r="Q4312">
        <v>6.6190970000000002E-2</v>
      </c>
      <c r="R4312">
        <v>-0.58189990000000003</v>
      </c>
      <c r="S4312">
        <v>-2.5265200000000001</v>
      </c>
      <c r="T4312">
        <v>-0.26874880000000001</v>
      </c>
      <c r="U4312">
        <v>-1.663818</v>
      </c>
      <c r="V4312">
        <v>-0.27798669999999998</v>
      </c>
      <c r="W4312">
        <v>7.6159870000000005E-2</v>
      </c>
      <c r="X4312">
        <v>0.957561</v>
      </c>
      <c r="Y4312">
        <v>-0.23873800000000001</v>
      </c>
      <c r="Z4312">
        <v>1.9580859999999999E-2</v>
      </c>
      <c r="AA4312">
        <v>0.97088660000000004</v>
      </c>
      <c r="AB4312">
        <v>36</v>
      </c>
      <c r="AC4312">
        <v>-10.166399999999999</v>
      </c>
      <c r="AD4312">
        <v>-1.116852059587</v>
      </c>
      <c r="AE4312">
        <v>-6.7907999999999999</v>
      </c>
      <c r="AF4312">
        <v>-2.9677170668016202</v>
      </c>
      <c r="AG4312">
        <v>-1.116852059587</v>
      </c>
      <c r="AH4312">
        <v>11.7558273358307</v>
      </c>
      <c r="AI4312">
        <v>95.262907012817294</v>
      </c>
      <c r="AJ4312">
        <v>104.16809409547299</v>
      </c>
      <c r="AK4312">
        <v>12.175967290587399</v>
      </c>
      <c r="AL4312">
        <v>85.632131410217298</v>
      </c>
      <c r="AM4312">
        <v>106.188385082593</v>
      </c>
      <c r="AN4312">
        <v>0.99999999994815303</v>
      </c>
    </row>
    <row r="4313" spans="1:40" x14ac:dyDescent="0.25">
      <c r="A4313" t="str">
        <f>"20190312151400746"</f>
        <v>20190312151400746</v>
      </c>
      <c r="B4313" t="str">
        <f>"1552374840734989"</f>
        <v>1552374840734989</v>
      </c>
      <c r="C4313" t="s">
        <v>40</v>
      </c>
      <c r="D4313">
        <v>4.3645880000000004</v>
      </c>
      <c r="E4313">
        <v>0.5148315</v>
      </c>
      <c r="F4313" t="s">
        <v>58</v>
      </c>
      <c r="G4313">
        <v>-417.16809999999998</v>
      </c>
      <c r="H4313" s="1">
        <v>-3.7721400000000001E-6</v>
      </c>
      <c r="I4313">
        <v>125.2085</v>
      </c>
      <c r="J4313">
        <v>-406.59699999999998</v>
      </c>
      <c r="K4313">
        <v>1.117124</v>
      </c>
      <c r="L4313">
        <v>132.40289999999999</v>
      </c>
      <c r="M4313">
        <v>-0.93942590000000004</v>
      </c>
      <c r="N4313">
        <v>0</v>
      </c>
      <c r="O4313">
        <v>-0.34241949999999999</v>
      </c>
      <c r="P4313">
        <v>-0.80287980000000003</v>
      </c>
      <c r="Q4313">
        <v>6.6618460000000004E-2</v>
      </c>
      <c r="R4313">
        <v>-0.59240740000000003</v>
      </c>
      <c r="S4313">
        <v>-2.5117799999999999</v>
      </c>
      <c r="T4313">
        <v>-0.25719370000000003</v>
      </c>
      <c r="U4313">
        <v>-1.6860660000000001</v>
      </c>
      <c r="V4313">
        <v>-0.28295409999999999</v>
      </c>
      <c r="W4313">
        <v>7.6323920000000003E-2</v>
      </c>
      <c r="X4313">
        <v>0.95609189999999999</v>
      </c>
      <c r="Y4313">
        <v>-0.2396143</v>
      </c>
      <c r="Z4313">
        <v>1.9364550000000001E-2</v>
      </c>
      <c r="AA4313">
        <v>0.97067510000000001</v>
      </c>
      <c r="AB4313">
        <v>35</v>
      </c>
      <c r="AC4313">
        <v>-10.571099999999999</v>
      </c>
      <c r="AD4313">
        <v>-1.1171277721399999</v>
      </c>
      <c r="AE4313">
        <v>-7.1943999999999804</v>
      </c>
      <c r="AF4313">
        <v>-3.11543398716349</v>
      </c>
      <c r="AG4313">
        <v>-1.1171277721399999</v>
      </c>
      <c r="AH4313">
        <v>12.3017867090105</v>
      </c>
      <c r="AI4313">
        <v>95.030841712384401</v>
      </c>
      <c r="AJ4313">
        <v>104.211395145773</v>
      </c>
      <c r="AK4313">
        <v>12.7392252363182</v>
      </c>
      <c r="AL4313">
        <v>85.622704785441201</v>
      </c>
      <c r="AM4313">
        <v>106.486048151959</v>
      </c>
      <c r="AN4313">
        <v>1.00000004235829</v>
      </c>
    </row>
    <row r="4314" spans="1:40" x14ac:dyDescent="0.25">
      <c r="A4314" t="str">
        <f>"20190312151400769"</f>
        <v>20190312151400769</v>
      </c>
      <c r="B4314" t="str">
        <f>"1552374840764269"</f>
        <v>1552374840764269</v>
      </c>
      <c r="C4314" t="s">
        <v>40</v>
      </c>
      <c r="D4314">
        <v>4.6494200000000001</v>
      </c>
      <c r="E4314">
        <v>0.49271579999999898</v>
      </c>
      <c r="F4314" t="s">
        <v>58</v>
      </c>
      <c r="G4314">
        <v>-417.34649999999999</v>
      </c>
      <c r="H4314" s="1">
        <v>-3.6831419999999998E-6</v>
      </c>
      <c r="I4314">
        <v>125.02370000000001</v>
      </c>
      <c r="J4314">
        <v>-406.91050000000001</v>
      </c>
      <c r="K4314">
        <v>1.1173869999999999</v>
      </c>
      <c r="L4314">
        <v>132.2809</v>
      </c>
      <c r="M4314">
        <v>-0.93675489999999995</v>
      </c>
      <c r="N4314">
        <v>0</v>
      </c>
      <c r="O4314">
        <v>-0.34965940000000001</v>
      </c>
      <c r="P4314">
        <v>-0.79505380000000003</v>
      </c>
      <c r="Q4314">
        <v>6.6743499999999997E-2</v>
      </c>
      <c r="R4314">
        <v>-0.60285569999999999</v>
      </c>
      <c r="S4314">
        <v>-2.4945369999999998</v>
      </c>
      <c r="T4314">
        <v>-0.25923990000000002</v>
      </c>
      <c r="U4314">
        <v>-1.712402</v>
      </c>
      <c r="V4314">
        <v>-0.28813339999999998</v>
      </c>
      <c r="W4314">
        <v>7.6184600000000005E-2</v>
      </c>
      <c r="X4314">
        <v>0.95455489999999998</v>
      </c>
      <c r="Y4314">
        <v>-0.24223839999999999</v>
      </c>
      <c r="Z4314">
        <v>2.0051360000000001E-2</v>
      </c>
      <c r="AA4314">
        <v>0.97000960000000003</v>
      </c>
      <c r="AB4314">
        <v>35</v>
      </c>
      <c r="AC4314">
        <v>-10.4359999999999</v>
      </c>
      <c r="AD4314">
        <v>-1.117390683142</v>
      </c>
      <c r="AE4314">
        <v>-7.2571999999999903</v>
      </c>
      <c r="AF4314">
        <v>-3.1253812075134899</v>
      </c>
      <c r="AG4314">
        <v>-1.117390683142</v>
      </c>
      <c r="AH4314">
        <v>12.2204977444792</v>
      </c>
      <c r="AI4314">
        <v>95.062309917772296</v>
      </c>
      <c r="AJ4314">
        <v>104.345843983034</v>
      </c>
      <c r="AK4314">
        <v>12.6632197625198</v>
      </c>
      <c r="AL4314">
        <v>85.630710371612693</v>
      </c>
      <c r="AM4314">
        <v>106.796494981839</v>
      </c>
      <c r="AN4314">
        <v>1.00000000329336</v>
      </c>
    </row>
    <row r="4315" spans="1:40" x14ac:dyDescent="0.25">
      <c r="A4315" t="str">
        <f>"20190312151400790"</f>
        <v>20190312151400790</v>
      </c>
      <c r="B4315" t="str">
        <f>"1552374840784765"</f>
        <v>1552374840784765</v>
      </c>
      <c r="C4315" t="s">
        <v>40</v>
      </c>
      <c r="D4315">
        <v>4.3807470000000004</v>
      </c>
      <c r="E4315">
        <v>0.4799407</v>
      </c>
      <c r="F4315" t="s">
        <v>58</v>
      </c>
      <c r="G4315">
        <v>-414.01310000000001</v>
      </c>
      <c r="H4315" s="1">
        <v>-4.6976230000000001E-6</v>
      </c>
      <c r="I4315">
        <v>126.6091</v>
      </c>
      <c r="J4315">
        <v>-407.24430000000001</v>
      </c>
      <c r="K4315">
        <v>1.117648</v>
      </c>
      <c r="L4315">
        <v>132.14779999999999</v>
      </c>
      <c r="M4315">
        <v>-0.93373700000000004</v>
      </c>
      <c r="N4315">
        <v>0</v>
      </c>
      <c r="O4315">
        <v>-0.35763889999999998</v>
      </c>
      <c r="P4315">
        <v>-0.78618949999999999</v>
      </c>
      <c r="Q4315">
        <v>6.7427050000000002E-2</v>
      </c>
      <c r="R4315">
        <v>-0.61429590000000001</v>
      </c>
      <c r="S4315">
        <v>-2.36972</v>
      </c>
      <c r="T4315">
        <v>-0.37280439999999998</v>
      </c>
      <c r="U4315">
        <v>-1.8923490000000001</v>
      </c>
      <c r="V4315">
        <v>-0.29388239999999999</v>
      </c>
      <c r="W4315">
        <v>7.6586340000000003E-2</v>
      </c>
      <c r="X4315">
        <v>0.95276839999999996</v>
      </c>
      <c r="Y4315">
        <v>-0.30351590000000001</v>
      </c>
      <c r="Z4315">
        <v>2.601842E-2</v>
      </c>
      <c r="AA4315">
        <v>0.95247110000000001</v>
      </c>
      <c r="AB4315">
        <v>35</v>
      </c>
      <c r="AC4315">
        <v>-6.7687999999999899</v>
      </c>
      <c r="AD4315">
        <v>-1.1176526976229999</v>
      </c>
      <c r="AE4315">
        <v>-5.5386999999999897</v>
      </c>
      <c r="AF4315">
        <v>-2.7070132071614199</v>
      </c>
      <c r="AG4315">
        <v>-1.1176526976229999</v>
      </c>
      <c r="AH4315">
        <v>8.1686917948348405</v>
      </c>
      <c r="AI4315">
        <v>97.399916397589706</v>
      </c>
      <c r="AJ4315">
        <v>108.334619688364</v>
      </c>
      <c r="AK4315">
        <v>8.67782194420076</v>
      </c>
      <c r="AL4315">
        <v>85.607624807608204</v>
      </c>
      <c r="AM4315">
        <v>107.14243268803099</v>
      </c>
      <c r="AN4315">
        <v>0.99999997827145704</v>
      </c>
    </row>
    <row r="4316" spans="1:40" x14ac:dyDescent="0.25">
      <c r="A4316" t="str">
        <f>"20190312151400813"</f>
        <v>20190312151400813</v>
      </c>
      <c r="B4316" t="str">
        <f>"1552374840804285"</f>
        <v>1552374840804285</v>
      </c>
      <c r="C4316" t="s">
        <v>40</v>
      </c>
      <c r="D4316">
        <v>4.3158690000000002</v>
      </c>
      <c r="E4316">
        <v>0.42462680000000003</v>
      </c>
      <c r="F4316" t="s">
        <v>58</v>
      </c>
      <c r="G4316">
        <v>-414.31029999999998</v>
      </c>
      <c r="H4316" s="1">
        <v>-4.4194849999999996E-6</v>
      </c>
      <c r="I4316">
        <v>125.92700000000001</v>
      </c>
      <c r="J4316">
        <v>-407.5573</v>
      </c>
      <c r="K4316">
        <v>1.1178859999999999</v>
      </c>
      <c r="L4316">
        <v>132.0197</v>
      </c>
      <c r="M4316">
        <v>-0.93073669999999997</v>
      </c>
      <c r="N4316">
        <v>0</v>
      </c>
      <c r="O4316">
        <v>-0.3653748</v>
      </c>
      <c r="P4316">
        <v>-0.7773793</v>
      </c>
      <c r="Q4316">
        <v>6.7677539999999994E-2</v>
      </c>
      <c r="R4316">
        <v>-0.62538090000000002</v>
      </c>
      <c r="S4316">
        <v>-2.2790530000000002</v>
      </c>
      <c r="T4316">
        <v>-0.360487</v>
      </c>
      <c r="U4316">
        <v>-2.006424</v>
      </c>
      <c r="V4316">
        <v>-0.29954160000000002</v>
      </c>
      <c r="W4316">
        <v>7.6564480000000004E-2</v>
      </c>
      <c r="X4316">
        <v>0.95100620000000002</v>
      </c>
      <c r="Y4316">
        <v>-0.34088560000000001</v>
      </c>
      <c r="Z4316">
        <v>2.3871949999999999E-2</v>
      </c>
      <c r="AA4316">
        <v>0.93980160000000001</v>
      </c>
      <c r="AB4316">
        <v>35</v>
      </c>
      <c r="AC4316">
        <v>-6.7529999999999797</v>
      </c>
      <c r="AD4316">
        <v>-1.1178904194849999</v>
      </c>
      <c r="AE4316">
        <v>-6.09269999999999</v>
      </c>
      <c r="AF4316">
        <v>-3.1560159432613202</v>
      </c>
      <c r="AG4316">
        <v>-1.1178904194849999</v>
      </c>
      <c r="AH4316">
        <v>8.3856856193493403</v>
      </c>
      <c r="AI4316">
        <v>97.1117966715031</v>
      </c>
      <c r="AJ4316">
        <v>110.62420619675601</v>
      </c>
      <c r="AK4316">
        <v>9.0293875169170992</v>
      </c>
      <c r="AL4316">
        <v>85.608881258119297</v>
      </c>
      <c r="AM4316">
        <v>107.48303773744</v>
      </c>
      <c r="AN4316">
        <v>1.0000000410833301</v>
      </c>
    </row>
    <row r="4317" spans="1:40" x14ac:dyDescent="0.25">
      <c r="A4317" t="str">
        <f>"20190312151400838"</f>
        <v>20190312151400838</v>
      </c>
      <c r="B4317" t="str">
        <f>"1552374840834541"</f>
        <v>1552374840834541</v>
      </c>
      <c r="C4317" t="s">
        <v>40</v>
      </c>
      <c r="D4317">
        <v>4.3201199999999904</v>
      </c>
      <c r="E4317">
        <v>0.42466179999999898</v>
      </c>
      <c r="F4317" t="s">
        <v>58</v>
      </c>
      <c r="G4317">
        <v>-412.38200000000001</v>
      </c>
      <c r="H4317" s="1">
        <v>-4.7802539999999998E-6</v>
      </c>
      <c r="I4317">
        <v>126.19289999999999</v>
      </c>
      <c r="J4317">
        <v>-407.92110000000002</v>
      </c>
      <c r="K4317">
        <v>1.118152</v>
      </c>
      <c r="L4317">
        <v>131.86670000000001</v>
      </c>
      <c r="M4317">
        <v>-0.92702370000000001</v>
      </c>
      <c r="N4317">
        <v>0</v>
      </c>
      <c r="O4317">
        <v>-0.37469400000000003</v>
      </c>
      <c r="P4317">
        <v>-0.76752330000000002</v>
      </c>
      <c r="Q4317">
        <v>6.7221219999999998E-2</v>
      </c>
      <c r="R4317">
        <v>-0.63748689999999997</v>
      </c>
      <c r="S4317">
        <v>-1.9776309999999999</v>
      </c>
      <c r="T4317">
        <v>-0.45822190000000002</v>
      </c>
      <c r="U4317">
        <v>-2.388382</v>
      </c>
      <c r="V4317">
        <v>-0.30493209999999998</v>
      </c>
      <c r="W4317">
        <v>7.5811829999999997E-2</v>
      </c>
      <c r="X4317">
        <v>0.94935190000000003</v>
      </c>
      <c r="Y4317">
        <v>-0.47397440000000002</v>
      </c>
      <c r="Z4317">
        <v>2.0724840000000001E-2</v>
      </c>
      <c r="AA4317">
        <v>0.88029469999999999</v>
      </c>
      <c r="AB4317">
        <v>35</v>
      </c>
      <c r="AC4317">
        <v>-4.4608999999999197</v>
      </c>
      <c r="AD4317">
        <v>-1.118156780254</v>
      </c>
      <c r="AE4317">
        <v>-5.6738000000000097</v>
      </c>
      <c r="AF4317">
        <v>-3.50457508764597</v>
      </c>
      <c r="AG4317">
        <v>-1.118156780254</v>
      </c>
      <c r="AH4317">
        <v>6.1152487899208001</v>
      </c>
      <c r="AI4317">
        <v>99.014417830526796</v>
      </c>
      <c r="AJ4317">
        <v>119.816500128492</v>
      </c>
      <c r="AK4317">
        <v>7.1364268995628803</v>
      </c>
      <c r="AL4317">
        <v>85.652130560149004</v>
      </c>
      <c r="AM4317">
        <v>107.80703304929899</v>
      </c>
      <c r="AN4317">
        <v>1.0000000246059799</v>
      </c>
    </row>
    <row r="4318" spans="1:40" x14ac:dyDescent="0.25">
      <c r="A4318" t="str">
        <f>"20190312151400863"</f>
        <v>20190312151400863</v>
      </c>
      <c r="B4318" t="str">
        <f>"1552374840855038"</f>
        <v>1552374840855038</v>
      </c>
      <c r="C4318" t="s">
        <v>40</v>
      </c>
      <c r="D4318">
        <v>4.3059379999999896</v>
      </c>
      <c r="E4318">
        <v>0.42674260000000003</v>
      </c>
      <c r="F4318" t="s">
        <v>58</v>
      </c>
      <c r="G4318">
        <v>-412.42110000000002</v>
      </c>
      <c r="H4318" s="1">
        <v>-4.7983649999999998E-6</v>
      </c>
      <c r="I4318">
        <v>126.2607</v>
      </c>
      <c r="J4318">
        <v>-408.28399999999999</v>
      </c>
      <c r="K4318">
        <v>1.1184289999999999</v>
      </c>
      <c r="L4318">
        <v>131.70959999999999</v>
      </c>
      <c r="M4318">
        <v>-0.92306520000000003</v>
      </c>
      <c r="N4318">
        <v>0</v>
      </c>
      <c r="O4318">
        <v>-0.38434089999999999</v>
      </c>
      <c r="P4318">
        <v>-0.75622449999999997</v>
      </c>
      <c r="Q4318">
        <v>6.7503640000000004E-2</v>
      </c>
      <c r="R4318">
        <v>-0.65082119999999999</v>
      </c>
      <c r="S4318">
        <v>-1.9418029999999999</v>
      </c>
      <c r="T4318">
        <v>-0.48249340000000002</v>
      </c>
      <c r="U4318">
        <v>-2.419006</v>
      </c>
      <c r="V4318">
        <v>-0.3117123</v>
      </c>
      <c r="W4318">
        <v>7.5750979999999996E-2</v>
      </c>
      <c r="X4318">
        <v>0.9471522</v>
      </c>
      <c r="Y4318">
        <v>-0.47809030000000002</v>
      </c>
      <c r="Z4318">
        <v>2.309027E-2</v>
      </c>
      <c r="AA4318">
        <v>0.87800719999999999</v>
      </c>
      <c r="AB4318">
        <v>35</v>
      </c>
      <c r="AC4318">
        <v>-4.1371000000000304</v>
      </c>
      <c r="AD4318">
        <v>-1.1184337983649999</v>
      </c>
      <c r="AE4318">
        <v>-5.4488999999999903</v>
      </c>
      <c r="AF4318">
        <v>-3.3504915638078598</v>
      </c>
      <c r="AG4318">
        <v>-1.1184337983649999</v>
      </c>
      <c r="AH4318">
        <v>5.7598053851990096</v>
      </c>
      <c r="AI4318">
        <v>99.528100901088806</v>
      </c>
      <c r="AJ4318">
        <v>120.18665878416699</v>
      </c>
      <c r="AK4318">
        <v>6.7566297779174196</v>
      </c>
      <c r="AL4318">
        <v>85.655627083696999</v>
      </c>
      <c r="AM4318">
        <v>108.21662158787601</v>
      </c>
      <c r="AN4318">
        <v>1.0000000294535401</v>
      </c>
    </row>
    <row r="4319" spans="1:40" x14ac:dyDescent="0.25">
      <c r="A4319" t="str">
        <f>"20190312151400887"</f>
        <v>20190312151400887</v>
      </c>
      <c r="B4319" t="str">
        <f>"1552374840874557"</f>
        <v>1552374840874557</v>
      </c>
      <c r="C4319" t="s">
        <v>40</v>
      </c>
      <c r="D4319">
        <v>4.2772189999999997</v>
      </c>
      <c r="E4319">
        <v>0.42878460000000002</v>
      </c>
      <c r="F4319" t="s">
        <v>41</v>
      </c>
      <c r="G4319">
        <v>-408.82459999999998</v>
      </c>
      <c r="H4319">
        <v>0.98446639999999996</v>
      </c>
      <c r="I4319">
        <v>131.0197</v>
      </c>
      <c r="J4319">
        <v>-408.60649999999998</v>
      </c>
      <c r="K4319">
        <v>1.11869</v>
      </c>
      <c r="L4319">
        <v>131.5658</v>
      </c>
      <c r="M4319">
        <v>-0.91930730000000005</v>
      </c>
      <c r="N4319">
        <v>0</v>
      </c>
      <c r="O4319">
        <v>-0.39324389999999998</v>
      </c>
      <c r="P4319">
        <v>-0.74592519999999995</v>
      </c>
      <c r="Q4319">
        <v>6.7881349999999993E-2</v>
      </c>
      <c r="R4319">
        <v>-0.66256159999999997</v>
      </c>
      <c r="S4319">
        <v>-1.9105529999999999</v>
      </c>
      <c r="T4319">
        <v>-0.4734467</v>
      </c>
      <c r="U4319">
        <v>-2.438736</v>
      </c>
      <c r="V4319">
        <v>-0.31743310000000002</v>
      </c>
      <c r="W4319">
        <v>7.5815649999999998E-2</v>
      </c>
      <c r="X4319">
        <v>0.945245</v>
      </c>
      <c r="Y4319">
        <v>-0.48011369999999998</v>
      </c>
      <c r="Z4319">
        <v>2.4016180000000002E-2</v>
      </c>
      <c r="AA4319">
        <v>0.87687739999999903</v>
      </c>
      <c r="AB4319">
        <v>35</v>
      </c>
      <c r="AC4319">
        <v>-0.21809999999999199</v>
      </c>
      <c r="AD4319">
        <v>-0.134223599999999</v>
      </c>
      <c r="AE4319">
        <v>-0.54609999999999503</v>
      </c>
      <c r="AF4319">
        <v>-0.39569964795021201</v>
      </c>
      <c r="AG4319">
        <v>-0.134223599999999</v>
      </c>
      <c r="AH4319">
        <v>0.39473403244335198</v>
      </c>
      <c r="AI4319">
        <v>103.503725348342</v>
      </c>
      <c r="AJ4319">
        <v>135.06999406405001</v>
      </c>
      <c r="AK4319">
        <v>0.57481226722632806</v>
      </c>
      <c r="AL4319">
        <v>85.651910724352703</v>
      </c>
      <c r="AM4319">
        <v>108.563131314396</v>
      </c>
      <c r="AN4319">
        <v>0.99999994789276403</v>
      </c>
    </row>
    <row r="4320" spans="1:40" x14ac:dyDescent="0.25">
      <c r="A4320" t="str">
        <f>"20190312151400908"</f>
        <v>20190312151400908</v>
      </c>
      <c r="B4320" t="str">
        <f>"1552374840904813"</f>
        <v>1552374840904813</v>
      </c>
      <c r="C4320" t="s">
        <v>40</v>
      </c>
      <c r="D4320">
        <v>4.4689120000000004</v>
      </c>
      <c r="E4320">
        <v>0.43111509999999997</v>
      </c>
      <c r="F4320" t="s">
        <v>58</v>
      </c>
      <c r="G4320">
        <v>-413.08859999999999</v>
      </c>
      <c r="H4320" s="1">
        <v>-4.5187039999999997E-6</v>
      </c>
      <c r="I4320">
        <v>125.72280000000001</v>
      </c>
      <c r="J4320">
        <v>-408.92619999999999</v>
      </c>
      <c r="K4320">
        <v>1.118959</v>
      </c>
      <c r="L4320">
        <v>131.41899999999899</v>
      </c>
      <c r="M4320">
        <v>-0.91533609999999999</v>
      </c>
      <c r="N4320">
        <v>0</v>
      </c>
      <c r="O4320">
        <v>-0.40239910000000001</v>
      </c>
      <c r="P4320">
        <v>-0.73544949999999998</v>
      </c>
      <c r="Q4320">
        <v>6.7923929999999993E-2</v>
      </c>
      <c r="R4320">
        <v>-0.67416659999999995</v>
      </c>
      <c r="S4320">
        <v>-1.883575</v>
      </c>
      <c r="T4320">
        <v>-0.4701285</v>
      </c>
      <c r="U4320">
        <v>-2.4554900000000002</v>
      </c>
      <c r="V4320">
        <v>-0.32286179999999998</v>
      </c>
      <c r="W4320">
        <v>7.5541769999999994E-2</v>
      </c>
      <c r="X4320">
        <v>0.94342649999999995</v>
      </c>
      <c r="Y4320">
        <v>-0.48040050000000001</v>
      </c>
      <c r="Z4320">
        <v>2.5385060000000001E-2</v>
      </c>
      <c r="AA4320">
        <v>0.87668179999999996</v>
      </c>
      <c r="AB4320">
        <v>35</v>
      </c>
      <c r="AC4320">
        <v>-4.1623999999999901</v>
      </c>
      <c r="AD4320">
        <v>-1.1189635187039999</v>
      </c>
      <c r="AE4320">
        <v>-5.69619999999997</v>
      </c>
      <c r="AF4320">
        <v>-3.45255399364558</v>
      </c>
      <c r="AG4320">
        <v>-1.1189635187039999</v>
      </c>
      <c r="AH4320">
        <v>5.9531000549748603</v>
      </c>
      <c r="AI4320">
        <v>99.235294815108901</v>
      </c>
      <c r="AJ4320">
        <v>120.111975597319</v>
      </c>
      <c r="AK4320">
        <v>6.9722025716247096</v>
      </c>
      <c r="AL4320">
        <v>85.667647950165005</v>
      </c>
      <c r="AM4320">
        <v>108.892101884111</v>
      </c>
      <c r="AN4320">
        <v>0.99999993090810901</v>
      </c>
    </row>
    <row r="4321" spans="1:40" x14ac:dyDescent="0.25">
      <c r="A4321" t="str">
        <f>"20190312151400929"</f>
        <v>20190312151400929</v>
      </c>
      <c r="B4321" t="str">
        <f>"1552374840924334"</f>
        <v>1552374840924334</v>
      </c>
      <c r="C4321" t="s">
        <v>40</v>
      </c>
      <c r="D4321">
        <v>4.4166339999999904</v>
      </c>
      <c r="E4321">
        <v>0.43261810000000001</v>
      </c>
      <c r="F4321" t="s">
        <v>58</v>
      </c>
      <c r="G4321">
        <v>-413.44619999999998</v>
      </c>
      <c r="H4321" s="1">
        <v>-4.3592450000000003E-6</v>
      </c>
      <c r="I4321">
        <v>125.40689999999999</v>
      </c>
      <c r="J4321">
        <v>-409.20830000000001</v>
      </c>
      <c r="K4321">
        <v>1.1191930000000001</v>
      </c>
      <c r="L4321">
        <v>131.2861</v>
      </c>
      <c r="M4321">
        <v>-0.91164210000000001</v>
      </c>
      <c r="N4321">
        <v>0</v>
      </c>
      <c r="O4321">
        <v>-0.4106978</v>
      </c>
      <c r="P4321">
        <v>-0.72548880000000004</v>
      </c>
      <c r="Q4321">
        <v>6.7237820000000004E-2</v>
      </c>
      <c r="R4321">
        <v>-0.68494140000000003</v>
      </c>
      <c r="S4321">
        <v>-1.857178</v>
      </c>
      <c r="T4321">
        <v>-0.45975830000000001</v>
      </c>
      <c r="U4321">
        <v>-2.4702299999999999</v>
      </c>
      <c r="V4321">
        <v>-0.32820899999999997</v>
      </c>
      <c r="W4321">
        <v>7.4563199999999996E-2</v>
      </c>
      <c r="X4321">
        <v>0.94165770000000004</v>
      </c>
      <c r="Y4321">
        <v>-0.48102850000000003</v>
      </c>
      <c r="Z4321">
        <v>2.6179689999999999E-2</v>
      </c>
      <c r="AA4321">
        <v>0.87631399999999904</v>
      </c>
      <c r="AB4321">
        <v>35</v>
      </c>
      <c r="AC4321">
        <v>-4.2378999999999598</v>
      </c>
      <c r="AD4321">
        <v>-1.119197359245</v>
      </c>
      <c r="AE4321">
        <v>-5.8792000000000098</v>
      </c>
      <c r="AF4321">
        <v>-3.5353467877911902</v>
      </c>
      <c r="AG4321">
        <v>-1.119197359245</v>
      </c>
      <c r="AH4321">
        <v>6.1325162330325496</v>
      </c>
      <c r="AI4321">
        <v>98.984672042699799</v>
      </c>
      <c r="AJ4321">
        <v>119.96310657167599</v>
      </c>
      <c r="AK4321">
        <v>7.1665218193552098</v>
      </c>
      <c r="AL4321">
        <v>85.723874856345503</v>
      </c>
      <c r="AM4321">
        <v>109.215686211357</v>
      </c>
      <c r="AN4321">
        <v>1.0000000212222599</v>
      </c>
    </row>
    <row r="4322" spans="1:40" x14ac:dyDescent="0.25">
      <c r="A4322" t="str">
        <f>"20190312151400950"</f>
        <v>20190312151400950</v>
      </c>
      <c r="B4322" t="str">
        <f>"1552374840944829"</f>
        <v>1552374840944829</v>
      </c>
      <c r="C4322" t="s">
        <v>40</v>
      </c>
      <c r="D4322">
        <v>4.4064959999999997</v>
      </c>
      <c r="E4322">
        <v>0.433896</v>
      </c>
      <c r="F4322" t="s">
        <v>58</v>
      </c>
      <c r="G4322">
        <v>-413.57159999999999</v>
      </c>
      <c r="H4322" s="1">
        <v>-4.3219470000000003E-6</v>
      </c>
      <c r="I4322">
        <v>125.3498</v>
      </c>
      <c r="J4322">
        <v>-409.50080000000003</v>
      </c>
      <c r="K4322">
        <v>1.1194219999999999</v>
      </c>
      <c r="L4322">
        <v>131.1447</v>
      </c>
      <c r="M4322">
        <v>-0.90760770000000002</v>
      </c>
      <c r="N4322">
        <v>0</v>
      </c>
      <c r="O4322">
        <v>-0.4195372</v>
      </c>
      <c r="P4322">
        <v>-0.71543400000000001</v>
      </c>
      <c r="Q4322">
        <v>6.7805630000000006E-2</v>
      </c>
      <c r="R4322">
        <v>-0.69538269999999902</v>
      </c>
      <c r="S4322">
        <v>-1.829132</v>
      </c>
      <c r="T4322">
        <v>-0.46916839999999999</v>
      </c>
      <c r="U4322">
        <v>-2.4884949999999999</v>
      </c>
      <c r="V4322">
        <v>-0.33278239999999998</v>
      </c>
      <c r="W4322">
        <v>7.4852790000000002E-2</v>
      </c>
      <c r="X4322">
        <v>0.94002810000000003</v>
      </c>
      <c r="Y4322">
        <v>-0.48201670000000002</v>
      </c>
      <c r="Z4322">
        <v>2.8133209999999999E-2</v>
      </c>
      <c r="AA4322">
        <v>0.87571019999999899</v>
      </c>
      <c r="AB4322">
        <v>35</v>
      </c>
      <c r="AC4322">
        <v>-4.0707999999999602</v>
      </c>
      <c r="AD4322">
        <v>-1.119426321947</v>
      </c>
      <c r="AE4322">
        <v>-5.7948999999999904</v>
      </c>
      <c r="AF4322">
        <v>-3.4654753285182198</v>
      </c>
      <c r="AG4322">
        <v>-1.119426321947</v>
      </c>
      <c r="AH4322">
        <v>5.9772423553104401</v>
      </c>
      <c r="AI4322">
        <v>99.203080896895699</v>
      </c>
      <c r="AJ4322">
        <v>120.10422664721401</v>
      </c>
      <c r="AK4322">
        <v>6.9992900152053501</v>
      </c>
      <c r="AL4322">
        <v>85.707235756302694</v>
      </c>
      <c r="AM4322">
        <v>109.494637546064</v>
      </c>
      <c r="AN4322">
        <v>0.99999994735507503</v>
      </c>
    </row>
    <row r="4323" spans="1:40" x14ac:dyDescent="0.25">
      <c r="A4323" t="str">
        <f>"20190312151400972"</f>
        <v>20190312151400972</v>
      </c>
      <c r="B4323" t="str">
        <f>"1552374840964349"</f>
        <v>1552374840964349</v>
      </c>
      <c r="C4323" t="s">
        <v>40</v>
      </c>
      <c r="D4323">
        <v>4.4617180000000003</v>
      </c>
      <c r="E4323">
        <v>0.43504809999999999</v>
      </c>
      <c r="F4323" t="s">
        <v>58</v>
      </c>
      <c r="G4323">
        <v>-413.75830000000002</v>
      </c>
      <c r="H4323" s="1">
        <v>-4.2486920000000003E-6</v>
      </c>
      <c r="I4323">
        <v>125.2137</v>
      </c>
      <c r="J4323">
        <v>-409.79160000000002</v>
      </c>
      <c r="K4323">
        <v>1.11964</v>
      </c>
      <c r="L4323">
        <v>131.00040000000001</v>
      </c>
      <c r="M4323">
        <v>-0.90337690000000004</v>
      </c>
      <c r="N4323">
        <v>0</v>
      </c>
      <c r="O4323">
        <v>-0.42856959999999999</v>
      </c>
      <c r="P4323">
        <v>-0.70509580000000005</v>
      </c>
      <c r="Q4323">
        <v>6.7725309999999997E-2</v>
      </c>
      <c r="R4323">
        <v>-0.70587060000000001</v>
      </c>
      <c r="S4323">
        <v>-1.8003849999999999</v>
      </c>
      <c r="T4323">
        <v>-0.47336899999999998</v>
      </c>
      <c r="U4323">
        <v>-2.508041</v>
      </c>
      <c r="V4323">
        <v>-0.33732329999999999</v>
      </c>
      <c r="W4323">
        <v>7.4493299999999998E-2</v>
      </c>
      <c r="X4323">
        <v>0.93843690000000002</v>
      </c>
      <c r="Y4323">
        <v>-0.483186</v>
      </c>
      <c r="Z4323">
        <v>2.9833579999999998E-2</v>
      </c>
      <c r="AA4323">
        <v>0.87500929999999999</v>
      </c>
      <c r="AB4323">
        <v>35</v>
      </c>
      <c r="AC4323">
        <v>-3.9666999999999999</v>
      </c>
      <c r="AD4323">
        <v>-1.119644248692</v>
      </c>
      <c r="AE4323">
        <v>-5.7866999999999997</v>
      </c>
      <c r="AF4323">
        <v>-3.44036159088142</v>
      </c>
      <c r="AG4323">
        <v>-1.119644248692</v>
      </c>
      <c r="AH4323">
        <v>5.9135390013653604</v>
      </c>
      <c r="AI4323">
        <v>99.294345703459101</v>
      </c>
      <c r="AJ4323">
        <v>120.189864543384</v>
      </c>
      <c r="AK4323">
        <v>6.9325056538246299</v>
      </c>
      <c r="AL4323">
        <v>85.727891071809594</v>
      </c>
      <c r="AM4323">
        <v>109.771090852274</v>
      </c>
      <c r="AN4323">
        <v>1.0000000378746901</v>
      </c>
    </row>
    <row r="4324" spans="1:40" x14ac:dyDescent="0.25">
      <c r="A4324" t="str">
        <f>"20190312151400995"</f>
        <v>20190312151400995</v>
      </c>
      <c r="B4324" t="str">
        <f>"1552374840984845"</f>
        <v>1552374840984845</v>
      </c>
      <c r="C4324" t="s">
        <v>40</v>
      </c>
      <c r="D4324">
        <v>4.382098</v>
      </c>
      <c r="E4324">
        <v>0.43643470000000001</v>
      </c>
      <c r="F4324" t="s">
        <v>58</v>
      </c>
      <c r="G4324">
        <v>-413.98070000000001</v>
      </c>
      <c r="H4324" s="1">
        <v>-4.1504600000000001E-6</v>
      </c>
      <c r="I4324">
        <v>125.01990000000001</v>
      </c>
      <c r="J4324">
        <v>-410.12720000000002</v>
      </c>
      <c r="K4324">
        <v>1.1198980000000001</v>
      </c>
      <c r="L4324">
        <v>130.82900000000001</v>
      </c>
      <c r="M4324">
        <v>-0.89820739999999999</v>
      </c>
      <c r="N4324">
        <v>0</v>
      </c>
      <c r="O4324">
        <v>-0.43929960000000001</v>
      </c>
      <c r="P4324">
        <v>-0.69402589999999997</v>
      </c>
      <c r="Q4324">
        <v>6.7024979999999998E-2</v>
      </c>
      <c r="R4324">
        <v>-0.71682349999999995</v>
      </c>
      <c r="S4324">
        <v>-1.7702329999999999</v>
      </c>
      <c r="T4324">
        <v>-0.47313939999999999</v>
      </c>
      <c r="U4324">
        <v>-2.5272220000000001</v>
      </c>
      <c r="V4324">
        <v>-0.34084059999999999</v>
      </c>
      <c r="W4324">
        <v>7.3516579999999998E-2</v>
      </c>
      <c r="X4324">
        <v>0.93724220000000003</v>
      </c>
      <c r="Y4324">
        <v>-0.4829755</v>
      </c>
      <c r="Z4324">
        <v>3.1689120000000001E-2</v>
      </c>
      <c r="AA4324">
        <v>0.87506030000000001</v>
      </c>
      <c r="AB4324">
        <v>35</v>
      </c>
      <c r="AC4324">
        <v>-3.8534999999999902</v>
      </c>
      <c r="AD4324">
        <v>-1.11990215046</v>
      </c>
      <c r="AE4324">
        <v>-5.8090999999999999</v>
      </c>
      <c r="AF4324">
        <v>-3.4366614121867198</v>
      </c>
      <c r="AG4324">
        <v>-1.11990215046</v>
      </c>
      <c r="AH4324">
        <v>5.8625908407422598</v>
      </c>
      <c r="AI4324">
        <v>99.358081638118193</v>
      </c>
      <c r="AJ4324">
        <v>120.378909472917</v>
      </c>
      <c r="AK4324">
        <v>6.8872922004640698</v>
      </c>
      <c r="AL4324">
        <v>85.784006603230296</v>
      </c>
      <c r="AM4324">
        <v>109.984470072938</v>
      </c>
      <c r="AN4324">
        <v>0.99999997180204703</v>
      </c>
    </row>
    <row r="4325" spans="1:40" x14ac:dyDescent="0.25">
      <c r="A4325" t="str">
        <f>"20190312151401016"</f>
        <v>20190312151401016</v>
      </c>
      <c r="B4325" t="str">
        <f>"1552374841004365"</f>
        <v>1552374841004365</v>
      </c>
      <c r="C4325" t="s">
        <v>40</v>
      </c>
      <c r="D4325">
        <v>4.4108799999999997</v>
      </c>
      <c r="E4325">
        <v>0.43785780000000002</v>
      </c>
      <c r="F4325" t="s">
        <v>58</v>
      </c>
      <c r="G4325">
        <v>-414.26170000000002</v>
      </c>
      <c r="H4325" s="1">
        <v>-4.0235910000000003E-6</v>
      </c>
      <c r="I4325">
        <v>124.7671</v>
      </c>
      <c r="J4325">
        <v>-410.39620000000002</v>
      </c>
      <c r="K4325">
        <v>1.1201080000000001</v>
      </c>
      <c r="L4325">
        <v>130.68780000000001</v>
      </c>
      <c r="M4325">
        <v>-0.89383199999999996</v>
      </c>
      <c r="N4325">
        <v>0</v>
      </c>
      <c r="O4325">
        <v>-0.44813399999999998</v>
      </c>
      <c r="P4325">
        <v>-0.68483079999999996</v>
      </c>
      <c r="Q4325">
        <v>6.7031419999999994E-2</v>
      </c>
      <c r="R4325">
        <v>-0.7256127</v>
      </c>
      <c r="S4325">
        <v>-1.73724399999999</v>
      </c>
      <c r="T4325">
        <v>-0.47056700000000001</v>
      </c>
      <c r="U4325">
        <v>-2.547104</v>
      </c>
      <c r="V4325">
        <v>-0.343587799999999</v>
      </c>
      <c r="W4325">
        <v>7.3300669999999998E-2</v>
      </c>
      <c r="X4325">
        <v>0.93625559999999997</v>
      </c>
      <c r="Y4325">
        <v>-0.48530990000000002</v>
      </c>
      <c r="Z4325">
        <v>3.2859060000000002E-2</v>
      </c>
      <c r="AA4325">
        <v>0.87372450000000002</v>
      </c>
      <c r="AB4325">
        <v>35</v>
      </c>
      <c r="AC4325">
        <v>-3.8654999999999902</v>
      </c>
      <c r="AD4325">
        <v>-1.120112023591</v>
      </c>
      <c r="AE4325">
        <v>-5.9207000000000098</v>
      </c>
      <c r="AF4325">
        <v>-3.4731202056827302</v>
      </c>
      <c r="AG4325">
        <v>-1.120112023591</v>
      </c>
      <c r="AH4325">
        <v>5.9595556653474597</v>
      </c>
      <c r="AI4325">
        <v>99.223644012693399</v>
      </c>
      <c r="AJ4325">
        <v>120.23285123367501</v>
      </c>
      <c r="AK4325">
        <v>6.9880983562690204</v>
      </c>
      <c r="AL4325">
        <v>85.796411159353099</v>
      </c>
      <c r="AM4325">
        <v>110.152165735647</v>
      </c>
      <c r="AN4325">
        <v>1.0000000565313201</v>
      </c>
    </row>
    <row r="4326" spans="1:40" x14ac:dyDescent="0.25">
      <c r="A4326" t="str">
        <f>"20190312151401036"</f>
        <v>20190312151401036</v>
      </c>
      <c r="B4326" t="str">
        <f>"1552374841024861"</f>
        <v>1552374841024861</v>
      </c>
      <c r="C4326" t="s">
        <v>40</v>
      </c>
      <c r="D4326">
        <v>4.4069760000000002</v>
      </c>
      <c r="E4326">
        <v>0.43920379999999998</v>
      </c>
      <c r="F4326" t="s">
        <v>58</v>
      </c>
      <c r="G4326">
        <v>-414.50599999999997</v>
      </c>
      <c r="H4326" s="1">
        <v>-3.8894410000000001E-6</v>
      </c>
      <c r="I4326">
        <v>124.5411</v>
      </c>
      <c r="J4326">
        <v>-410.67399999999998</v>
      </c>
      <c r="K4326">
        <v>1.120323</v>
      </c>
      <c r="L4326">
        <v>130.53819999999999</v>
      </c>
      <c r="M4326">
        <v>-0.88908109999999996</v>
      </c>
      <c r="N4326">
        <v>0</v>
      </c>
      <c r="O4326">
        <v>-0.45748549999999899</v>
      </c>
      <c r="P4326">
        <v>-0.67486880000000005</v>
      </c>
      <c r="Q4326">
        <v>6.6933039999999999E-2</v>
      </c>
      <c r="R4326">
        <v>-0.7348962</v>
      </c>
      <c r="S4326">
        <v>-1.7125239999999999</v>
      </c>
      <c r="T4326">
        <v>-0.46674529999999997</v>
      </c>
      <c r="U4326">
        <v>-2.5612789999999999</v>
      </c>
      <c r="V4326">
        <v>-0.34658480000000003</v>
      </c>
      <c r="W4326">
        <v>7.2963979999999998E-2</v>
      </c>
      <c r="X4326">
        <v>0.93517660000000002</v>
      </c>
      <c r="Y4326">
        <v>-0.48429509999999998</v>
      </c>
      <c r="Z4326">
        <v>3.4290580000000001E-2</v>
      </c>
      <c r="AA4326">
        <v>0.87423249999999997</v>
      </c>
      <c r="AB4326">
        <v>35</v>
      </c>
      <c r="AC4326">
        <v>-3.8319999999999301</v>
      </c>
      <c r="AD4326">
        <v>-1.1203268894409999</v>
      </c>
      <c r="AE4326">
        <v>-5.9970999999999801</v>
      </c>
      <c r="AF4326">
        <v>-3.4927046747050801</v>
      </c>
      <c r="AG4326">
        <v>-1.1203268894409999</v>
      </c>
      <c r="AH4326">
        <v>6.0025412079339597</v>
      </c>
      <c r="AI4326">
        <v>99.164008996218797</v>
      </c>
      <c r="AJ4326">
        <v>120.193883960246</v>
      </c>
      <c r="AK4326">
        <v>7.0345304915720197</v>
      </c>
      <c r="AL4326">
        <v>85.815753714469494</v>
      </c>
      <c r="AM4326">
        <v>110.335155615887</v>
      </c>
      <c r="AN4326">
        <v>1.0000000195780201</v>
      </c>
    </row>
    <row r="4327" spans="1:40" x14ac:dyDescent="0.25">
      <c r="A4327" t="str">
        <f>"20190312151401063"</f>
        <v>20190312151401063</v>
      </c>
      <c r="B4327" t="str">
        <f>"1552374841055119"</f>
        <v>1552374841055119</v>
      </c>
      <c r="C4327" t="s">
        <v>40</v>
      </c>
      <c r="D4327">
        <v>4.3796460000000002</v>
      </c>
      <c r="E4327">
        <v>0.44113570000000002</v>
      </c>
      <c r="F4327" t="s">
        <v>58</v>
      </c>
      <c r="G4327">
        <v>-414.74799999999999</v>
      </c>
      <c r="H4327" s="1">
        <v>-3.707013E-6</v>
      </c>
      <c r="I4327">
        <v>124.30710000000001</v>
      </c>
      <c r="J4327">
        <v>-411.04169999999999</v>
      </c>
      <c r="K4327">
        <v>1.1206160000000001</v>
      </c>
      <c r="L4327">
        <v>130.33420000000001</v>
      </c>
      <c r="M4327">
        <v>-0.88241899999999995</v>
      </c>
      <c r="N4327">
        <v>0</v>
      </c>
      <c r="O4327">
        <v>-0.47020580000000001</v>
      </c>
      <c r="P4327">
        <v>-0.66261729999999996</v>
      </c>
      <c r="Q4327">
        <v>6.7290829999999996E-2</v>
      </c>
      <c r="R4327">
        <v>-0.74592919999999996</v>
      </c>
      <c r="S4327">
        <v>-1.6849670000000001</v>
      </c>
      <c r="T4327">
        <v>-0.46335490000000001</v>
      </c>
      <c r="U4327">
        <v>-2.5770870000000001</v>
      </c>
      <c r="V4327">
        <v>-0.34866370000000002</v>
      </c>
      <c r="W4327">
        <v>7.3056239999999995E-2</v>
      </c>
      <c r="X4327">
        <v>0.93439629999999996</v>
      </c>
      <c r="Y4327">
        <v>-0.4808731</v>
      </c>
      <c r="Z4327">
        <v>3.6497059999999998E-2</v>
      </c>
      <c r="AA4327">
        <v>0.87603030000000004</v>
      </c>
      <c r="AB4327">
        <v>35</v>
      </c>
      <c r="AC4327">
        <v>-3.7063000000000499</v>
      </c>
      <c r="AD4327">
        <v>-1.120619707013</v>
      </c>
      <c r="AE4327">
        <v>-6.0270999999999999</v>
      </c>
      <c r="AF4327">
        <v>-3.4886286636408101</v>
      </c>
      <c r="AG4327">
        <v>-1.120619707013</v>
      </c>
      <c r="AH4327">
        <v>5.9558311414988498</v>
      </c>
      <c r="AI4327">
        <v>99.221698485761195</v>
      </c>
      <c r="AJ4327">
        <v>120.359643128057</v>
      </c>
      <c r="AK4327">
        <v>6.9927278701926996</v>
      </c>
      <c r="AL4327">
        <v>85.810453452661903</v>
      </c>
      <c r="AM4327">
        <v>110.462721720275</v>
      </c>
      <c r="AN4327">
        <v>1.00000001767715</v>
      </c>
    </row>
    <row r="4328" spans="1:40" x14ac:dyDescent="0.25">
      <c r="A4328" t="str">
        <f>"20190312151401089"</f>
        <v>20190312151401089</v>
      </c>
      <c r="B4328" t="str">
        <f>"1552374841084398"</f>
        <v>1552374841084398</v>
      </c>
      <c r="C4328" t="s">
        <v>40</v>
      </c>
      <c r="D4328">
        <v>4.4009499999999999</v>
      </c>
      <c r="E4328">
        <v>0.44306060000000003</v>
      </c>
      <c r="F4328" t="s">
        <v>41</v>
      </c>
      <c r="G4328">
        <v>-411.51139999999998</v>
      </c>
      <c r="H4328">
        <v>0.98985670000000003</v>
      </c>
      <c r="I4328">
        <v>129.5977</v>
      </c>
      <c r="J4328">
        <v>-411.36849999999998</v>
      </c>
      <c r="K4328">
        <v>1.1208800000000001</v>
      </c>
      <c r="L4328">
        <v>130.1464</v>
      </c>
      <c r="M4328">
        <v>-0.87609249999999905</v>
      </c>
      <c r="N4328">
        <v>0</v>
      </c>
      <c r="O4328">
        <v>-0.48188900000000001</v>
      </c>
      <c r="P4328">
        <v>-0.65117569999999902</v>
      </c>
      <c r="Q4328">
        <v>6.7535419999999999E-2</v>
      </c>
      <c r="R4328">
        <v>-0.75591640000000004</v>
      </c>
      <c r="S4328">
        <v>-1.653473</v>
      </c>
      <c r="T4328">
        <v>-0.4603853</v>
      </c>
      <c r="U4328">
        <v>-2.5945589999999998</v>
      </c>
      <c r="V4328">
        <v>-0.35052119999999998</v>
      </c>
      <c r="W4328">
        <v>7.3062420000000003E-2</v>
      </c>
      <c r="X4328">
        <v>0.93370059999999999</v>
      </c>
      <c r="Y4328">
        <v>-0.47956280000000001</v>
      </c>
      <c r="Z4328">
        <v>3.8372419999999997E-2</v>
      </c>
      <c r="AA4328">
        <v>0.87666819999999901</v>
      </c>
      <c r="AB4328">
        <v>35</v>
      </c>
      <c r="AC4328">
        <v>-0.142899999999997</v>
      </c>
      <c r="AD4328">
        <v>-0.13102329999999901</v>
      </c>
      <c r="AE4328">
        <v>-0.54869999999999597</v>
      </c>
      <c r="AF4328">
        <v>-0.39102065562073401</v>
      </c>
      <c r="AG4328">
        <v>-0.13102329999999901</v>
      </c>
      <c r="AH4328">
        <v>0.36990173947864802</v>
      </c>
      <c r="AI4328">
        <v>103.680859384155</v>
      </c>
      <c r="AJ4328">
        <v>136.58979971971101</v>
      </c>
      <c r="AK4328">
        <v>0.553977937407518</v>
      </c>
      <c r="AL4328">
        <v>85.810098424242796</v>
      </c>
      <c r="AM4328">
        <v>110.57667290542901</v>
      </c>
      <c r="AN4328">
        <v>1.0000000196530201</v>
      </c>
    </row>
    <row r="4329" spans="1:40" x14ac:dyDescent="0.25">
      <c r="A4329" t="str">
        <f>"20190312151401127"</f>
        <v>20190312151401127</v>
      </c>
      <c r="B4329" t="str">
        <f>"1552374841114653"</f>
        <v>1552374841114653</v>
      </c>
      <c r="C4329" t="s">
        <v>40</v>
      </c>
      <c r="D4329">
        <v>4.6306820000000002</v>
      </c>
      <c r="E4329">
        <v>0.44494899999999998</v>
      </c>
      <c r="F4329" t="s">
        <v>58</v>
      </c>
      <c r="G4329">
        <v>-415.3569</v>
      </c>
      <c r="H4329" s="1">
        <v>-3.2633300000000001E-6</v>
      </c>
      <c r="I4329">
        <v>123.74250000000001</v>
      </c>
      <c r="J4329">
        <v>-411.86630000000002</v>
      </c>
      <c r="K4329">
        <v>1.12127</v>
      </c>
      <c r="L4329">
        <v>129.8486</v>
      </c>
      <c r="M4329">
        <v>-0.86571129999999996</v>
      </c>
      <c r="N4329">
        <v>0</v>
      </c>
      <c r="O4329">
        <v>-0.50029659999999998</v>
      </c>
      <c r="P4329">
        <v>-0.63263069999999999</v>
      </c>
      <c r="Q4329">
        <v>6.6994750000000006E-2</v>
      </c>
      <c r="R4329">
        <v>-0.77155090000000004</v>
      </c>
      <c r="S4329">
        <v>-1.625183</v>
      </c>
      <c r="T4329">
        <v>-0.45673469999999999</v>
      </c>
      <c r="U4329">
        <v>-2.6094360000000001</v>
      </c>
      <c r="V4329">
        <v>-0.3535587</v>
      </c>
      <c r="W4329">
        <v>7.2157399999999997E-2</v>
      </c>
      <c r="X4329">
        <v>0.93262509999999998</v>
      </c>
      <c r="Y4329">
        <v>-0.47030280000000002</v>
      </c>
      <c r="Z4329">
        <v>4.1920069999999997E-2</v>
      </c>
      <c r="AA4329">
        <v>0.88150890000000004</v>
      </c>
      <c r="AB4329">
        <v>35</v>
      </c>
      <c r="AC4329">
        <v>-3.4905999999999699</v>
      </c>
      <c r="AD4329">
        <v>-1.12127326333</v>
      </c>
      <c r="AE4329">
        <v>-6.1060999999999899</v>
      </c>
      <c r="AF4329">
        <v>-3.4524770637448099</v>
      </c>
      <c r="AG4329">
        <v>-1.12127326333</v>
      </c>
      <c r="AH4329">
        <v>5.9268331954426898</v>
      </c>
      <c r="AI4329">
        <v>99.284186083792804</v>
      </c>
      <c r="AJ4329">
        <v>120.221498102315</v>
      </c>
      <c r="AK4329">
        <v>6.9501225408869001</v>
      </c>
      <c r="AL4329">
        <v>85.862089449998606</v>
      </c>
      <c r="AM4329">
        <v>110.76174613460699</v>
      </c>
      <c r="AN4329">
        <v>1.0000000109352201</v>
      </c>
    </row>
    <row r="4330" spans="1:40" x14ac:dyDescent="0.25">
      <c r="A4330" t="str">
        <f>"20190312151401152"</f>
        <v>20190312151401152</v>
      </c>
      <c r="B4330" t="str">
        <f>"1552374841144910"</f>
        <v>1552374841144910</v>
      </c>
      <c r="C4330" t="s">
        <v>40</v>
      </c>
      <c r="D4330">
        <v>4.691789</v>
      </c>
      <c r="E4330">
        <v>0.4465615</v>
      </c>
      <c r="F4330" t="s">
        <v>58</v>
      </c>
      <c r="G4330">
        <v>-415.75470000000001</v>
      </c>
      <c r="H4330" s="1">
        <v>-2.941993E-6</v>
      </c>
      <c r="I4330">
        <v>123.3241</v>
      </c>
      <c r="J4330">
        <v>-412.20060000000001</v>
      </c>
      <c r="K4330">
        <v>1.121516</v>
      </c>
      <c r="L4330">
        <v>129.6395</v>
      </c>
      <c r="M4330">
        <v>-0.85818930000000004</v>
      </c>
      <c r="N4330">
        <v>0</v>
      </c>
      <c r="O4330">
        <v>-0.51309059999999995</v>
      </c>
      <c r="P4330">
        <v>-0.62039960000000005</v>
      </c>
      <c r="Q4330">
        <v>6.6677849999999997E-2</v>
      </c>
      <c r="R4330">
        <v>-0.78144659999999999</v>
      </c>
      <c r="S4330">
        <v>-1.5724180000000001</v>
      </c>
      <c r="T4330">
        <v>-0.45342179999999999</v>
      </c>
      <c r="U4330">
        <v>-2.638382</v>
      </c>
      <c r="V4330">
        <v>-0.35446630000000001</v>
      </c>
      <c r="W4330">
        <v>7.1648500000000004E-2</v>
      </c>
      <c r="X4330">
        <v>0.93231980000000003</v>
      </c>
      <c r="Y4330">
        <v>-0.47450989999999998</v>
      </c>
      <c r="Z4330">
        <v>4.3485599999999999E-2</v>
      </c>
      <c r="AA4330">
        <v>0.87917540000000005</v>
      </c>
      <c r="AB4330">
        <v>34</v>
      </c>
      <c r="AC4330">
        <v>-3.5541</v>
      </c>
      <c r="AD4330">
        <v>-1.1215189419930001</v>
      </c>
      <c r="AE4330">
        <v>-6.3153999999999897</v>
      </c>
      <c r="AF4330">
        <v>-3.5125526076064202</v>
      </c>
      <c r="AG4330">
        <v>-1.1215189419930001</v>
      </c>
      <c r="AH4330">
        <v>6.14409011174659</v>
      </c>
      <c r="AI4330">
        <v>99.004645070473202</v>
      </c>
      <c r="AJ4330">
        <v>119.756436889504</v>
      </c>
      <c r="AK4330">
        <v>7.1655895681872499</v>
      </c>
      <c r="AL4330">
        <v>85.891323048235606</v>
      </c>
      <c r="AM4330">
        <v>110.816712958574</v>
      </c>
      <c r="AN4330">
        <v>1.00000003742998</v>
      </c>
    </row>
    <row r="4331" spans="1:40" x14ac:dyDescent="0.25">
      <c r="A4331" t="str">
        <f>"20190312151401175"</f>
        <v>20190312151401175</v>
      </c>
      <c r="B4331" t="str">
        <f>"1552374841164429"</f>
        <v>1552374841164429</v>
      </c>
      <c r="C4331" t="s">
        <v>40</v>
      </c>
      <c r="D4331">
        <v>4.3787729999999998</v>
      </c>
      <c r="E4331">
        <v>0.46920339999999999</v>
      </c>
      <c r="F4331" t="s">
        <v>58</v>
      </c>
      <c r="G4331">
        <v>-416.02809999999999</v>
      </c>
      <c r="H4331" s="1">
        <v>-2.7237709999999999E-6</v>
      </c>
      <c r="I4331">
        <v>123.0407</v>
      </c>
      <c r="J4331">
        <v>-412.49040000000002</v>
      </c>
      <c r="K4331">
        <v>1.1217109999999999</v>
      </c>
      <c r="L4331">
        <v>129.45249999999999</v>
      </c>
      <c r="M4331">
        <v>-0.85131900000000005</v>
      </c>
      <c r="N4331">
        <v>0</v>
      </c>
      <c r="O4331">
        <v>-0.52440940000000003</v>
      </c>
      <c r="P4331">
        <v>-0.60931619999999997</v>
      </c>
      <c r="Q4331">
        <v>6.7064429999999994E-2</v>
      </c>
      <c r="R4331">
        <v>-0.79008639999999997</v>
      </c>
      <c r="S4331">
        <v>-1.5399780000000001</v>
      </c>
      <c r="T4331">
        <v>-0.45122790000000002</v>
      </c>
      <c r="U4331">
        <v>-2.654922</v>
      </c>
      <c r="V4331">
        <v>-0.35529040000000001</v>
      </c>
      <c r="W4331">
        <v>7.1876309999999999E-2</v>
      </c>
      <c r="X4331">
        <v>0.9319885</v>
      </c>
      <c r="Y4331">
        <v>-0.47335480000000002</v>
      </c>
      <c r="Z4331">
        <v>4.5297610000000002E-2</v>
      </c>
      <c r="AA4331">
        <v>0.8797064</v>
      </c>
      <c r="AB4331">
        <v>34</v>
      </c>
      <c r="AC4331">
        <v>-3.5376999999999699</v>
      </c>
      <c r="AD4331">
        <v>-1.121713723771</v>
      </c>
      <c r="AE4331">
        <v>-6.41179999999998</v>
      </c>
      <c r="AF4331">
        <v>-3.52111962796269</v>
      </c>
      <c r="AG4331">
        <v>-1.121713723771</v>
      </c>
      <c r="AH4331">
        <v>6.22877264329132</v>
      </c>
      <c r="AI4331">
        <v>98.909771228325198</v>
      </c>
      <c r="AJ4331">
        <v>119.47943734926</v>
      </c>
      <c r="AK4331">
        <v>7.2425226098601003</v>
      </c>
      <c r="AL4331">
        <v>85.878236678111506</v>
      </c>
      <c r="AM4331">
        <v>110.867725949129</v>
      </c>
      <c r="AN4331">
        <v>1.0000000182018101</v>
      </c>
    </row>
    <row r="4332" spans="1:40" x14ac:dyDescent="0.25">
      <c r="A4332" t="str">
        <f>"20190312151401195"</f>
        <v>20190312151401195</v>
      </c>
      <c r="B4332" t="str">
        <f>"1552374841184926"</f>
        <v>1552374841184926</v>
      </c>
      <c r="C4332" t="s">
        <v>40</v>
      </c>
      <c r="D4332">
        <v>4.4059160000000004</v>
      </c>
      <c r="E4332">
        <v>0.4689276</v>
      </c>
      <c r="F4332" t="s">
        <v>41</v>
      </c>
      <c r="G4332">
        <v>-413.03590000000003</v>
      </c>
      <c r="H4332">
        <v>0.99267079999999996</v>
      </c>
      <c r="I4332">
        <v>128.60290000000001</v>
      </c>
      <c r="J4332">
        <v>-412.75049999999999</v>
      </c>
      <c r="K4332">
        <v>1.1218840000000001</v>
      </c>
      <c r="L4332">
        <v>129.2799</v>
      </c>
      <c r="M4332">
        <v>-0.84485080000000001</v>
      </c>
      <c r="N4332">
        <v>0</v>
      </c>
      <c r="O4332">
        <v>-0.53476630000000003</v>
      </c>
      <c r="P4332">
        <v>-0.59929500000000002</v>
      </c>
      <c r="Q4332">
        <v>6.6879670000000002E-2</v>
      </c>
      <c r="R4332">
        <v>-0.79772959999999904</v>
      </c>
      <c r="S4332">
        <v>-1.6443479999999999</v>
      </c>
      <c r="T4332">
        <v>-0.3890036</v>
      </c>
      <c r="U4332">
        <v>-2.5619200000000002</v>
      </c>
      <c r="V4332">
        <v>-0.35571249999999999</v>
      </c>
      <c r="W4332">
        <v>7.1561459999999993E-2</v>
      </c>
      <c r="X4332">
        <v>0.93185169999999995</v>
      </c>
      <c r="Y4332">
        <v>-0.42261359999999998</v>
      </c>
      <c r="Z4332">
        <v>4.417513E-2</v>
      </c>
      <c r="AA4332">
        <v>0.9052327</v>
      </c>
      <c r="AB4332">
        <v>34</v>
      </c>
      <c r="AC4332">
        <v>-0.28540000000003801</v>
      </c>
      <c r="AD4332">
        <v>-0.1292132</v>
      </c>
      <c r="AE4332">
        <v>-0.67699999999999205</v>
      </c>
      <c r="AF4332">
        <v>-0.40681144221840099</v>
      </c>
      <c r="AG4332">
        <v>-0.1292132</v>
      </c>
      <c r="AH4332">
        <v>0.58513440925344595</v>
      </c>
      <c r="AI4332">
        <v>100.276786337248</v>
      </c>
      <c r="AJ4332">
        <v>124.80874305770701</v>
      </c>
      <c r="AK4332">
        <v>0.72427472513296698</v>
      </c>
      <c r="AL4332">
        <v>85.896322786026701</v>
      </c>
      <c r="AM4332">
        <v>110.89318139202901</v>
      </c>
      <c r="AN4332">
        <v>1.0000000080032301</v>
      </c>
    </row>
    <row r="4333" spans="1:40" x14ac:dyDescent="0.25">
      <c r="A4333" t="str">
        <f>"20190312151401237"</f>
        <v>20190312151401237</v>
      </c>
      <c r="B4333" t="str">
        <f>"1552374841234702"</f>
        <v>1552374841234702</v>
      </c>
      <c r="C4333" t="s">
        <v>40</v>
      </c>
      <c r="D4333">
        <v>4.7273360000000002</v>
      </c>
      <c r="E4333">
        <v>0.47100199999999998</v>
      </c>
      <c r="F4333" t="s">
        <v>41</v>
      </c>
      <c r="G4333">
        <v>-413.28550000000001</v>
      </c>
      <c r="H4333">
        <v>0.98900399999999999</v>
      </c>
      <c r="I4333">
        <v>128.42140000000001</v>
      </c>
      <c r="J4333">
        <v>-413.26159999999999</v>
      </c>
      <c r="K4333">
        <v>1.1222099999999999</v>
      </c>
      <c r="L4333">
        <v>128.92660000000001</v>
      </c>
      <c r="M4333">
        <v>-0.83124750000000003</v>
      </c>
      <c r="N4333">
        <v>0</v>
      </c>
      <c r="O4333">
        <v>-0.55567330000000004</v>
      </c>
      <c r="P4333">
        <v>-0.57798700000000003</v>
      </c>
      <c r="Q4333">
        <v>6.652603E-2</v>
      </c>
      <c r="R4333">
        <v>-0.8133302</v>
      </c>
      <c r="S4333">
        <v>-1.610382</v>
      </c>
      <c r="T4333">
        <v>-0.40002169999999998</v>
      </c>
      <c r="U4333">
        <v>-2.5843959999999999</v>
      </c>
      <c r="V4333">
        <v>-0.35719240000000002</v>
      </c>
      <c r="W4333">
        <v>7.0930309999999996E-2</v>
      </c>
      <c r="X4333">
        <v>0.93133370000000004</v>
      </c>
      <c r="Y4333">
        <v>-0.4122883</v>
      </c>
      <c r="Z4333">
        <v>4.9166250000000002E-2</v>
      </c>
      <c r="AA4333">
        <v>0.90972580000000003</v>
      </c>
      <c r="AB4333">
        <v>34</v>
      </c>
      <c r="AC4333">
        <v>-2.3900000000026001E-2</v>
      </c>
      <c r="AD4333">
        <v>-0.13320599999999899</v>
      </c>
      <c r="AE4333">
        <v>-0.50520000000000198</v>
      </c>
      <c r="AF4333">
        <v>-0.38033494229533499</v>
      </c>
      <c r="AG4333">
        <v>-0.13320599999999899</v>
      </c>
      <c r="AH4333">
        <v>0.28113023537406501</v>
      </c>
      <c r="AI4333">
        <v>105.72959290041</v>
      </c>
      <c r="AJ4333">
        <v>143.529488997051</v>
      </c>
      <c r="AK4333">
        <v>0.491358032404349</v>
      </c>
      <c r="AL4333">
        <v>85.932577074946394</v>
      </c>
      <c r="AM4333">
        <v>110.983209276645</v>
      </c>
      <c r="AN4333">
        <v>0.99999999012507301</v>
      </c>
    </row>
    <row r="4334" spans="1:40" x14ac:dyDescent="0.25">
      <c r="A4334" t="str">
        <f>"20190312151401264"</f>
        <v>20190312151401264</v>
      </c>
      <c r="B4334" t="str">
        <f>"1552374841255199"</f>
        <v>1552374841255199</v>
      </c>
      <c r="C4334" t="s">
        <v>40</v>
      </c>
      <c r="D4334">
        <v>4.422752</v>
      </c>
      <c r="E4334">
        <v>0.4721359</v>
      </c>
      <c r="F4334" t="s">
        <v>41</v>
      </c>
      <c r="G4334">
        <v>-413.79469999999998</v>
      </c>
      <c r="H4334">
        <v>0.98678849999999996</v>
      </c>
      <c r="I4334">
        <v>128.02969999999999</v>
      </c>
      <c r="J4334">
        <v>-413.59550000000002</v>
      </c>
      <c r="K4334">
        <v>1.1224240000000001</v>
      </c>
      <c r="L4334">
        <v>128.68539999999999</v>
      </c>
      <c r="M4334">
        <v>-0.82170869999999996</v>
      </c>
      <c r="N4334">
        <v>0</v>
      </c>
      <c r="O4334">
        <v>-0.56968280000000004</v>
      </c>
      <c r="P4334">
        <v>-0.56363949999999996</v>
      </c>
      <c r="Q4334">
        <v>6.6787280000000004E-2</v>
      </c>
      <c r="R4334">
        <v>-0.82331679999999996</v>
      </c>
      <c r="S4334">
        <v>-1.5546879999999901</v>
      </c>
      <c r="T4334">
        <v>-0.39497280000000001</v>
      </c>
      <c r="U4334">
        <v>-2.6159819999999998</v>
      </c>
      <c r="V4334">
        <v>-0.35776390000000002</v>
      </c>
      <c r="W4334">
        <v>7.1032090000000006E-2</v>
      </c>
      <c r="X4334">
        <v>0.93110660000000001</v>
      </c>
      <c r="Y4334">
        <v>-0.41600910000000002</v>
      </c>
      <c r="Z4334">
        <v>5.0426949999999998E-2</v>
      </c>
      <c r="AA4334">
        <v>0.90796120000000002</v>
      </c>
      <c r="AB4334">
        <v>34</v>
      </c>
      <c r="AC4334">
        <v>-0.19919999999996199</v>
      </c>
      <c r="AD4334">
        <v>-0.13563549999999999</v>
      </c>
      <c r="AE4334">
        <v>-0.65569999999999595</v>
      </c>
      <c r="AF4334">
        <v>-0.40933291588158899</v>
      </c>
      <c r="AG4334">
        <v>-0.13563549999999999</v>
      </c>
      <c r="AH4334">
        <v>0.517039763692692</v>
      </c>
      <c r="AI4334">
        <v>101.62237611684399</v>
      </c>
      <c r="AJ4334">
        <v>128.36815089622399</v>
      </c>
      <c r="AK4334">
        <v>0.67326112476792299</v>
      </c>
      <c r="AL4334">
        <v>85.926730940015005</v>
      </c>
      <c r="AM4334">
        <v>111.01853107437999</v>
      </c>
      <c r="AN4334">
        <v>1.0000000332582599</v>
      </c>
    </row>
    <row r="4335" spans="1:40" x14ac:dyDescent="0.25">
      <c r="A4335" t="str">
        <f>"20190312151401292"</f>
        <v>20190312151401292</v>
      </c>
      <c r="B4335" t="str">
        <f>"1552374841284478"</f>
        <v>1552374841284478</v>
      </c>
      <c r="C4335" t="s">
        <v>40</v>
      </c>
      <c r="D4335">
        <v>4.7001790000000003</v>
      </c>
      <c r="E4335">
        <v>0.47373520000000002</v>
      </c>
      <c r="F4335" t="s">
        <v>58</v>
      </c>
      <c r="G4335">
        <v>-417.98070000000001</v>
      </c>
      <c r="H4335" s="1">
        <v>-1.1876319999999999E-6</v>
      </c>
      <c r="I4335">
        <v>121.0517</v>
      </c>
      <c r="J4335">
        <v>-413.91469999999998</v>
      </c>
      <c r="K4335">
        <v>1.1226149999999999</v>
      </c>
      <c r="L4335">
        <v>128.44550000000001</v>
      </c>
      <c r="M4335">
        <v>-0.81203009999999998</v>
      </c>
      <c r="N4335">
        <v>0</v>
      </c>
      <c r="O4335">
        <v>-0.58339410000000003</v>
      </c>
      <c r="P4335">
        <v>-0.54908500000000005</v>
      </c>
      <c r="Q4335">
        <v>6.7418199999999998E-2</v>
      </c>
      <c r="R4335">
        <v>-0.83304299999999998</v>
      </c>
      <c r="S4335">
        <v>-1.51535</v>
      </c>
      <c r="T4335">
        <v>-0.3878568</v>
      </c>
      <c r="U4335">
        <v>-2.6378629999999998</v>
      </c>
      <c r="V4335">
        <v>-0.35851159999999999</v>
      </c>
      <c r="W4335">
        <v>7.1509610000000001E-2</v>
      </c>
      <c r="X4335">
        <v>0.93078240000000001</v>
      </c>
      <c r="Y4335">
        <v>-0.41423270000000001</v>
      </c>
      <c r="Z4335">
        <v>5.1651229999999999E-2</v>
      </c>
      <c r="AA4335">
        <v>0.90870430000000002</v>
      </c>
      <c r="AB4335">
        <v>34</v>
      </c>
      <c r="AC4335">
        <v>-4.06600000000003</v>
      </c>
      <c r="AD4335">
        <v>-1.122616187632</v>
      </c>
      <c r="AE4335">
        <v>-7.3938000000000104</v>
      </c>
      <c r="AF4335">
        <v>-3.5692014881587601</v>
      </c>
      <c r="AG4335">
        <v>-1.122616187632</v>
      </c>
      <c r="AH4335">
        <v>7.48373415175144</v>
      </c>
      <c r="AI4335">
        <v>97.710789329419995</v>
      </c>
      <c r="AJ4335">
        <v>115.497775847254</v>
      </c>
      <c r="AK4335">
        <v>8.3669434814571897</v>
      </c>
      <c r="AL4335">
        <v>85.899301309110299</v>
      </c>
      <c r="AM4335">
        <v>111.06530288425201</v>
      </c>
      <c r="AN4335">
        <v>1.0000000339033299</v>
      </c>
    </row>
    <row r="4336" spans="1:40" x14ac:dyDescent="0.25">
      <c r="A4336" t="str">
        <f>"20190312151401326"</f>
        <v>20190312151401326</v>
      </c>
      <c r="B4336" t="str">
        <f>"1552374841314733"</f>
        <v>1552374841314733</v>
      </c>
      <c r="C4336" t="s">
        <v>40</v>
      </c>
      <c r="D4336">
        <v>4.4309419999999999</v>
      </c>
      <c r="E4336">
        <v>0.48179280000000002</v>
      </c>
      <c r="F4336" t="s">
        <v>41</v>
      </c>
      <c r="G4336">
        <v>-414.42020000000002</v>
      </c>
      <c r="H4336">
        <v>0.99179660000000003</v>
      </c>
      <c r="I4336">
        <v>127.53789999999999</v>
      </c>
      <c r="J4336">
        <v>-414.32810000000001</v>
      </c>
      <c r="K4336">
        <v>1.122851</v>
      </c>
      <c r="L4336">
        <v>128.1225</v>
      </c>
      <c r="M4336">
        <v>-0.79871300000000001</v>
      </c>
      <c r="N4336">
        <v>0</v>
      </c>
      <c r="O4336">
        <v>-0.60149569999999997</v>
      </c>
      <c r="P4336">
        <v>-0.52932469999999998</v>
      </c>
      <c r="Q4336">
        <v>6.6870180000000001E-2</v>
      </c>
      <c r="R4336">
        <v>-0.84577999999999998</v>
      </c>
      <c r="S4336">
        <v>-1.479279</v>
      </c>
      <c r="T4336">
        <v>-0.3829188</v>
      </c>
      <c r="U4336">
        <v>-2.6572110000000002</v>
      </c>
      <c r="V4336">
        <v>-0.35956690000000002</v>
      </c>
      <c r="W4336">
        <v>7.0767159999999996E-2</v>
      </c>
      <c r="X4336">
        <v>0.93043200000000004</v>
      </c>
      <c r="Y4336">
        <v>-0.4060975</v>
      </c>
      <c r="Z4336">
        <v>5.4105840000000002E-2</v>
      </c>
      <c r="AA4336">
        <v>0.9122266</v>
      </c>
      <c r="AB4336">
        <v>34</v>
      </c>
      <c r="AC4336">
        <v>-9.2100000000016197E-2</v>
      </c>
      <c r="AD4336">
        <v>-0.13105439999999999</v>
      </c>
      <c r="AE4336">
        <v>-0.584600000000008</v>
      </c>
      <c r="AF4336">
        <v>-0.392343498023068</v>
      </c>
      <c r="AG4336">
        <v>-0.13105439999999999</v>
      </c>
      <c r="AH4336">
        <v>0.40537234929107802</v>
      </c>
      <c r="AI4336">
        <v>103.078188156107</v>
      </c>
      <c r="AJ4336">
        <v>134.06428858743899</v>
      </c>
      <c r="AK4336">
        <v>0.57916786665880005</v>
      </c>
      <c r="AL4336">
        <v>85.941948579161306</v>
      </c>
      <c r="AM4336">
        <v>111.12910245480001</v>
      </c>
      <c r="AN4336">
        <v>1.0000000265670299</v>
      </c>
    </row>
    <row r="4337" spans="1:40" x14ac:dyDescent="0.25">
      <c r="A4337" t="str">
        <f>"20190312151401349"</f>
        <v>20190312151401349</v>
      </c>
      <c r="B4337" t="str">
        <f>"1552374841344990"</f>
        <v>1552374841344990</v>
      </c>
      <c r="C4337" t="s">
        <v>40</v>
      </c>
      <c r="D4337">
        <v>4.5660920000000003</v>
      </c>
      <c r="E4337">
        <v>0.47946070000000002</v>
      </c>
      <c r="F4337" t="s">
        <v>41</v>
      </c>
      <c r="G4337">
        <v>-414.8639</v>
      </c>
      <c r="H4337">
        <v>0.98845749999999999</v>
      </c>
      <c r="I4337">
        <v>127.1549</v>
      </c>
      <c r="J4337">
        <v>-414.59440000000001</v>
      </c>
      <c r="K4337">
        <v>1.1229899999999999</v>
      </c>
      <c r="L4337">
        <v>127.9055</v>
      </c>
      <c r="M4337">
        <v>-0.789605</v>
      </c>
      <c r="N4337">
        <v>0</v>
      </c>
      <c r="O4337">
        <v>-0.61340220000000001</v>
      </c>
      <c r="P4337">
        <v>-0.51560010000000001</v>
      </c>
      <c r="Q4337">
        <v>6.6833600000000007E-2</v>
      </c>
      <c r="R4337">
        <v>-0.85421939999999996</v>
      </c>
      <c r="S4337">
        <v>-1.470612</v>
      </c>
      <c r="T4337">
        <v>-0.36888850000000001</v>
      </c>
      <c r="U4337">
        <v>-2.6558229999999998</v>
      </c>
      <c r="V4337">
        <v>-0.3606685</v>
      </c>
      <c r="W4337">
        <v>7.059878E-2</v>
      </c>
      <c r="X4337">
        <v>0.93001829999999996</v>
      </c>
      <c r="Y4337">
        <v>-0.39449010000000001</v>
      </c>
      <c r="Z4337">
        <v>5.4536550000000003E-2</v>
      </c>
      <c r="AA4337">
        <v>0.9172804</v>
      </c>
      <c r="AB4337">
        <v>34</v>
      </c>
      <c r="AC4337">
        <v>-0.26949999999999302</v>
      </c>
      <c r="AD4337">
        <v>-0.134532499999999</v>
      </c>
      <c r="AE4337">
        <v>-0.75060000000000504</v>
      </c>
      <c r="AF4337">
        <v>-0.415595299229366</v>
      </c>
      <c r="AG4337">
        <v>-0.134532499999999</v>
      </c>
      <c r="AH4337">
        <v>0.65467675042178397</v>
      </c>
      <c r="AI4337">
        <v>99.842268117377799</v>
      </c>
      <c r="AJ4337">
        <v>122.40778563983601</v>
      </c>
      <c r="AK4337">
        <v>0.787032460474549</v>
      </c>
      <c r="AL4337">
        <v>85.951620110712696</v>
      </c>
      <c r="AM4337">
        <v>111.196689152292</v>
      </c>
      <c r="AN4337">
        <v>0.99999999648231397</v>
      </c>
    </row>
    <row r="4338" spans="1:40" x14ac:dyDescent="0.25">
      <c r="A4338" t="str">
        <f>"20190312151401372"</f>
        <v>20190312151401372</v>
      </c>
      <c r="B4338" t="str">
        <f>"1552374841364510"</f>
        <v>1552374841364510</v>
      </c>
      <c r="C4338" t="s">
        <v>40</v>
      </c>
      <c r="D4338">
        <v>4.4828099999999997</v>
      </c>
      <c r="E4338">
        <v>0.48034559999999998</v>
      </c>
      <c r="F4338" t="s">
        <v>41</v>
      </c>
      <c r="G4338">
        <v>-415.08819999999997</v>
      </c>
      <c r="H4338">
        <v>0.98540740000000004</v>
      </c>
      <c r="I4338">
        <v>126.9641</v>
      </c>
      <c r="J4338">
        <v>-414.84989999999999</v>
      </c>
      <c r="K4338">
        <v>1.1231180000000001</v>
      </c>
      <c r="L4338">
        <v>127.6908</v>
      </c>
      <c r="M4338">
        <v>-0.78047749999999905</v>
      </c>
      <c r="N4338">
        <v>0</v>
      </c>
      <c r="O4338">
        <v>-0.62497340000000001</v>
      </c>
      <c r="P4338">
        <v>-0.50207299999999999</v>
      </c>
      <c r="Q4338">
        <v>6.6942740000000001E-2</v>
      </c>
      <c r="R4338">
        <v>-0.86223069999999902</v>
      </c>
      <c r="S4338">
        <v>-1.4116519999999999</v>
      </c>
      <c r="T4338">
        <v>-0.39326440000000001</v>
      </c>
      <c r="U4338">
        <v>-2.6906889999999999</v>
      </c>
      <c r="V4338">
        <v>-0.36163970000000001</v>
      </c>
      <c r="W4338">
        <v>7.0591639999999997E-2</v>
      </c>
      <c r="X4338">
        <v>0.92964159999999996</v>
      </c>
      <c r="Y4338">
        <v>-0.40172960000000002</v>
      </c>
      <c r="Z4338">
        <v>5.93616E-2</v>
      </c>
      <c r="AA4338">
        <v>0.91383239999999999</v>
      </c>
      <c r="AB4338">
        <v>34</v>
      </c>
      <c r="AC4338">
        <v>-0.238299999999981</v>
      </c>
      <c r="AD4338">
        <v>-0.13771059999999999</v>
      </c>
      <c r="AE4338">
        <v>-0.72669999999999302</v>
      </c>
      <c r="AF4338">
        <v>-0.405159921108317</v>
      </c>
      <c r="AG4338">
        <v>-0.13771059999999999</v>
      </c>
      <c r="AH4338">
        <v>0.62013293235823597</v>
      </c>
      <c r="AI4338">
        <v>100.531373707315</v>
      </c>
      <c r="AJ4338">
        <v>123.15833864641699</v>
      </c>
      <c r="AK4338">
        <v>0.753447824882442</v>
      </c>
      <c r="AL4338">
        <v>85.952030152286</v>
      </c>
      <c r="AM4338">
        <v>111.256523265719</v>
      </c>
      <c r="AN4338">
        <v>0.99999997835226895</v>
      </c>
    </row>
    <row r="4339" spans="1:40" x14ac:dyDescent="0.25">
      <c r="A4339" t="str">
        <f>"20190312151401393"</f>
        <v>20190312151401393</v>
      </c>
      <c r="B4339" t="str">
        <f>"1552374841385005"</f>
        <v>1552374841385005</v>
      </c>
      <c r="C4339" t="s">
        <v>40</v>
      </c>
      <c r="D4339">
        <v>4.4919330000000004</v>
      </c>
      <c r="E4339">
        <v>0.48029349999999998</v>
      </c>
      <c r="F4339" t="s">
        <v>41</v>
      </c>
      <c r="G4339">
        <v>-415.34449999999998</v>
      </c>
      <c r="H4339">
        <v>0.98107949999999999</v>
      </c>
      <c r="I4339">
        <v>126.71639999999999</v>
      </c>
      <c r="J4339">
        <v>-415.09530000000001</v>
      </c>
      <c r="K4339">
        <v>1.123238</v>
      </c>
      <c r="L4339">
        <v>127.47839999999999</v>
      </c>
      <c r="M4339">
        <v>-0.77132709999999904</v>
      </c>
      <c r="N4339">
        <v>0</v>
      </c>
      <c r="O4339">
        <v>-0.6362312</v>
      </c>
      <c r="P4339">
        <v>-0.48844100000000001</v>
      </c>
      <c r="Q4339">
        <v>6.7198659999999993E-2</v>
      </c>
      <c r="R4339">
        <v>-0.87000580000000005</v>
      </c>
      <c r="S4339">
        <v>-1.3746640000000001</v>
      </c>
      <c r="T4339">
        <v>-0.39483940000000001</v>
      </c>
      <c r="U4339">
        <v>-2.7095639999999999</v>
      </c>
      <c r="V4339">
        <v>-0.36279820000000002</v>
      </c>
      <c r="W4339">
        <v>7.0728139999999995E-2</v>
      </c>
      <c r="X4339">
        <v>0.92917969999999905</v>
      </c>
      <c r="Y4339">
        <v>-0.40099570000000001</v>
      </c>
      <c r="Z4339">
        <v>6.1339879999999999E-2</v>
      </c>
      <c r="AA4339">
        <v>0.91402399999999995</v>
      </c>
      <c r="AB4339">
        <v>34</v>
      </c>
      <c r="AC4339">
        <v>-0.249199999999973</v>
      </c>
      <c r="AD4339">
        <v>-0.14215849999999899</v>
      </c>
      <c r="AE4339">
        <v>-0.76200000000000001</v>
      </c>
      <c r="AF4339">
        <v>-0.41617392806195502</v>
      </c>
      <c r="AG4339">
        <v>-0.14215849999999899</v>
      </c>
      <c r="AH4339">
        <v>0.65647175199559404</v>
      </c>
      <c r="AI4339">
        <v>100.364475987117</v>
      </c>
      <c r="AJ4339">
        <v>122.372881800386</v>
      </c>
      <c r="AK4339">
        <v>0.79016766492240897</v>
      </c>
      <c r="AL4339">
        <v>85.944189603286603</v>
      </c>
      <c r="AM4339">
        <v>111.32815868754599</v>
      </c>
      <c r="AN4339">
        <v>0.99999995930159302</v>
      </c>
    </row>
    <row r="4340" spans="1:40" x14ac:dyDescent="0.25">
      <c r="A4340" t="str">
        <f>"20190312151401416"</f>
        <v>20190312151401416</v>
      </c>
      <c r="B4340" t="str">
        <f>"1552374841404526"</f>
        <v>1552374841404526</v>
      </c>
      <c r="C4340" t="s">
        <v>40</v>
      </c>
      <c r="D4340">
        <v>4.4555619999999996</v>
      </c>
      <c r="E4340">
        <v>0.45084209999999902</v>
      </c>
      <c r="F4340" t="s">
        <v>58</v>
      </c>
      <c r="G4340">
        <v>-418.87040000000002</v>
      </c>
      <c r="H4340" s="1">
        <v>-3.3553560000000003E-7</v>
      </c>
      <c r="I4340">
        <v>119.7373</v>
      </c>
      <c r="J4340">
        <v>-415.34550000000002</v>
      </c>
      <c r="K4340">
        <v>1.1233679999999999</v>
      </c>
      <c r="L4340">
        <v>127.2552</v>
      </c>
      <c r="M4340">
        <v>-0.761594199999999</v>
      </c>
      <c r="N4340">
        <v>0</v>
      </c>
      <c r="O4340">
        <v>-0.64784909999999996</v>
      </c>
      <c r="P4340">
        <v>-0.47436099999999998</v>
      </c>
      <c r="Q4340">
        <v>6.7894910000000003E-2</v>
      </c>
      <c r="R4340">
        <v>-0.87770859999999995</v>
      </c>
      <c r="S4340">
        <v>-1.331879</v>
      </c>
      <c r="T4340">
        <v>-0.39628649999999999</v>
      </c>
      <c r="U4340">
        <v>-2.7310940000000001</v>
      </c>
      <c r="V4340">
        <v>-0.36368889999999998</v>
      </c>
      <c r="W4340">
        <v>7.1313650000000006E-2</v>
      </c>
      <c r="X4340">
        <v>0.92878669999999997</v>
      </c>
      <c r="Y4340">
        <v>-0.40157660000000001</v>
      </c>
      <c r="Z4340">
        <v>6.3290559999999996E-2</v>
      </c>
      <c r="AA4340">
        <v>0.91363589999999995</v>
      </c>
      <c r="AB4340">
        <v>34</v>
      </c>
      <c r="AC4340">
        <v>-3.5249000000000001</v>
      </c>
      <c r="AD4340">
        <v>-1.1233683355355999</v>
      </c>
      <c r="AE4340">
        <v>-7.5178999999999903</v>
      </c>
      <c r="AF4340">
        <v>-3.3805649454208</v>
      </c>
      <c r="AG4340">
        <v>-1.1233683355355999</v>
      </c>
      <c r="AH4340">
        <v>7.4201921792172998</v>
      </c>
      <c r="AI4340">
        <v>97.844216168217798</v>
      </c>
      <c r="AJ4340">
        <v>114.49353273283199</v>
      </c>
      <c r="AK4340">
        <v>8.2310040544279701</v>
      </c>
      <c r="AL4340">
        <v>85.9105575621127</v>
      </c>
      <c r="AM4340">
        <v>111.384028879498</v>
      </c>
      <c r="AN4340">
        <v>0.99999999337821099</v>
      </c>
    </row>
    <row r="4341" spans="1:40" x14ac:dyDescent="0.25">
      <c r="A4341" t="str">
        <f>"20190312151401441"</f>
        <v>20190312151401441</v>
      </c>
      <c r="B4341" t="str">
        <f>"1552374841434782"</f>
        <v>1552374841434782</v>
      </c>
      <c r="C4341" t="s">
        <v>40</v>
      </c>
      <c r="D4341">
        <v>4.4128160000000003</v>
      </c>
      <c r="E4341">
        <v>0.4387836</v>
      </c>
      <c r="F4341" t="s">
        <v>41</v>
      </c>
      <c r="G4341">
        <v>-415.69049999999999</v>
      </c>
      <c r="H4341">
        <v>0.98545490000000002</v>
      </c>
      <c r="I4341">
        <v>126.34010000000001</v>
      </c>
      <c r="J4341">
        <v>-415.60730000000001</v>
      </c>
      <c r="K4341">
        <v>1.123499</v>
      </c>
      <c r="L4341">
        <v>127.0142</v>
      </c>
      <c r="M4341">
        <v>-0.75094349999999999</v>
      </c>
      <c r="N4341">
        <v>0</v>
      </c>
      <c r="O4341">
        <v>-0.66016459999999999</v>
      </c>
      <c r="P4341">
        <v>-0.45926990000000001</v>
      </c>
      <c r="Q4341">
        <v>6.830253E-2</v>
      </c>
      <c r="R4341">
        <v>-0.88566730000000005</v>
      </c>
      <c r="S4341">
        <v>-1.0805359999999999</v>
      </c>
      <c r="T4341">
        <v>-0.43202210000000002</v>
      </c>
      <c r="U4341">
        <v>-2.8674620000000002</v>
      </c>
      <c r="V4341">
        <v>-0.36447499999999999</v>
      </c>
      <c r="W4341">
        <v>7.1612350000000005E-2</v>
      </c>
      <c r="X4341">
        <v>0.92845549999999999</v>
      </c>
      <c r="Y4341">
        <v>-0.47053650000000002</v>
      </c>
      <c r="Z4341">
        <v>6.6137360000000006E-2</v>
      </c>
      <c r="AA4341">
        <v>0.87989839999999997</v>
      </c>
      <c r="AB4341">
        <v>34</v>
      </c>
      <c r="AC4341">
        <v>-8.3199999999976598E-2</v>
      </c>
      <c r="AD4341">
        <v>-0.138044099999999</v>
      </c>
      <c r="AE4341">
        <v>-0.67409999999999504</v>
      </c>
      <c r="AF4341">
        <v>-0.433441417546932</v>
      </c>
      <c r="AG4341">
        <v>-0.138044099999999</v>
      </c>
      <c r="AH4341">
        <v>0.48742899623022601</v>
      </c>
      <c r="AI4341">
        <v>101.949518465693</v>
      </c>
      <c r="AJ4341">
        <v>131.64477899070999</v>
      </c>
      <c r="AK4341">
        <v>0.66671932802035205</v>
      </c>
      <c r="AL4341">
        <v>85.893399408674597</v>
      </c>
      <c r="AM4341">
        <v>111.433013291465</v>
      </c>
      <c r="AN4341">
        <v>0.99999998488888597</v>
      </c>
    </row>
    <row r="4342" spans="1:40" x14ac:dyDescent="0.25">
      <c r="A4342" t="str">
        <f>"20190312151401466"</f>
        <v>20190312151401466</v>
      </c>
      <c r="B4342" t="str">
        <f>"1552374841455278"</f>
        <v>1552374841455278</v>
      </c>
      <c r="C4342" t="s">
        <v>40</v>
      </c>
      <c r="D4342">
        <v>4.4469219999999998</v>
      </c>
      <c r="E4342">
        <v>0.43594769999999999</v>
      </c>
      <c r="F4342" t="s">
        <v>41</v>
      </c>
      <c r="G4342">
        <v>-415.89170000000001</v>
      </c>
      <c r="H4342">
        <v>0.99006400000000006</v>
      </c>
      <c r="I4342">
        <v>126.1326</v>
      </c>
      <c r="J4342">
        <v>-415.87240000000003</v>
      </c>
      <c r="K4342">
        <v>1.123629</v>
      </c>
      <c r="L4342">
        <v>126.7621</v>
      </c>
      <c r="M4342">
        <v>-0.73964969999999997</v>
      </c>
      <c r="N4342">
        <v>0</v>
      </c>
      <c r="O4342">
        <v>-0.67279299999999997</v>
      </c>
      <c r="P4342">
        <v>-0.44391839999999999</v>
      </c>
      <c r="Q4342">
        <v>6.9171469999999999E-2</v>
      </c>
      <c r="R4342">
        <v>-0.89339380000000002</v>
      </c>
      <c r="S4342">
        <v>-0.94537349999999998</v>
      </c>
      <c r="T4342">
        <v>-0.44361040000000002</v>
      </c>
      <c r="U4342">
        <v>-2.9312740000000002</v>
      </c>
      <c r="V4342">
        <v>-0.36476930000000002</v>
      </c>
      <c r="W4342">
        <v>7.239044E-2</v>
      </c>
      <c r="X4342">
        <v>0.92827959999999998</v>
      </c>
      <c r="Y4342">
        <v>-0.4978631</v>
      </c>
      <c r="Z4342">
        <v>6.7986160000000004E-2</v>
      </c>
      <c r="AA4342">
        <v>0.86458679999999999</v>
      </c>
      <c r="AB4342">
        <v>34</v>
      </c>
      <c r="AC4342">
        <v>-1.9299999999986901E-2</v>
      </c>
      <c r="AD4342">
        <v>-0.13356499999999999</v>
      </c>
      <c r="AE4342">
        <v>-0.62950000000000705</v>
      </c>
      <c r="AF4342">
        <v>-0.43320133507291397</v>
      </c>
      <c r="AG4342">
        <v>-0.13356499999999999</v>
      </c>
      <c r="AH4342">
        <v>0.41901141343015202</v>
      </c>
      <c r="AI4342">
        <v>102.49565757294801</v>
      </c>
      <c r="AJ4342">
        <v>135.95392553109801</v>
      </c>
      <c r="AK4342">
        <v>0.61731156681103105</v>
      </c>
      <c r="AL4342">
        <v>85.848702256489204</v>
      </c>
      <c r="AM4342">
        <v>111.452443075102</v>
      </c>
      <c r="AN4342">
        <v>1.0000000169010199</v>
      </c>
    </row>
    <row r="4343" spans="1:40" x14ac:dyDescent="0.25">
      <c r="A4343" t="str">
        <f>"20190312151401490"</f>
        <v>20190312151401490</v>
      </c>
      <c r="B4343" t="str">
        <f>"1552374841484558"</f>
        <v>1552374841484558</v>
      </c>
      <c r="C4343" t="s">
        <v>40</v>
      </c>
      <c r="D4343">
        <v>4.4032650000000002</v>
      </c>
      <c r="E4343">
        <v>0.43611539999999999</v>
      </c>
      <c r="F4343" t="s">
        <v>41</v>
      </c>
      <c r="G4343">
        <v>-416.11520000000002</v>
      </c>
      <c r="H4343">
        <v>0.99999700000000002</v>
      </c>
      <c r="I4343">
        <v>125.94110000000001</v>
      </c>
      <c r="J4343">
        <v>-416.12819999999999</v>
      </c>
      <c r="K4343">
        <v>1.12375</v>
      </c>
      <c r="L4343">
        <v>126.5094</v>
      </c>
      <c r="M4343">
        <v>-0.72819109999999998</v>
      </c>
      <c r="N4343">
        <v>0</v>
      </c>
      <c r="O4343">
        <v>-0.68517749999999999</v>
      </c>
      <c r="P4343">
        <v>-0.4289133</v>
      </c>
      <c r="Q4343">
        <v>7.0575209999999999E-2</v>
      </c>
      <c r="R4343">
        <v>-0.90058479999999996</v>
      </c>
      <c r="S4343">
        <v>-0.87390140000000005</v>
      </c>
      <c r="T4343">
        <v>-0.44530710000000001</v>
      </c>
      <c r="U4343">
        <v>-2.9581909999999998</v>
      </c>
      <c r="V4343">
        <v>-0.364622</v>
      </c>
      <c r="W4343">
        <v>7.372629E-2</v>
      </c>
      <c r="X4343">
        <v>0.92823230000000001</v>
      </c>
      <c r="Y4343">
        <v>-0.50462249999999997</v>
      </c>
      <c r="Z4343">
        <v>6.9909449999999998E-2</v>
      </c>
      <c r="AA4343">
        <v>0.86050499999999996</v>
      </c>
      <c r="AB4343">
        <v>34</v>
      </c>
      <c r="AC4343">
        <v>1.2999999999976799E-2</v>
      </c>
      <c r="AD4343">
        <v>-0.123753</v>
      </c>
      <c r="AE4343">
        <v>-0.56829999999999303</v>
      </c>
      <c r="AF4343">
        <v>-0.40366379963666599</v>
      </c>
      <c r="AG4343">
        <v>-0.123753</v>
      </c>
      <c r="AH4343">
        <v>0.36277740256220797</v>
      </c>
      <c r="AI4343">
        <v>102.84502575249</v>
      </c>
      <c r="AJ4343">
        <v>138.05359313502899</v>
      </c>
      <c r="AK4343">
        <v>0.55665672721695603</v>
      </c>
      <c r="AL4343">
        <v>85.771958468326005</v>
      </c>
      <c r="AM4343">
        <v>111.445560522036</v>
      </c>
      <c r="AN4343">
        <v>0.99999998574222604</v>
      </c>
    </row>
    <row r="4344" spans="1:40" x14ac:dyDescent="0.25">
      <c r="A4344" t="str">
        <f>"20190312151401511"</f>
        <v>20190312151401511</v>
      </c>
      <c r="B4344" t="str">
        <f>"1552374841505053"</f>
        <v>1552374841505053</v>
      </c>
      <c r="C4344" t="s">
        <v>40</v>
      </c>
      <c r="D4344">
        <v>4.4090009999999999</v>
      </c>
      <c r="E4344">
        <v>0.43640859999999898</v>
      </c>
      <c r="F4344" t="s">
        <v>42</v>
      </c>
      <c r="G4344">
        <v>-418.16379999999998</v>
      </c>
      <c r="H4344" s="1">
        <v>-4.4179599999999996E-6</v>
      </c>
      <c r="I4344">
        <v>119.17189999999999</v>
      </c>
      <c r="J4344">
        <v>-416.3544</v>
      </c>
      <c r="K4344">
        <v>1.1238539999999999</v>
      </c>
      <c r="L4344">
        <v>126.2786</v>
      </c>
      <c r="M4344">
        <v>-0.71760310000000005</v>
      </c>
      <c r="N4344">
        <v>0</v>
      </c>
      <c r="O4344">
        <v>-0.69625809999999999</v>
      </c>
      <c r="P4344">
        <v>-0.4148925</v>
      </c>
      <c r="Q4344">
        <v>7.1293010000000004E-2</v>
      </c>
      <c r="R4344">
        <v>-0.90707360000000004</v>
      </c>
      <c r="S4344">
        <v>-0.82504270000000002</v>
      </c>
      <c r="T4344">
        <v>-0.45546690000000001</v>
      </c>
      <c r="U4344">
        <v>-2.9739230000000001</v>
      </c>
      <c r="V4344">
        <v>-0.36479729999999999</v>
      </c>
      <c r="W4344">
        <v>7.4373480000000006E-2</v>
      </c>
      <c r="X4344">
        <v>0.92811180000000004</v>
      </c>
      <c r="Y4344">
        <v>-0.50575609999999904</v>
      </c>
      <c r="Z4344">
        <v>7.3401359999999999E-2</v>
      </c>
      <c r="AA4344">
        <v>0.85954819999999998</v>
      </c>
      <c r="AB4344">
        <v>34</v>
      </c>
      <c r="AC4344">
        <v>-1.8093999999999799</v>
      </c>
      <c r="AD4344">
        <v>-1.12385841796</v>
      </c>
      <c r="AE4344">
        <v>-7.1067</v>
      </c>
      <c r="AF4344">
        <v>-3.7523716060424501</v>
      </c>
      <c r="AG4344">
        <v>-1.12385841796</v>
      </c>
      <c r="AH4344">
        <v>6.1040142948180804</v>
      </c>
      <c r="AI4344">
        <v>98.914258271012201</v>
      </c>
      <c r="AJ4344">
        <v>121.580636601023</v>
      </c>
      <c r="AK4344">
        <v>7.2527471295224899</v>
      </c>
      <c r="AL4344">
        <v>85.734775182622897</v>
      </c>
      <c r="AM4344">
        <v>111.457466328495</v>
      </c>
      <c r="AN4344">
        <v>0.99999999895692004</v>
      </c>
    </row>
    <row r="4345" spans="1:40" x14ac:dyDescent="0.25">
      <c r="A4345" t="str">
        <f>"20190312151401532"</f>
        <v>20190312151401532</v>
      </c>
      <c r="B4345" t="str">
        <f>"1552374841524574"</f>
        <v>1552374841524574</v>
      </c>
      <c r="C4345" t="s">
        <v>40</v>
      </c>
      <c r="D4345">
        <v>4.4184929999999998</v>
      </c>
      <c r="E4345">
        <v>0.43684709999999899</v>
      </c>
      <c r="F4345" t="s">
        <v>42</v>
      </c>
      <c r="G4345">
        <v>-418.28750000000002</v>
      </c>
      <c r="H4345" s="1">
        <v>-4.2766550000000003E-6</v>
      </c>
      <c r="I4345">
        <v>118.8937</v>
      </c>
      <c r="J4345">
        <v>-416.56240000000003</v>
      </c>
      <c r="K4345">
        <v>1.1239459999999999</v>
      </c>
      <c r="L4345">
        <v>126.06</v>
      </c>
      <c r="M4345">
        <v>-0.70747329999999997</v>
      </c>
      <c r="N4345">
        <v>0</v>
      </c>
      <c r="O4345">
        <v>-0.7065477</v>
      </c>
      <c r="P4345">
        <v>-0.4020454</v>
      </c>
      <c r="Q4345">
        <v>7.1393979999999996E-2</v>
      </c>
      <c r="R4345">
        <v>-0.91283210000000004</v>
      </c>
      <c r="S4345">
        <v>-0.78149409999999997</v>
      </c>
      <c r="T4345">
        <v>-0.45435239999999999</v>
      </c>
      <c r="U4345">
        <v>-2.9855800000000001</v>
      </c>
      <c r="V4345">
        <v>-0.36451329999999998</v>
      </c>
      <c r="W4345">
        <v>7.4433390000000002E-2</v>
      </c>
      <c r="X4345">
        <v>0.92821849999999995</v>
      </c>
      <c r="Y4345">
        <v>-0.5058994</v>
      </c>
      <c r="Z4345">
        <v>7.5114479999999997E-2</v>
      </c>
      <c r="AA4345">
        <v>0.85931579999999996</v>
      </c>
      <c r="AB4345">
        <v>33</v>
      </c>
      <c r="AC4345">
        <v>-1.7250999999999901</v>
      </c>
      <c r="AD4345">
        <v>-1.12395027665499</v>
      </c>
      <c r="AE4345">
        <v>-7.1662999999999997</v>
      </c>
      <c r="AF4345">
        <v>-3.7641052323570099</v>
      </c>
      <c r="AG4345">
        <v>-1.12395027665499</v>
      </c>
      <c r="AH4345">
        <v>6.1418458706080399</v>
      </c>
      <c r="AI4345">
        <v>98.868233077122994</v>
      </c>
      <c r="AJ4345">
        <v>121.502558372001</v>
      </c>
      <c r="AK4345">
        <v>7.2906805665147196</v>
      </c>
      <c r="AL4345">
        <v>85.731332754965706</v>
      </c>
      <c r="AM4345">
        <v>111.44003743277</v>
      </c>
      <c r="AN4345">
        <v>0.99999992958301298</v>
      </c>
    </row>
    <row r="4346" spans="1:40" x14ac:dyDescent="0.25">
      <c r="A4346" t="str">
        <f>"20190312151401572"</f>
        <v>20190312151401572</v>
      </c>
      <c r="B4346" t="str">
        <f>"1552374841564593"</f>
        <v>1552374841564593</v>
      </c>
      <c r="C4346" t="s">
        <v>40</v>
      </c>
      <c r="D4346">
        <v>4.4443010000000003</v>
      </c>
      <c r="E4346">
        <v>0.43846459999999998</v>
      </c>
      <c r="F4346" t="s">
        <v>42</v>
      </c>
      <c r="G4346">
        <v>-418.35879999999997</v>
      </c>
      <c r="H4346" s="1">
        <v>-4.229932E-6</v>
      </c>
      <c r="I4346">
        <v>118.8142</v>
      </c>
      <c r="J4346">
        <v>-416.95370000000003</v>
      </c>
      <c r="K4346">
        <v>1.1241139999999901</v>
      </c>
      <c r="L4346">
        <v>125.6306</v>
      </c>
      <c r="M4346">
        <v>-0.68730340000000001</v>
      </c>
      <c r="N4346">
        <v>0</v>
      </c>
      <c r="O4346">
        <v>-0.72618209999999905</v>
      </c>
      <c r="P4346">
        <v>-0.37752760000000002</v>
      </c>
      <c r="Q4346">
        <v>7.1569670000000002E-2</v>
      </c>
      <c r="R4346">
        <v>-0.92322859999999995</v>
      </c>
      <c r="S4346">
        <v>-0.74270630000000004</v>
      </c>
      <c r="T4346">
        <v>-0.46469280000000002</v>
      </c>
      <c r="U4346">
        <v>-2.995743</v>
      </c>
      <c r="V4346">
        <v>-0.36319600000000002</v>
      </c>
      <c r="W4346">
        <v>7.4573189999999998E-2</v>
      </c>
      <c r="X4346">
        <v>0.92872359999999998</v>
      </c>
      <c r="Y4346">
        <v>-0.49288870000000001</v>
      </c>
      <c r="Z4346">
        <v>8.1346940000000006E-2</v>
      </c>
      <c r="AA4346">
        <v>0.86628130000000003</v>
      </c>
      <c r="AB4346">
        <v>33</v>
      </c>
      <c r="AC4346">
        <v>-1.4050999999999401</v>
      </c>
      <c r="AD4346">
        <v>-1.1241182299319901</v>
      </c>
      <c r="AE4346">
        <v>-6.8163999999999998</v>
      </c>
      <c r="AF4346">
        <v>-3.5718941625310299</v>
      </c>
      <c r="AG4346">
        <v>-1.1241182299319901</v>
      </c>
      <c r="AH4346">
        <v>5.7660619094795296</v>
      </c>
      <c r="AI4346">
        <v>99.410185060799193</v>
      </c>
      <c r="AJ4346">
        <v>121.776913708481</v>
      </c>
      <c r="AK4346">
        <v>6.8752846957154699</v>
      </c>
      <c r="AL4346">
        <v>85.723300826019994</v>
      </c>
      <c r="AM4346">
        <v>111.358980454443</v>
      </c>
      <c r="AN4346">
        <v>1.0000000101398601</v>
      </c>
    </row>
    <row r="4347" spans="1:40" x14ac:dyDescent="0.25">
      <c r="A4347" t="str">
        <f>"20190312151401594"</f>
        <v>20190312151401594</v>
      </c>
      <c r="B4347" t="str">
        <f>"1552374841585086"</f>
        <v>1552374841585086</v>
      </c>
      <c r="C4347" t="s">
        <v>40</v>
      </c>
      <c r="D4347">
        <v>4.5312029999999996</v>
      </c>
      <c r="E4347">
        <v>0.43931759999999997</v>
      </c>
      <c r="F4347" t="s">
        <v>42</v>
      </c>
      <c r="G4347">
        <v>-418.5727</v>
      </c>
      <c r="H4347" s="1">
        <v>-4.0074620000000004E-6</v>
      </c>
      <c r="I4347">
        <v>118.3841</v>
      </c>
      <c r="J4347">
        <v>-417.17599999999999</v>
      </c>
      <c r="K4347">
        <v>1.1241939999999999</v>
      </c>
      <c r="L4347">
        <v>125.37520000000001</v>
      </c>
      <c r="M4347">
        <v>-0.67515150000000002</v>
      </c>
      <c r="N4347">
        <v>0</v>
      </c>
      <c r="O4347">
        <v>-0.73749319999999996</v>
      </c>
      <c r="P4347">
        <v>-0.36196499999999998</v>
      </c>
      <c r="Q4347">
        <v>7.2407730000000003E-2</v>
      </c>
      <c r="R4347">
        <v>-0.92937590000000003</v>
      </c>
      <c r="S4347">
        <v>-0.67260739999999997</v>
      </c>
      <c r="T4347">
        <v>-0.467026</v>
      </c>
      <c r="U4347">
        <v>-3.0106350000000002</v>
      </c>
      <c r="V4347">
        <v>-0.36337950000000002</v>
      </c>
      <c r="W4347">
        <v>7.5358250000000002E-2</v>
      </c>
      <c r="X4347">
        <v>0.92858839999999998</v>
      </c>
      <c r="Y4347">
        <v>-0.49857240000000003</v>
      </c>
      <c r="Z4347">
        <v>8.3603079999999996E-2</v>
      </c>
      <c r="AA4347">
        <v>0.86280709999999905</v>
      </c>
      <c r="AB4347">
        <v>33</v>
      </c>
      <c r="AC4347">
        <v>-1.3967000000000001</v>
      </c>
      <c r="AD4347">
        <v>-1.1241980074619999</v>
      </c>
      <c r="AE4347">
        <v>-6.9911000000000003</v>
      </c>
      <c r="AF4347">
        <v>-3.6009611867022899</v>
      </c>
      <c r="AG4347">
        <v>-1.1241980074619999</v>
      </c>
      <c r="AH4347">
        <v>5.9517167024264497</v>
      </c>
      <c r="AI4347">
        <v>99.1801444834759</v>
      </c>
      <c r="AJ4347">
        <v>121.175154416135</v>
      </c>
      <c r="AK4347">
        <v>7.0465363359639301</v>
      </c>
      <c r="AL4347">
        <v>85.678193106728003</v>
      </c>
      <c r="AM4347">
        <v>111.37162939109901</v>
      </c>
      <c r="AN4347">
        <v>0.99999997173893496</v>
      </c>
    </row>
    <row r="4348" spans="1:40" x14ac:dyDescent="0.25">
      <c r="A4348" t="str">
        <f>"20190312151401617"</f>
        <v>20190312151401617</v>
      </c>
      <c r="B4348" t="str">
        <f>"1552374841614366"</f>
        <v>1552374841614366</v>
      </c>
      <c r="C4348" t="s">
        <v>40</v>
      </c>
      <c r="D4348">
        <v>4.5288709999999996</v>
      </c>
      <c r="E4348">
        <v>0.44074479999999999</v>
      </c>
      <c r="F4348" t="s">
        <v>42</v>
      </c>
      <c r="G4348">
        <v>-418.70339999999999</v>
      </c>
      <c r="H4348" s="1">
        <v>-3.8413659999999997E-6</v>
      </c>
      <c r="I4348">
        <v>118.051</v>
      </c>
      <c r="J4348">
        <v>-417.38380000000001</v>
      </c>
      <c r="K4348">
        <v>1.1242589999999999</v>
      </c>
      <c r="L4348">
        <v>125.1283</v>
      </c>
      <c r="M4348">
        <v>-0.66330180000000005</v>
      </c>
      <c r="N4348">
        <v>0</v>
      </c>
      <c r="O4348">
        <v>-0.74816780000000005</v>
      </c>
      <c r="P4348">
        <v>-0.34651189999999998</v>
      </c>
      <c r="Q4348">
        <v>7.257044E-2</v>
      </c>
      <c r="R4348">
        <v>-0.93523409999999996</v>
      </c>
      <c r="S4348">
        <v>-0.62957759999999996</v>
      </c>
      <c r="T4348">
        <v>-0.4633679</v>
      </c>
      <c r="U4348">
        <v>-3.018875</v>
      </c>
      <c r="V4348">
        <v>-0.36397030000000002</v>
      </c>
      <c r="W4348">
        <v>7.5459040000000005E-2</v>
      </c>
      <c r="X4348">
        <v>0.92834879999999997</v>
      </c>
      <c r="Y4348">
        <v>-0.4970425</v>
      </c>
      <c r="Z4348">
        <v>8.5132669999999994E-2</v>
      </c>
      <c r="AA4348">
        <v>0.86353989999999903</v>
      </c>
      <c r="AB4348">
        <v>33</v>
      </c>
      <c r="AC4348">
        <v>-1.3195999999999799</v>
      </c>
      <c r="AD4348">
        <v>-1.1242628413660001</v>
      </c>
      <c r="AE4348">
        <v>-7.0772999999999904</v>
      </c>
      <c r="AF4348">
        <v>-3.6193495568154601</v>
      </c>
      <c r="AG4348">
        <v>-1.1242628413660001</v>
      </c>
      <c r="AH4348">
        <v>6.0242385141599302</v>
      </c>
      <c r="AI4348">
        <v>99.088699368353303</v>
      </c>
      <c r="AJ4348">
        <v>120.99735758998</v>
      </c>
      <c r="AK4348">
        <v>7.1172401832721999</v>
      </c>
      <c r="AL4348">
        <v>85.672401768831193</v>
      </c>
      <c r="AM4348">
        <v>111.408259227934</v>
      </c>
      <c r="AN4348">
        <v>0.99999997023062503</v>
      </c>
    </row>
    <row r="4349" spans="1:40" x14ac:dyDescent="0.25">
      <c r="A4349" t="str">
        <f>"20190312151401639"</f>
        <v>20190312151401639</v>
      </c>
      <c r="B4349" t="str">
        <f>"1552374841634862"</f>
        <v>1552374841634862</v>
      </c>
      <c r="C4349" t="s">
        <v>40</v>
      </c>
      <c r="D4349">
        <v>4.4937550000000002</v>
      </c>
      <c r="E4349">
        <v>0.44144440000000001</v>
      </c>
      <c r="F4349" t="s">
        <v>42</v>
      </c>
      <c r="G4349">
        <v>-418.8218</v>
      </c>
      <c r="H4349" s="1">
        <v>-3.6968290000000001E-6</v>
      </c>
      <c r="I4349">
        <v>117.76300000000001</v>
      </c>
      <c r="J4349">
        <v>-417.58690000000001</v>
      </c>
      <c r="K4349">
        <v>1.12432</v>
      </c>
      <c r="L4349">
        <v>124.879</v>
      </c>
      <c r="M4349">
        <v>-0.6512464</v>
      </c>
      <c r="N4349">
        <v>0</v>
      </c>
      <c r="O4349">
        <v>-0.75868419999999903</v>
      </c>
      <c r="P4349">
        <v>-0.33141300000000001</v>
      </c>
      <c r="Q4349">
        <v>7.2350220000000007E-2</v>
      </c>
      <c r="R4349">
        <v>-0.94070790000000004</v>
      </c>
      <c r="S4349">
        <v>-0.59054569999999995</v>
      </c>
      <c r="T4349">
        <v>-0.46171000000000001</v>
      </c>
      <c r="U4349">
        <v>-3.0247649999999999</v>
      </c>
      <c r="V4349">
        <v>-0.36407709999999999</v>
      </c>
      <c r="W4349">
        <v>7.5202279999999996E-2</v>
      </c>
      <c r="X4349">
        <v>0.92832780000000004</v>
      </c>
      <c r="Y4349">
        <v>-0.49425069999999999</v>
      </c>
      <c r="Z4349">
        <v>8.7081629999999993E-2</v>
      </c>
      <c r="AA4349">
        <v>0.86494680000000002</v>
      </c>
      <c r="AB4349">
        <v>33</v>
      </c>
      <c r="AC4349">
        <v>-1.2348999999999799</v>
      </c>
      <c r="AD4349">
        <v>-1.124323696829</v>
      </c>
      <c r="AE4349">
        <v>-7.1159999999999997</v>
      </c>
      <c r="AF4349">
        <v>-3.6103872865014899</v>
      </c>
      <c r="AG4349">
        <v>-1.124323696829</v>
      </c>
      <c r="AH4349">
        <v>6.05709094988622</v>
      </c>
      <c r="AI4349">
        <v>99.059283554535696</v>
      </c>
      <c r="AJ4349">
        <v>120.797462356879</v>
      </c>
      <c r="AK4349">
        <v>7.1405427601111899</v>
      </c>
      <c r="AL4349">
        <v>85.687155129204996</v>
      </c>
      <c r="AM4349">
        <v>111.41441282322501</v>
      </c>
      <c r="AN4349">
        <v>1.00000001095722</v>
      </c>
    </row>
    <row r="4350" spans="1:40" x14ac:dyDescent="0.25">
      <c r="A4350" t="str">
        <f>"20190312151401664"</f>
        <v>20190312151401664</v>
      </c>
      <c r="B4350" t="str">
        <f>"1552374841654382"</f>
        <v>1552374841654382</v>
      </c>
      <c r="C4350" t="s">
        <v>40</v>
      </c>
      <c r="D4350">
        <v>4.5355119999999998</v>
      </c>
      <c r="E4350">
        <v>0.44246170000000001</v>
      </c>
      <c r="F4350" t="s">
        <v>42</v>
      </c>
      <c r="G4350">
        <v>-418.9126</v>
      </c>
      <c r="H4350" s="1">
        <v>-3.5785059999999999E-6</v>
      </c>
      <c r="I4350">
        <v>117.5247</v>
      </c>
      <c r="J4350">
        <v>-417.80619999999999</v>
      </c>
      <c r="K4350">
        <v>1.1243860000000001</v>
      </c>
      <c r="L4350">
        <v>124.6007</v>
      </c>
      <c r="M4350">
        <v>-0.63767910000000005</v>
      </c>
      <c r="N4350">
        <v>0</v>
      </c>
      <c r="O4350">
        <v>-0.77012209999999903</v>
      </c>
      <c r="P4350">
        <v>-0.31443739999999998</v>
      </c>
      <c r="Q4350">
        <v>7.2759859999999996E-2</v>
      </c>
      <c r="R4350">
        <v>-0.94648569999999999</v>
      </c>
      <c r="S4350">
        <v>-0.54656979999999999</v>
      </c>
      <c r="T4350">
        <v>-0.46355560000000001</v>
      </c>
      <c r="U4350">
        <v>-3.0321660000000001</v>
      </c>
      <c r="V4350">
        <v>-0.36430810000000002</v>
      </c>
      <c r="W4350">
        <v>7.5570780000000004E-2</v>
      </c>
      <c r="X4350">
        <v>0.92820720000000001</v>
      </c>
      <c r="Y4350">
        <v>-0.49139129999999998</v>
      </c>
      <c r="Z4350">
        <v>8.9843950000000006E-2</v>
      </c>
      <c r="AA4350">
        <v>0.86629249999999902</v>
      </c>
      <c r="AB4350">
        <v>33</v>
      </c>
      <c r="AC4350">
        <v>-1.1064000000000001</v>
      </c>
      <c r="AD4350">
        <v>-1.1243895785060001</v>
      </c>
      <c r="AE4350">
        <v>-7.0759999999999996</v>
      </c>
      <c r="AF4350">
        <v>-3.5726070081437298</v>
      </c>
      <c r="AG4350">
        <v>-1.1243895785060001</v>
      </c>
      <c r="AH4350">
        <v>6.0076928206729203</v>
      </c>
      <c r="AI4350">
        <v>99.138527260230802</v>
      </c>
      <c r="AJ4350">
        <v>120.73876631478601</v>
      </c>
      <c r="AK4350">
        <v>7.07955830447463</v>
      </c>
      <c r="AL4350">
        <v>85.665981205827507</v>
      </c>
      <c r="AM4350">
        <v>111.42929987521801</v>
      </c>
      <c r="AN4350">
        <v>0.99999997032362797</v>
      </c>
    </row>
    <row r="4351" spans="1:40" x14ac:dyDescent="0.25">
      <c r="A4351" t="str">
        <f>"20190312151401740"</f>
        <v>20190312151401740</v>
      </c>
      <c r="B4351" t="str">
        <f>"1552374841734414"</f>
        <v>1552374841734414</v>
      </c>
      <c r="C4351" t="s">
        <v>40</v>
      </c>
      <c r="D4351">
        <v>4.5478779999999999</v>
      </c>
      <c r="E4351">
        <v>0.46191090000000001</v>
      </c>
      <c r="F4351" t="s">
        <v>41</v>
      </c>
      <c r="G4351">
        <v>-418.43009999999998</v>
      </c>
      <c r="H4351">
        <v>0.9892244</v>
      </c>
      <c r="I4351">
        <v>123.0414</v>
      </c>
      <c r="J4351">
        <v>-418.45409999999998</v>
      </c>
      <c r="K4351">
        <v>1.1245259999999999</v>
      </c>
      <c r="L4351">
        <v>123.7101</v>
      </c>
      <c r="M4351">
        <v>-0.59372990000000003</v>
      </c>
      <c r="N4351">
        <v>0</v>
      </c>
      <c r="O4351">
        <v>-0.804490699999999</v>
      </c>
      <c r="P4351">
        <v>-0.26463360000000002</v>
      </c>
      <c r="Q4351">
        <v>7.5727929999999999E-2</v>
      </c>
      <c r="R4351">
        <v>-0.96137110000000003</v>
      </c>
      <c r="S4351">
        <v>-0.52777099999999999</v>
      </c>
      <c r="T4351">
        <v>-0.43451990000000001</v>
      </c>
      <c r="U4351">
        <v>-3.0141300000000002</v>
      </c>
      <c r="V4351">
        <v>-0.36094100000000001</v>
      </c>
      <c r="W4351">
        <v>7.8627240000000001E-2</v>
      </c>
      <c r="X4351">
        <v>0.92926819999999999</v>
      </c>
      <c r="Y4351">
        <v>-0.4467161</v>
      </c>
      <c r="Z4351">
        <v>9.3567739999999996E-2</v>
      </c>
      <c r="AA4351">
        <v>0.88976959999999905</v>
      </c>
      <c r="AB4351">
        <v>33</v>
      </c>
      <c r="AC4351">
        <v>2.4000000000000899E-2</v>
      </c>
      <c r="AD4351">
        <v>-0.13530159999999899</v>
      </c>
      <c r="AE4351">
        <v>-0.66870000000000096</v>
      </c>
      <c r="AF4351">
        <v>-0.40003689282886101</v>
      </c>
      <c r="AG4351">
        <v>-0.13530159999999899</v>
      </c>
      <c r="AH4351">
        <v>0.50321185181602102</v>
      </c>
      <c r="AI4351">
        <v>101.88571228448301</v>
      </c>
      <c r="AJ4351">
        <v>128.48354623955299</v>
      </c>
      <c r="AK4351">
        <v>0.65693089925412895</v>
      </c>
      <c r="AL4351">
        <v>85.490336269638703</v>
      </c>
      <c r="AM4351">
        <v>111.22687883646</v>
      </c>
      <c r="AN4351">
        <v>1.0000000179411199</v>
      </c>
    </row>
    <row r="4352" spans="1:40" x14ac:dyDescent="0.25">
      <c r="A4352" t="str">
        <f>"20190312151401763"</f>
        <v>20190312151401763</v>
      </c>
      <c r="B4352" t="str">
        <f>"1552374841754910"</f>
        <v>1552374841754910</v>
      </c>
      <c r="C4352" t="s">
        <v>40</v>
      </c>
      <c r="D4352">
        <v>4.5939100000000002</v>
      </c>
      <c r="E4352">
        <v>0.46201059999999999</v>
      </c>
      <c r="F4352" t="s">
        <v>41</v>
      </c>
      <c r="G4352">
        <v>-418.60840000000002</v>
      </c>
      <c r="H4352">
        <v>0.98991050000000003</v>
      </c>
      <c r="I4352">
        <v>122.7602</v>
      </c>
      <c r="J4352">
        <v>-418.63670000000002</v>
      </c>
      <c r="K4352">
        <v>1.1245419999999999</v>
      </c>
      <c r="L4352">
        <v>123.4392</v>
      </c>
      <c r="M4352">
        <v>-0.58022589999999996</v>
      </c>
      <c r="N4352">
        <v>0</v>
      </c>
      <c r="O4352">
        <v>-0.8142838</v>
      </c>
      <c r="P4352">
        <v>-0.249366</v>
      </c>
      <c r="Q4352">
        <v>7.6178620000000002E-2</v>
      </c>
      <c r="R4352">
        <v>-0.96540859999999995</v>
      </c>
      <c r="S4352">
        <v>-0.49023440000000001</v>
      </c>
      <c r="T4352">
        <v>-0.4278132</v>
      </c>
      <c r="U4352">
        <v>-3.019333</v>
      </c>
      <c r="V4352">
        <v>-0.36016189999999998</v>
      </c>
      <c r="W4352">
        <v>7.9106380000000004E-2</v>
      </c>
      <c r="X4352">
        <v>0.92952970000000001</v>
      </c>
      <c r="Y4352">
        <v>-0.442824</v>
      </c>
      <c r="Z4352">
        <v>9.4157550000000007E-2</v>
      </c>
      <c r="AA4352">
        <v>0.89165090000000002</v>
      </c>
      <c r="AB4352">
        <v>33</v>
      </c>
      <c r="AC4352">
        <v>2.8300000000001501E-2</v>
      </c>
      <c r="AD4352">
        <v>-0.13463149999999999</v>
      </c>
      <c r="AE4352">
        <v>-0.67900000000000205</v>
      </c>
      <c r="AF4352">
        <v>-0.40132538559577902</v>
      </c>
      <c r="AG4352">
        <v>-0.13463149999999999</v>
      </c>
      <c r="AH4352">
        <v>0.51629080980150399</v>
      </c>
      <c r="AI4352">
        <v>101.63361934940301</v>
      </c>
      <c r="AJ4352">
        <v>127.858790616831</v>
      </c>
      <c r="AK4352">
        <v>0.66764055164537695</v>
      </c>
      <c r="AL4352">
        <v>85.462797430410802</v>
      </c>
      <c r="AM4352">
        <v>111.179695689916</v>
      </c>
      <c r="AN4352">
        <v>0.99999993837519996</v>
      </c>
    </row>
    <row r="4353" spans="1:40" x14ac:dyDescent="0.25">
      <c r="A4353" t="str">
        <f>"20190312151401787"</f>
        <v>20190312151401787</v>
      </c>
      <c r="B4353" t="str">
        <f>"1552374841775406"</f>
        <v>1552374841775406</v>
      </c>
      <c r="C4353" t="s">
        <v>40</v>
      </c>
      <c r="D4353">
        <v>4.6089019999999996</v>
      </c>
      <c r="E4353">
        <v>0.46244279999999999</v>
      </c>
      <c r="F4353" t="s">
        <v>42</v>
      </c>
      <c r="G4353">
        <v>-419.80849999999998</v>
      </c>
      <c r="H4353" s="1">
        <v>-2.5236790000000001E-6</v>
      </c>
      <c r="I4353">
        <v>115.4363</v>
      </c>
      <c r="J4353">
        <v>-418.81950000000001</v>
      </c>
      <c r="K4353">
        <v>1.124549</v>
      </c>
      <c r="L4353">
        <v>123.15779999999999</v>
      </c>
      <c r="M4353">
        <v>-0.56614799999999998</v>
      </c>
      <c r="N4353">
        <v>0</v>
      </c>
      <c r="O4353">
        <v>-0.82413340000000002</v>
      </c>
      <c r="P4353">
        <v>-0.23366100000000001</v>
      </c>
      <c r="Q4353">
        <v>7.5775850000000006E-2</v>
      </c>
      <c r="R4353">
        <v>-0.96936080000000002</v>
      </c>
      <c r="S4353">
        <v>-0.44314579999999998</v>
      </c>
      <c r="T4353">
        <v>-0.4252899</v>
      </c>
      <c r="U4353">
        <v>-3.0265960000000001</v>
      </c>
      <c r="V4353">
        <v>-0.35928480000000002</v>
      </c>
      <c r="W4353">
        <v>7.8739890000000007E-2</v>
      </c>
      <c r="X4353">
        <v>0.92990019999999995</v>
      </c>
      <c r="Y4353">
        <v>-0.4413282</v>
      </c>
      <c r="Z4353">
        <v>9.5483999999999999E-2</v>
      </c>
      <c r="AA4353">
        <v>0.89225129999999997</v>
      </c>
      <c r="AB4353">
        <v>33</v>
      </c>
      <c r="AC4353">
        <v>-0.98899999999997601</v>
      </c>
      <c r="AD4353">
        <v>-1.124551523679</v>
      </c>
      <c r="AE4353">
        <v>-7.72149999999999</v>
      </c>
      <c r="AF4353">
        <v>-3.4842326612849202</v>
      </c>
      <c r="AG4353">
        <v>-1.124551523679</v>
      </c>
      <c r="AH4353">
        <v>6.7828901148801801</v>
      </c>
      <c r="AI4353">
        <v>98.389139827405103</v>
      </c>
      <c r="AJ4353">
        <v>117.188643453141</v>
      </c>
      <c r="AK4353">
        <v>7.7079239538226298</v>
      </c>
      <c r="AL4353">
        <v>85.483861564318104</v>
      </c>
      <c r="AM4353">
        <v>111.124996709255</v>
      </c>
      <c r="AN4353">
        <v>0.99999995987414503</v>
      </c>
    </row>
    <row r="4354" spans="1:40" x14ac:dyDescent="0.25">
      <c r="A4354" t="str">
        <f>"20190312151401808"</f>
        <v>20190312151401808</v>
      </c>
      <c r="B4354" t="str">
        <f>"1552374841804686"</f>
        <v>1552374841804686</v>
      </c>
      <c r="C4354" t="s">
        <v>40</v>
      </c>
      <c r="D4354">
        <v>4.6337849999999996</v>
      </c>
      <c r="E4354">
        <v>0.46345789999999998</v>
      </c>
      <c r="F4354" t="s">
        <v>42</v>
      </c>
      <c r="G4354">
        <v>-419.86349999999999</v>
      </c>
      <c r="H4354" s="1">
        <v>-2.4080169999999999E-6</v>
      </c>
      <c r="I4354">
        <v>115.1895</v>
      </c>
      <c r="J4354">
        <v>-418.98689999999999</v>
      </c>
      <c r="K4354">
        <v>1.1245529999999999</v>
      </c>
      <c r="L4354">
        <v>122.8896</v>
      </c>
      <c r="M4354">
        <v>-0.5526991</v>
      </c>
      <c r="N4354">
        <v>0</v>
      </c>
      <c r="O4354">
        <v>-0.83321239999999996</v>
      </c>
      <c r="P4354">
        <v>-0.2185848</v>
      </c>
      <c r="Q4354">
        <v>7.5861869999999998E-2</v>
      </c>
      <c r="R4354">
        <v>-0.97286459999999997</v>
      </c>
      <c r="S4354">
        <v>-0.39733889999999999</v>
      </c>
      <c r="T4354">
        <v>-0.42797089999999999</v>
      </c>
      <c r="U4354">
        <v>-3.0325009999999999</v>
      </c>
      <c r="V4354">
        <v>-0.3586297</v>
      </c>
      <c r="W4354">
        <v>7.885636E-2</v>
      </c>
      <c r="X4354">
        <v>0.93014319999999895</v>
      </c>
      <c r="Y4354">
        <v>-0.44026720000000003</v>
      </c>
      <c r="Z4354">
        <v>9.7823809999999997E-2</v>
      </c>
      <c r="AA4354">
        <v>0.89252189999999998</v>
      </c>
      <c r="AB4354">
        <v>33</v>
      </c>
      <c r="AC4354">
        <v>-0.87659999999999605</v>
      </c>
      <c r="AD4354">
        <v>-1.1245554080169999</v>
      </c>
      <c r="AE4354">
        <v>-7.7000999999999999</v>
      </c>
      <c r="AF4354">
        <v>-3.4532281317200599</v>
      </c>
      <c r="AG4354">
        <v>-1.1245554080169999</v>
      </c>
      <c r="AH4354">
        <v>6.7589667941150102</v>
      </c>
      <c r="AI4354">
        <v>98.427765847774694</v>
      </c>
      <c r="AJ4354">
        <v>117.06297297630999</v>
      </c>
      <c r="AK4354">
        <v>7.6728770040547696</v>
      </c>
      <c r="AL4354">
        <v>85.477167600697399</v>
      </c>
      <c r="AM4354">
        <v>111.084841791936</v>
      </c>
      <c r="AN4354">
        <v>0.99999997987038902</v>
      </c>
    </row>
    <row r="4355" spans="1:40" x14ac:dyDescent="0.25">
      <c r="A4355" t="str">
        <f>"20190312151401831"</f>
        <v>20190312151401831</v>
      </c>
      <c r="B4355" t="str">
        <f>"1552374841825183"</f>
        <v>1552374841825183</v>
      </c>
      <c r="C4355" t="s">
        <v>40</v>
      </c>
      <c r="D4355">
        <v>4.6591050000000003</v>
      </c>
      <c r="E4355">
        <v>0.46472920000000001</v>
      </c>
      <c r="F4355" t="s">
        <v>42</v>
      </c>
      <c r="G4355">
        <v>-419.93810000000002</v>
      </c>
      <c r="H4355" s="1">
        <v>-2.2354350000000001E-6</v>
      </c>
      <c r="I4355">
        <v>114.818</v>
      </c>
      <c r="J4355">
        <v>-419.14960000000002</v>
      </c>
      <c r="K4355">
        <v>1.1245579999999999</v>
      </c>
      <c r="L4355">
        <v>122.6193</v>
      </c>
      <c r="M4355">
        <v>-0.53910239999999998</v>
      </c>
      <c r="N4355">
        <v>0</v>
      </c>
      <c r="O4355">
        <v>-0.84207339999999997</v>
      </c>
      <c r="P4355">
        <v>-0.2036068</v>
      </c>
      <c r="Q4355">
        <v>7.5957799999999895E-2</v>
      </c>
      <c r="R4355">
        <v>-0.97610220000000003</v>
      </c>
      <c r="S4355">
        <v>-0.35781859999999999</v>
      </c>
      <c r="T4355">
        <v>-0.42302040000000002</v>
      </c>
      <c r="U4355">
        <v>-3.03627</v>
      </c>
      <c r="V4355">
        <v>-0.35782639999999999</v>
      </c>
      <c r="W4355">
        <v>7.8991829999999999E-2</v>
      </c>
      <c r="X4355">
        <v>0.93044099999999996</v>
      </c>
      <c r="Y4355">
        <v>-0.43729190000000001</v>
      </c>
      <c r="Z4355">
        <v>9.8517370000000007E-2</v>
      </c>
      <c r="AA4355">
        <v>0.89390720000000001</v>
      </c>
      <c r="AB4355">
        <v>33</v>
      </c>
      <c r="AC4355">
        <v>-0.78849999999999898</v>
      </c>
      <c r="AD4355">
        <v>-1.1245602354349999</v>
      </c>
      <c r="AE4355">
        <v>-7.8012999999999897</v>
      </c>
      <c r="AF4355">
        <v>-3.4708301854787802</v>
      </c>
      <c r="AG4355">
        <v>-1.1245602354349999</v>
      </c>
      <c r="AH4355">
        <v>6.8543439816569602</v>
      </c>
      <c r="AI4355">
        <v>98.327233374795298</v>
      </c>
      <c r="AJ4355">
        <v>116.856259432599</v>
      </c>
      <c r="AK4355">
        <v>7.7648779332600704</v>
      </c>
      <c r="AL4355">
        <v>85.469381309212295</v>
      </c>
      <c r="AM4355">
        <v>111.035605411577</v>
      </c>
      <c r="AN4355">
        <v>0.99999994811235204</v>
      </c>
    </row>
    <row r="4356" spans="1:40" x14ac:dyDescent="0.25">
      <c r="A4356" t="str">
        <f>"20190312151401855"</f>
        <v>20190312151401855</v>
      </c>
      <c r="B4356" t="str">
        <f>"1552374841844702"</f>
        <v>1552374841844702</v>
      </c>
      <c r="C4356" t="s">
        <v>40</v>
      </c>
      <c r="D4356">
        <v>4.6589359999999997</v>
      </c>
      <c r="E4356">
        <v>0.46591860000000002</v>
      </c>
      <c r="F4356" t="s">
        <v>42</v>
      </c>
      <c r="G4356">
        <v>-419.99860000000001</v>
      </c>
      <c r="H4356" s="1">
        <v>-2.137499E-6</v>
      </c>
      <c r="I4356">
        <v>114.57250000000001</v>
      </c>
      <c r="J4356">
        <v>-419.32589999999999</v>
      </c>
      <c r="K4356">
        <v>1.124557</v>
      </c>
      <c r="L4356">
        <v>122.3145</v>
      </c>
      <c r="M4356">
        <v>-0.52373579999999997</v>
      </c>
      <c r="N4356">
        <v>0</v>
      </c>
      <c r="O4356">
        <v>-0.85171559999999902</v>
      </c>
      <c r="P4356">
        <v>-0.18652389999999999</v>
      </c>
      <c r="Q4356">
        <v>7.6637819999999995E-2</v>
      </c>
      <c r="R4356">
        <v>-0.97945669999999996</v>
      </c>
      <c r="S4356">
        <v>-0.32070920000000003</v>
      </c>
      <c r="T4356">
        <v>-0.42479679999999997</v>
      </c>
      <c r="U4356">
        <v>-3.039612</v>
      </c>
      <c r="V4356">
        <v>-0.35719469999999998</v>
      </c>
      <c r="W4356">
        <v>7.9706269999999996E-2</v>
      </c>
      <c r="X4356">
        <v>0.93062290000000003</v>
      </c>
      <c r="Y4356">
        <v>-0.43189420000000001</v>
      </c>
      <c r="Z4356">
        <v>0.1009858</v>
      </c>
      <c r="AA4356">
        <v>0.89625290000000002</v>
      </c>
      <c r="AB4356">
        <v>33</v>
      </c>
      <c r="AC4356">
        <v>-0.67270000000001995</v>
      </c>
      <c r="AD4356">
        <v>-1.124559137499</v>
      </c>
      <c r="AE4356">
        <v>-7.7419999999999902</v>
      </c>
      <c r="AF4356">
        <v>-3.4108771407557601</v>
      </c>
      <c r="AG4356">
        <v>-1.124559137499</v>
      </c>
      <c r="AH4356">
        <v>6.8047795946017304</v>
      </c>
      <c r="AI4356">
        <v>98.404052324733996</v>
      </c>
      <c r="AJ4356">
        <v>116.62219293168199</v>
      </c>
      <c r="AK4356">
        <v>7.6943967570025196</v>
      </c>
      <c r="AL4356">
        <v>85.428317955159002</v>
      </c>
      <c r="AM4356">
        <v>110.997962950633</v>
      </c>
      <c r="AN4356">
        <v>1.0000000625948999</v>
      </c>
    </row>
    <row r="4357" spans="1:40" x14ac:dyDescent="0.25">
      <c r="A4357" t="str">
        <f>"20190312151401880"</f>
        <v>20190312151401880</v>
      </c>
      <c r="B4357" t="str">
        <f>"1552374841874958"</f>
        <v>1552374841874958</v>
      </c>
      <c r="C4357" t="s">
        <v>40</v>
      </c>
      <c r="D4357">
        <v>4.6721139999999997</v>
      </c>
      <c r="E4357">
        <v>0.47785050000000001</v>
      </c>
      <c r="F4357" t="s">
        <v>41</v>
      </c>
      <c r="G4357">
        <v>-419.4153</v>
      </c>
      <c r="H4357">
        <v>0.98735830000000002</v>
      </c>
      <c r="I4357">
        <v>121.3381</v>
      </c>
      <c r="J4357">
        <v>-419.49759999999998</v>
      </c>
      <c r="K4357">
        <v>1.1245449999999999</v>
      </c>
      <c r="L4357">
        <v>122.0052</v>
      </c>
      <c r="M4357">
        <v>-0.50809589999999905</v>
      </c>
      <c r="N4357">
        <v>0</v>
      </c>
      <c r="O4357">
        <v>-0.86113719999999905</v>
      </c>
      <c r="P4357">
        <v>-0.1687652</v>
      </c>
      <c r="Q4357">
        <v>7.734916E-2</v>
      </c>
      <c r="R4357">
        <v>-0.98261679999999996</v>
      </c>
      <c r="S4357">
        <v>-0.27792359999999999</v>
      </c>
      <c r="T4357">
        <v>-0.42755660000000001</v>
      </c>
      <c r="U4357">
        <v>-3.0434570000000001</v>
      </c>
      <c r="V4357">
        <v>-0.35704049999999998</v>
      </c>
      <c r="W4357">
        <v>8.0434919999999993E-2</v>
      </c>
      <c r="X4357">
        <v>0.93061930000000004</v>
      </c>
      <c r="Y4357">
        <v>-0.4280466</v>
      </c>
      <c r="Z4357">
        <v>0.1035918</v>
      </c>
      <c r="AA4357">
        <v>0.89780000000000004</v>
      </c>
      <c r="AB4357">
        <v>33</v>
      </c>
      <c r="AC4357">
        <v>8.2299999999975101E-2</v>
      </c>
      <c r="AD4357">
        <v>-0.13718669999999999</v>
      </c>
      <c r="AE4357">
        <v>-0.66710000000000402</v>
      </c>
      <c r="AF4357">
        <v>-0.39348868654570301</v>
      </c>
      <c r="AG4357">
        <v>-0.13718669999999999</v>
      </c>
      <c r="AH4357">
        <v>0.51141936194186199</v>
      </c>
      <c r="AI4357">
        <v>102.00244017617</v>
      </c>
      <c r="AJ4357">
        <v>127.574868245133</v>
      </c>
      <c r="AK4357">
        <v>0.65969940189860299</v>
      </c>
      <c r="AL4357">
        <v>85.386434565143105</v>
      </c>
      <c r="AM4357">
        <v>110.989761985884</v>
      </c>
      <c r="AN4357">
        <v>0.99999998826407299</v>
      </c>
    </row>
    <row r="4358" spans="1:40" x14ac:dyDescent="0.25">
      <c r="A4358" t="str">
        <f>"20190312151401905"</f>
        <v>20190312151401905</v>
      </c>
      <c r="B4358" t="str">
        <f>"1552374841894478"</f>
        <v>1552374841894478</v>
      </c>
      <c r="C4358" t="s">
        <v>40</v>
      </c>
      <c r="D4358">
        <v>4.6840619999999999</v>
      </c>
      <c r="E4358">
        <v>0.47848580000000002</v>
      </c>
      <c r="F4358" t="s">
        <v>42</v>
      </c>
      <c r="G4358">
        <v>-420.29770000000002</v>
      </c>
      <c r="H4358" s="1">
        <v>-2.1306680000000002E-6</v>
      </c>
      <c r="I4358">
        <v>114.3711</v>
      </c>
      <c r="J4358">
        <v>-419.66199999999998</v>
      </c>
      <c r="K4358">
        <v>1.1245350000000001</v>
      </c>
      <c r="L4358">
        <v>121.6964</v>
      </c>
      <c r="M4358">
        <v>-0.49243890000000001</v>
      </c>
      <c r="N4358">
        <v>0</v>
      </c>
      <c r="O4358">
        <v>-0.8701856</v>
      </c>
      <c r="P4358">
        <v>-0.1517503</v>
      </c>
      <c r="Q4358">
        <v>7.7185779999999996E-2</v>
      </c>
      <c r="R4358">
        <v>-0.98540059999999996</v>
      </c>
      <c r="S4358">
        <v>-0.31796259999999998</v>
      </c>
      <c r="T4358">
        <v>-0.4468685</v>
      </c>
      <c r="U4358">
        <v>-3.03363</v>
      </c>
      <c r="V4358">
        <v>-0.35629699999999997</v>
      </c>
      <c r="W4358">
        <v>8.0315129999999998E-2</v>
      </c>
      <c r="X4358">
        <v>0.93091460000000004</v>
      </c>
      <c r="Y4358">
        <v>-0.39960970000000001</v>
      </c>
      <c r="Z4358">
        <v>0.111374</v>
      </c>
      <c r="AA4358">
        <v>0.90989450000000005</v>
      </c>
      <c r="AB4358">
        <v>33</v>
      </c>
      <c r="AC4358">
        <v>-0.63570000000004201</v>
      </c>
      <c r="AD4358">
        <v>-1.1245371306679901</v>
      </c>
      <c r="AE4358">
        <v>-7.3252999999999897</v>
      </c>
      <c r="AF4358">
        <v>-2.98470133352181</v>
      </c>
      <c r="AG4358">
        <v>-1.1245371306679901</v>
      </c>
      <c r="AH4358">
        <v>6.5354857310890901</v>
      </c>
      <c r="AI4358">
        <v>98.895572008933101</v>
      </c>
      <c r="AJ4358">
        <v>114.54578102268501</v>
      </c>
      <c r="AK4358">
        <v>7.2722485896624098</v>
      </c>
      <c r="AL4358">
        <v>85.393320507908697</v>
      </c>
      <c r="AM4358">
        <v>110.943780170914</v>
      </c>
      <c r="AN4358">
        <v>1.0000000324045299</v>
      </c>
    </row>
    <row r="4359" spans="1:40" x14ac:dyDescent="0.25">
      <c r="A4359" t="str">
        <f>"20190312151401942"</f>
        <v>20190312151401942</v>
      </c>
      <c r="B4359" t="str">
        <f>"1552374841934497"</f>
        <v>1552374841934497</v>
      </c>
      <c r="C4359" t="s">
        <v>40</v>
      </c>
      <c r="D4359">
        <v>4.6560949999999997</v>
      </c>
      <c r="E4359">
        <v>0.48020049999999997</v>
      </c>
      <c r="F4359" t="s">
        <v>42</v>
      </c>
      <c r="G4359">
        <v>-420.3304</v>
      </c>
      <c r="H4359" s="1">
        <v>-2.0520239999999998E-6</v>
      </c>
      <c r="I4359">
        <v>114.1675</v>
      </c>
      <c r="J4359">
        <v>-419.89940000000001</v>
      </c>
      <c r="K4359">
        <v>1.12452</v>
      </c>
      <c r="L4359">
        <v>121.2227</v>
      </c>
      <c r="M4359">
        <v>-0.46837139999999999</v>
      </c>
      <c r="N4359">
        <v>0</v>
      </c>
      <c r="O4359">
        <v>-0.88337239999999995</v>
      </c>
      <c r="P4359">
        <v>-0.12645499999999901</v>
      </c>
      <c r="Q4359">
        <v>7.8657450000000004E-2</v>
      </c>
      <c r="R4359">
        <v>-0.98884899999999998</v>
      </c>
      <c r="S4359">
        <v>-0.2697754</v>
      </c>
      <c r="T4359">
        <v>-0.45383309999999999</v>
      </c>
      <c r="U4359">
        <v>-3.0384669999999998</v>
      </c>
      <c r="V4359">
        <v>-0.35458790000000001</v>
      </c>
      <c r="W4359">
        <v>8.1881609999999994E-2</v>
      </c>
      <c r="X4359">
        <v>0.93143050000000005</v>
      </c>
      <c r="Y4359">
        <v>-0.3889261</v>
      </c>
      <c r="Z4359">
        <v>0.116156</v>
      </c>
      <c r="AA4359">
        <v>0.91391699999999998</v>
      </c>
      <c r="AB4359">
        <v>32</v>
      </c>
      <c r="AC4359">
        <v>-0.43099999999998301</v>
      </c>
      <c r="AD4359">
        <v>-1.124522052024</v>
      </c>
      <c r="AE4359">
        <v>-7.0551999999999904</v>
      </c>
      <c r="AF4359">
        <v>-2.8519478712259598</v>
      </c>
      <c r="AG4359">
        <v>-1.124522052024</v>
      </c>
      <c r="AH4359">
        <v>6.2762870963692103</v>
      </c>
      <c r="AI4359">
        <v>99.264449042633899</v>
      </c>
      <c r="AJ4359">
        <v>114.43707032397499</v>
      </c>
      <c r="AK4359">
        <v>6.98497932865439</v>
      </c>
      <c r="AL4359">
        <v>85.303270932844498</v>
      </c>
      <c r="AM4359">
        <v>110.841415982554</v>
      </c>
      <c r="AN4359">
        <v>0.99999997660642503</v>
      </c>
    </row>
    <row r="4360" spans="1:40" x14ac:dyDescent="0.25">
      <c r="A4360" t="str">
        <f>"20190312151401988"</f>
        <v>20190312151401988</v>
      </c>
      <c r="B4360" t="str">
        <f>"1552374841985246"</f>
        <v>1552374841985246</v>
      </c>
      <c r="C4360" t="s">
        <v>40</v>
      </c>
      <c r="D4360">
        <v>4.7020530000000003</v>
      </c>
      <c r="E4360">
        <v>0.4719699</v>
      </c>
      <c r="F4360" t="s">
        <v>42</v>
      </c>
      <c r="G4360">
        <v>-420.41460000000001</v>
      </c>
      <c r="H4360" s="1">
        <v>-1.795622E-6</v>
      </c>
      <c r="I4360">
        <v>113.5176</v>
      </c>
      <c r="J4360">
        <v>-420.16699999999997</v>
      </c>
      <c r="K4360">
        <v>1.1244860000000001</v>
      </c>
      <c r="L4360">
        <v>120.64660000000001</v>
      </c>
      <c r="M4360">
        <v>-0.43900099999999997</v>
      </c>
      <c r="N4360">
        <v>0</v>
      </c>
      <c r="O4360">
        <v>-0.89833030000000003</v>
      </c>
      <c r="P4360">
        <v>-9.6258040000000003E-2</v>
      </c>
      <c r="Q4360">
        <v>7.9501219999999997E-2</v>
      </c>
      <c r="R4360">
        <v>-0.99217679999999997</v>
      </c>
      <c r="S4360">
        <v>-0.20349120000000001</v>
      </c>
      <c r="T4360">
        <v>-0.44412590000000002</v>
      </c>
      <c r="U4360">
        <v>-3.0431059999999999</v>
      </c>
      <c r="V4360">
        <v>-0.35226289999999999</v>
      </c>
      <c r="W4360">
        <v>8.2855319999999996E-2</v>
      </c>
      <c r="X4360">
        <v>0.9322262</v>
      </c>
      <c r="Y4360">
        <v>-0.3784672</v>
      </c>
      <c r="Z4360">
        <v>0.1171117</v>
      </c>
      <c r="AA4360">
        <v>0.91817610000000005</v>
      </c>
      <c r="AB4360">
        <v>32</v>
      </c>
      <c r="AC4360">
        <v>-0.24760000000003399</v>
      </c>
      <c r="AD4360">
        <v>-1.1244877956219901</v>
      </c>
      <c r="AE4360">
        <v>-7.1289999999999996</v>
      </c>
      <c r="AF4360">
        <v>-2.83711706262546</v>
      </c>
      <c r="AG4360">
        <v>-1.1244877956219901</v>
      </c>
      <c r="AH4360">
        <v>6.3558638823742299</v>
      </c>
      <c r="AI4360">
        <v>99.177216335959301</v>
      </c>
      <c r="AJ4360">
        <v>114.054927780719</v>
      </c>
      <c r="AK4360">
        <v>7.0505823674936599</v>
      </c>
      <c r="AL4360">
        <v>85.247290970538998</v>
      </c>
      <c r="AM4360">
        <v>110.700213684595</v>
      </c>
      <c r="AN4360">
        <v>0.99999992136757299</v>
      </c>
    </row>
    <row r="4361" spans="1:40" x14ac:dyDescent="0.25">
      <c r="A4361" t="str">
        <f>"20190312151402011"</f>
        <v>20190312151402011</v>
      </c>
      <c r="B4361" t="str">
        <f>"1552374842004767"</f>
        <v>1552374842004767</v>
      </c>
      <c r="C4361" t="s">
        <v>40</v>
      </c>
      <c r="D4361">
        <v>4.6433070000000001</v>
      </c>
      <c r="E4361">
        <v>0.46499829999999998</v>
      </c>
      <c r="F4361" t="s">
        <v>42</v>
      </c>
      <c r="G4361">
        <v>-420.28379999999999</v>
      </c>
      <c r="H4361" s="1">
        <v>-1.467778E-6</v>
      </c>
      <c r="I4361">
        <v>112.83450000000001</v>
      </c>
      <c r="J4361">
        <v>-420.3039</v>
      </c>
      <c r="K4361">
        <v>1.1244590000000001</v>
      </c>
      <c r="L4361">
        <v>120.32980000000001</v>
      </c>
      <c r="M4361">
        <v>-0.42281259999999998</v>
      </c>
      <c r="N4361">
        <v>0</v>
      </c>
      <c r="O4361">
        <v>-0.90606220000000004</v>
      </c>
      <c r="P4361">
        <v>-8.0458989999999994E-2</v>
      </c>
      <c r="Q4361">
        <v>7.9158309999999996E-2</v>
      </c>
      <c r="R4361">
        <v>-0.99360990000000005</v>
      </c>
      <c r="S4361">
        <v>-4.5654300000000002E-2</v>
      </c>
      <c r="T4361">
        <v>-0.43966650000000002</v>
      </c>
      <c r="U4361">
        <v>-3.0544739999999999</v>
      </c>
      <c r="V4361">
        <v>-0.35036149999999999</v>
      </c>
      <c r="W4361">
        <v>8.261251E-2</v>
      </c>
      <c r="X4361">
        <v>0.93296409999999996</v>
      </c>
      <c r="Y4361">
        <v>-0.4091938</v>
      </c>
      <c r="Z4361">
        <v>0.1162704</v>
      </c>
      <c r="AA4361">
        <v>0.90500919999999896</v>
      </c>
      <c r="AB4361">
        <v>32</v>
      </c>
      <c r="AC4361">
        <v>2.0100000000013499E-2</v>
      </c>
      <c r="AD4361">
        <v>-1.1244604677779999</v>
      </c>
      <c r="AE4361">
        <v>-7.4953000000000003</v>
      </c>
      <c r="AF4361">
        <v>-3.1176005599582202</v>
      </c>
      <c r="AG4361">
        <v>-1.1244604677779999</v>
      </c>
      <c r="AH4361">
        <v>6.63434629113807</v>
      </c>
      <c r="AI4361">
        <v>98.721076426143597</v>
      </c>
      <c r="AJ4361">
        <v>115.169689085559</v>
      </c>
      <c r="AK4361">
        <v>7.4160902978446002</v>
      </c>
      <c r="AL4361">
        <v>85.261251238318593</v>
      </c>
      <c r="AM4361">
        <v>110.582959061967</v>
      </c>
      <c r="AN4361">
        <v>1.0000000096897701</v>
      </c>
    </row>
    <row r="4362" spans="1:40" x14ac:dyDescent="0.25">
      <c r="A4362" t="str">
        <f>"20190312151402031"</f>
        <v>20190312151402031</v>
      </c>
      <c r="B4362" t="str">
        <f>"1552374842025262"</f>
        <v>1552374842025262</v>
      </c>
      <c r="C4362" t="s">
        <v>40</v>
      </c>
      <c r="D4362">
        <v>4.9750329999999998</v>
      </c>
      <c r="E4362">
        <v>0.4641092</v>
      </c>
      <c r="F4362" t="s">
        <v>42</v>
      </c>
      <c r="G4362">
        <v>-420.15440000000001</v>
      </c>
      <c r="H4362" s="1">
        <v>-1.3961460000000001E-6</v>
      </c>
      <c r="I4362">
        <v>112.7478</v>
      </c>
      <c r="J4362">
        <v>-420.41</v>
      </c>
      <c r="K4362">
        <v>1.124431</v>
      </c>
      <c r="L4362">
        <v>120.0735</v>
      </c>
      <c r="M4362">
        <v>-0.409692</v>
      </c>
      <c r="N4362">
        <v>0</v>
      </c>
      <c r="O4362">
        <v>-0.91207000000000005</v>
      </c>
      <c r="P4362">
        <v>-6.8395609999999996E-2</v>
      </c>
      <c r="Q4362">
        <v>7.9392840000000006E-2</v>
      </c>
      <c r="R4362">
        <v>-0.9944944</v>
      </c>
      <c r="S4362">
        <v>6.0333249999999998E-2</v>
      </c>
      <c r="T4362">
        <v>-0.45386409999999999</v>
      </c>
      <c r="U4362">
        <v>-3.0603180000000001</v>
      </c>
      <c r="V4362">
        <v>-0.34821079999999999</v>
      </c>
      <c r="W4362">
        <v>8.2953680000000002E-2</v>
      </c>
      <c r="X4362">
        <v>0.93373870000000003</v>
      </c>
      <c r="Y4362">
        <v>-0.42727009999999999</v>
      </c>
      <c r="Z4362">
        <v>0.12037349999999999</v>
      </c>
      <c r="AA4362">
        <v>0.89607499999999995</v>
      </c>
      <c r="AB4362">
        <v>32</v>
      </c>
      <c r="AC4362">
        <v>0.25560000000001498</v>
      </c>
      <c r="AD4362">
        <v>-1.1244323961460001</v>
      </c>
      <c r="AE4362">
        <v>-7.3256999999999897</v>
      </c>
      <c r="AF4362">
        <v>-3.1604905034684498</v>
      </c>
      <c r="AG4362">
        <v>-1.1244323961460001</v>
      </c>
      <c r="AH4362">
        <v>6.4265347628071803</v>
      </c>
      <c r="AI4362">
        <v>98.923034115669694</v>
      </c>
      <c r="AJ4362">
        <v>116.187390174402</v>
      </c>
      <c r="AK4362">
        <v>7.2493722137565797</v>
      </c>
      <c r="AL4362">
        <v>85.241636346018296</v>
      </c>
      <c r="AM4362">
        <v>110.451543382556</v>
      </c>
      <c r="AN4362">
        <v>1.0000000170699299</v>
      </c>
    </row>
    <row r="4363" spans="1:40" x14ac:dyDescent="0.25">
      <c r="A4363" t="str">
        <f>"20190312151402054"</f>
        <v>20190312151402054</v>
      </c>
      <c r="B4363" t="str">
        <f>"1552374842044782"</f>
        <v>1552374842044782</v>
      </c>
      <c r="C4363" t="s">
        <v>40</v>
      </c>
      <c r="D4363">
        <v>4.896719</v>
      </c>
      <c r="E4363">
        <v>0.46417269999999999</v>
      </c>
      <c r="F4363" t="s">
        <v>42</v>
      </c>
      <c r="G4363">
        <v>-420.14299999999997</v>
      </c>
      <c r="H4363" s="1">
        <v>-1.1413730000000001E-6</v>
      </c>
      <c r="I4363">
        <v>112.161</v>
      </c>
      <c r="J4363">
        <v>-420.5258</v>
      </c>
      <c r="K4363">
        <v>1.124404</v>
      </c>
      <c r="L4363">
        <v>119.78060000000001</v>
      </c>
      <c r="M4363">
        <v>-0.39467639999999998</v>
      </c>
      <c r="N4363">
        <v>0</v>
      </c>
      <c r="O4363">
        <v>-0.91866740000000002</v>
      </c>
      <c r="P4363">
        <v>-5.422714E-2</v>
      </c>
      <c r="Q4363">
        <v>7.9853229999999997E-2</v>
      </c>
      <c r="R4363">
        <v>-0.99533050000000001</v>
      </c>
      <c r="S4363">
        <v>0.10321039999999999</v>
      </c>
      <c r="T4363">
        <v>-0.43462319999999999</v>
      </c>
      <c r="U4363">
        <v>-3.058411</v>
      </c>
      <c r="V4363">
        <v>-0.34618369999999998</v>
      </c>
      <c r="W4363">
        <v>8.3519629999999997E-2</v>
      </c>
      <c r="X4363">
        <v>0.93444170000000004</v>
      </c>
      <c r="Y4363">
        <v>-0.42505039999999999</v>
      </c>
      <c r="Z4363">
        <v>0.1168642</v>
      </c>
      <c r="AA4363">
        <v>0.897594</v>
      </c>
      <c r="AB4363">
        <v>32</v>
      </c>
      <c r="AC4363">
        <v>0.38279999999997399</v>
      </c>
      <c r="AD4363">
        <v>-1.1244051413730001</v>
      </c>
      <c r="AE4363">
        <v>-7.6196000000000002</v>
      </c>
      <c r="AF4363">
        <v>-3.2879941568555702</v>
      </c>
      <c r="AG4363">
        <v>-1.1244051413730001</v>
      </c>
      <c r="AH4363">
        <v>6.7041348195479298</v>
      </c>
      <c r="AI4363">
        <v>98.563427145228601</v>
      </c>
      <c r="AJ4363">
        <v>116.12530550308099</v>
      </c>
      <c r="AK4363">
        <v>7.55119965145522</v>
      </c>
      <c r="AL4363">
        <v>85.209096735799207</v>
      </c>
      <c r="AM4363">
        <v>110.328214852852</v>
      </c>
      <c r="AN4363">
        <v>0.99999998671995805</v>
      </c>
    </row>
    <row r="4364" spans="1:40" x14ac:dyDescent="0.25">
      <c r="A4364" t="str">
        <f>"20190312151402076"</f>
        <v>20190312151402076</v>
      </c>
      <c r="B4364" t="str">
        <f>"1552374842064302"</f>
        <v>1552374842064302</v>
      </c>
      <c r="C4364" t="s">
        <v>40</v>
      </c>
      <c r="D4364">
        <v>4.6841410000000003</v>
      </c>
      <c r="E4364">
        <v>0.46436460000000002</v>
      </c>
      <c r="F4364" t="s">
        <v>41</v>
      </c>
      <c r="G4364">
        <v>-420.47859999999997</v>
      </c>
      <c r="H4364">
        <v>0.98623269999999996</v>
      </c>
      <c r="I4364">
        <v>118.7818</v>
      </c>
      <c r="J4364">
        <v>-420.64030000000002</v>
      </c>
      <c r="K4364">
        <v>1.1243639999999999</v>
      </c>
      <c r="L4364">
        <v>119.47629999999999</v>
      </c>
      <c r="M4364">
        <v>-0.37906400000000001</v>
      </c>
      <c r="N4364">
        <v>0</v>
      </c>
      <c r="O4364">
        <v>-0.92521869999999995</v>
      </c>
      <c r="P4364">
        <v>-4.068368E-2</v>
      </c>
      <c r="Q4364">
        <v>7.986646E-2</v>
      </c>
      <c r="R4364">
        <v>-0.99597480000000005</v>
      </c>
      <c r="S4364">
        <v>0.14535519999999999</v>
      </c>
      <c r="T4364">
        <v>-0.42267199999999999</v>
      </c>
      <c r="U4364">
        <v>-3.0558930000000002</v>
      </c>
      <c r="V4364">
        <v>-0.3430588</v>
      </c>
      <c r="W4364">
        <v>8.3687369999999997E-2</v>
      </c>
      <c r="X4364">
        <v>0.93557849999999998</v>
      </c>
      <c r="Y4364">
        <v>-0.42213970000000001</v>
      </c>
      <c r="Z4364">
        <v>0.1151943</v>
      </c>
      <c r="AA4364">
        <v>0.89918209999999998</v>
      </c>
      <c r="AB4364">
        <v>32</v>
      </c>
      <c r="AC4364">
        <v>0.161700000000053</v>
      </c>
      <c r="AD4364">
        <v>-0.13813129999999901</v>
      </c>
      <c r="AE4364">
        <v>-0.69449999999999001</v>
      </c>
      <c r="AF4364">
        <v>-0.39799144310559298</v>
      </c>
      <c r="AG4364">
        <v>-0.13813129999999901</v>
      </c>
      <c r="AH4364">
        <v>0.56032554583634797</v>
      </c>
      <c r="AI4364">
        <v>101.36395902487899</v>
      </c>
      <c r="AJ4364">
        <v>125.385648554971</v>
      </c>
      <c r="AK4364">
        <v>0.70102935897276397</v>
      </c>
      <c r="AL4364">
        <v>85.1994523510932</v>
      </c>
      <c r="AM4364">
        <v>110.13702410154301</v>
      </c>
      <c r="AN4364">
        <v>1.0000000229085999</v>
      </c>
    </row>
    <row r="4365" spans="1:40" x14ac:dyDescent="0.25">
      <c r="A4365" t="str">
        <f>"20190312151402101"</f>
        <v>20190312151402101</v>
      </c>
      <c r="B4365" t="str">
        <f>"1552374842094559"</f>
        <v>1552374842094559</v>
      </c>
      <c r="C4365" t="s">
        <v>40</v>
      </c>
      <c r="D4365">
        <v>4.7241790000000004</v>
      </c>
      <c r="E4365">
        <v>0.46573710000000001</v>
      </c>
      <c r="F4365" t="s">
        <v>41</v>
      </c>
      <c r="G4365">
        <v>-420.57729999999998</v>
      </c>
      <c r="H4365">
        <v>0.98429080000000002</v>
      </c>
      <c r="I4365">
        <v>118.438</v>
      </c>
      <c r="J4365">
        <v>-420.75259999999997</v>
      </c>
      <c r="K4365">
        <v>1.12432</v>
      </c>
      <c r="L4365">
        <v>119.1619</v>
      </c>
      <c r="M4365">
        <v>-0.36292410000000003</v>
      </c>
      <c r="N4365">
        <v>0</v>
      </c>
      <c r="O4365">
        <v>-0.93166850000000001</v>
      </c>
      <c r="P4365">
        <v>-2.7011549999999999E-2</v>
      </c>
      <c r="Q4365">
        <v>7.9499169999999994E-2</v>
      </c>
      <c r="R4365">
        <v>-0.99646939999999995</v>
      </c>
      <c r="S4365">
        <v>0.18563840000000001</v>
      </c>
      <c r="T4365">
        <v>-0.4118154</v>
      </c>
      <c r="U4365">
        <v>-3.0527190000000002</v>
      </c>
      <c r="V4365">
        <v>-0.33961809999999998</v>
      </c>
      <c r="W4365">
        <v>8.3492079999999996E-2</v>
      </c>
      <c r="X4365">
        <v>0.93685039999999997</v>
      </c>
      <c r="Y4365">
        <v>-0.41828850000000001</v>
      </c>
      <c r="Z4365">
        <v>0.1137634</v>
      </c>
      <c r="AA4365">
        <v>0.90116180000000001</v>
      </c>
      <c r="AB4365">
        <v>32</v>
      </c>
      <c r="AC4365">
        <v>0.17529999999999199</v>
      </c>
      <c r="AD4365">
        <v>-0.14002919999999899</v>
      </c>
      <c r="AE4365">
        <v>-0.72390000000001398</v>
      </c>
      <c r="AF4365">
        <v>-0.41155535504696</v>
      </c>
      <c r="AG4365">
        <v>-0.14002919999999899</v>
      </c>
      <c r="AH4365">
        <v>0.59004446579657699</v>
      </c>
      <c r="AI4365">
        <v>101.014797671537</v>
      </c>
      <c r="AJ4365">
        <v>124.895730285532</v>
      </c>
      <c r="AK4365">
        <v>0.73289730435964695</v>
      </c>
      <c r="AL4365">
        <v>85.210680958679006</v>
      </c>
      <c r="AM4365">
        <v>109.926112014528</v>
      </c>
      <c r="AN4365">
        <v>1.00000002662524</v>
      </c>
    </row>
    <row r="4366" spans="1:40" x14ac:dyDescent="0.25">
      <c r="A4366" t="str">
        <f>"20190312151402123"</f>
        <v>20190312151402123</v>
      </c>
      <c r="B4366" t="str">
        <f>"1552374842115055"</f>
        <v>1552374842115055</v>
      </c>
      <c r="C4366" t="s">
        <v>40</v>
      </c>
      <c r="D4366">
        <v>4.7275039999999997</v>
      </c>
      <c r="E4366">
        <v>0.46646979999999999</v>
      </c>
      <c r="F4366" t="s">
        <v>42</v>
      </c>
      <c r="G4366">
        <v>-420.13839999999999</v>
      </c>
      <c r="H4366" s="1">
        <v>-4.4667789999999998E-7</v>
      </c>
      <c r="I4366">
        <v>110.5445</v>
      </c>
      <c r="J4366">
        <v>-420.85570000000001</v>
      </c>
      <c r="K4366">
        <v>1.124261</v>
      </c>
      <c r="L4366">
        <v>118.8573</v>
      </c>
      <c r="M4366">
        <v>-0.34729349999999998</v>
      </c>
      <c r="N4366">
        <v>0</v>
      </c>
      <c r="O4366">
        <v>-0.93760730000000003</v>
      </c>
      <c r="P4366">
        <v>-1.356981E-2</v>
      </c>
      <c r="Q4366">
        <v>7.9483609999999996E-2</v>
      </c>
      <c r="R4366">
        <v>-0.99674399999999996</v>
      </c>
      <c r="S4366">
        <v>0.21728520000000001</v>
      </c>
      <c r="T4366">
        <v>-0.39770709999999998</v>
      </c>
      <c r="U4366">
        <v>-3.0482330000000002</v>
      </c>
      <c r="V4366">
        <v>-0.33657140000000002</v>
      </c>
      <c r="W4366">
        <v>8.3635100000000004E-2</v>
      </c>
      <c r="X4366">
        <v>0.93793649999999995</v>
      </c>
      <c r="Y4366">
        <v>-0.41253380000000001</v>
      </c>
      <c r="Z4366">
        <v>0.11136799999999999</v>
      </c>
      <c r="AA4366">
        <v>0.90410900000000005</v>
      </c>
      <c r="AB4366">
        <v>32</v>
      </c>
      <c r="AC4366">
        <v>0.71730000000002203</v>
      </c>
      <c r="AD4366">
        <v>-1.1242614466779</v>
      </c>
      <c r="AE4366">
        <v>-8.3127999999999904</v>
      </c>
      <c r="AF4366">
        <v>-3.4965422138994602</v>
      </c>
      <c r="AG4366">
        <v>-1.1242614466779</v>
      </c>
      <c r="AH4366">
        <v>7.4115210164785097</v>
      </c>
      <c r="AI4366">
        <v>97.811661300422202</v>
      </c>
      <c r="AJ4366">
        <v>115.25658902828999</v>
      </c>
      <c r="AK4366">
        <v>8.2716633775662096</v>
      </c>
      <c r="AL4366">
        <v>85.202457664123799</v>
      </c>
      <c r="AM4366">
        <v>109.740139532317</v>
      </c>
      <c r="AN4366">
        <v>1.0000000076411</v>
      </c>
    </row>
    <row r="4367" spans="1:40" x14ac:dyDescent="0.25">
      <c r="A4367" t="str">
        <f>"20190312151402145"</f>
        <v>20190312151402145</v>
      </c>
      <c r="B4367" t="str">
        <f>"1552374842134574"</f>
        <v>1552374842134574</v>
      </c>
      <c r="C4367" t="s">
        <v>40</v>
      </c>
      <c r="D4367">
        <v>4.7100819999999999</v>
      </c>
      <c r="E4367">
        <v>0.4671901</v>
      </c>
      <c r="F4367" t="s">
        <v>42</v>
      </c>
      <c r="G4367">
        <v>-420.12979999999999</v>
      </c>
      <c r="H4367" s="1">
        <v>-2.5811739999999998E-7</v>
      </c>
      <c r="I4367">
        <v>110.1103</v>
      </c>
      <c r="J4367">
        <v>-420.947</v>
      </c>
      <c r="K4367">
        <v>1.1242030000000001</v>
      </c>
      <c r="L4367">
        <v>118.5718</v>
      </c>
      <c r="M4367">
        <v>-0.3326732</v>
      </c>
      <c r="N4367">
        <v>0</v>
      </c>
      <c r="O4367">
        <v>-0.94289420000000002</v>
      </c>
      <c r="P4367">
        <v>-9.7984539999999994E-4</v>
      </c>
      <c r="Q4367">
        <v>7.9898159999999996E-2</v>
      </c>
      <c r="R4367">
        <v>-0.99680290000000005</v>
      </c>
      <c r="S4367">
        <v>0.25265500000000002</v>
      </c>
      <c r="T4367">
        <v>-0.39130779999999998</v>
      </c>
      <c r="U4367">
        <v>-3.0444490000000002</v>
      </c>
      <c r="V4367">
        <v>-0.33382050000000002</v>
      </c>
      <c r="W4367">
        <v>8.4201010000000007E-2</v>
      </c>
      <c r="X4367">
        <v>0.93886849999999999</v>
      </c>
      <c r="Y4367">
        <v>-0.40891179999999999</v>
      </c>
      <c r="Z4367">
        <v>0.11079890000000001</v>
      </c>
      <c r="AA4367">
        <v>0.90582269999999998</v>
      </c>
      <c r="AB4367">
        <v>32</v>
      </c>
      <c r="AC4367">
        <v>0.81719999999995696</v>
      </c>
      <c r="AD4367">
        <v>-1.1242032581174</v>
      </c>
      <c r="AE4367">
        <v>-8.4614999999999991</v>
      </c>
      <c r="AF4367">
        <v>-3.5243114357012</v>
      </c>
      <c r="AG4367">
        <v>-1.1242032581174</v>
      </c>
      <c r="AH4367">
        <v>7.5750351246903804</v>
      </c>
      <c r="AI4367">
        <v>97.663602869231497</v>
      </c>
      <c r="AJ4367">
        <v>114.950367713152</v>
      </c>
      <c r="AK4367">
        <v>8.4300510794223005</v>
      </c>
      <c r="AL4367">
        <v>85.169918587852806</v>
      </c>
      <c r="AM4367">
        <v>109.57315773483199</v>
      </c>
      <c r="AN4367">
        <v>0.99999999829875996</v>
      </c>
    </row>
    <row r="4368" spans="1:40" x14ac:dyDescent="0.25">
      <c r="A4368" t="str">
        <f>"20190312151402166"</f>
        <v>20190312151402166</v>
      </c>
      <c r="B4368" t="str">
        <f>"1552374842155071"</f>
        <v>1552374842155071</v>
      </c>
      <c r="C4368" t="s">
        <v>40</v>
      </c>
      <c r="D4368">
        <v>4.7930469999999996</v>
      </c>
      <c r="E4368">
        <v>0.46800849999999999</v>
      </c>
      <c r="F4368" t="s">
        <v>42</v>
      </c>
      <c r="G4368">
        <v>-420.12150000000003</v>
      </c>
      <c r="H4368" s="1">
        <v>-9.97382E-8</v>
      </c>
      <c r="I4368">
        <v>109.74630000000001</v>
      </c>
      <c r="J4368">
        <v>-421.03359999999998</v>
      </c>
      <c r="K4368">
        <v>1.1241300000000001</v>
      </c>
      <c r="L4368">
        <v>118.2856</v>
      </c>
      <c r="M4368">
        <v>-0.31806440000000002</v>
      </c>
      <c r="N4368">
        <v>0</v>
      </c>
      <c r="O4368">
        <v>-0.94792200000000004</v>
      </c>
      <c r="P4368">
        <v>1.033652E-2</v>
      </c>
      <c r="Q4368">
        <v>7.9475840000000006E-2</v>
      </c>
      <c r="R4368">
        <v>-0.99678359999999999</v>
      </c>
      <c r="S4368">
        <v>0.28445429999999999</v>
      </c>
      <c r="T4368">
        <v>-0.38735720000000001</v>
      </c>
      <c r="U4368">
        <v>-3.0409389999999998</v>
      </c>
      <c r="V4368">
        <v>-0.32994590000000001</v>
      </c>
      <c r="W4368">
        <v>8.398245E-2</v>
      </c>
      <c r="X4368">
        <v>0.94025669999999995</v>
      </c>
      <c r="Y4368">
        <v>-0.404308</v>
      </c>
      <c r="Z4368">
        <v>0.11085059999999999</v>
      </c>
      <c r="AA4368">
        <v>0.90788060000000004</v>
      </c>
      <c r="AB4368">
        <v>32</v>
      </c>
      <c r="AC4368">
        <v>0.91209999999995195</v>
      </c>
      <c r="AD4368">
        <v>-1.12413009973819</v>
      </c>
      <c r="AE4368">
        <v>-8.5392999999999901</v>
      </c>
      <c r="AF4368">
        <v>-3.5208202800549002</v>
      </c>
      <c r="AG4368">
        <v>-1.12413009973819</v>
      </c>
      <c r="AH4368">
        <v>7.6740837398676698</v>
      </c>
      <c r="AI4368">
        <v>97.583769938071498</v>
      </c>
      <c r="AJ4368">
        <v>114.645352837643</v>
      </c>
      <c r="AK4368">
        <v>8.5177112637189492</v>
      </c>
      <c r="AL4368">
        <v>85.182485699960097</v>
      </c>
      <c r="AM4368">
        <v>109.336505036337</v>
      </c>
      <c r="AN4368">
        <v>1.0000000053648499</v>
      </c>
    </row>
    <row r="4369" spans="1:40" x14ac:dyDescent="0.25">
      <c r="A4369" t="str">
        <f>"20190312151402188"</f>
        <v>20190312151402188</v>
      </c>
      <c r="B4369" t="str">
        <f>"1552374842184350"</f>
        <v>1552374842184350</v>
      </c>
      <c r="C4369" t="s">
        <v>40</v>
      </c>
      <c r="D4369">
        <v>4.6914369999999996</v>
      </c>
      <c r="E4369">
        <v>0.4692962</v>
      </c>
      <c r="F4369" t="s">
        <v>41</v>
      </c>
      <c r="G4369">
        <v>-420.92250000000001</v>
      </c>
      <c r="H4369">
        <v>0.98647899999999999</v>
      </c>
      <c r="I4369">
        <v>117.20359999999999</v>
      </c>
      <c r="J4369">
        <v>-421.11419999999998</v>
      </c>
      <c r="K4369">
        <v>1.124034</v>
      </c>
      <c r="L4369">
        <v>118.0034</v>
      </c>
      <c r="M4369">
        <v>-0.30373430000000001</v>
      </c>
      <c r="N4369">
        <v>0</v>
      </c>
      <c r="O4369">
        <v>-0.95261070000000003</v>
      </c>
      <c r="P4369">
        <v>2.0537710000000001E-2</v>
      </c>
      <c r="Q4369">
        <v>7.7977000000000005E-2</v>
      </c>
      <c r="R4369">
        <v>-0.99674370000000001</v>
      </c>
      <c r="S4369">
        <v>0.31259160000000002</v>
      </c>
      <c r="T4369">
        <v>-0.38637470000000002</v>
      </c>
      <c r="U4369">
        <v>-3.0372469999999998</v>
      </c>
      <c r="V4369">
        <v>-0.32534829999999998</v>
      </c>
      <c r="W4369">
        <v>8.2722740000000003E-2</v>
      </c>
      <c r="X4369">
        <v>0.9419689</v>
      </c>
      <c r="Y4369">
        <v>-0.39894740000000001</v>
      </c>
      <c r="Z4369">
        <v>0.1116892</v>
      </c>
      <c r="AA4369">
        <v>0.91014640000000002</v>
      </c>
      <c r="AB4369">
        <v>32</v>
      </c>
      <c r="AC4369">
        <v>0.19169999999996801</v>
      </c>
      <c r="AD4369">
        <v>-0.13755499999999901</v>
      </c>
      <c r="AE4369">
        <v>-0.79980000000000395</v>
      </c>
      <c r="AF4369">
        <v>-0.41402023459456599</v>
      </c>
      <c r="AG4369">
        <v>-0.13755499999999901</v>
      </c>
      <c r="AH4369">
        <v>0.68461962733008996</v>
      </c>
      <c r="AI4369">
        <v>99.755378009140102</v>
      </c>
      <c r="AJ4369">
        <v>121.16323762041</v>
      </c>
      <c r="AK4369">
        <v>0.81181165722372495</v>
      </c>
      <c r="AL4369">
        <v>85.254913731019599</v>
      </c>
      <c r="AM4369">
        <v>109.054490843108</v>
      </c>
      <c r="AN4369">
        <v>0.99999998829660297</v>
      </c>
    </row>
    <row r="4370" spans="1:40" x14ac:dyDescent="0.25">
      <c r="A4370" t="str">
        <f>"20190312151402210"</f>
        <v>20190312151402210</v>
      </c>
      <c r="B4370" t="str">
        <f>"1552374842204846"</f>
        <v>1552374842204846</v>
      </c>
      <c r="C4370" t="s">
        <v>40</v>
      </c>
      <c r="D4370">
        <v>4.7341850000000001</v>
      </c>
      <c r="E4370">
        <v>0.47940539999999998</v>
      </c>
      <c r="F4370" t="s">
        <v>41</v>
      </c>
      <c r="G4370">
        <v>-420.99119999999999</v>
      </c>
      <c r="H4370">
        <v>0.98180429999999996</v>
      </c>
      <c r="I4370">
        <v>116.8901</v>
      </c>
      <c r="J4370">
        <v>-421.19670000000002</v>
      </c>
      <c r="K4370">
        <v>1.1239220000000001</v>
      </c>
      <c r="L4370">
        <v>117.69629999999999</v>
      </c>
      <c r="M4370">
        <v>-0.28821049999999998</v>
      </c>
      <c r="N4370">
        <v>0</v>
      </c>
      <c r="O4370">
        <v>-0.95742210000000005</v>
      </c>
      <c r="P4370">
        <v>3.1386089999999998E-2</v>
      </c>
      <c r="Q4370">
        <v>7.7674750000000001E-2</v>
      </c>
      <c r="R4370">
        <v>-0.99648460000000005</v>
      </c>
      <c r="S4370">
        <v>0.3343506</v>
      </c>
      <c r="T4370">
        <v>-0.38756810000000003</v>
      </c>
      <c r="U4370">
        <v>-3.0332340000000002</v>
      </c>
      <c r="V4370">
        <v>-0.32025520000000002</v>
      </c>
      <c r="W4370">
        <v>8.2682829999999999E-2</v>
      </c>
      <c r="X4370">
        <v>0.94371609999999995</v>
      </c>
      <c r="Y4370">
        <v>-0.39060139999999999</v>
      </c>
      <c r="Z4370">
        <v>0.113272499999999</v>
      </c>
      <c r="AA4370">
        <v>0.91356440000000005</v>
      </c>
      <c r="AB4370">
        <v>32</v>
      </c>
      <c r="AC4370">
        <v>0.20550000000002899</v>
      </c>
      <c r="AD4370">
        <v>-0.14211769999999899</v>
      </c>
      <c r="AE4370">
        <v>-0.80619999999998904</v>
      </c>
      <c r="AF4370">
        <v>-0.41699751460636197</v>
      </c>
      <c r="AG4370">
        <v>-0.14211769999999899</v>
      </c>
      <c r="AH4370">
        <v>0.69253775973916198</v>
      </c>
      <c r="AI4370">
        <v>99.970894186269803</v>
      </c>
      <c r="AJ4370">
        <v>121.053392537787</v>
      </c>
      <c r="AK4370">
        <v>0.82078798511290996</v>
      </c>
      <c r="AL4370">
        <v>85.257208133729094</v>
      </c>
      <c r="AM4370">
        <v>108.74492336670799</v>
      </c>
      <c r="AN4370">
        <v>0.99999996045152795</v>
      </c>
    </row>
    <row r="4371" spans="1:40" x14ac:dyDescent="0.25">
      <c r="A4371" t="str">
        <f>"20190312151402233"</f>
        <v>20190312151402233</v>
      </c>
      <c r="B4371" t="str">
        <f>"1552374842224366"</f>
        <v>1552374842224366</v>
      </c>
      <c r="C4371" t="s">
        <v>40</v>
      </c>
      <c r="D4371">
        <v>4.6979660000000001</v>
      </c>
      <c r="E4371">
        <v>0.48050929999999997</v>
      </c>
      <c r="F4371" t="s">
        <v>42</v>
      </c>
      <c r="G4371">
        <v>-420.33280000000002</v>
      </c>
      <c r="H4371" s="1">
        <v>-4.327958E-6</v>
      </c>
      <c r="I4371">
        <v>108.56</v>
      </c>
      <c r="J4371">
        <v>-421.27210000000002</v>
      </c>
      <c r="K4371">
        <v>1.1238090000000001</v>
      </c>
      <c r="L4371">
        <v>117.3969</v>
      </c>
      <c r="M4371">
        <v>-0.27317329999999901</v>
      </c>
      <c r="N4371">
        <v>0</v>
      </c>
      <c r="O4371">
        <v>-0.96182100000000004</v>
      </c>
      <c r="P4371">
        <v>4.044615E-2</v>
      </c>
      <c r="Q4371">
        <v>7.8087080000000003E-2</v>
      </c>
      <c r="R4371">
        <v>-0.99612610000000001</v>
      </c>
      <c r="S4371">
        <v>0.28656009999999998</v>
      </c>
      <c r="T4371">
        <v>-0.37281940000000002</v>
      </c>
      <c r="U4371">
        <v>-3.030624</v>
      </c>
      <c r="V4371">
        <v>-0.31401859999999998</v>
      </c>
      <c r="W4371">
        <v>8.3402749999999998E-2</v>
      </c>
      <c r="X4371">
        <v>0.94574639999999999</v>
      </c>
      <c r="Y4371">
        <v>-0.36188009999999998</v>
      </c>
      <c r="Z4371">
        <v>0.1107293</v>
      </c>
      <c r="AA4371">
        <v>0.92562509999999998</v>
      </c>
      <c r="AB4371">
        <v>32</v>
      </c>
      <c r="AC4371">
        <v>0.93930000000000202</v>
      </c>
      <c r="AD4371">
        <v>-1.123813327958</v>
      </c>
      <c r="AE4371">
        <v>-8.8369</v>
      </c>
      <c r="AF4371">
        <v>-3.2656771965119602</v>
      </c>
      <c r="AG4371">
        <v>-1.123813327958</v>
      </c>
      <c r="AH4371">
        <v>8.1142992046410694</v>
      </c>
      <c r="AI4371">
        <v>97.321411490296896</v>
      </c>
      <c r="AJ4371">
        <v>111.922790638295</v>
      </c>
      <c r="AK4371">
        <v>8.8186991971805604</v>
      </c>
      <c r="AL4371">
        <v>85.215816864021406</v>
      </c>
      <c r="AM4371">
        <v>108.36784682092301</v>
      </c>
      <c r="AN4371">
        <v>0.99999997648324002</v>
      </c>
    </row>
    <row r="4372" spans="1:40" x14ac:dyDescent="0.25">
      <c r="A4372" t="str">
        <f>"20190312151402255"</f>
        <v>20190312151402255</v>
      </c>
      <c r="B4372" t="str">
        <f>"1552374842244462"</f>
        <v>1552374842244462</v>
      </c>
      <c r="C4372" t="s">
        <v>40</v>
      </c>
      <c r="D4372">
        <v>4.6917299999999997</v>
      </c>
      <c r="E4372">
        <v>0.48151650000000001</v>
      </c>
      <c r="F4372" t="s">
        <v>42</v>
      </c>
      <c r="G4372">
        <v>-420.36959999999999</v>
      </c>
      <c r="H4372" s="1">
        <v>-4.3036060000000003E-6</v>
      </c>
      <c r="I4372">
        <v>108.4877</v>
      </c>
      <c r="J4372">
        <v>-421.34219999999999</v>
      </c>
      <c r="K4372">
        <v>1.123683</v>
      </c>
      <c r="L4372">
        <v>117.0992</v>
      </c>
      <c r="M4372">
        <v>-0.25835570000000002</v>
      </c>
      <c r="N4372">
        <v>0</v>
      </c>
      <c r="O4372">
        <v>-0.96590730000000002</v>
      </c>
      <c r="P4372">
        <v>4.895004E-2</v>
      </c>
      <c r="Q4372">
        <v>7.8135060000000006E-2</v>
      </c>
      <c r="R4372">
        <v>-0.99574050000000003</v>
      </c>
      <c r="S4372">
        <v>0.30685420000000002</v>
      </c>
      <c r="T4372">
        <v>-0.38210309999999997</v>
      </c>
      <c r="U4372">
        <v>-3.0291440000000001</v>
      </c>
      <c r="V4372">
        <v>-0.30751440000000002</v>
      </c>
      <c r="W4372">
        <v>8.377337E-2</v>
      </c>
      <c r="X4372">
        <v>0.94784860000000004</v>
      </c>
      <c r="Y4372">
        <v>-0.35368690000000003</v>
      </c>
      <c r="Z4372">
        <v>0.11442479999999999</v>
      </c>
      <c r="AA4372">
        <v>0.92833860000000001</v>
      </c>
      <c r="AB4372">
        <v>32</v>
      </c>
      <c r="AC4372">
        <v>0.97260000000000002</v>
      </c>
      <c r="AD4372">
        <v>-1.123687303606</v>
      </c>
      <c r="AE4372">
        <v>-8.6114999999999906</v>
      </c>
      <c r="AF4372">
        <v>-3.11238093874407</v>
      </c>
      <c r="AG4372">
        <v>-1.123687303606</v>
      </c>
      <c r="AH4372">
        <v>7.9343499369164503</v>
      </c>
      <c r="AI4372">
        <v>97.510694844548993</v>
      </c>
      <c r="AJ4372">
        <v>111.418421616613</v>
      </c>
      <c r="AK4372">
        <v>8.5967143249958493</v>
      </c>
      <c r="AL4372">
        <v>85.194507565731101</v>
      </c>
      <c r="AM4372">
        <v>107.97483020927</v>
      </c>
      <c r="AN4372">
        <v>1.00000002612523</v>
      </c>
    </row>
    <row r="4373" spans="1:40" x14ac:dyDescent="0.25">
      <c r="A4373" t="str">
        <f>"20190312151402277"</f>
        <v>20190312151402277</v>
      </c>
      <c r="B4373" t="str">
        <f>"1552374842274717"</f>
        <v>1552374842274717</v>
      </c>
      <c r="C4373" t="s">
        <v>40</v>
      </c>
      <c r="D4373">
        <v>4.6700749999999998</v>
      </c>
      <c r="E4373">
        <v>0.48268050000000001</v>
      </c>
      <c r="F4373" t="s">
        <v>42</v>
      </c>
      <c r="G4373">
        <v>-420.37860000000001</v>
      </c>
      <c r="H4373" s="1">
        <v>-4.1360919999999999E-6</v>
      </c>
      <c r="I4373">
        <v>108.1283</v>
      </c>
      <c r="J4373">
        <v>-421.40949999999998</v>
      </c>
      <c r="K4373">
        <v>1.1235219999999999</v>
      </c>
      <c r="L4373">
        <v>116.7931</v>
      </c>
      <c r="M4373">
        <v>-0.2432811</v>
      </c>
      <c r="N4373">
        <v>0</v>
      </c>
      <c r="O4373">
        <v>-0.96981430000000002</v>
      </c>
      <c r="P4373">
        <v>5.8539399999999998E-2</v>
      </c>
      <c r="Q4373">
        <v>7.8505459999999999E-2</v>
      </c>
      <c r="R4373">
        <v>-0.99519360000000001</v>
      </c>
      <c r="S4373">
        <v>0.3251038</v>
      </c>
      <c r="T4373">
        <v>-0.37910569999999999</v>
      </c>
      <c r="U4373">
        <v>-3.0265810000000002</v>
      </c>
      <c r="V4373">
        <v>-0.30184369999999999</v>
      </c>
      <c r="W4373">
        <v>8.4441920000000004E-2</v>
      </c>
      <c r="X4373">
        <v>0.94961039999999997</v>
      </c>
      <c r="Y4373">
        <v>-0.344732599999999</v>
      </c>
      <c r="Z4373">
        <v>0.1145347</v>
      </c>
      <c r="AA4373">
        <v>0.9316873</v>
      </c>
      <c r="AB4373">
        <v>32</v>
      </c>
      <c r="AC4373">
        <v>1.03089999999997</v>
      </c>
      <c r="AD4373">
        <v>-1.1235261360919999</v>
      </c>
      <c r="AE4373">
        <v>-8.6647999999999996</v>
      </c>
      <c r="AF4373">
        <v>-3.0575015668229502</v>
      </c>
      <c r="AG4373">
        <v>-1.1235261360919999</v>
      </c>
      <c r="AH4373">
        <v>8.0205983633747806</v>
      </c>
      <c r="AI4373">
        <v>97.457168868647599</v>
      </c>
      <c r="AJ4373">
        <v>110.86715508143099</v>
      </c>
      <c r="AK4373">
        <v>8.6568253370491899</v>
      </c>
      <c r="AL4373">
        <v>85.156066060135402</v>
      </c>
      <c r="AM4373">
        <v>107.633408462281</v>
      </c>
      <c r="AN4373">
        <v>0.99999998443556803</v>
      </c>
    </row>
    <row r="4374" spans="1:40" x14ac:dyDescent="0.25">
      <c r="A4374" t="str">
        <f>"20190312151402303"</f>
        <v>20190312151402303</v>
      </c>
      <c r="B4374" t="str">
        <f>"1552374842295214"</f>
        <v>1552374842295214</v>
      </c>
      <c r="C4374" t="s">
        <v>40</v>
      </c>
      <c r="D4374">
        <v>4.6457050000000004</v>
      </c>
      <c r="E4374">
        <v>0.48913820000000002</v>
      </c>
      <c r="F4374" t="s">
        <v>42</v>
      </c>
      <c r="G4374">
        <v>-420.3766</v>
      </c>
      <c r="H4374" s="1">
        <v>-3.9501310000000003E-6</v>
      </c>
      <c r="I4374">
        <v>107.736</v>
      </c>
      <c r="J4374">
        <v>-421.47730000000001</v>
      </c>
      <c r="K4374">
        <v>1.1233150000000001</v>
      </c>
      <c r="L4374">
        <v>116.4605</v>
      </c>
      <c r="M4374">
        <v>-0.22712599999999999</v>
      </c>
      <c r="N4374">
        <v>0</v>
      </c>
      <c r="O4374">
        <v>-0.97372539999999996</v>
      </c>
      <c r="P4374">
        <v>7.0701799999999995E-2</v>
      </c>
      <c r="Q4374">
        <v>7.9139399999999901E-2</v>
      </c>
      <c r="R4374">
        <v>-0.99435340000000005</v>
      </c>
      <c r="S4374">
        <v>0.34484860000000001</v>
      </c>
      <c r="T4374">
        <v>-0.37509999999999999</v>
      </c>
      <c r="U4374">
        <v>-3.0238040000000002</v>
      </c>
      <c r="V4374">
        <v>-0.2976259</v>
      </c>
      <c r="W4374">
        <v>8.5336090000000003E-2</v>
      </c>
      <c r="X4374">
        <v>0.95086099999999996</v>
      </c>
      <c r="Y4374">
        <v>-0.33522929999999901</v>
      </c>
      <c r="Z4374">
        <v>0.1143368</v>
      </c>
      <c r="AA4374">
        <v>0.93517289999999997</v>
      </c>
      <c r="AB4374">
        <v>32</v>
      </c>
      <c r="AC4374">
        <v>1.10070000000001</v>
      </c>
      <c r="AD4374">
        <v>-1.1233189501309999</v>
      </c>
      <c r="AE4374">
        <v>-8.7244999999999902</v>
      </c>
      <c r="AF4374">
        <v>-3.0047255193765698</v>
      </c>
      <c r="AG4374">
        <v>-1.1233189501309999</v>
      </c>
      <c r="AH4374">
        <v>8.1139897480991703</v>
      </c>
      <c r="AI4374">
        <v>97.397131703686</v>
      </c>
      <c r="AJ4374">
        <v>110.32030603088199</v>
      </c>
      <c r="AK4374">
        <v>8.7250816926132408</v>
      </c>
      <c r="AL4374">
        <v>85.104648531695005</v>
      </c>
      <c r="AM4374">
        <v>107.380471681552</v>
      </c>
      <c r="AN4374">
        <v>1.0000000329641401</v>
      </c>
    </row>
    <row r="4375" spans="1:40" x14ac:dyDescent="0.25">
      <c r="A4375" t="str">
        <f>"20190312151402324"</f>
        <v>20190312151402324</v>
      </c>
      <c r="B4375" t="str">
        <f>"1552374842314734"</f>
        <v>1552374842314734</v>
      </c>
      <c r="C4375" t="s">
        <v>40</v>
      </c>
      <c r="D4375">
        <v>4.6596820000000001</v>
      </c>
      <c r="E4375">
        <v>0.4883902</v>
      </c>
      <c r="F4375" t="s">
        <v>42</v>
      </c>
      <c r="G4375">
        <v>-420.62439999999998</v>
      </c>
      <c r="H4375" s="1">
        <v>-4.4591329999999996E-6</v>
      </c>
      <c r="I4375">
        <v>108.6734</v>
      </c>
      <c r="J4375">
        <v>-421.53390000000002</v>
      </c>
      <c r="K4375">
        <v>1.123097</v>
      </c>
      <c r="L4375">
        <v>116.1596</v>
      </c>
      <c r="M4375">
        <v>-0.21276500000000001</v>
      </c>
      <c r="N4375">
        <v>0</v>
      </c>
      <c r="O4375">
        <v>-0.97696470000000002</v>
      </c>
      <c r="P4375">
        <v>8.0347870000000002E-2</v>
      </c>
      <c r="Q4375">
        <v>7.8777780000000006E-2</v>
      </c>
      <c r="R4375">
        <v>-0.99364920000000001</v>
      </c>
      <c r="S4375">
        <v>0.33169559999999998</v>
      </c>
      <c r="T4375">
        <v>-0.43683159999999999</v>
      </c>
      <c r="U4375">
        <v>-3.0282140000000002</v>
      </c>
      <c r="V4375">
        <v>-0.2927939</v>
      </c>
      <c r="W4375">
        <v>8.5257680000000002E-2</v>
      </c>
      <c r="X4375">
        <v>0.95236699999999996</v>
      </c>
      <c r="Y4375">
        <v>-0.3168607</v>
      </c>
      <c r="Z4375">
        <v>0.13378989999999999</v>
      </c>
      <c r="AA4375">
        <v>0.93898859999999995</v>
      </c>
      <c r="AB4375">
        <v>32</v>
      </c>
      <c r="AC4375">
        <v>0.90950000000003595</v>
      </c>
      <c r="AD4375">
        <v>-1.123101459133</v>
      </c>
      <c r="AE4375">
        <v>-7.4861999999999904</v>
      </c>
      <c r="AF4375">
        <v>-2.4278388032789402</v>
      </c>
      <c r="AG4375">
        <v>-1.123101459133</v>
      </c>
      <c r="AH4375">
        <v>6.9666907137735201</v>
      </c>
      <c r="AI4375">
        <v>98.655738429122707</v>
      </c>
      <c r="AJ4375">
        <v>109.21305789888601</v>
      </c>
      <c r="AK4375">
        <v>7.4626093053027898</v>
      </c>
      <c r="AL4375">
        <v>85.109157469017802</v>
      </c>
      <c r="AM4375">
        <v>107.0894226147</v>
      </c>
      <c r="AN4375">
        <v>1.0000000212825899</v>
      </c>
    </row>
    <row r="4376" spans="1:40" x14ac:dyDescent="0.25">
      <c r="A4376" t="str">
        <f>"20190312151402344"</f>
        <v>20190312151402344</v>
      </c>
      <c r="B4376" t="str">
        <f>"1552374842335229"</f>
        <v>1552374842335229</v>
      </c>
      <c r="C4376" t="s">
        <v>40</v>
      </c>
      <c r="D4376">
        <v>4.6537030000000001</v>
      </c>
      <c r="E4376">
        <v>0.48860490000000001</v>
      </c>
      <c r="F4376" t="s">
        <v>42</v>
      </c>
      <c r="G4376">
        <v>-420.59129999999999</v>
      </c>
      <c r="H4376" s="1">
        <v>-4.31683299999999E-6</v>
      </c>
      <c r="I4376">
        <v>108.3909</v>
      </c>
      <c r="J4376">
        <v>-421.58240000000001</v>
      </c>
      <c r="K4376">
        <v>1.1228670000000001</v>
      </c>
      <c r="L4376">
        <v>115.88</v>
      </c>
      <c r="M4376">
        <v>-0.19968050000000001</v>
      </c>
      <c r="N4376">
        <v>0</v>
      </c>
      <c r="O4376">
        <v>-0.97972369999999998</v>
      </c>
      <c r="P4376">
        <v>8.8068499999999994E-2</v>
      </c>
      <c r="Q4376">
        <v>7.7763570000000004E-2</v>
      </c>
      <c r="R4376">
        <v>-0.99307500000000004</v>
      </c>
      <c r="S4376">
        <v>0.36691279999999998</v>
      </c>
      <c r="T4376">
        <v>-0.43719780000000003</v>
      </c>
      <c r="U4376">
        <v>-3.0241699999999998</v>
      </c>
      <c r="V4376">
        <v>-0.28738530000000001</v>
      </c>
      <c r="W4376">
        <v>8.4549769999999996E-2</v>
      </c>
      <c r="X4376">
        <v>0.95407600000000004</v>
      </c>
      <c r="Y4376">
        <v>-0.31509989999999999</v>
      </c>
      <c r="Z4376">
        <v>0.13461770000000001</v>
      </c>
      <c r="AA4376">
        <v>0.93946269999999998</v>
      </c>
      <c r="AB4376">
        <v>31</v>
      </c>
      <c r="AC4376">
        <v>0.99110000000001697</v>
      </c>
      <c r="AD4376">
        <v>-1.122871316833</v>
      </c>
      <c r="AE4376">
        <v>-7.4890999999999899</v>
      </c>
      <c r="AF4376">
        <v>-2.41344250576635</v>
      </c>
      <c r="AG4376">
        <v>-1.122871316833</v>
      </c>
      <c r="AH4376">
        <v>6.98596350743074</v>
      </c>
      <c r="AI4376">
        <v>98.638436633724098</v>
      </c>
      <c r="AJ4376">
        <v>109.058507984356</v>
      </c>
      <c r="AK4376">
        <v>7.4759100349027703</v>
      </c>
      <c r="AL4376">
        <v>85.149864579102896</v>
      </c>
      <c r="AM4376">
        <v>106.76327081711599</v>
      </c>
      <c r="AN4376">
        <v>0.99999999401957096</v>
      </c>
    </row>
    <row r="4377" spans="1:40" x14ac:dyDescent="0.25">
      <c r="A4377" t="str">
        <f>"20190312151402368"</f>
        <v>20190312151402368</v>
      </c>
      <c r="B4377" t="str">
        <f>"1552374842364363"</f>
        <v>1552374842364363</v>
      </c>
      <c r="C4377" t="s">
        <v>40</v>
      </c>
      <c r="D4377">
        <v>4.6999120000000003</v>
      </c>
      <c r="E4377">
        <v>0.48955470000000001</v>
      </c>
      <c r="F4377" t="s">
        <v>42</v>
      </c>
      <c r="G4377">
        <v>-420.58879999999999</v>
      </c>
      <c r="H4377" s="1">
        <v>-4.2174590000000002E-6</v>
      </c>
      <c r="I4377">
        <v>108.18210000000001</v>
      </c>
      <c r="J4377">
        <v>-421.63060000000002</v>
      </c>
      <c r="K4377">
        <v>1.1225889999999901</v>
      </c>
      <c r="L4377">
        <v>115.5779</v>
      </c>
      <c r="M4377">
        <v>-0.1858757</v>
      </c>
      <c r="N4377">
        <v>0</v>
      </c>
      <c r="O4377">
        <v>-0.98243729999999996</v>
      </c>
      <c r="P4377">
        <v>9.7570169999999998E-2</v>
      </c>
      <c r="Q4377">
        <v>7.8194550000000002E-2</v>
      </c>
      <c r="R4377">
        <v>-0.99215220000000004</v>
      </c>
      <c r="S4377">
        <v>0.38992310000000002</v>
      </c>
      <c r="T4377">
        <v>-0.44064550000000002</v>
      </c>
      <c r="U4377">
        <v>-3.0208590000000002</v>
      </c>
      <c r="V4377">
        <v>-0.28303349999999999</v>
      </c>
      <c r="W4377">
        <v>8.5266699999999904E-2</v>
      </c>
      <c r="X4377">
        <v>0.9553123</v>
      </c>
      <c r="Y4377">
        <v>-0.3088881</v>
      </c>
      <c r="Z4377">
        <v>0.1364717</v>
      </c>
      <c r="AA4377">
        <v>0.94125639999999999</v>
      </c>
      <c r="AB4377">
        <v>31</v>
      </c>
      <c r="AC4377">
        <v>1.04180000000002</v>
      </c>
      <c r="AD4377">
        <v>-1.1225932174590001</v>
      </c>
      <c r="AE4377">
        <v>-7.3957999999999897</v>
      </c>
      <c r="AF4377">
        <v>-2.3455344268065601</v>
      </c>
      <c r="AG4377">
        <v>-1.1225932174590001</v>
      </c>
      <c r="AH4377">
        <v>6.9169465705304001</v>
      </c>
      <c r="AI4377">
        <v>98.737960153613201</v>
      </c>
      <c r="AJ4377">
        <v>108.731781697625</v>
      </c>
      <c r="AK4377">
        <v>7.3895803087044198</v>
      </c>
      <c r="AL4377">
        <v>85.108638576690595</v>
      </c>
      <c r="AM4377">
        <v>106.503148596554</v>
      </c>
      <c r="AN4377">
        <v>0.99999998139121404</v>
      </c>
    </row>
    <row r="4378" spans="1:40" x14ac:dyDescent="0.25">
      <c r="A4378" t="str">
        <f>"20190312151402389"</f>
        <v>20190312151402389</v>
      </c>
      <c r="B4378" t="str">
        <f>"1552374842384859"</f>
        <v>1552374842384859</v>
      </c>
      <c r="C4378" t="s">
        <v>40</v>
      </c>
      <c r="D4378">
        <v>4.7085990000000004</v>
      </c>
      <c r="E4378">
        <v>0.4902996</v>
      </c>
      <c r="F4378" t="s">
        <v>42</v>
      </c>
      <c r="G4378">
        <v>-420.56950000000001</v>
      </c>
      <c r="H4378" s="1">
        <v>-4.0215079999999997E-6</v>
      </c>
      <c r="I4378">
        <v>107.77849999999999</v>
      </c>
      <c r="J4378">
        <v>-421.67500000000001</v>
      </c>
      <c r="K4378">
        <v>1.1222799999999999</v>
      </c>
      <c r="L4378">
        <v>115.27330000000001</v>
      </c>
      <c r="M4378">
        <v>-0.1723219</v>
      </c>
      <c r="N4378">
        <v>0</v>
      </c>
      <c r="O4378">
        <v>-0.98490619999999995</v>
      </c>
      <c r="P4378">
        <v>0.10606210000000001</v>
      </c>
      <c r="Q4378">
        <v>7.9024479999999994E-2</v>
      </c>
      <c r="R4378">
        <v>-0.9912147</v>
      </c>
      <c r="S4378">
        <v>0.41052250000000001</v>
      </c>
      <c r="T4378">
        <v>-0.43432690000000002</v>
      </c>
      <c r="U4378">
        <v>-3.0175930000000002</v>
      </c>
      <c r="V4378">
        <v>-0.27798899999999999</v>
      </c>
      <c r="W4378">
        <v>8.6412600000000006E-2</v>
      </c>
      <c r="X4378">
        <v>0.95668960000000003</v>
      </c>
      <c r="Y4378">
        <v>-0.30225659999999999</v>
      </c>
      <c r="Z4378">
        <v>0.1353135</v>
      </c>
      <c r="AA4378">
        <v>0.94357369999999996</v>
      </c>
      <c r="AB4378">
        <v>31</v>
      </c>
      <c r="AC4378">
        <v>1.1054999999999999</v>
      </c>
      <c r="AD4378">
        <v>-1.1222840215080001</v>
      </c>
      <c r="AE4378">
        <v>-7.4948000000000103</v>
      </c>
      <c r="AF4378">
        <v>-2.32952565530461</v>
      </c>
      <c r="AG4378">
        <v>-1.1222840215080001</v>
      </c>
      <c r="AH4378">
        <v>7.0376831597487701</v>
      </c>
      <c r="AI4378">
        <v>98.608625069821997</v>
      </c>
      <c r="AJ4378">
        <v>108.314929007553</v>
      </c>
      <c r="AK4378">
        <v>7.4976793383463596</v>
      </c>
      <c r="AL4378">
        <v>85.042740227536299</v>
      </c>
      <c r="AM4378">
        <v>106.202483996371</v>
      </c>
      <c r="AN4378">
        <v>1.00000000615396</v>
      </c>
    </row>
    <row r="4379" spans="1:40" x14ac:dyDescent="0.25">
      <c r="A4379" t="str">
        <f>"20190312151402412"</f>
        <v>20190312151402412</v>
      </c>
      <c r="B4379" t="str">
        <f>"1552374842404379"</f>
        <v>1552374842404379</v>
      </c>
      <c r="C4379" t="s">
        <v>40</v>
      </c>
      <c r="D4379">
        <v>4.7054609999999997</v>
      </c>
      <c r="E4379">
        <v>0.49066929999999997</v>
      </c>
      <c r="F4379" t="s">
        <v>42</v>
      </c>
      <c r="G4379">
        <v>-420.55540000000002</v>
      </c>
      <c r="H4379" s="1">
        <v>-3.8434749999999997E-6</v>
      </c>
      <c r="I4379">
        <v>107.4098</v>
      </c>
      <c r="J4379">
        <v>-421.71559999999999</v>
      </c>
      <c r="K4379">
        <v>1.1219790000000001</v>
      </c>
      <c r="L4379">
        <v>114.9683</v>
      </c>
      <c r="M4379">
        <v>-0.15908149999999999</v>
      </c>
      <c r="N4379">
        <v>0</v>
      </c>
      <c r="O4379">
        <v>-0.98713249999999997</v>
      </c>
      <c r="P4379">
        <v>0.112830399999999</v>
      </c>
      <c r="Q4379">
        <v>7.8085639999999998E-2</v>
      </c>
      <c r="R4379">
        <v>-0.99054149999999996</v>
      </c>
      <c r="S4379">
        <v>0.42929079999999997</v>
      </c>
      <c r="T4379">
        <v>-0.43029709999999899</v>
      </c>
      <c r="U4379">
        <v>-3.0149689999999998</v>
      </c>
      <c r="V4379">
        <v>-0.27158409999999999</v>
      </c>
      <c r="W4379">
        <v>8.5824460000000005E-2</v>
      </c>
      <c r="X4379">
        <v>0.95858030000000005</v>
      </c>
      <c r="Y4379">
        <v>-0.29534519999999997</v>
      </c>
      <c r="Z4379">
        <v>0.1347624</v>
      </c>
      <c r="AA4379">
        <v>0.94583850000000003</v>
      </c>
      <c r="AB4379">
        <v>31</v>
      </c>
      <c r="AC4379">
        <v>1.1601999999999699</v>
      </c>
      <c r="AD4379">
        <v>-1.1219828434749901</v>
      </c>
      <c r="AE4379">
        <v>-7.5584999999999898</v>
      </c>
      <c r="AF4379">
        <v>-2.2985162357509901</v>
      </c>
      <c r="AG4379">
        <v>-1.1219828434749901</v>
      </c>
      <c r="AH4379">
        <v>7.12426447802601</v>
      </c>
      <c r="AI4379">
        <v>98.524040778110702</v>
      </c>
      <c r="AJ4379">
        <v>107.881365570412</v>
      </c>
      <c r="AK4379">
        <v>7.5694891994061502</v>
      </c>
      <c r="AL4379">
        <v>85.076563678976697</v>
      </c>
      <c r="AM4379">
        <v>105.81843860140501</v>
      </c>
      <c r="AN4379">
        <v>0.99999997642759497</v>
      </c>
    </row>
    <row r="4380" spans="1:40" x14ac:dyDescent="0.25">
      <c r="A4380" t="str">
        <f>"20190312151402433"</f>
        <v>20190312151402433</v>
      </c>
      <c r="B4380" t="str">
        <f>"1552374842424875"</f>
        <v>1552374842424875</v>
      </c>
      <c r="C4380" t="s">
        <v>40</v>
      </c>
      <c r="D4380">
        <v>4.7192350000000003</v>
      </c>
      <c r="E4380">
        <v>0.49278230000000001</v>
      </c>
      <c r="F4380" t="s">
        <v>42</v>
      </c>
      <c r="G4380">
        <v>-420.55889999999999</v>
      </c>
      <c r="H4380" s="1">
        <v>-3.732745E-6</v>
      </c>
      <c r="I4380">
        <v>107.17359999999999</v>
      </c>
      <c r="J4380">
        <v>-421.75139999999999</v>
      </c>
      <c r="K4380">
        <v>1.121683</v>
      </c>
      <c r="L4380">
        <v>114.6707</v>
      </c>
      <c r="M4380">
        <v>-0.14650949999999999</v>
      </c>
      <c r="N4380">
        <v>0</v>
      </c>
      <c r="O4380">
        <v>-0.98907769999999995</v>
      </c>
      <c r="P4380">
        <v>0.11860859999999999</v>
      </c>
      <c r="Q4380">
        <v>7.8453969999999998E-2</v>
      </c>
      <c r="R4380">
        <v>-0.98983690000000002</v>
      </c>
      <c r="S4380">
        <v>0.44696039999999998</v>
      </c>
      <c r="T4380">
        <v>-0.4335368</v>
      </c>
      <c r="U4380">
        <v>-3.0119020000000001</v>
      </c>
      <c r="V4380">
        <v>-0.26490910000000001</v>
      </c>
      <c r="W4380">
        <v>8.654133E-2</v>
      </c>
      <c r="X4380">
        <v>0.96038210000000002</v>
      </c>
      <c r="Y4380">
        <v>-0.28872940000000002</v>
      </c>
      <c r="Z4380">
        <v>0.13639229999999899</v>
      </c>
      <c r="AA4380">
        <v>0.94764579999999998</v>
      </c>
      <c r="AB4380">
        <v>31</v>
      </c>
      <c r="AC4380">
        <v>1.1924999999999899</v>
      </c>
      <c r="AD4380">
        <v>-1.121686732745</v>
      </c>
      <c r="AE4380">
        <v>-7.4970999999999997</v>
      </c>
      <c r="AF4380">
        <v>-2.22949241269446</v>
      </c>
      <c r="AG4380">
        <v>-1.121686732745</v>
      </c>
      <c r="AH4380">
        <v>7.0867227229908396</v>
      </c>
      <c r="AI4380">
        <v>98.585925412392399</v>
      </c>
      <c r="AJ4380">
        <v>107.463644893702</v>
      </c>
      <c r="AK4380">
        <v>7.5133518816326603</v>
      </c>
      <c r="AL4380">
        <v>85.035336804459504</v>
      </c>
      <c r="AM4380">
        <v>105.420836668185</v>
      </c>
      <c r="AN4380">
        <v>1.0000000055306899</v>
      </c>
    </row>
    <row r="4381" spans="1:40" x14ac:dyDescent="0.25">
      <c r="A4381" t="str">
        <f>"20190312151402457"</f>
        <v>20190312151402457</v>
      </c>
      <c r="B4381" t="str">
        <f>"1552374842444395"</f>
        <v>1552374842444395</v>
      </c>
      <c r="C4381" t="s">
        <v>40</v>
      </c>
      <c r="D4381">
        <v>4.7311230000000002</v>
      </c>
      <c r="E4381">
        <v>0.49432710000000002</v>
      </c>
      <c r="F4381" t="s">
        <v>42</v>
      </c>
      <c r="G4381">
        <v>-420.53399999999999</v>
      </c>
      <c r="H4381" s="1">
        <v>-3.403068E-6</v>
      </c>
      <c r="I4381">
        <v>106.4902</v>
      </c>
      <c r="J4381">
        <v>-421.78500000000003</v>
      </c>
      <c r="K4381">
        <v>1.1213489999999999</v>
      </c>
      <c r="L4381">
        <v>114.3603</v>
      </c>
      <c r="M4381">
        <v>-0.1338203</v>
      </c>
      <c r="N4381">
        <v>0</v>
      </c>
      <c r="O4381">
        <v>-0.99087550000000002</v>
      </c>
      <c r="P4381">
        <v>0.12654169999999901</v>
      </c>
      <c r="Q4381">
        <v>8.0506720000000004E-2</v>
      </c>
      <c r="R4381">
        <v>-0.98868940000000005</v>
      </c>
      <c r="S4381">
        <v>0.44793699999999997</v>
      </c>
      <c r="T4381">
        <v>-0.41270030000000002</v>
      </c>
      <c r="U4381">
        <v>-3.0098419999999999</v>
      </c>
      <c r="V4381">
        <v>-0.26025350000000003</v>
      </c>
      <c r="W4381">
        <v>8.8882130000000004E-2</v>
      </c>
      <c r="X4381">
        <v>0.96144059999999998</v>
      </c>
      <c r="Y4381">
        <v>-0.27696110000000002</v>
      </c>
      <c r="Z4381">
        <v>0.1306427</v>
      </c>
      <c r="AA4381">
        <v>0.95195850000000004</v>
      </c>
      <c r="AB4381">
        <v>31</v>
      </c>
      <c r="AC4381">
        <v>1.2510000000000301</v>
      </c>
      <c r="AD4381">
        <v>-1.121352403068</v>
      </c>
      <c r="AE4381">
        <v>-7.8700999999999901</v>
      </c>
      <c r="AF4381">
        <v>-2.2485368302783102</v>
      </c>
      <c r="AG4381">
        <v>-1.121352403068</v>
      </c>
      <c r="AH4381">
        <v>7.4836799409275399</v>
      </c>
      <c r="AI4381">
        <v>98.166323390791106</v>
      </c>
      <c r="AJ4381">
        <v>106.723353314706</v>
      </c>
      <c r="AK4381">
        <v>7.8942266592254402</v>
      </c>
      <c r="AL4381">
        <v>84.900699738934605</v>
      </c>
      <c r="AM4381">
        <v>105.146480117644</v>
      </c>
      <c r="AN4381">
        <v>0.99999997231197302</v>
      </c>
    </row>
    <row r="4382" spans="1:40" x14ac:dyDescent="0.25">
      <c r="A4382" t="str">
        <f>"20190312151402478"</f>
        <v>20190312151402478</v>
      </c>
      <c r="B4382" t="str">
        <f>"1552374842474651"</f>
        <v>1552374842474651</v>
      </c>
      <c r="C4382" t="s">
        <v>40</v>
      </c>
      <c r="D4382">
        <v>4.727252</v>
      </c>
      <c r="E4382">
        <v>0.49621729999999997</v>
      </c>
      <c r="F4382" t="s">
        <v>42</v>
      </c>
      <c r="G4382">
        <v>-420.46899999999999</v>
      </c>
      <c r="H4382" s="1">
        <v>-3.0090899999999998E-6</v>
      </c>
      <c r="I4382">
        <v>105.69329999999999</v>
      </c>
      <c r="J4382">
        <v>-421.81360000000001</v>
      </c>
      <c r="K4382">
        <v>1.1209880000000001</v>
      </c>
      <c r="L4382">
        <v>114.0651</v>
      </c>
      <c r="M4382">
        <v>-0.1221916</v>
      </c>
      <c r="N4382">
        <v>0</v>
      </c>
      <c r="O4382">
        <v>-0.99237779999999998</v>
      </c>
      <c r="P4382">
        <v>0.13285060000000001</v>
      </c>
      <c r="Q4382">
        <v>7.9648579999999997E-2</v>
      </c>
      <c r="R4382">
        <v>-0.987931</v>
      </c>
      <c r="S4382">
        <v>0.45669559999999998</v>
      </c>
      <c r="T4382">
        <v>-0.38912269999999999</v>
      </c>
      <c r="U4382">
        <v>-3.0075530000000001</v>
      </c>
      <c r="V4382">
        <v>-0.25501479999999999</v>
      </c>
      <c r="W4382">
        <v>8.8333079999999994E-2</v>
      </c>
      <c r="X4382">
        <v>0.96289389999999997</v>
      </c>
      <c r="Y4382">
        <v>-0.26864339999999998</v>
      </c>
      <c r="Z4382">
        <v>0.123808</v>
      </c>
      <c r="AA4382">
        <v>0.95524980000000004</v>
      </c>
      <c r="AB4382">
        <v>31</v>
      </c>
      <c r="AC4382">
        <v>1.34460000000001</v>
      </c>
      <c r="AD4382">
        <v>-1.1209910090899999</v>
      </c>
      <c r="AE4382">
        <v>-8.3718000000000004</v>
      </c>
      <c r="AF4382">
        <v>-2.3171161932576401</v>
      </c>
      <c r="AG4382">
        <v>-1.1209910090899999</v>
      </c>
      <c r="AH4382">
        <v>8.0048175683091394</v>
      </c>
      <c r="AI4382">
        <v>97.661283644582994</v>
      </c>
      <c r="AJ4382">
        <v>106.143890748545</v>
      </c>
      <c r="AK4382">
        <v>8.4084928850197702</v>
      </c>
      <c r="AL4382">
        <v>84.932282212298801</v>
      </c>
      <c r="AM4382">
        <v>104.833770995379</v>
      </c>
      <c r="AN4382">
        <v>0.99999997194926704</v>
      </c>
    </row>
    <row r="4383" spans="1:40" x14ac:dyDescent="0.25">
      <c r="A4383" t="str">
        <f>"20190312151402502"</f>
        <v>20190312151402502</v>
      </c>
      <c r="B4383" t="str">
        <f>"1552374842495148"</f>
        <v>1552374842495148</v>
      </c>
      <c r="C4383" t="s">
        <v>40</v>
      </c>
      <c r="D4383">
        <v>4.7356910000000001</v>
      </c>
      <c r="E4383">
        <v>0.49735819999999997</v>
      </c>
      <c r="F4383" t="s">
        <v>42</v>
      </c>
      <c r="G4383">
        <v>-420.4255</v>
      </c>
      <c r="H4383" s="1">
        <v>-2.6540450000000001E-6</v>
      </c>
      <c r="I4383">
        <v>104.9667</v>
      </c>
      <c r="J4383">
        <v>-421.84230000000002</v>
      </c>
      <c r="K4383">
        <v>1.120533</v>
      </c>
      <c r="L4383">
        <v>113.7306</v>
      </c>
      <c r="M4383">
        <v>-0.10956539999999999</v>
      </c>
      <c r="N4383">
        <v>0</v>
      </c>
      <c r="O4383">
        <v>-0.99385259999999997</v>
      </c>
      <c r="P4383">
        <v>0.13736470000000001</v>
      </c>
      <c r="Q4383">
        <v>7.6190270000000004E-2</v>
      </c>
      <c r="R4383">
        <v>-0.98758599999999996</v>
      </c>
      <c r="S4383">
        <v>0.45840449999999999</v>
      </c>
      <c r="T4383">
        <v>-0.37021670000000001</v>
      </c>
      <c r="U4383">
        <v>-3.0048520000000001</v>
      </c>
      <c r="V4383">
        <v>-0.24700059999999999</v>
      </c>
      <c r="W4383">
        <v>8.5300440000000005E-2</v>
      </c>
      <c r="X4383">
        <v>0.96525369999999999</v>
      </c>
      <c r="Y4383">
        <v>-0.25714619999999999</v>
      </c>
      <c r="Z4383">
        <v>0.11844209999999999</v>
      </c>
      <c r="AA4383">
        <v>0.95908669999999996</v>
      </c>
      <c r="AB4383">
        <v>31</v>
      </c>
      <c r="AC4383">
        <v>1.41680000000002</v>
      </c>
      <c r="AD4383">
        <v>-1.120535654045</v>
      </c>
      <c r="AE4383">
        <v>-8.7638999999999907</v>
      </c>
      <c r="AF4383">
        <v>-2.3314661911164198</v>
      </c>
      <c r="AG4383">
        <v>-1.120535654045</v>
      </c>
      <c r="AH4383">
        <v>8.4217035612822801</v>
      </c>
      <c r="AI4383">
        <v>97.307173687704704</v>
      </c>
      <c r="AJ4383">
        <v>105.474228369484</v>
      </c>
      <c r="AK4383">
        <v>8.8100184804811601</v>
      </c>
      <c r="AL4383">
        <v>85.106698848703402</v>
      </c>
      <c r="AM4383">
        <v>104.353523480192</v>
      </c>
      <c r="AN4383">
        <v>1.0000000834141101</v>
      </c>
    </row>
    <row r="4384" spans="1:40" x14ac:dyDescent="0.25">
      <c r="A4384" t="str">
        <f>"20190312151402526"</f>
        <v>20190312151402526</v>
      </c>
      <c r="B4384" t="str">
        <f>"1552374842514667"</f>
        <v>1552374842514667</v>
      </c>
      <c r="C4384" t="s">
        <v>40</v>
      </c>
      <c r="D4384">
        <v>4.7867550000000003</v>
      </c>
      <c r="E4384">
        <v>0.49821799999999999</v>
      </c>
      <c r="F4384" t="s">
        <v>42</v>
      </c>
      <c r="G4384">
        <v>-420.44880000000001</v>
      </c>
      <c r="H4384" s="1">
        <v>-2.5224339999999999E-6</v>
      </c>
      <c r="I4384">
        <v>104.6751</v>
      </c>
      <c r="J4384">
        <v>-421.86599999999999</v>
      </c>
      <c r="K4384">
        <v>1.1200490000000001</v>
      </c>
      <c r="L4384">
        <v>113.4147</v>
      </c>
      <c r="M4384">
        <v>-9.8251829999999998E-2</v>
      </c>
      <c r="N4384">
        <v>0</v>
      </c>
      <c r="O4384">
        <v>-0.99503649999999999</v>
      </c>
      <c r="P4384">
        <v>0.1390672</v>
      </c>
      <c r="Q4384">
        <v>7.3400919999999995E-2</v>
      </c>
      <c r="R4384">
        <v>-0.98755910000000002</v>
      </c>
      <c r="S4384">
        <v>0.46197510000000003</v>
      </c>
      <c r="T4384">
        <v>-0.37148579999999998</v>
      </c>
      <c r="U4384">
        <v>-3.0021209999999998</v>
      </c>
      <c r="V4384">
        <v>-0.2375139</v>
      </c>
      <c r="W4384">
        <v>8.2976030000000006E-2</v>
      </c>
      <c r="X4384">
        <v>0.96783370000000002</v>
      </c>
      <c r="Y4384">
        <v>-0.2473745</v>
      </c>
      <c r="Z4384">
        <v>0.1193095</v>
      </c>
      <c r="AA4384">
        <v>0.96154620000000002</v>
      </c>
      <c r="AB4384">
        <v>31</v>
      </c>
      <c r="AC4384">
        <v>1.41719999999997</v>
      </c>
      <c r="AD4384">
        <v>-1.120051522434</v>
      </c>
      <c r="AE4384">
        <v>-8.7395999999999905</v>
      </c>
      <c r="AF4384">
        <v>-2.2333874072217301</v>
      </c>
      <c r="AG4384">
        <v>-1.120051522434</v>
      </c>
      <c r="AH4384">
        <v>8.4232407392929396</v>
      </c>
      <c r="AI4384">
        <v>97.3240890009791</v>
      </c>
      <c r="AJ4384">
        <v>104.85003554953001</v>
      </c>
      <c r="AK4384">
        <v>8.7859842519621907</v>
      </c>
      <c r="AL4384">
        <v>85.240351142949194</v>
      </c>
      <c r="AM4384">
        <v>103.78833856421301</v>
      </c>
      <c r="AN4384">
        <v>0.99999997255173001</v>
      </c>
    </row>
    <row r="4385" spans="1:40" x14ac:dyDescent="0.25">
      <c r="A4385" t="str">
        <f>"20190312151402548"</f>
        <v>20190312151402548</v>
      </c>
      <c r="B4385" t="str">
        <f>"1552374842535163"</f>
        <v>1552374842535163</v>
      </c>
      <c r="C4385" t="s">
        <v>40</v>
      </c>
      <c r="D4385">
        <v>4.734159</v>
      </c>
      <c r="E4385">
        <v>0.5119998</v>
      </c>
      <c r="F4385" t="s">
        <v>42</v>
      </c>
      <c r="G4385">
        <v>-420.4776</v>
      </c>
      <c r="H4385" s="1">
        <v>-2.3934470000000001E-6</v>
      </c>
      <c r="I4385">
        <v>104.3861</v>
      </c>
      <c r="J4385">
        <v>-421.8854</v>
      </c>
      <c r="K4385">
        <v>1.1195489999999999</v>
      </c>
      <c r="L4385">
        <v>113.11579999999999</v>
      </c>
      <c r="M4385">
        <v>-8.8194330000000001E-2</v>
      </c>
      <c r="N4385">
        <v>0</v>
      </c>
      <c r="O4385">
        <v>-0.99597970000000002</v>
      </c>
      <c r="P4385">
        <v>0.14178740000000001</v>
      </c>
      <c r="Q4385">
        <v>7.3459339999999998E-2</v>
      </c>
      <c r="R4385">
        <v>-0.98716809999999999</v>
      </c>
      <c r="S4385">
        <v>0.46139530000000001</v>
      </c>
      <c r="T4385">
        <v>-0.372228</v>
      </c>
      <c r="U4385">
        <v>-3.0004879999999998</v>
      </c>
      <c r="V4385">
        <v>-0.23028689999999999</v>
      </c>
      <c r="W4385">
        <v>8.3424590000000007E-2</v>
      </c>
      <c r="X4385">
        <v>0.96954019999999996</v>
      </c>
      <c r="Y4385">
        <v>-0.23746429999999999</v>
      </c>
      <c r="Z4385">
        <v>0.1199344</v>
      </c>
      <c r="AA4385">
        <v>0.96396389999999998</v>
      </c>
      <c r="AB4385">
        <v>31</v>
      </c>
      <c r="AC4385">
        <v>1.4077999999999999</v>
      </c>
      <c r="AD4385">
        <v>-1.1195513934469901</v>
      </c>
      <c r="AE4385">
        <v>-8.7296999999999905</v>
      </c>
      <c r="AF4385">
        <v>-2.13804438396539</v>
      </c>
      <c r="AG4385">
        <v>-1.1195513934469901</v>
      </c>
      <c r="AH4385">
        <v>8.4362641066422395</v>
      </c>
      <c r="AI4385">
        <v>97.330275479908806</v>
      </c>
      <c r="AJ4385">
        <v>104.22132577778</v>
      </c>
      <c r="AK4385">
        <v>8.7746898057649503</v>
      </c>
      <c r="AL4385">
        <v>85.214561064012301</v>
      </c>
      <c r="AM4385">
        <v>103.361398922045</v>
      </c>
      <c r="AN4385">
        <v>0.99999995897215799</v>
      </c>
    </row>
    <row r="4386" spans="1:40" x14ac:dyDescent="0.25">
      <c r="A4386" t="str">
        <f>"20190312151402579"</f>
        <v>20190312151402579</v>
      </c>
      <c r="B4386" t="str">
        <f>"1552374842574711"</f>
        <v>1552374842574711</v>
      </c>
      <c r="C4386" t="s">
        <v>40</v>
      </c>
      <c r="D4386">
        <v>4.7902639999999996</v>
      </c>
      <c r="E4386">
        <v>0.51089359999999995</v>
      </c>
      <c r="F4386" t="s">
        <v>42</v>
      </c>
      <c r="G4386">
        <v>-420.4778</v>
      </c>
      <c r="H4386" s="1">
        <v>-8.8177430000000002E-7</v>
      </c>
      <c r="I4386">
        <v>101.188</v>
      </c>
      <c r="J4386">
        <v>-421.90870000000001</v>
      </c>
      <c r="K4386">
        <v>1.1188659999999999</v>
      </c>
      <c r="L4386">
        <v>112.6872</v>
      </c>
      <c r="M4386">
        <v>-7.4654269999999995E-2</v>
      </c>
      <c r="N4386">
        <v>0</v>
      </c>
      <c r="O4386">
        <v>-0.99708779999999997</v>
      </c>
      <c r="P4386">
        <v>0.14441560000000001</v>
      </c>
      <c r="Q4386">
        <v>7.1731970000000006E-2</v>
      </c>
      <c r="R4386">
        <v>-0.9869137</v>
      </c>
      <c r="S4386">
        <v>0.355072</v>
      </c>
      <c r="T4386">
        <v>-0.2824277</v>
      </c>
      <c r="U4386">
        <v>-3.0090180000000002</v>
      </c>
      <c r="V4386">
        <v>-0.21950120000000001</v>
      </c>
      <c r="W4386">
        <v>8.2223770000000002E-2</v>
      </c>
      <c r="X4386">
        <v>0.97214120000000004</v>
      </c>
      <c r="Y4386">
        <v>-0.19051119999999999</v>
      </c>
      <c r="Z4386">
        <v>9.188578E-2</v>
      </c>
      <c r="AA4386">
        <v>0.97737529999999995</v>
      </c>
      <c r="AB4386">
        <v>31</v>
      </c>
      <c r="AC4386">
        <v>1.4309000000000001</v>
      </c>
      <c r="AD4386">
        <v>-1.1188668817742999</v>
      </c>
      <c r="AE4386">
        <v>-11.4992</v>
      </c>
      <c r="AF4386">
        <v>-2.26436430797499</v>
      </c>
      <c r="AG4386">
        <v>-1.1188668817742999</v>
      </c>
      <c r="AH4386">
        <v>11.2553358947116</v>
      </c>
      <c r="AI4386">
        <v>95.566185907982003</v>
      </c>
      <c r="AJ4386">
        <v>101.375003832202</v>
      </c>
      <c r="AK4386">
        <v>11.535241433153701</v>
      </c>
      <c r="AL4386">
        <v>85.283600478921798</v>
      </c>
      <c r="AM4386">
        <v>102.723539471325</v>
      </c>
      <c r="AN4386">
        <v>1.0000000189459399</v>
      </c>
    </row>
    <row r="4387" spans="1:40" x14ac:dyDescent="0.25">
      <c r="A4387" t="str">
        <f>"20190312151402601"</f>
        <v>20190312151402601</v>
      </c>
      <c r="B4387" t="str">
        <f>"1552374842595211"</f>
        <v>1552374842595211</v>
      </c>
      <c r="C4387" t="s">
        <v>40</v>
      </c>
      <c r="D4387">
        <v>4.7500609999999996</v>
      </c>
      <c r="E4387">
        <v>0.51128720000000005</v>
      </c>
      <c r="F4387" t="s">
        <v>42</v>
      </c>
      <c r="G4387">
        <v>-420.4239</v>
      </c>
      <c r="H4387" s="1">
        <v>-6.0474040000000002E-7</v>
      </c>
      <c r="I4387">
        <v>100.6323</v>
      </c>
      <c r="J4387">
        <v>-421.92250000000001</v>
      </c>
      <c r="K4387">
        <v>1.1183959999999999</v>
      </c>
      <c r="L4387">
        <v>112.38200000000001</v>
      </c>
      <c r="M4387">
        <v>-6.5660869999999996E-2</v>
      </c>
      <c r="N4387">
        <v>0</v>
      </c>
      <c r="O4387">
        <v>-0.99772179999999999</v>
      </c>
      <c r="P4387">
        <v>0.14553669999999999</v>
      </c>
      <c r="Q4387">
        <v>7.0231089999999996E-2</v>
      </c>
      <c r="R4387">
        <v>-0.98685710000000004</v>
      </c>
      <c r="S4387">
        <v>0.37023929999999999</v>
      </c>
      <c r="T4387">
        <v>-0.27899059999999998</v>
      </c>
      <c r="U4387">
        <v>-3.0059049999999998</v>
      </c>
      <c r="V4387">
        <v>-0.21170610000000001</v>
      </c>
      <c r="W4387">
        <v>8.107557E-2</v>
      </c>
      <c r="X4387">
        <v>0.97396479999999996</v>
      </c>
      <c r="Y4387">
        <v>-0.1866488</v>
      </c>
      <c r="Z4387">
        <v>9.0964169999999997E-2</v>
      </c>
      <c r="AA4387">
        <v>0.97820640000000003</v>
      </c>
      <c r="AB4387">
        <v>31</v>
      </c>
      <c r="AC4387">
        <v>1.4986000000000099</v>
      </c>
      <c r="AD4387">
        <v>-1.1183966047403999</v>
      </c>
      <c r="AE4387">
        <v>-11.749700000000001</v>
      </c>
      <c r="AF4387">
        <v>-2.2469215944347001</v>
      </c>
      <c r="AG4387">
        <v>-1.1183966047403999</v>
      </c>
      <c r="AH4387">
        <v>11.5231954686218</v>
      </c>
      <c r="AI4387">
        <v>95.441689707455893</v>
      </c>
      <c r="AJ4387">
        <v>101.03372270518101</v>
      </c>
      <c r="AK4387">
        <v>11.793366840096899</v>
      </c>
      <c r="AL4387">
        <v>85.349608155108598</v>
      </c>
      <c r="AM4387">
        <v>102.263348154816</v>
      </c>
      <c r="AN4387">
        <v>1.0000000762335299</v>
      </c>
    </row>
    <row r="4388" spans="1:40" x14ac:dyDescent="0.25">
      <c r="A4388" t="str">
        <f>"20190312151402623"</f>
        <v>20190312151402623</v>
      </c>
      <c r="B4388" t="str">
        <f>"1552374842614727"</f>
        <v>1552374842614727</v>
      </c>
      <c r="C4388" t="s">
        <v>40</v>
      </c>
      <c r="D4388">
        <v>4.7920769999999999</v>
      </c>
      <c r="E4388">
        <v>0.51201980000000002</v>
      </c>
      <c r="F4388" t="s">
        <v>42</v>
      </c>
      <c r="G4388">
        <v>-420.44369999999998</v>
      </c>
      <c r="H4388" s="1">
        <v>-4.8882419999999999E-7</v>
      </c>
      <c r="I4388">
        <v>100.376</v>
      </c>
      <c r="J4388">
        <v>-421.93389999999999</v>
      </c>
      <c r="K4388">
        <v>1.117901</v>
      </c>
      <c r="L4388">
        <v>112.08150000000001</v>
      </c>
      <c r="M4388">
        <v>-5.744461E-2</v>
      </c>
      <c r="N4388">
        <v>0</v>
      </c>
      <c r="O4388">
        <v>-0.99822979999999994</v>
      </c>
      <c r="P4388">
        <v>0.146441299999999</v>
      </c>
      <c r="Q4388">
        <v>6.9680499999999895E-2</v>
      </c>
      <c r="R4388">
        <v>-0.98676220000000003</v>
      </c>
      <c r="S4388">
        <v>0.37017820000000001</v>
      </c>
      <c r="T4388">
        <v>-0.27995120000000001</v>
      </c>
      <c r="U4388">
        <v>-3.00528</v>
      </c>
      <c r="V4388">
        <v>-0.2044599</v>
      </c>
      <c r="W4388">
        <v>8.0856490000000003E-2</v>
      </c>
      <c r="X4388">
        <v>0.9755298</v>
      </c>
      <c r="Y4388">
        <v>-0.17855570000000001</v>
      </c>
      <c r="Z4388">
        <v>9.1433329999999993E-2</v>
      </c>
      <c r="AA4388">
        <v>0.97967230000000005</v>
      </c>
      <c r="AB4388">
        <v>31</v>
      </c>
      <c r="AC4388">
        <v>1.49020000000001</v>
      </c>
      <c r="AD4388">
        <v>-1.11790148882419</v>
      </c>
      <c r="AE4388">
        <v>-11.705500000000001</v>
      </c>
      <c r="AF4388">
        <v>-2.1410202312675399</v>
      </c>
      <c r="AG4388">
        <v>-1.11790148882419</v>
      </c>
      <c r="AH4388">
        <v>11.497360655922</v>
      </c>
      <c r="AI4388">
        <v>95.460193547281406</v>
      </c>
      <c r="AJ4388">
        <v>100.548703034151</v>
      </c>
      <c r="AK4388">
        <v>11.7483178975441</v>
      </c>
      <c r="AL4388">
        <v>85.362201537170094</v>
      </c>
      <c r="AM4388">
        <v>101.837199958044</v>
      </c>
      <c r="AN4388">
        <v>1.0000000066855801</v>
      </c>
    </row>
    <row r="4389" spans="1:40" x14ac:dyDescent="0.25">
      <c r="A4389" t="str">
        <f>"20190312151402647"</f>
        <v>20190312151402647</v>
      </c>
      <c r="B4389" t="str">
        <f>"1552374842635223"</f>
        <v>1552374842635223</v>
      </c>
      <c r="C4389" t="s">
        <v>40</v>
      </c>
      <c r="D4389">
        <v>4.7675359999999998</v>
      </c>
      <c r="E4389">
        <v>0.51239009999999996</v>
      </c>
      <c r="F4389" t="s">
        <v>42</v>
      </c>
      <c r="G4389">
        <v>-420.4599</v>
      </c>
      <c r="H4389" s="1">
        <v>-3.1233780000000002E-7</v>
      </c>
      <c r="I4389">
        <v>99.993499999999997</v>
      </c>
      <c r="J4389">
        <v>-421.94389999999999</v>
      </c>
      <c r="K4389">
        <v>1.1173230000000001</v>
      </c>
      <c r="L4389">
        <v>111.7646</v>
      </c>
      <c r="M4389">
        <v>-4.9512279999999999E-2</v>
      </c>
      <c r="N4389">
        <v>0</v>
      </c>
      <c r="O4389">
        <v>-0.9986564</v>
      </c>
      <c r="P4389">
        <v>0.14748810000000001</v>
      </c>
      <c r="Q4389">
        <v>6.7914249999999995E-2</v>
      </c>
      <c r="R4389">
        <v>-0.98672990000000005</v>
      </c>
      <c r="S4389">
        <v>0.36648560000000002</v>
      </c>
      <c r="T4389">
        <v>-0.27794799999999997</v>
      </c>
      <c r="U4389">
        <v>-3.005493</v>
      </c>
      <c r="V4389">
        <v>-0.1975922</v>
      </c>
      <c r="W4389">
        <v>7.9426780000000002E-2</v>
      </c>
      <c r="X4389">
        <v>0.97706130000000002</v>
      </c>
      <c r="Y4389">
        <v>-0.1695441</v>
      </c>
      <c r="Z4389">
        <v>9.0916620000000004E-2</v>
      </c>
      <c r="AA4389">
        <v>0.98131999999999997</v>
      </c>
      <c r="AB4389">
        <v>31</v>
      </c>
      <c r="AC4389">
        <v>1.48399999999998</v>
      </c>
      <c r="AD4389">
        <v>-1.1173233123377999</v>
      </c>
      <c r="AE4389">
        <v>-11.771100000000001</v>
      </c>
      <c r="AF4389">
        <v>-2.0469076025022699</v>
      </c>
      <c r="AG4389">
        <v>-1.1173233123377999</v>
      </c>
      <c r="AH4389">
        <v>11.580467423418501</v>
      </c>
      <c r="AI4389">
        <v>95.427418514628599</v>
      </c>
      <c r="AJ4389">
        <v>100.023792470845</v>
      </c>
      <c r="AK4389">
        <v>11.812936462299801</v>
      </c>
      <c r="AL4389">
        <v>85.444382368341095</v>
      </c>
      <c r="AM4389">
        <v>101.43279658908</v>
      </c>
      <c r="AN4389">
        <v>1.0000000374198399</v>
      </c>
    </row>
    <row r="4390" spans="1:40" x14ac:dyDescent="0.25">
      <c r="A4390" t="str">
        <f>"20190312151402667"</f>
        <v>20190312151402667</v>
      </c>
      <c r="B4390" t="str">
        <f>"1552374842665010"</f>
        <v>1552374842665010</v>
      </c>
      <c r="C4390" t="s">
        <v>40</v>
      </c>
      <c r="D4390">
        <v>4.7845909999999998</v>
      </c>
      <c r="E4390">
        <v>0.51319499999999996</v>
      </c>
      <c r="F4390" t="s">
        <v>42</v>
      </c>
      <c r="G4390">
        <v>-420.48039999999997</v>
      </c>
      <c r="H4390" s="1">
        <v>-1.912794E-7</v>
      </c>
      <c r="I4390">
        <v>99.725859999999997</v>
      </c>
      <c r="J4390">
        <v>-421.9513</v>
      </c>
      <c r="K4390">
        <v>1.1167560000000001</v>
      </c>
      <c r="L4390">
        <v>111.4729</v>
      </c>
      <c r="M4390">
        <v>-4.2889259999999998E-2</v>
      </c>
      <c r="N4390">
        <v>0</v>
      </c>
      <c r="O4390">
        <v>-0.99896390000000002</v>
      </c>
      <c r="P4390">
        <v>0.14676310000000001</v>
      </c>
      <c r="Q4390">
        <v>6.5092230000000001E-2</v>
      </c>
      <c r="R4390">
        <v>-0.9870276</v>
      </c>
      <c r="S4390">
        <v>0.36529539999999999</v>
      </c>
      <c r="T4390">
        <v>-0.2788928</v>
      </c>
      <c r="U4390">
        <v>-3.0049589999999999</v>
      </c>
      <c r="V4390">
        <v>-0.1902343</v>
      </c>
      <c r="W4390">
        <v>7.6935310000000007E-2</v>
      </c>
      <c r="X4390">
        <v>0.97871949999999996</v>
      </c>
      <c r="Y4390">
        <v>-0.16263939999999999</v>
      </c>
      <c r="Z4390">
        <v>9.1337080000000001E-2</v>
      </c>
      <c r="AA4390">
        <v>0.98244889999999996</v>
      </c>
      <c r="AB4390">
        <v>31</v>
      </c>
      <c r="AC4390">
        <v>1.4709000000000201</v>
      </c>
      <c r="AD4390">
        <v>-1.11675619127939</v>
      </c>
      <c r="AE4390">
        <v>-11.747039999999901</v>
      </c>
      <c r="AF4390">
        <v>-1.9560213040245999</v>
      </c>
      <c r="AG4390">
        <v>-1.11675619127939</v>
      </c>
      <c r="AH4390">
        <v>11.5701810241284</v>
      </c>
      <c r="AI4390">
        <v>95.436453606578198</v>
      </c>
      <c r="AJ4390">
        <v>99.595530662015904</v>
      </c>
      <c r="AK4390">
        <v>11.787376835567001</v>
      </c>
      <c r="AL4390">
        <v>85.587571206293902</v>
      </c>
      <c r="AM4390">
        <v>100.999464160396</v>
      </c>
      <c r="AN4390">
        <v>0.99999999525076799</v>
      </c>
    </row>
    <row r="4391" spans="1:40" x14ac:dyDescent="0.25">
      <c r="A4391" t="str">
        <f>"20190312151402692"</f>
        <v>20190312151402692</v>
      </c>
      <c r="B4391" t="str">
        <f>"1552374842684530"</f>
        <v>1552374842684530</v>
      </c>
      <c r="C4391" t="s">
        <v>40</v>
      </c>
      <c r="D4391">
        <v>4.7486309999999996</v>
      </c>
      <c r="E4391">
        <v>0.51380219999999999</v>
      </c>
      <c r="F4391" t="s">
        <v>42</v>
      </c>
      <c r="G4391">
        <v>-420.54320000000001</v>
      </c>
      <c r="H4391" s="1">
        <v>-4.3869399999999997E-6</v>
      </c>
      <c r="I4391">
        <v>99.594890000000007</v>
      </c>
      <c r="J4391">
        <v>-421.9579</v>
      </c>
      <c r="K4391">
        <v>1.1161730000000001</v>
      </c>
      <c r="L4391">
        <v>111.1516</v>
      </c>
      <c r="M4391">
        <v>-3.6192240000000001E-2</v>
      </c>
      <c r="N4391">
        <v>0</v>
      </c>
      <c r="O4391">
        <v>-0.99923019999999996</v>
      </c>
      <c r="P4391">
        <v>0.14636469999999999</v>
      </c>
      <c r="Q4391">
        <v>6.4720529999999998E-2</v>
      </c>
      <c r="R4391">
        <v>-0.98711139999999997</v>
      </c>
      <c r="S4391">
        <v>0.35626219999999997</v>
      </c>
      <c r="T4391">
        <v>-0.28253689999999998</v>
      </c>
      <c r="U4391">
        <v>-3.005096</v>
      </c>
      <c r="V4391">
        <v>-0.18315110000000001</v>
      </c>
      <c r="W4391">
        <v>7.6872090000000004E-2</v>
      </c>
      <c r="X4391">
        <v>0.98007469999999997</v>
      </c>
      <c r="Y4391">
        <v>-0.15308820000000001</v>
      </c>
      <c r="Z4391">
        <v>9.2640799999999995E-2</v>
      </c>
      <c r="AA4391">
        <v>0.98386059999999997</v>
      </c>
      <c r="AB4391">
        <v>31</v>
      </c>
      <c r="AC4391">
        <v>1.4146999999999801</v>
      </c>
      <c r="AD4391">
        <v>-1.11617738693999</v>
      </c>
      <c r="AE4391">
        <v>-11.556709999999899</v>
      </c>
      <c r="AF4391">
        <v>-1.8153996899956499</v>
      </c>
      <c r="AG4391">
        <v>-1.11617738693999</v>
      </c>
      <c r="AH4391">
        <v>11.393220614221701</v>
      </c>
      <c r="AI4391">
        <v>95.526057296848293</v>
      </c>
      <c r="AJ4391">
        <v>99.053421032328103</v>
      </c>
      <c r="AK4391">
        <v>11.590815500122501</v>
      </c>
      <c r="AL4391">
        <v>85.591204360752101</v>
      </c>
      <c r="AM4391">
        <v>100.585037374509</v>
      </c>
      <c r="AN4391">
        <v>1.0000000306161301</v>
      </c>
    </row>
    <row r="4392" spans="1:40" x14ac:dyDescent="0.25">
      <c r="A4392" t="str">
        <f>"20190312151402714"</f>
        <v>20190312151402714</v>
      </c>
      <c r="B4392" t="str">
        <f>"1552374842705025"</f>
        <v>1552374842705025</v>
      </c>
      <c r="C4392" t="s">
        <v>40</v>
      </c>
      <c r="D4392">
        <v>4.7226790000000003</v>
      </c>
      <c r="E4392">
        <v>0.51417199999999996</v>
      </c>
      <c r="F4392" t="s">
        <v>42</v>
      </c>
      <c r="G4392">
        <v>-420.56450000000001</v>
      </c>
      <c r="H4392" s="1">
        <v>-4.240435E-6</v>
      </c>
      <c r="I4392">
        <v>99.153229999999994</v>
      </c>
      <c r="J4392">
        <v>-421.96289999999999</v>
      </c>
      <c r="K4392">
        <v>1.115648</v>
      </c>
      <c r="L4392">
        <v>110.84229999999999</v>
      </c>
      <c r="M4392">
        <v>-3.0354269999999999E-2</v>
      </c>
      <c r="N4392">
        <v>0</v>
      </c>
      <c r="O4392">
        <v>-0.99942580000000003</v>
      </c>
      <c r="P4392">
        <v>0.14558199999999999</v>
      </c>
      <c r="Q4392">
        <v>6.4415810000000004E-2</v>
      </c>
      <c r="R4392">
        <v>-0.98724690000000004</v>
      </c>
      <c r="S4392">
        <v>0.34906009999999998</v>
      </c>
      <c r="T4392">
        <v>-0.27961920000000001</v>
      </c>
      <c r="U4392">
        <v>-3.0057680000000002</v>
      </c>
      <c r="V4392">
        <v>-0.17653369999999999</v>
      </c>
      <c r="W4392">
        <v>7.6832629999999999E-2</v>
      </c>
      <c r="X4392">
        <v>0.98129129999999998</v>
      </c>
      <c r="Y4392">
        <v>-0.14496909999999999</v>
      </c>
      <c r="Z4392">
        <v>9.1768290000000002E-2</v>
      </c>
      <c r="AA4392">
        <v>0.98517129999999997</v>
      </c>
      <c r="AB4392">
        <v>31</v>
      </c>
      <c r="AC4392">
        <v>1.3983999999999801</v>
      </c>
      <c r="AD4392">
        <v>-1.115652240435</v>
      </c>
      <c r="AE4392">
        <v>-11.6890699999999</v>
      </c>
      <c r="AF4392">
        <v>-1.7370087566263499</v>
      </c>
      <c r="AG4392">
        <v>-1.115652240435</v>
      </c>
      <c r="AH4392">
        <v>11.5376106351238</v>
      </c>
      <c r="AI4392">
        <v>95.461982894645104</v>
      </c>
      <c r="AJ4392">
        <v>98.5616866499754</v>
      </c>
      <c r="AK4392">
        <v>11.720850588157299</v>
      </c>
      <c r="AL4392">
        <v>85.593471858134606</v>
      </c>
      <c r="AM4392">
        <v>100.198389649372</v>
      </c>
      <c r="AN4392">
        <v>1.0000000078620399</v>
      </c>
    </row>
    <row r="4393" spans="1:40" x14ac:dyDescent="0.25">
      <c r="A4393" t="str">
        <f>"20190312151402737"</f>
        <v>20190312151402737</v>
      </c>
      <c r="B4393" t="str">
        <f>"1552374842724546"</f>
        <v>1552374842724546</v>
      </c>
      <c r="C4393" t="s">
        <v>40</v>
      </c>
      <c r="D4393">
        <v>4.742267</v>
      </c>
      <c r="E4393">
        <v>0.51454309999999903</v>
      </c>
      <c r="F4393" t="s">
        <v>42</v>
      </c>
      <c r="G4393">
        <v>-420.5761</v>
      </c>
      <c r="H4393" s="1">
        <v>-4.0716750000000003E-6</v>
      </c>
      <c r="I4393">
        <v>98.722949999999997</v>
      </c>
      <c r="J4393">
        <v>-421.9665</v>
      </c>
      <c r="K4393">
        <v>1.1151549999999999</v>
      </c>
      <c r="L4393">
        <v>110.5398</v>
      </c>
      <c r="M4393">
        <v>-2.5265940000000001E-2</v>
      </c>
      <c r="N4393">
        <v>0</v>
      </c>
      <c r="O4393">
        <v>-0.99956860000000003</v>
      </c>
      <c r="P4393">
        <v>0.14337649999999999</v>
      </c>
      <c r="Q4393">
        <v>6.3555099999999906E-2</v>
      </c>
      <c r="R4393">
        <v>-0.98762550000000005</v>
      </c>
      <c r="S4393">
        <v>0.34396359999999998</v>
      </c>
      <c r="T4393">
        <v>-0.27672600000000003</v>
      </c>
      <c r="U4393">
        <v>-3.0060880000000001</v>
      </c>
      <c r="V4393">
        <v>-0.169229399999999</v>
      </c>
      <c r="W4393">
        <v>7.6225470000000004E-2</v>
      </c>
      <c r="X4393">
        <v>0.98262459999999996</v>
      </c>
      <c r="Y4393">
        <v>-0.13827809999999999</v>
      </c>
      <c r="Z4393">
        <v>9.0889120000000004E-2</v>
      </c>
      <c r="AA4393">
        <v>0.98621420000000004</v>
      </c>
      <c r="AB4393">
        <v>31</v>
      </c>
      <c r="AC4393">
        <v>1.3903999999999901</v>
      </c>
      <c r="AD4393">
        <v>-1.1151590716749999</v>
      </c>
      <c r="AE4393">
        <v>-11.816850000000001</v>
      </c>
      <c r="AF4393">
        <v>-1.6738500210340199</v>
      </c>
      <c r="AG4393">
        <v>-1.1151590716749999</v>
      </c>
      <c r="AH4393">
        <v>11.6753849758146</v>
      </c>
      <c r="AI4393">
        <v>95.401087594393402</v>
      </c>
      <c r="AJ4393">
        <v>98.158657085418696</v>
      </c>
      <c r="AK4393">
        <v>11.8473612244048</v>
      </c>
      <c r="AL4393">
        <v>85.628361886034696</v>
      </c>
      <c r="AM4393">
        <v>99.771725140761902</v>
      </c>
      <c r="AN4393">
        <v>1.00000000831312</v>
      </c>
    </row>
    <row r="4394" spans="1:40" x14ac:dyDescent="0.25">
      <c r="A4394" t="str">
        <f>"20190312151402757"</f>
        <v>20190312151402757</v>
      </c>
      <c r="B4394" t="str">
        <f>"1552374842754802"</f>
        <v>1552374842754802</v>
      </c>
      <c r="C4394" t="s">
        <v>40</v>
      </c>
      <c r="D4394">
        <v>4.7610340000000004</v>
      </c>
      <c r="E4394">
        <v>0.51501790000000003</v>
      </c>
      <c r="F4394" t="s">
        <v>42</v>
      </c>
      <c r="G4394">
        <v>-420.62220000000002</v>
      </c>
      <c r="H4394" s="1">
        <v>-3.9636740000000004E-6</v>
      </c>
      <c r="I4394">
        <v>98.442610000000002</v>
      </c>
      <c r="J4394">
        <v>-421.96910000000003</v>
      </c>
      <c r="K4394">
        <v>1.11467</v>
      </c>
      <c r="L4394">
        <v>110.253</v>
      </c>
      <c r="M4394">
        <v>-2.1021379999999999E-2</v>
      </c>
      <c r="N4394">
        <v>0</v>
      </c>
      <c r="O4394">
        <v>-0.999668</v>
      </c>
      <c r="P4394">
        <v>0.13952059999999999</v>
      </c>
      <c r="Q4394">
        <v>6.3234079999999998E-2</v>
      </c>
      <c r="R4394">
        <v>-0.98819869999999999</v>
      </c>
      <c r="S4394">
        <v>0.33413700000000002</v>
      </c>
      <c r="T4394">
        <v>-0.27718759999999998</v>
      </c>
      <c r="U4394">
        <v>-3.0069270000000001</v>
      </c>
      <c r="V4394">
        <v>-0.16111210000000001</v>
      </c>
      <c r="W4394">
        <v>7.6150850000000006E-2</v>
      </c>
      <c r="X4394">
        <v>0.98399389999999998</v>
      </c>
      <c r="Y4394">
        <v>-0.13085369999999999</v>
      </c>
      <c r="Z4394">
        <v>9.1090569999999996E-2</v>
      </c>
      <c r="AA4394">
        <v>0.98720810000000003</v>
      </c>
      <c r="AB4394">
        <v>31</v>
      </c>
      <c r="AC4394">
        <v>1.3469</v>
      </c>
      <c r="AD4394">
        <v>-1.114673963674</v>
      </c>
      <c r="AE4394">
        <v>-11.8103899999999</v>
      </c>
      <c r="AF4394">
        <v>-1.58099826304234</v>
      </c>
      <c r="AG4394">
        <v>-1.114673963674</v>
      </c>
      <c r="AH4394">
        <v>11.676784534892001</v>
      </c>
      <c r="AI4394">
        <v>95.403958555728906</v>
      </c>
      <c r="AJ4394">
        <v>97.710769825683201</v>
      </c>
      <c r="AK4394">
        <v>11.8359347170947</v>
      </c>
      <c r="AL4394">
        <v>85.632649846009699</v>
      </c>
      <c r="AM4394">
        <v>99.298691155532296</v>
      </c>
      <c r="AN4394">
        <v>1.0000000279796699</v>
      </c>
    </row>
    <row r="4395" spans="1:40" x14ac:dyDescent="0.25">
      <c r="A4395" t="str">
        <f>"20190312151402780"</f>
        <v>20190312151402780</v>
      </c>
      <c r="B4395" t="str">
        <f>"1552374842775298"</f>
        <v>1552374842775298</v>
      </c>
      <c r="C4395" t="s">
        <v>40</v>
      </c>
      <c r="D4395">
        <v>4.7835710000000002</v>
      </c>
      <c r="E4395">
        <v>0.5153314</v>
      </c>
      <c r="F4395" t="s">
        <v>42</v>
      </c>
      <c r="G4395">
        <v>-420.67809999999997</v>
      </c>
      <c r="H4395" s="1">
        <v>-3.807592E-6</v>
      </c>
      <c r="I4395">
        <v>98.0441</v>
      </c>
      <c r="J4395">
        <v>-421.97109999999998</v>
      </c>
      <c r="K4395">
        <v>1.114123</v>
      </c>
      <c r="L4395">
        <v>109.9434</v>
      </c>
      <c r="M4395">
        <v>-1.7056849999999998E-2</v>
      </c>
      <c r="N4395">
        <v>0</v>
      </c>
      <c r="O4395">
        <v>-0.99974439999999998</v>
      </c>
      <c r="P4395">
        <v>0.1354283</v>
      </c>
      <c r="Q4395">
        <v>6.3553449999999997E-2</v>
      </c>
      <c r="R4395">
        <v>-0.98874700000000004</v>
      </c>
      <c r="S4395">
        <v>0.31811519999999999</v>
      </c>
      <c r="T4395">
        <v>-0.27467730000000001</v>
      </c>
      <c r="U4395">
        <v>-3.0085139999999999</v>
      </c>
      <c r="V4395">
        <v>-0.1530214</v>
      </c>
      <c r="W4395">
        <v>7.6715660000000005E-2</v>
      </c>
      <c r="X4395">
        <v>0.98524069999999997</v>
      </c>
      <c r="Y4395">
        <v>-0.121670899999999</v>
      </c>
      <c r="Z4395">
        <v>9.0314400000000003E-2</v>
      </c>
      <c r="AA4395">
        <v>0.98845309999999997</v>
      </c>
      <c r="AB4395">
        <v>31</v>
      </c>
      <c r="AC4395">
        <v>1.2929999999999999</v>
      </c>
      <c r="AD4395">
        <v>-1.1141268075919999</v>
      </c>
      <c r="AE4395">
        <v>-11.899299999999901</v>
      </c>
      <c r="AF4395">
        <v>-1.48295019971533</v>
      </c>
      <c r="AG4395">
        <v>-1.1141268075919999</v>
      </c>
      <c r="AH4395">
        <v>11.773503575593701</v>
      </c>
      <c r="AI4395">
        <v>95.363672753663096</v>
      </c>
      <c r="AJ4395">
        <v>97.178974560146798</v>
      </c>
      <c r="AK4395">
        <v>11.918716637404801</v>
      </c>
      <c r="AL4395">
        <v>85.600193722421693</v>
      </c>
      <c r="AM4395">
        <v>98.828285371741799</v>
      </c>
      <c r="AN4395">
        <v>1.00000003914184</v>
      </c>
    </row>
    <row r="4396" spans="1:40" x14ac:dyDescent="0.25">
      <c r="A4396" t="str">
        <f>"20190312151402802"</f>
        <v>20190312151402802</v>
      </c>
      <c r="B4396" t="str">
        <f>"1552374842794819"</f>
        <v>1552374842794819</v>
      </c>
      <c r="C4396" t="s">
        <v>40</v>
      </c>
      <c r="D4396">
        <v>4.7533560000000001</v>
      </c>
      <c r="E4396">
        <v>0.51554500000000003</v>
      </c>
      <c r="F4396" t="s">
        <v>42</v>
      </c>
      <c r="G4396">
        <v>-420.72640000000001</v>
      </c>
      <c r="H4396" s="1">
        <v>-3.6183149999999999E-6</v>
      </c>
      <c r="I4396">
        <v>97.572940000000003</v>
      </c>
      <c r="J4396">
        <v>-421.97250000000003</v>
      </c>
      <c r="K4396">
        <v>1.113567</v>
      </c>
      <c r="L4396">
        <v>109.63639999999999</v>
      </c>
      <c r="M4396">
        <v>-1.3736089999999999E-2</v>
      </c>
      <c r="N4396">
        <v>0</v>
      </c>
      <c r="O4396">
        <v>-0.99979660000000004</v>
      </c>
      <c r="P4396">
        <v>0.13142190000000001</v>
      </c>
      <c r="Q4396">
        <v>6.2656980000000001E-2</v>
      </c>
      <c r="R4396">
        <v>-0.98934460000000002</v>
      </c>
      <c r="S4396">
        <v>0.30285640000000003</v>
      </c>
      <c r="T4396">
        <v>-0.2710978</v>
      </c>
      <c r="U4396">
        <v>-3.0100709999999999</v>
      </c>
      <c r="V4396">
        <v>-0.14563380000000001</v>
      </c>
      <c r="W4396">
        <v>7.6043390000000002E-2</v>
      </c>
      <c r="X4396">
        <v>0.98641179999999995</v>
      </c>
      <c r="Y4396">
        <v>-0.113369</v>
      </c>
      <c r="Z4396">
        <v>8.9175260000000006E-2</v>
      </c>
      <c r="AA4396">
        <v>0.98954299999999995</v>
      </c>
      <c r="AB4396">
        <v>31</v>
      </c>
      <c r="AC4396">
        <v>1.24610000000001</v>
      </c>
      <c r="AD4396">
        <v>-1.113570618315</v>
      </c>
      <c r="AE4396">
        <v>-12.0634599999999</v>
      </c>
      <c r="AF4396">
        <v>-1.39990258647793</v>
      </c>
      <c r="AG4396">
        <v>-1.113570618315</v>
      </c>
      <c r="AH4396">
        <v>11.9444983880124</v>
      </c>
      <c r="AI4396">
        <v>95.290216511529707</v>
      </c>
      <c r="AJ4396">
        <v>96.684605501237499</v>
      </c>
      <c r="AK4396">
        <v>12.077698808748</v>
      </c>
      <c r="AL4396">
        <v>85.638824720236997</v>
      </c>
      <c r="AM4396">
        <v>98.398475295069801</v>
      </c>
      <c r="AN4396">
        <v>1.0000000200221799</v>
      </c>
    </row>
    <row r="4397" spans="1:40" x14ac:dyDescent="0.25">
      <c r="A4397" t="str">
        <f>"20190312151402825"</f>
        <v>20190312151402825</v>
      </c>
      <c r="B4397" t="str">
        <f>"1552374842814338"</f>
        <v>1552374842814338</v>
      </c>
      <c r="C4397" t="s">
        <v>40</v>
      </c>
      <c r="D4397">
        <v>4.7610519999999896</v>
      </c>
      <c r="E4397">
        <v>0.51568939999999996</v>
      </c>
      <c r="F4397" t="s">
        <v>42</v>
      </c>
      <c r="G4397">
        <v>-420.7912</v>
      </c>
      <c r="H4397" s="1">
        <v>-3.5214540000000001E-6</v>
      </c>
      <c r="I4397">
        <v>97.306979999999996</v>
      </c>
      <c r="J4397">
        <v>-421.97359999999998</v>
      </c>
      <c r="K4397">
        <v>1.1130370000000001</v>
      </c>
      <c r="L4397">
        <v>109.3402</v>
      </c>
      <c r="M4397">
        <v>-1.111503E-2</v>
      </c>
      <c r="N4397">
        <v>0</v>
      </c>
      <c r="O4397">
        <v>-0.99983</v>
      </c>
      <c r="P4397">
        <v>0.12635560000000001</v>
      </c>
      <c r="Q4397">
        <v>6.0949969999999999E-2</v>
      </c>
      <c r="R4397">
        <v>-0.99011110000000002</v>
      </c>
      <c r="S4397">
        <v>0.28851320000000003</v>
      </c>
      <c r="T4397">
        <v>-0.2719685</v>
      </c>
      <c r="U4397">
        <v>-3.011215</v>
      </c>
      <c r="V4397">
        <v>-0.1378761</v>
      </c>
      <c r="W4397">
        <v>7.454181E-2</v>
      </c>
      <c r="X4397">
        <v>0.98764050000000003</v>
      </c>
      <c r="Y4397">
        <v>-0.10605290000000001</v>
      </c>
      <c r="Z4397">
        <v>8.9487049999999999E-2</v>
      </c>
      <c r="AA4397">
        <v>0.99032560000000003</v>
      </c>
      <c r="AB4397">
        <v>31</v>
      </c>
      <c r="AC4397">
        <v>1.1823999999999699</v>
      </c>
      <c r="AD4397">
        <v>-1.113040521454</v>
      </c>
      <c r="AE4397">
        <v>-12.033219999999901</v>
      </c>
      <c r="AF4397">
        <v>-1.3050322617568</v>
      </c>
      <c r="AG4397">
        <v>-1.113040521454</v>
      </c>
      <c r="AH4397">
        <v>11.918337453217701</v>
      </c>
      <c r="AI4397">
        <v>95.303797031444105</v>
      </c>
      <c r="AJ4397">
        <v>96.248869524209397</v>
      </c>
      <c r="AK4397">
        <v>12.041126859866401</v>
      </c>
      <c r="AL4397">
        <v>85.725103865693001</v>
      </c>
      <c r="AM4397">
        <v>97.947215983370597</v>
      </c>
      <c r="AN4397">
        <v>1.0000000288147599</v>
      </c>
    </row>
    <row r="4398" spans="1:40" x14ac:dyDescent="0.25">
      <c r="A4398" t="str">
        <f>"20190312151402848"</f>
        <v>20190312151402848</v>
      </c>
      <c r="B4398" t="str">
        <f>"1552374842844594"</f>
        <v>1552374842844594</v>
      </c>
      <c r="C4398" t="s">
        <v>40</v>
      </c>
      <c r="D4398">
        <v>4.7429269999999999</v>
      </c>
      <c r="E4398">
        <v>0.51589819999999997</v>
      </c>
      <c r="F4398" t="s">
        <v>42</v>
      </c>
      <c r="G4398">
        <v>-420.87610000000001</v>
      </c>
      <c r="H4398" s="1">
        <v>-3.4807610000000002E-6</v>
      </c>
      <c r="I4398">
        <v>97.159450000000007</v>
      </c>
      <c r="J4398">
        <v>-421.9744</v>
      </c>
      <c r="K4398">
        <v>1.1125020000000001</v>
      </c>
      <c r="L4398">
        <v>109.0247</v>
      </c>
      <c r="M4398">
        <v>-8.9738660000000005E-3</v>
      </c>
      <c r="N4398">
        <v>0</v>
      </c>
      <c r="O4398">
        <v>-0.99985219999999997</v>
      </c>
      <c r="P4398">
        <v>0.1207506</v>
      </c>
      <c r="Q4398">
        <v>6.069335E-2</v>
      </c>
      <c r="R4398">
        <v>-0.99082610000000004</v>
      </c>
      <c r="S4398">
        <v>0.27139279999999999</v>
      </c>
      <c r="T4398">
        <v>-0.27525119999999997</v>
      </c>
      <c r="U4398">
        <v>-3.0122680000000002</v>
      </c>
      <c r="V4398">
        <v>-0.1300596</v>
      </c>
      <c r="W4398">
        <v>7.4475239999999998E-2</v>
      </c>
      <c r="X4398">
        <v>0.98870519999999995</v>
      </c>
      <c r="Y4398">
        <v>-9.8298339999999998E-2</v>
      </c>
      <c r="Z4398">
        <v>9.0589740000000002E-2</v>
      </c>
      <c r="AA4398">
        <v>0.99102520000000005</v>
      </c>
      <c r="AB4398">
        <v>31</v>
      </c>
      <c r="AC4398">
        <v>1.0982999999999901</v>
      </c>
      <c r="AD4398">
        <v>-1.112505480761</v>
      </c>
      <c r="AE4398">
        <v>-11.8652499999999</v>
      </c>
      <c r="AF4398">
        <v>-1.1943338940208501</v>
      </c>
      <c r="AG4398">
        <v>-1.112505480761</v>
      </c>
      <c r="AH4398">
        <v>11.7524738956888</v>
      </c>
      <c r="AI4398">
        <v>95.380038497023904</v>
      </c>
      <c r="AJ4398">
        <v>95.802707671609696</v>
      </c>
      <c r="AK4398">
        <v>11.8652747361356</v>
      </c>
      <c r="AL4398">
        <v>85.728928625390296</v>
      </c>
      <c r="AM4398">
        <v>97.493967023148599</v>
      </c>
      <c r="AN4398">
        <v>1.00000001671612</v>
      </c>
    </row>
    <row r="4399" spans="1:40" x14ac:dyDescent="0.25">
      <c r="A4399" t="str">
        <f>"20190312151402869"</f>
        <v>20190312151402869</v>
      </c>
      <c r="B4399" t="str">
        <f>"1552374842865091"</f>
        <v>1552374842865091</v>
      </c>
      <c r="C4399" t="s">
        <v>40</v>
      </c>
      <c r="D4399">
        <v>4.7594139999999996</v>
      </c>
      <c r="E4399">
        <v>0.51610180000000005</v>
      </c>
      <c r="F4399" t="s">
        <v>42</v>
      </c>
      <c r="G4399">
        <v>-420.94479999999999</v>
      </c>
      <c r="H4399" s="1">
        <v>-3.320225E-6</v>
      </c>
      <c r="I4399">
        <v>96.742670000000004</v>
      </c>
      <c r="J4399">
        <v>-421.97519999999997</v>
      </c>
      <c r="K4399">
        <v>1.11202</v>
      </c>
      <c r="L4399">
        <v>108.72880000000001</v>
      </c>
      <c r="M4399">
        <v>-7.52156599999999E-3</v>
      </c>
      <c r="N4399">
        <v>0</v>
      </c>
      <c r="O4399">
        <v>-0.999865</v>
      </c>
      <c r="P4399">
        <v>0.11471870000000001</v>
      </c>
      <c r="Q4399">
        <v>6.1109829999999997E-2</v>
      </c>
      <c r="R4399">
        <v>-0.99151710000000004</v>
      </c>
      <c r="S4399">
        <v>0.25265500000000002</v>
      </c>
      <c r="T4399">
        <v>-0.27297969999999999</v>
      </c>
      <c r="U4399">
        <v>-3.0137019999999999</v>
      </c>
      <c r="V4399">
        <v>-0.1225093</v>
      </c>
      <c r="W4399">
        <v>7.5044890000000003E-2</v>
      </c>
      <c r="X4399">
        <v>0.98962600000000001</v>
      </c>
      <c r="Y4399">
        <v>-9.0697979999999997E-2</v>
      </c>
      <c r="Z4399">
        <v>8.9864089999999994E-2</v>
      </c>
      <c r="AA4399">
        <v>0.99181569999999997</v>
      </c>
      <c r="AB4399">
        <v>31</v>
      </c>
      <c r="AC4399">
        <v>1.03039999999998</v>
      </c>
      <c r="AD4399">
        <v>-1.1120233202249901</v>
      </c>
      <c r="AE4399">
        <v>-11.986129999999999</v>
      </c>
      <c r="AF4399">
        <v>-1.11104195545296</v>
      </c>
      <c r="AG4399">
        <v>-1.1120233202249901</v>
      </c>
      <c r="AH4399">
        <v>11.8765639186448</v>
      </c>
      <c r="AI4399">
        <v>95.325988427141098</v>
      </c>
      <c r="AJ4399">
        <v>95.344414824212706</v>
      </c>
      <c r="AK4399">
        <v>11.980141092873501</v>
      </c>
      <c r="AL4399">
        <v>85.696198168848099</v>
      </c>
      <c r="AM4399">
        <v>97.056944337899097</v>
      </c>
      <c r="AN4399">
        <v>0.99999994198879905</v>
      </c>
    </row>
    <row r="4400" spans="1:40" x14ac:dyDescent="0.25">
      <c r="A4400" t="str">
        <f>"20190312151402894"</f>
        <v>20190312151402894</v>
      </c>
      <c r="B4400" t="str">
        <f>"1552374842884610"</f>
        <v>1552374842884610</v>
      </c>
      <c r="C4400" t="s">
        <v>40</v>
      </c>
      <c r="D4400">
        <v>4.7508780000000002</v>
      </c>
      <c r="E4400">
        <v>0.51604380000000005</v>
      </c>
      <c r="F4400" t="s">
        <v>42</v>
      </c>
      <c r="G4400">
        <v>-421.01749999999998</v>
      </c>
      <c r="H4400" s="1">
        <v>-3.1563160000000002E-6</v>
      </c>
      <c r="I4400">
        <v>96.315439999999995</v>
      </c>
      <c r="J4400">
        <v>-421.97620000000001</v>
      </c>
      <c r="K4400">
        <v>1.1115619999999999</v>
      </c>
      <c r="L4400">
        <v>108.3981</v>
      </c>
      <c r="M4400">
        <v>-6.3998479999999996E-3</v>
      </c>
      <c r="N4400">
        <v>0</v>
      </c>
      <c r="O4400">
        <v>-0.99987340000000002</v>
      </c>
      <c r="P4400">
        <v>0.1092823</v>
      </c>
      <c r="Q4400">
        <v>6.0329960000000002E-2</v>
      </c>
      <c r="R4400">
        <v>-0.99217840000000002</v>
      </c>
      <c r="S4400">
        <v>0.2326355</v>
      </c>
      <c r="T4400">
        <v>-0.27012989999999998</v>
      </c>
      <c r="U4400">
        <v>-3.0154109999999998</v>
      </c>
      <c r="V4400">
        <v>-0.11587939999999999</v>
      </c>
      <c r="W4400">
        <v>7.4391070000000004E-2</v>
      </c>
      <c r="X4400">
        <v>0.99047359999999895</v>
      </c>
      <c r="Y4400">
        <v>-8.2995399999999997E-2</v>
      </c>
      <c r="Z4400">
        <v>8.8938020000000007E-2</v>
      </c>
      <c r="AA4400">
        <v>0.99257329999999999</v>
      </c>
      <c r="AB4400">
        <v>30</v>
      </c>
      <c r="AC4400">
        <v>0.95870000000002098</v>
      </c>
      <c r="AD4400">
        <v>-1.1115651563160001</v>
      </c>
      <c r="AE4400">
        <v>-12.082660000000001</v>
      </c>
      <c r="AF4400">
        <v>-1.02737507161486</v>
      </c>
      <c r="AG4400">
        <v>-1.1115651563160001</v>
      </c>
      <c r="AH4400">
        <v>11.975556519323501</v>
      </c>
      <c r="AI4400">
        <v>95.283673871922801</v>
      </c>
      <c r="AJ4400">
        <v>94.903361269789002</v>
      </c>
      <c r="AK4400">
        <v>12.070833880972</v>
      </c>
      <c r="AL4400">
        <v>85.733764595135995</v>
      </c>
      <c r="AM4400">
        <v>96.672923419825906</v>
      </c>
      <c r="AN4400">
        <v>1.00000000946853</v>
      </c>
    </row>
    <row r="4401" spans="1:40" x14ac:dyDescent="0.25">
      <c r="A4401" t="str">
        <f>"20190312151402916"</f>
        <v>20190312151402916</v>
      </c>
      <c r="B4401" t="str">
        <f>"1552374842905106"</f>
        <v>1552374842905106</v>
      </c>
      <c r="C4401" t="s">
        <v>40</v>
      </c>
      <c r="D4401">
        <v>4.7750409999999999</v>
      </c>
      <c r="E4401">
        <v>0.51594280000000003</v>
      </c>
      <c r="F4401" t="s">
        <v>42</v>
      </c>
      <c r="G4401">
        <v>-421.09210000000002</v>
      </c>
      <c r="H4401" s="1">
        <v>-3.0609679999999898E-6</v>
      </c>
      <c r="I4401">
        <v>96.046949999999995</v>
      </c>
      <c r="J4401">
        <v>-421.97719999999998</v>
      </c>
      <c r="K4401">
        <v>1.111197</v>
      </c>
      <c r="L4401">
        <v>108.093</v>
      </c>
      <c r="M4401">
        <v>-5.7784169999999897E-3</v>
      </c>
      <c r="N4401">
        <v>0</v>
      </c>
      <c r="O4401">
        <v>-0.99987760000000003</v>
      </c>
      <c r="P4401">
        <v>0.103858199999999</v>
      </c>
      <c r="Q4401">
        <v>5.8896990000000003E-2</v>
      </c>
      <c r="R4401">
        <v>-0.99284680000000003</v>
      </c>
      <c r="S4401">
        <v>0.21591189999999999</v>
      </c>
      <c r="T4401">
        <v>-0.27146300000000001</v>
      </c>
      <c r="U4401">
        <v>-3.0163730000000002</v>
      </c>
      <c r="V4401">
        <v>-0.10977190000000001</v>
      </c>
      <c r="W4401">
        <v>7.3050519999999994E-2</v>
      </c>
      <c r="X4401">
        <v>0.99126879999999995</v>
      </c>
      <c r="Y4401">
        <v>-7.687455E-2</v>
      </c>
      <c r="Z4401">
        <v>8.9385930000000002E-2</v>
      </c>
      <c r="AA4401">
        <v>0.99302590000000002</v>
      </c>
      <c r="AB4401">
        <v>30</v>
      </c>
      <c r="AC4401">
        <v>0.88509999999996503</v>
      </c>
      <c r="AD4401">
        <v>-1.1112000609679999</v>
      </c>
      <c r="AE4401">
        <v>-12.0460499999999</v>
      </c>
      <c r="AF4401">
        <v>-0.946687264683714</v>
      </c>
      <c r="AG4401">
        <v>-1.1112000609679999</v>
      </c>
      <c r="AH4401">
        <v>11.9396807494409</v>
      </c>
      <c r="AI4401">
        <v>95.300536775829201</v>
      </c>
      <c r="AJ4401">
        <v>94.533449885543803</v>
      </c>
      <c r="AK4401">
        <v>12.0285892253074</v>
      </c>
      <c r="AL4401">
        <v>85.810782161174501</v>
      </c>
      <c r="AM4401">
        <v>96.319118182066603</v>
      </c>
      <c r="AN4401">
        <v>1.00000004117765</v>
      </c>
    </row>
    <row r="4402" spans="1:40" x14ac:dyDescent="0.25">
      <c r="A4402" t="str">
        <f>"20190312151402939"</f>
        <v>20190312151402939</v>
      </c>
      <c r="B4402" t="str">
        <f>"1552374842934386"</f>
        <v>1552374842934386</v>
      </c>
      <c r="C4402" t="s">
        <v>40</v>
      </c>
      <c r="D4402">
        <v>5.0734589999999997</v>
      </c>
      <c r="E4402">
        <v>0.51492170000000004</v>
      </c>
      <c r="F4402" t="s">
        <v>42</v>
      </c>
      <c r="G4402">
        <v>-421.16919999999999</v>
      </c>
      <c r="H4402" s="1">
        <v>-3.0044820000000001E-6</v>
      </c>
      <c r="I4402">
        <v>95.867490000000004</v>
      </c>
      <c r="J4402">
        <v>-421.97829999999999</v>
      </c>
      <c r="K4402">
        <v>1.110884</v>
      </c>
      <c r="L4402">
        <v>107.7991</v>
      </c>
      <c r="M4402">
        <v>-5.5359959999999996E-3</v>
      </c>
      <c r="N4402">
        <v>0</v>
      </c>
      <c r="O4402">
        <v>-0.99987959999999998</v>
      </c>
      <c r="P4402">
        <v>9.8822999999999994E-2</v>
      </c>
      <c r="Q4402">
        <v>5.7859279999999999E-2</v>
      </c>
      <c r="R4402">
        <v>-0.99342160000000002</v>
      </c>
      <c r="S4402">
        <v>0.19940189999999999</v>
      </c>
      <c r="T4402">
        <v>-0.27422210000000002</v>
      </c>
      <c r="U4402">
        <v>-3.017029</v>
      </c>
      <c r="V4402">
        <v>-0.1044398</v>
      </c>
      <c r="W4402">
        <v>7.2083679999999997E-2</v>
      </c>
      <c r="X4402">
        <v>0.99191549999999995</v>
      </c>
      <c r="Y4402">
        <v>-7.1202290000000001E-2</v>
      </c>
      <c r="Z4402">
        <v>9.0303649999999999E-2</v>
      </c>
      <c r="AA4402">
        <v>0.99336579999999997</v>
      </c>
      <c r="AB4402">
        <v>30</v>
      </c>
      <c r="AC4402">
        <v>0.80910000000000004</v>
      </c>
      <c r="AD4402">
        <v>-1.1108870044820001</v>
      </c>
      <c r="AE4402">
        <v>-11.9316099999999</v>
      </c>
      <c r="AF4402">
        <v>-0.86766103277733397</v>
      </c>
      <c r="AG4402">
        <v>-1.1108870044820001</v>
      </c>
      <c r="AH4402">
        <v>11.824912954814501</v>
      </c>
      <c r="AI4402">
        <v>95.352572990465404</v>
      </c>
      <c r="AJ4402">
        <v>94.196596106185496</v>
      </c>
      <c r="AK4402">
        <v>11.9086301476479</v>
      </c>
      <c r="AL4402">
        <v>85.866324459434495</v>
      </c>
      <c r="AM4402">
        <v>96.010585139364807</v>
      </c>
      <c r="AN4402">
        <v>1.0000000439433101</v>
      </c>
    </row>
    <row r="4403" spans="1:40" x14ac:dyDescent="0.25">
      <c r="A4403" t="str">
        <f>"20190312151402959"</f>
        <v>20190312151402959</v>
      </c>
      <c r="B4403" t="str">
        <f>"1552374842954519"</f>
        <v>1552374842954519</v>
      </c>
      <c r="C4403" t="s">
        <v>40</v>
      </c>
      <c r="D4403">
        <v>4.993258</v>
      </c>
      <c r="E4403">
        <v>0.51376630000000001</v>
      </c>
      <c r="F4403" t="s">
        <v>42</v>
      </c>
      <c r="G4403">
        <v>-421.19639999999998</v>
      </c>
      <c r="H4403" s="1">
        <v>-2.865808E-6</v>
      </c>
      <c r="I4403">
        <v>95.527370000000005</v>
      </c>
      <c r="J4403">
        <v>-421.97969999999998</v>
      </c>
      <c r="K4403">
        <v>1.1105860000000001</v>
      </c>
      <c r="L4403">
        <v>107.51309999999999</v>
      </c>
      <c r="M4403">
        <v>-5.6193049999999998E-3</v>
      </c>
      <c r="N4403">
        <v>0</v>
      </c>
      <c r="O4403">
        <v>-0.99987950000000003</v>
      </c>
      <c r="P4403">
        <v>9.4370739999999995E-2</v>
      </c>
      <c r="Q4403">
        <v>5.8226680000000003E-2</v>
      </c>
      <c r="R4403">
        <v>-0.99383290000000002</v>
      </c>
      <c r="S4403">
        <v>0.19223019999999999</v>
      </c>
      <c r="T4403">
        <v>-0.2730805</v>
      </c>
      <c r="U4403">
        <v>-3.0166629999999999</v>
      </c>
      <c r="V4403">
        <v>-0.10001939999999999</v>
      </c>
      <c r="W4403">
        <v>7.2509799999999999E-2</v>
      </c>
      <c r="X4403">
        <v>0.99233990000000005</v>
      </c>
      <c r="Y4403">
        <v>-6.8943480000000001E-2</v>
      </c>
      <c r="Z4403">
        <v>8.9955489999999999E-2</v>
      </c>
      <c r="AA4403">
        <v>0.99355660000000001</v>
      </c>
      <c r="AB4403">
        <v>30</v>
      </c>
      <c r="AC4403">
        <v>0.783299999999997</v>
      </c>
      <c r="AD4403">
        <v>-1.1105888658079901</v>
      </c>
      <c r="AE4403">
        <v>-11.98573</v>
      </c>
      <c r="AF4403">
        <v>-0.84343543679765898</v>
      </c>
      <c r="AG4403">
        <v>-1.1105888658079901</v>
      </c>
      <c r="AH4403">
        <v>11.8795774834591</v>
      </c>
      <c r="AI4403">
        <v>95.327567254060597</v>
      </c>
      <c r="AJ4403">
        <v>94.0611154565389</v>
      </c>
      <c r="AK4403">
        <v>11.9611517902923</v>
      </c>
      <c r="AL4403">
        <v>85.841845402001596</v>
      </c>
      <c r="AM4403">
        <v>95.755488668327104</v>
      </c>
      <c r="AN4403">
        <v>1.0000000143022001</v>
      </c>
    </row>
    <row r="4404" spans="1:40" x14ac:dyDescent="0.25">
      <c r="A4404" t="str">
        <f>"20190312151402981"</f>
        <v>20190312151402981</v>
      </c>
      <c r="B4404" t="str">
        <f>"1552374842975014"</f>
        <v>1552374842975014</v>
      </c>
      <c r="C4404" t="s">
        <v>40</v>
      </c>
      <c r="D4404">
        <v>4.837154</v>
      </c>
      <c r="E4404">
        <v>0.48713299999999998</v>
      </c>
      <c r="F4404" t="s">
        <v>42</v>
      </c>
      <c r="G4404">
        <v>-421.20710000000003</v>
      </c>
      <c r="H4404" s="1">
        <v>-2.6705390000000001E-6</v>
      </c>
      <c r="I4404">
        <v>95.065510000000003</v>
      </c>
      <c r="J4404">
        <v>-421.98149999999998</v>
      </c>
      <c r="K4404">
        <v>1.1102719999999999</v>
      </c>
      <c r="L4404">
        <v>107.2072</v>
      </c>
      <c r="M4404">
        <v>-6.0237370000000004E-3</v>
      </c>
      <c r="N4404">
        <v>0</v>
      </c>
      <c r="O4404">
        <v>-0.99987749999999997</v>
      </c>
      <c r="P4404">
        <v>8.9696490000000004E-2</v>
      </c>
      <c r="Q4404">
        <v>5.8731659999999998E-2</v>
      </c>
      <c r="R4404">
        <v>-0.99423600000000001</v>
      </c>
      <c r="S4404">
        <v>0.18722530000000001</v>
      </c>
      <c r="T4404">
        <v>-0.26914700000000003</v>
      </c>
      <c r="U4404">
        <v>-3.016632</v>
      </c>
      <c r="V4404">
        <v>-9.5692490000000005E-2</v>
      </c>
      <c r="W4404">
        <v>7.3072410000000004E-2</v>
      </c>
      <c r="X4404">
        <v>0.99272530000000003</v>
      </c>
      <c r="Y4404">
        <v>-6.7712770000000005E-2</v>
      </c>
      <c r="Z4404">
        <v>8.8678960000000001E-2</v>
      </c>
      <c r="AA4404">
        <v>0.99375599999999997</v>
      </c>
      <c r="AB4404">
        <v>30</v>
      </c>
      <c r="AC4404">
        <v>0.77439999999995701</v>
      </c>
      <c r="AD4404">
        <v>-1.1102746705390001</v>
      </c>
      <c r="AE4404">
        <v>-12.141689999999899</v>
      </c>
      <c r="AF4404">
        <v>-0.84053199695936298</v>
      </c>
      <c r="AG4404">
        <v>-1.1102746705390001</v>
      </c>
      <c r="AH4404">
        <v>12.0365641763524</v>
      </c>
      <c r="AI4404">
        <v>95.257422841117602</v>
      </c>
      <c r="AJ4404">
        <v>93.994568718123006</v>
      </c>
      <c r="AK4404">
        <v>12.1168511195525</v>
      </c>
      <c r="AL4404">
        <v>85.809524739789296</v>
      </c>
      <c r="AM4404">
        <v>95.505942408447495</v>
      </c>
      <c r="AN4404">
        <v>1.00000007550284</v>
      </c>
    </row>
    <row r="4405" spans="1:40" x14ac:dyDescent="0.25">
      <c r="A4405" t="str">
        <f>"20190312151403003"</f>
        <v>20190312151403003</v>
      </c>
      <c r="B4405" t="str">
        <f>"1552374842994534"</f>
        <v>1552374842994534</v>
      </c>
      <c r="C4405" t="s">
        <v>40</v>
      </c>
      <c r="D4405">
        <v>5.2173420000000004</v>
      </c>
      <c r="E4405">
        <v>0.4858383</v>
      </c>
      <c r="F4405" t="s">
        <v>42</v>
      </c>
      <c r="G4405">
        <v>-419.92570000000001</v>
      </c>
      <c r="H4405" s="1">
        <v>-6.6955859999999997E-7</v>
      </c>
      <c r="I4405">
        <v>91.162809999999993</v>
      </c>
      <c r="J4405">
        <v>-421.9837</v>
      </c>
      <c r="K4405">
        <v>1.109982</v>
      </c>
      <c r="L4405">
        <v>106.91330000000001</v>
      </c>
      <c r="M4405">
        <v>-6.6968779999999999E-3</v>
      </c>
      <c r="N4405">
        <v>0</v>
      </c>
      <c r="O4405">
        <v>-0.99987360000000003</v>
      </c>
      <c r="P4405">
        <v>8.4634199999999896E-2</v>
      </c>
      <c r="Q4405">
        <v>5.9498179999999998E-2</v>
      </c>
      <c r="R4405">
        <v>-0.99463420000000002</v>
      </c>
      <c r="S4405">
        <v>0.3837585</v>
      </c>
      <c r="T4405">
        <v>-0.207257</v>
      </c>
      <c r="U4405">
        <v>-2.9950410000000001</v>
      </c>
      <c r="V4405">
        <v>-9.1248209999999996E-2</v>
      </c>
      <c r="W4405">
        <v>7.3888449999999994E-2</v>
      </c>
      <c r="X4405">
        <v>0.99308320000000005</v>
      </c>
      <c r="Y4405">
        <v>-0.13343459999999999</v>
      </c>
      <c r="Z4405">
        <v>6.8445500000000006E-2</v>
      </c>
      <c r="AA4405">
        <v>0.98869130000000005</v>
      </c>
      <c r="AB4405">
        <v>30</v>
      </c>
      <c r="AC4405">
        <v>2.0579999999999901</v>
      </c>
      <c r="AD4405">
        <v>-1.1099826695585999</v>
      </c>
      <c r="AE4405">
        <v>-15.750489999999999</v>
      </c>
      <c r="AF4405">
        <v>-2.1529310232013499</v>
      </c>
      <c r="AG4405">
        <v>-1.1099826695585999</v>
      </c>
      <c r="AH4405">
        <v>15.659884932451501</v>
      </c>
      <c r="AI4405">
        <v>94.016723986875206</v>
      </c>
      <c r="AJ4405">
        <v>97.827987916589095</v>
      </c>
      <c r="AK4405">
        <v>15.8461089739722</v>
      </c>
      <c r="AL4405">
        <v>85.762641994175993</v>
      </c>
      <c r="AM4405">
        <v>95.249810226587897</v>
      </c>
      <c r="AN4405">
        <v>0.99999999049692301</v>
      </c>
    </row>
    <row r="4406" spans="1:40" x14ac:dyDescent="0.25">
      <c r="A4406" t="str">
        <f>"20190312151403026"</f>
        <v>20190312151403026</v>
      </c>
      <c r="B4406" t="str">
        <f>"1552374843015030"</f>
        <v>1552374843015030</v>
      </c>
      <c r="C4406" t="s">
        <v>40</v>
      </c>
      <c r="D4406">
        <v>4.870679</v>
      </c>
      <c r="E4406">
        <v>0.48442669999999999</v>
      </c>
      <c r="F4406" t="s">
        <v>42</v>
      </c>
      <c r="G4406">
        <v>-419.84530000000001</v>
      </c>
      <c r="H4406" s="1">
        <v>-1.9190590000000001E-7</v>
      </c>
      <c r="I4406">
        <v>90.016139999999993</v>
      </c>
      <c r="J4406">
        <v>-421.98660000000001</v>
      </c>
      <c r="K4406">
        <v>1.109715</v>
      </c>
      <c r="L4406">
        <v>106.6086</v>
      </c>
      <c r="M4406">
        <v>-7.6627199999999996E-3</v>
      </c>
      <c r="N4406">
        <v>0</v>
      </c>
      <c r="O4406">
        <v>-0.99986679999999994</v>
      </c>
      <c r="P4406">
        <v>8.034434E-2</v>
      </c>
      <c r="Q4406">
        <v>6.0438690000000003E-2</v>
      </c>
      <c r="R4406">
        <v>-0.99493319999999996</v>
      </c>
      <c r="S4406">
        <v>0.37911990000000001</v>
      </c>
      <c r="T4406">
        <v>-0.1967863</v>
      </c>
      <c r="U4406">
        <v>-2.9956670000000001</v>
      </c>
      <c r="V4406">
        <v>-8.7870110000000001E-2</v>
      </c>
      <c r="W4406">
        <v>7.487038E-2</v>
      </c>
      <c r="X4406">
        <v>0.99331429999999998</v>
      </c>
      <c r="Y4406">
        <v>-0.13288820000000001</v>
      </c>
      <c r="Z4406">
        <v>6.4997330000000006E-2</v>
      </c>
      <c r="AA4406">
        <v>0.98899749999999997</v>
      </c>
      <c r="AB4406">
        <v>30</v>
      </c>
      <c r="AC4406">
        <v>2.1413000000000002</v>
      </c>
      <c r="AD4406">
        <v>-1.1097151919058901</v>
      </c>
      <c r="AE4406">
        <v>-16.5924599999999</v>
      </c>
      <c r="AF4406">
        <v>-2.25845705074151</v>
      </c>
      <c r="AG4406">
        <v>-1.1097151919058901</v>
      </c>
      <c r="AH4406">
        <v>16.502953987075799</v>
      </c>
      <c r="AI4406">
        <v>93.811552957688804</v>
      </c>
      <c r="AJ4406">
        <v>97.792616833147903</v>
      </c>
      <c r="AK4406">
        <v>16.693699001621301</v>
      </c>
      <c r="AL4406">
        <v>85.7062253755076</v>
      </c>
      <c r="AM4406">
        <v>95.055313452015497</v>
      </c>
      <c r="AN4406">
        <v>1.0000000143086201</v>
      </c>
    </row>
    <row r="4407" spans="1:40" x14ac:dyDescent="0.25">
      <c r="A4407" t="str">
        <f>"20190312151403048"</f>
        <v>20190312151403048</v>
      </c>
      <c r="B4407" t="str">
        <f>"1552374843044311"</f>
        <v>1552374843044311</v>
      </c>
      <c r="C4407" t="s">
        <v>40</v>
      </c>
      <c r="D4407">
        <v>4.8295789999999998</v>
      </c>
      <c r="E4407">
        <v>0.4837012</v>
      </c>
      <c r="F4407" t="s">
        <v>42</v>
      </c>
      <c r="G4407">
        <v>-419.73820000000001</v>
      </c>
      <c r="H4407" s="1">
        <v>-3.968156E-6</v>
      </c>
      <c r="I4407">
        <v>88.7744</v>
      </c>
      <c r="J4407">
        <v>-421.99</v>
      </c>
      <c r="K4407">
        <v>1.109491</v>
      </c>
      <c r="L4407">
        <v>106.3049</v>
      </c>
      <c r="M4407">
        <v>-8.8814730000000008E-3</v>
      </c>
      <c r="N4407">
        <v>0</v>
      </c>
      <c r="O4407">
        <v>-0.99985710000000005</v>
      </c>
      <c r="P4407">
        <v>7.631259E-2</v>
      </c>
      <c r="Q4407">
        <v>6.0621750000000002E-2</v>
      </c>
      <c r="R4407">
        <v>-0.99523950000000005</v>
      </c>
      <c r="S4407">
        <v>0.3777161</v>
      </c>
      <c r="T4407">
        <v>-0.18642900000000001</v>
      </c>
      <c r="U4407">
        <v>-2.9960939999999998</v>
      </c>
      <c r="V4407">
        <v>-8.5009440000000006E-2</v>
      </c>
      <c r="W4407">
        <v>7.5084369999999998E-2</v>
      </c>
      <c r="X4407">
        <v>0.99354699999999996</v>
      </c>
      <c r="Y4407">
        <v>-0.13364970000000001</v>
      </c>
      <c r="Z4407">
        <v>6.1578859999999999E-2</v>
      </c>
      <c r="AA4407">
        <v>0.98911360000000004</v>
      </c>
      <c r="AB4407">
        <v>30</v>
      </c>
      <c r="AC4407">
        <v>2.2517999999999998</v>
      </c>
      <c r="AD4407">
        <v>-1.109494968156</v>
      </c>
      <c r="AE4407">
        <v>-17.5305</v>
      </c>
      <c r="AF4407">
        <v>-2.3979746433170699</v>
      </c>
      <c r="AG4407">
        <v>-1.109494968156</v>
      </c>
      <c r="AH4407">
        <v>17.441079926058698</v>
      </c>
      <c r="AI4407">
        <v>93.606069561947507</v>
      </c>
      <c r="AJ4407">
        <v>97.828516002325401</v>
      </c>
      <c r="AK4407">
        <v>17.640083062772799</v>
      </c>
      <c r="AL4407">
        <v>85.693929784695698</v>
      </c>
      <c r="AM4407">
        <v>94.890406123637405</v>
      </c>
      <c r="AN4407">
        <v>0.99999995435820399</v>
      </c>
    </row>
    <row r="4408" spans="1:40" x14ac:dyDescent="0.25">
      <c r="A4408" t="str">
        <f>"20190312151403070"</f>
        <v>20190312151403070</v>
      </c>
      <c r="B4408" t="str">
        <f>"1552374843064806"</f>
        <v>1552374843064806</v>
      </c>
      <c r="C4408" t="s">
        <v>40</v>
      </c>
      <c r="D4408">
        <v>5.067285</v>
      </c>
      <c r="E4408">
        <v>0.48319649999999997</v>
      </c>
      <c r="F4408" t="s">
        <v>42</v>
      </c>
      <c r="G4408">
        <v>-419.72570000000002</v>
      </c>
      <c r="H4408" s="1">
        <v>-3.653214E-6</v>
      </c>
      <c r="I4408">
        <v>88.0351</v>
      </c>
      <c r="J4408">
        <v>-421.99400000000003</v>
      </c>
      <c r="K4408">
        <v>1.1093189999999999</v>
      </c>
      <c r="L4408">
        <v>106.0112</v>
      </c>
      <c r="M4408">
        <v>-1.0225349999999999E-2</v>
      </c>
      <c r="N4408">
        <v>0</v>
      </c>
      <c r="O4408">
        <v>-0.99984470000000003</v>
      </c>
      <c r="P4408">
        <v>7.3528289999999996E-2</v>
      </c>
      <c r="Q4408">
        <v>6.084225E-2</v>
      </c>
      <c r="R4408">
        <v>-0.99543579999999998</v>
      </c>
      <c r="S4408">
        <v>0.37142940000000002</v>
      </c>
      <c r="T4408">
        <v>-0.1819993</v>
      </c>
      <c r="U4408">
        <v>-2.9969480000000002</v>
      </c>
      <c r="V4408">
        <v>-8.3531110000000006E-2</v>
      </c>
      <c r="W4408">
        <v>7.5324950000000002E-2</v>
      </c>
      <c r="X4408">
        <v>0.99365420000000004</v>
      </c>
      <c r="Y4408">
        <v>-0.1329147</v>
      </c>
      <c r="Z4408">
        <v>6.0113739999999999E-2</v>
      </c>
      <c r="AA4408">
        <v>0.98930280000000004</v>
      </c>
      <c r="AB4408">
        <v>30</v>
      </c>
      <c r="AC4408">
        <v>2.2683</v>
      </c>
      <c r="AD4408">
        <v>-1.1093226532139999</v>
      </c>
      <c r="AE4408">
        <v>-17.976099999999999</v>
      </c>
      <c r="AF4408">
        <v>-2.4428550553654</v>
      </c>
      <c r="AG4408">
        <v>-1.1093226532139999</v>
      </c>
      <c r="AH4408">
        <v>17.884920794508599</v>
      </c>
      <c r="AI4408">
        <v>93.516688090281903</v>
      </c>
      <c r="AJ4408">
        <v>97.7777530107427</v>
      </c>
      <c r="AK4408">
        <v>18.085036062897501</v>
      </c>
      <c r="AL4408">
        <v>85.680106538066696</v>
      </c>
      <c r="AM4408">
        <v>94.805246822439997</v>
      </c>
      <c r="AN4408">
        <v>0.99999998180398697</v>
      </c>
    </row>
    <row r="4409" spans="1:40" x14ac:dyDescent="0.25">
      <c r="A4409" t="str">
        <f>"20190312151403093"</f>
        <v>20190312151403093</v>
      </c>
      <c r="B4409" t="str">
        <f>"1552374843085301"</f>
        <v>1552374843085301</v>
      </c>
      <c r="C4409" t="s">
        <v>40</v>
      </c>
      <c r="D4409">
        <v>4.824592</v>
      </c>
      <c r="E4409">
        <v>0.48279300000000003</v>
      </c>
      <c r="F4409" t="s">
        <v>42</v>
      </c>
      <c r="G4409">
        <v>-419.8057</v>
      </c>
      <c r="H4409" s="1">
        <v>-3.6885919999999999E-6</v>
      </c>
      <c r="I4409">
        <v>88.150639999999996</v>
      </c>
      <c r="J4409">
        <v>-421.99880000000002</v>
      </c>
      <c r="K4409">
        <v>1.1091850000000001</v>
      </c>
      <c r="L4409">
        <v>105.70099999999999</v>
      </c>
      <c r="M4409">
        <v>-1.1786069999999999E-2</v>
      </c>
      <c r="N4409">
        <v>0</v>
      </c>
      <c r="O4409">
        <v>-0.99982760000000004</v>
      </c>
      <c r="P4409">
        <v>7.0924689999999999E-2</v>
      </c>
      <c r="Q4409">
        <v>6.1189529999999999E-2</v>
      </c>
      <c r="R4409">
        <v>-0.99560329999999997</v>
      </c>
      <c r="S4409">
        <v>0.36730960000000001</v>
      </c>
      <c r="T4409">
        <v>-0.1862057</v>
      </c>
      <c r="U4409">
        <v>-2.997986</v>
      </c>
      <c r="V4409">
        <v>-8.2456109999999999E-2</v>
      </c>
      <c r="W4409">
        <v>7.5683940000000005E-2</v>
      </c>
      <c r="X4409">
        <v>0.99371670000000001</v>
      </c>
      <c r="Y4409">
        <v>-0.13307069999999999</v>
      </c>
      <c r="Z4409">
        <v>6.1479699999999998E-2</v>
      </c>
      <c r="AA4409">
        <v>0.98919789999999996</v>
      </c>
      <c r="AB4409">
        <v>30</v>
      </c>
      <c r="AC4409">
        <v>2.19310000000001</v>
      </c>
      <c r="AD4409">
        <v>-1.1091886885919999</v>
      </c>
      <c r="AE4409">
        <v>-17.550360000000001</v>
      </c>
      <c r="AF4409">
        <v>-2.39041750301846</v>
      </c>
      <c r="AG4409">
        <v>-1.1091886885919999</v>
      </c>
      <c r="AH4409">
        <v>17.454643189928198</v>
      </c>
      <c r="AI4409">
        <v>93.602543960579695</v>
      </c>
      <c r="AJ4409">
        <v>97.798159539337803</v>
      </c>
      <c r="AK4409">
        <v>17.652449242905199</v>
      </c>
      <c r="AL4409">
        <v>85.659479011393501</v>
      </c>
      <c r="AM4409">
        <v>94.7433929516163</v>
      </c>
      <c r="AN4409">
        <v>0.999999974354572</v>
      </c>
    </row>
    <row r="4410" spans="1:40" x14ac:dyDescent="0.25">
      <c r="A4410" t="str">
        <f>"20190312151403115"</f>
        <v>20190312151403115</v>
      </c>
      <c r="B4410" t="str">
        <f>"1552374843104822"</f>
        <v>1552374843104822</v>
      </c>
      <c r="C4410" t="s">
        <v>40</v>
      </c>
      <c r="D4410">
        <v>4.9882650000000002</v>
      </c>
      <c r="E4410">
        <v>0.48266379999999998</v>
      </c>
      <c r="F4410" t="s">
        <v>42</v>
      </c>
      <c r="G4410">
        <v>-419.904</v>
      </c>
      <c r="H4410" s="1">
        <v>-3.7835529999999998E-6</v>
      </c>
      <c r="I4410">
        <v>88.412629999999993</v>
      </c>
      <c r="J4410">
        <v>-422.00389999999999</v>
      </c>
      <c r="K4410">
        <v>1.1090990000000001</v>
      </c>
      <c r="L4410">
        <v>105.40309999999999</v>
      </c>
      <c r="M4410">
        <v>-1.3378050000000001E-2</v>
      </c>
      <c r="N4410">
        <v>0</v>
      </c>
      <c r="O4410">
        <v>-0.99980760000000002</v>
      </c>
      <c r="P4410">
        <v>6.9021479999999996E-2</v>
      </c>
      <c r="Q4410">
        <v>6.1510410000000001E-2</v>
      </c>
      <c r="R4410">
        <v>-0.99571719999999997</v>
      </c>
      <c r="S4410">
        <v>0.36340329999999998</v>
      </c>
      <c r="T4410">
        <v>-0.19242139999999999</v>
      </c>
      <c r="U4410">
        <v>-2.9991759999999998</v>
      </c>
      <c r="V4410">
        <v>-8.2120479999999996E-2</v>
      </c>
      <c r="W4410">
        <v>7.6009640000000003E-2</v>
      </c>
      <c r="X4410">
        <v>0.99371960000000004</v>
      </c>
      <c r="Y4410">
        <v>-0.1333165</v>
      </c>
      <c r="Z4410">
        <v>6.3500780000000007E-2</v>
      </c>
      <c r="AA4410">
        <v>0.9890371</v>
      </c>
      <c r="AB4410">
        <v>30</v>
      </c>
      <c r="AC4410">
        <v>2.0998999999999901</v>
      </c>
      <c r="AD4410">
        <v>-1.1091027835529901</v>
      </c>
      <c r="AE4410">
        <v>-16.990469999999899</v>
      </c>
      <c r="AF4410">
        <v>-2.3173088193573599</v>
      </c>
      <c r="AG4410">
        <v>-1.1091027835529901</v>
      </c>
      <c r="AH4410">
        <v>16.8899649240232</v>
      </c>
      <c r="AI4410">
        <v>93.722241346729803</v>
      </c>
      <c r="AJ4410">
        <v>97.812224789850902</v>
      </c>
      <c r="AK4410">
        <v>17.084230866020601</v>
      </c>
      <c r="AL4410">
        <v>85.640763720545706</v>
      </c>
      <c r="AM4410">
        <v>94.724159248510702</v>
      </c>
      <c r="AN4410">
        <v>0.999999941016258</v>
      </c>
    </row>
    <row r="4411" spans="1:40" x14ac:dyDescent="0.25">
      <c r="A4411" t="str">
        <f>"20190312151403138"</f>
        <v>20190312151403138</v>
      </c>
      <c r="B4411" t="str">
        <f>"1552374843135078"</f>
        <v>1552374843135078</v>
      </c>
      <c r="C4411" t="s">
        <v>40</v>
      </c>
      <c r="D4411">
        <v>5.0407739999999999</v>
      </c>
      <c r="E4411">
        <v>0.48228539999999998</v>
      </c>
      <c r="F4411" t="s">
        <v>42</v>
      </c>
      <c r="G4411">
        <v>-419.9418</v>
      </c>
      <c r="H4411" s="1">
        <v>-3.663494E-6</v>
      </c>
      <c r="I4411">
        <v>88.148409999999998</v>
      </c>
      <c r="J4411">
        <v>-422.00959999999998</v>
      </c>
      <c r="K4411">
        <v>1.1090370000000001</v>
      </c>
      <c r="L4411">
        <v>105.10120000000001</v>
      </c>
      <c r="M4411">
        <v>-1.504255E-2</v>
      </c>
      <c r="N4411">
        <v>0</v>
      </c>
      <c r="O4411">
        <v>-0.99978420000000001</v>
      </c>
      <c r="P4411">
        <v>6.7330559999999998E-2</v>
      </c>
      <c r="Q4411">
        <v>6.2344469999999999E-2</v>
      </c>
      <c r="R4411">
        <v>-0.99578109999999997</v>
      </c>
      <c r="S4411">
        <v>0.35852050000000002</v>
      </c>
      <c r="T4411">
        <v>-0.19283310000000001</v>
      </c>
      <c r="U4411">
        <v>-2.9999690000000001</v>
      </c>
      <c r="V4411">
        <v>-8.207209E-2</v>
      </c>
      <c r="W4411">
        <v>7.6843090000000003E-2</v>
      </c>
      <c r="X4411">
        <v>0.99365959999999998</v>
      </c>
      <c r="Y4411">
        <v>-0.13334749999999901</v>
      </c>
      <c r="Z4411">
        <v>6.3623150000000003E-2</v>
      </c>
      <c r="AA4411">
        <v>0.98902509999999999</v>
      </c>
      <c r="AB4411">
        <v>30</v>
      </c>
      <c r="AC4411">
        <v>2.0677999999999699</v>
      </c>
      <c r="AD4411">
        <v>-1.109040663494</v>
      </c>
      <c r="AE4411">
        <v>-16.95279</v>
      </c>
      <c r="AF4411">
        <v>-2.3128521671496198</v>
      </c>
      <c r="AG4411">
        <v>-1.109040663494</v>
      </c>
      <c r="AH4411">
        <v>16.848713044530299</v>
      </c>
      <c r="AI4411">
        <v>93.731084870595097</v>
      </c>
      <c r="AJ4411">
        <v>97.816240490388296</v>
      </c>
      <c r="AK4411">
        <v>17.0428397750287</v>
      </c>
      <c r="AL4411">
        <v>85.592870929251305</v>
      </c>
      <c r="AM4411">
        <v>94.721671898775895</v>
      </c>
      <c r="AN4411">
        <v>1.00000004455493</v>
      </c>
    </row>
    <row r="4412" spans="1:40" x14ac:dyDescent="0.25">
      <c r="A4412" t="str">
        <f>"20190312151403159"</f>
        <v>20190312151403159</v>
      </c>
      <c r="B4412" t="str">
        <f>"1552374843154598"</f>
        <v>1552374843154598</v>
      </c>
      <c r="C4412" t="s">
        <v>40</v>
      </c>
      <c r="D4412">
        <v>4.683891</v>
      </c>
      <c r="E4412">
        <v>0.45048850000000001</v>
      </c>
      <c r="F4412" t="s">
        <v>42</v>
      </c>
      <c r="G4412">
        <v>-419.90320000000003</v>
      </c>
      <c r="H4412" s="1">
        <v>-3.3338970000000001E-6</v>
      </c>
      <c r="I4412">
        <v>87.364149999999995</v>
      </c>
      <c r="J4412">
        <v>-422.01569999999998</v>
      </c>
      <c r="K4412">
        <v>1.108995</v>
      </c>
      <c r="L4412">
        <v>104.8116</v>
      </c>
      <c r="M4412">
        <v>-1.6656029999999999E-2</v>
      </c>
      <c r="N4412">
        <v>0</v>
      </c>
      <c r="O4412">
        <v>-0.9997587</v>
      </c>
      <c r="P4412">
        <v>6.6928070000000006E-2</v>
      </c>
      <c r="Q4412">
        <v>6.3271690000000005E-2</v>
      </c>
      <c r="R4412">
        <v>-0.99574980000000002</v>
      </c>
      <c r="S4412">
        <v>0.35632320000000001</v>
      </c>
      <c r="T4412">
        <v>-0.18760540000000001</v>
      </c>
      <c r="U4412">
        <v>-3.000397</v>
      </c>
      <c r="V4412">
        <v>-8.3263840000000006E-2</v>
      </c>
      <c r="W4412">
        <v>7.7769169999999999E-2</v>
      </c>
      <c r="X4412">
        <v>0.99348840000000005</v>
      </c>
      <c r="Y4412">
        <v>-0.13422890000000001</v>
      </c>
      <c r="Z4412">
        <v>6.1892959999999997E-2</v>
      </c>
      <c r="AA4412">
        <v>0.98901559999999999</v>
      </c>
      <c r="AB4412">
        <v>30</v>
      </c>
      <c r="AC4412">
        <v>2.1124999999999501</v>
      </c>
      <c r="AD4412">
        <v>-1.108998333897</v>
      </c>
      <c r="AE4412">
        <v>-17.44745</v>
      </c>
      <c r="AF4412">
        <v>-2.39331230476893</v>
      </c>
      <c r="AG4412">
        <v>-1.108998333897</v>
      </c>
      <c r="AH4412">
        <v>17.340792457428201</v>
      </c>
      <c r="AI4412">
        <v>93.624992768350495</v>
      </c>
      <c r="AJ4412">
        <v>97.858108335067797</v>
      </c>
      <c r="AK4412">
        <v>17.540265224458398</v>
      </c>
      <c r="AL4412">
        <v>85.5396512396579</v>
      </c>
      <c r="AM4412">
        <v>94.790739041809701</v>
      </c>
      <c r="AN4412">
        <v>1.0000000558942901</v>
      </c>
    </row>
    <row r="4413" spans="1:40" x14ac:dyDescent="0.25">
      <c r="A4413" t="str">
        <f>"20190312151403181"</f>
        <v>20190312151403181</v>
      </c>
      <c r="B4413" t="str">
        <f>"1552374843175094"</f>
        <v>1552374843175094</v>
      </c>
      <c r="C4413" t="s">
        <v>40</v>
      </c>
      <c r="D4413">
        <v>4.5673979999999998</v>
      </c>
      <c r="E4413">
        <v>0.43672759999999999</v>
      </c>
      <c r="F4413" t="s">
        <v>42</v>
      </c>
      <c r="G4413">
        <v>-418.66570000000002</v>
      </c>
      <c r="H4413" s="1">
        <v>-3.9883999999999998E-6</v>
      </c>
      <c r="I4413">
        <v>88.378109999999893</v>
      </c>
      <c r="J4413">
        <v>-422.0224</v>
      </c>
      <c r="K4413">
        <v>1.108973</v>
      </c>
      <c r="L4413">
        <v>104.51220000000001</v>
      </c>
      <c r="M4413">
        <v>-1.832512E-2</v>
      </c>
      <c r="N4413">
        <v>0</v>
      </c>
      <c r="O4413">
        <v>-0.9997298</v>
      </c>
      <c r="P4413">
        <v>6.6948129999999995E-2</v>
      </c>
      <c r="Q4413">
        <v>6.3166410000000006E-2</v>
      </c>
      <c r="R4413">
        <v>-0.9957551</v>
      </c>
      <c r="S4413">
        <v>0.608429</v>
      </c>
      <c r="T4413">
        <v>-0.20142009999999999</v>
      </c>
      <c r="U4413">
        <v>-2.9847109999999999</v>
      </c>
      <c r="V4413">
        <v>-8.4940500000000002E-2</v>
      </c>
      <c r="W4413">
        <v>7.7663170000000004E-2</v>
      </c>
      <c r="X4413">
        <v>0.99335469999999904</v>
      </c>
      <c r="Y4413">
        <v>-0.21723100000000001</v>
      </c>
      <c r="Z4413">
        <v>6.5835859999999996E-2</v>
      </c>
      <c r="AA4413">
        <v>0.97389749999999997</v>
      </c>
      <c r="AB4413">
        <v>30</v>
      </c>
      <c r="AC4413">
        <v>3.35669999999998</v>
      </c>
      <c r="AD4413">
        <v>-1.1089769884</v>
      </c>
      <c r="AE4413">
        <v>-16.13409</v>
      </c>
      <c r="AF4413">
        <v>-3.6353629073781</v>
      </c>
      <c r="AG4413">
        <v>-1.1089769884</v>
      </c>
      <c r="AH4413">
        <v>15.997417889298699</v>
      </c>
      <c r="AI4413">
        <v>93.8672414196094</v>
      </c>
      <c r="AJ4413">
        <v>102.802856506759</v>
      </c>
      <c r="AK4413">
        <v>16.4427209595612</v>
      </c>
      <c r="AL4413">
        <v>85.545742803786894</v>
      </c>
      <c r="AM4413">
        <v>94.887400738496197</v>
      </c>
      <c r="AN4413">
        <v>1.00000000826339</v>
      </c>
    </row>
    <row r="4414" spans="1:40" x14ac:dyDescent="0.25">
      <c r="A4414" t="str">
        <f>"20190312151403204"</f>
        <v>20190312151403204</v>
      </c>
      <c r="B4414" t="str">
        <f>"1552374843194614"</f>
        <v>1552374843194614</v>
      </c>
      <c r="C4414" t="s">
        <v>40</v>
      </c>
      <c r="D4414">
        <v>4.519183</v>
      </c>
      <c r="E4414">
        <v>0.43229040000000002</v>
      </c>
      <c r="F4414" t="s">
        <v>42</v>
      </c>
      <c r="G4414">
        <v>-418.964</v>
      </c>
      <c r="H4414" s="1">
        <v>-1.136698E-6</v>
      </c>
      <c r="I4414">
        <v>91.854060000000004</v>
      </c>
      <c r="J4414">
        <v>-422.02980000000002</v>
      </c>
      <c r="K4414">
        <v>1.1089549999999999</v>
      </c>
      <c r="L4414">
        <v>104.2052</v>
      </c>
      <c r="M4414">
        <v>-2.0027960000000001E-2</v>
      </c>
      <c r="N4414">
        <v>0</v>
      </c>
      <c r="O4414">
        <v>-0.99969710000000001</v>
      </c>
      <c r="P4414">
        <v>6.750486E-2</v>
      </c>
      <c r="Q4414">
        <v>6.328657E-2</v>
      </c>
      <c r="R4414">
        <v>-0.99570970000000003</v>
      </c>
      <c r="S4414">
        <v>0.72024540000000004</v>
      </c>
      <c r="T4414">
        <v>-0.26116089999999997</v>
      </c>
      <c r="U4414">
        <v>-2.9809570000000001</v>
      </c>
      <c r="V4414">
        <v>-8.7186550000000002E-2</v>
      </c>
      <c r="W4414">
        <v>7.7781530000000002E-2</v>
      </c>
      <c r="X4414">
        <v>0.9931508</v>
      </c>
      <c r="Y4414">
        <v>-0.25343649999999901</v>
      </c>
      <c r="Z4414">
        <v>8.4615830000000003E-2</v>
      </c>
      <c r="AA4414">
        <v>0.96364419999999995</v>
      </c>
      <c r="AB4414">
        <v>30</v>
      </c>
      <c r="AC4414">
        <v>3.0658000000000198</v>
      </c>
      <c r="AD4414">
        <v>-1.1089561366980001</v>
      </c>
      <c r="AE4414">
        <v>-12.351139999999999</v>
      </c>
      <c r="AF4414">
        <v>-3.2876135245373401</v>
      </c>
      <c r="AG4414">
        <v>-1.1089561366980001</v>
      </c>
      <c r="AH4414">
        <v>12.1946526535503</v>
      </c>
      <c r="AI4414">
        <v>95.017875450542206</v>
      </c>
      <c r="AJ4414">
        <v>105.087927920146</v>
      </c>
      <c r="AK4414">
        <v>12.678633196862499</v>
      </c>
      <c r="AL4414">
        <v>85.538940600790099</v>
      </c>
      <c r="AM4414">
        <v>95.0170101232234</v>
      </c>
      <c r="AN4414">
        <v>0.99999998622534103</v>
      </c>
    </row>
    <row r="4415" spans="1:40" x14ac:dyDescent="0.25">
      <c r="A4415" t="str">
        <f>"20190312151403226"</f>
        <v>20190312151403226</v>
      </c>
      <c r="B4415" t="str">
        <f>"1552374843215110"</f>
        <v>1552374843215110</v>
      </c>
      <c r="C4415" t="s">
        <v>40</v>
      </c>
      <c r="D4415">
        <v>4.447063</v>
      </c>
      <c r="E4415">
        <v>0.43021540000000003</v>
      </c>
      <c r="F4415" t="s">
        <v>42</v>
      </c>
      <c r="G4415">
        <v>-418.95359999999999</v>
      </c>
      <c r="H4415" s="1">
        <v>-1.2488429999999999E-6</v>
      </c>
      <c r="I4415">
        <v>92.111180000000004</v>
      </c>
      <c r="J4415">
        <v>-422.03739999999999</v>
      </c>
      <c r="K4415">
        <v>1.108948</v>
      </c>
      <c r="L4415">
        <v>103.914</v>
      </c>
      <c r="M4415">
        <v>-2.1634850000000001E-2</v>
      </c>
      <c r="N4415">
        <v>0</v>
      </c>
      <c r="O4415">
        <v>-0.99966379999999999</v>
      </c>
      <c r="P4415">
        <v>6.842993E-2</v>
      </c>
      <c r="Q4415">
        <v>6.358722E-2</v>
      </c>
      <c r="R4415">
        <v>-0.99562790000000001</v>
      </c>
      <c r="S4415">
        <v>0.75772090000000003</v>
      </c>
      <c r="T4415">
        <v>-0.27315080000000003</v>
      </c>
      <c r="U4415">
        <v>-2.9789119999999998</v>
      </c>
      <c r="V4415">
        <v>-8.9704989999999998E-2</v>
      </c>
      <c r="W4415">
        <v>7.8080559999999993E-2</v>
      </c>
      <c r="X4415">
        <v>0.99290310000000004</v>
      </c>
      <c r="Y4415">
        <v>-0.26646039999999999</v>
      </c>
      <c r="Z4415">
        <v>8.8235240000000006E-2</v>
      </c>
      <c r="AA4415">
        <v>0.95979859999999995</v>
      </c>
      <c r="AB4415">
        <v>30</v>
      </c>
      <c r="AC4415">
        <v>3.0837999999999899</v>
      </c>
      <c r="AD4415">
        <v>-1.1089492488429999</v>
      </c>
      <c r="AE4415">
        <v>-11.802819999999899</v>
      </c>
      <c r="AF4415">
        <v>-3.3110946042462799</v>
      </c>
      <c r="AG4415">
        <v>-1.1089492488429999</v>
      </c>
      <c r="AH4415">
        <v>11.6371668690633</v>
      </c>
      <c r="AI4415">
        <v>95.236864192500207</v>
      </c>
      <c r="AJ4415">
        <v>105.882513078789</v>
      </c>
      <c r="AK4415">
        <v>12.149764139817799</v>
      </c>
      <c r="AL4415">
        <v>85.521755520831505</v>
      </c>
      <c r="AM4415">
        <v>95.162438534178605</v>
      </c>
      <c r="AN4415">
        <v>1.0000000625352099</v>
      </c>
    </row>
    <row r="4416" spans="1:40" x14ac:dyDescent="0.25">
      <c r="A4416" t="str">
        <f>"20190312151403248"</f>
        <v>20190312151403248</v>
      </c>
      <c r="B4416" t="str">
        <f>"1552374843244390"</f>
        <v>1552374843244390</v>
      </c>
      <c r="C4416" t="s">
        <v>40</v>
      </c>
      <c r="D4416">
        <v>4.3321779999999999</v>
      </c>
      <c r="E4416">
        <v>0.42824580000000001</v>
      </c>
      <c r="F4416" t="s">
        <v>42</v>
      </c>
      <c r="G4416">
        <v>-419.0249</v>
      </c>
      <c r="H4416" s="1">
        <v>-1.344469E-6</v>
      </c>
      <c r="I4416">
        <v>92.363569999999996</v>
      </c>
      <c r="J4416">
        <v>-422.0455</v>
      </c>
      <c r="K4416">
        <v>1.1089560000000001</v>
      </c>
      <c r="L4416">
        <v>103.6219</v>
      </c>
      <c r="M4416">
        <v>-2.3238249999999998E-2</v>
      </c>
      <c r="N4416">
        <v>0</v>
      </c>
      <c r="O4416">
        <v>-0.99962799999999996</v>
      </c>
      <c r="P4416">
        <v>6.9385719999999998E-2</v>
      </c>
      <c r="Q4416">
        <v>6.3996849999999994E-2</v>
      </c>
      <c r="R4416">
        <v>-0.99553530000000001</v>
      </c>
      <c r="S4416">
        <v>0.77670289999999997</v>
      </c>
      <c r="T4416">
        <v>-0.2859215</v>
      </c>
      <c r="U4416">
        <v>-2.9780579999999999</v>
      </c>
      <c r="V4416">
        <v>-9.2250799999999994E-2</v>
      </c>
      <c r="W4416">
        <v>7.8488429999999998E-2</v>
      </c>
      <c r="X4416">
        <v>0.99263760000000001</v>
      </c>
      <c r="Y4416">
        <v>-0.27371020000000001</v>
      </c>
      <c r="Z4416">
        <v>9.2177889999999998E-2</v>
      </c>
      <c r="AA4416">
        <v>0.95738489999999998</v>
      </c>
      <c r="AB4416">
        <v>30</v>
      </c>
      <c r="AC4416">
        <v>3.0206</v>
      </c>
      <c r="AD4416">
        <v>-1.108957344469</v>
      </c>
      <c r="AE4416">
        <v>-11.258330000000001</v>
      </c>
      <c r="AF4416">
        <v>-3.25200105584508</v>
      </c>
      <c r="AG4416">
        <v>-1.108957344469</v>
      </c>
      <c r="AH4416">
        <v>11.084761105717099</v>
      </c>
      <c r="AI4416">
        <v>95.483445947264897</v>
      </c>
      <c r="AJ4416">
        <v>106.35041380675401</v>
      </c>
      <c r="AK4416">
        <v>11.605051746109901</v>
      </c>
      <c r="AL4416">
        <v>85.498314180700405</v>
      </c>
      <c r="AM4416">
        <v>95.309533735537897</v>
      </c>
      <c r="AN4416">
        <v>1.00000002433913</v>
      </c>
    </row>
    <row r="4417" spans="1:40" x14ac:dyDescent="0.25">
      <c r="A4417" t="str">
        <f>"20190312151403270"</f>
        <v>20190312151403270</v>
      </c>
      <c r="B4417" t="str">
        <f>"1552374843264899"</f>
        <v>1552374843264899</v>
      </c>
      <c r="C4417" t="s">
        <v>40</v>
      </c>
      <c r="D4417">
        <v>4.3002649999999996</v>
      </c>
      <c r="E4417">
        <v>0.42739470000000002</v>
      </c>
      <c r="F4417" t="s">
        <v>42</v>
      </c>
      <c r="G4417">
        <v>-419.04320000000001</v>
      </c>
      <c r="H4417" s="1">
        <v>-1.3514709999999999E-6</v>
      </c>
      <c r="I4417">
        <v>92.387469999999993</v>
      </c>
      <c r="J4417">
        <v>-422.05430000000001</v>
      </c>
      <c r="K4417">
        <v>1.108959</v>
      </c>
      <c r="L4417">
        <v>103.3192</v>
      </c>
      <c r="M4417">
        <v>-2.489421E-2</v>
      </c>
      <c r="N4417">
        <v>0</v>
      </c>
      <c r="O4417">
        <v>-0.99958840000000004</v>
      </c>
      <c r="P4417">
        <v>7.0087010000000005E-2</v>
      </c>
      <c r="Q4417">
        <v>6.4724569999999995E-2</v>
      </c>
      <c r="R4417">
        <v>-0.99543939999999997</v>
      </c>
      <c r="S4417">
        <v>0.79553219999999902</v>
      </c>
      <c r="T4417">
        <v>-0.29385099999999997</v>
      </c>
      <c r="U4417">
        <v>-2.9768979999999998</v>
      </c>
      <c r="V4417">
        <v>-9.4593259999999998E-2</v>
      </c>
      <c r="W4417">
        <v>7.9213329999999998E-2</v>
      </c>
      <c r="X4417">
        <v>0.99235949999999995</v>
      </c>
      <c r="Y4417">
        <v>-0.28098859999999998</v>
      </c>
      <c r="Z4417">
        <v>9.4564300000000004E-2</v>
      </c>
      <c r="AA4417">
        <v>0.95504080000000002</v>
      </c>
      <c r="AB4417">
        <v>30</v>
      </c>
      <c r="AC4417">
        <v>3.0110999999999901</v>
      </c>
      <c r="AD4417">
        <v>-1.108960351471</v>
      </c>
      <c r="AE4417">
        <v>-10.93173</v>
      </c>
      <c r="AF4417">
        <v>-3.25123239041449</v>
      </c>
      <c r="AG4417">
        <v>-1.108960351471</v>
      </c>
      <c r="AH4417">
        <v>10.750543741654599</v>
      </c>
      <c r="AI4417">
        <v>95.638956542035899</v>
      </c>
      <c r="AJ4417">
        <v>106.826625062025</v>
      </c>
      <c r="AK4417">
        <v>11.286031005577</v>
      </c>
      <c r="AL4417">
        <v>85.456650668311994</v>
      </c>
      <c r="AM4417">
        <v>95.445071436945497</v>
      </c>
      <c r="AN4417">
        <v>1.0000000068636801</v>
      </c>
    </row>
    <row r="4418" spans="1:40" x14ac:dyDescent="0.25">
      <c r="A4418" t="str">
        <f>"20190312151403294"</f>
        <v>20190312151403294</v>
      </c>
      <c r="B4418" t="str">
        <f>"1552374843284406"</f>
        <v>1552374843284406</v>
      </c>
      <c r="C4418" t="s">
        <v>40</v>
      </c>
      <c r="D4418">
        <v>4.2287980000000003</v>
      </c>
      <c r="E4418">
        <v>0.42690479999999997</v>
      </c>
      <c r="F4418" t="s">
        <v>42</v>
      </c>
      <c r="G4418">
        <v>-419.03089999999997</v>
      </c>
      <c r="H4418" s="1">
        <v>-1.2428399999999901E-6</v>
      </c>
      <c r="I4418">
        <v>92.129140000000007</v>
      </c>
      <c r="J4418">
        <v>-422.06349999999998</v>
      </c>
      <c r="K4418">
        <v>1.1089580000000001</v>
      </c>
      <c r="L4418">
        <v>103.0213</v>
      </c>
      <c r="M4418">
        <v>-2.6519350000000001E-2</v>
      </c>
      <c r="N4418">
        <v>0</v>
      </c>
      <c r="O4418">
        <v>-0.9995463</v>
      </c>
      <c r="P4418">
        <v>7.0855390000000004E-2</v>
      </c>
      <c r="Q4418">
        <v>6.5453510000000006E-2</v>
      </c>
      <c r="R4418">
        <v>-0.99533680000000002</v>
      </c>
      <c r="S4418">
        <v>0.80416869999999996</v>
      </c>
      <c r="T4418">
        <v>-0.29495719999999997</v>
      </c>
      <c r="U4418">
        <v>-2.9762879999999998</v>
      </c>
      <c r="V4418">
        <v>-9.6971769999999999E-2</v>
      </c>
      <c r="W4418">
        <v>7.9939640000000006E-2</v>
      </c>
      <c r="X4418">
        <v>0.99207160000000005</v>
      </c>
      <c r="Y4418">
        <v>-0.28517219999999999</v>
      </c>
      <c r="Z4418">
        <v>9.4834799999999997E-2</v>
      </c>
      <c r="AA4418">
        <v>0.95377310000000004</v>
      </c>
      <c r="AB4418">
        <v>30</v>
      </c>
      <c r="AC4418">
        <v>3.0326</v>
      </c>
      <c r="AD4418">
        <v>-1.1089592428399999</v>
      </c>
      <c r="AE4418">
        <v>-10.892159999999899</v>
      </c>
      <c r="AF4418">
        <v>-3.2887773786541099</v>
      </c>
      <c r="AG4418">
        <v>-1.1089592428399999</v>
      </c>
      <c r="AH4418">
        <v>10.704915533816401</v>
      </c>
      <c r="AI4418">
        <v>95.655309169584399</v>
      </c>
      <c r="AJ4418">
        <v>107.07806957792</v>
      </c>
      <c r="AK4418">
        <v>11.253491184284499</v>
      </c>
      <c r="AL4418">
        <v>85.414903587833393</v>
      </c>
      <c r="AM4418">
        <v>95.582741079295104</v>
      </c>
      <c r="AN4418">
        <v>0.99999996487341003</v>
      </c>
    </row>
    <row r="4419" spans="1:40" x14ac:dyDescent="0.25">
      <c r="A4419" t="str">
        <f>"20190312151403316"</f>
        <v>20190312151403316</v>
      </c>
      <c r="B4419" t="str">
        <f>"1552374843304903"</f>
        <v>1552374843304903</v>
      </c>
      <c r="C4419" t="s">
        <v>40</v>
      </c>
      <c r="D4419">
        <v>4.2155459999999998</v>
      </c>
      <c r="E4419">
        <v>0.42644100000000001</v>
      </c>
      <c r="F4419" t="s">
        <v>42</v>
      </c>
      <c r="G4419">
        <v>-419.02409999999998</v>
      </c>
      <c r="H4419" s="1">
        <v>-1.131381E-6</v>
      </c>
      <c r="I4419">
        <v>91.866550000000004</v>
      </c>
      <c r="J4419">
        <v>-422.07350000000002</v>
      </c>
      <c r="K4419">
        <v>1.1089610000000001</v>
      </c>
      <c r="L4419">
        <v>102.7123</v>
      </c>
      <c r="M4419">
        <v>-2.8203559999999999E-2</v>
      </c>
      <c r="N4419">
        <v>0</v>
      </c>
      <c r="O4419">
        <v>-0.99950030000000001</v>
      </c>
      <c r="P4419">
        <v>7.2435890000000003E-2</v>
      </c>
      <c r="Q4419">
        <v>6.5937380000000004E-2</v>
      </c>
      <c r="R4419">
        <v>-0.99519120000000005</v>
      </c>
      <c r="S4419">
        <v>0.81082149999999997</v>
      </c>
      <c r="T4419">
        <v>-0.29584060000000001</v>
      </c>
      <c r="U4419">
        <v>-2.9758</v>
      </c>
      <c r="V4419">
        <v>-0.10021960000000001</v>
      </c>
      <c r="W4419">
        <v>8.0422069999999998E-2</v>
      </c>
      <c r="X4419">
        <v>0.99170979999999997</v>
      </c>
      <c r="Y4419">
        <v>-0.28880450000000002</v>
      </c>
      <c r="Z4419">
        <v>9.5044340000000005E-2</v>
      </c>
      <c r="AA4419">
        <v>0.95265869999999997</v>
      </c>
      <c r="AB4419">
        <v>30</v>
      </c>
      <c r="AC4419">
        <v>3.0494000000000399</v>
      </c>
      <c r="AD4419">
        <v>-1.1089621313810001</v>
      </c>
      <c r="AE4419">
        <v>-10.845749999999899</v>
      </c>
      <c r="AF4419">
        <v>-3.3219210386514799</v>
      </c>
      <c r="AG4419">
        <v>-1.1089621313810001</v>
      </c>
      <c r="AH4419">
        <v>10.6522143101918</v>
      </c>
      <c r="AI4419">
        <v>95.675739034070205</v>
      </c>
      <c r="AJ4419">
        <v>107.32022675832</v>
      </c>
      <c r="AK4419">
        <v>11.2131452370032</v>
      </c>
      <c r="AL4419">
        <v>85.387173274614099</v>
      </c>
      <c r="AM4419">
        <v>95.7705707490382</v>
      </c>
      <c r="AN4419">
        <v>1.00000000249164</v>
      </c>
    </row>
    <row r="4420" spans="1:40" x14ac:dyDescent="0.25">
      <c r="A4420" t="str">
        <f>"20190312151403339"</f>
        <v>20190312151403339</v>
      </c>
      <c r="B4420" t="str">
        <f>"1552374843335159"</f>
        <v>1552374843335159</v>
      </c>
      <c r="C4420" t="s">
        <v>40</v>
      </c>
      <c r="D4420">
        <v>4.1672089999999997</v>
      </c>
      <c r="E4420">
        <v>0.42586459999999998</v>
      </c>
      <c r="F4420" t="s">
        <v>42</v>
      </c>
      <c r="G4420">
        <v>-419.01220000000001</v>
      </c>
      <c r="H4420" s="1">
        <v>-1.020968E-6</v>
      </c>
      <c r="I4420">
        <v>91.604230000000001</v>
      </c>
      <c r="J4420">
        <v>-422.08330000000001</v>
      </c>
      <c r="K4420">
        <v>1.1089599999999999</v>
      </c>
      <c r="L4420">
        <v>102.42489999999999</v>
      </c>
      <c r="M4420">
        <v>-2.976966E-2</v>
      </c>
      <c r="N4420">
        <v>0</v>
      </c>
      <c r="O4420">
        <v>-0.99945519999999999</v>
      </c>
      <c r="P4420">
        <v>7.3996350000000002E-2</v>
      </c>
      <c r="Q4420">
        <v>6.628262E-2</v>
      </c>
      <c r="R4420">
        <v>-0.99505379999999999</v>
      </c>
      <c r="S4420">
        <v>0.81976319999999903</v>
      </c>
      <c r="T4420">
        <v>-0.29695749999999999</v>
      </c>
      <c r="U4420">
        <v>-2.9745180000000002</v>
      </c>
      <c r="V4420">
        <v>-0.10333059999999999</v>
      </c>
      <c r="W4420">
        <v>8.0766649999999995E-2</v>
      </c>
      <c r="X4420">
        <v>0.99136250000000004</v>
      </c>
      <c r="Y4420">
        <v>-0.29306130000000002</v>
      </c>
      <c r="Z4420">
        <v>9.5332299999999995E-2</v>
      </c>
      <c r="AA4420">
        <v>0.95132899999999998</v>
      </c>
      <c r="AB4420">
        <v>30</v>
      </c>
      <c r="AC4420">
        <v>3.0710999999999999</v>
      </c>
      <c r="AD4420">
        <v>-1.1089610209680001</v>
      </c>
      <c r="AE4420">
        <v>-10.8206699999999</v>
      </c>
      <c r="AF4420">
        <v>-3.3592461657462001</v>
      </c>
      <c r="AG4420">
        <v>-1.1089610209680001</v>
      </c>
      <c r="AH4420">
        <v>10.6211973511052</v>
      </c>
      <c r="AI4420">
        <v>95.685050930600994</v>
      </c>
      <c r="AJ4420">
        <v>107.550993136587</v>
      </c>
      <c r="AK4420">
        <v>11.1948274894806</v>
      </c>
      <c r="AL4420">
        <v>85.3673660143928</v>
      </c>
      <c r="AM4420">
        <v>95.950503503388205</v>
      </c>
      <c r="AN4420">
        <v>1.0000000355274099</v>
      </c>
    </row>
    <row r="4421" spans="1:40" x14ac:dyDescent="0.25">
      <c r="A4421" t="str">
        <f>"20190312151403361"</f>
        <v>20190312151403361</v>
      </c>
      <c r="B4421" t="str">
        <f>"1552374843354679"</f>
        <v>1552374843354679</v>
      </c>
      <c r="C4421" t="s">
        <v>40</v>
      </c>
      <c r="D4421">
        <v>4.1528869999999998</v>
      </c>
      <c r="E4421">
        <v>0.42558109999999999</v>
      </c>
      <c r="F4421" t="s">
        <v>42</v>
      </c>
      <c r="G4421">
        <v>-419.0301</v>
      </c>
      <c r="H4421" s="1">
        <v>-9.6554090000000004E-7</v>
      </c>
      <c r="I4421">
        <v>91.482429999999994</v>
      </c>
      <c r="J4421">
        <v>-422.09410000000003</v>
      </c>
      <c r="K4421">
        <v>1.1089610000000001</v>
      </c>
      <c r="L4421">
        <v>102.1238</v>
      </c>
      <c r="M4421">
        <v>-3.1410199999999999E-2</v>
      </c>
      <c r="N4421">
        <v>0</v>
      </c>
      <c r="O4421">
        <v>-0.99940479999999998</v>
      </c>
      <c r="P4421">
        <v>7.5816519999999998E-2</v>
      </c>
      <c r="Q4421">
        <v>6.6340170000000004E-2</v>
      </c>
      <c r="R4421">
        <v>-0.99491269999999998</v>
      </c>
      <c r="S4421">
        <v>0.82962039999999904</v>
      </c>
      <c r="T4421">
        <v>-0.30132500000000001</v>
      </c>
      <c r="U4421">
        <v>-2.9732669999999999</v>
      </c>
      <c r="V4421">
        <v>-0.1067742</v>
      </c>
      <c r="W4421">
        <v>8.0824640000000003E-2</v>
      </c>
      <c r="X4421">
        <v>0.99099280000000001</v>
      </c>
      <c r="Y4421">
        <v>-0.29762339999999998</v>
      </c>
      <c r="Z4421">
        <v>9.6640630000000005E-2</v>
      </c>
      <c r="AA4421">
        <v>0.94977940000000005</v>
      </c>
      <c r="AB4421">
        <v>30</v>
      </c>
      <c r="AC4421">
        <v>3.06400000000002</v>
      </c>
      <c r="AD4421">
        <v>-1.1089619655409</v>
      </c>
      <c r="AE4421">
        <v>-10.641369999999901</v>
      </c>
      <c r="AF4421">
        <v>-3.36304223154854</v>
      </c>
      <c r="AG4421">
        <v>-1.1089619655409</v>
      </c>
      <c r="AH4421">
        <v>10.4352152141829</v>
      </c>
      <c r="AI4421">
        <v>95.775714083518295</v>
      </c>
      <c r="AJ4421">
        <v>107.862998914749</v>
      </c>
      <c r="AK4421">
        <v>11.0196899347717</v>
      </c>
      <c r="AL4421">
        <v>85.364032559189795</v>
      </c>
      <c r="AM4421">
        <v>96.149591832056799</v>
      </c>
      <c r="AN4421">
        <v>1.0000000409342999</v>
      </c>
    </row>
    <row r="4422" spans="1:40" x14ac:dyDescent="0.25">
      <c r="A4422" t="str">
        <f>"20190312151403382"</f>
        <v>20190312151403382</v>
      </c>
      <c r="B4422" t="str">
        <f>"1552374843375174"</f>
        <v>1552374843375174</v>
      </c>
      <c r="C4422" t="s">
        <v>40</v>
      </c>
      <c r="D4422">
        <v>4.2482280000000001</v>
      </c>
      <c r="E4422">
        <v>0.4251277</v>
      </c>
      <c r="F4422" t="s">
        <v>42</v>
      </c>
      <c r="G4422">
        <v>-419.036</v>
      </c>
      <c r="H4422" s="1">
        <v>-8.7929619999999997E-7</v>
      </c>
      <c r="I4422">
        <v>91.283839999999998</v>
      </c>
      <c r="J4422">
        <v>-422.1046</v>
      </c>
      <c r="K4422">
        <v>1.108973</v>
      </c>
      <c r="L4422">
        <v>101.8413</v>
      </c>
      <c r="M4422">
        <v>-3.2950889999999997E-2</v>
      </c>
      <c r="N4422">
        <v>0</v>
      </c>
      <c r="O4422">
        <v>-0.9993554</v>
      </c>
      <c r="P4422">
        <v>7.8483349999999993E-2</v>
      </c>
      <c r="Q4422">
        <v>6.653953E-2</v>
      </c>
      <c r="R4422">
        <v>-0.99469269999999999</v>
      </c>
      <c r="S4422">
        <v>0.83834839999999999</v>
      </c>
      <c r="T4422">
        <v>-0.30401489999999998</v>
      </c>
      <c r="U4422">
        <v>-2.9717099999999999</v>
      </c>
      <c r="V4422">
        <v>-0.1109619</v>
      </c>
      <c r="W4422">
        <v>8.102521E-2</v>
      </c>
      <c r="X4422">
        <v>0.99051619999999996</v>
      </c>
      <c r="Y4422">
        <v>-0.30178490000000002</v>
      </c>
      <c r="Z4422">
        <v>9.743309E-2</v>
      </c>
      <c r="AA4422">
        <v>0.94838420000000001</v>
      </c>
      <c r="AB4422">
        <v>30</v>
      </c>
      <c r="AC4422">
        <v>3.0686</v>
      </c>
      <c r="AD4422">
        <v>-1.1089738792962001</v>
      </c>
      <c r="AE4422">
        <v>-10.557460000000001</v>
      </c>
      <c r="AF4422">
        <v>-3.3804528399667402</v>
      </c>
      <c r="AG4422">
        <v>-1.1089738792962001</v>
      </c>
      <c r="AH4422">
        <v>10.345346527196</v>
      </c>
      <c r="AI4422">
        <v>95.817996285244504</v>
      </c>
      <c r="AJ4422">
        <v>108.095358289194</v>
      </c>
      <c r="AK4422">
        <v>10.9399944806186</v>
      </c>
      <c r="AL4422">
        <v>85.352502670600998</v>
      </c>
      <c r="AM4422">
        <v>96.391871267162003</v>
      </c>
      <c r="AN4422">
        <v>0.99999998518479605</v>
      </c>
    </row>
    <row r="4423" spans="1:40" x14ac:dyDescent="0.25">
      <c r="A4423" t="str">
        <f>"20190312151403405"</f>
        <v>20190312151403405</v>
      </c>
      <c r="B4423" t="str">
        <f>"1552374843394694"</f>
        <v>1552374843394694</v>
      </c>
      <c r="C4423" t="s">
        <v>40</v>
      </c>
      <c r="D4423">
        <v>4.0863699999999996</v>
      </c>
      <c r="E4423">
        <v>0.42464200000000002</v>
      </c>
      <c r="F4423" t="s">
        <v>42</v>
      </c>
      <c r="G4423">
        <v>-418.99200000000002</v>
      </c>
      <c r="H4423" s="1">
        <v>-7.5464019999999902E-7</v>
      </c>
      <c r="I4423">
        <v>90.975059999999999</v>
      </c>
      <c r="J4423">
        <v>-422.1164</v>
      </c>
      <c r="K4423">
        <v>1.1089819999999999</v>
      </c>
      <c r="L4423">
        <v>101.5394</v>
      </c>
      <c r="M4423">
        <v>-3.4597719999999998E-2</v>
      </c>
      <c r="N4423">
        <v>0</v>
      </c>
      <c r="O4423">
        <v>-0.99929990000000002</v>
      </c>
      <c r="P4423">
        <v>8.1206890000000004E-2</v>
      </c>
      <c r="Q4423">
        <v>6.623511E-2</v>
      </c>
      <c r="R4423">
        <v>-0.9944944</v>
      </c>
      <c r="S4423">
        <v>0.85052490000000003</v>
      </c>
      <c r="T4423">
        <v>-0.3030255</v>
      </c>
      <c r="U4423">
        <v>-2.9691770000000002</v>
      </c>
      <c r="V4423">
        <v>-0.11531230000000001</v>
      </c>
      <c r="W4423">
        <v>8.0722459999999996E-2</v>
      </c>
      <c r="X4423">
        <v>0.99004389999999998</v>
      </c>
      <c r="Y4423">
        <v>-0.307170099999999</v>
      </c>
      <c r="Z4423">
        <v>9.7051079999999998E-2</v>
      </c>
      <c r="AA4423">
        <v>0.94669300000000001</v>
      </c>
      <c r="AB4423">
        <v>30</v>
      </c>
      <c r="AC4423">
        <v>3.1244000000000298</v>
      </c>
      <c r="AD4423">
        <v>-1.1089827546402</v>
      </c>
      <c r="AE4423">
        <v>-10.56434</v>
      </c>
      <c r="AF4423">
        <v>-3.4530773633053302</v>
      </c>
      <c r="AG4423">
        <v>-1.1089827546402</v>
      </c>
      <c r="AH4423">
        <v>10.3450768140523</v>
      </c>
      <c r="AI4423">
        <v>95.806111204005205</v>
      </c>
      <c r="AJ4423">
        <v>108.458465126588</v>
      </c>
      <c r="AK4423">
        <v>10.9623993867996</v>
      </c>
      <c r="AL4423">
        <v>85.369905965250496</v>
      </c>
      <c r="AM4423">
        <v>96.643415678221302</v>
      </c>
      <c r="AN4423">
        <v>0.99999998300347503</v>
      </c>
    </row>
    <row r="4424" spans="1:40" x14ac:dyDescent="0.25">
      <c r="A4424" t="str">
        <f>"20190312151403427"</f>
        <v>20190312151403427</v>
      </c>
      <c r="B4424" t="str">
        <f>"1552374843424950"</f>
        <v>1552374843424950</v>
      </c>
      <c r="C4424" t="s">
        <v>40</v>
      </c>
      <c r="D4424">
        <v>4.0775100000000002</v>
      </c>
      <c r="E4424">
        <v>0.40019139999999997</v>
      </c>
      <c r="F4424" t="s">
        <v>42</v>
      </c>
      <c r="G4424">
        <v>-418.98360000000002</v>
      </c>
      <c r="H4424" s="1">
        <v>-6.6475889999999996E-7</v>
      </c>
      <c r="I4424">
        <v>90.762079999999997</v>
      </c>
      <c r="J4424">
        <v>-422.12799999999999</v>
      </c>
      <c r="K4424">
        <v>1.1089899999999999</v>
      </c>
      <c r="L4424">
        <v>101.2527</v>
      </c>
      <c r="M4424">
        <v>-3.6162760000000002E-2</v>
      </c>
      <c r="N4424">
        <v>0</v>
      </c>
      <c r="O4424">
        <v>-0.99924460000000004</v>
      </c>
      <c r="P4424">
        <v>8.4718440000000006E-2</v>
      </c>
      <c r="Q4424">
        <v>6.6508810000000002E-2</v>
      </c>
      <c r="R4424">
        <v>-0.99418289999999998</v>
      </c>
      <c r="S4424">
        <v>0.86230469999999904</v>
      </c>
      <c r="T4424">
        <v>-0.30525449999999998</v>
      </c>
      <c r="U4424">
        <v>-2.9665219999999999</v>
      </c>
      <c r="V4424">
        <v>-0.12036230000000001</v>
      </c>
      <c r="W4424">
        <v>8.0998580000000001E-2</v>
      </c>
      <c r="X4424">
        <v>0.98942010000000002</v>
      </c>
      <c r="Y4424">
        <v>-0.31233139999999998</v>
      </c>
      <c r="Z4424">
        <v>9.7696030000000003E-2</v>
      </c>
      <c r="AA4424">
        <v>0.94493629999999995</v>
      </c>
      <c r="AB4424">
        <v>30</v>
      </c>
      <c r="AC4424">
        <v>3.1444000000000099</v>
      </c>
      <c r="AD4424">
        <v>-1.1089906647588901</v>
      </c>
      <c r="AE4424">
        <v>-10.4906199999999</v>
      </c>
      <c r="AF4424">
        <v>-3.48600579446944</v>
      </c>
      <c r="AG4424">
        <v>-1.1089906647588901</v>
      </c>
      <c r="AH4424">
        <v>10.264780775626701</v>
      </c>
      <c r="AI4424">
        <v>95.841040524260194</v>
      </c>
      <c r="AJ4424">
        <v>108.75791884552601</v>
      </c>
      <c r="AK4424">
        <v>10.8971473820111</v>
      </c>
      <c r="AL4424">
        <v>85.354033528723605</v>
      </c>
      <c r="AM4424">
        <v>96.935913770456693</v>
      </c>
      <c r="AN4424">
        <v>0.999999993753658</v>
      </c>
    </row>
    <row r="4425" spans="1:40" x14ac:dyDescent="0.25">
      <c r="A4425" t="str">
        <f>"20190312151403449"</f>
        <v>20190312151403449</v>
      </c>
      <c r="B4425" t="str">
        <f>"1552374843444470"</f>
        <v>1552374843444470</v>
      </c>
      <c r="C4425" t="s">
        <v>40</v>
      </c>
      <c r="D4425">
        <v>4.0453839999999897</v>
      </c>
      <c r="E4425">
        <v>0.39800410000000003</v>
      </c>
      <c r="F4425" t="s">
        <v>42</v>
      </c>
      <c r="G4425">
        <v>-418.94499999999999</v>
      </c>
      <c r="H4425" s="1">
        <v>-1.4028149999999999E-6</v>
      </c>
      <c r="I4425">
        <v>92.466530000000006</v>
      </c>
      <c r="J4425">
        <v>-422.14049999999997</v>
      </c>
      <c r="K4425">
        <v>1.1089990000000001</v>
      </c>
      <c r="L4425">
        <v>100.9556</v>
      </c>
      <c r="M4425">
        <v>-3.7785039999999999E-2</v>
      </c>
      <c r="N4425">
        <v>0</v>
      </c>
      <c r="O4425">
        <v>-0.99918470000000004</v>
      </c>
      <c r="P4425">
        <v>8.8549439999999993E-2</v>
      </c>
      <c r="Q4425">
        <v>6.7113359999999997E-2</v>
      </c>
      <c r="R4425">
        <v>-0.99380840000000004</v>
      </c>
      <c r="S4425">
        <v>1.0692140000000001</v>
      </c>
      <c r="T4425">
        <v>-0.3725234</v>
      </c>
      <c r="U4425">
        <v>-2.9513850000000001</v>
      </c>
      <c r="V4425">
        <v>-0.12578310000000001</v>
      </c>
      <c r="W4425">
        <v>8.160502E-2</v>
      </c>
      <c r="X4425">
        <v>0.98869569999999996</v>
      </c>
      <c r="Y4425">
        <v>-0.3735523</v>
      </c>
      <c r="Z4425">
        <v>0.1168956</v>
      </c>
      <c r="AA4425">
        <v>0.92021419999999998</v>
      </c>
      <c r="AB4425">
        <v>29</v>
      </c>
      <c r="AC4425">
        <v>3.19549999999998</v>
      </c>
      <c r="AD4425">
        <v>-1.109000402815</v>
      </c>
      <c r="AE4425">
        <v>-8.4890699999999892</v>
      </c>
      <c r="AF4425">
        <v>-3.4622549536529998</v>
      </c>
      <c r="AG4425">
        <v>-1.109000402815</v>
      </c>
      <c r="AH4425">
        <v>8.2390916676411496</v>
      </c>
      <c r="AI4425">
        <v>97.073730180760705</v>
      </c>
      <c r="AJ4425">
        <v>112.793260824595</v>
      </c>
      <c r="AK4425">
        <v>9.0055384494949795</v>
      </c>
      <c r="AL4425">
        <v>85.319171589371607</v>
      </c>
      <c r="AM4425">
        <v>97.2502920168656</v>
      </c>
      <c r="AN4425">
        <v>0.99999997736664903</v>
      </c>
    </row>
    <row r="4426" spans="1:40" x14ac:dyDescent="0.25">
      <c r="A4426" t="str">
        <f>"20190312151403471"</f>
        <v>20190312151403471</v>
      </c>
      <c r="B4426" t="str">
        <f>"1552374843464971"</f>
        <v>1552374843464971</v>
      </c>
      <c r="C4426" t="s">
        <v>40</v>
      </c>
      <c r="D4426">
        <v>4.0599660000000002</v>
      </c>
      <c r="E4426">
        <v>0.39744020000000002</v>
      </c>
      <c r="F4426" t="s">
        <v>42</v>
      </c>
      <c r="G4426">
        <v>-418.95420000000001</v>
      </c>
      <c r="H4426" s="1">
        <v>-1.3744900000000001E-6</v>
      </c>
      <c r="I4426">
        <v>92.404319999999998</v>
      </c>
      <c r="J4426">
        <v>-422.15339999999998</v>
      </c>
      <c r="K4426">
        <v>1.1090059999999999</v>
      </c>
      <c r="L4426">
        <v>100.66119999999999</v>
      </c>
      <c r="M4426">
        <v>-3.9393780000000003E-2</v>
      </c>
      <c r="N4426">
        <v>0</v>
      </c>
      <c r="O4426">
        <v>-0.99912239999999997</v>
      </c>
      <c r="P4426">
        <v>9.2106939999999998E-2</v>
      </c>
      <c r="Q4426">
        <v>6.8002069999999998E-2</v>
      </c>
      <c r="R4426">
        <v>-0.9934248</v>
      </c>
      <c r="S4426">
        <v>1.097961</v>
      </c>
      <c r="T4426">
        <v>-0.38214910000000002</v>
      </c>
      <c r="U4426">
        <v>-2.9466860000000001</v>
      </c>
      <c r="V4426">
        <v>-0.1309138</v>
      </c>
      <c r="W4426">
        <v>8.2494650000000003E-2</v>
      </c>
      <c r="X4426">
        <v>0.98795560000000004</v>
      </c>
      <c r="Y4426">
        <v>-0.38328679999999998</v>
      </c>
      <c r="Z4426">
        <v>0.1195944</v>
      </c>
      <c r="AA4426">
        <v>0.9158539</v>
      </c>
      <c r="AB4426">
        <v>29</v>
      </c>
      <c r="AC4426">
        <v>3.1991999999999599</v>
      </c>
      <c r="AD4426">
        <v>-1.10900737449</v>
      </c>
      <c r="AE4426">
        <v>-8.25687999999999</v>
      </c>
      <c r="AF4426">
        <v>-3.4676281203022898</v>
      </c>
      <c r="AG4426">
        <v>-1.10900737449</v>
      </c>
      <c r="AH4426">
        <v>7.9989621361021097</v>
      </c>
      <c r="AI4426">
        <v>97.2493933921305</v>
      </c>
      <c r="AJ4426">
        <v>113.43720247964001</v>
      </c>
      <c r="AK4426">
        <v>8.7885002925516105</v>
      </c>
      <c r="AL4426">
        <v>85.268027339173898</v>
      </c>
      <c r="AM4426">
        <v>97.548277643042994</v>
      </c>
      <c r="AN4426">
        <v>1.00000002894021</v>
      </c>
    </row>
    <row r="4427" spans="1:40" x14ac:dyDescent="0.25">
      <c r="A4427" t="str">
        <f>"20190312151403494"</f>
        <v>20190312151403494</v>
      </c>
      <c r="B4427" t="str">
        <f>"1552374843484486"</f>
        <v>1552374843484486</v>
      </c>
      <c r="C4427" t="s">
        <v>40</v>
      </c>
      <c r="D4427">
        <v>4.0953290000000004</v>
      </c>
      <c r="E4427">
        <v>0.39777059999999997</v>
      </c>
      <c r="F4427" t="s">
        <v>42</v>
      </c>
      <c r="G4427">
        <v>-418.97559999999999</v>
      </c>
      <c r="H4427" s="1">
        <v>-1.3089929999999999E-6</v>
      </c>
      <c r="I4427">
        <v>92.260480000000001</v>
      </c>
      <c r="J4427">
        <v>-422.16669999999999</v>
      </c>
      <c r="K4427">
        <v>1.1090150000000001</v>
      </c>
      <c r="L4427">
        <v>100.36709999999999</v>
      </c>
      <c r="M4427">
        <v>-4.1000710000000003E-2</v>
      </c>
      <c r="N4427">
        <v>0</v>
      </c>
      <c r="O4427">
        <v>-0.99905790000000005</v>
      </c>
      <c r="P4427">
        <v>9.5394919999999994E-2</v>
      </c>
      <c r="Q4427">
        <v>6.8712819999999994E-2</v>
      </c>
      <c r="R4427">
        <v>-0.99306539999999999</v>
      </c>
      <c r="S4427">
        <v>1.1133729999999999</v>
      </c>
      <c r="T4427">
        <v>-0.38854499999999997</v>
      </c>
      <c r="U4427">
        <v>-2.9432369999999999</v>
      </c>
      <c r="V4427">
        <v>-0.13577339999999999</v>
      </c>
      <c r="W4427">
        <v>8.320603E-2</v>
      </c>
      <c r="X4427">
        <v>0.9872398</v>
      </c>
      <c r="Y4427">
        <v>-0.38923609999999997</v>
      </c>
      <c r="Z4427">
        <v>0.1214186</v>
      </c>
      <c r="AA4427">
        <v>0.91310069999999999</v>
      </c>
      <c r="AB4427">
        <v>29</v>
      </c>
      <c r="AC4427">
        <v>3.1911</v>
      </c>
      <c r="AD4427">
        <v>-1.1090163089930001</v>
      </c>
      <c r="AE4427">
        <v>-8.1066199999999906</v>
      </c>
      <c r="AF4427">
        <v>-3.4646839394169202</v>
      </c>
      <c r="AG4427">
        <v>-1.1090163089930001</v>
      </c>
      <c r="AH4427">
        <v>7.8418787153924203</v>
      </c>
      <c r="AI4427">
        <v>97.370797688724906</v>
      </c>
      <c r="AJ4427">
        <v>113.836709219543</v>
      </c>
      <c r="AK4427">
        <v>8.6445944821368403</v>
      </c>
      <c r="AL4427">
        <v>85.227127713123295</v>
      </c>
      <c r="AM4427">
        <v>97.830667238893497</v>
      </c>
      <c r="AN4427">
        <v>1.0000000411399701</v>
      </c>
    </row>
    <row r="4428" spans="1:40" x14ac:dyDescent="0.25">
      <c r="A4428" t="str">
        <f>"20190312151403517"</f>
        <v>20190312151403517</v>
      </c>
      <c r="B4428" t="str">
        <f>"1552374843514742"</f>
        <v>1552374843514742</v>
      </c>
      <c r="C4428" t="s">
        <v>40</v>
      </c>
      <c r="D4428">
        <v>4.1112279999999997</v>
      </c>
      <c r="E4428">
        <v>0.39793620000000002</v>
      </c>
      <c r="F4428" t="s">
        <v>42</v>
      </c>
      <c r="G4428">
        <v>-419.04410000000001</v>
      </c>
      <c r="H4428" s="1">
        <v>-1.2563660000000001E-6</v>
      </c>
      <c r="I4428">
        <v>92.166129999999995</v>
      </c>
      <c r="J4428">
        <v>-422.18119999999999</v>
      </c>
      <c r="K4428">
        <v>1.1090150000000001</v>
      </c>
      <c r="L4428">
        <v>100.0585</v>
      </c>
      <c r="M4428">
        <v>-4.2687389999999999E-2</v>
      </c>
      <c r="N4428">
        <v>0</v>
      </c>
      <c r="O4428">
        <v>-0.99898730000000002</v>
      </c>
      <c r="P4428">
        <v>9.8955070000000006E-2</v>
      </c>
      <c r="Q4428">
        <v>6.8610149999999995E-2</v>
      </c>
      <c r="R4428">
        <v>-0.99272389999999999</v>
      </c>
      <c r="S4428">
        <v>1.1197809999999999</v>
      </c>
      <c r="T4428">
        <v>-0.39769470000000001</v>
      </c>
      <c r="U4428">
        <v>-2.940887</v>
      </c>
      <c r="V4428">
        <v>-0.14098479999999999</v>
      </c>
      <c r="W4428">
        <v>8.3104330000000004E-2</v>
      </c>
      <c r="X4428">
        <v>0.98651759999999999</v>
      </c>
      <c r="Y4428">
        <v>-0.3926443</v>
      </c>
      <c r="Z4428">
        <v>0.124168</v>
      </c>
      <c r="AA4428">
        <v>0.91126980000000002</v>
      </c>
      <c r="AB4428">
        <v>29</v>
      </c>
      <c r="AC4428">
        <v>3.13709999999997</v>
      </c>
      <c r="AD4428">
        <v>-1.10901625636599</v>
      </c>
      <c r="AE4428">
        <v>-7.8923699999999801</v>
      </c>
      <c r="AF4428">
        <v>-3.4129832261217299</v>
      </c>
      <c r="AG4428">
        <v>-1.10901625636599</v>
      </c>
      <c r="AH4428">
        <v>7.6212942564971504</v>
      </c>
      <c r="AI4428">
        <v>97.564995510405296</v>
      </c>
      <c r="AJ4428">
        <v>114.12388507441401</v>
      </c>
      <c r="AK4428">
        <v>8.4239241273167291</v>
      </c>
      <c r="AL4428">
        <v>85.232974792782301</v>
      </c>
      <c r="AM4428">
        <v>98.133159600007602</v>
      </c>
      <c r="AN4428">
        <v>1.0000000093027701</v>
      </c>
    </row>
    <row r="4429" spans="1:40" x14ac:dyDescent="0.25">
      <c r="A4429" t="str">
        <f>"20190312151403541"</f>
        <v>20190312151403541</v>
      </c>
      <c r="B4429" t="str">
        <f>"1552374843535239"</f>
        <v>1552374843535239</v>
      </c>
      <c r="C4429" t="s">
        <v>40</v>
      </c>
      <c r="D4429">
        <v>4.1167759999999998</v>
      </c>
      <c r="E4429">
        <v>0.39832719999999999</v>
      </c>
      <c r="F4429" t="s">
        <v>42</v>
      </c>
      <c r="G4429">
        <v>-419.07990000000001</v>
      </c>
      <c r="H4429" s="1">
        <v>-1.1751420000000001E-6</v>
      </c>
      <c r="I4429">
        <v>91.991609999999994</v>
      </c>
      <c r="J4429">
        <v>-422.19589999999999</v>
      </c>
      <c r="K4429">
        <v>1.109011</v>
      </c>
      <c r="L4429">
        <v>99.758330000000001</v>
      </c>
      <c r="M4429">
        <v>-4.4328140000000002E-2</v>
      </c>
      <c r="N4429">
        <v>0</v>
      </c>
      <c r="O4429">
        <v>-0.99891569999999996</v>
      </c>
      <c r="P4429">
        <v>0.1017911</v>
      </c>
      <c r="Q4429">
        <v>6.843217E-2</v>
      </c>
      <c r="R4429">
        <v>-0.99244940000000004</v>
      </c>
      <c r="S4429">
        <v>1.1292719999999901</v>
      </c>
      <c r="T4429">
        <v>-0.40381909999999999</v>
      </c>
      <c r="U4429">
        <v>-2.9373469999999999</v>
      </c>
      <c r="V4429">
        <v>-0.145429</v>
      </c>
      <c r="W4429">
        <v>8.2927089999999995E-2</v>
      </c>
      <c r="X4429">
        <v>0.98588719999999996</v>
      </c>
      <c r="Y4429">
        <v>-0.39699800000000002</v>
      </c>
      <c r="Z4429">
        <v>0.12598000000000001</v>
      </c>
      <c r="AA4429">
        <v>0.90913239999999995</v>
      </c>
      <c r="AB4429">
        <v>29</v>
      </c>
      <c r="AC4429">
        <v>3.1159999999999801</v>
      </c>
      <c r="AD4429">
        <v>-1.1090121751419999</v>
      </c>
      <c r="AE4429">
        <v>-7.7667200000000003</v>
      </c>
      <c r="AF4429">
        <v>-3.3975863163553699</v>
      </c>
      <c r="AG4429">
        <v>-1.1090121751419999</v>
      </c>
      <c r="AH4429">
        <v>7.4894126493009301</v>
      </c>
      <c r="AI4429">
        <v>97.680006267507807</v>
      </c>
      <c r="AJ4429">
        <v>114.401510431573</v>
      </c>
      <c r="AK4429">
        <v>8.2984819463084492</v>
      </c>
      <c r="AL4429">
        <v>85.243165187441093</v>
      </c>
      <c r="AM4429">
        <v>98.391232085746594</v>
      </c>
      <c r="AN4429">
        <v>1.0000000337103501</v>
      </c>
    </row>
    <row r="4430" spans="1:40" x14ac:dyDescent="0.25">
      <c r="A4430" t="str">
        <f>"20190312151403561"</f>
        <v>20190312151403561</v>
      </c>
      <c r="B4430" t="str">
        <f>"1552374843554758"</f>
        <v>1552374843554758</v>
      </c>
      <c r="C4430" t="s">
        <v>40</v>
      </c>
      <c r="D4430">
        <v>4.2169059999999998</v>
      </c>
      <c r="E4430">
        <v>0.39795000000000003</v>
      </c>
      <c r="F4430" t="s">
        <v>42</v>
      </c>
      <c r="G4430">
        <v>-419.13389999999998</v>
      </c>
      <c r="H4430" s="1">
        <v>-1.1003009999999999E-6</v>
      </c>
      <c r="I4430">
        <v>91.839460000000003</v>
      </c>
      <c r="J4430">
        <v>-422.2097</v>
      </c>
      <c r="K4430">
        <v>1.1090169999999999</v>
      </c>
      <c r="L4430">
        <v>99.483249999999998</v>
      </c>
      <c r="M4430">
        <v>-4.5830000000000003E-2</v>
      </c>
      <c r="N4430">
        <v>0</v>
      </c>
      <c r="O4430">
        <v>-0.99884799999999996</v>
      </c>
      <c r="P4430">
        <v>0.10415919999999999</v>
      </c>
      <c r="Q4430">
        <v>6.8301310000000004E-2</v>
      </c>
      <c r="R4430">
        <v>-0.99221280000000001</v>
      </c>
      <c r="S4430">
        <v>1.1347959999999999</v>
      </c>
      <c r="T4430">
        <v>-0.41100720000000002</v>
      </c>
      <c r="U4430">
        <v>-2.9347840000000001</v>
      </c>
      <c r="V4430">
        <v>-0.14926889999999901</v>
      </c>
      <c r="W4430">
        <v>8.2795450000000007E-2</v>
      </c>
      <c r="X4430">
        <v>0.98532410000000004</v>
      </c>
      <c r="Y4430">
        <v>-0.40002769999999999</v>
      </c>
      <c r="Z4430">
        <v>0.1281418</v>
      </c>
      <c r="AA4430">
        <v>0.90750070000000005</v>
      </c>
      <c r="AB4430">
        <v>29</v>
      </c>
      <c r="AC4430">
        <v>3.0758000000000099</v>
      </c>
      <c r="AD4430">
        <v>-1.109018100301</v>
      </c>
      <c r="AE4430">
        <v>-7.6437899999999903</v>
      </c>
      <c r="AF4430">
        <v>-3.3620086305950099</v>
      </c>
      <c r="AG4430">
        <v>-1.109018100301</v>
      </c>
      <c r="AH4430">
        <v>7.3614125669502197</v>
      </c>
      <c r="AI4430">
        <v>97.803069375575603</v>
      </c>
      <c r="AJ4430">
        <v>114.546511720399</v>
      </c>
      <c r="AK4430">
        <v>8.1684403749946792</v>
      </c>
      <c r="AL4430">
        <v>85.2507331682597</v>
      </c>
      <c r="AM4430">
        <v>98.614361778147199</v>
      </c>
      <c r="AN4430">
        <v>0.99999993654435904</v>
      </c>
    </row>
    <row r="4431" spans="1:40" x14ac:dyDescent="0.25">
      <c r="A4431" t="str">
        <f>"20190312151403584"</f>
        <v>20190312151403584</v>
      </c>
      <c r="B4431" t="str">
        <f>"1552374843575254"</f>
        <v>1552374843575254</v>
      </c>
      <c r="C4431" t="s">
        <v>40</v>
      </c>
      <c r="D4431">
        <v>4.3649490000000002</v>
      </c>
      <c r="E4431">
        <v>0.39840940000000002</v>
      </c>
      <c r="F4431" t="s">
        <v>42</v>
      </c>
      <c r="G4431">
        <v>-419.1148</v>
      </c>
      <c r="H4431" s="1">
        <v>-9.8299740000000005E-7</v>
      </c>
      <c r="I4431">
        <v>91.558139999999995</v>
      </c>
      <c r="J4431">
        <v>-422.22469999999998</v>
      </c>
      <c r="K4431">
        <v>1.1090249999999999</v>
      </c>
      <c r="L4431">
        <v>99.193539999999999</v>
      </c>
      <c r="M4431">
        <v>-4.7406190000000001E-2</v>
      </c>
      <c r="N4431">
        <v>0</v>
      </c>
      <c r="O4431">
        <v>-0.9987743</v>
      </c>
      <c r="P4431">
        <v>0.1063658</v>
      </c>
      <c r="Q4431">
        <v>6.8258579999999999E-2</v>
      </c>
      <c r="R4431">
        <v>-0.99198140000000001</v>
      </c>
      <c r="S4431">
        <v>1.144836</v>
      </c>
      <c r="T4431">
        <v>-0.41024139999999998</v>
      </c>
      <c r="U4431">
        <v>-2.93161</v>
      </c>
      <c r="V4431">
        <v>-0.15301960000000001</v>
      </c>
      <c r="W4431">
        <v>8.2750779999999996E-2</v>
      </c>
      <c r="X4431">
        <v>0.98475239999999997</v>
      </c>
      <c r="Y4431">
        <v>-0.40451179999999998</v>
      </c>
      <c r="Z4431">
        <v>0.12781199999999901</v>
      </c>
      <c r="AA4431">
        <v>0.90555750000000002</v>
      </c>
      <c r="AB4431">
        <v>29</v>
      </c>
      <c r="AC4431">
        <v>3.1098999999999801</v>
      </c>
      <c r="AD4431">
        <v>-1.1090259829974001</v>
      </c>
      <c r="AE4431">
        <v>-7.63539999999999</v>
      </c>
      <c r="AF4431">
        <v>-3.4067590545181798</v>
      </c>
      <c r="AG4431">
        <v>-1.1090259829974001</v>
      </c>
      <c r="AH4431">
        <v>7.3464358034232404</v>
      </c>
      <c r="AI4431">
        <v>97.798266965556394</v>
      </c>
      <c r="AJ4431">
        <v>114.8785462785</v>
      </c>
      <c r="AK4431">
        <v>8.1734977151965893</v>
      </c>
      <c r="AL4431">
        <v>85.253301635594298</v>
      </c>
      <c r="AM4431">
        <v>98.832491702120393</v>
      </c>
      <c r="AN4431">
        <v>0.99999998944026403</v>
      </c>
    </row>
    <row r="4432" spans="1:40" x14ac:dyDescent="0.25">
      <c r="A4432" t="str">
        <f>"20190312151403607"</f>
        <v>20190312151403607</v>
      </c>
      <c r="B4432" t="str">
        <f>"1552374843604534"</f>
        <v>1552374843604534</v>
      </c>
      <c r="C4432" t="s">
        <v>40</v>
      </c>
      <c r="D4432">
        <v>4.25739</v>
      </c>
      <c r="E4432">
        <v>0.3992984</v>
      </c>
      <c r="F4432" t="s">
        <v>42</v>
      </c>
      <c r="G4432">
        <v>-419.10039999999998</v>
      </c>
      <c r="H4432" s="1">
        <v>-8.403281E-7</v>
      </c>
      <c r="I4432">
        <v>91.2196</v>
      </c>
      <c r="J4432">
        <v>-422.24090000000001</v>
      </c>
      <c r="K4432">
        <v>1.109035</v>
      </c>
      <c r="L4432">
        <v>98.889529999999993</v>
      </c>
      <c r="M4432">
        <v>-4.9049219999999998E-2</v>
      </c>
      <c r="N4432">
        <v>0</v>
      </c>
      <c r="O4432">
        <v>-0.99869529999999995</v>
      </c>
      <c r="P4432">
        <v>0.107874499999999</v>
      </c>
      <c r="Q4432">
        <v>6.8282490000000001E-2</v>
      </c>
      <c r="R4432">
        <v>-0.99181719999999896</v>
      </c>
      <c r="S4432">
        <v>1.147705</v>
      </c>
      <c r="T4432">
        <v>-0.40739720000000001</v>
      </c>
      <c r="U4432">
        <v>-2.9291990000000001</v>
      </c>
      <c r="V4432">
        <v>-0.15614210000000001</v>
      </c>
      <c r="W4432">
        <v>8.2770270000000007E-2</v>
      </c>
      <c r="X4432">
        <v>0.98426049999999998</v>
      </c>
      <c r="Y4432">
        <v>-0.40707500000000002</v>
      </c>
      <c r="Z4432">
        <v>0.12692410000000001</v>
      </c>
      <c r="AA4432">
        <v>0.90453309999999998</v>
      </c>
      <c r="AB4432">
        <v>29</v>
      </c>
      <c r="AC4432">
        <v>3.14050000000003</v>
      </c>
      <c r="AD4432">
        <v>-1.1090358403281</v>
      </c>
      <c r="AE4432">
        <v>-7.6699299999999999</v>
      </c>
      <c r="AF4432">
        <v>-3.4511653510774698</v>
      </c>
      <c r="AG4432">
        <v>-1.1090358403281</v>
      </c>
      <c r="AH4432">
        <v>7.3745935946924899</v>
      </c>
      <c r="AI4432">
        <v>97.756446803250199</v>
      </c>
      <c r="AJ4432">
        <v>115.078673366792</v>
      </c>
      <c r="AK4432">
        <v>8.2173677940377896</v>
      </c>
      <c r="AL4432">
        <v>85.252181158577599</v>
      </c>
      <c r="AM4432">
        <v>99.014227627144095</v>
      </c>
      <c r="AN4432">
        <v>1.0000000024242599</v>
      </c>
    </row>
    <row r="4433" spans="1:40" x14ac:dyDescent="0.25">
      <c r="A4433" t="str">
        <f>"20190312151403627"</f>
        <v>20190312151403627</v>
      </c>
      <c r="B4433" t="str">
        <f>"1552374843625031"</f>
        <v>1552374843625031</v>
      </c>
      <c r="C4433" t="s">
        <v>40</v>
      </c>
      <c r="D4433">
        <v>4.2500109999999998</v>
      </c>
      <c r="E4433">
        <v>0.39991369999999998</v>
      </c>
      <c r="F4433" t="s">
        <v>41</v>
      </c>
      <c r="G4433">
        <v>-421.85489999999999</v>
      </c>
      <c r="H4433">
        <v>0.97095529999999997</v>
      </c>
      <c r="I4433">
        <v>97.901390000000006</v>
      </c>
      <c r="J4433">
        <v>-422.25580000000002</v>
      </c>
      <c r="K4433">
        <v>1.1090500000000001</v>
      </c>
      <c r="L4433">
        <v>98.618070000000003</v>
      </c>
      <c r="M4433">
        <v>-5.0501600000000001E-2</v>
      </c>
      <c r="N4433">
        <v>0</v>
      </c>
      <c r="O4433">
        <v>-0.99862300000000004</v>
      </c>
      <c r="P4433">
        <v>0.10918410000000001</v>
      </c>
      <c r="Q4433">
        <v>6.8786330000000007E-2</v>
      </c>
      <c r="R4433">
        <v>-0.99163880000000004</v>
      </c>
      <c r="S4433">
        <v>1.1448969999999901</v>
      </c>
      <c r="T4433">
        <v>-0.40920099999999998</v>
      </c>
      <c r="U4433">
        <v>-2.9284059999999998</v>
      </c>
      <c r="V4433">
        <v>-0.15887479999999901</v>
      </c>
      <c r="W4433">
        <v>8.3267300000000002E-2</v>
      </c>
      <c r="X4433">
        <v>0.98378120000000002</v>
      </c>
      <c r="Y4433">
        <v>-0.40770489999999998</v>
      </c>
      <c r="Z4433">
        <v>0.12749530000000001</v>
      </c>
      <c r="AA4433">
        <v>0.904169</v>
      </c>
      <c r="AB4433">
        <v>29</v>
      </c>
      <c r="AC4433">
        <v>0.40090000000003501</v>
      </c>
      <c r="AD4433">
        <v>-0.13809469999999999</v>
      </c>
      <c r="AE4433">
        <v>-0.716679999999982</v>
      </c>
      <c r="AF4433">
        <v>-0.424578707179676</v>
      </c>
      <c r="AG4433">
        <v>-0.13809469999999999</v>
      </c>
      <c r="AH4433">
        <v>0.67638939442461998</v>
      </c>
      <c r="AI4433">
        <v>99.810567460786103</v>
      </c>
      <c r="AJ4433">
        <v>122.117044193604</v>
      </c>
      <c r="AK4433">
        <v>0.81045656123481402</v>
      </c>
      <c r="AL4433">
        <v>85.223605006247496</v>
      </c>
      <c r="AM4433">
        <v>99.173722856303101</v>
      </c>
      <c r="AN4433">
        <v>1.0000000473988799</v>
      </c>
    </row>
    <row r="4434" spans="1:40" x14ac:dyDescent="0.25">
      <c r="A4434" t="str">
        <f>"20190312151403651"</f>
        <v>20190312151403651</v>
      </c>
      <c r="B4434" t="str">
        <f>"1552374843644551"</f>
        <v>1552374843644551</v>
      </c>
      <c r="C4434" t="s">
        <v>40</v>
      </c>
      <c r="D4434">
        <v>4.2608430000000004</v>
      </c>
      <c r="E4434">
        <v>0.40014460000000002</v>
      </c>
      <c r="F4434" t="s">
        <v>41</v>
      </c>
      <c r="G4434">
        <v>-421.8741</v>
      </c>
      <c r="H4434">
        <v>0.97135519999999997</v>
      </c>
      <c r="I4434">
        <v>97.639949999999999</v>
      </c>
      <c r="J4434">
        <v>-422.27260000000001</v>
      </c>
      <c r="K4434">
        <v>1.1090679999999999</v>
      </c>
      <c r="L4434">
        <v>98.320949999999996</v>
      </c>
      <c r="M4434">
        <v>-5.207523E-2</v>
      </c>
      <c r="N4434">
        <v>0</v>
      </c>
      <c r="O4434">
        <v>-0.99854200000000004</v>
      </c>
      <c r="P4434">
        <v>0.1091283</v>
      </c>
      <c r="Q4434">
        <v>6.9104399999999996E-2</v>
      </c>
      <c r="R4434">
        <v>-0.99162269999999997</v>
      </c>
      <c r="S4434">
        <v>1.142792</v>
      </c>
      <c r="T4434">
        <v>-0.41220859999999898</v>
      </c>
      <c r="U4434">
        <v>-2.92807</v>
      </c>
      <c r="V4434">
        <v>-0.16037309999999999</v>
      </c>
      <c r="W4434">
        <v>8.3575709999999998E-2</v>
      </c>
      <c r="X4434">
        <v>0.98351189999999999</v>
      </c>
      <c r="Y4434">
        <v>-0.40856880000000001</v>
      </c>
      <c r="Z4434">
        <v>0.12840219999999999</v>
      </c>
      <c r="AA4434">
        <v>0.90365059999999997</v>
      </c>
      <c r="AB4434">
        <v>29</v>
      </c>
      <c r="AC4434">
        <v>0.39850000000001201</v>
      </c>
      <c r="AD4434">
        <v>-0.137712799999999</v>
      </c>
      <c r="AE4434">
        <v>-0.68099999999999705</v>
      </c>
      <c r="AF4434">
        <v>-0.420613092196574</v>
      </c>
      <c r="AG4434">
        <v>-0.137712799999999</v>
      </c>
      <c r="AH4434">
        <v>0.63983090179109503</v>
      </c>
      <c r="AI4434">
        <v>100.195747821791</v>
      </c>
      <c r="AJ4434">
        <v>123.32018510335899</v>
      </c>
      <c r="AK4434">
        <v>0.77798699956863604</v>
      </c>
      <c r="AL4434">
        <v>85.205872590285793</v>
      </c>
      <c r="AM4434">
        <v>99.2612372518022</v>
      </c>
      <c r="AN4434">
        <v>1.0000000439736101</v>
      </c>
    </row>
    <row r="4435" spans="1:40" x14ac:dyDescent="0.25">
      <c r="A4435" t="str">
        <f>"20190312151403673"</f>
        <v>20190312151403673</v>
      </c>
      <c r="B4435" t="str">
        <f>"1552374843665047"</f>
        <v>1552374843665047</v>
      </c>
      <c r="C4435" t="s">
        <v>40</v>
      </c>
      <c r="D4435">
        <v>4.4127729999999996</v>
      </c>
      <c r="E4435">
        <v>0.4005879</v>
      </c>
      <c r="F4435" t="s">
        <v>41</v>
      </c>
      <c r="G4435">
        <v>-421.90019999999998</v>
      </c>
      <c r="H4435">
        <v>0.97437620000000003</v>
      </c>
      <c r="I4435">
        <v>97.364220000000003</v>
      </c>
      <c r="J4435">
        <v>-422.28980000000001</v>
      </c>
      <c r="K4435">
        <v>1.1090869999999999</v>
      </c>
      <c r="L4435">
        <v>98.024379999999994</v>
      </c>
      <c r="M4435">
        <v>-5.3623610000000002E-2</v>
      </c>
      <c r="N4435">
        <v>0</v>
      </c>
      <c r="O4435">
        <v>-0.99846029999999997</v>
      </c>
      <c r="P4435">
        <v>0.10796740000000001</v>
      </c>
      <c r="Q4435">
        <v>6.8712709999999996E-2</v>
      </c>
      <c r="R4435">
        <v>-0.99177729999999997</v>
      </c>
      <c r="S4435">
        <v>1.1406860000000001</v>
      </c>
      <c r="T4435">
        <v>-0.41227920000000001</v>
      </c>
      <c r="U4435">
        <v>-2.928528</v>
      </c>
      <c r="V4435">
        <v>-0.1607537</v>
      </c>
      <c r="W4435">
        <v>8.3173220000000006E-2</v>
      </c>
      <c r="X4435">
        <v>0.98348389999999997</v>
      </c>
      <c r="Y4435">
        <v>-0.40937020000000002</v>
      </c>
      <c r="Z4435">
        <v>0.12838039999999901</v>
      </c>
      <c r="AA4435">
        <v>0.90329090000000001</v>
      </c>
      <c r="AB4435">
        <v>29</v>
      </c>
      <c r="AC4435">
        <v>0.38960000000002898</v>
      </c>
      <c r="AD4435">
        <v>-0.13471079999999999</v>
      </c>
      <c r="AE4435">
        <v>-0.66016000000001895</v>
      </c>
      <c r="AF4435">
        <v>-0.41172756800157001</v>
      </c>
      <c r="AG4435">
        <v>-0.13471079999999999</v>
      </c>
      <c r="AH4435">
        <v>0.61919339246469396</v>
      </c>
      <c r="AI4435">
        <v>100.2685447197</v>
      </c>
      <c r="AJ4435">
        <v>123.62159389346699</v>
      </c>
      <c r="AK4435">
        <v>0.75568978235851703</v>
      </c>
      <c r="AL4435">
        <v>85.229014212139802</v>
      </c>
      <c r="AM4435">
        <v>99.283093686708</v>
      </c>
      <c r="AN4435">
        <v>1.0000000590740299</v>
      </c>
    </row>
    <row r="4436" spans="1:40" x14ac:dyDescent="0.25">
      <c r="A4436" t="str">
        <f>"20190312151403695"</f>
        <v>20190312151403695</v>
      </c>
      <c r="B4436" t="str">
        <f>"1552374843684567"</f>
        <v>1552374843684567</v>
      </c>
      <c r="C4436" t="s">
        <v>40</v>
      </c>
      <c r="D4436">
        <v>4.8754569999999999</v>
      </c>
      <c r="E4436">
        <v>0.45411240000000003</v>
      </c>
      <c r="F4436" t="s">
        <v>41</v>
      </c>
      <c r="G4436">
        <v>-421.90480000000002</v>
      </c>
      <c r="H4436">
        <v>0.96869019999999995</v>
      </c>
      <c r="I4436">
        <v>97.029079999999993</v>
      </c>
      <c r="J4436">
        <v>-422.30680000000001</v>
      </c>
      <c r="K4436">
        <v>1.109108</v>
      </c>
      <c r="L4436">
        <v>97.739170000000001</v>
      </c>
      <c r="M4436">
        <v>-5.5081579999999998E-2</v>
      </c>
      <c r="N4436">
        <v>0</v>
      </c>
      <c r="O4436">
        <v>-0.99838110000000002</v>
      </c>
      <c r="P4436">
        <v>0.10672479999999999</v>
      </c>
      <c r="Q4436">
        <v>6.8186460000000004E-2</v>
      </c>
      <c r="R4436">
        <v>-0.9919481</v>
      </c>
      <c r="S4436">
        <v>1.13385</v>
      </c>
      <c r="T4436">
        <v>-0.41331909999999999</v>
      </c>
      <c r="U4436">
        <v>-2.9300839999999999</v>
      </c>
      <c r="V4436">
        <v>-0.16096629999999901</v>
      </c>
      <c r="W4436">
        <v>8.2635780000000006E-2</v>
      </c>
      <c r="X4436">
        <v>0.98349439999999999</v>
      </c>
      <c r="Y4436">
        <v>-0.40869109999999997</v>
      </c>
      <c r="Z4436">
        <v>0.12869159999999999</v>
      </c>
      <c r="AA4436">
        <v>0.90355410000000003</v>
      </c>
      <c r="AB4436">
        <v>29</v>
      </c>
      <c r="AC4436">
        <v>0.40199999999998598</v>
      </c>
      <c r="AD4436">
        <v>-0.14041779999999901</v>
      </c>
      <c r="AE4436">
        <v>-0.710089999999993</v>
      </c>
      <c r="AF4436">
        <v>-0.42783693926882799</v>
      </c>
      <c r="AG4436">
        <v>-0.14041779999999901</v>
      </c>
      <c r="AH4436">
        <v>0.66711168270996901</v>
      </c>
      <c r="AI4436">
        <v>100.047374246654</v>
      </c>
      <c r="AJ4436">
        <v>122.673161411557</v>
      </c>
      <c r="AK4436">
        <v>0.80485998929496105</v>
      </c>
      <c r="AL4436">
        <v>85.259913479809299</v>
      </c>
      <c r="AM4436">
        <v>99.295059115287302</v>
      </c>
      <c r="AN4436">
        <v>1.0000000283516199</v>
      </c>
    </row>
    <row r="4437" spans="1:40" x14ac:dyDescent="0.25">
      <c r="A4437" t="str">
        <f>"20190312151403718"</f>
        <v>20190312151403718</v>
      </c>
      <c r="B4437" t="str">
        <f>"1552374843714823"</f>
        <v>1552374843714823</v>
      </c>
      <c r="C4437" t="s">
        <v>40</v>
      </c>
      <c r="D4437">
        <v>4.4375210000000003</v>
      </c>
      <c r="E4437">
        <v>0.46465339999999999</v>
      </c>
      <c r="F4437" t="s">
        <v>42</v>
      </c>
      <c r="G4437">
        <v>-418.86020000000002</v>
      </c>
      <c r="H4437" s="1">
        <v>-1.693847E-6</v>
      </c>
      <c r="I4437">
        <v>83.109859999999998</v>
      </c>
      <c r="J4437">
        <v>-422.32479999999998</v>
      </c>
      <c r="K4437">
        <v>1.1091409999999999</v>
      </c>
      <c r="L4437">
        <v>97.4422</v>
      </c>
      <c r="M4437">
        <v>-5.6557589999999998E-2</v>
      </c>
      <c r="N4437">
        <v>0</v>
      </c>
      <c r="O4437">
        <v>-0.99829840000000003</v>
      </c>
      <c r="P4437">
        <v>0.1049664</v>
      </c>
      <c r="Q4437">
        <v>6.8546430000000005E-2</v>
      </c>
      <c r="R4437">
        <v>-0.99211079999999996</v>
      </c>
      <c r="S4437">
        <v>0.69845579999999996</v>
      </c>
      <c r="T4437">
        <v>-0.22476109999999999</v>
      </c>
      <c r="U4437">
        <v>-2.9646300000000001</v>
      </c>
      <c r="V4437">
        <v>-0.1606803</v>
      </c>
      <c r="W4437">
        <v>8.2979349999999993E-2</v>
      </c>
      <c r="X4437">
        <v>0.98351219999999995</v>
      </c>
      <c r="Y4437">
        <v>-0.28339309999999901</v>
      </c>
      <c r="Z4437">
        <v>7.2873259999999995E-2</v>
      </c>
      <c r="AA4437">
        <v>0.9562311</v>
      </c>
      <c r="AB4437">
        <v>29</v>
      </c>
      <c r="AC4437">
        <v>3.4645999999999599</v>
      </c>
      <c r="AD4437">
        <v>-1.1091426938469999</v>
      </c>
      <c r="AE4437">
        <v>-14.33234</v>
      </c>
      <c r="AF4437">
        <v>-4.2457145337727296</v>
      </c>
      <c r="AG4437">
        <v>-1.1091426938469999</v>
      </c>
      <c r="AH4437">
        <v>14.034018016778401</v>
      </c>
      <c r="AI4437">
        <v>94.325984124321806</v>
      </c>
      <c r="AJ4437">
        <v>106.832152199173</v>
      </c>
      <c r="AK4437">
        <v>14.7040794037867</v>
      </c>
      <c r="AL4437">
        <v>85.240160343266098</v>
      </c>
      <c r="AM4437">
        <v>99.278666422381804</v>
      </c>
      <c r="AN4437">
        <v>0.99999998944167601</v>
      </c>
    </row>
    <row r="4438" spans="1:40" x14ac:dyDescent="0.25">
      <c r="A4438" t="str">
        <f>"20190312151403742"</f>
        <v>20190312151403742</v>
      </c>
      <c r="B4438" t="str">
        <f>"1552374843735319"</f>
        <v>1552374843735319</v>
      </c>
      <c r="C4438" t="s">
        <v>40</v>
      </c>
      <c r="D4438">
        <v>4.4495690000000003</v>
      </c>
      <c r="E4438">
        <v>0.46792299999999998</v>
      </c>
      <c r="F4438" t="s">
        <v>42</v>
      </c>
      <c r="G4438">
        <v>-418.5949</v>
      </c>
      <c r="H4438" s="1">
        <v>-4.3607459999999996E-6</v>
      </c>
      <c r="I4438">
        <v>79.216809999999995</v>
      </c>
      <c r="J4438">
        <v>-422.34379999999999</v>
      </c>
      <c r="K4438">
        <v>1.109191</v>
      </c>
      <c r="L4438">
        <v>97.136080000000007</v>
      </c>
      <c r="M4438">
        <v>-5.8026229999999998E-2</v>
      </c>
      <c r="N4438">
        <v>0</v>
      </c>
      <c r="O4438">
        <v>-0.99821420000000005</v>
      </c>
      <c r="P4438">
        <v>0.1027614</v>
      </c>
      <c r="Q4438">
        <v>6.8442100000000006E-2</v>
      </c>
      <c r="R4438">
        <v>-0.99234880000000003</v>
      </c>
      <c r="S4438">
        <v>0.60821530000000001</v>
      </c>
      <c r="T4438">
        <v>-0.18086659999999999</v>
      </c>
      <c r="U4438">
        <v>-2.9719850000000001</v>
      </c>
      <c r="V4438">
        <v>-0.159949799999999</v>
      </c>
      <c r="W4438">
        <v>8.2854380000000005E-2</v>
      </c>
      <c r="X4438">
        <v>0.98364180000000001</v>
      </c>
      <c r="Y4438">
        <v>-0.25665890000000002</v>
      </c>
      <c r="Z4438">
        <v>5.8964469999999998E-2</v>
      </c>
      <c r="AA4438">
        <v>0.9647017</v>
      </c>
      <c r="AB4438">
        <v>29</v>
      </c>
      <c r="AC4438">
        <v>3.7488999999999901</v>
      </c>
      <c r="AD4438">
        <v>-1.1091953607459999</v>
      </c>
      <c r="AE4438">
        <v>-17.919270000000001</v>
      </c>
      <c r="AF4438">
        <v>-4.76498272419202</v>
      </c>
      <c r="AG4438">
        <v>-1.1091953607459999</v>
      </c>
      <c r="AH4438">
        <v>17.6068816803914</v>
      </c>
      <c r="AI4438">
        <v>93.479885991334797</v>
      </c>
      <c r="AJ4438">
        <v>105.143311542585</v>
      </c>
      <c r="AK4438">
        <v>18.273961180254599</v>
      </c>
      <c r="AL4438">
        <v>85.247345335410699</v>
      </c>
      <c r="AM4438">
        <v>99.236015569873004</v>
      </c>
      <c r="AN4438">
        <v>0.99999998875623197</v>
      </c>
    </row>
    <row r="4439" spans="1:40" x14ac:dyDescent="0.25">
      <c r="A4439" t="str">
        <f>"20190312151403766"</f>
        <v>20190312151403766</v>
      </c>
      <c r="B4439" t="str">
        <f>"1552374843754839"</f>
        <v>1552374843754839</v>
      </c>
      <c r="C4439" t="s">
        <v>40</v>
      </c>
      <c r="D4439">
        <v>4.7017629999999997</v>
      </c>
      <c r="E4439">
        <v>0.46948719999999999</v>
      </c>
      <c r="F4439" t="s">
        <v>42</v>
      </c>
      <c r="G4439">
        <v>-418.9008</v>
      </c>
      <c r="H4439" s="1">
        <v>-4.3633159999999998E-6</v>
      </c>
      <c r="I4439">
        <v>79.349289999999996</v>
      </c>
      <c r="J4439">
        <v>-422.36309999999997</v>
      </c>
      <c r="K4439">
        <v>1.10924</v>
      </c>
      <c r="L4439">
        <v>96.830929999999995</v>
      </c>
      <c r="M4439">
        <v>-5.9424600000000001E-2</v>
      </c>
      <c r="N4439">
        <v>0</v>
      </c>
      <c r="O4439">
        <v>-0.99813209999999997</v>
      </c>
      <c r="P4439">
        <v>0.1006002</v>
      </c>
      <c r="Q4439">
        <v>6.9130200000000003E-2</v>
      </c>
      <c r="R4439">
        <v>-0.99252249999999997</v>
      </c>
      <c r="S4439">
        <v>0.57611080000000003</v>
      </c>
      <c r="T4439">
        <v>-0.18560309999999999</v>
      </c>
      <c r="U4439">
        <v>-2.9762879999999998</v>
      </c>
      <c r="V4439">
        <v>-0.15919049999999901</v>
      </c>
      <c r="W4439">
        <v>8.3517750000000002E-2</v>
      </c>
      <c r="X4439">
        <v>0.9837089</v>
      </c>
      <c r="Y4439">
        <v>-0.24770010000000001</v>
      </c>
      <c r="Z4439">
        <v>6.0544599999999997E-2</v>
      </c>
      <c r="AA4439">
        <v>0.96694310000000006</v>
      </c>
      <c r="AB4439">
        <v>29</v>
      </c>
      <c r="AC4439">
        <v>3.4622999999999702</v>
      </c>
      <c r="AD4439">
        <v>-1.1092443633159901</v>
      </c>
      <c r="AE4439">
        <v>-17.481639999999999</v>
      </c>
      <c r="AF4439">
        <v>-4.4777763417167096</v>
      </c>
      <c r="AG4439">
        <v>-1.1092443633159901</v>
      </c>
      <c r="AH4439">
        <v>17.178421302486701</v>
      </c>
      <c r="AI4439">
        <v>93.575426862478693</v>
      </c>
      <c r="AJ4439">
        <v>104.609784445694</v>
      </c>
      <c r="AK4439">
        <v>17.787047604077301</v>
      </c>
      <c r="AL4439">
        <v>85.209204964829993</v>
      </c>
      <c r="AM4439">
        <v>99.192305126581502</v>
      </c>
      <c r="AN4439">
        <v>1.0000000148972601</v>
      </c>
    </row>
    <row r="4440" spans="1:40" x14ac:dyDescent="0.25">
      <c r="A4440" t="str">
        <f>"20190312151403785"</f>
        <v>20190312151403785</v>
      </c>
      <c r="B4440" t="str">
        <f>"1552374843775335"</f>
        <v>1552374843775335</v>
      </c>
      <c r="C4440" t="s">
        <v>40</v>
      </c>
      <c r="D4440">
        <v>4.8993869999999999</v>
      </c>
      <c r="E4440">
        <v>0.47039969999999998</v>
      </c>
      <c r="F4440" t="s">
        <v>42</v>
      </c>
      <c r="G4440">
        <v>-418.84539999999998</v>
      </c>
      <c r="H4440" s="1">
        <v>-3.805651E-6</v>
      </c>
      <c r="I4440">
        <v>78.026409999999998</v>
      </c>
      <c r="J4440">
        <v>-422.37889999999999</v>
      </c>
      <c r="K4440">
        <v>1.1092799999999901</v>
      </c>
      <c r="L4440">
        <v>96.584469999999996</v>
      </c>
      <c r="M4440">
        <v>-6.0494249999999999E-2</v>
      </c>
      <c r="N4440">
        <v>0</v>
      </c>
      <c r="O4440">
        <v>-0.99806760000000005</v>
      </c>
      <c r="P4440">
        <v>9.9101980000000006E-2</v>
      </c>
      <c r="Q4440">
        <v>6.9493509999999994E-2</v>
      </c>
      <c r="R4440">
        <v>-0.99264770000000002</v>
      </c>
      <c r="S4440">
        <v>0.55715939999999997</v>
      </c>
      <c r="T4440">
        <v>-0.17568800000000001</v>
      </c>
      <c r="U4440">
        <v>-2.9783629999999999</v>
      </c>
      <c r="V4440">
        <v>-0.15876609999999999</v>
      </c>
      <c r="W4440">
        <v>8.3859379999999997E-2</v>
      </c>
      <c r="X4440">
        <v>0.98374839999999997</v>
      </c>
      <c r="Y4440">
        <v>-0.24270649999999999</v>
      </c>
      <c r="Z4440">
        <v>5.7347420000000003E-2</v>
      </c>
      <c r="AA4440">
        <v>0.96840320000000002</v>
      </c>
      <c r="AB4440">
        <v>29</v>
      </c>
      <c r="AC4440">
        <v>3.5335000000000001</v>
      </c>
      <c r="AD4440">
        <v>-1.1092838056509999</v>
      </c>
      <c r="AE4440">
        <v>-18.558060000000001</v>
      </c>
      <c r="AF4440">
        <v>-4.6338193685604896</v>
      </c>
      <c r="AG4440">
        <v>-1.1092838056509999</v>
      </c>
      <c r="AH4440">
        <v>18.247371863128699</v>
      </c>
      <c r="AI4440">
        <v>93.372040723527903</v>
      </c>
      <c r="AJ4440">
        <v>104.248753105151</v>
      </c>
      <c r="AK4440">
        <v>18.859198615350198</v>
      </c>
      <c r="AL4440">
        <v>85.189561990995799</v>
      </c>
      <c r="AM4440">
        <v>99.167853404555103</v>
      </c>
      <c r="AN4440">
        <v>0.99999999231287695</v>
      </c>
    </row>
    <row r="4441" spans="1:40" x14ac:dyDescent="0.25">
      <c r="A4441" t="str">
        <f>"20190312151403808"</f>
        <v>20190312151403808</v>
      </c>
      <c r="B4441" t="str">
        <f>"1552374843804614"</f>
        <v>1552374843804614</v>
      </c>
      <c r="C4441" t="s">
        <v>40</v>
      </c>
      <c r="D4441">
        <v>4.5368529999999998</v>
      </c>
      <c r="E4441">
        <v>0.4712848</v>
      </c>
      <c r="F4441" t="s">
        <v>42</v>
      </c>
      <c r="G4441">
        <v>-418.8245</v>
      </c>
      <c r="H4441" s="1">
        <v>-3.4363980000000002E-6</v>
      </c>
      <c r="I4441">
        <v>77.157049999999998</v>
      </c>
      <c r="J4441">
        <v>-422.39800000000002</v>
      </c>
      <c r="K4441">
        <v>1.1093420000000001</v>
      </c>
      <c r="L4441">
        <v>96.293520000000001</v>
      </c>
      <c r="M4441">
        <v>-6.169695E-2</v>
      </c>
      <c r="N4441">
        <v>0</v>
      </c>
      <c r="O4441">
        <v>-0.99799439999999995</v>
      </c>
      <c r="P4441">
        <v>9.7395209999999996E-2</v>
      </c>
      <c r="Q4441">
        <v>6.947325E-2</v>
      </c>
      <c r="R4441">
        <v>-0.99281830000000004</v>
      </c>
      <c r="S4441">
        <v>0.54516600000000004</v>
      </c>
      <c r="T4441">
        <v>-0.17013780000000001</v>
      </c>
      <c r="U4441">
        <v>-2.9797060000000002</v>
      </c>
      <c r="V4441">
        <v>-0.15827089999999999</v>
      </c>
      <c r="W4441">
        <v>8.3813760000000001E-2</v>
      </c>
      <c r="X4441">
        <v>0.98383209999999999</v>
      </c>
      <c r="Y4441">
        <v>-0.24004510000000001</v>
      </c>
      <c r="Z4441">
        <v>5.5549649999999999E-2</v>
      </c>
      <c r="AA4441">
        <v>0.969171</v>
      </c>
      <c r="AB4441">
        <v>29</v>
      </c>
      <c r="AC4441">
        <v>3.5735000000000201</v>
      </c>
      <c r="AD4441">
        <v>-1.109345436398</v>
      </c>
      <c r="AE4441">
        <v>-19.136469999999999</v>
      </c>
      <c r="AF4441">
        <v>-4.7321045579358101</v>
      </c>
      <c r="AG4441">
        <v>-1.109345436398</v>
      </c>
      <c r="AH4441">
        <v>18.8184009774976</v>
      </c>
      <c r="AI4441">
        <v>93.272050687632799</v>
      </c>
      <c r="AJ4441">
        <v>104.115031850523</v>
      </c>
      <c r="AK4441">
        <v>19.435937749292599</v>
      </c>
      <c r="AL4441">
        <v>85.192185156569394</v>
      </c>
      <c r="AM4441">
        <v>99.138977292479495</v>
      </c>
      <c r="AN4441">
        <v>1.00000001257127</v>
      </c>
    </row>
    <row r="4442" spans="1:40" x14ac:dyDescent="0.25">
      <c r="A4442" t="str">
        <f>"20190312151403830"</f>
        <v>20190312151403830</v>
      </c>
      <c r="B4442" t="str">
        <f>"1552374843825111"</f>
        <v>1552374843825111</v>
      </c>
      <c r="C4442" t="s">
        <v>40</v>
      </c>
      <c r="D4442">
        <v>4.8074760000000003</v>
      </c>
      <c r="E4442">
        <v>0.47148430000000002</v>
      </c>
      <c r="F4442" t="s">
        <v>42</v>
      </c>
      <c r="G4442">
        <v>-418.8347</v>
      </c>
      <c r="H4442" s="1">
        <v>-3.1007659999999999E-6</v>
      </c>
      <c r="I4442">
        <v>76.378879999999995</v>
      </c>
      <c r="J4442">
        <v>-422.4178</v>
      </c>
      <c r="K4442">
        <v>1.1094029999999999</v>
      </c>
      <c r="L4442">
        <v>95.993899999999996</v>
      </c>
      <c r="M4442">
        <v>-6.2845499999999999E-2</v>
      </c>
      <c r="N4442">
        <v>0</v>
      </c>
      <c r="O4442">
        <v>-0.99792270000000005</v>
      </c>
      <c r="P4442">
        <v>9.5490179999999994E-2</v>
      </c>
      <c r="Q4442">
        <v>6.9231379999999995E-2</v>
      </c>
      <c r="R4442">
        <v>-0.99301989999999996</v>
      </c>
      <c r="S4442">
        <v>0.53338619999999903</v>
      </c>
      <c r="T4442">
        <v>-0.16605590000000001</v>
      </c>
      <c r="U4442">
        <v>-2.980988</v>
      </c>
      <c r="V4442">
        <v>-0.15752940000000001</v>
      </c>
      <c r="W4442">
        <v>8.3543859999999998E-2</v>
      </c>
      <c r="X4442">
        <v>0.98397400000000002</v>
      </c>
      <c r="Y4442">
        <v>-0.23739199999999999</v>
      </c>
      <c r="Z4442">
        <v>5.4229100000000002E-2</v>
      </c>
      <c r="AA4442">
        <v>0.96989910000000001</v>
      </c>
      <c r="AB4442">
        <v>29</v>
      </c>
      <c r="AC4442">
        <v>3.5831</v>
      </c>
      <c r="AD4442">
        <v>-1.1094061007660001</v>
      </c>
      <c r="AE4442">
        <v>-19.615019999999902</v>
      </c>
      <c r="AF4442">
        <v>-4.79401475710032</v>
      </c>
      <c r="AG4442">
        <v>-1.1094061007660001</v>
      </c>
      <c r="AH4442">
        <v>19.2913155861782</v>
      </c>
      <c r="AI4442">
        <v>93.1943962356589</v>
      </c>
      <c r="AJ4442">
        <v>103.955670405276</v>
      </c>
      <c r="AK4442">
        <v>19.9089983784528</v>
      </c>
      <c r="AL4442">
        <v>85.2077034644158</v>
      </c>
      <c r="AM4442">
        <v>99.0955887581556</v>
      </c>
      <c r="AN4442">
        <v>0.999999960542029</v>
      </c>
    </row>
    <row r="4443" spans="1:40" x14ac:dyDescent="0.25">
      <c r="A4443" t="str">
        <f>"20190312151403853"</f>
        <v>20190312151403853</v>
      </c>
      <c r="B4443" t="str">
        <f>"1552374843844631"</f>
        <v>1552374843844631</v>
      </c>
      <c r="C4443" t="s">
        <v>40</v>
      </c>
      <c r="D4443">
        <v>4.5507749999999998</v>
      </c>
      <c r="E4443">
        <v>0.47164529999999899</v>
      </c>
      <c r="F4443" t="s">
        <v>42</v>
      </c>
      <c r="G4443">
        <v>-418.92070000000001</v>
      </c>
      <c r="H4443" s="1">
        <v>-2.9930629999999998E-6</v>
      </c>
      <c r="I4443">
        <v>76.163390000000007</v>
      </c>
      <c r="J4443">
        <v>-422.43720000000002</v>
      </c>
      <c r="K4443">
        <v>1.10947</v>
      </c>
      <c r="L4443">
        <v>95.705960000000005</v>
      </c>
      <c r="M4443">
        <v>-6.387197E-2</v>
      </c>
      <c r="N4443">
        <v>0</v>
      </c>
      <c r="O4443">
        <v>-0.99785760000000001</v>
      </c>
      <c r="P4443">
        <v>9.4440239999999995E-2</v>
      </c>
      <c r="Q4443">
        <v>6.9007460000000007E-2</v>
      </c>
      <c r="R4443">
        <v>-0.99313620000000002</v>
      </c>
      <c r="S4443">
        <v>0.52590939999999997</v>
      </c>
      <c r="T4443">
        <v>-0.1668345</v>
      </c>
      <c r="U4443">
        <v>-2.9821469999999999</v>
      </c>
      <c r="V4443">
        <v>-0.15751490000000001</v>
      </c>
      <c r="W4443">
        <v>8.329251E-2</v>
      </c>
      <c r="X4443">
        <v>0.98399760000000003</v>
      </c>
      <c r="Y4443">
        <v>-0.2359658</v>
      </c>
      <c r="Z4443">
        <v>5.44778E-2</v>
      </c>
      <c r="AA4443">
        <v>0.97023309999999996</v>
      </c>
      <c r="AB4443">
        <v>29</v>
      </c>
      <c r="AC4443">
        <v>3.5165000000000002</v>
      </c>
      <c r="AD4443">
        <v>-1.1094729930630001</v>
      </c>
      <c r="AE4443">
        <v>-19.542570000000001</v>
      </c>
      <c r="AF4443">
        <v>-4.7428587245196203</v>
      </c>
      <c r="AG4443">
        <v>-1.1094729930630001</v>
      </c>
      <c r="AH4443">
        <v>19.2180312720097</v>
      </c>
      <c r="AI4443">
        <v>93.208025298778793</v>
      </c>
      <c r="AJ4443">
        <v>103.863127113375</v>
      </c>
      <c r="AK4443">
        <v>19.825699613759699</v>
      </c>
      <c r="AL4443">
        <v>85.222154988934804</v>
      </c>
      <c r="AM4443">
        <v>99.094551054319396</v>
      </c>
      <c r="AN4443">
        <v>0.99999993137493204</v>
      </c>
    </row>
    <row r="4444" spans="1:40" x14ac:dyDescent="0.25">
      <c r="A4444" t="str">
        <f>"20190312151403875"</f>
        <v>20190312151403875</v>
      </c>
      <c r="B4444" t="str">
        <f>"1552374843865127"</f>
        <v>1552374843865127</v>
      </c>
      <c r="C4444" t="s">
        <v>40</v>
      </c>
      <c r="D4444">
        <v>4.556953</v>
      </c>
      <c r="E4444">
        <v>0.47164309999999998</v>
      </c>
      <c r="F4444" t="s">
        <v>42</v>
      </c>
      <c r="G4444">
        <v>-418.94420000000002</v>
      </c>
      <c r="H4444" s="1">
        <v>-2.8015499999999999E-6</v>
      </c>
      <c r="I4444">
        <v>75.726709999999997</v>
      </c>
      <c r="J4444">
        <v>-422.4563</v>
      </c>
      <c r="K4444">
        <v>1.109537</v>
      </c>
      <c r="L4444">
        <v>95.424189999999996</v>
      </c>
      <c r="M4444">
        <v>-6.4794439999999995E-2</v>
      </c>
      <c r="N4444">
        <v>0</v>
      </c>
      <c r="O4444">
        <v>-0.99779819999999997</v>
      </c>
      <c r="P4444">
        <v>9.2856030000000006E-2</v>
      </c>
      <c r="Q4444">
        <v>6.962293E-2</v>
      </c>
      <c r="R4444">
        <v>-0.99324259999999998</v>
      </c>
      <c r="S4444">
        <v>0.52145390000000003</v>
      </c>
      <c r="T4444">
        <v>-0.16562939999999901</v>
      </c>
      <c r="U4444">
        <v>-2.9826350000000001</v>
      </c>
      <c r="V4444">
        <v>-0.1568629</v>
      </c>
      <c r="W4444">
        <v>8.3879339999999997E-2</v>
      </c>
      <c r="X4444">
        <v>0.98405200000000004</v>
      </c>
      <c r="Y4444">
        <v>-0.23543459999999999</v>
      </c>
      <c r="Z4444">
        <v>5.4082329999999998E-2</v>
      </c>
      <c r="AA4444">
        <v>0.97038429999999998</v>
      </c>
      <c r="AB4444">
        <v>29</v>
      </c>
      <c r="AC4444">
        <v>3.51209999999997</v>
      </c>
      <c r="AD4444">
        <v>-1.10953980155</v>
      </c>
      <c r="AE4444">
        <v>-19.697479999999999</v>
      </c>
      <c r="AF4444">
        <v>-4.7664755811114201</v>
      </c>
      <c r="AG4444">
        <v>-1.10953980155</v>
      </c>
      <c r="AH4444">
        <v>19.3689294793767</v>
      </c>
      <c r="AI4444">
        <v>93.183794465122105</v>
      </c>
      <c r="AJ4444">
        <v>103.82513408784401</v>
      </c>
      <c r="AK4444">
        <v>19.9776324226277</v>
      </c>
      <c r="AL4444">
        <v>85.188414485657205</v>
      </c>
      <c r="AM4444">
        <v>99.057038958821906</v>
      </c>
      <c r="AN4444">
        <v>1.00000002588962</v>
      </c>
    </row>
    <row r="4445" spans="1:40" x14ac:dyDescent="0.25">
      <c r="A4445" t="str">
        <f>"20190312151403897"</f>
        <v>20190312151403897</v>
      </c>
      <c r="B4445" t="str">
        <f>"1552374843884647"</f>
        <v>1552374843884647</v>
      </c>
      <c r="C4445" t="s">
        <v>40</v>
      </c>
      <c r="D4445">
        <v>4.7356089999999904</v>
      </c>
      <c r="E4445">
        <v>0.47211389999999998</v>
      </c>
      <c r="F4445" t="s">
        <v>42</v>
      </c>
      <c r="G4445">
        <v>-418.9117</v>
      </c>
      <c r="H4445" s="1">
        <v>-2.471877E-6</v>
      </c>
      <c r="I4445">
        <v>74.944769999999906</v>
      </c>
      <c r="J4445">
        <v>-422.47559999999999</v>
      </c>
      <c r="K4445">
        <v>1.109612</v>
      </c>
      <c r="L4445">
        <v>95.142430000000004</v>
      </c>
      <c r="M4445">
        <v>-6.5621410000000005E-2</v>
      </c>
      <c r="N4445">
        <v>0</v>
      </c>
      <c r="O4445">
        <v>-0.99774410000000002</v>
      </c>
      <c r="P4445">
        <v>9.0629440000000006E-2</v>
      </c>
      <c r="Q4445">
        <v>6.9834190000000004E-2</v>
      </c>
      <c r="R4445">
        <v>-0.99343340000000002</v>
      </c>
      <c r="S4445">
        <v>0.51638790000000001</v>
      </c>
      <c r="T4445">
        <v>-0.16163859999999999</v>
      </c>
      <c r="U4445">
        <v>-2.9834589999999999</v>
      </c>
      <c r="V4445">
        <v>-0.1554846</v>
      </c>
      <c r="W4445">
        <v>8.4059419999999996E-2</v>
      </c>
      <c r="X4445">
        <v>0.98425530000000006</v>
      </c>
      <c r="Y4445">
        <v>-0.23460719999999999</v>
      </c>
      <c r="Z4445">
        <v>5.2777339999999999E-2</v>
      </c>
      <c r="AA4445">
        <v>0.97065650000000003</v>
      </c>
      <c r="AB4445">
        <v>29</v>
      </c>
      <c r="AC4445">
        <v>3.5638999999999799</v>
      </c>
      <c r="AD4445">
        <v>-1.109614471877</v>
      </c>
      <c r="AE4445">
        <v>-20.197659999999999</v>
      </c>
      <c r="AF4445">
        <v>-4.8675013439394501</v>
      </c>
      <c r="AG4445">
        <v>-1.109614471877</v>
      </c>
      <c r="AH4445">
        <v>19.862088621571999</v>
      </c>
      <c r="AI4445">
        <v>93.105843622373598</v>
      </c>
      <c r="AJ4445">
        <v>103.769810149336</v>
      </c>
      <c r="AK4445">
        <v>20.479901806908899</v>
      </c>
      <c r="AL4445">
        <v>85.178059829618107</v>
      </c>
      <c r="AM4445">
        <v>98.976935612335893</v>
      </c>
      <c r="AN4445">
        <v>0.999999971252992</v>
      </c>
    </row>
    <row r="4446" spans="1:40" x14ac:dyDescent="0.25">
      <c r="A4446" t="str">
        <f>"20190312151403920"</f>
        <v>20190312151403920</v>
      </c>
      <c r="B4446" t="str">
        <f>"1552374843914903"</f>
        <v>1552374843914903</v>
      </c>
      <c r="C4446" t="s">
        <v>40</v>
      </c>
      <c r="D4446">
        <v>4.6492060000000004</v>
      </c>
      <c r="E4446">
        <v>0.52004529999999904</v>
      </c>
      <c r="F4446" t="s">
        <v>42</v>
      </c>
      <c r="G4446">
        <v>-418.97399999999999</v>
      </c>
      <c r="H4446" s="1">
        <v>-2.2679829999999999E-6</v>
      </c>
      <c r="I4446">
        <v>74.495249999999999</v>
      </c>
      <c r="J4446">
        <v>-422.49579999999997</v>
      </c>
      <c r="K4446">
        <v>1.1096999999999999</v>
      </c>
      <c r="L4446">
        <v>94.849239999999995</v>
      </c>
      <c r="M4446">
        <v>-6.6367099999999998E-2</v>
      </c>
      <c r="N4446">
        <v>0</v>
      </c>
      <c r="O4446">
        <v>-0.99769479999999999</v>
      </c>
      <c r="P4446">
        <v>8.8252899999999995E-2</v>
      </c>
      <c r="Q4446">
        <v>7.0248920000000006E-2</v>
      </c>
      <c r="R4446">
        <v>-0.99361809999999995</v>
      </c>
      <c r="S4446">
        <v>0.50622559999999905</v>
      </c>
      <c r="T4446">
        <v>-0.16041659999999999</v>
      </c>
      <c r="U4446">
        <v>-2.9849549999999998</v>
      </c>
      <c r="V4446">
        <v>-0.15387960000000001</v>
      </c>
      <c r="W4446">
        <v>8.443668E-2</v>
      </c>
      <c r="X4446">
        <v>0.98447530000000005</v>
      </c>
      <c r="Y4446">
        <v>-0.23204420000000001</v>
      </c>
      <c r="Z4446">
        <v>5.2381030000000002E-2</v>
      </c>
      <c r="AA4446">
        <v>0.97129379999999998</v>
      </c>
      <c r="AB4446">
        <v>29</v>
      </c>
      <c r="AC4446">
        <v>3.5217999999999798</v>
      </c>
      <c r="AD4446">
        <v>-1.109702267983</v>
      </c>
      <c r="AE4446">
        <v>-20.35399</v>
      </c>
      <c r="AF4446">
        <v>-4.8510043644452097</v>
      </c>
      <c r="AG4446">
        <v>-1.109702267983</v>
      </c>
      <c r="AH4446">
        <v>20.017579365176601</v>
      </c>
      <c r="AI4446">
        <v>93.083939158366505</v>
      </c>
      <c r="AJ4446">
        <v>103.622285049463</v>
      </c>
      <c r="AK4446">
        <v>20.626855458566101</v>
      </c>
      <c r="AL4446">
        <v>85.156367685730501</v>
      </c>
      <c r="AM4446">
        <v>98.883802795990107</v>
      </c>
      <c r="AN4446">
        <v>1.0000000502678299</v>
      </c>
    </row>
    <row r="4447" spans="1:40" x14ac:dyDescent="0.25">
      <c r="A4447" t="str">
        <f>"20190312151403945"</f>
        <v>20190312151403945</v>
      </c>
      <c r="B4447" t="str">
        <f>"1552374843935399"</f>
        <v>1552374843935399</v>
      </c>
      <c r="C4447" t="s">
        <v>40</v>
      </c>
      <c r="D4447">
        <v>4.6066370000000001</v>
      </c>
      <c r="E4447">
        <v>0.52907040000000005</v>
      </c>
      <c r="F4447" t="s">
        <v>42</v>
      </c>
      <c r="G4447">
        <v>-421.76049999999998</v>
      </c>
      <c r="H4447" s="1">
        <v>-3.2329169999999998E-6</v>
      </c>
      <c r="I4447">
        <v>76.03322</v>
      </c>
      <c r="J4447">
        <v>-422.51740000000001</v>
      </c>
      <c r="K4447">
        <v>1.109807</v>
      </c>
      <c r="L4447">
        <v>94.536770000000004</v>
      </c>
      <c r="M4447">
        <v>-6.7020819999999995E-2</v>
      </c>
      <c r="N4447">
        <v>0</v>
      </c>
      <c r="O4447">
        <v>-0.99765139999999997</v>
      </c>
      <c r="P4447">
        <v>8.6271829999999994E-2</v>
      </c>
      <c r="Q4447">
        <v>7.0442790000000005E-2</v>
      </c>
      <c r="R4447">
        <v>-0.99377839999999995</v>
      </c>
      <c r="S4447">
        <v>0.1180725</v>
      </c>
      <c r="T4447">
        <v>-0.1781894</v>
      </c>
      <c r="U4447">
        <v>-3.0213619999999999</v>
      </c>
      <c r="V4447">
        <v>-0.152581299999999</v>
      </c>
      <c r="W4447">
        <v>8.4586830000000002E-2</v>
      </c>
      <c r="X4447">
        <v>0.9846644</v>
      </c>
      <c r="Y4447">
        <v>-0.105870699999999</v>
      </c>
      <c r="Z4447">
        <v>5.8487879999999999E-2</v>
      </c>
      <c r="AA4447">
        <v>0.99265829999999999</v>
      </c>
      <c r="AB4447">
        <v>29</v>
      </c>
      <c r="AC4447">
        <v>0.75690000000002999</v>
      </c>
      <c r="AD4447">
        <v>-1.1098102329170001</v>
      </c>
      <c r="AE4447">
        <v>-18.503549999999901</v>
      </c>
      <c r="AF4447">
        <v>-1.98830413317943</v>
      </c>
      <c r="AG4447">
        <v>-1.1098102329170001</v>
      </c>
      <c r="AH4447">
        <v>18.345319740889099</v>
      </c>
      <c r="AI4447">
        <v>93.441813635679097</v>
      </c>
      <c r="AJ4447">
        <v>96.1856914147656</v>
      </c>
      <c r="AK4447">
        <v>18.4860971671838</v>
      </c>
      <c r="AL4447">
        <v>85.147733508830797</v>
      </c>
      <c r="AM4447">
        <v>98.808364476281994</v>
      </c>
      <c r="AN4447">
        <v>0.99999998277324897</v>
      </c>
    </row>
    <row r="4448" spans="1:40" x14ac:dyDescent="0.25">
      <c r="A4448" t="str">
        <f>"20190312151403966"</f>
        <v>20190312151403966</v>
      </c>
      <c r="B4448" t="str">
        <f>"1552374843954919"</f>
        <v>1552374843954919</v>
      </c>
      <c r="C4448" t="s">
        <v>40</v>
      </c>
      <c r="D4448">
        <v>4.546017</v>
      </c>
      <c r="E4448">
        <v>0.5328001</v>
      </c>
      <c r="F4448" t="s">
        <v>42</v>
      </c>
      <c r="G4448">
        <v>-422.29</v>
      </c>
      <c r="H4448" s="1">
        <v>-4.0229180000000001E-6</v>
      </c>
      <c r="I4448">
        <v>77.614639999999994</v>
      </c>
      <c r="J4448">
        <v>-422.53609999999998</v>
      </c>
      <c r="K4448">
        <v>1.1099159999999999</v>
      </c>
      <c r="L4448">
        <v>94.266419999999997</v>
      </c>
      <c r="M4448">
        <v>-6.7442340000000003E-2</v>
      </c>
      <c r="N4448">
        <v>0</v>
      </c>
      <c r="O4448">
        <v>-0.99762280000000003</v>
      </c>
      <c r="P4448">
        <v>8.4372939999999993E-2</v>
      </c>
      <c r="Q4448">
        <v>7.1044449999999995E-2</v>
      </c>
      <c r="R4448">
        <v>-0.99389839999999996</v>
      </c>
      <c r="S4448">
        <v>4.0710450000000002E-2</v>
      </c>
      <c r="T4448">
        <v>-0.19867370000000001</v>
      </c>
      <c r="U4448">
        <v>-3.0293269999999999</v>
      </c>
      <c r="V4448">
        <v>-0.15113199999999999</v>
      </c>
      <c r="W4448">
        <v>8.5146979999999997E-2</v>
      </c>
      <c r="X4448">
        <v>0.98483960000000004</v>
      </c>
      <c r="Y4448">
        <v>-8.0821130000000005E-2</v>
      </c>
      <c r="Z4448">
        <v>6.5109420000000001E-2</v>
      </c>
      <c r="AA4448">
        <v>0.99459980000000003</v>
      </c>
      <c r="AB4448">
        <v>29</v>
      </c>
      <c r="AC4448">
        <v>0.24609999999995499</v>
      </c>
      <c r="AD4448">
        <v>-1.109920022918</v>
      </c>
      <c r="AE4448">
        <v>-16.651779999999899</v>
      </c>
      <c r="AF4448">
        <v>-1.3626343828323499</v>
      </c>
      <c r="AG4448">
        <v>-1.109920022918</v>
      </c>
      <c r="AH4448">
        <v>16.523862880204302</v>
      </c>
      <c r="AI4448">
        <v>93.829865703736601</v>
      </c>
      <c r="AJ4448">
        <v>94.714208873543001</v>
      </c>
      <c r="AK4448">
        <v>16.617061695809699</v>
      </c>
      <c r="AL4448">
        <v>85.115522977739303</v>
      </c>
      <c r="AM4448">
        <v>98.724463176749197</v>
      </c>
      <c r="AN4448">
        <v>0.99999996367763899</v>
      </c>
    </row>
    <row r="4449" spans="1:40" x14ac:dyDescent="0.25">
      <c r="A4449" t="str">
        <f>"20190312151403989"</f>
        <v>20190312151403989</v>
      </c>
      <c r="B4449" t="str">
        <f>"1552374843975415"</f>
        <v>1552374843975415</v>
      </c>
      <c r="C4449" t="s">
        <v>40</v>
      </c>
      <c r="D4449">
        <v>4.6052339999999896</v>
      </c>
      <c r="E4449">
        <v>0.5346339</v>
      </c>
      <c r="F4449" t="s">
        <v>42</v>
      </c>
      <c r="G4449">
        <v>-422.50670000000002</v>
      </c>
      <c r="H4449" s="1">
        <v>-4.1723230000000003E-6</v>
      </c>
      <c r="I4449">
        <v>77.940719999999999</v>
      </c>
      <c r="J4449">
        <v>-422.55540000000002</v>
      </c>
      <c r="K4449">
        <v>1.110036</v>
      </c>
      <c r="L4449">
        <v>93.988249999999994</v>
      </c>
      <c r="M4449">
        <v>-6.7725759999999996E-2</v>
      </c>
      <c r="N4449">
        <v>0</v>
      </c>
      <c r="O4449">
        <v>-0.99760400000000005</v>
      </c>
      <c r="P4449">
        <v>8.3521090000000006E-2</v>
      </c>
      <c r="Q4449">
        <v>7.0993680000000003E-2</v>
      </c>
      <c r="R4449">
        <v>-0.99397420000000003</v>
      </c>
      <c r="S4449">
        <v>5.4626459999999998E-3</v>
      </c>
      <c r="T4449">
        <v>-0.20618030000000001</v>
      </c>
      <c r="U4449">
        <v>-3.0326840000000002</v>
      </c>
      <c r="V4449">
        <v>-0.1505909</v>
      </c>
      <c r="W4449">
        <v>8.5050539999999994E-2</v>
      </c>
      <c r="X4449">
        <v>0.98493090000000005</v>
      </c>
      <c r="Y4449">
        <v>-6.9525229999999993E-2</v>
      </c>
      <c r="Z4449">
        <v>6.7513909999999996E-2</v>
      </c>
      <c r="AA4449">
        <v>0.99529299999999998</v>
      </c>
      <c r="AB4449">
        <v>29</v>
      </c>
      <c r="AC4449">
        <v>4.86999999999966E-2</v>
      </c>
      <c r="AD4449">
        <v>-1.110040172323</v>
      </c>
      <c r="AE4449">
        <v>-16.047529999999899</v>
      </c>
      <c r="AF4449">
        <v>-1.13012042801654</v>
      </c>
      <c r="AG4449">
        <v>-1.110040172323</v>
      </c>
      <c r="AH4449">
        <v>15.931152347985201</v>
      </c>
      <c r="AI4449">
        <v>93.975816320543103</v>
      </c>
      <c r="AJ4449">
        <v>94.057637726069601</v>
      </c>
      <c r="AK4449">
        <v>16.0097150661936</v>
      </c>
      <c r="AL4449">
        <v>85.121069100796603</v>
      </c>
      <c r="AM4449">
        <v>98.692911363930193</v>
      </c>
      <c r="AN4449">
        <v>1.0000000456459499</v>
      </c>
    </row>
    <row r="4450" spans="1:40" x14ac:dyDescent="0.25">
      <c r="A4450" t="str">
        <f>"20190312151404008"</f>
        <v>20190312151404008</v>
      </c>
      <c r="B4450" t="str">
        <f>"1552374844004697"</f>
        <v>1552374844004697</v>
      </c>
      <c r="C4450" t="s">
        <v>40</v>
      </c>
      <c r="D4450">
        <v>4.520581</v>
      </c>
      <c r="E4450">
        <v>0.53628379999999998</v>
      </c>
      <c r="F4450" t="s">
        <v>42</v>
      </c>
      <c r="G4450">
        <v>-422.61829999999998</v>
      </c>
      <c r="H4450" s="1">
        <v>-4.24029E-6</v>
      </c>
      <c r="I4450">
        <v>78.08229</v>
      </c>
      <c r="J4450">
        <v>-422.57369999999997</v>
      </c>
      <c r="K4450">
        <v>1.1101399999999999</v>
      </c>
      <c r="L4450">
        <v>93.722660000000005</v>
      </c>
      <c r="M4450">
        <v>-6.7886790000000002E-2</v>
      </c>
      <c r="N4450">
        <v>0</v>
      </c>
      <c r="O4450">
        <v>-0.9975929</v>
      </c>
      <c r="P4450">
        <v>8.2361080000000003E-2</v>
      </c>
      <c r="Q4450">
        <v>7.1230940000000006E-2</v>
      </c>
      <c r="R4450">
        <v>-0.9940542</v>
      </c>
      <c r="S4450">
        <v>-1.1993409999999999E-2</v>
      </c>
      <c r="T4450">
        <v>-0.211759</v>
      </c>
      <c r="U4450">
        <v>-3.034332</v>
      </c>
      <c r="V4450">
        <v>-0.149618899999999</v>
      </c>
      <c r="W4450">
        <v>8.5249130000000006E-2</v>
      </c>
      <c r="X4450">
        <v>0.98506179999999999</v>
      </c>
      <c r="Y4450">
        <v>-6.3958979999999999E-2</v>
      </c>
      <c r="Z4450">
        <v>6.9306060000000003E-2</v>
      </c>
      <c r="AA4450">
        <v>0.99554299999999996</v>
      </c>
      <c r="AB4450">
        <v>29</v>
      </c>
      <c r="AC4450">
        <v>-4.4600000000002603E-2</v>
      </c>
      <c r="AD4450">
        <v>-1.1101442402899999</v>
      </c>
      <c r="AE4450">
        <v>-15.640370000000001</v>
      </c>
      <c r="AF4450">
        <v>-1.01228358590628</v>
      </c>
      <c r="AG4450">
        <v>-1.1101442402899999</v>
      </c>
      <c r="AH4450">
        <v>15.529072958829801</v>
      </c>
      <c r="AI4450">
        <v>94.080380596495701</v>
      </c>
      <c r="AJ4450">
        <v>93.729625995556205</v>
      </c>
      <c r="AK4450">
        <v>15.601578293660101</v>
      </c>
      <c r="AL4450">
        <v>85.109648982678706</v>
      </c>
      <c r="AM4450">
        <v>98.6365207854126</v>
      </c>
      <c r="AN4450">
        <v>0.99999998961110304</v>
      </c>
    </row>
    <row r="4451" spans="1:40" x14ac:dyDescent="0.25">
      <c r="A4451" t="str">
        <f>"20190312151404031"</f>
        <v>20190312151404031</v>
      </c>
      <c r="B4451" t="str">
        <f>"1552374844025191"</f>
        <v>1552374844025191</v>
      </c>
      <c r="C4451" t="s">
        <v>40</v>
      </c>
      <c r="D4451">
        <v>4.4964959999999996</v>
      </c>
      <c r="E4451">
        <v>0.5376744</v>
      </c>
      <c r="F4451" t="s">
        <v>42</v>
      </c>
      <c r="G4451">
        <v>-422.7131</v>
      </c>
      <c r="H4451" s="1">
        <v>-4.4305519999999999E-6</v>
      </c>
      <c r="I4451">
        <v>78.591949999999997</v>
      </c>
      <c r="J4451">
        <v>-422.59280000000001</v>
      </c>
      <c r="K4451">
        <v>1.1102289999999999</v>
      </c>
      <c r="L4451">
        <v>93.444429999999997</v>
      </c>
      <c r="M4451">
        <v>-6.7955860000000007E-2</v>
      </c>
      <c r="N4451">
        <v>0</v>
      </c>
      <c r="O4451">
        <v>-0.99758840000000004</v>
      </c>
      <c r="P4451">
        <v>8.1727969999999997E-2</v>
      </c>
      <c r="Q4451">
        <v>7.1696040000000003E-2</v>
      </c>
      <c r="R4451">
        <v>-0.99407299999999998</v>
      </c>
      <c r="S4451">
        <v>-2.7984620000000002E-2</v>
      </c>
      <c r="T4451">
        <v>-0.22277089999999999</v>
      </c>
      <c r="U4451">
        <v>-3.0362550000000001</v>
      </c>
      <c r="V4451">
        <v>-0.14907409999999999</v>
      </c>
      <c r="W4451">
        <v>8.5680039999999999E-2</v>
      </c>
      <c r="X4451">
        <v>0.98510699999999995</v>
      </c>
      <c r="Y4451">
        <v>-5.8789019999999997E-2</v>
      </c>
      <c r="Z4451">
        <v>7.2855290000000003E-2</v>
      </c>
      <c r="AA4451">
        <v>0.9956083</v>
      </c>
      <c r="AB4451">
        <v>28</v>
      </c>
      <c r="AC4451">
        <v>-0.120299999999986</v>
      </c>
      <c r="AD4451">
        <v>-1.1102334305519901</v>
      </c>
      <c r="AE4451">
        <v>-14.85248</v>
      </c>
      <c r="AF4451">
        <v>-0.88445014704648195</v>
      </c>
      <c r="AG4451">
        <v>-1.1102334305519901</v>
      </c>
      <c r="AH4451">
        <v>14.743936171113701</v>
      </c>
      <c r="AI4451">
        <v>94.2986053897489</v>
      </c>
      <c r="AJ4451">
        <v>93.432910058123497</v>
      </c>
      <c r="AK4451">
        <v>14.812107350097101</v>
      </c>
      <c r="AL4451">
        <v>85.084868940772694</v>
      </c>
      <c r="AM4451">
        <v>98.605155758046806</v>
      </c>
      <c r="AN4451">
        <v>0.99999997899710502</v>
      </c>
    </row>
    <row r="4452" spans="1:40" x14ac:dyDescent="0.25">
      <c r="A4452" t="str">
        <f>"20190312151404052"</f>
        <v>20190312151404052</v>
      </c>
      <c r="B4452" t="str">
        <f>"1552374844044711"</f>
        <v>1552374844044711</v>
      </c>
      <c r="C4452" t="s">
        <v>40</v>
      </c>
      <c r="D4452">
        <v>4.6132559999999998</v>
      </c>
      <c r="E4452">
        <v>0.53886009999999995</v>
      </c>
      <c r="F4452" t="s">
        <v>42</v>
      </c>
      <c r="G4452">
        <v>-422.78730000000002</v>
      </c>
      <c r="H4452" s="1">
        <v>-4.4807750000000003E-6</v>
      </c>
      <c r="I4452">
        <v>78.700869999999995</v>
      </c>
      <c r="J4452">
        <v>-422.61180000000002</v>
      </c>
      <c r="K4452">
        <v>1.110304</v>
      </c>
      <c r="L4452">
        <v>93.166719999999998</v>
      </c>
      <c r="M4452">
        <v>-6.7926529999999999E-2</v>
      </c>
      <c r="N4452">
        <v>0</v>
      </c>
      <c r="O4452">
        <v>-0.99759039999999999</v>
      </c>
      <c r="P4452">
        <v>8.1445660000000003E-2</v>
      </c>
      <c r="Q4452">
        <v>7.1924470000000004E-2</v>
      </c>
      <c r="R4452">
        <v>-0.99407970000000001</v>
      </c>
      <c r="S4452">
        <v>-4.006958E-2</v>
      </c>
      <c r="T4452">
        <v>-0.22874700000000001</v>
      </c>
      <c r="U4452">
        <v>-3.0376889999999999</v>
      </c>
      <c r="V4452">
        <v>-0.148779299999999</v>
      </c>
      <c r="W4452">
        <v>8.587815E-2</v>
      </c>
      <c r="X4452">
        <v>0.98513430000000002</v>
      </c>
      <c r="Y4452">
        <v>-5.4805069999999997E-2</v>
      </c>
      <c r="Z4452">
        <v>7.4770840000000005E-2</v>
      </c>
      <c r="AA4452">
        <v>0.99569359999999996</v>
      </c>
      <c r="AB4452">
        <v>28</v>
      </c>
      <c r="AC4452">
        <v>-0.17549999999999899</v>
      </c>
      <c r="AD4452">
        <v>-1.1103084807750001</v>
      </c>
      <c r="AE4452">
        <v>-14.46585</v>
      </c>
      <c r="AF4452">
        <v>-0.80288915747443002</v>
      </c>
      <c r="AG4452">
        <v>-1.1103084807750001</v>
      </c>
      <c r="AH4452">
        <v>14.3597712416961</v>
      </c>
      <c r="AI4452">
        <v>94.4144888367927</v>
      </c>
      <c r="AJ4452">
        <v>93.200212025199605</v>
      </c>
      <c r="AK4452">
        <v>14.4249937967236</v>
      </c>
      <c r="AL4452">
        <v>85.073476002097394</v>
      </c>
      <c r="AM4452">
        <v>98.588158269089107</v>
      </c>
      <c r="AN4452">
        <v>0.99999996289619997</v>
      </c>
    </row>
    <row r="4453" spans="1:40" x14ac:dyDescent="0.25">
      <c r="A4453" t="str">
        <f>"20190312151404074"</f>
        <v>20190312151404074</v>
      </c>
      <c r="B4453" t="str">
        <f>"1552374844065207"</f>
        <v>1552374844065207</v>
      </c>
      <c r="C4453" t="s">
        <v>40</v>
      </c>
      <c r="D4453">
        <v>4.5435109999999996</v>
      </c>
      <c r="E4453">
        <v>0.53942630000000003</v>
      </c>
      <c r="F4453" t="s">
        <v>42</v>
      </c>
      <c r="G4453">
        <v>-422.8492</v>
      </c>
      <c r="H4453" s="1">
        <v>-4.4806309999999997E-6</v>
      </c>
      <c r="I4453">
        <v>78.66816</v>
      </c>
      <c r="J4453">
        <v>-422.6311</v>
      </c>
      <c r="K4453">
        <v>1.1103730000000001</v>
      </c>
      <c r="L4453">
        <v>92.882230000000007</v>
      </c>
      <c r="M4453">
        <v>-6.7794729999999997E-2</v>
      </c>
      <c r="N4453">
        <v>0</v>
      </c>
      <c r="O4453">
        <v>-0.99759929999999997</v>
      </c>
      <c r="P4453">
        <v>8.1033259999999996E-2</v>
      </c>
      <c r="Q4453">
        <v>7.2128440000000002E-2</v>
      </c>
      <c r="R4453">
        <v>-0.9940987</v>
      </c>
      <c r="S4453">
        <v>-4.977417E-2</v>
      </c>
      <c r="T4453">
        <v>-0.23271230000000001</v>
      </c>
      <c r="U4453">
        <v>-3.0387879999999998</v>
      </c>
      <c r="V4453">
        <v>-0.14825469999999999</v>
      </c>
      <c r="W4453">
        <v>8.6052970000000006E-2</v>
      </c>
      <c r="X4453">
        <v>0.98519809999999997</v>
      </c>
      <c r="Y4453">
        <v>-5.1500079999999997E-2</v>
      </c>
      <c r="Z4453">
        <v>7.6038120000000001E-2</v>
      </c>
      <c r="AA4453">
        <v>0.99577400000000005</v>
      </c>
      <c r="AB4453">
        <v>28</v>
      </c>
      <c r="AC4453">
        <v>-0.21809999999999199</v>
      </c>
      <c r="AD4453">
        <v>-1.1103774806310001</v>
      </c>
      <c r="AE4453">
        <v>-14.21407</v>
      </c>
      <c r="AF4453">
        <v>-0.74161247611389103</v>
      </c>
      <c r="AG4453">
        <v>-1.1103774806310001</v>
      </c>
      <c r="AH4453">
        <v>14.1100628118713</v>
      </c>
      <c r="AI4453">
        <v>94.493385278151095</v>
      </c>
      <c r="AJ4453">
        <v>93.008647330951206</v>
      </c>
      <c r="AK4453">
        <v>14.1731012756268</v>
      </c>
      <c r="AL4453">
        <v>85.063422187915293</v>
      </c>
      <c r="AM4453">
        <v>98.557779361269596</v>
      </c>
      <c r="AN4453">
        <v>0.99999993298075796</v>
      </c>
    </row>
    <row r="4454" spans="1:40" x14ac:dyDescent="0.25">
      <c r="A4454" t="str">
        <f>"20190312151404097"</f>
        <v>20190312151404097</v>
      </c>
      <c r="B4454" t="str">
        <f>"1552374844084727"</f>
        <v>1552374844084727</v>
      </c>
      <c r="C4454" t="s">
        <v>40</v>
      </c>
      <c r="D4454">
        <v>4.5593110000000001</v>
      </c>
      <c r="E4454">
        <v>0.53989830000000005</v>
      </c>
      <c r="F4454" t="s">
        <v>42</v>
      </c>
      <c r="G4454">
        <v>-422.88690000000003</v>
      </c>
      <c r="H4454" s="1">
        <v>-4.5385620000000003E-6</v>
      </c>
      <c r="I4454">
        <v>78.818740000000005</v>
      </c>
      <c r="J4454">
        <v>-422.65</v>
      </c>
      <c r="K4454">
        <v>1.1104459999999901</v>
      </c>
      <c r="L4454">
        <v>92.601529999999997</v>
      </c>
      <c r="M4454">
        <v>-6.7569420000000005E-2</v>
      </c>
      <c r="N4454">
        <v>0</v>
      </c>
      <c r="O4454">
        <v>-0.99761440000000001</v>
      </c>
      <c r="P4454">
        <v>8.1430210000000003E-2</v>
      </c>
      <c r="Q4454">
        <v>7.1561050000000001E-2</v>
      </c>
      <c r="R4454">
        <v>-0.99410659999999895</v>
      </c>
      <c r="S4454">
        <v>-5.5297850000000003E-2</v>
      </c>
      <c r="T4454">
        <v>-0.24000109999999999</v>
      </c>
      <c r="U4454">
        <v>-3.0397340000000002</v>
      </c>
      <c r="V4454">
        <v>-0.1484442</v>
      </c>
      <c r="W4454">
        <v>8.5454840000000004E-2</v>
      </c>
      <c r="X4454">
        <v>0.98522169999999998</v>
      </c>
      <c r="Y4454">
        <v>-4.9473870000000003E-2</v>
      </c>
      <c r="Z4454">
        <v>7.8385570000000002E-2</v>
      </c>
      <c r="AA4454">
        <v>0.99569479999999999</v>
      </c>
      <c r="AB4454">
        <v>28</v>
      </c>
      <c r="AC4454">
        <v>-0.23690000000004799</v>
      </c>
      <c r="AD4454">
        <v>-1.1104505385619901</v>
      </c>
      <c r="AE4454">
        <v>-13.78279</v>
      </c>
      <c r="AF4454">
        <v>-0.69054858397230301</v>
      </c>
      <c r="AG4454">
        <v>-1.1104505385619901</v>
      </c>
      <c r="AH4454">
        <v>13.6785292842949</v>
      </c>
      <c r="AI4454">
        <v>94.635331188997498</v>
      </c>
      <c r="AJ4454">
        <v>92.890073709657898</v>
      </c>
      <c r="AK4454">
        <v>13.740892297326701</v>
      </c>
      <c r="AL4454">
        <v>85.097819571862203</v>
      </c>
      <c r="AM4454">
        <v>98.568353493033101</v>
      </c>
      <c r="AN4454">
        <v>1.0000000041719701</v>
      </c>
    </row>
    <row r="4455" spans="1:40" x14ac:dyDescent="0.25">
      <c r="A4455" t="str">
        <f>"20190312151404119"</f>
        <v>20190312151404119</v>
      </c>
      <c r="B4455" t="str">
        <f>"1552374844114983"</f>
        <v>1552374844114983</v>
      </c>
      <c r="C4455" t="s">
        <v>40</v>
      </c>
      <c r="D4455">
        <v>4.5227539999999999</v>
      </c>
      <c r="E4455">
        <v>0.54012419999999906</v>
      </c>
      <c r="F4455" t="s">
        <v>42</v>
      </c>
      <c r="G4455">
        <v>-422.90859999999998</v>
      </c>
      <c r="H4455" s="1">
        <v>-4.5624120000000001E-6</v>
      </c>
      <c r="I4455">
        <v>78.877529999999993</v>
      </c>
      <c r="J4455">
        <v>-422.66890000000001</v>
      </c>
      <c r="K4455">
        <v>1.110527</v>
      </c>
      <c r="L4455">
        <v>92.318179999999998</v>
      </c>
      <c r="M4455">
        <v>-6.7251210000000006E-2</v>
      </c>
      <c r="N4455">
        <v>0</v>
      </c>
      <c r="O4455">
        <v>-0.99763630000000003</v>
      </c>
      <c r="P4455">
        <v>8.1550360000000002E-2</v>
      </c>
      <c r="Q4455">
        <v>7.1064459999999996E-2</v>
      </c>
      <c r="R4455">
        <v>-0.99413309999999999</v>
      </c>
      <c r="S4455">
        <v>-5.7281489999999997E-2</v>
      </c>
      <c r="T4455">
        <v>-0.24599119999999999</v>
      </c>
      <c r="U4455">
        <v>-3.0401919999999998</v>
      </c>
      <c r="V4455">
        <v>-0.1482677</v>
      </c>
      <c r="W4455">
        <v>8.4926539999999995E-2</v>
      </c>
      <c r="X4455">
        <v>0.98529389999999994</v>
      </c>
      <c r="Y4455">
        <v>-4.851142E-2</v>
      </c>
      <c r="Z4455">
        <v>8.0321439999999994E-2</v>
      </c>
      <c r="AA4455">
        <v>0.99558780000000002</v>
      </c>
      <c r="AB4455">
        <v>28</v>
      </c>
      <c r="AC4455">
        <v>-0.23969999999996999</v>
      </c>
      <c r="AD4455">
        <v>-1.110531562412</v>
      </c>
      <c r="AE4455">
        <v>-13.4406499999999</v>
      </c>
      <c r="AF4455">
        <v>-0.66032621374034095</v>
      </c>
      <c r="AG4455">
        <v>-1.110531562412</v>
      </c>
      <c r="AH4455">
        <v>13.3353275010583</v>
      </c>
      <c r="AI4455">
        <v>94.754660971804</v>
      </c>
      <c r="AJ4455">
        <v>92.834803150697994</v>
      </c>
      <c r="AK4455">
        <v>13.397771106424701</v>
      </c>
      <c r="AL4455">
        <v>85.128199102347196</v>
      </c>
      <c r="AM4455">
        <v>98.557698832185807</v>
      </c>
      <c r="AN4455">
        <v>0.99999994871843401</v>
      </c>
    </row>
    <row r="4456" spans="1:40" x14ac:dyDescent="0.25">
      <c r="A4456" t="str">
        <f>"20190312151404145"</f>
        <v>20190312151404145</v>
      </c>
      <c r="B4456" t="str">
        <f>"1552374844134503"</f>
        <v>1552374844134503</v>
      </c>
      <c r="C4456" t="s">
        <v>40</v>
      </c>
      <c r="D4456">
        <v>4.5274470000000004</v>
      </c>
      <c r="E4456">
        <v>0.54003730000000005</v>
      </c>
      <c r="F4456" t="s">
        <v>42</v>
      </c>
      <c r="G4456">
        <v>-422.93549999999999</v>
      </c>
      <c r="H4456" s="1">
        <v>-4.4792490000000001E-6</v>
      </c>
      <c r="I4456">
        <v>78.619159999999994</v>
      </c>
      <c r="J4456">
        <v>-422.68959999999998</v>
      </c>
      <c r="K4456">
        <v>1.1106049999999901</v>
      </c>
      <c r="L4456">
        <v>92.005459999999999</v>
      </c>
      <c r="M4456">
        <v>-6.6796729999999999E-2</v>
      </c>
      <c r="N4456">
        <v>0</v>
      </c>
      <c r="O4456">
        <v>-0.99766679999999996</v>
      </c>
      <c r="P4456">
        <v>8.1531439999999997E-2</v>
      </c>
      <c r="Q4456">
        <v>7.1002079999999995E-2</v>
      </c>
      <c r="R4456">
        <v>-0.99413870000000004</v>
      </c>
      <c r="S4456">
        <v>-5.9143069999999999E-2</v>
      </c>
      <c r="T4456">
        <v>-0.24645520000000001</v>
      </c>
      <c r="U4456">
        <v>-3.0401609999999999</v>
      </c>
      <c r="V4456">
        <v>-0.14781830000000001</v>
      </c>
      <c r="W4456">
        <v>8.4830069999999994E-2</v>
      </c>
      <c r="X4456">
        <v>0.98536979999999996</v>
      </c>
      <c r="Y4456">
        <v>-4.7447059999999999E-2</v>
      </c>
      <c r="Z4456">
        <v>8.0478040000000001E-2</v>
      </c>
      <c r="AA4456">
        <v>0.99562640000000002</v>
      </c>
      <c r="AB4456">
        <v>28</v>
      </c>
      <c r="AC4456">
        <v>-0.245900000000006</v>
      </c>
      <c r="AD4456">
        <v>-1.11060947924899</v>
      </c>
      <c r="AE4456">
        <v>-13.3863</v>
      </c>
      <c r="AF4456">
        <v>-0.64446482023084195</v>
      </c>
      <c r="AG4456">
        <v>-1.11060947924899</v>
      </c>
      <c r="AH4456">
        <v>13.2814337906158</v>
      </c>
      <c r="AI4456">
        <v>94.774429796419994</v>
      </c>
      <c r="AJ4456">
        <v>92.778026452830701</v>
      </c>
      <c r="AK4456">
        <v>13.343360590736699</v>
      </c>
      <c r="AL4456">
        <v>85.133746776513703</v>
      </c>
      <c r="AM4456">
        <v>98.531495211744797</v>
      </c>
      <c r="AN4456">
        <v>1.0000000166715599</v>
      </c>
    </row>
    <row r="4457" spans="1:40" x14ac:dyDescent="0.25">
      <c r="A4457" t="str">
        <f>"20190312151404167"</f>
        <v>20190312151404167</v>
      </c>
      <c r="B4457" t="str">
        <f>"1552374844154999"</f>
        <v>1552374844154999</v>
      </c>
      <c r="C4457" t="s">
        <v>40</v>
      </c>
      <c r="D4457">
        <v>4.561763</v>
      </c>
      <c r="E4457">
        <v>0.54010800000000003</v>
      </c>
      <c r="F4457" t="s">
        <v>42</v>
      </c>
      <c r="G4457">
        <v>-422.9588</v>
      </c>
      <c r="H4457" s="1">
        <v>-4.300586E-6</v>
      </c>
      <c r="I4457">
        <v>78.081990000000005</v>
      </c>
      <c r="J4457">
        <v>-422.70760000000001</v>
      </c>
      <c r="K4457">
        <v>1.1106849999999999</v>
      </c>
      <c r="L4457">
        <v>91.729280000000003</v>
      </c>
      <c r="M4457">
        <v>-6.6293950000000004E-2</v>
      </c>
      <c r="N4457">
        <v>0</v>
      </c>
      <c r="O4457">
        <v>-0.99770020000000004</v>
      </c>
      <c r="P4457">
        <v>8.1406720000000002E-2</v>
      </c>
      <c r="Q4457">
        <v>7.1091890000000005E-2</v>
      </c>
      <c r="R4457">
        <v>-0.99414210000000003</v>
      </c>
      <c r="S4457">
        <v>-5.877686E-2</v>
      </c>
      <c r="T4457">
        <v>-0.2424723</v>
      </c>
      <c r="U4457">
        <v>-3.039825</v>
      </c>
      <c r="V4457">
        <v>-0.14721229999999999</v>
      </c>
      <c r="W4457">
        <v>8.4891839999999996E-2</v>
      </c>
      <c r="X4457">
        <v>0.98545519999999998</v>
      </c>
      <c r="Y4457">
        <v>-4.7059469999999999E-2</v>
      </c>
      <c r="Z4457">
        <v>7.9199249999999999E-2</v>
      </c>
      <c r="AA4457">
        <v>0.99574739999999995</v>
      </c>
      <c r="AB4457">
        <v>28</v>
      </c>
      <c r="AC4457">
        <v>-0.25119999999998299</v>
      </c>
      <c r="AD4457">
        <v>-1.1106893005859999</v>
      </c>
      <c r="AE4457">
        <v>-13.6472899999999</v>
      </c>
      <c r="AF4457">
        <v>-0.64987268142493904</v>
      </c>
      <c r="AG4457">
        <v>-1.1106893005859999</v>
      </c>
      <c r="AH4457">
        <v>13.544235678024201</v>
      </c>
      <c r="AI4457">
        <v>94.682663094814899</v>
      </c>
      <c r="AJ4457">
        <v>92.747030378874697</v>
      </c>
      <c r="AK4457">
        <v>13.605230072525901</v>
      </c>
      <c r="AL4457">
        <v>85.130194812476105</v>
      </c>
      <c r="AM4457">
        <v>98.496305246971801</v>
      </c>
      <c r="AN4457">
        <v>1.0000000184884501</v>
      </c>
    </row>
    <row r="4458" spans="1:40" x14ac:dyDescent="0.25">
      <c r="A4458" t="str">
        <f>"20190312151404187"</f>
        <v>20190312151404187</v>
      </c>
      <c r="B4458" t="str">
        <f>"1552374844185255"</f>
        <v>1552374844185255</v>
      </c>
      <c r="C4458" t="s">
        <v>40</v>
      </c>
      <c r="D4458">
        <v>4.5672959999999998</v>
      </c>
      <c r="E4458">
        <v>0.54024399999999995</v>
      </c>
      <c r="F4458" t="s">
        <v>42</v>
      </c>
      <c r="G4458">
        <v>-422.98390000000001</v>
      </c>
      <c r="H4458" s="1">
        <v>-4.1930079999999997E-6</v>
      </c>
      <c r="I4458">
        <v>77.752799999999993</v>
      </c>
      <c r="J4458">
        <v>-422.7244</v>
      </c>
      <c r="K4458">
        <v>1.110751</v>
      </c>
      <c r="L4458">
        <v>91.466220000000007</v>
      </c>
      <c r="M4458">
        <v>-6.5729159999999995E-2</v>
      </c>
      <c r="N4458">
        <v>0</v>
      </c>
      <c r="O4458">
        <v>-0.9977376</v>
      </c>
      <c r="P4458">
        <v>8.1573709999999994E-2</v>
      </c>
      <c r="Q4458">
        <v>7.0745059999999999E-2</v>
      </c>
      <c r="R4458">
        <v>-0.99415359999999997</v>
      </c>
      <c r="S4458">
        <v>-6.0089110000000001E-2</v>
      </c>
      <c r="T4458">
        <v>-0.24157500000000001</v>
      </c>
      <c r="U4458">
        <v>-3.0398860000000001</v>
      </c>
      <c r="V4458">
        <v>-0.14683450000000001</v>
      </c>
      <c r="W4458">
        <v>8.4520299999999896E-2</v>
      </c>
      <c r="X4458">
        <v>0.98554350000000002</v>
      </c>
      <c r="Y4458">
        <v>-4.6064250000000001E-2</v>
      </c>
      <c r="Z4458">
        <v>7.8912360000000001E-2</v>
      </c>
      <c r="AA4458">
        <v>0.9958167</v>
      </c>
      <c r="AB4458">
        <v>28</v>
      </c>
      <c r="AC4458">
        <v>-0.25950000000000201</v>
      </c>
      <c r="AD4458">
        <v>-1.110755193008</v>
      </c>
      <c r="AE4458">
        <v>-13.713419999999999</v>
      </c>
      <c r="AF4458">
        <v>-0.63833633406828005</v>
      </c>
      <c r="AG4458">
        <v>-1.110755193008</v>
      </c>
      <c r="AH4458">
        <v>13.6115489451751</v>
      </c>
      <c r="AI4458">
        <v>94.660121560232895</v>
      </c>
      <c r="AJ4458">
        <v>92.685014098603801</v>
      </c>
      <c r="AK4458">
        <v>13.671704906890101</v>
      </c>
      <c r="AL4458">
        <v>85.151559282314295</v>
      </c>
      <c r="AM4458">
        <v>98.474069419066893</v>
      </c>
      <c r="AN4458">
        <v>1.0000000209472899</v>
      </c>
    </row>
    <row r="4459" spans="1:40" x14ac:dyDescent="0.25">
      <c r="A4459" t="str">
        <f>"20190312151404209"</f>
        <v>20190312151404209</v>
      </c>
      <c r="B4459" t="str">
        <f>"1552374844204775"</f>
        <v>1552374844204775</v>
      </c>
      <c r="C4459" t="s">
        <v>40</v>
      </c>
      <c r="D4459">
        <v>4.5281000000000002</v>
      </c>
      <c r="E4459">
        <v>0.54023489999999996</v>
      </c>
      <c r="F4459" t="s">
        <v>42</v>
      </c>
      <c r="G4459">
        <v>-423.0095</v>
      </c>
      <c r="H4459" s="1">
        <v>-4.0182699999999997E-6</v>
      </c>
      <c r="I4459">
        <v>77.225939999999994</v>
      </c>
      <c r="J4459">
        <v>-422.74149999999997</v>
      </c>
      <c r="K4459">
        <v>1.110811</v>
      </c>
      <c r="L4459">
        <v>91.197389999999999</v>
      </c>
      <c r="M4459">
        <v>-6.5084390000000006E-2</v>
      </c>
      <c r="N4459">
        <v>0</v>
      </c>
      <c r="O4459">
        <v>-0.99777979999999999</v>
      </c>
      <c r="P4459">
        <v>8.1878649999999997E-2</v>
      </c>
      <c r="Q4459">
        <v>7.0802329999999997E-2</v>
      </c>
      <c r="R4459">
        <v>-0.99412429999999996</v>
      </c>
      <c r="S4459">
        <v>-6.0852049999999998E-2</v>
      </c>
      <c r="T4459">
        <v>-0.2370855</v>
      </c>
      <c r="U4459">
        <v>-3.03952</v>
      </c>
      <c r="V4459">
        <v>-0.14651120000000001</v>
      </c>
      <c r="W4459">
        <v>8.4556419999999993E-2</v>
      </c>
      <c r="X4459">
        <v>0.98558849999999998</v>
      </c>
      <c r="Y4459">
        <v>-4.5164200000000002E-2</v>
      </c>
      <c r="Z4459">
        <v>7.7470369999999997E-2</v>
      </c>
      <c r="AA4459">
        <v>0.9959711</v>
      </c>
      <c r="AB4459">
        <v>28</v>
      </c>
      <c r="AC4459">
        <v>-0.26800000000002899</v>
      </c>
      <c r="AD4459">
        <v>-1.1108150182700001</v>
      </c>
      <c r="AE4459">
        <v>-13.9714499999999</v>
      </c>
      <c r="AF4459">
        <v>-0.63795120976633801</v>
      </c>
      <c r="AG4459">
        <v>-1.1108150182700001</v>
      </c>
      <c r="AH4459">
        <v>13.871612474485699</v>
      </c>
      <c r="AI4459">
        <v>94.573564873311497</v>
      </c>
      <c r="AJ4459">
        <v>92.633159976514605</v>
      </c>
      <c r="AK4459">
        <v>13.930632591277501</v>
      </c>
      <c r="AL4459">
        <v>85.149482249188594</v>
      </c>
      <c r="AM4459">
        <v>98.455300762473996</v>
      </c>
      <c r="AN4459">
        <v>1.0000000056104501</v>
      </c>
    </row>
    <row r="4460" spans="1:40" x14ac:dyDescent="0.25">
      <c r="A4460" t="str">
        <f>"20190312151404232"</f>
        <v>20190312151404232</v>
      </c>
      <c r="B4460" t="str">
        <f>"1552374844225271"</f>
        <v>1552374844225271</v>
      </c>
      <c r="C4460" t="s">
        <v>40</v>
      </c>
      <c r="D4460">
        <v>4.5172019999999904</v>
      </c>
      <c r="E4460">
        <v>0.54021640000000004</v>
      </c>
      <c r="F4460" t="s">
        <v>42</v>
      </c>
      <c r="G4460">
        <v>-423.02820000000003</v>
      </c>
      <c r="H4460" s="1">
        <v>-3.8318060000000001E-6</v>
      </c>
      <c r="I4460">
        <v>76.668269999999893</v>
      </c>
      <c r="J4460">
        <v>-422.75970000000001</v>
      </c>
      <c r="K4460">
        <v>1.1108659999999999</v>
      </c>
      <c r="L4460">
        <v>90.905879999999996</v>
      </c>
      <c r="M4460">
        <v>-6.4318280000000005E-2</v>
      </c>
      <c r="N4460">
        <v>0</v>
      </c>
      <c r="O4460">
        <v>-0.99782959999999998</v>
      </c>
      <c r="P4460">
        <v>8.2214389999999998E-2</v>
      </c>
      <c r="Q4460">
        <v>7.1297399999999997E-2</v>
      </c>
      <c r="R4460">
        <v>-0.99406130000000004</v>
      </c>
      <c r="S4460">
        <v>-5.9967039999999999E-2</v>
      </c>
      <c r="T4460">
        <v>-0.23236129999999999</v>
      </c>
      <c r="U4460">
        <v>-3.039215</v>
      </c>
      <c r="V4460">
        <v>-0.146094899999999</v>
      </c>
      <c r="W4460">
        <v>8.5031529999999994E-2</v>
      </c>
      <c r="X4460">
        <v>0.98560939999999997</v>
      </c>
      <c r="Y4460">
        <v>-4.4682779999999998E-2</v>
      </c>
      <c r="Z4460">
        <v>7.5950030000000002E-2</v>
      </c>
      <c r="AA4460">
        <v>0.99611000000000005</v>
      </c>
      <c r="AB4460">
        <v>28</v>
      </c>
      <c r="AC4460">
        <v>-0.268500000000017</v>
      </c>
      <c r="AD4460">
        <v>-1.110869831806</v>
      </c>
      <c r="AE4460">
        <v>-14.23761</v>
      </c>
      <c r="AF4460">
        <v>-0.64396701268592604</v>
      </c>
      <c r="AG4460">
        <v>-1.110869831806</v>
      </c>
      <c r="AH4460">
        <v>14.139350106625001</v>
      </c>
      <c r="AI4460">
        <v>94.4876300263426</v>
      </c>
      <c r="AJ4460">
        <v>92.607694982716893</v>
      </c>
      <c r="AK4460">
        <v>14.197533121439101</v>
      </c>
      <c r="AL4460">
        <v>85.122161957634304</v>
      </c>
      <c r="AM4460">
        <v>98.431445308001898</v>
      </c>
      <c r="AN4460">
        <v>0.99999998513425503</v>
      </c>
    </row>
    <row r="4461" spans="1:40" x14ac:dyDescent="0.25">
      <c r="A4461" t="str">
        <f>"20190312151404254"</f>
        <v>20190312151404254</v>
      </c>
      <c r="B4461" t="str">
        <f>"1552374844244791"</f>
        <v>1552374844244791</v>
      </c>
      <c r="C4461" t="s">
        <v>40</v>
      </c>
      <c r="D4461">
        <v>4.4933259999999997</v>
      </c>
      <c r="E4461">
        <v>0.54022380000000003</v>
      </c>
      <c r="F4461" t="s">
        <v>42</v>
      </c>
      <c r="G4461">
        <v>-423.04790000000003</v>
      </c>
      <c r="H4461" s="1">
        <v>-3.5723749999999998E-6</v>
      </c>
      <c r="I4461">
        <v>76.025989999999993</v>
      </c>
      <c r="J4461">
        <v>-422.77600000000001</v>
      </c>
      <c r="K4461">
        <v>1.1109100000000001</v>
      </c>
      <c r="L4461">
        <v>90.639589999999998</v>
      </c>
      <c r="M4461">
        <v>-6.3563809999999998E-2</v>
      </c>
      <c r="N4461">
        <v>0</v>
      </c>
      <c r="O4461">
        <v>-0.99787820000000005</v>
      </c>
      <c r="P4461">
        <v>8.3065520000000004E-2</v>
      </c>
      <c r="Q4461">
        <v>7.1605360000000007E-2</v>
      </c>
      <c r="R4461">
        <v>-0.99396839999999997</v>
      </c>
      <c r="S4461">
        <v>-5.8868410000000003E-2</v>
      </c>
      <c r="T4461">
        <v>-0.22688340000000001</v>
      </c>
      <c r="U4461">
        <v>-3.0390630000000001</v>
      </c>
      <c r="V4461">
        <v>-0.14620129999999901</v>
      </c>
      <c r="W4461">
        <v>8.5321830000000001E-2</v>
      </c>
      <c r="X4461">
        <v>0.98556849999999996</v>
      </c>
      <c r="Y4461">
        <v>-4.4283799999999998E-2</v>
      </c>
      <c r="Z4461">
        <v>7.4179549999999997E-2</v>
      </c>
      <c r="AA4461">
        <v>0.99626119999999996</v>
      </c>
      <c r="AB4461">
        <v>28</v>
      </c>
      <c r="AC4461">
        <v>-0.27190000000001602</v>
      </c>
      <c r="AD4461">
        <v>-1.1109135723749901</v>
      </c>
      <c r="AE4461">
        <v>-14.6135999999999</v>
      </c>
      <c r="AF4461">
        <v>-0.65386106580201897</v>
      </c>
      <c r="AG4461">
        <v>-1.1109135723749901</v>
      </c>
      <c r="AH4461">
        <v>14.5174607679155</v>
      </c>
      <c r="AI4461">
        <v>94.371478460642393</v>
      </c>
      <c r="AJ4461">
        <v>92.578837886079896</v>
      </c>
      <c r="AK4461">
        <v>14.5745782239701</v>
      </c>
      <c r="AL4461">
        <v>85.105468160534699</v>
      </c>
      <c r="AM4461">
        <v>98.437842621846499</v>
      </c>
      <c r="AN4461">
        <v>0.99999995149424303</v>
      </c>
    </row>
    <row r="4462" spans="1:40" x14ac:dyDescent="0.25">
      <c r="A4462" t="str">
        <f>"20190312151404276"</f>
        <v>20190312151404276</v>
      </c>
      <c r="B4462" t="str">
        <f>"1552374844264902"</f>
        <v>1552374844264902</v>
      </c>
      <c r="C4462" t="s">
        <v>40</v>
      </c>
      <c r="D4462">
        <v>4.5065670000000004</v>
      </c>
      <c r="E4462">
        <v>0.54025939999999995</v>
      </c>
      <c r="F4462" t="s">
        <v>42</v>
      </c>
      <c r="G4462">
        <v>-423.06130000000002</v>
      </c>
      <c r="H4462" s="1">
        <v>-3.3347340000000001E-6</v>
      </c>
      <c r="I4462">
        <v>75.463750000000005</v>
      </c>
      <c r="J4462">
        <v>-422.79320000000001</v>
      </c>
      <c r="K4462">
        <v>1.1109500000000001</v>
      </c>
      <c r="L4462">
        <v>90.355040000000002</v>
      </c>
      <c r="M4462">
        <v>-6.2700999999999896E-2</v>
      </c>
      <c r="N4462">
        <v>0</v>
      </c>
      <c r="O4462">
        <v>-0.99793290000000001</v>
      </c>
      <c r="P4462">
        <v>8.424479E-2</v>
      </c>
      <c r="Q4462">
        <v>7.1925100000000006E-2</v>
      </c>
      <c r="R4462">
        <v>-0.99384600000000001</v>
      </c>
      <c r="S4462">
        <v>-5.7128909999999998E-2</v>
      </c>
      <c r="T4462">
        <v>-0.2224633</v>
      </c>
      <c r="U4462">
        <v>-3.0390009999999998</v>
      </c>
      <c r="V4462">
        <v>-0.1465265</v>
      </c>
      <c r="W4462">
        <v>8.562256E-2</v>
      </c>
      <c r="X4462">
        <v>0.98549419999999999</v>
      </c>
      <c r="Y4462">
        <v>-4.3987709999999999E-2</v>
      </c>
      <c r="Z4462">
        <v>7.275044E-2</v>
      </c>
      <c r="AA4462">
        <v>0.99637969999999998</v>
      </c>
      <c r="AB4462">
        <v>28</v>
      </c>
      <c r="AC4462">
        <v>-0.268100000000004</v>
      </c>
      <c r="AD4462">
        <v>-1.1109533347339999</v>
      </c>
      <c r="AE4462">
        <v>-14.8912899999999</v>
      </c>
      <c r="AF4462">
        <v>-0.66253276835649599</v>
      </c>
      <c r="AG4462">
        <v>-1.1109533347339999</v>
      </c>
      <c r="AH4462">
        <v>14.796467852673601</v>
      </c>
      <c r="AI4462">
        <v>94.289562367700299</v>
      </c>
      <c r="AJ4462">
        <v>92.5637870493115</v>
      </c>
      <c r="AK4462">
        <v>14.8528996460727</v>
      </c>
      <c r="AL4462">
        <v>85.088174691233107</v>
      </c>
      <c r="AM4462">
        <v>98.4569684279478</v>
      </c>
      <c r="AN4462">
        <v>1.00000002810842</v>
      </c>
    </row>
    <row r="4463" spans="1:40" x14ac:dyDescent="0.25">
      <c r="A4463" t="str">
        <f>"20190312151404299"</f>
        <v>20190312151404299</v>
      </c>
      <c r="B4463" t="str">
        <f>"1552374844295159"</f>
        <v>1552374844295159</v>
      </c>
      <c r="C4463" t="s">
        <v>40</v>
      </c>
      <c r="D4463">
        <v>4.5195270000000001</v>
      </c>
      <c r="E4463">
        <v>0.54034659999999901</v>
      </c>
      <c r="F4463" t="s">
        <v>42</v>
      </c>
      <c r="G4463">
        <v>-423.07080000000002</v>
      </c>
      <c r="H4463" s="1">
        <v>-3.0935289999999999E-6</v>
      </c>
      <c r="I4463">
        <v>74.895609999999905</v>
      </c>
      <c r="J4463">
        <v>-422.80970000000002</v>
      </c>
      <c r="K4463">
        <v>1.1109990000000001</v>
      </c>
      <c r="L4463">
        <v>90.076970000000003</v>
      </c>
      <c r="M4463">
        <v>-6.1805680000000002E-2</v>
      </c>
      <c r="N4463">
        <v>0</v>
      </c>
      <c r="O4463">
        <v>-0.9979886</v>
      </c>
      <c r="P4463">
        <v>8.5854230000000004E-2</v>
      </c>
      <c r="Q4463">
        <v>7.201668E-2</v>
      </c>
      <c r="R4463">
        <v>-0.99370190000000003</v>
      </c>
      <c r="S4463">
        <v>-5.4565429999999998E-2</v>
      </c>
      <c r="T4463">
        <v>-0.2183901</v>
      </c>
      <c r="U4463">
        <v>-3.0390009999999998</v>
      </c>
      <c r="V4463">
        <v>-0.1472473</v>
      </c>
      <c r="W4463">
        <v>8.5694290000000006E-2</v>
      </c>
      <c r="X4463">
        <v>0.98538049999999999</v>
      </c>
      <c r="Y4463">
        <v>-4.3929910000000003E-2</v>
      </c>
      <c r="Z4463">
        <v>7.1431980000000006E-2</v>
      </c>
      <c r="AA4463">
        <v>0.99647759999999996</v>
      </c>
      <c r="AB4463">
        <v>28</v>
      </c>
      <c r="AC4463">
        <v>-0.261099999999999</v>
      </c>
      <c r="AD4463">
        <v>-1.1110020935289999</v>
      </c>
      <c r="AE4463">
        <v>-15.1813599999999</v>
      </c>
      <c r="AF4463">
        <v>-0.67417727583735199</v>
      </c>
      <c r="AG4463">
        <v>-1.1110020935289999</v>
      </c>
      <c r="AH4463">
        <v>15.0876898025675</v>
      </c>
      <c r="AI4463">
        <v>94.207266895543995</v>
      </c>
      <c r="AJ4463">
        <v>92.558498698055899</v>
      </c>
      <c r="AK4463">
        <v>15.143553883734899</v>
      </c>
      <c r="AL4463">
        <v>85.084049586317704</v>
      </c>
      <c r="AM4463">
        <v>98.498930599238406</v>
      </c>
      <c r="AN4463">
        <v>1.0000000042380699</v>
      </c>
    </row>
    <row r="4464" spans="1:40" x14ac:dyDescent="0.25">
      <c r="A4464" t="str">
        <f>"20190312151404321"</f>
        <v>20190312151404321</v>
      </c>
      <c r="B4464" t="str">
        <f>"1552374844314678"</f>
        <v>1552374844314678</v>
      </c>
      <c r="C4464" t="s">
        <v>40</v>
      </c>
      <c r="D4464">
        <v>4.5147959999999996</v>
      </c>
      <c r="E4464">
        <v>0.54038140000000001</v>
      </c>
      <c r="F4464" t="s">
        <v>42</v>
      </c>
      <c r="G4464">
        <v>-423.06819999999999</v>
      </c>
      <c r="H4464" s="1">
        <v>-2.9534080000000002E-6</v>
      </c>
      <c r="I4464">
        <v>74.570619999999906</v>
      </c>
      <c r="J4464">
        <v>-422.82589999999999</v>
      </c>
      <c r="K4464">
        <v>1.1110420000000001</v>
      </c>
      <c r="L4464">
        <v>89.7988</v>
      </c>
      <c r="M4464">
        <v>-6.0860570000000003E-2</v>
      </c>
      <c r="N4464">
        <v>0</v>
      </c>
      <c r="O4464">
        <v>-0.99804669999999895</v>
      </c>
      <c r="P4464">
        <v>8.7938730000000007E-2</v>
      </c>
      <c r="Q4464">
        <v>7.2743210000000003E-2</v>
      </c>
      <c r="R4464">
        <v>-0.99346630000000002</v>
      </c>
      <c r="S4464">
        <v>-5.0659179999999998E-2</v>
      </c>
      <c r="T4464">
        <v>-0.217752</v>
      </c>
      <c r="U4464">
        <v>-3.0391849999999998</v>
      </c>
      <c r="V4464">
        <v>-0.14838979999999999</v>
      </c>
      <c r="W4464">
        <v>8.6398829999999996E-2</v>
      </c>
      <c r="X4464">
        <v>0.98514749999999995</v>
      </c>
      <c r="Y4464">
        <v>-4.4265039999999999E-2</v>
      </c>
      <c r="Z4464">
        <v>7.1226540000000005E-2</v>
      </c>
      <c r="AA4464">
        <v>0.99647750000000002</v>
      </c>
      <c r="AB4464">
        <v>28</v>
      </c>
      <c r="AC4464">
        <v>-0.24229999999999999</v>
      </c>
      <c r="AD4464">
        <v>-1.111044953408</v>
      </c>
      <c r="AE4464">
        <v>-15.22818</v>
      </c>
      <c r="AF4464">
        <v>-0.68141076560609404</v>
      </c>
      <c r="AG4464">
        <v>-1.111044953408</v>
      </c>
      <c r="AH4464">
        <v>15.1341528353522</v>
      </c>
      <c r="AI4464">
        <v>94.194493901566403</v>
      </c>
      <c r="AJ4464">
        <v>92.577984455705703</v>
      </c>
      <c r="AK4464">
        <v>15.190171939901701</v>
      </c>
      <c r="AL4464">
        <v>85.043531841677506</v>
      </c>
      <c r="AM4464">
        <v>98.565895604438793</v>
      </c>
      <c r="AN4464">
        <v>0.99999994366282696</v>
      </c>
    </row>
    <row r="4465" spans="1:40" x14ac:dyDescent="0.25">
      <c r="A4465" t="str">
        <f>"20190312151404344"</f>
        <v>20190312151404344</v>
      </c>
      <c r="B4465" t="str">
        <f>"1552374844335174"</f>
        <v>1552374844335174</v>
      </c>
      <c r="C4465" t="s">
        <v>40</v>
      </c>
      <c r="D4465">
        <v>4.4873260000000004</v>
      </c>
      <c r="E4465">
        <v>0.54040049999999995</v>
      </c>
      <c r="F4465" t="s">
        <v>42</v>
      </c>
      <c r="G4465">
        <v>-423.05489999999998</v>
      </c>
      <c r="H4465" s="1">
        <v>-2.7762260000000001E-6</v>
      </c>
      <c r="I4465">
        <v>74.165840000000003</v>
      </c>
      <c r="J4465">
        <v>-422.8426</v>
      </c>
      <c r="K4465">
        <v>1.111089</v>
      </c>
      <c r="L4465">
        <v>89.505949999999999</v>
      </c>
      <c r="M4465">
        <v>-5.9812379999999998E-2</v>
      </c>
      <c r="N4465">
        <v>0</v>
      </c>
      <c r="O4465">
        <v>-0.9981101</v>
      </c>
      <c r="P4465">
        <v>9.031206E-2</v>
      </c>
      <c r="Q4465">
        <v>7.3603749999999996E-2</v>
      </c>
      <c r="R4465">
        <v>-0.99319009999999996</v>
      </c>
      <c r="S4465">
        <v>-4.4525149999999999E-2</v>
      </c>
      <c r="T4465">
        <v>-0.21601860000000001</v>
      </c>
      <c r="U4465">
        <v>-3.0394899999999998</v>
      </c>
      <c r="V4465">
        <v>-0.14971660000000001</v>
      </c>
      <c r="W4465">
        <v>8.7235359999999998E-2</v>
      </c>
      <c r="X4465">
        <v>0.98487309999999995</v>
      </c>
      <c r="Y4465">
        <v>-4.5227429999999999E-2</v>
      </c>
      <c r="Z4465">
        <v>7.0661619999999994E-2</v>
      </c>
      <c r="AA4465">
        <v>0.99647450000000004</v>
      </c>
      <c r="AB4465">
        <v>28</v>
      </c>
      <c r="AC4465">
        <v>-0.21229999999997001</v>
      </c>
      <c r="AD4465">
        <v>-1.111091776226</v>
      </c>
      <c r="AE4465">
        <v>-15.3401099999999</v>
      </c>
      <c r="AF4465">
        <v>-0.70201762843170901</v>
      </c>
      <c r="AG4465">
        <v>-1.111091776226</v>
      </c>
      <c r="AH4465">
        <v>15.245374983824799</v>
      </c>
      <c r="AI4465">
        <v>94.163983066762697</v>
      </c>
      <c r="AJ4465">
        <v>92.636488371784495</v>
      </c>
      <c r="AK4465">
        <v>15.3019218428031</v>
      </c>
      <c r="AL4465">
        <v>84.995421055799795</v>
      </c>
      <c r="AM4465">
        <v>98.643706047706402</v>
      </c>
      <c r="AN4465">
        <v>1.00000004572674</v>
      </c>
    </row>
    <row r="4466" spans="1:40" x14ac:dyDescent="0.25">
      <c r="A4466" t="str">
        <f>"20190312151404368"</f>
        <v>20190312151404368</v>
      </c>
      <c r="B4466" t="str">
        <f>"1552374844364995"</f>
        <v>1552374844364995</v>
      </c>
      <c r="C4466" t="s">
        <v>40</v>
      </c>
      <c r="D4466">
        <v>4.5733470000000001</v>
      </c>
      <c r="E4466">
        <v>0.54020089999999998</v>
      </c>
      <c r="F4466" t="s">
        <v>42</v>
      </c>
      <c r="G4466">
        <v>-423.03769999999997</v>
      </c>
      <c r="H4466" s="1">
        <v>-2.5748229999999999E-6</v>
      </c>
      <c r="I4466">
        <v>73.707030000000003</v>
      </c>
      <c r="J4466">
        <v>-422.85890000000001</v>
      </c>
      <c r="K4466">
        <v>1.1111359999999999</v>
      </c>
      <c r="L4466">
        <v>89.213840000000005</v>
      </c>
      <c r="M4466">
        <v>-5.8706729999999999E-2</v>
      </c>
      <c r="N4466">
        <v>0</v>
      </c>
      <c r="O4466">
        <v>-0.9981759</v>
      </c>
      <c r="P4466">
        <v>9.3043299999999995E-2</v>
      </c>
      <c r="Q4466">
        <v>7.3747670000000001E-2</v>
      </c>
      <c r="R4466">
        <v>-0.99292709999999995</v>
      </c>
      <c r="S4466">
        <v>-3.753662E-2</v>
      </c>
      <c r="T4466">
        <v>-0.2137821</v>
      </c>
      <c r="U4466">
        <v>-3.039825</v>
      </c>
      <c r="V4466">
        <v>-0.151343899999999</v>
      </c>
      <c r="W4466">
        <v>8.7356489999999995E-2</v>
      </c>
      <c r="X4466">
        <v>0.98461359999999998</v>
      </c>
      <c r="Y4466">
        <v>-4.6412250000000002E-2</v>
      </c>
      <c r="Z4466">
        <v>6.9932049999999996E-2</v>
      </c>
      <c r="AA4466">
        <v>0.99647149999999995</v>
      </c>
      <c r="AB4466">
        <v>28</v>
      </c>
      <c r="AC4466">
        <v>-0.17879999999996701</v>
      </c>
      <c r="AD4466">
        <v>-1.111138574823</v>
      </c>
      <c r="AE4466">
        <v>-15.50681</v>
      </c>
      <c r="AF4466">
        <v>-0.728214404826938</v>
      </c>
      <c r="AG4466">
        <v>-1.111138574823</v>
      </c>
      <c r="AH4466">
        <v>15.4114391668642</v>
      </c>
      <c r="AI4466">
        <v>94.119212740106803</v>
      </c>
      <c r="AJ4466">
        <v>92.7053022646909</v>
      </c>
      <c r="AK4466">
        <v>15.468593418466099</v>
      </c>
      <c r="AL4466">
        <v>84.988454177367004</v>
      </c>
      <c r="AM4466">
        <v>98.738481379377205</v>
      </c>
      <c r="AN4466">
        <v>1.0000000368586399</v>
      </c>
    </row>
    <row r="4467" spans="1:40" x14ac:dyDescent="0.25">
      <c r="A4467" t="str">
        <f>"20190312151404410"</f>
        <v>20190312151404410</v>
      </c>
      <c r="B4467" t="str">
        <f>"1552374844405011"</f>
        <v>1552374844405011</v>
      </c>
      <c r="C4467" t="s">
        <v>40</v>
      </c>
      <c r="D4467">
        <v>4.6031890000000004</v>
      </c>
      <c r="E4467">
        <v>0.49583060000000001</v>
      </c>
      <c r="F4467" t="s">
        <v>42</v>
      </c>
      <c r="G4467">
        <v>-423.00470000000001</v>
      </c>
      <c r="H4467" s="1">
        <v>-2.4143700000000001E-6</v>
      </c>
      <c r="I4467">
        <v>73.353440000000006</v>
      </c>
      <c r="J4467">
        <v>-422.88709999999998</v>
      </c>
      <c r="K4467">
        <v>1.1111960000000001</v>
      </c>
      <c r="L4467">
        <v>88.687469999999905</v>
      </c>
      <c r="M4467">
        <v>-5.6596649999999998E-2</v>
      </c>
      <c r="N4467">
        <v>0</v>
      </c>
      <c r="O4467">
        <v>-0.99829760000000001</v>
      </c>
      <c r="P4467">
        <v>9.8741239999999994E-2</v>
      </c>
      <c r="Q4467">
        <v>7.4458479999999994E-2</v>
      </c>
      <c r="R4467">
        <v>-0.99232379999999998</v>
      </c>
      <c r="S4467">
        <v>-2.7954099999999999E-2</v>
      </c>
      <c r="T4467">
        <v>-0.2129624</v>
      </c>
      <c r="U4467">
        <v>-3.039825</v>
      </c>
      <c r="V4467">
        <v>-0.15492819999999999</v>
      </c>
      <c r="W4467">
        <v>8.8026709999999994E-2</v>
      </c>
      <c r="X4467">
        <v>0.98399619999999999</v>
      </c>
      <c r="Y4467">
        <v>-4.7441369999999997E-2</v>
      </c>
      <c r="Z4467">
        <v>6.9677459999999997E-2</v>
      </c>
      <c r="AA4467">
        <v>0.99644080000000002</v>
      </c>
      <c r="AB4467">
        <v>28</v>
      </c>
      <c r="AC4467">
        <v>-0.11760000000003799</v>
      </c>
      <c r="AD4467">
        <v>-1.11119841436999</v>
      </c>
      <c r="AE4467">
        <v>-15.334029999999901</v>
      </c>
      <c r="AF4467">
        <v>-0.746609036387887</v>
      </c>
      <c r="AG4467">
        <v>-1.11119841436999</v>
      </c>
      <c r="AH4467">
        <v>15.2360976945694</v>
      </c>
      <c r="AI4467">
        <v>94.166326354753593</v>
      </c>
      <c r="AJ4467">
        <v>92.805400493420805</v>
      </c>
      <c r="AK4467">
        <v>15.294798459861401</v>
      </c>
      <c r="AL4467">
        <v>84.949904634760102</v>
      </c>
      <c r="AM4467">
        <v>98.947649456072099</v>
      </c>
      <c r="AN4467">
        <v>0.99999998522155098</v>
      </c>
    </row>
    <row r="4468" spans="1:40" x14ac:dyDescent="0.25">
      <c r="A4468" t="str">
        <f>"20190312151404432"</f>
        <v>20190312151404432</v>
      </c>
      <c r="B4468" t="str">
        <f>"1552374844424531"</f>
        <v>1552374844424531</v>
      </c>
      <c r="C4468" t="s">
        <v>40</v>
      </c>
      <c r="D4468">
        <v>4.6093960000000003</v>
      </c>
      <c r="E4468">
        <v>0.49457020000000002</v>
      </c>
      <c r="F4468" t="s">
        <v>42</v>
      </c>
      <c r="G4468">
        <v>-420.60750000000002</v>
      </c>
      <c r="H4468" s="1">
        <v>-4.0058200000000004E-6</v>
      </c>
      <c r="I4468">
        <v>68.549959999999999</v>
      </c>
      <c r="J4468">
        <v>-422.90120000000002</v>
      </c>
      <c r="K4468">
        <v>1.111208</v>
      </c>
      <c r="L4468">
        <v>88.416439999999994</v>
      </c>
      <c r="M4468">
        <v>-5.5468150000000001E-2</v>
      </c>
      <c r="N4468">
        <v>0</v>
      </c>
      <c r="O4468">
        <v>-0.9983611</v>
      </c>
      <c r="P4468">
        <v>0.10199279999999999</v>
      </c>
      <c r="Q4468">
        <v>7.4680919999999998E-2</v>
      </c>
      <c r="R4468">
        <v>-0.99197829999999998</v>
      </c>
      <c r="S4468">
        <v>0.33981319999999998</v>
      </c>
      <c r="T4468">
        <v>-0.16564289999999901</v>
      </c>
      <c r="U4468">
        <v>-3.0018310000000001</v>
      </c>
      <c r="V4468">
        <v>-0.15704580000000001</v>
      </c>
      <c r="W4468">
        <v>8.8230009999999998E-2</v>
      </c>
      <c r="X4468">
        <v>0.98364229999999997</v>
      </c>
      <c r="Y4468">
        <v>-0.16726450000000001</v>
      </c>
      <c r="Z4468">
        <v>5.440801E-2</v>
      </c>
      <c r="AA4468">
        <v>0.9844096</v>
      </c>
      <c r="AB4468">
        <v>28</v>
      </c>
      <c r="AC4468">
        <v>2.2936999999999999</v>
      </c>
      <c r="AD4468">
        <v>-1.1112120058199999</v>
      </c>
      <c r="AE4468">
        <v>-19.866479999999999</v>
      </c>
      <c r="AF4468">
        <v>-3.3817931263276999</v>
      </c>
      <c r="AG4468">
        <v>-1.1112120058199999</v>
      </c>
      <c r="AH4468">
        <v>19.6479863724865</v>
      </c>
      <c r="AI4468">
        <v>93.190162898299704</v>
      </c>
      <c r="AJ4468">
        <v>99.766007271572903</v>
      </c>
      <c r="AK4468">
        <v>19.9678412795318</v>
      </c>
      <c r="AL4468">
        <v>84.938211213005502</v>
      </c>
      <c r="AM4468">
        <v>99.071137919233607</v>
      </c>
      <c r="AN4468">
        <v>1.0000000461557601</v>
      </c>
    </row>
    <row r="4469" spans="1:40" x14ac:dyDescent="0.25">
      <c r="A4469" t="str">
        <f>"20190312151404455"</f>
        <v>20190312151404455</v>
      </c>
      <c r="B4469" t="str">
        <f>"1552374844445027"</f>
        <v>1552374844445027</v>
      </c>
      <c r="C4469" t="s">
        <v>40</v>
      </c>
      <c r="D4469">
        <v>4.7643959999999996</v>
      </c>
      <c r="E4469">
        <v>0.49427549999999998</v>
      </c>
      <c r="F4469" t="s">
        <v>42</v>
      </c>
      <c r="G4469">
        <v>-420.51170000000002</v>
      </c>
      <c r="H4469" s="1">
        <v>-3.9474310000000003E-6</v>
      </c>
      <c r="I4469">
        <v>68.473299999999995</v>
      </c>
      <c r="J4469">
        <v>-422.91550000000001</v>
      </c>
      <c r="K4469">
        <v>1.1112200000000001</v>
      </c>
      <c r="L4469">
        <v>88.134429999999995</v>
      </c>
      <c r="M4469">
        <v>-5.4275049999999998E-2</v>
      </c>
      <c r="N4469">
        <v>0</v>
      </c>
      <c r="O4469">
        <v>-0.9984267</v>
      </c>
      <c r="P4469">
        <v>0.1053669</v>
      </c>
      <c r="Q4469">
        <v>7.5034829999999997E-2</v>
      </c>
      <c r="R4469">
        <v>-0.9915986</v>
      </c>
      <c r="S4469">
        <v>0.35943599999999998</v>
      </c>
      <c r="T4469">
        <v>-0.1671503</v>
      </c>
      <c r="U4469">
        <v>-2.9998779999999998</v>
      </c>
      <c r="V4469">
        <v>-0.15922120000000001</v>
      </c>
      <c r="W4469">
        <v>8.8566759999999994E-2</v>
      </c>
      <c r="X4469">
        <v>0.98326219999999998</v>
      </c>
      <c r="Y4469">
        <v>-0.1725053</v>
      </c>
      <c r="Z4469">
        <v>5.4896769999999998E-2</v>
      </c>
      <c r="AA4469">
        <v>0.98347770000000001</v>
      </c>
      <c r="AB4469">
        <v>28</v>
      </c>
      <c r="AC4469">
        <v>2.40379999999998</v>
      </c>
      <c r="AD4469">
        <v>-1.1112239474309999</v>
      </c>
      <c r="AE4469">
        <v>-19.66113</v>
      </c>
      <c r="AF4469">
        <v>-3.45659176752075</v>
      </c>
      <c r="AG4469">
        <v>-1.1112239474309999</v>
      </c>
      <c r="AH4469">
        <v>19.440479257540002</v>
      </c>
      <c r="AI4469">
        <v>93.221074230735795</v>
      </c>
      <c r="AJ4469">
        <v>100.08204521400199</v>
      </c>
      <c r="AK4469">
        <v>19.776629618604801</v>
      </c>
      <c r="AL4469">
        <v>84.918840833889703</v>
      </c>
      <c r="AM4469">
        <v>99.198153108769503</v>
      </c>
      <c r="AN4469">
        <v>1.0000000077275799</v>
      </c>
    </row>
    <row r="4470" spans="1:40" x14ac:dyDescent="0.25">
      <c r="A4470" t="str">
        <f>"20190312151404477"</f>
        <v>20190312151404477</v>
      </c>
      <c r="B4470" t="str">
        <f>"1552374844465314"</f>
        <v>1552374844465314</v>
      </c>
      <c r="C4470" t="s">
        <v>40</v>
      </c>
      <c r="D4470">
        <v>4.6076819999999996</v>
      </c>
      <c r="E4470">
        <v>0.49422139999999998</v>
      </c>
      <c r="F4470" t="s">
        <v>42</v>
      </c>
      <c r="G4470">
        <v>-420.40710000000001</v>
      </c>
      <c r="H4470" s="1">
        <v>-3.658476E-6</v>
      </c>
      <c r="I4470">
        <v>67.864609999999999</v>
      </c>
      <c r="J4470">
        <v>-422.9289</v>
      </c>
      <c r="K4470">
        <v>1.111235</v>
      </c>
      <c r="L4470">
        <v>87.865880000000004</v>
      </c>
      <c r="M4470">
        <v>-5.3128429999999997E-2</v>
      </c>
      <c r="N4470">
        <v>0</v>
      </c>
      <c r="O4470">
        <v>-0.99848840000000005</v>
      </c>
      <c r="P4470">
        <v>0.1082975</v>
      </c>
      <c r="Q4470">
        <v>7.4711920000000001E-2</v>
      </c>
      <c r="R4470">
        <v>-0.9913071</v>
      </c>
      <c r="S4470">
        <v>0.37106319999999998</v>
      </c>
      <c r="T4470">
        <v>-0.16437939999999901</v>
      </c>
      <c r="U4470">
        <v>-2.9984440000000001</v>
      </c>
      <c r="V4470">
        <v>-0.16100220000000001</v>
      </c>
      <c r="W4470">
        <v>8.8231439999999994E-2</v>
      </c>
      <c r="X4470">
        <v>0.9830023</v>
      </c>
      <c r="Y4470">
        <v>-0.17519309999999999</v>
      </c>
      <c r="Z4470">
        <v>5.3994559999999997E-2</v>
      </c>
      <c r="AA4470">
        <v>0.98305240000000005</v>
      </c>
      <c r="AB4470">
        <v>28</v>
      </c>
      <c r="AC4470">
        <v>2.5217999999999798</v>
      </c>
      <c r="AD4470">
        <v>-1.1112386584759999</v>
      </c>
      <c r="AE4470">
        <v>-20.001270000000002</v>
      </c>
      <c r="AF4470">
        <v>-3.5701315510912899</v>
      </c>
      <c r="AG4470">
        <v>-1.1112386584759999</v>
      </c>
      <c r="AH4470">
        <v>19.778926802741999</v>
      </c>
      <c r="AI4470">
        <v>93.164632309974806</v>
      </c>
      <c r="AJ4470">
        <v>100.231819056129</v>
      </c>
      <c r="AK4470">
        <v>20.1292482749957</v>
      </c>
      <c r="AL4470">
        <v>84.938128768698803</v>
      </c>
      <c r="AM4470">
        <v>99.301668864850697</v>
      </c>
      <c r="AN4470">
        <v>1.0000000086073</v>
      </c>
    </row>
    <row r="4471" spans="1:40" x14ac:dyDescent="0.25">
      <c r="A4471" t="str">
        <f>"20190312151404499"</f>
        <v>20190312151404499</v>
      </c>
      <c r="B4471" t="str">
        <f>"1552374844494595"</f>
        <v>1552374844494595</v>
      </c>
      <c r="C4471" t="s">
        <v>40</v>
      </c>
      <c r="D4471">
        <v>4.7458119999999999</v>
      </c>
      <c r="E4471">
        <v>0.49432530000000002</v>
      </c>
      <c r="F4471" t="s">
        <v>42</v>
      </c>
      <c r="G4471">
        <v>-420.30489999999998</v>
      </c>
      <c r="H4471" s="1">
        <v>-3.3428250000000001E-6</v>
      </c>
      <c r="I4471">
        <v>67.192189999999997</v>
      </c>
      <c r="J4471">
        <v>-422.94200000000001</v>
      </c>
      <c r="K4471">
        <v>1.11124</v>
      </c>
      <c r="L4471">
        <v>87.594149999999999</v>
      </c>
      <c r="M4471">
        <v>-5.196332E-2</v>
      </c>
      <c r="N4471">
        <v>0</v>
      </c>
      <c r="O4471">
        <v>-0.99854989999999999</v>
      </c>
      <c r="P4471">
        <v>0.11092779999999999</v>
      </c>
      <c r="Q4471">
        <v>7.4042520000000001E-2</v>
      </c>
      <c r="R4471">
        <v>-0.99106680000000003</v>
      </c>
      <c r="S4471">
        <v>0.38037110000000002</v>
      </c>
      <c r="T4471">
        <v>-0.1610867</v>
      </c>
      <c r="U4471">
        <v>-2.9968870000000001</v>
      </c>
      <c r="V4471">
        <v>-0.16246720000000001</v>
      </c>
      <c r="W4471">
        <v>8.7552199999999997E-2</v>
      </c>
      <c r="X4471">
        <v>0.98282190000000003</v>
      </c>
      <c r="Y4471">
        <v>-0.17711939999999901</v>
      </c>
      <c r="Z4471">
        <v>5.2928860000000001E-2</v>
      </c>
      <c r="AA4471">
        <v>0.98276509999999995</v>
      </c>
      <c r="AB4471">
        <v>28</v>
      </c>
      <c r="AC4471">
        <v>2.63709999999997</v>
      </c>
      <c r="AD4471">
        <v>-1.1112433428249999</v>
      </c>
      <c r="AE4471">
        <v>-20.401959999999999</v>
      </c>
      <c r="AF4471">
        <v>-3.6830480880271299</v>
      </c>
      <c r="AG4471">
        <v>-1.1112433428249999</v>
      </c>
      <c r="AH4471">
        <v>20.178465486941999</v>
      </c>
      <c r="AI4471">
        <v>93.101008637716305</v>
      </c>
      <c r="AJ4471">
        <v>100.343971020365</v>
      </c>
      <c r="AK4471">
        <v>20.541912627440599</v>
      </c>
      <c r="AL4471">
        <v>84.977197168652495</v>
      </c>
      <c r="AM4471">
        <v>99.386499931045094</v>
      </c>
      <c r="AN4471">
        <v>0.999999932960142</v>
      </c>
    </row>
    <row r="4472" spans="1:40" x14ac:dyDescent="0.25">
      <c r="A4472" t="str">
        <f>"20190312151404522"</f>
        <v>20190312151404522</v>
      </c>
      <c r="B4472" t="str">
        <f>"1552374844515091"</f>
        <v>1552374844515091</v>
      </c>
      <c r="C4472" t="s">
        <v>40</v>
      </c>
      <c r="D4472">
        <v>4.6609040000000004</v>
      </c>
      <c r="E4472">
        <v>0.49438660000000001</v>
      </c>
      <c r="F4472" t="s">
        <v>42</v>
      </c>
      <c r="G4472">
        <v>-420.33390000000003</v>
      </c>
      <c r="H4472" s="1">
        <v>-3.4478860000000001E-6</v>
      </c>
      <c r="I4472">
        <v>67.419110000000003</v>
      </c>
      <c r="J4472">
        <v>-422.9554</v>
      </c>
      <c r="K4472">
        <v>1.111243</v>
      </c>
      <c r="L4472">
        <v>87.31</v>
      </c>
      <c r="M4472">
        <v>-5.0744339999999999E-2</v>
      </c>
      <c r="N4472">
        <v>0</v>
      </c>
      <c r="O4472">
        <v>-0.99861259999999996</v>
      </c>
      <c r="P4472">
        <v>0.1138782</v>
      </c>
      <c r="Q4472">
        <v>7.347368E-2</v>
      </c>
      <c r="R4472">
        <v>-0.9907745</v>
      </c>
      <c r="S4472">
        <v>0.38729859999999999</v>
      </c>
      <c r="T4472">
        <v>-0.1650201</v>
      </c>
      <c r="U4472">
        <v>-2.9960019999999998</v>
      </c>
      <c r="V4472">
        <v>-0.1641967</v>
      </c>
      <c r="W4472">
        <v>8.6973149999999999E-2</v>
      </c>
      <c r="X4472">
        <v>0.98258590000000001</v>
      </c>
      <c r="Y4472">
        <v>-0.1781809</v>
      </c>
      <c r="Z4472">
        <v>5.4225290000000002E-2</v>
      </c>
      <c r="AA4472">
        <v>0.98250249999999995</v>
      </c>
      <c r="AB4472">
        <v>28</v>
      </c>
      <c r="AC4472">
        <v>2.6214999999999602</v>
      </c>
      <c r="AD4472">
        <v>-1.111246447886</v>
      </c>
      <c r="AE4472">
        <v>-19.890889999999999</v>
      </c>
      <c r="AF4472">
        <v>-3.61647716344015</v>
      </c>
      <c r="AG4472">
        <v>-1.111246447886</v>
      </c>
      <c r="AH4472">
        <v>19.671869298117301</v>
      </c>
      <c r="AI4472">
        <v>93.179973288668407</v>
      </c>
      <c r="AJ4472">
        <v>100.416943158965</v>
      </c>
      <c r="AK4472">
        <v>20.032379225240099</v>
      </c>
      <c r="AL4472">
        <v>85.010501511928993</v>
      </c>
      <c r="AM4472">
        <v>99.486851827462303</v>
      </c>
      <c r="AN4472">
        <v>0.99999996799530999</v>
      </c>
    </row>
    <row r="4473" spans="1:40" x14ac:dyDescent="0.25">
      <c r="A4473" t="str">
        <f>"20190312151404545"</f>
        <v>20190312151404545</v>
      </c>
      <c r="B4473" t="str">
        <f>"1552374844534611"</f>
        <v>1552374844534611</v>
      </c>
      <c r="C4473" t="s">
        <v>40</v>
      </c>
      <c r="D4473">
        <v>4.6650419999999997</v>
      </c>
      <c r="E4473">
        <v>0.4944981</v>
      </c>
      <c r="F4473" t="s">
        <v>42</v>
      </c>
      <c r="G4473">
        <v>-420.39139999999998</v>
      </c>
      <c r="H4473" s="1">
        <v>-3.6776289999999999E-6</v>
      </c>
      <c r="I4473">
        <v>67.918980000000005</v>
      </c>
      <c r="J4473">
        <v>-422.9683</v>
      </c>
      <c r="K4473">
        <v>1.1112390000000001</v>
      </c>
      <c r="L4473">
        <v>87.028469999999999</v>
      </c>
      <c r="M4473">
        <v>-4.9539380000000001E-2</v>
      </c>
      <c r="N4473">
        <v>0</v>
      </c>
      <c r="O4473">
        <v>-0.99867289999999997</v>
      </c>
      <c r="P4473">
        <v>0.1166571</v>
      </c>
      <c r="Q4473">
        <v>7.3347839999999997E-2</v>
      </c>
      <c r="R4473">
        <v>-0.99046009999999995</v>
      </c>
      <c r="S4473">
        <v>0.39602660000000001</v>
      </c>
      <c r="T4473">
        <v>-0.17164389999999999</v>
      </c>
      <c r="U4473">
        <v>-2.9951479999999999</v>
      </c>
      <c r="V4473">
        <v>-0.165769</v>
      </c>
      <c r="W4473">
        <v>8.683871E-2</v>
      </c>
      <c r="X4473">
        <v>0.98233380000000003</v>
      </c>
      <c r="Y4473">
        <v>-0.17982819999999999</v>
      </c>
      <c r="Z4473">
        <v>5.639686E-2</v>
      </c>
      <c r="AA4473">
        <v>0.98207999999999995</v>
      </c>
      <c r="AB4473">
        <v>28</v>
      </c>
      <c r="AC4473">
        <v>2.5769000000000202</v>
      </c>
      <c r="AD4473">
        <v>-1.1112426776290001</v>
      </c>
      <c r="AE4473">
        <v>-19.109489999999901</v>
      </c>
      <c r="AF4473">
        <v>-3.50884800008303</v>
      </c>
      <c r="AG4473">
        <v>-1.1112426776290001</v>
      </c>
      <c r="AH4473">
        <v>18.895595681271601</v>
      </c>
      <c r="AI4473">
        <v>93.309222280669005</v>
      </c>
      <c r="AJ4473">
        <v>100.519805150406</v>
      </c>
      <c r="AK4473">
        <v>19.250724940281099</v>
      </c>
      <c r="AL4473">
        <v>85.018233814643693</v>
      </c>
      <c r="AM4473">
        <v>99.578432631260299</v>
      </c>
      <c r="AN4473">
        <v>1.00000000876895</v>
      </c>
    </row>
    <row r="4474" spans="1:40" x14ac:dyDescent="0.25">
      <c r="A4474" t="str">
        <f>"20190312151404568"</f>
        <v>20190312151404568</v>
      </c>
      <c r="B4474" t="str">
        <f>"1552374844564867"</f>
        <v>1552374844564867</v>
      </c>
      <c r="C4474" t="s">
        <v>40</v>
      </c>
      <c r="D4474">
        <v>4.714162</v>
      </c>
      <c r="E4474">
        <v>0.4944557</v>
      </c>
      <c r="F4474" t="s">
        <v>42</v>
      </c>
      <c r="G4474">
        <v>-420.42180000000002</v>
      </c>
      <c r="H4474" s="1">
        <v>-3.7686740000000001E-6</v>
      </c>
      <c r="I4474">
        <v>68.112340000000003</v>
      </c>
      <c r="J4474">
        <v>-422.98079999999999</v>
      </c>
      <c r="K4474">
        <v>1.111243</v>
      </c>
      <c r="L4474">
        <v>86.748170000000002</v>
      </c>
      <c r="M4474">
        <v>-4.834219E-2</v>
      </c>
      <c r="N4474">
        <v>0</v>
      </c>
      <c r="O4474">
        <v>-0.9987317</v>
      </c>
      <c r="P4474">
        <v>0.1190789</v>
      </c>
      <c r="Q4474">
        <v>7.3661980000000002E-2</v>
      </c>
      <c r="R4474">
        <v>-0.99014869999999999</v>
      </c>
      <c r="S4474">
        <v>0.40310669999999998</v>
      </c>
      <c r="T4474">
        <v>-0.17590929999999999</v>
      </c>
      <c r="U4474">
        <v>-2.994415</v>
      </c>
      <c r="V4474">
        <v>-0.166993899999999</v>
      </c>
      <c r="W4474">
        <v>8.7144639999999995E-2</v>
      </c>
      <c r="X4474">
        <v>0.98209919999999995</v>
      </c>
      <c r="Y4474">
        <v>-0.18095079999999999</v>
      </c>
      <c r="Z4474">
        <v>5.7797759999999997E-2</v>
      </c>
      <c r="AA4474">
        <v>0.98179229999999995</v>
      </c>
      <c r="AB4474">
        <v>28</v>
      </c>
      <c r="AC4474">
        <v>2.5589999999999602</v>
      </c>
      <c r="AD4474">
        <v>-1.111246768674</v>
      </c>
      <c r="AE4474">
        <v>-18.635829999999999</v>
      </c>
      <c r="AF4474">
        <v>-3.4449710104849198</v>
      </c>
      <c r="AG4474">
        <v>-1.111246768674</v>
      </c>
      <c r="AH4474">
        <v>18.426012740544</v>
      </c>
      <c r="AI4474">
        <v>93.392603348752502</v>
      </c>
      <c r="AJ4474">
        <v>100.589894618526</v>
      </c>
      <c r="AK4474">
        <v>18.778195870707599</v>
      </c>
      <c r="AL4474">
        <v>85.000638544057495</v>
      </c>
      <c r="AM4474">
        <v>99.650145297638502</v>
      </c>
      <c r="AN4474">
        <v>0.99999999477928903</v>
      </c>
    </row>
    <row r="4475" spans="1:40" x14ac:dyDescent="0.25">
      <c r="A4475" t="str">
        <f>"20190312151404656"</f>
        <v>20190312151404656</v>
      </c>
      <c r="B4475" t="str">
        <f>"1552374844644899"</f>
        <v>1552374844644899</v>
      </c>
      <c r="C4475" t="s">
        <v>40</v>
      </c>
      <c r="D4475">
        <v>4.4022360000000003</v>
      </c>
      <c r="E4475">
        <v>0.48546590000000001</v>
      </c>
      <c r="F4475" t="s">
        <v>42</v>
      </c>
      <c r="G4475">
        <v>-420.40910000000002</v>
      </c>
      <c r="H4475" s="1">
        <v>-3.727833E-6</v>
      </c>
      <c r="I4475">
        <v>68.025049999999993</v>
      </c>
      <c r="J4475">
        <v>-423.02600000000001</v>
      </c>
      <c r="K4475">
        <v>1.1112359999999999</v>
      </c>
      <c r="L4475">
        <v>85.668700000000001</v>
      </c>
      <c r="M4475">
        <v>-4.3746510000000002E-2</v>
      </c>
      <c r="N4475">
        <v>0</v>
      </c>
      <c r="O4475">
        <v>-0.9989439</v>
      </c>
      <c r="P4475">
        <v>0.12687309999999999</v>
      </c>
      <c r="Q4475">
        <v>7.4217379999999999E-2</v>
      </c>
      <c r="R4475">
        <v>-0.98913899999999999</v>
      </c>
      <c r="S4475">
        <v>0.4111938</v>
      </c>
      <c r="T4475">
        <v>-0.17767620000000001</v>
      </c>
      <c r="U4475">
        <v>-2.9936219999999998</v>
      </c>
      <c r="V4475">
        <v>-0.1702092</v>
      </c>
      <c r="W4475">
        <v>8.7679489999999999E-2</v>
      </c>
      <c r="X4475">
        <v>0.98149940000000002</v>
      </c>
      <c r="Y4475">
        <v>-0.17905929999999901</v>
      </c>
      <c r="Z4475">
        <v>5.8409999999999997E-2</v>
      </c>
      <c r="AA4475">
        <v>0.9821029</v>
      </c>
      <c r="AB4475">
        <v>27</v>
      </c>
      <c r="AC4475">
        <v>2.6168999999999798</v>
      </c>
      <c r="AD4475">
        <v>-1.111239727833</v>
      </c>
      <c r="AE4475">
        <v>-17.643650000000001</v>
      </c>
      <c r="AF4475">
        <v>-3.3732256913433898</v>
      </c>
      <c r="AG4475">
        <v>-1.111239727833</v>
      </c>
      <c r="AH4475">
        <v>17.4445549306534</v>
      </c>
      <c r="AI4475">
        <v>93.5787708115854</v>
      </c>
      <c r="AJ4475">
        <v>100.94412222551701</v>
      </c>
      <c r="AK4475">
        <v>17.802415623337101</v>
      </c>
      <c r="AL4475">
        <v>84.969876012051301</v>
      </c>
      <c r="AM4475">
        <v>99.838247208042006</v>
      </c>
      <c r="AN4475">
        <v>0.99999996846582895</v>
      </c>
    </row>
    <row r="4476" spans="1:40" x14ac:dyDescent="0.25">
      <c r="A4476" t="str">
        <f>"20190312151404678"</f>
        <v>20190312151404678</v>
      </c>
      <c r="B4476" t="str">
        <f>"1552374844674686"</f>
        <v>1552374844674686</v>
      </c>
      <c r="C4476" t="s">
        <v>40</v>
      </c>
      <c r="D4476">
        <v>4.6168899999999997</v>
      </c>
      <c r="E4476">
        <v>0.48304780000000003</v>
      </c>
      <c r="F4476" t="s">
        <v>42</v>
      </c>
      <c r="G4476">
        <v>-422.45769999999999</v>
      </c>
      <c r="H4476" s="1">
        <v>-1.861267E-6</v>
      </c>
      <c r="I4476">
        <v>82.403440000000003</v>
      </c>
      <c r="J4476">
        <v>-423.03660000000002</v>
      </c>
      <c r="K4476">
        <v>1.1112310000000001</v>
      </c>
      <c r="L4476">
        <v>85.397949999999994</v>
      </c>
      <c r="M4476">
        <v>-4.2594809999999997E-2</v>
      </c>
      <c r="N4476">
        <v>0</v>
      </c>
      <c r="O4476">
        <v>-0.99899349999999998</v>
      </c>
      <c r="P4476">
        <v>0.12828879999999901</v>
      </c>
      <c r="Q4476">
        <v>7.4136170000000001E-2</v>
      </c>
      <c r="R4476">
        <v>-0.98896189999999995</v>
      </c>
      <c r="S4476">
        <v>0.52960209999999996</v>
      </c>
      <c r="T4476">
        <v>-1.035493</v>
      </c>
      <c r="U4476">
        <v>-3.042694</v>
      </c>
      <c r="V4476">
        <v>-0.17048239999999901</v>
      </c>
      <c r="W4476">
        <v>8.7594939999999996E-2</v>
      </c>
      <c r="X4476">
        <v>0.98145959999999999</v>
      </c>
      <c r="Y4476">
        <v>-0.20446010000000001</v>
      </c>
      <c r="Z4476">
        <v>0.31617840000000003</v>
      </c>
      <c r="AA4476">
        <v>0.92640549999999999</v>
      </c>
      <c r="AB4476">
        <v>27</v>
      </c>
      <c r="AC4476">
        <v>0.57890000000003194</v>
      </c>
      <c r="AD4476">
        <v>-1.1112328612669999</v>
      </c>
      <c r="AE4476">
        <v>-2.9945099999999898</v>
      </c>
      <c r="AF4476">
        <v>-0.62320878151258197</v>
      </c>
      <c r="AG4476">
        <v>-1.1112328612669999</v>
      </c>
      <c r="AH4476">
        <v>2.6194127396778302</v>
      </c>
      <c r="AI4476">
        <v>112.42641515888999</v>
      </c>
      <c r="AJ4476">
        <v>103.382956341934</v>
      </c>
      <c r="AK4476">
        <v>2.9128252192846298</v>
      </c>
      <c r="AL4476">
        <v>84.974739413054706</v>
      </c>
      <c r="AM4476">
        <v>99.854120876005894</v>
      </c>
      <c r="AN4476">
        <v>1.00000003432776</v>
      </c>
    </row>
    <row r="4477" spans="1:40" x14ac:dyDescent="0.25">
      <c r="A4477" t="str">
        <f>"20190312151404701"</f>
        <v>20190312151404701</v>
      </c>
      <c r="B4477" t="str">
        <f>"1552374844695181"</f>
        <v>1552374844695181</v>
      </c>
      <c r="C4477" t="s">
        <v>40</v>
      </c>
      <c r="D4477">
        <v>4.5823549999999997</v>
      </c>
      <c r="E4477">
        <v>0.48077170000000002</v>
      </c>
      <c r="F4477" t="s">
        <v>42</v>
      </c>
      <c r="G4477">
        <v>-422.35239999999999</v>
      </c>
      <c r="H4477" s="1">
        <v>-1.500552E-6</v>
      </c>
      <c r="I4477">
        <v>81.627880000000005</v>
      </c>
      <c r="J4477">
        <v>-423.04680000000002</v>
      </c>
      <c r="K4477">
        <v>1.1112340000000001</v>
      </c>
      <c r="L4477">
        <v>85.128749999999997</v>
      </c>
      <c r="M4477">
        <v>-4.1449689999999997E-2</v>
      </c>
      <c r="N4477">
        <v>0</v>
      </c>
      <c r="O4477">
        <v>-0.99904179999999998</v>
      </c>
      <c r="P4477">
        <v>0.12984219999999999</v>
      </c>
      <c r="Q4477">
        <v>7.4546630000000003E-2</v>
      </c>
      <c r="R4477">
        <v>-0.98872850000000001</v>
      </c>
      <c r="S4477">
        <v>0.54971309999999995</v>
      </c>
      <c r="T4477">
        <v>-0.89283449999999998</v>
      </c>
      <c r="U4477">
        <v>-3.0291139999999999</v>
      </c>
      <c r="V4477">
        <v>-0.17089889999999999</v>
      </c>
      <c r="W4477">
        <v>8.8001549999999998E-2</v>
      </c>
      <c r="X4477">
        <v>0.98135079999999997</v>
      </c>
      <c r="Y4477">
        <v>-0.21217859999999999</v>
      </c>
      <c r="Z4477">
        <v>0.27704269999999998</v>
      </c>
      <c r="AA4477">
        <v>0.93713800000000003</v>
      </c>
      <c r="AB4477">
        <v>27</v>
      </c>
      <c r="AC4477">
        <v>0.69440000000002999</v>
      </c>
      <c r="AD4477">
        <v>-1.111235500552</v>
      </c>
      <c r="AE4477">
        <v>-3.5008699999999902</v>
      </c>
      <c r="AF4477">
        <v>-0.76478904454018204</v>
      </c>
      <c r="AG4477">
        <v>-1.111235500552</v>
      </c>
      <c r="AH4477">
        <v>3.1625033269849601</v>
      </c>
      <c r="AI4477">
        <v>108.85675873393301</v>
      </c>
      <c r="AJ4477">
        <v>103.594847601278</v>
      </c>
      <c r="AK4477">
        <v>3.4381934083943899</v>
      </c>
      <c r="AL4477">
        <v>84.951352139351897</v>
      </c>
      <c r="AM4477">
        <v>99.8787950772724</v>
      </c>
      <c r="AN4477">
        <v>1.00000004974212</v>
      </c>
    </row>
    <row r="4478" spans="1:40" x14ac:dyDescent="0.25">
      <c r="A4478" t="str">
        <f>"20190312151404722"</f>
        <v>20190312151404722</v>
      </c>
      <c r="B4478" t="str">
        <f>"1552374844714701"</f>
        <v>1552374844714701</v>
      </c>
      <c r="C4478" t="s">
        <v>40</v>
      </c>
      <c r="D4478">
        <v>4.594608</v>
      </c>
      <c r="E4478">
        <v>0.48049639999999999</v>
      </c>
      <c r="F4478" t="s">
        <v>42</v>
      </c>
      <c r="G4478">
        <v>-418.34050000000002</v>
      </c>
      <c r="H4478" s="1">
        <v>-4.9220549999999997E-7</v>
      </c>
      <c r="I4478">
        <v>59.796939999999999</v>
      </c>
      <c r="J4478">
        <v>-423.05650000000003</v>
      </c>
      <c r="K4478">
        <v>1.1112359999999999</v>
      </c>
      <c r="L4478">
        <v>84.866460000000004</v>
      </c>
      <c r="M4478">
        <v>-4.033349E-2</v>
      </c>
      <c r="N4478">
        <v>0</v>
      </c>
      <c r="O4478">
        <v>-0.99908730000000001</v>
      </c>
      <c r="P4478">
        <v>0.13146579999999999</v>
      </c>
      <c r="Q4478">
        <v>7.4882080000000004E-2</v>
      </c>
      <c r="R4478">
        <v>-0.98848829999999999</v>
      </c>
      <c r="S4478">
        <v>0.55206299999999997</v>
      </c>
      <c r="T4478">
        <v>-0.13035250000000001</v>
      </c>
      <c r="U4478">
        <v>-2.971527</v>
      </c>
      <c r="V4478">
        <v>-0.1714137</v>
      </c>
      <c r="W4478">
        <v>8.8332590000000002E-2</v>
      </c>
      <c r="X4478">
        <v>0.98123119999999997</v>
      </c>
      <c r="Y4478">
        <v>-0.22200049999999999</v>
      </c>
      <c r="Z4478">
        <v>4.285862E-2</v>
      </c>
      <c r="AA4478">
        <v>0.97410419999999998</v>
      </c>
      <c r="AB4478">
        <v>27</v>
      </c>
      <c r="AC4478">
        <v>4.7160000000000002</v>
      </c>
      <c r="AD4478">
        <v>-1.1112364922055</v>
      </c>
      <c r="AE4478">
        <v>-25.069520000000001</v>
      </c>
      <c r="AF4478">
        <v>-5.7125624592571302</v>
      </c>
      <c r="AG4478">
        <v>-1.1112364922055</v>
      </c>
      <c r="AH4478">
        <v>24.811800384064799</v>
      </c>
      <c r="AI4478">
        <v>92.499075539640302</v>
      </c>
      <c r="AJ4478">
        <v>102.965590470067</v>
      </c>
      <c r="AK4478">
        <v>25.485165384811602</v>
      </c>
      <c r="AL4478">
        <v>84.932310465894503</v>
      </c>
      <c r="AM4478">
        <v>99.909147914717096</v>
      </c>
      <c r="AN4478">
        <v>0.99999998542861801</v>
      </c>
    </row>
    <row r="4479" spans="1:40" x14ac:dyDescent="0.25">
      <c r="A4479" t="str">
        <f>"20190312151404746"</f>
        <v>20190312151404746</v>
      </c>
      <c r="B4479" t="str">
        <f>"1552374844735197"</f>
        <v>1552374844735197</v>
      </c>
      <c r="C4479" t="s">
        <v>40</v>
      </c>
      <c r="D4479">
        <v>4.5879219999999998</v>
      </c>
      <c r="E4479">
        <v>0.48062539999999998</v>
      </c>
      <c r="F4479" t="s">
        <v>42</v>
      </c>
      <c r="G4479">
        <v>-419.37369999999999</v>
      </c>
      <c r="H4479" s="1">
        <v>-2.545208E-6</v>
      </c>
      <c r="I4479">
        <v>65.306749999999994</v>
      </c>
      <c r="J4479">
        <v>-423.0668</v>
      </c>
      <c r="K4479">
        <v>1.1112340000000001</v>
      </c>
      <c r="L4479">
        <v>84.576049999999995</v>
      </c>
      <c r="M4479">
        <v>-3.9097300000000001E-2</v>
      </c>
      <c r="N4479">
        <v>0</v>
      </c>
      <c r="O4479">
        <v>-0.99913660000000004</v>
      </c>
      <c r="P4479">
        <v>0.1329745</v>
      </c>
      <c r="Q4479">
        <v>7.6087219999999997E-2</v>
      </c>
      <c r="R4479">
        <v>-0.98819469999999998</v>
      </c>
      <c r="S4479">
        <v>0.55981449999999999</v>
      </c>
      <c r="T4479">
        <v>-0.16891909999999999</v>
      </c>
      <c r="U4479">
        <v>-2.9732669999999999</v>
      </c>
      <c r="V4479">
        <v>-0.1716956</v>
      </c>
      <c r="W4479">
        <v>8.9533280000000007E-2</v>
      </c>
      <c r="X4479">
        <v>0.98107310000000003</v>
      </c>
      <c r="Y4479">
        <v>-0.22303029999999999</v>
      </c>
      <c r="Z4479">
        <v>5.5455890000000001E-2</v>
      </c>
      <c r="AA4479">
        <v>0.97323280000000001</v>
      </c>
      <c r="AB4479">
        <v>27</v>
      </c>
      <c r="AC4479">
        <v>3.69310000000001</v>
      </c>
      <c r="AD4479">
        <v>-1.111236545208</v>
      </c>
      <c r="AE4479">
        <v>-19.269300000000001</v>
      </c>
      <c r="AF4479">
        <v>-4.4295184777868801</v>
      </c>
      <c r="AG4479">
        <v>-1.111236545208</v>
      </c>
      <c r="AH4479">
        <v>19.049052885399</v>
      </c>
      <c r="AI4479">
        <v>93.252026414225696</v>
      </c>
      <c r="AJ4479">
        <v>103.090483949206</v>
      </c>
      <c r="AK4479">
        <v>19.588820700470698</v>
      </c>
      <c r="AL4479">
        <v>84.863242429849805</v>
      </c>
      <c r="AM4479">
        <v>99.926687923846202</v>
      </c>
      <c r="AN4479">
        <v>1.00000000741526</v>
      </c>
    </row>
    <row r="4480" spans="1:40" x14ac:dyDescent="0.25">
      <c r="A4480" t="str">
        <f>"20190312151404768"</f>
        <v>20190312151404768</v>
      </c>
      <c r="B4480" t="str">
        <f>"1552374844764984"</f>
        <v>1552374844764984</v>
      </c>
      <c r="C4480" t="s">
        <v>40</v>
      </c>
      <c r="D4480">
        <v>4.5653420000000002</v>
      </c>
      <c r="E4480">
        <v>0.4810836</v>
      </c>
      <c r="F4480" t="s">
        <v>42</v>
      </c>
      <c r="G4480">
        <v>-419.56060000000002</v>
      </c>
      <c r="H4480" s="1">
        <v>-2.8514540000000001E-6</v>
      </c>
      <c r="I4480">
        <v>66.097909999999999</v>
      </c>
      <c r="J4480">
        <v>-423.07619999999997</v>
      </c>
      <c r="K4480">
        <v>1.1112310000000001</v>
      </c>
      <c r="L4480">
        <v>84.299319999999994</v>
      </c>
      <c r="M4480">
        <v>-3.791895E-2</v>
      </c>
      <c r="N4480">
        <v>0</v>
      </c>
      <c r="O4480">
        <v>-0.99918220000000002</v>
      </c>
      <c r="P4480">
        <v>0.13370679999999999</v>
      </c>
      <c r="Q4480">
        <v>7.6614479999999999E-2</v>
      </c>
      <c r="R4480">
        <v>-0.98805529999999997</v>
      </c>
      <c r="S4480">
        <v>0.5642395</v>
      </c>
      <c r="T4480">
        <v>-0.17882990000000001</v>
      </c>
      <c r="U4480">
        <v>-2.9736630000000002</v>
      </c>
      <c r="V4480">
        <v>-0.17126449999999999</v>
      </c>
      <c r="W4480">
        <v>9.005995E-2</v>
      </c>
      <c r="X4480">
        <v>0.98110030000000004</v>
      </c>
      <c r="Y4480">
        <v>-0.2232209</v>
      </c>
      <c r="Z4480">
        <v>5.868545E-2</v>
      </c>
      <c r="AA4480">
        <v>0.97299970000000002</v>
      </c>
      <c r="AB4480">
        <v>27</v>
      </c>
      <c r="AC4480">
        <v>3.5155999999999401</v>
      </c>
      <c r="AD4480">
        <v>-1.1112338514540001</v>
      </c>
      <c r="AE4480">
        <v>-18.201409999999999</v>
      </c>
      <c r="AF4480">
        <v>-4.1882678155103097</v>
      </c>
      <c r="AG4480">
        <v>-1.1112338514540001</v>
      </c>
      <c r="AH4480">
        <v>17.990351544103</v>
      </c>
      <c r="AI4480">
        <v>93.442738845992906</v>
      </c>
      <c r="AJ4480">
        <v>103.105383266411</v>
      </c>
      <c r="AK4480">
        <v>18.504841978451601</v>
      </c>
      <c r="AL4480">
        <v>84.832944338034807</v>
      </c>
      <c r="AM4480">
        <v>99.901988470356798</v>
      </c>
      <c r="AN4480">
        <v>1.00000006110716</v>
      </c>
    </row>
    <row r="4481" spans="1:40" x14ac:dyDescent="0.25">
      <c r="A4481" t="str">
        <f>"20190312151404812"</f>
        <v>20190312151404812</v>
      </c>
      <c r="B4481" t="str">
        <f>"1552374844805000"</f>
        <v>1552374844805000</v>
      </c>
      <c r="C4481" t="s">
        <v>40</v>
      </c>
      <c r="D4481">
        <v>4.588444</v>
      </c>
      <c r="E4481">
        <v>0.48144769999999998</v>
      </c>
      <c r="F4481" t="s">
        <v>42</v>
      </c>
      <c r="G4481">
        <v>-419.64260000000002</v>
      </c>
      <c r="H4481" s="1">
        <v>-2.871233E-6</v>
      </c>
      <c r="I4481">
        <v>66.177909999999997</v>
      </c>
      <c r="J4481">
        <v>-423.09350000000001</v>
      </c>
      <c r="K4481">
        <v>1.1112310000000001</v>
      </c>
      <c r="L4481">
        <v>83.767910000000001</v>
      </c>
      <c r="M4481">
        <v>-3.5658589999999997E-2</v>
      </c>
      <c r="N4481">
        <v>0</v>
      </c>
      <c r="O4481">
        <v>-0.99926550000000003</v>
      </c>
      <c r="P4481">
        <v>0.13658419999999999</v>
      </c>
      <c r="Q4481">
        <v>7.6615680000000005E-2</v>
      </c>
      <c r="R4481">
        <v>-0.98766149999999997</v>
      </c>
      <c r="S4481">
        <v>0.56353759999999997</v>
      </c>
      <c r="T4481">
        <v>-0.18237980000000001</v>
      </c>
      <c r="U4481">
        <v>-2.9741520000000001</v>
      </c>
      <c r="V4481">
        <v>-0.17190269999999999</v>
      </c>
      <c r="W4481">
        <v>9.005473E-2</v>
      </c>
      <c r="X4481">
        <v>0.98098909999999995</v>
      </c>
      <c r="Y4481">
        <v>-0.22075139999999999</v>
      </c>
      <c r="Z4481">
        <v>5.9862480000000003E-2</v>
      </c>
      <c r="AA4481">
        <v>0.97349129999999995</v>
      </c>
      <c r="AB4481">
        <v>27</v>
      </c>
      <c r="AC4481">
        <v>3.4508999999999901</v>
      </c>
      <c r="AD4481">
        <v>-1.1112338712330001</v>
      </c>
      <c r="AE4481">
        <v>-17.59</v>
      </c>
      <c r="AF4481">
        <v>-4.0603969053116797</v>
      </c>
      <c r="AG4481">
        <v>-1.1112338712330001</v>
      </c>
      <c r="AH4481">
        <v>17.388918035880401</v>
      </c>
      <c r="AI4481">
        <v>93.560963442330106</v>
      </c>
      <c r="AJ4481">
        <v>103.14334237286501</v>
      </c>
      <c r="AK4481">
        <v>17.891230650902799</v>
      </c>
      <c r="AL4481">
        <v>84.833244343747396</v>
      </c>
      <c r="AM4481">
        <v>99.939256983109402</v>
      </c>
      <c r="AN4481">
        <v>1.0000000034907299</v>
      </c>
    </row>
    <row r="4482" spans="1:40" x14ac:dyDescent="0.25">
      <c r="A4482" t="str">
        <f>"20190312151404835"</f>
        <v>20190312151404835</v>
      </c>
      <c r="B4482" t="str">
        <f>"1552374844824520"</f>
        <v>1552374844824520</v>
      </c>
      <c r="C4482" t="s">
        <v>40</v>
      </c>
      <c r="D4482">
        <v>4.5774489999999997</v>
      </c>
      <c r="E4482">
        <v>0.48177530000000002</v>
      </c>
      <c r="F4482" t="s">
        <v>42</v>
      </c>
      <c r="G4482">
        <v>-419.80059999999997</v>
      </c>
      <c r="H4482" s="1">
        <v>-3.0117930000000001E-6</v>
      </c>
      <c r="I4482">
        <v>66.570890000000006</v>
      </c>
      <c r="J4482">
        <v>-423.10180000000003</v>
      </c>
      <c r="K4482">
        <v>1.1112219999999999</v>
      </c>
      <c r="L4482">
        <v>83.500240000000005</v>
      </c>
      <c r="M4482">
        <v>-3.4525529999999999E-2</v>
      </c>
      <c r="N4482">
        <v>0</v>
      </c>
      <c r="O4482">
        <v>-0.99930509999999995</v>
      </c>
      <c r="P4482">
        <v>0.13769479999999901</v>
      </c>
      <c r="Q4482">
        <v>7.5975429999999997E-2</v>
      </c>
      <c r="R4482">
        <v>-0.98755649999999995</v>
      </c>
      <c r="S4482">
        <v>0.56939700000000004</v>
      </c>
      <c r="T4482">
        <v>-0.19215170000000001</v>
      </c>
      <c r="U4482">
        <v>-2.9736630000000002</v>
      </c>
      <c r="V4482">
        <v>-0.1718925</v>
      </c>
      <c r="W4482">
        <v>8.9414540000000001E-2</v>
      </c>
      <c r="X4482">
        <v>0.98104939999999996</v>
      </c>
      <c r="Y4482">
        <v>-0.22148870000000001</v>
      </c>
      <c r="Z4482">
        <v>6.3054230000000003E-2</v>
      </c>
      <c r="AA4482">
        <v>0.97312220000000005</v>
      </c>
      <c r="AB4482">
        <v>27</v>
      </c>
      <c r="AC4482">
        <v>3.3012000000000499</v>
      </c>
      <c r="AD4482">
        <v>-1.111225011793</v>
      </c>
      <c r="AE4482">
        <v>-16.929349999999999</v>
      </c>
      <c r="AF4482">
        <v>-3.8677303554998601</v>
      </c>
      <c r="AG4482">
        <v>-1.111225011793</v>
      </c>
      <c r="AH4482">
        <v>16.735803654817399</v>
      </c>
      <c r="AI4482">
        <v>93.701473672079004</v>
      </c>
      <c r="AJ4482">
        <v>103.012888859962</v>
      </c>
      <c r="AK4482">
        <v>17.2128232170754</v>
      </c>
      <c r="AL4482">
        <v>84.870072875232907</v>
      </c>
      <c r="AM4482">
        <v>99.938080288437504</v>
      </c>
      <c r="AN4482">
        <v>0.99999995838000999</v>
      </c>
    </row>
    <row r="4483" spans="1:40" x14ac:dyDescent="0.25">
      <c r="A4483" t="str">
        <f>"20190312151404858"</f>
        <v>20190312151404858</v>
      </c>
      <c r="B4483" t="str">
        <f>"1552374844854777"</f>
        <v>1552374844854777</v>
      </c>
      <c r="C4483" t="s">
        <v>40</v>
      </c>
      <c r="D4483">
        <v>4.6065779999999998</v>
      </c>
      <c r="E4483">
        <v>0.48236180000000001</v>
      </c>
      <c r="F4483" t="s">
        <v>42</v>
      </c>
      <c r="G4483">
        <v>-419.89929999999998</v>
      </c>
      <c r="H4483" s="1">
        <v>-3.0919469999999998E-6</v>
      </c>
      <c r="I4483">
        <v>66.798550000000006</v>
      </c>
      <c r="J4483">
        <v>-423.11020000000002</v>
      </c>
      <c r="K4483">
        <v>1.111213</v>
      </c>
      <c r="L4483">
        <v>83.217929999999996</v>
      </c>
      <c r="M4483">
        <v>-3.3337100000000001E-2</v>
      </c>
      <c r="N4483">
        <v>0</v>
      </c>
      <c r="O4483">
        <v>-0.9993457</v>
      </c>
      <c r="P4483">
        <v>0.13886950000000001</v>
      </c>
      <c r="Q4483">
        <v>7.5322570000000005E-2</v>
      </c>
      <c r="R4483">
        <v>-0.98744240000000005</v>
      </c>
      <c r="S4483">
        <v>0.57015990000000005</v>
      </c>
      <c r="T4483">
        <v>-0.1978385</v>
      </c>
      <c r="U4483">
        <v>-2.9735109999999998</v>
      </c>
      <c r="V4483">
        <v>-0.17189179999999901</v>
      </c>
      <c r="W4483">
        <v>8.8762430000000003E-2</v>
      </c>
      <c r="X4483">
        <v>0.9811088</v>
      </c>
      <c r="Y4483">
        <v>-0.22055649999999999</v>
      </c>
      <c r="Z4483">
        <v>6.4925060000000007E-2</v>
      </c>
      <c r="AA4483">
        <v>0.97321089999999999</v>
      </c>
      <c r="AB4483">
        <v>27</v>
      </c>
      <c r="AC4483">
        <v>3.2109000000000298</v>
      </c>
      <c r="AD4483">
        <v>-1.111216091947</v>
      </c>
      <c r="AE4483">
        <v>-16.41938</v>
      </c>
      <c r="AF4483">
        <v>-3.7400441467472798</v>
      </c>
      <c r="AG4483">
        <v>-1.111216091947</v>
      </c>
      <c r="AH4483">
        <v>16.231593640180002</v>
      </c>
      <c r="AI4483">
        <v>93.816662417180794</v>
      </c>
      <c r="AJ4483">
        <v>102.975484666508</v>
      </c>
      <c r="AK4483">
        <v>16.693931937160698</v>
      </c>
      <c r="AL4483">
        <v>84.907585495681602</v>
      </c>
      <c r="AM4483">
        <v>99.937450932659402</v>
      </c>
      <c r="AN4483">
        <v>1.0000000186620901</v>
      </c>
    </row>
    <row r="4484" spans="1:40" x14ac:dyDescent="0.25">
      <c r="A4484" t="str">
        <f>"20190312151404880"</f>
        <v>20190312151404880</v>
      </c>
      <c r="B4484" t="str">
        <f>"1552374844875273"</f>
        <v>1552374844875273</v>
      </c>
      <c r="C4484" t="s">
        <v>40</v>
      </c>
      <c r="D4484">
        <v>4.769126</v>
      </c>
      <c r="E4484">
        <v>0.4827245</v>
      </c>
      <c r="F4484" t="s">
        <v>42</v>
      </c>
      <c r="G4484">
        <v>-420.00209999999998</v>
      </c>
      <c r="H4484" s="1">
        <v>-3.170562E-6</v>
      </c>
      <c r="I4484">
        <v>66.978440000000006</v>
      </c>
      <c r="J4484">
        <v>-423.11759999999998</v>
      </c>
      <c r="K4484">
        <v>1.1112040000000001</v>
      </c>
      <c r="L4484">
        <v>82.957340000000002</v>
      </c>
      <c r="M4484">
        <v>-3.2251259999999997E-2</v>
      </c>
      <c r="N4484">
        <v>0</v>
      </c>
      <c r="O4484">
        <v>-0.99938139999999998</v>
      </c>
      <c r="P4484">
        <v>0.13999990000000001</v>
      </c>
      <c r="Q4484">
        <v>7.5221490000000002E-2</v>
      </c>
      <c r="R4484">
        <v>-0.98729029999999995</v>
      </c>
      <c r="S4484">
        <v>0.56912229999999997</v>
      </c>
      <c r="T4484">
        <v>-0.2034783</v>
      </c>
      <c r="U4484">
        <v>-2.9736630000000002</v>
      </c>
      <c r="V4484">
        <v>-0.17194719999999999</v>
      </c>
      <c r="W4484">
        <v>8.8662210000000005E-2</v>
      </c>
      <c r="X4484">
        <v>0.98110810000000004</v>
      </c>
      <c r="Y4484">
        <v>-0.21913679999999999</v>
      </c>
      <c r="Z4484">
        <v>6.6780770000000003E-2</v>
      </c>
      <c r="AA4484">
        <v>0.97340610000000005</v>
      </c>
      <c r="AB4484">
        <v>27</v>
      </c>
      <c r="AC4484">
        <v>3.1154999999999902</v>
      </c>
      <c r="AD4484">
        <v>-1.1112071705619999</v>
      </c>
      <c r="AE4484">
        <v>-15.9788999999999</v>
      </c>
      <c r="AF4484">
        <v>-3.6124389757800599</v>
      </c>
      <c r="AG4484">
        <v>-1.1112071705619999</v>
      </c>
      <c r="AH4484">
        <v>15.7965014890578</v>
      </c>
      <c r="AI4484">
        <v>93.922908271753897</v>
      </c>
      <c r="AJ4484">
        <v>102.88124074671001</v>
      </c>
      <c r="AK4484">
        <v>16.242350692662999</v>
      </c>
      <c r="AL4484">
        <v>84.913350136735204</v>
      </c>
      <c r="AM4484">
        <v>99.940596806425702</v>
      </c>
      <c r="AN4484">
        <v>0.99999996547776604</v>
      </c>
    </row>
    <row r="4485" spans="1:40" x14ac:dyDescent="0.25">
      <c r="A4485" t="str">
        <f>"20190312151404902"</f>
        <v>20190312151404902</v>
      </c>
      <c r="B4485" t="str">
        <f>"1552374844894792"</f>
        <v>1552374844894792</v>
      </c>
      <c r="C4485" t="s">
        <v>40</v>
      </c>
      <c r="D4485">
        <v>4.6227179999999999</v>
      </c>
      <c r="E4485">
        <v>0.48305160000000003</v>
      </c>
      <c r="F4485" t="s">
        <v>42</v>
      </c>
      <c r="G4485">
        <v>-419.98079999999999</v>
      </c>
      <c r="H4485" s="1">
        <v>-3.002896E-6</v>
      </c>
      <c r="I4485">
        <v>66.600849999999994</v>
      </c>
      <c r="J4485">
        <v>-423.12509999999997</v>
      </c>
      <c r="K4485">
        <v>1.111191</v>
      </c>
      <c r="L4485">
        <v>82.688839999999999</v>
      </c>
      <c r="M4485">
        <v>-3.1148749999999999E-2</v>
      </c>
      <c r="N4485">
        <v>0</v>
      </c>
      <c r="O4485">
        <v>-0.99941650000000004</v>
      </c>
      <c r="P4485">
        <v>0.1412474</v>
      </c>
      <c r="Q4485">
        <v>7.4742989999999995E-2</v>
      </c>
      <c r="R4485">
        <v>-0.98714930000000001</v>
      </c>
      <c r="S4485">
        <v>0.57019039999999999</v>
      </c>
      <c r="T4485">
        <v>-0.20198579999999999</v>
      </c>
      <c r="U4485">
        <v>-2.9731450000000001</v>
      </c>
      <c r="V4485">
        <v>-0.172101799999999</v>
      </c>
      <c r="W4485">
        <v>8.8186310000000004E-2</v>
      </c>
      <c r="X4485">
        <v>0.98112390000000005</v>
      </c>
      <c r="Y4485">
        <v>-0.21843509999999999</v>
      </c>
      <c r="Z4485">
        <v>6.6311079999999994E-2</v>
      </c>
      <c r="AA4485">
        <v>0.97359589999999996</v>
      </c>
      <c r="AB4485">
        <v>27</v>
      </c>
      <c r="AC4485">
        <v>3.1442999999999799</v>
      </c>
      <c r="AD4485">
        <v>-1.1111940028959999</v>
      </c>
      <c r="AE4485">
        <v>-16.087990000000001</v>
      </c>
      <c r="AF4485">
        <v>-3.6272762275878501</v>
      </c>
      <c r="AG4485">
        <v>-1.1111940028959999</v>
      </c>
      <c r="AH4485">
        <v>15.909127111412101</v>
      </c>
      <c r="AI4485">
        <v>93.895755010187997</v>
      </c>
      <c r="AJ4485">
        <v>102.843866572317</v>
      </c>
      <c r="AK4485">
        <v>16.355189096747399</v>
      </c>
      <c r="AL4485">
        <v>84.940724505862605</v>
      </c>
      <c r="AM4485">
        <v>99.949198991828197</v>
      </c>
      <c r="AN4485">
        <v>0.99999998099293297</v>
      </c>
    </row>
    <row r="4486" spans="1:40" x14ac:dyDescent="0.25">
      <c r="A4486" t="str">
        <f>"20190312151404947"</f>
        <v>20190312151404947</v>
      </c>
      <c r="B4486" t="str">
        <f>"1552374844944569"</f>
        <v>1552374844944569</v>
      </c>
      <c r="C4486" t="s">
        <v>40</v>
      </c>
      <c r="D4486">
        <v>4.677727</v>
      </c>
      <c r="E4486">
        <v>0.48352869999999998</v>
      </c>
      <c r="F4486" t="s">
        <v>42</v>
      </c>
      <c r="G4486">
        <v>-419.98430000000002</v>
      </c>
      <c r="H4486" s="1">
        <v>-2.8943770000000002E-6</v>
      </c>
      <c r="I4486">
        <v>66.345680000000002</v>
      </c>
      <c r="J4486">
        <v>-423.13900000000001</v>
      </c>
      <c r="K4486">
        <v>1.1111530000000001</v>
      </c>
      <c r="L4486">
        <v>82.150450000000006</v>
      </c>
      <c r="M4486">
        <v>-2.900844E-2</v>
      </c>
      <c r="N4486">
        <v>0</v>
      </c>
      <c r="O4486">
        <v>-0.9994807</v>
      </c>
      <c r="P4486">
        <v>0.1439646</v>
      </c>
      <c r="Q4486">
        <v>7.422223E-2</v>
      </c>
      <c r="R4486">
        <v>-0.98679559999999999</v>
      </c>
      <c r="S4486">
        <v>0.5712585</v>
      </c>
      <c r="T4486">
        <v>-0.20211290000000001</v>
      </c>
      <c r="U4486">
        <v>-2.972626</v>
      </c>
      <c r="V4486">
        <v>-0.17269489999999901</v>
      </c>
      <c r="W4486">
        <v>8.7673319999999999E-2</v>
      </c>
      <c r="X4486">
        <v>0.98106570000000004</v>
      </c>
      <c r="Y4486">
        <v>-0.2167133</v>
      </c>
      <c r="Z4486">
        <v>6.6381129999999997E-2</v>
      </c>
      <c r="AA4486">
        <v>0.97397579999999995</v>
      </c>
      <c r="AB4486">
        <v>27</v>
      </c>
      <c r="AC4486">
        <v>3.1546999999999898</v>
      </c>
      <c r="AD4486">
        <v>-1.1111558943769999</v>
      </c>
      <c r="AE4486">
        <v>-15.80477</v>
      </c>
      <c r="AF4486">
        <v>-3.59480138132986</v>
      </c>
      <c r="AG4486">
        <v>-1.1111558943769999</v>
      </c>
      <c r="AH4486">
        <v>15.6322887250208</v>
      </c>
      <c r="AI4486">
        <v>93.962707744627707</v>
      </c>
      <c r="AJ4486">
        <v>102.950588736203</v>
      </c>
      <c r="AK4486">
        <v>16.0787348748349</v>
      </c>
      <c r="AL4486">
        <v>84.970231171801501</v>
      </c>
      <c r="AM4486">
        <v>99.983377824760097</v>
      </c>
      <c r="AN4486">
        <v>1.0000000236211599</v>
      </c>
    </row>
    <row r="4487" spans="1:40" x14ac:dyDescent="0.25">
      <c r="A4487" t="str">
        <f>"20190312151404969"</f>
        <v>20190312151404969</v>
      </c>
      <c r="B4487" t="str">
        <f>"1552374844965064"</f>
        <v>1552374844965064</v>
      </c>
      <c r="C4487" t="s">
        <v>40</v>
      </c>
      <c r="D4487">
        <v>4.8871659999999997</v>
      </c>
      <c r="E4487">
        <v>0.48370190000000002</v>
      </c>
      <c r="F4487" t="s">
        <v>42</v>
      </c>
      <c r="G4487">
        <v>-420.00060000000002</v>
      </c>
      <c r="H4487" s="1">
        <v>-2.7320549999999999E-6</v>
      </c>
      <c r="I4487">
        <v>65.9572</v>
      </c>
      <c r="J4487">
        <v>-423.14569999999998</v>
      </c>
      <c r="K4487">
        <v>1.111129</v>
      </c>
      <c r="L4487">
        <v>81.878450000000001</v>
      </c>
      <c r="M4487">
        <v>-2.7963249999999999E-2</v>
      </c>
      <c r="N4487">
        <v>0</v>
      </c>
      <c r="O4487">
        <v>-0.99951060000000003</v>
      </c>
      <c r="P4487">
        <v>0.14560139999999999</v>
      </c>
      <c r="Q4487">
        <v>7.4002699999999894E-2</v>
      </c>
      <c r="R4487">
        <v>-0.986572</v>
      </c>
      <c r="S4487">
        <v>0.5758972</v>
      </c>
      <c r="T4487">
        <v>-0.20389740000000001</v>
      </c>
      <c r="U4487">
        <v>-2.9714659999999999</v>
      </c>
      <c r="V4487">
        <v>-0.1732928</v>
      </c>
      <c r="W4487">
        <v>8.7456709999999993E-2</v>
      </c>
      <c r="X4487">
        <v>0.98097959999999995</v>
      </c>
      <c r="Y4487">
        <v>-0.2172212</v>
      </c>
      <c r="Z4487">
        <v>6.6979520000000001E-2</v>
      </c>
      <c r="AA4487">
        <v>0.97382170000000001</v>
      </c>
      <c r="AB4487">
        <v>27</v>
      </c>
      <c r="AC4487">
        <v>3.14509999999995</v>
      </c>
      <c r="AD4487">
        <v>-1.111131732055</v>
      </c>
      <c r="AE4487">
        <v>-15.921250000000001</v>
      </c>
      <c r="AF4487">
        <v>-3.5723776137107</v>
      </c>
      <c r="AG4487">
        <v>-1.111131732055</v>
      </c>
      <c r="AH4487">
        <v>15.7532219117056</v>
      </c>
      <c r="AI4487">
        <v>93.935011666509098</v>
      </c>
      <c r="AJ4487">
        <v>102.77694107041199</v>
      </c>
      <c r="AK4487">
        <v>16.191371039549502</v>
      </c>
      <c r="AL4487">
        <v>84.982689864145996</v>
      </c>
      <c r="AM4487">
        <v>100.018104541535</v>
      </c>
      <c r="AN4487">
        <v>1.00000002313601</v>
      </c>
    </row>
    <row r="4488" spans="1:40" x14ac:dyDescent="0.25">
      <c r="A4488" t="str">
        <f>"20190312151404994"</f>
        <v>20190312151404994</v>
      </c>
      <c r="B4488" t="str">
        <f>"1552374844984585"</f>
        <v>1552374844984585</v>
      </c>
      <c r="C4488" t="s">
        <v>40</v>
      </c>
      <c r="D4488">
        <v>4.9373709999999997</v>
      </c>
      <c r="E4488">
        <v>0.48384939999999999</v>
      </c>
      <c r="F4488" t="s">
        <v>42</v>
      </c>
      <c r="G4488">
        <v>-420.00299999999999</v>
      </c>
      <c r="H4488" s="1">
        <v>-2.6478420000000002E-6</v>
      </c>
      <c r="I4488">
        <v>65.759410000000003</v>
      </c>
      <c r="J4488">
        <v>-423.15249999999997</v>
      </c>
      <c r="K4488">
        <v>1.111111</v>
      </c>
      <c r="L4488">
        <v>81.590149999999994</v>
      </c>
      <c r="M4488">
        <v>-2.6876480000000001E-2</v>
      </c>
      <c r="N4488">
        <v>0</v>
      </c>
      <c r="O4488">
        <v>-0.9995406</v>
      </c>
      <c r="P4488">
        <v>0.1467714</v>
      </c>
      <c r="Q4488">
        <v>7.3317779999999999E-2</v>
      </c>
      <c r="R4488">
        <v>-0.98644980000000004</v>
      </c>
      <c r="S4488">
        <v>0.57919309999999902</v>
      </c>
      <c r="T4488">
        <v>-0.2047793</v>
      </c>
      <c r="U4488">
        <v>-2.9707029999999999</v>
      </c>
      <c r="V4488">
        <v>-0.1733864</v>
      </c>
      <c r="W4488">
        <v>8.6776469999999994E-2</v>
      </c>
      <c r="X4488">
        <v>0.98102339999999999</v>
      </c>
      <c r="Y4488">
        <v>-0.21724389999999999</v>
      </c>
      <c r="Z4488">
        <v>6.7280590000000001E-2</v>
      </c>
      <c r="AA4488">
        <v>0.97379590000000005</v>
      </c>
      <c r="AB4488">
        <v>27</v>
      </c>
      <c r="AC4488">
        <v>3.14949999999993</v>
      </c>
      <c r="AD4488">
        <v>-1.1111136478420001</v>
      </c>
      <c r="AE4488">
        <v>-15.830739999999899</v>
      </c>
      <c r="AF4488">
        <v>-3.5570228238024302</v>
      </c>
      <c r="AG4488">
        <v>-1.1111136478420001</v>
      </c>
      <c r="AH4488">
        <v>15.6661278312043</v>
      </c>
      <c r="AI4488">
        <v>93.956515617804399</v>
      </c>
      <c r="AJ4488">
        <v>102.792230055351</v>
      </c>
      <c r="AK4488">
        <v>16.103246446946802</v>
      </c>
      <c r="AL4488">
        <v>85.021813150226805</v>
      </c>
      <c r="AM4488">
        <v>100.022967441129</v>
      </c>
      <c r="AN4488">
        <v>0.99999995539908904</v>
      </c>
    </row>
    <row r="4489" spans="1:40" x14ac:dyDescent="0.25">
      <c r="A4489" t="str">
        <f>"20190312151405018"</f>
        <v>20190312151405018</v>
      </c>
      <c r="B4489" t="str">
        <f>"1552374845014841"</f>
        <v>1552374845014841</v>
      </c>
      <c r="C4489" t="s">
        <v>40</v>
      </c>
      <c r="D4489">
        <v>4.7576479999999997</v>
      </c>
      <c r="E4489">
        <v>0.50641040000000004</v>
      </c>
      <c r="F4489" t="s">
        <v>42</v>
      </c>
      <c r="G4489">
        <v>-420.01440000000002</v>
      </c>
      <c r="H4489" s="1">
        <v>-2.563498E-6</v>
      </c>
      <c r="I4489">
        <v>65.555759999999907</v>
      </c>
      <c r="J4489">
        <v>-423.1592</v>
      </c>
      <c r="K4489">
        <v>1.1110880000000001</v>
      </c>
      <c r="L4489">
        <v>81.295069999999996</v>
      </c>
      <c r="M4489">
        <v>-2.57936E-2</v>
      </c>
      <c r="N4489">
        <v>0</v>
      </c>
      <c r="O4489">
        <v>-0.99956929999999999</v>
      </c>
      <c r="P4489">
        <v>0.14799670000000001</v>
      </c>
      <c r="Q4489">
        <v>7.2568389999999997E-2</v>
      </c>
      <c r="R4489">
        <v>-0.98632220000000004</v>
      </c>
      <c r="S4489">
        <v>0.58126829999999996</v>
      </c>
      <c r="T4489">
        <v>-0.2058103</v>
      </c>
      <c r="U4489">
        <v>-2.9700319999999998</v>
      </c>
      <c r="V4489">
        <v>-0.17353840000000001</v>
      </c>
      <c r="W4489">
        <v>8.6032090000000006E-2</v>
      </c>
      <c r="X4489">
        <v>0.98106210000000005</v>
      </c>
      <c r="Y4489">
        <v>-0.2168786</v>
      </c>
      <c r="Z4489">
        <v>6.7633960000000007E-2</v>
      </c>
      <c r="AA4489">
        <v>0.97385279999999996</v>
      </c>
      <c r="AB4489">
        <v>27</v>
      </c>
      <c r="AC4489">
        <v>3.1447999999999698</v>
      </c>
      <c r="AD4489">
        <v>-1.111090563498</v>
      </c>
      <c r="AE4489">
        <v>-15.73931</v>
      </c>
      <c r="AF4489">
        <v>-3.5328369863882401</v>
      </c>
      <c r="AG4489">
        <v>-1.111090563498</v>
      </c>
      <c r="AH4489">
        <v>15.5782957936319</v>
      </c>
      <c r="AI4489">
        <v>93.978902154477197</v>
      </c>
      <c r="AJ4489">
        <v>102.77738736584899</v>
      </c>
      <c r="AK4489">
        <v>16.012456377663501</v>
      </c>
      <c r="AL4489">
        <v>85.064623162277897</v>
      </c>
      <c r="AM4489">
        <v>100.031188049826</v>
      </c>
      <c r="AN4489">
        <v>0.99999997042036803</v>
      </c>
    </row>
    <row r="4490" spans="1:40" x14ac:dyDescent="0.25">
      <c r="A4490" t="str">
        <f>"20190312151405037"</f>
        <v>20190312151405037</v>
      </c>
      <c r="B4490" t="str">
        <f>"1552374845024601"</f>
        <v>1552374845024601</v>
      </c>
      <c r="C4490" t="s">
        <v>40</v>
      </c>
      <c r="D4490">
        <v>4.7340200000000001</v>
      </c>
      <c r="E4490">
        <v>0.50742029999999905</v>
      </c>
      <c r="F4490" t="s">
        <v>42</v>
      </c>
      <c r="G4490">
        <v>-421.12869999999998</v>
      </c>
      <c r="H4490" s="1">
        <v>-3.2032300000000001E-6</v>
      </c>
      <c r="I4490">
        <v>66.355859999999893</v>
      </c>
      <c r="J4490">
        <v>-423.16390000000001</v>
      </c>
      <c r="K4490">
        <v>1.1110770000000001</v>
      </c>
      <c r="L4490">
        <v>81.074550000000002</v>
      </c>
      <c r="M4490">
        <v>-2.5004390000000001E-2</v>
      </c>
      <c r="N4490">
        <v>0</v>
      </c>
      <c r="O4490">
        <v>-0.99958930000000001</v>
      </c>
      <c r="P4490">
        <v>0.14879589999999901</v>
      </c>
      <c r="Q4490">
        <v>7.2483370000000005E-2</v>
      </c>
      <c r="R4490">
        <v>-0.98620799999999997</v>
      </c>
      <c r="S4490">
        <v>0.40731810000000002</v>
      </c>
      <c r="T4490">
        <v>-0.22288859999999999</v>
      </c>
      <c r="U4490">
        <v>-2.9968569999999999</v>
      </c>
      <c r="V4490">
        <v>-0.1735556</v>
      </c>
      <c r="W4490">
        <v>8.5950840000000001E-2</v>
      </c>
      <c r="X4490">
        <v>0.9810662</v>
      </c>
      <c r="Y4490">
        <v>-0.15905069999999999</v>
      </c>
      <c r="Z4490">
        <v>7.3326989999999995E-2</v>
      </c>
      <c r="AA4490">
        <v>0.98454359999999996</v>
      </c>
      <c r="AB4490">
        <v>27</v>
      </c>
      <c r="AC4490">
        <v>2.0352000000000299</v>
      </c>
      <c r="AD4490">
        <v>-1.11108020323</v>
      </c>
      <c r="AE4490">
        <v>-14.71869</v>
      </c>
      <c r="AF4490">
        <v>-2.3892719066403898</v>
      </c>
      <c r="AG4490">
        <v>-1.11108020323</v>
      </c>
      <c r="AH4490">
        <v>14.581660070988899</v>
      </c>
      <c r="AI4490">
        <v>94.300227111660007</v>
      </c>
      <c r="AJ4490">
        <v>99.305485454633896</v>
      </c>
      <c r="AK4490">
        <v>14.8178247353564</v>
      </c>
      <c r="AL4490">
        <v>85.069295854017696</v>
      </c>
      <c r="AM4490">
        <v>100.032121006615</v>
      </c>
      <c r="AN4490">
        <v>0.99999999098525205</v>
      </c>
    </row>
    <row r="4491" spans="1:40" x14ac:dyDescent="0.25">
      <c r="A4491" t="str">
        <f>"20190312151405057"</f>
        <v>20190312151405057</v>
      </c>
      <c r="B4491" t="str">
        <f>"1552374845054856"</f>
        <v>1552374845054856</v>
      </c>
      <c r="C4491" t="s">
        <v>40</v>
      </c>
      <c r="D4491">
        <v>4.7678200000000004</v>
      </c>
      <c r="E4491">
        <v>0.50887759999999904</v>
      </c>
      <c r="F4491" t="s">
        <v>42</v>
      </c>
      <c r="G4491">
        <v>-421.27609999999999</v>
      </c>
      <c r="H4491" s="1">
        <v>-3.5080690000000001E-6</v>
      </c>
      <c r="I4491">
        <v>66.975040000000007</v>
      </c>
      <c r="J4491">
        <v>-423.16910000000001</v>
      </c>
      <c r="K4491">
        <v>1.1110599999999999</v>
      </c>
      <c r="L4491">
        <v>80.825230000000005</v>
      </c>
      <c r="M4491">
        <v>-2.4129580000000001E-2</v>
      </c>
      <c r="N4491">
        <v>0</v>
      </c>
      <c r="O4491">
        <v>-0.99961060000000002</v>
      </c>
      <c r="P4491">
        <v>0.14976139999999999</v>
      </c>
      <c r="Q4491">
        <v>7.2474490000000003E-2</v>
      </c>
      <c r="R4491">
        <v>-0.98606260000000001</v>
      </c>
      <c r="S4491">
        <v>0.40151979999999998</v>
      </c>
      <c r="T4491">
        <v>-0.23630979999999999</v>
      </c>
      <c r="U4491">
        <v>-2.9987490000000001</v>
      </c>
      <c r="V4491">
        <v>-0.1736539</v>
      </c>
      <c r="W4491">
        <v>8.5946079999999994E-2</v>
      </c>
      <c r="X4491">
        <v>0.98104919999999995</v>
      </c>
      <c r="Y4491">
        <v>-0.15618950000000001</v>
      </c>
      <c r="Z4491">
        <v>7.7698119999999996E-2</v>
      </c>
      <c r="AA4491">
        <v>0.98466629999999999</v>
      </c>
      <c r="AB4491">
        <v>27</v>
      </c>
      <c r="AC4491">
        <v>1.89300000000002</v>
      </c>
      <c r="AD4491">
        <v>-1.1110635080689999</v>
      </c>
      <c r="AE4491">
        <v>-13.8501899999999</v>
      </c>
      <c r="AF4491">
        <v>-2.2127026144469801</v>
      </c>
      <c r="AG4491">
        <v>-1.1110635080689999</v>
      </c>
      <c r="AH4491">
        <v>13.7138409883603</v>
      </c>
      <c r="AI4491">
        <v>94.572967827496697</v>
      </c>
      <c r="AJ4491">
        <v>99.165575223377402</v>
      </c>
      <c r="AK4491">
        <v>13.935564202176201</v>
      </c>
      <c r="AL4491">
        <v>85.069569487389899</v>
      </c>
      <c r="AM4491">
        <v>100.037857971308</v>
      </c>
      <c r="AN4491">
        <v>0.99999996923660694</v>
      </c>
    </row>
    <row r="4492" spans="1:40" x14ac:dyDescent="0.25">
      <c r="A4492" t="str">
        <f>"20190312151405081"</f>
        <v>20190312151405081</v>
      </c>
      <c r="B4492" t="str">
        <f>"1552374845075353"</f>
        <v>1552374845075353</v>
      </c>
      <c r="C4492" t="s">
        <v>40</v>
      </c>
      <c r="D4492">
        <v>4.7517690000000004</v>
      </c>
      <c r="E4492">
        <v>0.50947279999999995</v>
      </c>
      <c r="F4492" t="s">
        <v>42</v>
      </c>
      <c r="G4492">
        <v>-421.48770000000002</v>
      </c>
      <c r="H4492" s="1">
        <v>-4.002722E-6</v>
      </c>
      <c r="I4492">
        <v>67.99682</v>
      </c>
      <c r="J4492">
        <v>-423.17469999999997</v>
      </c>
      <c r="K4492">
        <v>1.1110450000000001</v>
      </c>
      <c r="L4492">
        <v>80.54956</v>
      </c>
      <c r="M4492">
        <v>-2.3180470000000002E-2</v>
      </c>
      <c r="N4492">
        <v>0</v>
      </c>
      <c r="O4492">
        <v>-0.99963340000000001</v>
      </c>
      <c r="P4492">
        <v>0.1509963</v>
      </c>
      <c r="Q4492">
        <v>7.2450390000000003E-2</v>
      </c>
      <c r="R4492">
        <v>-0.98587590000000003</v>
      </c>
      <c r="S4492">
        <v>0.39343260000000002</v>
      </c>
      <c r="T4492">
        <v>-0.25997969999999998</v>
      </c>
      <c r="U4492">
        <v>-3.0017399999999999</v>
      </c>
      <c r="V4492">
        <v>-0.17394749999999901</v>
      </c>
      <c r="W4492">
        <v>8.5925180000000004E-2</v>
      </c>
      <c r="X4492">
        <v>0.98099910000000001</v>
      </c>
      <c r="Y4492">
        <v>-0.1524327</v>
      </c>
      <c r="Z4492">
        <v>8.5385059999999999E-2</v>
      </c>
      <c r="AA4492">
        <v>0.98461849999999995</v>
      </c>
      <c r="AB4492">
        <v>27</v>
      </c>
      <c r="AC4492">
        <v>1.6869999999999501</v>
      </c>
      <c r="AD4492">
        <v>-1.1110490027219999</v>
      </c>
      <c r="AE4492">
        <v>-12.55274</v>
      </c>
      <c r="AF4492">
        <v>-1.9624521990656301</v>
      </c>
      <c r="AG4492">
        <v>-1.1110490027219999</v>
      </c>
      <c r="AH4492">
        <v>12.4147243125761</v>
      </c>
      <c r="AI4492">
        <v>95.051636426342696</v>
      </c>
      <c r="AJ4492">
        <v>98.982679349745197</v>
      </c>
      <c r="AK4492">
        <v>12.617885253771099</v>
      </c>
      <c r="AL4492">
        <v>85.0707718232931</v>
      </c>
      <c r="AM4492">
        <v>100.054986188405</v>
      </c>
      <c r="AN4492">
        <v>1.00000005175754</v>
      </c>
    </row>
    <row r="4493" spans="1:40" x14ac:dyDescent="0.25">
      <c r="A4493" t="str">
        <f>"20190312151405103"</f>
        <v>20190312151405103</v>
      </c>
      <c r="B4493" t="str">
        <f>"1552374845094873"</f>
        <v>1552374845094873</v>
      </c>
      <c r="C4493" t="s">
        <v>40</v>
      </c>
      <c r="D4493">
        <v>4.7901550000000004</v>
      </c>
      <c r="E4493">
        <v>0.51006600000000002</v>
      </c>
      <c r="F4493" t="s">
        <v>42</v>
      </c>
      <c r="G4493">
        <v>-421.5496</v>
      </c>
      <c r="H4493" s="1">
        <v>-4.0680270000000004E-6</v>
      </c>
      <c r="I4493">
        <v>68.133139999999997</v>
      </c>
      <c r="J4493">
        <v>-423.17970000000003</v>
      </c>
      <c r="K4493">
        <v>1.1110279999999999</v>
      </c>
      <c r="L4493">
        <v>80.286559999999994</v>
      </c>
      <c r="M4493">
        <v>-2.2290609999999999E-2</v>
      </c>
      <c r="N4493">
        <v>0</v>
      </c>
      <c r="O4493">
        <v>-0.99965360000000003</v>
      </c>
      <c r="P4493">
        <v>0.15218470000000001</v>
      </c>
      <c r="Q4493">
        <v>7.2374439999999998E-2</v>
      </c>
      <c r="R4493">
        <v>-0.98569890000000004</v>
      </c>
      <c r="S4493">
        <v>0.39297490000000002</v>
      </c>
      <c r="T4493">
        <v>-0.2686732</v>
      </c>
      <c r="U4493">
        <v>-3.0025330000000001</v>
      </c>
      <c r="V4493">
        <v>-0.17425399999999999</v>
      </c>
      <c r="W4493">
        <v>8.5851549999999999E-2</v>
      </c>
      <c r="X4493">
        <v>0.98095109999999996</v>
      </c>
      <c r="Y4493">
        <v>-0.1513399</v>
      </c>
      <c r="Z4493">
        <v>8.820617E-2</v>
      </c>
      <c r="AA4493">
        <v>0.98453840000000004</v>
      </c>
      <c r="AB4493">
        <v>27</v>
      </c>
      <c r="AC4493">
        <v>1.6301000000000201</v>
      </c>
      <c r="AD4493">
        <v>-1.1110320680270001</v>
      </c>
      <c r="AE4493">
        <v>-12.153419999999899</v>
      </c>
      <c r="AF4493">
        <v>-1.8851525520917001</v>
      </c>
      <c r="AG4493">
        <v>-1.1110320680270001</v>
      </c>
      <c r="AH4493">
        <v>12.0154205341051</v>
      </c>
      <c r="AI4493">
        <v>95.219465499077401</v>
      </c>
      <c r="AJ4493">
        <v>98.916698744829006</v>
      </c>
      <c r="AK4493">
        <v>12.2130472451488</v>
      </c>
      <c r="AL4493">
        <v>85.075005916819407</v>
      </c>
      <c r="AM4493">
        <v>100.072823639863</v>
      </c>
      <c r="AN4493">
        <v>1.0000000028723</v>
      </c>
    </row>
    <row r="4494" spans="1:40" x14ac:dyDescent="0.25">
      <c r="A4494" t="str">
        <f>"20190312151405125"</f>
        <v>20190312151405125</v>
      </c>
      <c r="B4494" t="str">
        <f>"1552374845115369"</f>
        <v>1552374845115369</v>
      </c>
      <c r="C4494" t="s">
        <v>40</v>
      </c>
      <c r="D4494">
        <v>4.7850289999999998</v>
      </c>
      <c r="E4494">
        <v>0.51054659999999996</v>
      </c>
      <c r="F4494" t="s">
        <v>42</v>
      </c>
      <c r="G4494">
        <v>-421.58640000000003</v>
      </c>
      <c r="H4494" s="1">
        <v>-4.0584339999999996E-6</v>
      </c>
      <c r="I4494">
        <v>68.085769999999997</v>
      </c>
      <c r="J4494">
        <v>-423.18459999999999</v>
      </c>
      <c r="K4494">
        <v>1.111016</v>
      </c>
      <c r="L4494">
        <v>80.026060000000001</v>
      </c>
      <c r="M4494">
        <v>-2.1422210000000001E-2</v>
      </c>
      <c r="N4494">
        <v>0</v>
      </c>
      <c r="O4494">
        <v>-0.99967260000000002</v>
      </c>
      <c r="P4494">
        <v>0.15275269999999999</v>
      </c>
      <c r="Q4494">
        <v>7.2367169999999995E-2</v>
      </c>
      <c r="R4494">
        <v>-0.98561180000000004</v>
      </c>
      <c r="S4494">
        <v>0.39218140000000001</v>
      </c>
      <c r="T4494">
        <v>-0.27346479999999901</v>
      </c>
      <c r="U4494">
        <v>-3.0030519999999998</v>
      </c>
      <c r="V4494">
        <v>-0.17396449999999999</v>
      </c>
      <c r="W4494">
        <v>8.584775E-2</v>
      </c>
      <c r="X4494">
        <v>0.98100279999999995</v>
      </c>
      <c r="Y4494">
        <v>-0.1501855</v>
      </c>
      <c r="Z4494">
        <v>8.9763339999999997E-2</v>
      </c>
      <c r="AA4494">
        <v>0.98457439999999996</v>
      </c>
      <c r="AB4494">
        <v>27</v>
      </c>
      <c r="AC4494">
        <v>1.5981999999999601</v>
      </c>
      <c r="AD4494">
        <v>-1.111020058434</v>
      </c>
      <c r="AE4494">
        <v>-11.940289999999999</v>
      </c>
      <c r="AF4494">
        <v>-1.83801231251424</v>
      </c>
      <c r="AG4494">
        <v>-1.111020058434</v>
      </c>
      <c r="AH4494">
        <v>11.802918772425</v>
      </c>
      <c r="AI4494">
        <v>95.313789966853705</v>
      </c>
      <c r="AJ4494">
        <v>98.851306604631205</v>
      </c>
      <c r="AK4494">
        <v>11.996730653793101</v>
      </c>
      <c r="AL4494">
        <v>85.075224376737495</v>
      </c>
      <c r="AM4494">
        <v>100.055911660042</v>
      </c>
      <c r="AN4494">
        <v>0.99999998852407601</v>
      </c>
    </row>
    <row r="4495" spans="1:40" x14ac:dyDescent="0.25">
      <c r="A4495" t="str">
        <f>"20190312151405147"</f>
        <v>20190312151405147</v>
      </c>
      <c r="B4495" t="str">
        <f>"1552374845144649"</f>
        <v>1552374845144649</v>
      </c>
      <c r="C4495" t="s">
        <v>40</v>
      </c>
      <c r="D4495">
        <v>4.796233</v>
      </c>
      <c r="E4495">
        <v>0.51080879999999995</v>
      </c>
      <c r="F4495" t="s">
        <v>42</v>
      </c>
      <c r="G4495">
        <v>-421.61520000000002</v>
      </c>
      <c r="H4495" s="1">
        <v>-4.0172619999999999E-6</v>
      </c>
      <c r="I4495">
        <v>67.951639999999998</v>
      </c>
      <c r="J4495">
        <v>-423.1893</v>
      </c>
      <c r="K4495">
        <v>1.1110059999999999</v>
      </c>
      <c r="L4495">
        <v>79.757779999999997</v>
      </c>
      <c r="M4495">
        <v>-2.053932E-2</v>
      </c>
      <c r="N4495">
        <v>0</v>
      </c>
      <c r="O4495">
        <v>-0.99969140000000001</v>
      </c>
      <c r="P4495">
        <v>0.15384779999999901</v>
      </c>
      <c r="Q4495">
        <v>7.1972700000000001E-2</v>
      </c>
      <c r="R4495">
        <v>-0.98547039999999997</v>
      </c>
      <c r="S4495">
        <v>0.39038089999999998</v>
      </c>
      <c r="T4495">
        <v>-0.27637149999999999</v>
      </c>
      <c r="U4495">
        <v>-3.003571</v>
      </c>
      <c r="V4495">
        <v>-0.1741866</v>
      </c>
      <c r="W4495">
        <v>8.5453409999999994E-2</v>
      </c>
      <c r="X4495">
        <v>0.98099789999999998</v>
      </c>
      <c r="Y4495">
        <v>-0.148699</v>
      </c>
      <c r="Z4495">
        <v>9.0710390000000002E-2</v>
      </c>
      <c r="AA4495">
        <v>0.98471330000000001</v>
      </c>
      <c r="AB4495">
        <v>27</v>
      </c>
      <c r="AC4495">
        <v>1.5740999999999801</v>
      </c>
      <c r="AD4495">
        <v>-1.1110100172620001</v>
      </c>
      <c r="AE4495">
        <v>-11.806139999999999</v>
      </c>
      <c r="AF4495">
        <v>-1.80061454364505</v>
      </c>
      <c r="AG4495">
        <v>-1.1110100172620001</v>
      </c>
      <c r="AH4495">
        <v>11.6697764946944</v>
      </c>
      <c r="AI4495">
        <v>95.375169526172598</v>
      </c>
      <c r="AJ4495">
        <v>98.7714094488813</v>
      </c>
      <c r="AK4495">
        <v>11.8600269573625</v>
      </c>
      <c r="AL4495">
        <v>85.0979021210171</v>
      </c>
      <c r="AM4495">
        <v>100.06853676418</v>
      </c>
      <c r="AN4495">
        <v>1.0000000683522901</v>
      </c>
    </row>
    <row r="4496" spans="1:40" x14ac:dyDescent="0.25">
      <c r="A4496" t="str">
        <f>"20190312151405171"</f>
        <v>20190312151405171</v>
      </c>
      <c r="B4496" t="str">
        <f>"1552374845165145"</f>
        <v>1552374845165145</v>
      </c>
      <c r="C4496" t="s">
        <v>40</v>
      </c>
      <c r="D4496">
        <v>4.8110049999999998</v>
      </c>
      <c r="E4496">
        <v>0.51084350000000001</v>
      </c>
      <c r="F4496" t="s">
        <v>42</v>
      </c>
      <c r="G4496">
        <v>-421.64960000000002</v>
      </c>
      <c r="H4496" s="1">
        <v>-4.0296999999999997E-6</v>
      </c>
      <c r="I4496">
        <v>67.968389999999999</v>
      </c>
      <c r="J4496">
        <v>-423.19380000000001</v>
      </c>
      <c r="K4496">
        <v>1.111003</v>
      </c>
      <c r="L4496">
        <v>79.486329999999995</v>
      </c>
      <c r="M4496">
        <v>-1.9653710000000001E-2</v>
      </c>
      <c r="N4496">
        <v>0</v>
      </c>
      <c r="O4496">
        <v>-0.99970899999999996</v>
      </c>
      <c r="P4496">
        <v>0.15514410000000001</v>
      </c>
      <c r="Q4496">
        <v>7.1817829999999999E-2</v>
      </c>
      <c r="R4496">
        <v>-0.98527810000000005</v>
      </c>
      <c r="S4496">
        <v>0.39227289999999998</v>
      </c>
      <c r="T4496">
        <v>-0.28305950000000002</v>
      </c>
      <c r="U4496">
        <v>-3.0036619999999998</v>
      </c>
      <c r="V4496">
        <v>-0.17460709999999999</v>
      </c>
      <c r="W4496">
        <v>8.5297590000000006E-2</v>
      </c>
      <c r="X4496">
        <v>0.98093660000000005</v>
      </c>
      <c r="Y4496">
        <v>-0.14840320000000001</v>
      </c>
      <c r="Z4496">
        <v>9.2884649999999999E-2</v>
      </c>
      <c r="AA4496">
        <v>0.98455519999999996</v>
      </c>
      <c r="AB4496">
        <v>27</v>
      </c>
      <c r="AC4496">
        <v>1.54419999999998</v>
      </c>
      <c r="AD4496">
        <v>-1.1110070297000001</v>
      </c>
      <c r="AE4496">
        <v>-11.517939999999999</v>
      </c>
      <c r="AF4496">
        <v>-1.75426010520945</v>
      </c>
      <c r="AG4496">
        <v>-1.1110070297000001</v>
      </c>
      <c r="AH4496">
        <v>11.381336982157499</v>
      </c>
      <c r="AI4496">
        <v>95.510684584721304</v>
      </c>
      <c r="AJ4496">
        <v>98.762317409611896</v>
      </c>
      <c r="AK4496">
        <v>11.5692089893043</v>
      </c>
      <c r="AL4496">
        <v>85.106862161702495</v>
      </c>
      <c r="AM4496">
        <v>100.09296164025299</v>
      </c>
      <c r="AN4496">
        <v>0.99999996572488803</v>
      </c>
    </row>
    <row r="4497" spans="1:40" x14ac:dyDescent="0.25">
      <c r="A4497" t="str">
        <f>"20190312151405193"</f>
        <v>20190312151405193</v>
      </c>
      <c r="B4497" t="str">
        <f>"1552374845184665"</f>
        <v>1552374845184665</v>
      </c>
      <c r="C4497" t="s">
        <v>40</v>
      </c>
      <c r="D4497">
        <v>4.7877179999999999</v>
      </c>
      <c r="E4497">
        <v>0.51090599999999997</v>
      </c>
      <c r="F4497" t="s">
        <v>42</v>
      </c>
      <c r="G4497">
        <v>-421.65019999999998</v>
      </c>
      <c r="H4497" s="1">
        <v>-3.9532249999999997E-6</v>
      </c>
      <c r="I4497">
        <v>67.780649999999994</v>
      </c>
      <c r="J4497">
        <v>-423.19799999999998</v>
      </c>
      <c r="K4497">
        <v>1.110997</v>
      </c>
      <c r="L4497">
        <v>79.223749999999995</v>
      </c>
      <c r="M4497">
        <v>-1.8801080000000001E-2</v>
      </c>
      <c r="N4497">
        <v>0</v>
      </c>
      <c r="O4497">
        <v>-0.99972539999999999</v>
      </c>
      <c r="P4497">
        <v>0.15563769999999999</v>
      </c>
      <c r="Q4497">
        <v>7.178698E-2</v>
      </c>
      <c r="R4497">
        <v>-0.98520269999999999</v>
      </c>
      <c r="S4497">
        <v>0.39602660000000001</v>
      </c>
      <c r="T4497">
        <v>-0.285045099999999</v>
      </c>
      <c r="U4497">
        <v>-3.0032649999999999</v>
      </c>
      <c r="V4497">
        <v>-0.17426050000000001</v>
      </c>
      <c r="W4497">
        <v>8.5267190000000007E-2</v>
      </c>
      <c r="X4497">
        <v>0.98100089999999995</v>
      </c>
      <c r="Y4497">
        <v>-0.14877839999999901</v>
      </c>
      <c r="Z4497">
        <v>9.3534779999999998E-2</v>
      </c>
      <c r="AA4497">
        <v>0.98443700000000001</v>
      </c>
      <c r="AB4497">
        <v>27</v>
      </c>
      <c r="AC4497">
        <v>1.54780000000005</v>
      </c>
      <c r="AD4497">
        <v>-1.111000953225</v>
      </c>
      <c r="AE4497">
        <v>-11.443099999999999</v>
      </c>
      <c r="AF4497">
        <v>-1.7465225872601</v>
      </c>
      <c r="AG4497">
        <v>-1.111000953225</v>
      </c>
      <c r="AH4497">
        <v>11.3073027292152</v>
      </c>
      <c r="AI4497">
        <v>95.546241335943805</v>
      </c>
      <c r="AJ4497">
        <v>98.780499896715995</v>
      </c>
      <c r="AK4497">
        <v>11.495205925776</v>
      </c>
      <c r="AL4497">
        <v>85.108610444664507</v>
      </c>
      <c r="AM4497">
        <v>100.072690791539</v>
      </c>
      <c r="AN4497">
        <v>0.99999999067577705</v>
      </c>
    </row>
    <row r="4498" spans="1:40" x14ac:dyDescent="0.25">
      <c r="A4498" t="str">
        <f>"20190312151405215"</f>
        <v>20190312151405215</v>
      </c>
      <c r="B4498" t="str">
        <f>"1552374845205162"</f>
        <v>1552374845205162</v>
      </c>
      <c r="C4498" t="s">
        <v>40</v>
      </c>
      <c r="D4498">
        <v>4.7979129999999897</v>
      </c>
      <c r="E4498">
        <v>0.51100089999999998</v>
      </c>
      <c r="F4498" t="s">
        <v>42</v>
      </c>
      <c r="G4498">
        <v>-421.66550000000001</v>
      </c>
      <c r="H4498" s="1">
        <v>-3.8985970000000004E-6</v>
      </c>
      <c r="I4498">
        <v>67.643860000000004</v>
      </c>
      <c r="J4498">
        <v>-423.20209999999997</v>
      </c>
      <c r="K4498">
        <v>1.110992</v>
      </c>
      <c r="L4498">
        <v>78.951449999999994</v>
      </c>
      <c r="M4498">
        <v>-1.7920459999999999E-2</v>
      </c>
      <c r="N4498">
        <v>0</v>
      </c>
      <c r="O4498">
        <v>-0.99974189999999996</v>
      </c>
      <c r="P4498">
        <v>0.1563881</v>
      </c>
      <c r="Q4498">
        <v>7.1998489999999998E-2</v>
      </c>
      <c r="R4498">
        <v>-0.98506830000000001</v>
      </c>
      <c r="S4498">
        <v>0.39746090000000001</v>
      </c>
      <c r="T4498">
        <v>-0.288139799999999</v>
      </c>
      <c r="U4498">
        <v>-3.0032649999999999</v>
      </c>
      <c r="V4498">
        <v>-0.17414170000000001</v>
      </c>
      <c r="W4498">
        <v>8.5478600000000002E-2</v>
      </c>
      <c r="X4498">
        <v>0.98100359999999998</v>
      </c>
      <c r="Y4498">
        <v>-0.14835699999999999</v>
      </c>
      <c r="Z4498">
        <v>9.4543539999999995E-2</v>
      </c>
      <c r="AA4498">
        <v>0.98440430000000001</v>
      </c>
      <c r="AB4498">
        <v>27</v>
      </c>
      <c r="AC4498">
        <v>1.53659999999996</v>
      </c>
      <c r="AD4498">
        <v>-1.1109958985970001</v>
      </c>
      <c r="AE4498">
        <v>-11.3075899999999</v>
      </c>
      <c r="AF4498">
        <v>-1.7226817884900201</v>
      </c>
      <c r="AG4498">
        <v>-1.1109958985970001</v>
      </c>
      <c r="AH4498">
        <v>11.1723379214872</v>
      </c>
      <c r="AI4498">
        <v>95.613016028989406</v>
      </c>
      <c r="AJ4498">
        <v>98.765501885837693</v>
      </c>
      <c r="AK4498">
        <v>11.358832645258801</v>
      </c>
      <c r="AL4498">
        <v>85.096453169677901</v>
      </c>
      <c r="AM4498">
        <v>100.06593719296799</v>
      </c>
      <c r="AN4498">
        <v>0.99999999297490405</v>
      </c>
    </row>
    <row r="4499" spans="1:40" x14ac:dyDescent="0.25">
      <c r="A4499" t="str">
        <f>"20190312151405237"</f>
        <v>20190312151405237</v>
      </c>
      <c r="B4499" t="str">
        <f>"1552374845224681"</f>
        <v>1552374845224681</v>
      </c>
      <c r="C4499" t="s">
        <v>40</v>
      </c>
      <c r="D4499">
        <v>4.7943519999999999</v>
      </c>
      <c r="E4499">
        <v>0.51109229999999894</v>
      </c>
      <c r="F4499" t="s">
        <v>42</v>
      </c>
      <c r="G4499">
        <v>-421.6728</v>
      </c>
      <c r="H4499" s="1">
        <v>-3.8133540000000002E-6</v>
      </c>
      <c r="I4499">
        <v>67.440640000000002</v>
      </c>
      <c r="J4499">
        <v>-423.20569999999998</v>
      </c>
      <c r="K4499">
        <v>1.1109869999999999</v>
      </c>
      <c r="L4499">
        <v>78.698239999999998</v>
      </c>
      <c r="M4499">
        <v>-1.7105470000000001E-2</v>
      </c>
      <c r="N4499">
        <v>0</v>
      </c>
      <c r="O4499">
        <v>-0.99975610000000004</v>
      </c>
      <c r="P4499">
        <v>0.15690119999999999</v>
      </c>
      <c r="Q4499">
        <v>7.147212E-2</v>
      </c>
      <c r="R4499">
        <v>-0.98502500000000004</v>
      </c>
      <c r="S4499">
        <v>0.39901730000000002</v>
      </c>
      <c r="T4499">
        <v>-0.28987099999999999</v>
      </c>
      <c r="U4499">
        <v>-3.0032960000000002</v>
      </c>
      <c r="V4499">
        <v>-0.17385210000000001</v>
      </c>
      <c r="W4499">
        <v>8.4953130000000002E-2</v>
      </c>
      <c r="X4499">
        <v>0.98110059999999999</v>
      </c>
      <c r="Y4499">
        <v>-0.14804389999999901</v>
      </c>
      <c r="Z4499">
        <v>9.5106529999999995E-2</v>
      </c>
      <c r="AA4499">
        <v>0.98439719999999997</v>
      </c>
      <c r="AB4499">
        <v>26</v>
      </c>
      <c r="AC4499">
        <v>1.5328999999999799</v>
      </c>
      <c r="AD4499">
        <v>-1.1109908133540001</v>
      </c>
      <c r="AE4499">
        <v>-11.257599999999901</v>
      </c>
      <c r="AF4499">
        <v>-1.70892023899582</v>
      </c>
      <c r="AG4499">
        <v>-1.1109908133540001</v>
      </c>
      <c r="AH4499">
        <v>11.123366928884799</v>
      </c>
      <c r="AI4499">
        <v>95.638013265415495</v>
      </c>
      <c r="AJ4499">
        <v>98.7342516089508</v>
      </c>
      <c r="AK4499">
        <v>11.3085808484183</v>
      </c>
      <c r="AL4499">
        <v>85.126670269458103</v>
      </c>
      <c r="AM4499">
        <v>100.048565563949</v>
      </c>
      <c r="AN4499">
        <v>0.99999998714578298</v>
      </c>
    </row>
    <row r="4500" spans="1:40" x14ac:dyDescent="0.25">
      <c r="A4500" t="str">
        <f>"20190312151405259"</f>
        <v>20190312151405259</v>
      </c>
      <c r="B4500" t="str">
        <f>"1552374845254937"</f>
        <v>1552374845254937</v>
      </c>
      <c r="C4500" t="s">
        <v>40</v>
      </c>
      <c r="D4500">
        <v>4.8197400000000004</v>
      </c>
      <c r="E4500">
        <v>0.51127230000000001</v>
      </c>
      <c r="F4500" t="s">
        <v>42</v>
      </c>
      <c r="G4500">
        <v>-421.6902</v>
      </c>
      <c r="H4500" s="1">
        <v>-3.7586260000000002E-6</v>
      </c>
      <c r="I4500">
        <v>67.302250000000001</v>
      </c>
      <c r="J4500">
        <v>-423.20920000000001</v>
      </c>
      <c r="K4500">
        <v>1.1109819999999999</v>
      </c>
      <c r="L4500">
        <v>78.43683</v>
      </c>
      <c r="M4500">
        <v>-1.6269889999999999E-2</v>
      </c>
      <c r="N4500">
        <v>0</v>
      </c>
      <c r="O4500">
        <v>-0.99976989999999999</v>
      </c>
      <c r="P4500">
        <v>0.15749469999999999</v>
      </c>
      <c r="Q4500">
        <v>7.1257070000000006E-2</v>
      </c>
      <c r="R4500">
        <v>-0.98494590000000004</v>
      </c>
      <c r="S4500">
        <v>0.3993835</v>
      </c>
      <c r="T4500">
        <v>-0.29278419999999999</v>
      </c>
      <c r="U4500">
        <v>-3.0032350000000001</v>
      </c>
      <c r="V4500">
        <v>-0.17362139999999901</v>
      </c>
      <c r="W4500">
        <v>8.4739330000000002E-2</v>
      </c>
      <c r="X4500">
        <v>0.98116000000000003</v>
      </c>
      <c r="Y4500">
        <v>-0.14732579999999901</v>
      </c>
      <c r="Z4500">
        <v>9.6061839999999996E-2</v>
      </c>
      <c r="AA4500">
        <v>0.98441210000000001</v>
      </c>
      <c r="AB4500">
        <v>26</v>
      </c>
      <c r="AC4500">
        <v>1.5189999999999999</v>
      </c>
      <c r="AD4500">
        <v>-1.1109857586259999</v>
      </c>
      <c r="AE4500">
        <v>-11.13458</v>
      </c>
      <c r="AF4500">
        <v>-1.6835206967221299</v>
      </c>
      <c r="AG4500">
        <v>-1.1109857586259999</v>
      </c>
      <c r="AH4500">
        <v>11.0008698329779</v>
      </c>
      <c r="AI4500">
        <v>95.700864250717601</v>
      </c>
      <c r="AJ4500">
        <v>98.700768766429704</v>
      </c>
      <c r="AK4500">
        <v>11.184259849193699</v>
      </c>
      <c r="AL4500">
        <v>85.138964721737196</v>
      </c>
      <c r="AM4500">
        <v>100.034907235006</v>
      </c>
      <c r="AN4500">
        <v>1.0000000450933999</v>
      </c>
    </row>
    <row r="4501" spans="1:40" x14ac:dyDescent="0.25">
      <c r="A4501" t="str">
        <f>"20190312151405281"</f>
        <v>20190312151405281</v>
      </c>
      <c r="B4501" t="str">
        <f>"1552374845275433"</f>
        <v>1552374845275433</v>
      </c>
      <c r="C4501" t="s">
        <v>40</v>
      </c>
      <c r="D4501">
        <v>4.7829269999999999</v>
      </c>
      <c r="E4501">
        <v>0.51138189999999994</v>
      </c>
      <c r="F4501" t="s">
        <v>42</v>
      </c>
      <c r="G4501">
        <v>-421.7045</v>
      </c>
      <c r="H4501" s="1">
        <v>-3.695868E-6</v>
      </c>
      <c r="I4501">
        <v>67.147059999999996</v>
      </c>
      <c r="J4501">
        <v>-423.21249999999998</v>
      </c>
      <c r="K4501">
        <v>1.110975</v>
      </c>
      <c r="L4501">
        <v>78.177309999999906</v>
      </c>
      <c r="M4501">
        <v>-1.5448480000000001E-2</v>
      </c>
      <c r="N4501">
        <v>0</v>
      </c>
      <c r="O4501">
        <v>-0.99978299999999998</v>
      </c>
      <c r="P4501">
        <v>0.15736989999999901</v>
      </c>
      <c r="Q4501">
        <v>7.0548650000000004E-2</v>
      </c>
      <c r="R4501">
        <v>-0.98501680000000003</v>
      </c>
      <c r="S4501">
        <v>0.40026859999999997</v>
      </c>
      <c r="T4501">
        <v>-0.29553770000000001</v>
      </c>
      <c r="U4501">
        <v>-3.0032350000000001</v>
      </c>
      <c r="V4501">
        <v>-0.17268839999999999</v>
      </c>
      <c r="W4501">
        <v>8.4033750000000004E-2</v>
      </c>
      <c r="X4501">
        <v>0.98138530000000002</v>
      </c>
      <c r="Y4501">
        <v>-0.1467868</v>
      </c>
      <c r="Z4501">
        <v>9.6960660000000004E-2</v>
      </c>
      <c r="AA4501">
        <v>0.98440450000000002</v>
      </c>
      <c r="AB4501">
        <v>26</v>
      </c>
      <c r="AC4501">
        <v>1.50799999999998</v>
      </c>
      <c r="AD4501">
        <v>-1.1109786958679999</v>
      </c>
      <c r="AE4501">
        <v>-11.030249999999899</v>
      </c>
      <c r="AF4501">
        <v>-1.66168914852761</v>
      </c>
      <c r="AG4501">
        <v>-1.1109786958679999</v>
      </c>
      <c r="AH4501">
        <v>10.8971148574824</v>
      </c>
      <c r="AI4501">
        <v>95.7552112703451</v>
      </c>
      <c r="AJ4501">
        <v>98.670180390078102</v>
      </c>
      <c r="AK4501">
        <v>11.078925792068899</v>
      </c>
      <c r="AL4501">
        <v>85.179536122623105</v>
      </c>
      <c r="AM4501">
        <v>99.979823904081101</v>
      </c>
      <c r="AN4501">
        <v>1.00000003084485</v>
      </c>
    </row>
    <row r="4502" spans="1:40" x14ac:dyDescent="0.25">
      <c r="A4502" t="str">
        <f>"20190312151405303"</f>
        <v>20190312151405303</v>
      </c>
      <c r="B4502" t="str">
        <f>"1552374845294953"</f>
        <v>1552374845294953</v>
      </c>
      <c r="C4502" t="s">
        <v>40</v>
      </c>
      <c r="D4502">
        <v>4.7498699999999996</v>
      </c>
      <c r="E4502">
        <v>0.5113972</v>
      </c>
      <c r="F4502" t="s">
        <v>42</v>
      </c>
      <c r="G4502">
        <v>-421.7287</v>
      </c>
      <c r="H4502" s="1">
        <v>-3.6521959999999998E-6</v>
      </c>
      <c r="I4502">
        <v>67.030299999999997</v>
      </c>
      <c r="J4502">
        <v>-423.21559999999999</v>
      </c>
      <c r="K4502">
        <v>1.110967</v>
      </c>
      <c r="L4502">
        <v>77.918580000000006</v>
      </c>
      <c r="M4502">
        <v>-1.4640790000000001E-2</v>
      </c>
      <c r="N4502">
        <v>0</v>
      </c>
      <c r="O4502">
        <v>-0.9997954</v>
      </c>
      <c r="P4502">
        <v>0.15789810000000001</v>
      </c>
      <c r="Q4502">
        <v>7.0175669999999996E-2</v>
      </c>
      <c r="R4502">
        <v>-0.98495889999999997</v>
      </c>
      <c r="S4502">
        <v>0.39978029999999998</v>
      </c>
      <c r="T4502">
        <v>-0.29931770000000002</v>
      </c>
      <c r="U4502">
        <v>-3.0032040000000002</v>
      </c>
      <c r="V4502">
        <v>-0.17241960000000001</v>
      </c>
      <c r="W4502">
        <v>8.3660289999999998E-2</v>
      </c>
      <c r="X4502">
        <v>0.98146440000000001</v>
      </c>
      <c r="Y4502">
        <v>-0.14581569999999999</v>
      </c>
      <c r="Z4502">
        <v>9.8199729999999999E-2</v>
      </c>
      <c r="AA4502">
        <v>0.98442600000000002</v>
      </c>
      <c r="AB4502">
        <v>26</v>
      </c>
      <c r="AC4502">
        <v>1.4868999999999899</v>
      </c>
      <c r="AD4502">
        <v>-1.1109706521960001</v>
      </c>
      <c r="AE4502">
        <v>-10.88828</v>
      </c>
      <c r="AF4502">
        <v>-1.6295150711864199</v>
      </c>
      <c r="AG4502">
        <v>-1.1109706521960001</v>
      </c>
      <c r="AH4502">
        <v>10.7554179886006</v>
      </c>
      <c r="AI4502">
        <v>95.831317387621695</v>
      </c>
      <c r="AJ4502">
        <v>98.615160153020895</v>
      </c>
      <c r="AK4502">
        <v>10.9347423959954</v>
      </c>
      <c r="AL4502">
        <v>85.201009104946294</v>
      </c>
      <c r="AM4502">
        <v>99.963814291497897</v>
      </c>
      <c r="AN4502">
        <v>0.99999996552720105</v>
      </c>
    </row>
    <row r="4503" spans="1:40" x14ac:dyDescent="0.25">
      <c r="A4503" t="str">
        <f>"20190312151405327"</f>
        <v>20190312151405327</v>
      </c>
      <c r="B4503" t="str">
        <f>"1552374845314473"</f>
        <v>1552374845314473</v>
      </c>
      <c r="C4503" t="s">
        <v>40</v>
      </c>
      <c r="D4503">
        <v>4.768446</v>
      </c>
      <c r="E4503">
        <v>0.51143439999999996</v>
      </c>
      <c r="F4503" t="s">
        <v>42</v>
      </c>
      <c r="G4503">
        <v>-421.7346</v>
      </c>
      <c r="H4503" s="1">
        <v>-3.5744820000000002E-6</v>
      </c>
      <c r="I4503">
        <v>66.845479999999995</v>
      </c>
      <c r="J4503">
        <v>-423.21859999999998</v>
      </c>
      <c r="K4503">
        <v>1.110951</v>
      </c>
      <c r="L4503">
        <v>77.651030000000006</v>
      </c>
      <c r="M4503">
        <v>-1.38234E-2</v>
      </c>
      <c r="N4503">
        <v>0</v>
      </c>
      <c r="O4503">
        <v>-0.99980720000000001</v>
      </c>
      <c r="P4503">
        <v>0.15848909999999999</v>
      </c>
      <c r="Q4503">
        <v>7.0060839999999999E-2</v>
      </c>
      <c r="R4503">
        <v>-0.98487219999999998</v>
      </c>
      <c r="S4503">
        <v>0.40164179999999999</v>
      </c>
      <c r="T4503">
        <v>-0.30127939999999998</v>
      </c>
      <c r="U4503">
        <v>-3.002869</v>
      </c>
      <c r="V4503">
        <v>-0.1722033</v>
      </c>
      <c r="W4503">
        <v>8.353911E-2</v>
      </c>
      <c r="X4503">
        <v>0.98151270000000002</v>
      </c>
      <c r="Y4503">
        <v>-0.14561250000000001</v>
      </c>
      <c r="Z4503">
        <v>9.8847069999999995E-2</v>
      </c>
      <c r="AA4503">
        <v>0.98439129999999997</v>
      </c>
      <c r="AB4503">
        <v>26</v>
      </c>
      <c r="AC4503">
        <v>1.48399999999998</v>
      </c>
      <c r="AD4503">
        <v>-1.110954574482</v>
      </c>
      <c r="AE4503">
        <v>-10.805549999999901</v>
      </c>
      <c r="AF4503">
        <v>-1.61647142361471</v>
      </c>
      <c r="AG4503">
        <v>-1.110954574482</v>
      </c>
      <c r="AH4503">
        <v>10.6732673969943</v>
      </c>
      <c r="AI4503">
        <v>95.875851256584497</v>
      </c>
      <c r="AJ4503">
        <v>98.612025654258801</v>
      </c>
      <c r="AK4503">
        <v>10.851996906453101</v>
      </c>
      <c r="AL4503">
        <v>85.207976618777295</v>
      </c>
      <c r="AM4503">
        <v>99.951084809721706</v>
      </c>
      <c r="AN4503">
        <v>0.99999996984588502</v>
      </c>
    </row>
    <row r="4504" spans="1:40" x14ac:dyDescent="0.25">
      <c r="A4504" t="str">
        <f>"20190312151405348"</f>
        <v>20190312151405348</v>
      </c>
      <c r="B4504" t="str">
        <f>"1552374845344729"</f>
        <v>1552374845344729</v>
      </c>
      <c r="C4504" t="s">
        <v>40</v>
      </c>
      <c r="D4504">
        <v>4.7479680000000002</v>
      </c>
      <c r="E4504">
        <v>0.51161270000000003</v>
      </c>
      <c r="F4504" t="s">
        <v>42</v>
      </c>
      <c r="G4504">
        <v>-421.74020000000002</v>
      </c>
      <c r="H4504" s="1">
        <v>-3.4859649999999998E-6</v>
      </c>
      <c r="I4504">
        <v>66.635669999999905</v>
      </c>
      <c r="J4504">
        <v>-423.22129999999999</v>
      </c>
      <c r="K4504">
        <v>1.1109279999999999</v>
      </c>
      <c r="L4504">
        <v>77.392119999999906</v>
      </c>
      <c r="M4504">
        <v>-1.305423E-2</v>
      </c>
      <c r="N4504">
        <v>0</v>
      </c>
      <c r="O4504">
        <v>-0.99981770000000003</v>
      </c>
      <c r="P4504">
        <v>0.15968760000000001</v>
      </c>
      <c r="Q4504">
        <v>6.9834679999999996E-2</v>
      </c>
      <c r="R4504">
        <v>-0.98469490000000004</v>
      </c>
      <c r="S4504">
        <v>0.40301510000000001</v>
      </c>
      <c r="T4504">
        <v>-0.30284519999999998</v>
      </c>
      <c r="U4504">
        <v>-3.002777</v>
      </c>
      <c r="V4504">
        <v>-0.17264009999999999</v>
      </c>
      <c r="W4504">
        <v>8.3301990000000006E-2</v>
      </c>
      <c r="X4504">
        <v>0.9814562</v>
      </c>
      <c r="Y4504">
        <v>-0.1452909</v>
      </c>
      <c r="Z4504">
        <v>9.9359589999999998E-2</v>
      </c>
      <c r="AA4504">
        <v>0.98438720000000002</v>
      </c>
      <c r="AB4504">
        <v>26</v>
      </c>
      <c r="AC4504">
        <v>1.4810999999999599</v>
      </c>
      <c r="AD4504">
        <v>-1.1109314859649999</v>
      </c>
      <c r="AE4504">
        <v>-10.756449999999999</v>
      </c>
      <c r="AF4504">
        <v>-1.60460693539398</v>
      </c>
      <c r="AG4504">
        <v>-1.1109314859649999</v>
      </c>
      <c r="AH4504">
        <v>10.624970499457</v>
      </c>
      <c r="AI4504">
        <v>95.902621677719793</v>
      </c>
      <c r="AJ4504">
        <v>98.588038690419296</v>
      </c>
      <c r="AK4504">
        <v>10.8027279100214</v>
      </c>
      <c r="AL4504">
        <v>85.221610494498094</v>
      </c>
      <c r="AM4504">
        <v>99.9763824333901</v>
      </c>
      <c r="AN4504">
        <v>1.0000000490922001</v>
      </c>
    </row>
    <row r="4505" spans="1:40" x14ac:dyDescent="0.25">
      <c r="A4505" t="str">
        <f>"20190312151405372"</f>
        <v>20190312151405372</v>
      </c>
      <c r="B4505" t="str">
        <f>"1552374845365225"</f>
        <v>1552374845365225</v>
      </c>
      <c r="C4505" t="s">
        <v>40</v>
      </c>
      <c r="D4505">
        <v>4.7547860000000002</v>
      </c>
      <c r="E4505">
        <v>0.52225710000000003</v>
      </c>
      <c r="F4505" t="s">
        <v>42</v>
      </c>
      <c r="G4505">
        <v>-421.74579999999997</v>
      </c>
      <c r="H4505" s="1">
        <v>-3.4157510000000001E-6</v>
      </c>
      <c r="I4505">
        <v>66.468490000000003</v>
      </c>
      <c r="J4505">
        <v>-423.22390000000001</v>
      </c>
      <c r="K4505">
        <v>1.1108990000000001</v>
      </c>
      <c r="L4505">
        <v>77.113770000000002</v>
      </c>
      <c r="M4505">
        <v>-1.225014E-2</v>
      </c>
      <c r="N4505">
        <v>0</v>
      </c>
      <c r="O4505">
        <v>-0.9998281</v>
      </c>
      <c r="P4505">
        <v>0.16067979999999901</v>
      </c>
      <c r="Q4505">
        <v>7.0076860000000005E-2</v>
      </c>
      <c r="R4505">
        <v>-0.98451580000000005</v>
      </c>
      <c r="S4505">
        <v>0.40554810000000002</v>
      </c>
      <c r="T4505">
        <v>-0.30535709999999999</v>
      </c>
      <c r="U4505">
        <v>-3.0025330000000001</v>
      </c>
      <c r="V4505">
        <v>-0.17283660000000001</v>
      </c>
      <c r="W4505">
        <v>8.3533410000000002E-2</v>
      </c>
      <c r="X4505">
        <v>0.98140190000000005</v>
      </c>
      <c r="Y4505">
        <v>-0.14531050000000001</v>
      </c>
      <c r="Z4505">
        <v>0.1001792</v>
      </c>
      <c r="AA4505">
        <v>0.98430130000000005</v>
      </c>
      <c r="AB4505">
        <v>26</v>
      </c>
      <c r="AC4505">
        <v>1.4781000000000399</v>
      </c>
      <c r="AD4505">
        <v>-1.1109024157509999</v>
      </c>
      <c r="AE4505">
        <v>-10.64528</v>
      </c>
      <c r="AF4505">
        <v>-1.5914048887795</v>
      </c>
      <c r="AG4505">
        <v>-1.1109024157509999</v>
      </c>
      <c r="AH4505">
        <v>10.514037683057399</v>
      </c>
      <c r="AI4505">
        <v>95.964002590291003</v>
      </c>
      <c r="AJ4505">
        <v>98.606958726049598</v>
      </c>
      <c r="AK4505">
        <v>10.691663205418701</v>
      </c>
      <c r="AL4505">
        <v>85.2083045195822</v>
      </c>
      <c r="AM4505">
        <v>99.988050580123797</v>
      </c>
      <c r="AN4505">
        <v>1.00000000510469</v>
      </c>
    </row>
    <row r="4506" spans="1:40" x14ac:dyDescent="0.25">
      <c r="A4506" t="str">
        <f>"20190312151405395"</f>
        <v>20190312151405395</v>
      </c>
      <c r="B4506" t="str">
        <f>"1552374845384745"</f>
        <v>1552374845384745</v>
      </c>
      <c r="C4506" t="s">
        <v>40</v>
      </c>
      <c r="D4506">
        <v>4.7384849999999998</v>
      </c>
      <c r="E4506">
        <v>0.52244809999999997</v>
      </c>
      <c r="F4506" t="s">
        <v>42</v>
      </c>
      <c r="G4506">
        <v>-421.86500000000001</v>
      </c>
      <c r="H4506" s="1">
        <v>-2.5904689999999998E-6</v>
      </c>
      <c r="I4506">
        <v>64.470849999999999</v>
      </c>
      <c r="J4506">
        <v>-423.22640000000001</v>
      </c>
      <c r="K4506">
        <v>1.110876</v>
      </c>
      <c r="L4506">
        <v>76.846220000000002</v>
      </c>
      <c r="M4506">
        <v>-1.150255E-2</v>
      </c>
      <c r="N4506">
        <v>0</v>
      </c>
      <c r="O4506">
        <v>-0.99983730000000004</v>
      </c>
      <c r="P4506">
        <v>0.16150329999999999</v>
      </c>
      <c r="Q4506">
        <v>6.9155159999999993E-2</v>
      </c>
      <c r="R4506">
        <v>-0.98444640000000005</v>
      </c>
      <c r="S4506">
        <v>0.32388309999999998</v>
      </c>
      <c r="T4506">
        <v>-0.26476100000000002</v>
      </c>
      <c r="U4506">
        <v>-3.0131839999999999</v>
      </c>
      <c r="V4506">
        <v>-0.1729193</v>
      </c>
      <c r="W4506">
        <v>8.260489E-2</v>
      </c>
      <c r="X4506">
        <v>0.9814659</v>
      </c>
      <c r="Y4506">
        <v>-0.11789860000000001</v>
      </c>
      <c r="Z4506">
        <v>8.696769E-2</v>
      </c>
      <c r="AA4506">
        <v>0.98921009999999998</v>
      </c>
      <c r="AB4506">
        <v>26</v>
      </c>
      <c r="AC4506">
        <v>1.3613999999999999</v>
      </c>
      <c r="AD4506">
        <v>-1.1108785904689999</v>
      </c>
      <c r="AE4506">
        <v>-12.37537</v>
      </c>
      <c r="AF4506">
        <v>-1.4917951100134601</v>
      </c>
      <c r="AG4506">
        <v>-1.1108785904689999</v>
      </c>
      <c r="AH4506">
        <v>12.26127245446</v>
      </c>
      <c r="AI4506">
        <v>95.139205138829496</v>
      </c>
      <c r="AJ4506">
        <v>96.936924214299196</v>
      </c>
      <c r="AK4506">
        <v>12.4015445044366</v>
      </c>
      <c r="AL4506">
        <v>85.261689200459998</v>
      </c>
      <c r="AM4506">
        <v>99.9920949459013</v>
      </c>
      <c r="AN4506">
        <v>0.999999982513605</v>
      </c>
    </row>
    <row r="4507" spans="1:40" x14ac:dyDescent="0.25">
      <c r="A4507" t="str">
        <f>"20190312151405418"</f>
        <v>20190312151405418</v>
      </c>
      <c r="B4507" t="str">
        <f>"1552374845415001"</f>
        <v>1552374845415001</v>
      </c>
      <c r="C4507" t="s">
        <v>40</v>
      </c>
      <c r="D4507">
        <v>4.7093259999999999</v>
      </c>
      <c r="E4507">
        <v>0.52285890000000002</v>
      </c>
      <c r="F4507" t="s">
        <v>42</v>
      </c>
      <c r="G4507">
        <v>-421.83909999999997</v>
      </c>
      <c r="H4507" s="1">
        <v>-2.379499E-6</v>
      </c>
      <c r="I4507">
        <v>63.995109999999997</v>
      </c>
      <c r="J4507">
        <v>-423.2287</v>
      </c>
      <c r="K4507">
        <v>1.1108610000000001</v>
      </c>
      <c r="L4507">
        <v>76.572879999999998</v>
      </c>
      <c r="M4507">
        <v>-1.0770129999999999E-2</v>
      </c>
      <c r="N4507">
        <v>0</v>
      </c>
      <c r="O4507">
        <v>-0.9998456</v>
      </c>
      <c r="P4507">
        <v>0.1619612</v>
      </c>
      <c r="Q4507">
        <v>6.8669270000000004E-2</v>
      </c>
      <c r="R4507">
        <v>-0.98440530000000004</v>
      </c>
      <c r="S4507">
        <v>0.32519530000000002</v>
      </c>
      <c r="T4507">
        <v>-0.26039489999999998</v>
      </c>
      <c r="U4507">
        <v>-3.0123600000000001</v>
      </c>
      <c r="V4507">
        <v>-0.172652</v>
      </c>
      <c r="W4507">
        <v>8.2114469999999995E-2</v>
      </c>
      <c r="X4507">
        <v>0.98155420000000004</v>
      </c>
      <c r="Y4507">
        <v>-0.11763899999999999</v>
      </c>
      <c r="Z4507">
        <v>8.5567710000000005E-2</v>
      </c>
      <c r="AA4507">
        <v>0.98936310000000005</v>
      </c>
      <c r="AB4507">
        <v>26</v>
      </c>
      <c r="AC4507">
        <v>1.3896000000000299</v>
      </c>
      <c r="AD4507">
        <v>-1.1108633794989999</v>
      </c>
      <c r="AE4507">
        <v>-12.577769999999999</v>
      </c>
      <c r="AF4507">
        <v>-1.51333447773387</v>
      </c>
      <c r="AG4507">
        <v>-1.1108633794989999</v>
      </c>
      <c r="AH4507">
        <v>12.466006133843999</v>
      </c>
      <c r="AI4507">
        <v>95.055337065684</v>
      </c>
      <c r="AJ4507">
        <v>96.921660535736507</v>
      </c>
      <c r="AK4507">
        <v>12.606566051802</v>
      </c>
      <c r="AL4507">
        <v>85.2898844135118</v>
      </c>
      <c r="AM4507">
        <v>99.976080170075505</v>
      </c>
      <c r="AN4507">
        <v>1.0000000734125001</v>
      </c>
    </row>
    <row r="4508" spans="1:40" x14ac:dyDescent="0.25">
      <c r="A4508" t="str">
        <f>"20190312151405439"</f>
        <v>20190312151405439</v>
      </c>
      <c r="B4508" t="str">
        <f>"1552374845434521"</f>
        <v>1552374845434521</v>
      </c>
      <c r="C4508" t="s">
        <v>40</v>
      </c>
      <c r="D4508">
        <v>4.7316339999999997</v>
      </c>
      <c r="E4508">
        <v>0.52375059999999996</v>
      </c>
      <c r="F4508" t="s">
        <v>42</v>
      </c>
      <c r="G4508">
        <v>-421.90589999999997</v>
      </c>
      <c r="H4508" s="1">
        <v>-2.5092999999999998E-6</v>
      </c>
      <c r="I4508">
        <v>64.256230000000002</v>
      </c>
      <c r="J4508">
        <v>-423.23070000000001</v>
      </c>
      <c r="K4508">
        <v>1.11084</v>
      </c>
      <c r="L4508">
        <v>76.324370000000002</v>
      </c>
      <c r="M4508">
        <v>-1.0136539999999999E-2</v>
      </c>
      <c r="N4508">
        <v>0</v>
      </c>
      <c r="O4508">
        <v>-0.99985219999999997</v>
      </c>
      <c r="P4508">
        <v>0.16187070000000001</v>
      </c>
      <c r="Q4508">
        <v>6.884229E-2</v>
      </c>
      <c r="R4508">
        <v>-0.98440780000000006</v>
      </c>
      <c r="S4508">
        <v>0.32360840000000002</v>
      </c>
      <c r="T4508">
        <v>-0.27177059999999997</v>
      </c>
      <c r="U4508">
        <v>-3.013245</v>
      </c>
      <c r="V4508">
        <v>-0.1719348</v>
      </c>
      <c r="W4508">
        <v>8.2286979999999996E-2</v>
      </c>
      <c r="X4508">
        <v>0.98166560000000003</v>
      </c>
      <c r="Y4508">
        <v>-0.116429</v>
      </c>
      <c r="Z4508">
        <v>8.9260350000000002E-2</v>
      </c>
      <c r="AA4508">
        <v>0.9891799</v>
      </c>
      <c r="AB4508">
        <v>26</v>
      </c>
      <c r="AC4508">
        <v>1.32480000000003</v>
      </c>
      <c r="AD4508">
        <v>-1.1108425093000001</v>
      </c>
      <c r="AE4508">
        <v>-12.06814</v>
      </c>
      <c r="AF4508">
        <v>-1.4350587928616401</v>
      </c>
      <c r="AG4508">
        <v>-1.1108425093000001</v>
      </c>
      <c r="AH4508">
        <v>11.954012369734199</v>
      </c>
      <c r="AI4508">
        <v>95.271406580015693</v>
      </c>
      <c r="AJ4508">
        <v>96.845501166349706</v>
      </c>
      <c r="AK4508">
        <v>12.0909791396394</v>
      </c>
      <c r="AL4508">
        <v>85.279966580699096</v>
      </c>
      <c r="AM4508">
        <v>99.934361737991296</v>
      </c>
      <c r="AN4508">
        <v>1.00000003637595</v>
      </c>
    </row>
    <row r="4509" spans="1:40" x14ac:dyDescent="0.25">
      <c r="A4509" t="str">
        <f>"20190312151405460"</f>
        <v>20190312151405460</v>
      </c>
      <c r="B4509" t="str">
        <f>"1552374845455017"</f>
        <v>1552374845455017</v>
      </c>
      <c r="C4509" t="s">
        <v>40</v>
      </c>
      <c r="D4509">
        <v>4.687093</v>
      </c>
      <c r="E4509">
        <v>0.52511669999999999</v>
      </c>
      <c r="F4509" t="s">
        <v>42</v>
      </c>
      <c r="G4509">
        <v>-421.94069999999999</v>
      </c>
      <c r="H4509" s="1">
        <v>-2.4330880000000001E-6</v>
      </c>
      <c r="I4509">
        <v>64.057029999999997</v>
      </c>
      <c r="J4509">
        <v>-423.23250000000002</v>
      </c>
      <c r="K4509">
        <v>1.110814</v>
      </c>
      <c r="L4509">
        <v>76.079499999999996</v>
      </c>
      <c r="M4509">
        <v>-9.5451249999999998E-3</v>
      </c>
      <c r="N4509">
        <v>0</v>
      </c>
      <c r="O4509">
        <v>-0.99985829999999998</v>
      </c>
      <c r="P4509">
        <v>0.16140750000000001</v>
      </c>
      <c r="Q4509">
        <v>6.9137710000000005E-2</v>
      </c>
      <c r="R4509">
        <v>-0.98446359999999999</v>
      </c>
      <c r="S4509">
        <v>0.31698609999999999</v>
      </c>
      <c r="T4509">
        <v>-0.2729684</v>
      </c>
      <c r="U4509">
        <v>-3.014465</v>
      </c>
      <c r="V4509">
        <v>-0.1708857</v>
      </c>
      <c r="W4509">
        <v>8.2584459999999998E-2</v>
      </c>
      <c r="X4509">
        <v>0.98182369999999997</v>
      </c>
      <c r="Y4509">
        <v>-0.1136462</v>
      </c>
      <c r="Z4509">
        <v>8.9640360000000002E-2</v>
      </c>
      <c r="AA4509">
        <v>0.98946909999999999</v>
      </c>
      <c r="AB4509">
        <v>26</v>
      </c>
      <c r="AC4509">
        <v>1.29180000000002</v>
      </c>
      <c r="AD4509">
        <v>-1.1108164330879999</v>
      </c>
      <c r="AE4509">
        <v>-12.022469999999901</v>
      </c>
      <c r="AF4509">
        <v>-1.3947373974052999</v>
      </c>
      <c r="AG4509">
        <v>-1.1108164330879999</v>
      </c>
      <c r="AH4509">
        <v>11.9090850217496</v>
      </c>
      <c r="AI4509">
        <v>95.292861584745495</v>
      </c>
      <c r="AJ4509">
        <v>96.679789682167893</v>
      </c>
      <c r="AK4509">
        <v>12.0418234338077</v>
      </c>
      <c r="AL4509">
        <v>85.262863596396897</v>
      </c>
      <c r="AM4509">
        <v>99.873382928864103</v>
      </c>
      <c r="AN4509">
        <v>0.99999994668983405</v>
      </c>
    </row>
    <row r="4510" spans="1:40" x14ac:dyDescent="0.25">
      <c r="A4510" t="str">
        <f>"20190312151405597"</f>
        <v>20190312151405597</v>
      </c>
      <c r="B4510" t="str">
        <f>"1552374845594585"</f>
        <v>1552374845594585</v>
      </c>
      <c r="C4510" t="s">
        <v>40</v>
      </c>
      <c r="D4510">
        <v>4.5918989999999997</v>
      </c>
      <c r="E4510">
        <v>0.52838799999999997</v>
      </c>
      <c r="F4510" t="s">
        <v>42</v>
      </c>
      <c r="G4510">
        <v>-421.96629999999999</v>
      </c>
      <c r="H4510" s="1">
        <v>-2.221853E-6</v>
      </c>
      <c r="I4510">
        <v>63.54871</v>
      </c>
      <c r="J4510">
        <v>-423.24189999999999</v>
      </c>
      <c r="K4510">
        <v>1.1106119999999999</v>
      </c>
      <c r="L4510">
        <v>74.495909999999995</v>
      </c>
      <c r="M4510">
        <v>-6.6642419999999999E-3</v>
      </c>
      <c r="N4510">
        <v>0</v>
      </c>
      <c r="O4510">
        <v>-0.99988259999999995</v>
      </c>
      <c r="P4510">
        <v>0.16442770000000001</v>
      </c>
      <c r="Q4510">
        <v>6.7815100000000003E-2</v>
      </c>
      <c r="R4510">
        <v>-0.98405549999999997</v>
      </c>
      <c r="S4510">
        <v>0.30474849999999998</v>
      </c>
      <c r="T4510">
        <v>-0.267372099999999</v>
      </c>
      <c r="U4510">
        <v>-3.0161440000000002</v>
      </c>
      <c r="V4510">
        <v>-0.1710295</v>
      </c>
      <c r="W4510">
        <v>8.128755E-2</v>
      </c>
      <c r="X4510">
        <v>0.98190699999999997</v>
      </c>
      <c r="Y4510">
        <v>-0.10676769999999999</v>
      </c>
      <c r="Z4510">
        <v>8.782355E-2</v>
      </c>
      <c r="AA4510">
        <v>0.99039779999999999</v>
      </c>
      <c r="AB4510">
        <v>26</v>
      </c>
      <c r="AC4510">
        <v>1.2755999999999901</v>
      </c>
      <c r="AD4510">
        <v>-1.110614221853</v>
      </c>
      <c r="AE4510">
        <v>-10.947199999999899</v>
      </c>
      <c r="AF4510">
        <v>-1.3349772272376601</v>
      </c>
      <c r="AG4510">
        <v>-1.110614221853</v>
      </c>
      <c r="AH4510">
        <v>10.8284959605731</v>
      </c>
      <c r="AI4510">
        <v>95.812310618863194</v>
      </c>
      <c r="AJ4510">
        <v>97.028173047700193</v>
      </c>
      <c r="AK4510">
        <v>10.9668570208229</v>
      </c>
      <c r="AL4510">
        <v>85.3374222815997</v>
      </c>
      <c r="AM4510">
        <v>99.8807058780598</v>
      </c>
      <c r="AN4510">
        <v>1.0000000561521201</v>
      </c>
    </row>
    <row r="4511" spans="1:40" x14ac:dyDescent="0.25">
      <c r="A4511" t="str">
        <f>"20190312151405618"</f>
        <v>20190312151405618</v>
      </c>
      <c r="B4511" t="str">
        <f>"1552374845615081"</f>
        <v>1552374845615081</v>
      </c>
      <c r="C4511" t="s">
        <v>40</v>
      </c>
      <c r="D4511">
        <v>4.6414439999999999</v>
      </c>
      <c r="E4511">
        <v>0.52899410000000002</v>
      </c>
      <c r="F4511" t="s">
        <v>42</v>
      </c>
      <c r="G4511">
        <v>-422.02300000000002</v>
      </c>
      <c r="H4511" s="1">
        <v>-1.4529699999999999E-6</v>
      </c>
      <c r="I4511">
        <v>61.72128</v>
      </c>
      <c r="J4511">
        <v>-423.2432</v>
      </c>
      <c r="K4511">
        <v>1.110584</v>
      </c>
      <c r="L4511">
        <v>74.247889999999998</v>
      </c>
      <c r="M4511">
        <v>-6.360391E-3</v>
      </c>
      <c r="N4511">
        <v>0</v>
      </c>
      <c r="O4511">
        <v>-0.99988480000000002</v>
      </c>
      <c r="P4511">
        <v>0.1646214</v>
      </c>
      <c r="Q4511">
        <v>6.7260920000000002E-2</v>
      </c>
      <c r="R4511">
        <v>-0.98406110000000002</v>
      </c>
      <c r="S4511">
        <v>0.28802489999999997</v>
      </c>
      <c r="T4511">
        <v>-0.26243280000000002</v>
      </c>
      <c r="U4511">
        <v>-3.0185849999999999</v>
      </c>
      <c r="V4511">
        <v>-0.17091909999999999</v>
      </c>
      <c r="W4511">
        <v>8.0739089999999999E-2</v>
      </c>
      <c r="X4511">
        <v>0.98197140000000005</v>
      </c>
      <c r="Y4511">
        <v>-0.1009625</v>
      </c>
      <c r="Z4511">
        <v>8.6194080000000006E-2</v>
      </c>
      <c r="AA4511">
        <v>0.99114939999999996</v>
      </c>
      <c r="AB4511">
        <v>26</v>
      </c>
      <c r="AC4511">
        <v>1.22019999999997</v>
      </c>
      <c r="AD4511">
        <v>-1.1105854529700001</v>
      </c>
      <c r="AE4511">
        <v>-12.5266099999999</v>
      </c>
      <c r="AF4511">
        <v>-1.2898140386739301</v>
      </c>
      <c r="AG4511">
        <v>-1.1105854529700001</v>
      </c>
      <c r="AH4511">
        <v>12.4218734782842</v>
      </c>
      <c r="AI4511">
        <v>95.081804500753407</v>
      </c>
      <c r="AJ4511">
        <v>95.928012214154407</v>
      </c>
      <c r="AK4511">
        <v>12.537940860173499</v>
      </c>
      <c r="AL4511">
        <v>85.368950024990497</v>
      </c>
      <c r="AM4511">
        <v>99.873818594963197</v>
      </c>
      <c r="AN4511">
        <v>0.99999998490839803</v>
      </c>
    </row>
    <row r="4512" spans="1:40" x14ac:dyDescent="0.25">
      <c r="A4512" t="str">
        <f>"20190312151405639"</f>
        <v>20190312151405639</v>
      </c>
      <c r="B4512" t="str">
        <f>"1552374845634601"</f>
        <v>1552374845634601</v>
      </c>
      <c r="C4512" t="s">
        <v>40</v>
      </c>
      <c r="D4512">
        <v>4.6221969999999999</v>
      </c>
      <c r="E4512">
        <v>0.52960339999999995</v>
      </c>
      <c r="F4512" t="s">
        <v>42</v>
      </c>
      <c r="G4512">
        <v>-421.99770000000001</v>
      </c>
      <c r="H4512" s="1">
        <v>-1.1327200000000001E-6</v>
      </c>
      <c r="I4512">
        <v>60.990459999999999</v>
      </c>
      <c r="J4512">
        <v>-423.24439999999998</v>
      </c>
      <c r="K4512">
        <v>1.110552</v>
      </c>
      <c r="L4512">
        <v>74.016719999999907</v>
      </c>
      <c r="M4512">
        <v>-6.1149050000000003E-3</v>
      </c>
      <c r="N4512">
        <v>0</v>
      </c>
      <c r="O4512">
        <v>-0.99988619999999995</v>
      </c>
      <c r="P4512">
        <v>0.16500000000000001</v>
      </c>
      <c r="Q4512">
        <v>6.6432870000000005E-2</v>
      </c>
      <c r="R4512">
        <v>-0.98405390000000004</v>
      </c>
      <c r="S4512">
        <v>0.28356930000000002</v>
      </c>
      <c r="T4512">
        <v>-0.25285639999999998</v>
      </c>
      <c r="U4512">
        <v>-3.0184329999999999</v>
      </c>
      <c r="V4512">
        <v>-0.1710499</v>
      </c>
      <c r="W4512">
        <v>7.9917769999999999E-2</v>
      </c>
      <c r="X4512">
        <v>0.98201579999999999</v>
      </c>
      <c r="Y4512">
        <v>-9.9297490000000002E-2</v>
      </c>
      <c r="Z4512">
        <v>8.3088029999999993E-2</v>
      </c>
      <c r="AA4512">
        <v>0.99158279999999999</v>
      </c>
      <c r="AB4512">
        <v>26</v>
      </c>
      <c r="AC4512">
        <v>1.2466999999999699</v>
      </c>
      <c r="AD4512">
        <v>-1.11055313272</v>
      </c>
      <c r="AE4512">
        <v>-13.026259999999899</v>
      </c>
      <c r="AF4512">
        <v>-1.31685405139172</v>
      </c>
      <c r="AG4512">
        <v>-1.11055313272</v>
      </c>
      <c r="AH4512">
        <v>12.9252986281678</v>
      </c>
      <c r="AI4512">
        <v>94.885675695436305</v>
      </c>
      <c r="AJ4512">
        <v>95.817330783010206</v>
      </c>
      <c r="AK4512">
        <v>13.0395850194926</v>
      </c>
      <c r="AL4512">
        <v>85.416160714333202</v>
      </c>
      <c r="AM4512">
        <v>99.880787936990799</v>
      </c>
      <c r="AN4512">
        <v>0.99999997485071102</v>
      </c>
    </row>
    <row r="4513" spans="1:40" x14ac:dyDescent="0.25">
      <c r="A4513" t="str">
        <f>"20190312151405661"</f>
        <v>20190312151405661</v>
      </c>
      <c r="B4513" t="str">
        <f>"1552374845655097"</f>
        <v>1552374845655097</v>
      </c>
      <c r="C4513" t="s">
        <v>40</v>
      </c>
      <c r="D4513">
        <v>4.6040549999999998</v>
      </c>
      <c r="E4513">
        <v>0.5294333</v>
      </c>
      <c r="F4513" t="s">
        <v>42</v>
      </c>
      <c r="G4513">
        <v>-421.99419999999998</v>
      </c>
      <c r="H4513" s="1">
        <v>-9.3386350000000002E-7</v>
      </c>
      <c r="I4513">
        <v>60.5291</v>
      </c>
      <c r="J4513">
        <v>-423.24560000000002</v>
      </c>
      <c r="K4513">
        <v>1.11052</v>
      </c>
      <c r="L4513">
        <v>73.752380000000002</v>
      </c>
      <c r="M4513">
        <v>-5.8753010000000003E-3</v>
      </c>
      <c r="N4513">
        <v>0</v>
      </c>
      <c r="O4513">
        <v>-0.99988750000000004</v>
      </c>
      <c r="P4513">
        <v>0.1656145</v>
      </c>
      <c r="Q4513">
        <v>6.5865839999999995E-2</v>
      </c>
      <c r="R4513">
        <v>-0.9839888</v>
      </c>
      <c r="S4513">
        <v>0.27978520000000001</v>
      </c>
      <c r="T4513">
        <v>-0.2485386</v>
      </c>
      <c r="U4513">
        <v>-3.018494</v>
      </c>
      <c r="V4513">
        <v>-0.17142189999999999</v>
      </c>
      <c r="W4513">
        <v>7.9358799999999993E-2</v>
      </c>
      <c r="X4513">
        <v>0.98199630000000004</v>
      </c>
      <c r="Y4513">
        <v>-9.783538E-2</v>
      </c>
      <c r="Z4513">
        <v>8.168802E-2</v>
      </c>
      <c r="AA4513">
        <v>0.99184439999999996</v>
      </c>
      <c r="AB4513">
        <v>26</v>
      </c>
      <c r="AC4513">
        <v>1.25140000000004</v>
      </c>
      <c r="AD4513">
        <v>-1.1105209338635</v>
      </c>
      <c r="AE4513">
        <v>-13.223280000000001</v>
      </c>
      <c r="AF4513">
        <v>-1.3198502477354499</v>
      </c>
      <c r="AG4513">
        <v>-1.1105209338635</v>
      </c>
      <c r="AH4513">
        <v>13.1239567855842</v>
      </c>
      <c r="AI4513">
        <v>94.812562537568198</v>
      </c>
      <c r="AJ4513">
        <v>95.742813806013203</v>
      </c>
      <c r="AK4513">
        <v>13.236823755375701</v>
      </c>
      <c r="AL4513">
        <v>85.448289544304501</v>
      </c>
      <c r="AM4513">
        <v>99.902044577270402</v>
      </c>
      <c r="AN4513">
        <v>1.0000000100753601</v>
      </c>
    </row>
    <row r="4514" spans="1:40" x14ac:dyDescent="0.25">
      <c r="A4514" t="str">
        <f>"20190312151405683"</f>
        <v>20190312151405683</v>
      </c>
      <c r="B4514" t="str">
        <f>"1552374845674617"</f>
        <v>1552374845674617</v>
      </c>
      <c r="C4514" t="s">
        <v>40</v>
      </c>
      <c r="D4514">
        <v>4.5883629999999904</v>
      </c>
      <c r="E4514">
        <v>0.52966539999999995</v>
      </c>
      <c r="F4514" t="s">
        <v>42</v>
      </c>
      <c r="G4514">
        <v>-421.97210000000001</v>
      </c>
      <c r="H4514" s="1">
        <v>-7.8475889999999997E-7</v>
      </c>
      <c r="I4514">
        <v>60.195259999999998</v>
      </c>
      <c r="J4514">
        <v>-423.24689999999998</v>
      </c>
      <c r="K4514">
        <v>1.1104810000000001</v>
      </c>
      <c r="L4514">
        <v>73.503630000000001</v>
      </c>
      <c r="M4514">
        <v>-5.6869319999999996E-3</v>
      </c>
      <c r="N4514">
        <v>0</v>
      </c>
      <c r="O4514">
        <v>-0.99988900000000003</v>
      </c>
      <c r="P4514">
        <v>0.1660249</v>
      </c>
      <c r="Q4514">
        <v>6.5890009999999999E-2</v>
      </c>
      <c r="R4514">
        <v>-0.98391810000000002</v>
      </c>
      <c r="S4514">
        <v>0.2834778</v>
      </c>
      <c r="T4514">
        <v>-0.24718760000000001</v>
      </c>
      <c r="U4514">
        <v>-3.017639</v>
      </c>
      <c r="V4514">
        <v>-0.1716406</v>
      </c>
      <c r="W4514">
        <v>7.9390160000000001E-2</v>
      </c>
      <c r="X4514">
        <v>0.98195549999999998</v>
      </c>
      <c r="Y4514">
        <v>-9.8880140000000005E-2</v>
      </c>
      <c r="Z4514">
        <v>8.1261050000000001E-2</v>
      </c>
      <c r="AA4514">
        <v>0.99177590000000004</v>
      </c>
      <c r="AB4514">
        <v>26</v>
      </c>
      <c r="AC4514">
        <v>1.27479999999997</v>
      </c>
      <c r="AD4514">
        <v>-1.1104817847588999</v>
      </c>
      <c r="AE4514">
        <v>-13.30837</v>
      </c>
      <c r="AF4514">
        <v>-1.3412168676413001</v>
      </c>
      <c r="AG4514">
        <v>-1.1104817847588999</v>
      </c>
      <c r="AH4514">
        <v>13.209765938039499</v>
      </c>
      <c r="AI4514">
        <v>94.780819318877406</v>
      </c>
      <c r="AJ4514">
        <v>95.7975004474456</v>
      </c>
      <c r="AK4514">
        <v>13.324036498678501</v>
      </c>
      <c r="AL4514">
        <v>85.446486780753105</v>
      </c>
      <c r="AM4514">
        <v>99.9148308528912</v>
      </c>
      <c r="AN4514">
        <v>0.99999994852671603</v>
      </c>
    </row>
    <row r="4515" spans="1:40" x14ac:dyDescent="0.25">
      <c r="A4515" t="str">
        <f>"20190312151405705"</f>
        <v>20190312151405705</v>
      </c>
      <c r="B4515" t="str">
        <f>"1552374845695113"</f>
        <v>1552374845695113</v>
      </c>
      <c r="C4515" t="s">
        <v>40</v>
      </c>
      <c r="D4515">
        <v>4.6390219999999998</v>
      </c>
      <c r="E4515">
        <v>0.52948139999999999</v>
      </c>
      <c r="F4515" t="s">
        <v>42</v>
      </c>
      <c r="G4515">
        <v>-421.95389999999998</v>
      </c>
      <c r="H4515" s="1">
        <v>-5.5710680000000003E-7</v>
      </c>
      <c r="I4515">
        <v>59.675879999999999</v>
      </c>
      <c r="J4515">
        <v>-423.24810000000002</v>
      </c>
      <c r="K4515">
        <v>1.1104609999999999</v>
      </c>
      <c r="L4515">
        <v>73.244479999999996</v>
      </c>
      <c r="M4515">
        <v>-5.5238910000000004E-3</v>
      </c>
      <c r="N4515">
        <v>0</v>
      </c>
      <c r="O4515">
        <v>-0.9998899</v>
      </c>
      <c r="P4515">
        <v>0.167018</v>
      </c>
      <c r="Q4515">
        <v>6.5760879999999994E-2</v>
      </c>
      <c r="R4515">
        <v>-0.98375869999999999</v>
      </c>
      <c r="S4515">
        <v>0.28216550000000001</v>
      </c>
      <c r="T4515">
        <v>-0.24234120000000001</v>
      </c>
      <c r="U4515">
        <v>-3.017639</v>
      </c>
      <c r="V4515">
        <v>-0.1724677</v>
      </c>
      <c r="W4515">
        <v>7.9265150000000006E-2</v>
      </c>
      <c r="X4515">
        <v>0.98182069999999999</v>
      </c>
      <c r="Y4515">
        <v>-9.8302219999999996E-2</v>
      </c>
      <c r="Z4515">
        <v>7.9682069999999994E-2</v>
      </c>
      <c r="AA4515">
        <v>0.99196139999999999</v>
      </c>
      <c r="AB4515">
        <v>26</v>
      </c>
      <c r="AC4515">
        <v>1.29420000000004</v>
      </c>
      <c r="AD4515">
        <v>-1.1104615571067999</v>
      </c>
      <c r="AE4515">
        <v>-13.5686</v>
      </c>
      <c r="AF4515">
        <v>-1.3601111063342199</v>
      </c>
      <c r="AG4515">
        <v>-1.1104615571067999</v>
      </c>
      <c r="AH4515">
        <v>13.471824177697799</v>
      </c>
      <c r="AI4515">
        <v>94.688422713396605</v>
      </c>
      <c r="AJ4515">
        <v>95.765029353899806</v>
      </c>
      <c r="AK4515">
        <v>13.585767323422999</v>
      </c>
      <c r="AL4515">
        <v>85.453672109924099</v>
      </c>
      <c r="AM4515">
        <v>99.962993829389902</v>
      </c>
      <c r="AN4515">
        <v>0.99999997924815098</v>
      </c>
    </row>
    <row r="4516" spans="1:40" x14ac:dyDescent="0.25">
      <c r="A4516" t="str">
        <f>"20190312151405728"</f>
        <v>20190312151405728</v>
      </c>
      <c r="B4516" t="str">
        <f>"1552374845725369"</f>
        <v>1552374845725369</v>
      </c>
      <c r="C4516" t="s">
        <v>40</v>
      </c>
      <c r="D4516">
        <v>4.6169820000000001</v>
      </c>
      <c r="E4516">
        <v>0.529223</v>
      </c>
      <c r="F4516" t="s">
        <v>42</v>
      </c>
      <c r="G4516">
        <v>-421.92649999999998</v>
      </c>
      <c r="H4516" s="1">
        <v>-4.5517699999999998E-6</v>
      </c>
      <c r="I4516">
        <v>59.358199999999997</v>
      </c>
      <c r="J4516">
        <v>-423.24939999999998</v>
      </c>
      <c r="K4516">
        <v>1.110444</v>
      </c>
      <c r="L4516">
        <v>72.983339999999998</v>
      </c>
      <c r="M4516">
        <v>-5.387233E-3</v>
      </c>
      <c r="N4516">
        <v>0</v>
      </c>
      <c r="O4516">
        <v>-0.99989079999999997</v>
      </c>
      <c r="P4516">
        <v>0.16747409999999999</v>
      </c>
      <c r="Q4516">
        <v>6.59222E-2</v>
      </c>
      <c r="R4516">
        <v>-0.98367020000000005</v>
      </c>
      <c r="S4516">
        <v>0.2871399</v>
      </c>
      <c r="T4516">
        <v>-0.24125779999999999</v>
      </c>
      <c r="U4516">
        <v>-3.0169069999999998</v>
      </c>
      <c r="V4516">
        <v>-0.172785299999999</v>
      </c>
      <c r="W4516">
        <v>7.9428199999999893E-2</v>
      </c>
      <c r="X4516">
        <v>0.9817517</v>
      </c>
      <c r="Y4516">
        <v>-9.981218E-2</v>
      </c>
      <c r="Z4516">
        <v>7.9335199999999995E-2</v>
      </c>
      <c r="AA4516">
        <v>0.99183840000000001</v>
      </c>
      <c r="AB4516">
        <v>26</v>
      </c>
      <c r="AC4516">
        <v>1.3229</v>
      </c>
      <c r="AD4516">
        <v>-1.11044855177</v>
      </c>
      <c r="AE4516">
        <v>-13.62514</v>
      </c>
      <c r="AF4516">
        <v>-1.38716173277429</v>
      </c>
      <c r="AG4516">
        <v>-1.11044855177</v>
      </c>
      <c r="AH4516">
        <v>13.528792446714499</v>
      </c>
      <c r="AI4516">
        <v>94.667976430080301</v>
      </c>
      <c r="AJ4516">
        <v>95.854308997842196</v>
      </c>
      <c r="AK4516">
        <v>13.6449821812006</v>
      </c>
      <c r="AL4516">
        <v>85.444300578055504</v>
      </c>
      <c r="AM4516">
        <v>99.981659511040505</v>
      </c>
      <c r="AN4516">
        <v>0.99999999965210995</v>
      </c>
    </row>
    <row r="4517" spans="1:40" x14ac:dyDescent="0.25">
      <c r="A4517" t="str">
        <f>"20190312151405750"</f>
        <v>20190312151405750</v>
      </c>
      <c r="B4517" t="str">
        <f>"1552374845744892"</f>
        <v>1552374845744892</v>
      </c>
      <c r="C4517" t="s">
        <v>40</v>
      </c>
      <c r="D4517">
        <v>4.5590359999999999</v>
      </c>
      <c r="E4517">
        <v>0.52911059999999999</v>
      </c>
      <c r="F4517" t="s">
        <v>42</v>
      </c>
      <c r="G4517">
        <v>-421.8938</v>
      </c>
      <c r="H4517" s="1">
        <v>-4.3974399999999999E-6</v>
      </c>
      <c r="I4517">
        <v>58.921700000000001</v>
      </c>
      <c r="J4517">
        <v>-423.25049999999999</v>
      </c>
      <c r="K4517">
        <v>1.11043799999999</v>
      </c>
      <c r="L4517">
        <v>72.728579999999994</v>
      </c>
      <c r="M4517">
        <v>-5.2687769999999997E-3</v>
      </c>
      <c r="N4517">
        <v>0</v>
      </c>
      <c r="O4517">
        <v>-0.99989130000000004</v>
      </c>
      <c r="P4517">
        <v>0.167738</v>
      </c>
      <c r="Q4517">
        <v>6.5764909999999996E-2</v>
      </c>
      <c r="R4517">
        <v>-0.9836357</v>
      </c>
      <c r="S4517">
        <v>0.29077150000000002</v>
      </c>
      <c r="T4517">
        <v>-0.23819470000000001</v>
      </c>
      <c r="U4517">
        <v>-3.0162659999999999</v>
      </c>
      <c r="V4517">
        <v>-0.17293020000000001</v>
      </c>
      <c r="W4517">
        <v>7.9270859999999999E-2</v>
      </c>
      <c r="X4517">
        <v>0.98173889999999997</v>
      </c>
      <c r="Y4517">
        <v>-0.10090499999999999</v>
      </c>
      <c r="Z4517">
        <v>7.8341919999999995E-2</v>
      </c>
      <c r="AA4517">
        <v>0.99180679999999999</v>
      </c>
      <c r="AB4517">
        <v>26</v>
      </c>
      <c r="AC4517">
        <v>1.35669999999998</v>
      </c>
      <c r="AD4517">
        <v>-1.11044239743999</v>
      </c>
      <c r="AE4517">
        <v>-13.80688</v>
      </c>
      <c r="AF4517">
        <v>-1.42033392136884</v>
      </c>
      <c r="AG4517">
        <v>-1.11044239743999</v>
      </c>
      <c r="AH4517">
        <v>13.7116941296942</v>
      </c>
      <c r="AI4517">
        <v>94.605462354319101</v>
      </c>
      <c r="AJ4517">
        <v>95.913925201247196</v>
      </c>
      <c r="AK4517">
        <v>13.8297139042177</v>
      </c>
      <c r="AL4517">
        <v>85.453343992562097</v>
      </c>
      <c r="AM4517">
        <v>99.989989335121905</v>
      </c>
      <c r="AN4517">
        <v>0.99999999554519403</v>
      </c>
    </row>
    <row r="4518" spans="1:40" x14ac:dyDescent="0.25">
      <c r="A4518" t="str">
        <f>"20190312151405773"</f>
        <v>20190312151405773</v>
      </c>
      <c r="B4518" t="str">
        <f>"1552374845765385"</f>
        <v>1552374845765385</v>
      </c>
      <c r="C4518" t="s">
        <v>40</v>
      </c>
      <c r="D4518">
        <v>4.5947199999999997</v>
      </c>
      <c r="E4518">
        <v>0.5290473</v>
      </c>
      <c r="F4518" t="s">
        <v>42</v>
      </c>
      <c r="G4518">
        <v>-421.88150000000002</v>
      </c>
      <c r="H4518" s="1">
        <v>-4.2879120000000004E-6</v>
      </c>
      <c r="I4518">
        <v>58.606250000000003</v>
      </c>
      <c r="J4518">
        <v>-423.2518</v>
      </c>
      <c r="K4518">
        <v>1.1104339999999999</v>
      </c>
      <c r="L4518">
        <v>72.473140000000001</v>
      </c>
      <c r="M4518">
        <v>-5.1570799999999997E-3</v>
      </c>
      <c r="N4518">
        <v>0</v>
      </c>
      <c r="O4518">
        <v>-0.999892</v>
      </c>
      <c r="P4518">
        <v>0.16811989999999999</v>
      </c>
      <c r="Q4518">
        <v>6.5626069999999995E-2</v>
      </c>
      <c r="R4518">
        <v>-0.98357969999999895</v>
      </c>
      <c r="S4518">
        <v>0.29235840000000002</v>
      </c>
      <c r="T4518">
        <v>-0.23714099999999999</v>
      </c>
      <c r="U4518">
        <v>-3.0158999999999998</v>
      </c>
      <c r="V4518">
        <v>-0.1732013</v>
      </c>
      <c r="W4518">
        <v>7.9128729999999994E-2</v>
      </c>
      <c r="X4518">
        <v>0.98170259999999998</v>
      </c>
      <c r="Y4518">
        <v>-0.1013249</v>
      </c>
      <c r="Z4518">
        <v>7.8003299999999998E-2</v>
      </c>
      <c r="AA4518">
        <v>0.99179070000000003</v>
      </c>
      <c r="AB4518">
        <v>26</v>
      </c>
      <c r="AC4518">
        <v>1.3702999999999801</v>
      </c>
      <c r="AD4518">
        <v>-1.1104382879119901</v>
      </c>
      <c r="AE4518">
        <v>-13.8668899999999</v>
      </c>
      <c r="AF4518">
        <v>-1.43270277779537</v>
      </c>
      <c r="AG4518">
        <v>-1.1104382879119901</v>
      </c>
      <c r="AH4518">
        <v>13.7721774389099</v>
      </c>
      <c r="AI4518">
        <v>94.585098265271895</v>
      </c>
      <c r="AJ4518">
        <v>95.939047261742004</v>
      </c>
      <c r="AK4518">
        <v>13.8909532376142</v>
      </c>
      <c r="AL4518">
        <v>85.461513216539203</v>
      </c>
      <c r="AM4518">
        <v>100.005696766535</v>
      </c>
      <c r="AN4518">
        <v>1.00000002053993</v>
      </c>
    </row>
    <row r="4519" spans="1:40" x14ac:dyDescent="0.25">
      <c r="A4519" t="str">
        <f>"20190312151405796"</f>
        <v>20190312151405796</v>
      </c>
      <c r="B4519" t="str">
        <f>"1552374845784906"</f>
        <v>1552374845784906</v>
      </c>
      <c r="C4519" t="s">
        <v>40</v>
      </c>
      <c r="D4519">
        <v>4.6108849999999997</v>
      </c>
      <c r="E4519">
        <v>0.529034</v>
      </c>
      <c r="F4519" t="s">
        <v>42</v>
      </c>
      <c r="G4519">
        <v>-421.87700000000001</v>
      </c>
      <c r="H4519" s="1">
        <v>-4.1991829999999997E-6</v>
      </c>
      <c r="I4519">
        <v>58.347909999999999</v>
      </c>
      <c r="J4519">
        <v>-423.25299999999999</v>
      </c>
      <c r="K4519">
        <v>1.110436</v>
      </c>
      <c r="L4519">
        <v>72.212009999999907</v>
      </c>
      <c r="M4519">
        <v>-5.0433070000000003E-3</v>
      </c>
      <c r="N4519">
        <v>0</v>
      </c>
      <c r="O4519">
        <v>-0.99989249999999996</v>
      </c>
      <c r="P4519">
        <v>0.168576799999999</v>
      </c>
      <c r="Q4519">
        <v>6.5411800000000006E-2</v>
      </c>
      <c r="R4519">
        <v>-0.9835159</v>
      </c>
      <c r="S4519">
        <v>0.293518099999999</v>
      </c>
      <c r="T4519">
        <v>-0.23707690000000001</v>
      </c>
      <c r="U4519">
        <v>-3.015717</v>
      </c>
      <c r="V4519">
        <v>-0.17354649999999999</v>
      </c>
      <c r="W4519">
        <v>7.8909590000000002E-2</v>
      </c>
      <c r="X4519">
        <v>0.98165919999999895</v>
      </c>
      <c r="Y4519">
        <v>-0.10159550000000001</v>
      </c>
      <c r="Z4519">
        <v>7.7984579999999998E-2</v>
      </c>
      <c r="AA4519">
        <v>0.99176450000000005</v>
      </c>
      <c r="AB4519">
        <v>26</v>
      </c>
      <c r="AC4519">
        <v>1.37600000000009</v>
      </c>
      <c r="AD4519">
        <v>-1.110440199183</v>
      </c>
      <c r="AE4519">
        <v>-13.864099999999899</v>
      </c>
      <c r="AF4519">
        <v>-1.4367827643717399</v>
      </c>
      <c r="AG4519">
        <v>-1.110440199183</v>
      </c>
      <c r="AH4519">
        <v>13.7695115167087</v>
      </c>
      <c r="AI4519">
        <v>94.585841127469493</v>
      </c>
      <c r="AJ4519">
        <v>95.956983635181899</v>
      </c>
      <c r="AK4519">
        <v>13.8887317475978</v>
      </c>
      <c r="AL4519">
        <v>85.474108068340797</v>
      </c>
      <c r="AM4519">
        <v>100.02566877018801</v>
      </c>
      <c r="AN4519">
        <v>0.99999994800042702</v>
      </c>
    </row>
    <row r="4520" spans="1:40" x14ac:dyDescent="0.25">
      <c r="A4520" t="str">
        <f>"20190312151405820"</f>
        <v>20190312151405820</v>
      </c>
      <c r="B4520" t="str">
        <f>"1552374845815162"</f>
        <v>1552374845815162</v>
      </c>
      <c r="C4520" t="s">
        <v>40</v>
      </c>
      <c r="D4520">
        <v>5.1788100000000004</v>
      </c>
      <c r="E4520">
        <v>0.52900400000000003</v>
      </c>
      <c r="F4520" t="s">
        <v>42</v>
      </c>
      <c r="G4520">
        <v>-421.87110000000001</v>
      </c>
      <c r="H4520" s="1">
        <v>-4.1077039999999998E-6</v>
      </c>
      <c r="I4520">
        <v>58.082160000000002</v>
      </c>
      <c r="J4520">
        <v>-423.25420000000003</v>
      </c>
      <c r="K4520">
        <v>1.1104339999999999</v>
      </c>
      <c r="L4520">
        <v>71.945530000000005</v>
      </c>
      <c r="M4520">
        <v>-4.9222559999999999E-3</v>
      </c>
      <c r="N4520">
        <v>0</v>
      </c>
      <c r="O4520">
        <v>-0.99989340000000004</v>
      </c>
      <c r="P4520">
        <v>0.169010299999999</v>
      </c>
      <c r="Q4520">
        <v>6.4506519999999998E-2</v>
      </c>
      <c r="R4520">
        <v>-0.98350139999999997</v>
      </c>
      <c r="S4520">
        <v>0.29492190000000001</v>
      </c>
      <c r="T4520">
        <v>-0.23698330000000001</v>
      </c>
      <c r="U4520">
        <v>-3.0155029999999998</v>
      </c>
      <c r="V4520">
        <v>-0.1738614</v>
      </c>
      <c r="W4520">
        <v>7.7999260000000001E-2</v>
      </c>
      <c r="X4520">
        <v>0.98167629999999995</v>
      </c>
      <c r="Y4520">
        <v>-0.1019394</v>
      </c>
      <c r="Z4520">
        <v>7.7956380000000006E-2</v>
      </c>
      <c r="AA4520">
        <v>0.99173140000000004</v>
      </c>
      <c r="AB4520">
        <v>26</v>
      </c>
      <c r="AC4520">
        <v>1.38310000000001</v>
      </c>
      <c r="AD4520">
        <v>-1.110438107704</v>
      </c>
      <c r="AE4520">
        <v>-13.86337</v>
      </c>
      <c r="AF4520">
        <v>-1.44216727066187</v>
      </c>
      <c r="AG4520">
        <v>-1.110438107704</v>
      </c>
      <c r="AH4520">
        <v>13.768925282449301</v>
      </c>
      <c r="AI4520">
        <v>94.585840177655399</v>
      </c>
      <c r="AJ4520">
        <v>95.979399407639804</v>
      </c>
      <c r="AK4520">
        <v>13.8887084590786</v>
      </c>
      <c r="AL4520">
        <v>85.526427701687695</v>
      </c>
      <c r="AM4520">
        <v>100.04331890776</v>
      </c>
      <c r="AN4520">
        <v>1.0000000144760901</v>
      </c>
    </row>
    <row r="4521" spans="1:40" x14ac:dyDescent="0.25">
      <c r="A4521" t="str">
        <f>"20190312151405840"</f>
        <v>20190312151405840</v>
      </c>
      <c r="B4521" t="str">
        <f>"1552374845834681"</f>
        <v>1552374845834681</v>
      </c>
      <c r="C4521" t="s">
        <v>40</v>
      </c>
      <c r="D4521">
        <v>4.6112229999999998</v>
      </c>
      <c r="E4521">
        <v>0.52900829999999999</v>
      </c>
      <c r="F4521" t="s">
        <v>42</v>
      </c>
      <c r="G4521">
        <v>-421.86989999999997</v>
      </c>
      <c r="H4521" s="1">
        <v>-4.0232080000000001E-6</v>
      </c>
      <c r="I4521">
        <v>57.834479999999999</v>
      </c>
      <c r="J4521">
        <v>-423.2552</v>
      </c>
      <c r="K4521">
        <v>1.1104290000000001</v>
      </c>
      <c r="L4521">
        <v>71.70044</v>
      </c>
      <c r="M4521">
        <v>-4.8048040000000002E-3</v>
      </c>
      <c r="N4521">
        <v>0</v>
      </c>
      <c r="O4521">
        <v>-0.9998939</v>
      </c>
      <c r="P4521">
        <v>0.16952110000000001</v>
      </c>
      <c r="Q4521">
        <v>6.4197149999999994E-2</v>
      </c>
      <c r="R4521">
        <v>-0.98343380000000002</v>
      </c>
      <c r="S4521">
        <v>0.29577639999999999</v>
      </c>
      <c r="T4521">
        <v>-0.23726249999999999</v>
      </c>
      <c r="U4521">
        <v>-3.0150450000000002</v>
      </c>
      <c r="V4521">
        <v>-0.17425650000000001</v>
      </c>
      <c r="W4521">
        <v>7.7685039999999997E-2</v>
      </c>
      <c r="X4521">
        <v>0.98163120000000004</v>
      </c>
      <c r="Y4521">
        <v>-0.1021147</v>
      </c>
      <c r="Z4521">
        <v>7.8057689999999999E-2</v>
      </c>
      <c r="AA4521">
        <v>0.99170539999999996</v>
      </c>
      <c r="AB4521">
        <v>26</v>
      </c>
      <c r="AC4521">
        <v>1.38530000000002</v>
      </c>
      <c r="AD4521">
        <v>-1.110433023208</v>
      </c>
      <c r="AE4521">
        <v>-13.8659599999999</v>
      </c>
      <c r="AF4521">
        <v>-1.44275209741398</v>
      </c>
      <c r="AG4521">
        <v>-1.110433023208</v>
      </c>
      <c r="AH4521">
        <v>13.771693381316</v>
      </c>
      <c r="AI4521">
        <v>94.584891324749094</v>
      </c>
      <c r="AJ4521">
        <v>95.980612969202696</v>
      </c>
      <c r="AK4521">
        <v>13.8915130098418</v>
      </c>
      <c r="AL4521">
        <v>85.5444861477188</v>
      </c>
      <c r="AM4521">
        <v>100.066129147095</v>
      </c>
      <c r="AN4521">
        <v>1.00000005302274</v>
      </c>
    </row>
    <row r="4522" spans="1:40" x14ac:dyDescent="0.25">
      <c r="A4522" t="str">
        <f>"20190312151405863"</f>
        <v>20190312151405863</v>
      </c>
      <c r="B4522" t="str">
        <f>"1552374845855177"</f>
        <v>1552374845855177</v>
      </c>
      <c r="C4522" t="s">
        <v>40</v>
      </c>
      <c r="D4522">
        <v>4.6293230000000003</v>
      </c>
      <c r="E4522">
        <v>0.52898219999999996</v>
      </c>
      <c r="F4522" t="s">
        <v>42</v>
      </c>
      <c r="G4522">
        <v>-421.84859999999998</v>
      </c>
      <c r="H4522" s="1">
        <v>-3.8450730000000001E-6</v>
      </c>
      <c r="I4522">
        <v>57.40549</v>
      </c>
      <c r="J4522">
        <v>-423.25630000000001</v>
      </c>
      <c r="K4522">
        <v>1.110433</v>
      </c>
      <c r="L4522">
        <v>71.444640000000007</v>
      </c>
      <c r="M4522">
        <v>-4.6767420000000002E-3</v>
      </c>
      <c r="N4522">
        <v>0</v>
      </c>
      <c r="O4522">
        <v>-0.99989439999999996</v>
      </c>
      <c r="P4522">
        <v>0.16997470000000001</v>
      </c>
      <c r="Q4522">
        <v>6.410594E-2</v>
      </c>
      <c r="R4522">
        <v>-0.98336129999999999</v>
      </c>
      <c r="S4522">
        <v>0.29663089999999998</v>
      </c>
      <c r="T4522">
        <v>-0.23418069999999999</v>
      </c>
      <c r="U4522">
        <v>-3.0146790000000001</v>
      </c>
      <c r="V4522">
        <v>-0.1745845</v>
      </c>
      <c r="W4522">
        <v>7.7592339999999996E-2</v>
      </c>
      <c r="X4522">
        <v>0.98158020000000001</v>
      </c>
      <c r="Y4522">
        <v>-0.1022851</v>
      </c>
      <c r="Z4522">
        <v>7.7057500000000001E-2</v>
      </c>
      <c r="AA4522">
        <v>0.99176600000000004</v>
      </c>
      <c r="AB4522">
        <v>26</v>
      </c>
      <c r="AC4522">
        <v>1.4077000000000299</v>
      </c>
      <c r="AD4522">
        <v>-1.110436845073</v>
      </c>
      <c r="AE4522">
        <v>-14.039149999999999</v>
      </c>
      <c r="AF4522">
        <v>-1.46427876059096</v>
      </c>
      <c r="AG4522">
        <v>-1.110436845073</v>
      </c>
      <c r="AH4522">
        <v>13.946032567641801</v>
      </c>
      <c r="AI4522">
        <v>94.527721571959404</v>
      </c>
      <c r="AJ4522">
        <v>95.993870837113803</v>
      </c>
      <c r="AK4522">
        <v>14.0665918634664</v>
      </c>
      <c r="AL4522">
        <v>85.549813327799299</v>
      </c>
      <c r="AM4522">
        <v>100.08520111053301</v>
      </c>
      <c r="AN4522">
        <v>1.0000000039494801</v>
      </c>
    </row>
    <row r="4523" spans="1:40" x14ac:dyDescent="0.25">
      <c r="A4523" t="str">
        <f>"20190312151405887"</f>
        <v>20190312151405887</v>
      </c>
      <c r="B4523" t="str">
        <f>"1552374845874698"</f>
        <v>1552374845874698</v>
      </c>
      <c r="C4523" t="s">
        <v>40</v>
      </c>
      <c r="D4523">
        <v>4.6358410000000001</v>
      </c>
      <c r="E4523">
        <v>0.52898730000000005</v>
      </c>
      <c r="F4523" t="s">
        <v>42</v>
      </c>
      <c r="G4523">
        <v>-421.82920000000001</v>
      </c>
      <c r="H4523" s="1">
        <v>-3.6815510000000002E-6</v>
      </c>
      <c r="I4523">
        <v>57.036349999999999</v>
      </c>
      <c r="J4523">
        <v>-423.25740000000002</v>
      </c>
      <c r="K4523">
        <v>1.1104400000000001</v>
      </c>
      <c r="L4523">
        <v>71.182249999999996</v>
      </c>
      <c r="M4523">
        <v>-4.5414309999999899E-3</v>
      </c>
      <c r="N4523">
        <v>0</v>
      </c>
      <c r="O4523">
        <v>-0.99989490000000003</v>
      </c>
      <c r="P4523">
        <v>0.17029549999999999</v>
      </c>
      <c r="Q4523">
        <v>6.4523579999999997E-2</v>
      </c>
      <c r="R4523">
        <v>-0.9832786</v>
      </c>
      <c r="S4523">
        <v>0.29855350000000003</v>
      </c>
      <c r="T4523">
        <v>-0.2323086</v>
      </c>
      <c r="U4523">
        <v>-3.0142820000000001</v>
      </c>
      <c r="V4523">
        <v>-0.17477300000000001</v>
      </c>
      <c r="W4523">
        <v>7.8014490000000006E-2</v>
      </c>
      <c r="X4523">
        <v>0.98151319999999997</v>
      </c>
      <c r="Y4523">
        <v>-0.10279430000000001</v>
      </c>
      <c r="Z4523">
        <v>7.6450770000000001E-2</v>
      </c>
      <c r="AA4523">
        <v>0.99176039999999999</v>
      </c>
      <c r="AB4523">
        <v>26</v>
      </c>
      <c r="AC4523">
        <v>1.4281999999999999</v>
      </c>
      <c r="AD4523">
        <v>-1.1104436815509999</v>
      </c>
      <c r="AE4523">
        <v>-14.1458999999999</v>
      </c>
      <c r="AF4523">
        <v>-1.4833853876304099</v>
      </c>
      <c r="AG4523">
        <v>-1.1104436815509999</v>
      </c>
      <c r="AH4523">
        <v>14.053541286561501</v>
      </c>
      <c r="AI4523">
        <v>94.492995503391697</v>
      </c>
      <c r="AJ4523">
        <v>96.025397717961198</v>
      </c>
      <c r="AK4523">
        <v>14.175173370058699</v>
      </c>
      <c r="AL4523">
        <v>85.525552408631398</v>
      </c>
      <c r="AM4523">
        <v>100.09654127103801</v>
      </c>
      <c r="AN4523">
        <v>1.0000000119765999</v>
      </c>
    </row>
    <row r="4524" spans="1:40" x14ac:dyDescent="0.25">
      <c r="A4524" t="str">
        <f>"20190312151405908"</f>
        <v>20190312151405908</v>
      </c>
      <c r="B4524" t="str">
        <f>"1552374845904953"</f>
        <v>1552374845904953</v>
      </c>
      <c r="C4524" t="s">
        <v>40</v>
      </c>
      <c r="D4524">
        <v>4.6496709999999997</v>
      </c>
      <c r="E4524">
        <v>0.52901039999999999</v>
      </c>
      <c r="F4524" t="s">
        <v>42</v>
      </c>
      <c r="G4524">
        <v>-421.81610000000001</v>
      </c>
      <c r="H4524" s="1">
        <v>-3.5185970000000002E-6</v>
      </c>
      <c r="I4524">
        <v>56.664670000000001</v>
      </c>
      <c r="J4524">
        <v>-423.25830000000002</v>
      </c>
      <c r="K4524">
        <v>1.1104459999999901</v>
      </c>
      <c r="L4524">
        <v>70.932829999999996</v>
      </c>
      <c r="M4524">
        <v>-4.4104779999999998E-3</v>
      </c>
      <c r="N4524">
        <v>0</v>
      </c>
      <c r="O4524">
        <v>-0.99989530000000004</v>
      </c>
      <c r="P4524">
        <v>0.17142489999999999</v>
      </c>
      <c r="Q4524">
        <v>6.429414E-2</v>
      </c>
      <c r="R4524">
        <v>-0.983097</v>
      </c>
      <c r="S4524">
        <v>0.2992554</v>
      </c>
      <c r="T4524">
        <v>-0.2305634</v>
      </c>
      <c r="U4524">
        <v>-3.014313</v>
      </c>
      <c r="V4524">
        <v>-0.17577290000000001</v>
      </c>
      <c r="W4524">
        <v>7.7789620000000004E-2</v>
      </c>
      <c r="X4524">
        <v>0.98135240000000001</v>
      </c>
      <c r="Y4524">
        <v>-0.102896</v>
      </c>
      <c r="Z4524">
        <v>7.5877799999999995E-2</v>
      </c>
      <c r="AA4524">
        <v>0.99179379999999995</v>
      </c>
      <c r="AB4524">
        <v>25</v>
      </c>
      <c r="AC4524">
        <v>1.4422000000000099</v>
      </c>
      <c r="AD4524">
        <v>-1.11044951859699</v>
      </c>
      <c r="AE4524">
        <v>-14.26816</v>
      </c>
      <c r="AF4524">
        <v>-1.4961507331308299</v>
      </c>
      <c r="AG4524">
        <v>-1.11044951859699</v>
      </c>
      <c r="AH4524">
        <v>14.1766593939643</v>
      </c>
      <c r="AI4524">
        <v>94.454164330893903</v>
      </c>
      <c r="AJ4524">
        <v>96.024478122780593</v>
      </c>
      <c r="AK4524">
        <v>14.2985746395254</v>
      </c>
      <c r="AL4524">
        <v>85.538475440990496</v>
      </c>
      <c r="AM4524">
        <v>100.154735602587</v>
      </c>
      <c r="AN4524">
        <v>0.999999935169955</v>
      </c>
    </row>
    <row r="4525" spans="1:40" x14ac:dyDescent="0.25">
      <c r="A4525" t="str">
        <f>"20190312151405951"</f>
        <v>20190312151405951</v>
      </c>
      <c r="B4525" t="str">
        <f>"1552374845944969"</f>
        <v>1552374845944969</v>
      </c>
      <c r="C4525" t="s">
        <v>40</v>
      </c>
      <c r="D4525">
        <v>4.6490159999999996</v>
      </c>
      <c r="E4525">
        <v>0.52903409999999995</v>
      </c>
      <c r="F4525" t="s">
        <v>42</v>
      </c>
      <c r="G4525">
        <v>-421.80029999999999</v>
      </c>
      <c r="H4525" s="1">
        <v>-3.4077719999999999E-6</v>
      </c>
      <c r="I4525">
        <v>56.4161</v>
      </c>
      <c r="J4525">
        <v>-423.26010000000002</v>
      </c>
      <c r="K4525">
        <v>1.1104560000000001</v>
      </c>
      <c r="L4525">
        <v>70.439639999999997</v>
      </c>
      <c r="M4525">
        <v>-4.1515229999999998E-3</v>
      </c>
      <c r="N4525">
        <v>0</v>
      </c>
      <c r="O4525">
        <v>-0.99989629999999996</v>
      </c>
      <c r="P4525">
        <v>0.1733972</v>
      </c>
      <c r="Q4525">
        <v>6.4309729999999996E-2</v>
      </c>
      <c r="R4525">
        <v>-0.98275009999999996</v>
      </c>
      <c r="S4525">
        <v>0.30270390000000003</v>
      </c>
      <c r="T4525">
        <v>-0.23054549999999999</v>
      </c>
      <c r="U4525">
        <v>-3.0138850000000001</v>
      </c>
      <c r="V4525">
        <v>-0.1774897</v>
      </c>
      <c r="W4525">
        <v>7.7809589999999998E-2</v>
      </c>
      <c r="X4525">
        <v>0.98104179999999996</v>
      </c>
      <c r="Y4525">
        <v>-0.1037758</v>
      </c>
      <c r="Z4525">
        <v>7.5874960000000005E-2</v>
      </c>
      <c r="AA4525">
        <v>0.99170239999999998</v>
      </c>
      <c r="AB4525">
        <v>25</v>
      </c>
      <c r="AC4525">
        <v>1.45980000000002</v>
      </c>
      <c r="AD4525">
        <v>-1.11045940777199</v>
      </c>
      <c r="AE4525">
        <v>-14.023539999999899</v>
      </c>
      <c r="AF4525">
        <v>-1.5086536611477701</v>
      </c>
      <c r="AG4525">
        <v>-1.11045940777199</v>
      </c>
      <c r="AH4525">
        <v>13.9309430157017</v>
      </c>
      <c r="AI4525">
        <v>94.531127173582504</v>
      </c>
      <c r="AJ4525">
        <v>96.180768187874406</v>
      </c>
      <c r="AK4525">
        <v>14.056327019258299</v>
      </c>
      <c r="AL4525">
        <v>85.537327919686504</v>
      </c>
      <c r="AM4525">
        <v>100.255001734117</v>
      </c>
      <c r="AN4525">
        <v>0.99999996962464799</v>
      </c>
    </row>
    <row r="4526" spans="1:40" x14ac:dyDescent="0.25">
      <c r="A4526" t="str">
        <f>"20190312151405973"</f>
        <v>20190312151405973</v>
      </c>
      <c r="B4526" t="str">
        <f>"1552374845965466"</f>
        <v>1552374845965466</v>
      </c>
      <c r="C4526" t="s">
        <v>40</v>
      </c>
      <c r="D4526">
        <v>4.6879269999999904</v>
      </c>
      <c r="E4526">
        <v>0.52910869999999999</v>
      </c>
      <c r="F4526" t="s">
        <v>42</v>
      </c>
      <c r="G4526">
        <v>-421.7697</v>
      </c>
      <c r="H4526" s="1">
        <v>-3.1806090000000001E-6</v>
      </c>
      <c r="I4526">
        <v>55.905560000000001</v>
      </c>
      <c r="J4526">
        <v>-423.26100000000002</v>
      </c>
      <c r="K4526">
        <v>1.110463</v>
      </c>
      <c r="L4526">
        <v>70.192080000000004</v>
      </c>
      <c r="M4526">
        <v>-4.0220819999999997E-3</v>
      </c>
      <c r="N4526">
        <v>0</v>
      </c>
      <c r="O4526">
        <v>-0.99989680000000003</v>
      </c>
      <c r="P4526">
        <v>0.1742997</v>
      </c>
      <c r="Q4526">
        <v>6.514122E-2</v>
      </c>
      <c r="R4526">
        <v>-0.98253559999999995</v>
      </c>
      <c r="S4526">
        <v>0.3089905</v>
      </c>
      <c r="T4526">
        <v>-0.2302186</v>
      </c>
      <c r="U4526">
        <v>-3.0131839999999999</v>
      </c>
      <c r="V4526">
        <v>-0.1782648</v>
      </c>
      <c r="W4526">
        <v>7.8643400000000002E-2</v>
      </c>
      <c r="X4526">
        <v>0.98083480000000001</v>
      </c>
      <c r="Y4526">
        <v>-0.1057186</v>
      </c>
      <c r="Z4526">
        <v>7.5769829999999996E-2</v>
      </c>
      <c r="AA4526">
        <v>0.99150510000000003</v>
      </c>
      <c r="AB4526">
        <v>25</v>
      </c>
      <c r="AC4526">
        <v>1.4912999999999601</v>
      </c>
      <c r="AD4526">
        <v>-1.1104661806089999</v>
      </c>
      <c r="AE4526">
        <v>-14.286519999999999</v>
      </c>
      <c r="AF4526">
        <v>-1.53955372283196</v>
      </c>
      <c r="AG4526">
        <v>-1.1104661806089999</v>
      </c>
      <c r="AH4526">
        <v>14.195565092369501</v>
      </c>
      <c r="AI4526">
        <v>94.446955682246298</v>
      </c>
      <c r="AJ4526">
        <v>96.189715324925203</v>
      </c>
      <c r="AK4526">
        <v>14.3219212780779</v>
      </c>
      <c r="AL4526">
        <v>85.489407476435602</v>
      </c>
      <c r="AM4526">
        <v>100.30095605384101</v>
      </c>
      <c r="AN4526">
        <v>1.0000000140868199</v>
      </c>
    </row>
    <row r="4527" spans="1:40" x14ac:dyDescent="0.25">
      <c r="A4527" t="str">
        <f>"20190312151405997"</f>
        <v>20190312151405997</v>
      </c>
      <c r="B4527" t="str">
        <f>"1552374845984986"</f>
        <v>1552374845984986</v>
      </c>
      <c r="C4527" t="s">
        <v>40</v>
      </c>
      <c r="D4527">
        <v>4.6724509999999997</v>
      </c>
      <c r="E4527">
        <v>0.52917109999999901</v>
      </c>
      <c r="F4527" t="s">
        <v>42</v>
      </c>
      <c r="G4527">
        <v>-421.74360000000001</v>
      </c>
      <c r="H4527" s="1">
        <v>-3.006389E-6</v>
      </c>
      <c r="I4527">
        <v>55.515630000000002</v>
      </c>
      <c r="J4527">
        <v>-423.26190000000003</v>
      </c>
      <c r="K4527">
        <v>1.110466</v>
      </c>
      <c r="L4527">
        <v>69.921199999999999</v>
      </c>
      <c r="M4527">
        <v>-3.8813229999999999E-3</v>
      </c>
      <c r="N4527">
        <v>0</v>
      </c>
      <c r="O4527">
        <v>-0.99989749999999999</v>
      </c>
      <c r="P4527">
        <v>0.175833399999999</v>
      </c>
      <c r="Q4527">
        <v>6.5534789999999996E-2</v>
      </c>
      <c r="R4527">
        <v>-0.98223660000000002</v>
      </c>
      <c r="S4527">
        <v>0.31152340000000001</v>
      </c>
      <c r="T4527">
        <v>-0.22798470000000001</v>
      </c>
      <c r="U4527">
        <v>-3.013153</v>
      </c>
      <c r="V4527">
        <v>-0.17965929999999999</v>
      </c>
      <c r="W4527">
        <v>7.9038430000000007E-2</v>
      </c>
      <c r="X4527">
        <v>0.98054859999999999</v>
      </c>
      <c r="Y4527">
        <v>-0.10641009999999999</v>
      </c>
      <c r="Z4527">
        <v>7.5033600000000006E-2</v>
      </c>
      <c r="AA4527">
        <v>0.99148720000000001</v>
      </c>
      <c r="AB4527">
        <v>25</v>
      </c>
      <c r="AC4527">
        <v>1.51830000000001</v>
      </c>
      <c r="AD4527">
        <v>-1.1104690063889999</v>
      </c>
      <c r="AE4527">
        <v>-14.4055699999999</v>
      </c>
      <c r="AF4527">
        <v>-1.56500901470778</v>
      </c>
      <c r="AG4527">
        <v>-1.1104690063889999</v>
      </c>
      <c r="AH4527">
        <v>14.3154363605003</v>
      </c>
      <c r="AI4527">
        <v>94.409466245778006</v>
      </c>
      <c r="AJ4527">
        <v>96.238980317704105</v>
      </c>
      <c r="AK4527">
        <v>14.4434799415446</v>
      </c>
      <c r="AL4527">
        <v>85.466703401898798</v>
      </c>
      <c r="AM4527">
        <v>100.382755415871</v>
      </c>
      <c r="AN4527">
        <v>1.00000004722765</v>
      </c>
    </row>
    <row r="4528" spans="1:40" x14ac:dyDescent="0.25">
      <c r="A4528" t="str">
        <f>"20190312151406021"</f>
        <v>20190312151406021</v>
      </c>
      <c r="B4528" t="str">
        <f>"1552374846015242"</f>
        <v>1552374846015242</v>
      </c>
      <c r="C4528" t="s">
        <v>40</v>
      </c>
      <c r="D4528">
        <v>4.686623</v>
      </c>
      <c r="E4528">
        <v>0.52919949999999905</v>
      </c>
      <c r="F4528" t="s">
        <v>42</v>
      </c>
      <c r="G4528">
        <v>-421.71960000000001</v>
      </c>
      <c r="H4528" s="1">
        <v>-2.848311E-6</v>
      </c>
      <c r="I4528">
        <v>55.162019999999998</v>
      </c>
      <c r="J4528">
        <v>-423.26280000000003</v>
      </c>
      <c r="K4528">
        <v>1.110465</v>
      </c>
      <c r="L4528">
        <v>69.66028</v>
      </c>
      <c r="M4528">
        <v>-3.7457469999999998E-3</v>
      </c>
      <c r="N4528">
        <v>0</v>
      </c>
      <c r="O4528">
        <v>-0.99989799999999995</v>
      </c>
      <c r="P4528">
        <v>0.17730199999999999</v>
      </c>
      <c r="Q4528">
        <v>6.517705E-2</v>
      </c>
      <c r="R4528">
        <v>-0.98199639999999999</v>
      </c>
      <c r="S4528">
        <v>0.31484990000000002</v>
      </c>
      <c r="T4528">
        <v>-0.2266957</v>
      </c>
      <c r="U4528">
        <v>-3.0129999999999999</v>
      </c>
      <c r="V4528">
        <v>-0.18099390000000001</v>
      </c>
      <c r="W4528">
        <v>7.8684760000000006E-2</v>
      </c>
      <c r="X4528">
        <v>0.98033150000000002</v>
      </c>
      <c r="Y4528">
        <v>-0.10736660000000001</v>
      </c>
      <c r="Z4528">
        <v>7.4607489999999999E-2</v>
      </c>
      <c r="AA4528">
        <v>0.99141619999999997</v>
      </c>
      <c r="AB4528">
        <v>25</v>
      </c>
      <c r="AC4528">
        <v>1.5432000000000099</v>
      </c>
      <c r="AD4528">
        <v>-1.110467848311</v>
      </c>
      <c r="AE4528">
        <v>-14.49826</v>
      </c>
      <c r="AF4528">
        <v>-1.5882878126457201</v>
      </c>
      <c r="AG4528">
        <v>-1.110467848311</v>
      </c>
      <c r="AH4528">
        <v>14.408794820619599</v>
      </c>
      <c r="AI4528">
        <v>94.380573727984299</v>
      </c>
      <c r="AJ4528">
        <v>96.290343630255407</v>
      </c>
      <c r="AK4528">
        <v>14.5385406833232</v>
      </c>
      <c r="AL4528">
        <v>85.487030141979005</v>
      </c>
      <c r="AM4528">
        <v>100.460452978503</v>
      </c>
      <c r="AN4528">
        <v>0.99999996659285795</v>
      </c>
    </row>
    <row r="4529" spans="1:40" x14ac:dyDescent="0.25">
      <c r="A4529" t="str">
        <f>"20190312151406042"</f>
        <v>20190312151406042</v>
      </c>
      <c r="B4529" t="str">
        <f>"1552374846034762"</f>
        <v>1552374846034762</v>
      </c>
      <c r="C4529" t="s">
        <v>40</v>
      </c>
      <c r="D4529">
        <v>4.671564</v>
      </c>
      <c r="E4529">
        <v>0.52924369999999998</v>
      </c>
      <c r="F4529" t="s">
        <v>42</v>
      </c>
      <c r="G4529">
        <v>-421.70749999999998</v>
      </c>
      <c r="H4529" s="1">
        <v>-2.7628060000000002E-6</v>
      </c>
      <c r="I4529">
        <v>54.970219999999998</v>
      </c>
      <c r="J4529">
        <v>-423.26350000000002</v>
      </c>
      <c r="K4529">
        <v>1.110463</v>
      </c>
      <c r="L4529">
        <v>69.413449999999997</v>
      </c>
      <c r="M4529">
        <v>-3.617407E-3</v>
      </c>
      <c r="N4529">
        <v>0</v>
      </c>
      <c r="O4529">
        <v>-0.99989819999999996</v>
      </c>
      <c r="P4529">
        <v>0.17771970000000001</v>
      </c>
      <c r="Q4529">
        <v>6.4647689999999994E-2</v>
      </c>
      <c r="R4529">
        <v>-0.98195560000000004</v>
      </c>
      <c r="S4529">
        <v>0.31893919999999998</v>
      </c>
      <c r="T4529">
        <v>-0.22772529999999999</v>
      </c>
      <c r="U4529">
        <v>-3.0125120000000001</v>
      </c>
      <c r="V4529">
        <v>-0.18128559999999999</v>
      </c>
      <c r="W4529">
        <v>7.8162330000000002E-2</v>
      </c>
      <c r="X4529">
        <v>0.98031939999999995</v>
      </c>
      <c r="Y4529">
        <v>-0.1085839</v>
      </c>
      <c r="Z4529">
        <v>7.4946230000000003E-2</v>
      </c>
      <c r="AA4529">
        <v>0.99125810000000003</v>
      </c>
      <c r="AB4529">
        <v>25</v>
      </c>
      <c r="AC4529">
        <v>1.55600000000004</v>
      </c>
      <c r="AD4529">
        <v>-1.110465762806</v>
      </c>
      <c r="AE4529">
        <v>-14.4432299999999</v>
      </c>
      <c r="AF4529">
        <v>-1.5988987325022199</v>
      </c>
      <c r="AG4529">
        <v>-1.110465762806</v>
      </c>
      <c r="AH4529">
        <v>14.3536313652023</v>
      </c>
      <c r="AI4529">
        <v>94.3967773460584</v>
      </c>
      <c r="AJ4529">
        <v>96.356163759611306</v>
      </c>
      <c r="AK4529">
        <v>14.4850386514942</v>
      </c>
      <c r="AL4529">
        <v>85.517055677733097</v>
      </c>
      <c r="AM4529">
        <v>100.477065084524</v>
      </c>
      <c r="AN4529">
        <v>0.99999997230737403</v>
      </c>
    </row>
    <row r="4530" spans="1:40" x14ac:dyDescent="0.25">
      <c r="A4530" t="str">
        <f>"20190312151406065"</f>
        <v>20190312151406065</v>
      </c>
      <c r="B4530" t="str">
        <f>"1552374846055257"</f>
        <v>1552374846055257</v>
      </c>
      <c r="C4530" t="s">
        <v>40</v>
      </c>
      <c r="D4530">
        <v>4.6714760000000002</v>
      </c>
      <c r="E4530">
        <v>0.52928719999999996</v>
      </c>
      <c r="F4530" t="s">
        <v>42</v>
      </c>
      <c r="G4530">
        <v>-421.71249999999998</v>
      </c>
      <c r="H4530" s="1">
        <v>-2.7044279999999998E-6</v>
      </c>
      <c r="I4530">
        <v>54.83108</v>
      </c>
      <c r="J4530">
        <v>-423.26429999999999</v>
      </c>
      <c r="K4530">
        <v>1.1104560000000001</v>
      </c>
      <c r="L4530">
        <v>69.162750000000003</v>
      </c>
      <c r="M4530">
        <v>-3.4870040000000001E-3</v>
      </c>
      <c r="N4530">
        <v>0</v>
      </c>
      <c r="O4530">
        <v>-0.99989870000000003</v>
      </c>
      <c r="P4530">
        <v>0.1779925</v>
      </c>
      <c r="Q4530">
        <v>6.3069940000000005E-2</v>
      </c>
      <c r="R4530">
        <v>-0.98200889999999996</v>
      </c>
      <c r="S4530">
        <v>0.32040410000000002</v>
      </c>
      <c r="T4530">
        <v>-0.2293857</v>
      </c>
      <c r="U4530">
        <v>-3.012238</v>
      </c>
      <c r="V4530">
        <v>-0.18143020000000001</v>
      </c>
      <c r="W4530">
        <v>7.6592049999999995E-2</v>
      </c>
      <c r="X4530">
        <v>0.98041659999999997</v>
      </c>
      <c r="Y4530">
        <v>-0.10893609999999999</v>
      </c>
      <c r="Z4530">
        <v>7.5493060000000001E-2</v>
      </c>
      <c r="AA4530">
        <v>0.991178</v>
      </c>
      <c r="AB4530">
        <v>25</v>
      </c>
      <c r="AC4530">
        <v>1.5518000000000101</v>
      </c>
      <c r="AD4530">
        <v>-1.1104587044280001</v>
      </c>
      <c r="AE4530">
        <v>-14.3316699999999</v>
      </c>
      <c r="AF4530">
        <v>-1.5923210454319701</v>
      </c>
      <c r="AG4530">
        <v>-1.1104587044280001</v>
      </c>
      <c r="AH4530">
        <v>14.241660875754199</v>
      </c>
      <c r="AI4530">
        <v>94.430979028763204</v>
      </c>
      <c r="AJ4530">
        <v>96.379588564516297</v>
      </c>
      <c r="AK4530">
        <v>14.3733611012161</v>
      </c>
      <c r="AL4530">
        <v>85.607296712662105</v>
      </c>
      <c r="AM4530">
        <v>100.48422023875101</v>
      </c>
      <c r="AN4530">
        <v>0.99999998457540096</v>
      </c>
    </row>
    <row r="4531" spans="1:40" x14ac:dyDescent="0.25">
      <c r="A4531" t="str">
        <f>"20190312151406086"</f>
        <v>20190312151406086</v>
      </c>
      <c r="B4531" t="str">
        <f>"1552374846074778"</f>
        <v>1552374846074778</v>
      </c>
      <c r="C4531" t="s">
        <v>40</v>
      </c>
      <c r="D4531">
        <v>4.7050489999999998</v>
      </c>
      <c r="E4531">
        <v>0.52907230000000005</v>
      </c>
      <c r="F4531" t="s">
        <v>42</v>
      </c>
      <c r="G4531">
        <v>-421.74579999999997</v>
      </c>
      <c r="H4531" s="1">
        <v>-2.7439679999999999E-6</v>
      </c>
      <c r="I4531">
        <v>54.9026</v>
      </c>
      <c r="J4531">
        <v>-423.26499999999999</v>
      </c>
      <c r="K4531">
        <v>1.110449</v>
      </c>
      <c r="L4531">
        <v>68.922359999999998</v>
      </c>
      <c r="M4531">
        <v>-3.3620540000000002E-3</v>
      </c>
      <c r="N4531">
        <v>0</v>
      </c>
      <c r="O4531">
        <v>-0.99989870000000003</v>
      </c>
      <c r="P4531">
        <v>0.17838879999999999</v>
      </c>
      <c r="Q4531">
        <v>6.0933319999999999E-2</v>
      </c>
      <c r="R4531">
        <v>-0.98207149999999999</v>
      </c>
      <c r="S4531">
        <v>0.32073970000000002</v>
      </c>
      <c r="T4531">
        <v>-0.23454340000000001</v>
      </c>
      <c r="U4531">
        <v>-3.0119319999999998</v>
      </c>
      <c r="V4531">
        <v>-0.18170359999999999</v>
      </c>
      <c r="W4531">
        <v>7.4462399999999901E-2</v>
      </c>
      <c r="X4531">
        <v>0.98053000000000001</v>
      </c>
      <c r="Y4531">
        <v>-0.108917899999999</v>
      </c>
      <c r="Z4531">
        <v>7.7187870000000006E-2</v>
      </c>
      <c r="AA4531">
        <v>0.99104939999999997</v>
      </c>
      <c r="AB4531">
        <v>25</v>
      </c>
      <c r="AC4531">
        <v>1.5192000000000101</v>
      </c>
      <c r="AD4531">
        <v>-1.1104517439679999</v>
      </c>
      <c r="AE4531">
        <v>-14.0197599999999</v>
      </c>
      <c r="AF4531">
        <v>-1.55667844527632</v>
      </c>
      <c r="AG4531">
        <v>-1.1104517439679999</v>
      </c>
      <c r="AH4531">
        <v>13.928206477595801</v>
      </c>
      <c r="AI4531">
        <v>94.530280727347304</v>
      </c>
      <c r="AJ4531">
        <v>96.377166585634498</v>
      </c>
      <c r="AK4531">
        <v>14.0588508257329</v>
      </c>
      <c r="AL4531">
        <v>85.729666126423297</v>
      </c>
      <c r="AM4531">
        <v>100.49848068749</v>
      </c>
      <c r="AN4531">
        <v>0.99999996408335901</v>
      </c>
    </row>
    <row r="4532" spans="1:40" x14ac:dyDescent="0.25">
      <c r="A4532" t="str">
        <f>"20190312151406107"</f>
        <v>20190312151406107</v>
      </c>
      <c r="B4532" t="str">
        <f>"1552374846105034"</f>
        <v>1552374846105034</v>
      </c>
      <c r="C4532" t="s">
        <v>40</v>
      </c>
      <c r="D4532">
        <v>4.6907649999999999</v>
      </c>
      <c r="E4532">
        <v>0.52868769999999998</v>
      </c>
      <c r="F4532" t="s">
        <v>42</v>
      </c>
      <c r="G4532">
        <v>-421.78710000000001</v>
      </c>
      <c r="H4532" s="1">
        <v>-2.8654920000000001E-6</v>
      </c>
      <c r="I4532">
        <v>55.160229999999999</v>
      </c>
      <c r="J4532">
        <v>-423.26569999999998</v>
      </c>
      <c r="K4532">
        <v>1.11043799999999</v>
      </c>
      <c r="L4532">
        <v>68.673459999999906</v>
      </c>
      <c r="M4532">
        <v>-3.2329300000000002E-3</v>
      </c>
      <c r="N4532">
        <v>0</v>
      </c>
      <c r="O4532">
        <v>-0.99989910000000004</v>
      </c>
      <c r="P4532">
        <v>0.17887169999999999</v>
      </c>
      <c r="Q4532">
        <v>5.9435479999999999E-2</v>
      </c>
      <c r="R4532">
        <v>-0.98207549999999999</v>
      </c>
      <c r="S4532">
        <v>0.32336429999999999</v>
      </c>
      <c r="T4532">
        <v>-0.24296319999999999</v>
      </c>
      <c r="U4532">
        <v>-3.0111080000000001</v>
      </c>
      <c r="V4532">
        <v>-0.18205950000000001</v>
      </c>
      <c r="W4532">
        <v>7.2969679999999995E-2</v>
      </c>
      <c r="X4532">
        <v>0.98057620000000001</v>
      </c>
      <c r="Y4532">
        <v>-0.1096488</v>
      </c>
      <c r="Z4532">
        <v>7.9956059999999995E-2</v>
      </c>
      <c r="AA4532">
        <v>0.99074930000000005</v>
      </c>
      <c r="AB4532">
        <v>25</v>
      </c>
      <c r="AC4532">
        <v>1.4785999999999699</v>
      </c>
      <c r="AD4532">
        <v>-1.1104408654919899</v>
      </c>
      <c r="AE4532">
        <v>-13.513229999999901</v>
      </c>
      <c r="AF4532">
        <v>-1.51219331375925</v>
      </c>
      <c r="AG4532">
        <v>-1.1104408654919899</v>
      </c>
      <c r="AH4532">
        <v>13.4188383540386</v>
      </c>
      <c r="AI4532">
        <v>94.700962704517707</v>
      </c>
      <c r="AJ4532">
        <v>96.429639604357504</v>
      </c>
      <c r="AK4532">
        <v>13.549355346500899</v>
      </c>
      <c r="AL4532">
        <v>85.815426005362696</v>
      </c>
      <c r="AM4532">
        <v>100.51810088047</v>
      </c>
      <c r="AN4532">
        <v>0.99999995987299495</v>
      </c>
    </row>
    <row r="4533" spans="1:40" x14ac:dyDescent="0.25">
      <c r="A4533" t="str">
        <f>"20190312151406131"</f>
        <v>20190312151406131</v>
      </c>
      <c r="B4533" t="str">
        <f>"1552374846125530"</f>
        <v>1552374846125530</v>
      </c>
      <c r="C4533" t="s">
        <v>40</v>
      </c>
      <c r="D4533">
        <v>4.7380610000000001</v>
      </c>
      <c r="E4533">
        <v>0.52849230000000003</v>
      </c>
      <c r="F4533" t="s">
        <v>42</v>
      </c>
      <c r="G4533">
        <v>-421.81180000000001</v>
      </c>
      <c r="H4533" s="1">
        <v>-2.9398159999999998E-6</v>
      </c>
      <c r="I4533">
        <v>55.318159999999999</v>
      </c>
      <c r="J4533">
        <v>-423.2663</v>
      </c>
      <c r="K4533">
        <v>1.1104339999999999</v>
      </c>
      <c r="L4533">
        <v>68.420900000000003</v>
      </c>
      <c r="M4533">
        <v>-3.1020840000000002E-3</v>
      </c>
      <c r="N4533">
        <v>0</v>
      </c>
      <c r="O4533">
        <v>-0.99989939999999999</v>
      </c>
      <c r="P4533">
        <v>0.1792445</v>
      </c>
      <c r="Q4533">
        <v>5.8096200000000001E-2</v>
      </c>
      <c r="R4533">
        <v>-0.98208759999999995</v>
      </c>
      <c r="S4533">
        <v>0.32769779999999998</v>
      </c>
      <c r="T4533">
        <v>-0.25028810000000001</v>
      </c>
      <c r="U4533">
        <v>-3.0102229999999999</v>
      </c>
      <c r="V4533">
        <v>-0.18230389999999999</v>
      </c>
      <c r="W4533">
        <v>7.1635190000000001E-2</v>
      </c>
      <c r="X4533">
        <v>0.98062919999999998</v>
      </c>
      <c r="Y4533">
        <v>-0.1109382</v>
      </c>
      <c r="Z4533">
        <v>8.2362119999999997E-2</v>
      </c>
      <c r="AA4533">
        <v>0.99040859999999997</v>
      </c>
      <c r="AB4533">
        <v>25</v>
      </c>
      <c r="AC4533">
        <v>1.4544999999999899</v>
      </c>
      <c r="AD4533">
        <v>-1.1104369398159999</v>
      </c>
      <c r="AE4533">
        <v>-13.102740000000001</v>
      </c>
      <c r="AF4533">
        <v>-1.48460957816968</v>
      </c>
      <c r="AG4533">
        <v>-1.1104369398159999</v>
      </c>
      <c r="AH4533">
        <v>13.005889400492901</v>
      </c>
      <c r="AI4533">
        <v>94.848717072632098</v>
      </c>
      <c r="AJ4533">
        <v>96.512070816076402</v>
      </c>
      <c r="AK4533">
        <v>13.137362554742699</v>
      </c>
      <c r="AL4533">
        <v>85.892087342791598</v>
      </c>
      <c r="AM4533">
        <v>100.53134838021199</v>
      </c>
      <c r="AN4533">
        <v>0.99999997014709197</v>
      </c>
    </row>
    <row r="4534" spans="1:40" x14ac:dyDescent="0.25">
      <c r="A4534" t="str">
        <f>"20190312151406152"</f>
        <v>20190312151406152</v>
      </c>
      <c r="B4534" t="str">
        <f>"1552374846145050"</f>
        <v>1552374846145050</v>
      </c>
      <c r="C4534" t="s">
        <v>40</v>
      </c>
      <c r="D4534">
        <v>4.662712</v>
      </c>
      <c r="E4534">
        <v>0.52825909999999998</v>
      </c>
      <c r="F4534" t="s">
        <v>42</v>
      </c>
      <c r="G4534">
        <v>-421.83190000000002</v>
      </c>
      <c r="H4534" s="1">
        <v>-2.963245E-6</v>
      </c>
      <c r="I4534">
        <v>55.360329999999998</v>
      </c>
      <c r="J4534">
        <v>-423.26690000000002</v>
      </c>
      <c r="K4534">
        <v>1.1104350000000001</v>
      </c>
      <c r="L4534">
        <v>68.17859</v>
      </c>
      <c r="M4534">
        <v>-2.976551E-3</v>
      </c>
      <c r="N4534">
        <v>0</v>
      </c>
      <c r="O4534">
        <v>-0.99989989999999995</v>
      </c>
      <c r="P4534">
        <v>0.17956340000000001</v>
      </c>
      <c r="Q4534">
        <v>5.6806420000000003E-2</v>
      </c>
      <c r="R4534">
        <v>-0.98210509999999995</v>
      </c>
      <c r="S4534">
        <v>0.33053589999999999</v>
      </c>
      <c r="T4534">
        <v>-0.25587840000000001</v>
      </c>
      <c r="U4534">
        <v>-3.0095519999999998</v>
      </c>
      <c r="V4534">
        <v>-0.1824993</v>
      </c>
      <c r="W4534">
        <v>7.034907E-2</v>
      </c>
      <c r="X4534">
        <v>0.98068599999999995</v>
      </c>
      <c r="Y4534">
        <v>-0.1117433</v>
      </c>
      <c r="Z4534">
        <v>8.4199250000000003E-2</v>
      </c>
      <c r="AA4534">
        <v>0.99016360000000003</v>
      </c>
      <c r="AB4534">
        <v>25</v>
      </c>
      <c r="AC4534">
        <v>1.4350000000000001</v>
      </c>
      <c r="AD4534">
        <v>-1.1104379632449899</v>
      </c>
      <c r="AE4534">
        <v>-12.818259999999899</v>
      </c>
      <c r="AF4534">
        <v>-1.46231318187551</v>
      </c>
      <c r="AG4534">
        <v>-1.1104379632449899</v>
      </c>
      <c r="AH4534">
        <v>12.719656398489599</v>
      </c>
      <c r="AI4534">
        <v>94.956840507602195</v>
      </c>
      <c r="AJ4534">
        <v>96.558207807952201</v>
      </c>
      <c r="AK4534">
        <v>12.8515015156883</v>
      </c>
      <c r="AL4534">
        <v>85.9659631500503</v>
      </c>
      <c r="AM4534">
        <v>100.541786429212</v>
      </c>
      <c r="AN4534">
        <v>1.0000000083731699</v>
      </c>
    </row>
    <row r="4535" spans="1:40" x14ac:dyDescent="0.25">
      <c r="A4535" t="str">
        <f>"20190312151406175"</f>
        <v>20190312151406175</v>
      </c>
      <c r="B4535" t="str">
        <f>"1552374846164569"</f>
        <v>1552374846164569</v>
      </c>
      <c r="C4535" t="s">
        <v>40</v>
      </c>
      <c r="D4535">
        <v>4.6543229999999998</v>
      </c>
      <c r="E4535">
        <v>0.52799890000000005</v>
      </c>
      <c r="F4535" t="s">
        <v>42</v>
      </c>
      <c r="G4535">
        <v>-421.85109999999997</v>
      </c>
      <c r="H4535" s="1">
        <v>-2.9835770000000001E-6</v>
      </c>
      <c r="I4535">
        <v>55.395769999999999</v>
      </c>
      <c r="J4535">
        <v>-423.26749999999998</v>
      </c>
      <c r="K4535">
        <v>1.1104259999999999</v>
      </c>
      <c r="L4535">
        <v>67.923550000000006</v>
      </c>
      <c r="M4535">
        <v>-2.8443019999999999E-3</v>
      </c>
      <c r="N4535">
        <v>0</v>
      </c>
      <c r="O4535">
        <v>-0.99990009999999996</v>
      </c>
      <c r="P4535">
        <v>0.17997589999999999</v>
      </c>
      <c r="Q4535">
        <v>5.7291170000000002E-2</v>
      </c>
      <c r="R4535">
        <v>-0.98200120000000002</v>
      </c>
      <c r="S4535">
        <v>0.33325199999999999</v>
      </c>
      <c r="T4535">
        <v>-0.26137729999999998</v>
      </c>
      <c r="U4535">
        <v>-3.0088499999999998</v>
      </c>
      <c r="V4535">
        <v>-0.182782</v>
      </c>
      <c r="W4535">
        <v>7.0835170000000003E-2</v>
      </c>
      <c r="X4535">
        <v>0.98059830000000003</v>
      </c>
      <c r="Y4535">
        <v>-0.11250300000000001</v>
      </c>
      <c r="Z4535">
        <v>8.6007310000000003E-2</v>
      </c>
      <c r="AA4535">
        <v>0.98992210000000003</v>
      </c>
      <c r="AB4535">
        <v>25</v>
      </c>
      <c r="AC4535">
        <v>1.4164000000000101</v>
      </c>
      <c r="AD4535">
        <v>-1.11042898357699</v>
      </c>
      <c r="AE4535">
        <v>-12.52778</v>
      </c>
      <c r="AF4535">
        <v>-1.4408531783137799</v>
      </c>
      <c r="AG4535">
        <v>-1.11042898357699</v>
      </c>
      <c r="AH4535">
        <v>12.4272965562794</v>
      </c>
      <c r="AI4535">
        <v>95.072248768891896</v>
      </c>
      <c r="AJ4535">
        <v>96.613493240964601</v>
      </c>
      <c r="AK4535">
        <v>12.5597296987928</v>
      </c>
      <c r="AL4535">
        <v>85.938041792055003</v>
      </c>
      <c r="AM4535">
        <v>100.558672285291</v>
      </c>
      <c r="AN4535">
        <v>0.99999995339790804</v>
      </c>
    </row>
    <row r="4536" spans="1:40" x14ac:dyDescent="0.25">
      <c r="A4536" t="str">
        <f>"20190312151406199"</f>
        <v>20190312151406199</v>
      </c>
      <c r="B4536" t="str">
        <f>"1552374846194826"</f>
        <v>1552374846194826</v>
      </c>
      <c r="C4536" t="s">
        <v>40</v>
      </c>
      <c r="D4536">
        <v>4.677346</v>
      </c>
      <c r="E4536">
        <v>0.52763570000000004</v>
      </c>
      <c r="F4536" t="s">
        <v>42</v>
      </c>
      <c r="G4536">
        <v>-421.83890000000002</v>
      </c>
      <c r="H4536" s="1">
        <v>-2.8742540000000002E-6</v>
      </c>
      <c r="I4536">
        <v>55.148539999999997</v>
      </c>
      <c r="J4536">
        <v>-423.26819999999998</v>
      </c>
      <c r="K4536">
        <v>1.1104350000000001</v>
      </c>
      <c r="L4536">
        <v>67.656949999999995</v>
      </c>
      <c r="M4536">
        <v>-2.705888E-3</v>
      </c>
      <c r="N4536">
        <v>0</v>
      </c>
      <c r="O4536">
        <v>-0.99990060000000003</v>
      </c>
      <c r="P4536">
        <v>0.1808631</v>
      </c>
      <c r="Q4536">
        <v>5.7613230000000001E-2</v>
      </c>
      <c r="R4536">
        <v>-0.98181929999999995</v>
      </c>
      <c r="S4536">
        <v>0.33645629999999999</v>
      </c>
      <c r="T4536">
        <v>-0.2615111</v>
      </c>
      <c r="U4536">
        <v>-3.008575</v>
      </c>
      <c r="V4536">
        <v>-0.1835329</v>
      </c>
      <c r="W4536">
        <v>7.115718E-2</v>
      </c>
      <c r="X4536">
        <v>0.98043480000000005</v>
      </c>
      <c r="Y4536">
        <v>-0.1134163</v>
      </c>
      <c r="Z4536">
        <v>8.6049310000000004E-2</v>
      </c>
      <c r="AA4536">
        <v>0.98981430000000004</v>
      </c>
      <c r="AB4536">
        <v>25</v>
      </c>
      <c r="AC4536">
        <v>1.4292999999999501</v>
      </c>
      <c r="AD4536">
        <v>-1.110437874254</v>
      </c>
      <c r="AE4536">
        <v>-12.5084099999999</v>
      </c>
      <c r="AF4536">
        <v>-1.45184973095062</v>
      </c>
      <c r="AG4536">
        <v>-1.110437874254</v>
      </c>
      <c r="AH4536">
        <v>12.4079687853871</v>
      </c>
      <c r="AI4536">
        <v>95.079529383752302</v>
      </c>
      <c r="AJ4536">
        <v>96.673801168024795</v>
      </c>
      <c r="AK4536">
        <v>12.541875030990299</v>
      </c>
      <c r="AL4536">
        <v>85.919545629672896</v>
      </c>
      <c r="AM4536">
        <v>100.602795643151</v>
      </c>
      <c r="AN4536">
        <v>1.0000000333495001</v>
      </c>
    </row>
    <row r="4537" spans="1:40" x14ac:dyDescent="0.25">
      <c r="A4537" t="str">
        <f>"20190312151406222"</f>
        <v>20190312151406222</v>
      </c>
      <c r="B4537" t="str">
        <f>"1552374846215322"</f>
        <v>1552374846215322</v>
      </c>
      <c r="C4537" t="s">
        <v>40</v>
      </c>
      <c r="D4537">
        <v>4.642995</v>
      </c>
      <c r="E4537">
        <v>0.52736749999999999</v>
      </c>
      <c r="F4537" t="s">
        <v>42</v>
      </c>
      <c r="G4537">
        <v>-421.81849999999997</v>
      </c>
      <c r="H4537" s="1">
        <v>-2.7725269999999998E-6</v>
      </c>
      <c r="I4537">
        <v>54.924019999999999</v>
      </c>
      <c r="J4537">
        <v>-423.26870000000002</v>
      </c>
      <c r="K4537">
        <v>1.1104419999999999</v>
      </c>
      <c r="L4537">
        <v>67.405459999999906</v>
      </c>
      <c r="M4537">
        <v>-2.575206E-3</v>
      </c>
      <c r="N4537">
        <v>0</v>
      </c>
      <c r="O4537">
        <v>-0.99990080000000003</v>
      </c>
      <c r="P4537">
        <v>0.1816623</v>
      </c>
      <c r="Q4537">
        <v>5.8785759999999999E-2</v>
      </c>
      <c r="R4537">
        <v>-0.98160230000000004</v>
      </c>
      <c r="S4537">
        <v>0.34243770000000001</v>
      </c>
      <c r="T4537">
        <v>-0.2623163</v>
      </c>
      <c r="U4537">
        <v>-3.0078740000000002</v>
      </c>
      <c r="V4537">
        <v>-0.18420310000000001</v>
      </c>
      <c r="W4537">
        <v>7.2328130000000004E-2</v>
      </c>
      <c r="X4537">
        <v>0.98022339999999997</v>
      </c>
      <c r="Y4537">
        <v>-0.1152528</v>
      </c>
      <c r="Z4537">
        <v>8.6313529999999999E-2</v>
      </c>
      <c r="AA4537">
        <v>0.98957910000000004</v>
      </c>
      <c r="AB4537">
        <v>25</v>
      </c>
      <c r="AC4537">
        <v>1.4502000000000499</v>
      </c>
      <c r="AD4537">
        <v>-1.1104447725269999</v>
      </c>
      <c r="AE4537">
        <v>-12.4814399999999</v>
      </c>
      <c r="AF4537">
        <v>-1.4708534547600201</v>
      </c>
      <c r="AG4537">
        <v>-1.1104447725269999</v>
      </c>
      <c r="AH4537">
        <v>12.3809705628969</v>
      </c>
      <c r="AI4537">
        <v>95.089525246695402</v>
      </c>
      <c r="AJ4537">
        <v>96.774958215461695</v>
      </c>
      <c r="AK4537">
        <v>12.5173850926434</v>
      </c>
      <c r="AL4537">
        <v>85.852281782277004</v>
      </c>
      <c r="AM4537">
        <v>100.64287328341899</v>
      </c>
      <c r="AN4537">
        <v>1.0000000271732301</v>
      </c>
    </row>
    <row r="4538" spans="1:40" x14ac:dyDescent="0.25">
      <c r="A4538" t="str">
        <f>"20190312151406244"</f>
        <v>20190312151406244</v>
      </c>
      <c r="B4538" t="str">
        <f>"1552374846234842"</f>
        <v>1552374846234842</v>
      </c>
      <c r="C4538" t="s">
        <v>40</v>
      </c>
      <c r="D4538">
        <v>4.6540269999999904</v>
      </c>
      <c r="E4538">
        <v>0.52711269999999999</v>
      </c>
      <c r="F4538" t="s">
        <v>42</v>
      </c>
      <c r="G4538">
        <v>-421.78899999999999</v>
      </c>
      <c r="H4538" s="1">
        <v>-2.6112500000000002E-6</v>
      </c>
      <c r="I4538">
        <v>54.566389999999998</v>
      </c>
      <c r="J4538">
        <v>-423.26920000000001</v>
      </c>
      <c r="K4538">
        <v>1.110452</v>
      </c>
      <c r="L4538">
        <v>67.153229999999994</v>
      </c>
      <c r="M4538">
        <v>-2.4440909999999998E-3</v>
      </c>
      <c r="N4538">
        <v>0</v>
      </c>
      <c r="O4538">
        <v>-0.99990129999999999</v>
      </c>
      <c r="P4538">
        <v>0.18257499999999999</v>
      </c>
      <c r="Q4538">
        <v>5.9527749999999997E-2</v>
      </c>
      <c r="R4538">
        <v>-0.9813885</v>
      </c>
      <c r="S4538">
        <v>0.3466187</v>
      </c>
      <c r="T4538">
        <v>-0.260131</v>
      </c>
      <c r="U4538">
        <v>-3.00766</v>
      </c>
      <c r="V4538">
        <v>-0.1849867</v>
      </c>
      <c r="W4538">
        <v>7.306812E-2</v>
      </c>
      <c r="X4538">
        <v>0.98002089999999997</v>
      </c>
      <c r="Y4538">
        <v>-0.11649519999999999</v>
      </c>
      <c r="Z4538">
        <v>8.55929E-2</v>
      </c>
      <c r="AA4538">
        <v>0.98949620000000005</v>
      </c>
      <c r="AB4538">
        <v>25</v>
      </c>
      <c r="AC4538">
        <v>1.4802000000000199</v>
      </c>
      <c r="AD4538">
        <v>-1.11045461125</v>
      </c>
      <c r="AE4538">
        <v>-12.58684</v>
      </c>
      <c r="AF4538">
        <v>-1.49945031438501</v>
      </c>
      <c r="AG4538">
        <v>-1.11045461125</v>
      </c>
      <c r="AH4538">
        <v>12.4873165913321</v>
      </c>
      <c r="AI4538">
        <v>95.045694758617401</v>
      </c>
      <c r="AJ4538">
        <v>96.847171370017605</v>
      </c>
      <c r="AK4538">
        <v>12.625946948293199</v>
      </c>
      <c r="AL4538">
        <v>85.809770867489803</v>
      </c>
      <c r="AM4538">
        <v>100.68926473393</v>
      </c>
      <c r="AN4538">
        <v>0.99999999688701702</v>
      </c>
    </row>
    <row r="4539" spans="1:40" x14ac:dyDescent="0.25">
      <c r="A4539" t="str">
        <f>"20190312151406264"</f>
        <v>20190312151406264</v>
      </c>
      <c r="B4539" t="str">
        <f>"1552374846255339"</f>
        <v>1552374846255339</v>
      </c>
      <c r="C4539" t="s">
        <v>40</v>
      </c>
      <c r="D4539">
        <v>4.6655470000000001</v>
      </c>
      <c r="E4539">
        <v>0.52682929999999994</v>
      </c>
      <c r="F4539" t="s">
        <v>42</v>
      </c>
      <c r="G4539">
        <v>-421.76209999999998</v>
      </c>
      <c r="H4539" s="1">
        <v>-2.4784740000000002E-6</v>
      </c>
      <c r="I4539">
        <v>54.2735699999999</v>
      </c>
      <c r="J4539">
        <v>-423.26960000000003</v>
      </c>
      <c r="K4539">
        <v>1.1104529999999999</v>
      </c>
      <c r="L4539">
        <v>66.934479999999994</v>
      </c>
      <c r="M4539">
        <v>-2.3304039999999999E-3</v>
      </c>
      <c r="N4539">
        <v>0</v>
      </c>
      <c r="O4539">
        <v>-0.99990179999999995</v>
      </c>
      <c r="P4539">
        <v>0.18391560000000001</v>
      </c>
      <c r="Q4539">
        <v>6.0021720000000001E-2</v>
      </c>
      <c r="R4539">
        <v>-0.98110810000000004</v>
      </c>
      <c r="S4539">
        <v>0.35186770000000001</v>
      </c>
      <c r="T4539">
        <v>-0.25927149999999999</v>
      </c>
      <c r="U4539">
        <v>-3.0071720000000002</v>
      </c>
      <c r="V4539">
        <v>-0.18621489999999999</v>
      </c>
      <c r="W4539">
        <v>7.3558899999999997E-2</v>
      </c>
      <c r="X4539">
        <v>0.9797515</v>
      </c>
      <c r="Y4539">
        <v>-0.1181075</v>
      </c>
      <c r="Z4539">
        <v>8.5309209999999996E-2</v>
      </c>
      <c r="AA4539">
        <v>0.98932960000000003</v>
      </c>
      <c r="AB4539">
        <v>25</v>
      </c>
      <c r="AC4539">
        <v>1.50750000000005</v>
      </c>
      <c r="AD4539">
        <v>-1.1104554784739999</v>
      </c>
      <c r="AE4539">
        <v>-12.660909999999999</v>
      </c>
      <c r="AF4539">
        <v>-1.5254332644347599</v>
      </c>
      <c r="AG4539">
        <v>-1.1104554784739999</v>
      </c>
      <c r="AH4539">
        <v>12.5620781494291</v>
      </c>
      <c r="AI4539">
        <v>95.015019541121205</v>
      </c>
      <c r="AJ4539">
        <v>96.923619987017602</v>
      </c>
      <c r="AK4539">
        <v>12.7029864774501</v>
      </c>
      <c r="AL4539">
        <v>85.781575175912906</v>
      </c>
      <c r="AM4539">
        <v>100.761472963664</v>
      </c>
      <c r="AN4539">
        <v>0.99999995125173302</v>
      </c>
    </row>
    <row r="4540" spans="1:40" x14ac:dyDescent="0.25">
      <c r="A4540" t="str">
        <f>"20190312151406287"</f>
        <v>20190312151406287</v>
      </c>
      <c r="B4540" t="str">
        <f>"1552374846274858"</f>
        <v>1552374846274858</v>
      </c>
      <c r="C4540" t="s">
        <v>40</v>
      </c>
      <c r="D4540">
        <v>4.9267409999999998</v>
      </c>
      <c r="E4540">
        <v>0.52658490000000002</v>
      </c>
      <c r="F4540" t="s">
        <v>42</v>
      </c>
      <c r="G4540">
        <v>-421.733</v>
      </c>
      <c r="H4540" s="1">
        <v>-2.3673670000000001E-6</v>
      </c>
      <c r="I4540">
        <v>54.032649999999997</v>
      </c>
      <c r="J4540">
        <v>-423.27</v>
      </c>
      <c r="K4540">
        <v>1.110457</v>
      </c>
      <c r="L4540">
        <v>66.682130000000001</v>
      </c>
      <c r="M4540">
        <v>-2.1992069999999999E-3</v>
      </c>
      <c r="N4540">
        <v>0</v>
      </c>
      <c r="O4540">
        <v>-0.99990199999999996</v>
      </c>
      <c r="P4540">
        <v>0.1853284</v>
      </c>
      <c r="Q4540">
        <v>6.0423159999999997E-2</v>
      </c>
      <c r="R4540">
        <v>-0.98081759999999996</v>
      </c>
      <c r="S4540">
        <v>0.35806270000000001</v>
      </c>
      <c r="T4540">
        <v>-0.25876579999999999</v>
      </c>
      <c r="U4540">
        <v>-3.0064700000000002</v>
      </c>
      <c r="V4540">
        <v>-0.18749869999999999</v>
      </c>
      <c r="W4540">
        <v>7.3955980000000004E-2</v>
      </c>
      <c r="X4540">
        <v>0.97947680000000004</v>
      </c>
      <c r="Y4540">
        <v>-0.120015899999999</v>
      </c>
      <c r="Z4540">
        <v>8.5143720000000006E-2</v>
      </c>
      <c r="AA4540">
        <v>0.9891141</v>
      </c>
      <c r="AB4540">
        <v>25</v>
      </c>
      <c r="AC4540">
        <v>1.5369999999999699</v>
      </c>
      <c r="AD4540">
        <v>-1.110459367367</v>
      </c>
      <c r="AE4540">
        <v>-12.649480000000001</v>
      </c>
      <c r="AF4540">
        <v>-1.55302344454518</v>
      </c>
      <c r="AG4540">
        <v>-1.110459367367</v>
      </c>
      <c r="AH4540">
        <v>12.5507531307404</v>
      </c>
      <c r="AI4540">
        <v>95.018147447792401</v>
      </c>
      <c r="AJ4540">
        <v>97.053892994710196</v>
      </c>
      <c r="AK4540">
        <v>12.695133160966501</v>
      </c>
      <c r="AL4540">
        <v>85.7587623442477</v>
      </c>
      <c r="AM4540">
        <v>100.83688100278</v>
      </c>
      <c r="AN4540">
        <v>1.0000000256088399</v>
      </c>
    </row>
    <row r="4541" spans="1:40" x14ac:dyDescent="0.25">
      <c r="A4541" t="str">
        <f>"20190312151406309"</f>
        <v>20190312151406309</v>
      </c>
      <c r="B4541" t="str">
        <f>"1552374846305115"</f>
        <v>1552374846305115</v>
      </c>
      <c r="C4541" t="s">
        <v>40</v>
      </c>
      <c r="D4541">
        <v>4.6032780000000004</v>
      </c>
      <c r="E4541">
        <v>0.52627309999999905</v>
      </c>
      <c r="F4541" t="s">
        <v>42</v>
      </c>
      <c r="G4541">
        <v>-421.69929999999999</v>
      </c>
      <c r="H4541" s="1">
        <v>-2.2159299999999998E-6</v>
      </c>
      <c r="I4541">
        <v>53.700530000000001</v>
      </c>
      <c r="J4541">
        <v>-423.2704</v>
      </c>
      <c r="K4541">
        <v>1.1104620000000001</v>
      </c>
      <c r="L4541">
        <v>66.437529999999995</v>
      </c>
      <c r="M4541">
        <v>-2.070938E-3</v>
      </c>
      <c r="N4541">
        <v>0</v>
      </c>
      <c r="O4541">
        <v>-0.99990219999999996</v>
      </c>
      <c r="P4541">
        <v>0.1874034</v>
      </c>
      <c r="Q4541">
        <v>6.0522199999999998E-2</v>
      </c>
      <c r="R4541">
        <v>-0.98041710000000004</v>
      </c>
      <c r="S4541">
        <v>0.363678</v>
      </c>
      <c r="T4541">
        <v>-0.25711919999999999</v>
      </c>
      <c r="U4541">
        <v>-3.005798</v>
      </c>
      <c r="V4541">
        <v>-0.18944739999999999</v>
      </c>
      <c r="W4541">
        <v>7.4049180000000006E-2</v>
      </c>
      <c r="X4541">
        <v>0.97909469999999998</v>
      </c>
      <c r="Y4541">
        <v>-0.1217413</v>
      </c>
      <c r="Z4541">
        <v>8.4606249999999994E-2</v>
      </c>
      <c r="AA4541">
        <v>0.98894939999999998</v>
      </c>
      <c r="AB4541">
        <v>25</v>
      </c>
      <c r="AC4541">
        <v>1.5710999999999999</v>
      </c>
      <c r="AD4541">
        <v>-1.11046421593</v>
      </c>
      <c r="AE4541">
        <v>-12.737</v>
      </c>
      <c r="AF4541">
        <v>-1.5856050213144499</v>
      </c>
      <c r="AG4541">
        <v>-1.11046421593</v>
      </c>
      <c r="AH4541">
        <v>12.639087916391301</v>
      </c>
      <c r="AI4541">
        <v>94.982232432506393</v>
      </c>
      <c r="AJ4541">
        <v>97.150541704997295</v>
      </c>
      <c r="AK4541">
        <v>12.7864700921227</v>
      </c>
      <c r="AL4541">
        <v>85.753407650405407</v>
      </c>
      <c r="AM4541">
        <v>100.95097155621001</v>
      </c>
      <c r="AN4541">
        <v>1.0000000149967601</v>
      </c>
    </row>
    <row r="4542" spans="1:40" x14ac:dyDescent="0.25">
      <c r="A4542" t="str">
        <f>"20190312151406331"</f>
        <v>20190312151406331</v>
      </c>
      <c r="B4542" t="str">
        <f>"1552374846324634"</f>
        <v>1552374846324634</v>
      </c>
      <c r="C4542" t="s">
        <v>40</v>
      </c>
      <c r="D4542">
        <v>4.613937</v>
      </c>
      <c r="E4542">
        <v>0.52605590000000002</v>
      </c>
      <c r="F4542" t="s">
        <v>42</v>
      </c>
      <c r="G4542">
        <v>-421.64940000000001</v>
      </c>
      <c r="H4542" s="1">
        <v>-2.0507620000000001E-6</v>
      </c>
      <c r="I4542">
        <v>53.346490000000003</v>
      </c>
      <c r="J4542">
        <v>-423.27069999999998</v>
      </c>
      <c r="K4542">
        <v>1.110471</v>
      </c>
      <c r="L4542">
        <v>66.186130000000006</v>
      </c>
      <c r="M4542">
        <v>-1.9381559999999999E-3</v>
      </c>
      <c r="N4542">
        <v>0</v>
      </c>
      <c r="O4542">
        <v>-0.99990219999999996</v>
      </c>
      <c r="P4542">
        <v>0.18948989999999999</v>
      </c>
      <c r="Q4542">
        <v>6.1134180000000003E-2</v>
      </c>
      <c r="R4542">
        <v>-0.97997749999999995</v>
      </c>
      <c r="S4542">
        <v>0.37203979999999998</v>
      </c>
      <c r="T4542">
        <v>-0.25486449999999999</v>
      </c>
      <c r="U4542">
        <v>-3.0045470000000001</v>
      </c>
      <c r="V4542">
        <v>-0.1914024</v>
      </c>
      <c r="W4542">
        <v>7.4654029999999996E-2</v>
      </c>
      <c r="X4542">
        <v>0.97866850000000005</v>
      </c>
      <c r="Y4542">
        <v>-0.1243774</v>
      </c>
      <c r="Z4542">
        <v>8.3876279999999998E-2</v>
      </c>
      <c r="AA4542">
        <v>0.98868350000000005</v>
      </c>
      <c r="AB4542">
        <v>25</v>
      </c>
      <c r="AC4542">
        <v>1.62129999999996</v>
      </c>
      <c r="AD4542">
        <v>-1.110473050762</v>
      </c>
      <c r="AE4542">
        <v>-12.839639999999999</v>
      </c>
      <c r="AF4542">
        <v>-1.63415270468351</v>
      </c>
      <c r="AG4542">
        <v>-1.110473050762</v>
      </c>
      <c r="AH4542">
        <v>12.7426522494682</v>
      </c>
      <c r="AI4542">
        <v>94.940267794195606</v>
      </c>
      <c r="AJ4542">
        <v>97.307879961469595</v>
      </c>
      <c r="AK4542">
        <v>12.8949134083781</v>
      </c>
      <c r="AL4542">
        <v>85.718656335914801</v>
      </c>
      <c r="AM4542">
        <v>101.06590478519099</v>
      </c>
      <c r="AN4542">
        <v>1.0000000679066201</v>
      </c>
    </row>
    <row r="4543" spans="1:40" x14ac:dyDescent="0.25">
      <c r="A4543" t="str">
        <f>"20190312151406353"</f>
        <v>20190312151406353</v>
      </c>
      <c r="B4543" t="str">
        <f>"1552374846345129"</f>
        <v>1552374846345129</v>
      </c>
      <c r="C4543" t="s">
        <v>40</v>
      </c>
      <c r="D4543">
        <v>4.5824069999999999</v>
      </c>
      <c r="E4543">
        <v>0.52585490000000001</v>
      </c>
      <c r="F4543" t="s">
        <v>42</v>
      </c>
      <c r="G4543">
        <v>-421.59629999999999</v>
      </c>
      <c r="H4543" s="1">
        <v>-1.868729E-6</v>
      </c>
      <c r="I4543">
        <v>52.9550699999999</v>
      </c>
      <c r="J4543">
        <v>-423.27109999999999</v>
      </c>
      <c r="K4543">
        <v>1.110471</v>
      </c>
      <c r="L4543">
        <v>65.943019999999905</v>
      </c>
      <c r="M4543">
        <v>-1.8083369999999999E-3</v>
      </c>
      <c r="N4543">
        <v>0</v>
      </c>
      <c r="O4543">
        <v>-0.99990250000000003</v>
      </c>
      <c r="P4543">
        <v>0.19142239999999999</v>
      </c>
      <c r="Q4543">
        <v>6.178641E-2</v>
      </c>
      <c r="R4543">
        <v>-0.97956120000000002</v>
      </c>
      <c r="S4543">
        <v>0.3800964</v>
      </c>
      <c r="T4543">
        <v>-0.25208469999999999</v>
      </c>
      <c r="U4543">
        <v>-3.0035400000000001</v>
      </c>
      <c r="V4543">
        <v>-0.19320760000000001</v>
      </c>
      <c r="W4543">
        <v>7.5298799999999999E-2</v>
      </c>
      <c r="X4543">
        <v>0.97826420000000003</v>
      </c>
      <c r="Y4543">
        <v>-0.1269093</v>
      </c>
      <c r="Z4543">
        <v>8.2968260000000002E-2</v>
      </c>
      <c r="AA4543">
        <v>0.98843829999999999</v>
      </c>
      <c r="AB4543">
        <v>25</v>
      </c>
      <c r="AC4543">
        <v>1.6748000000000001</v>
      </c>
      <c r="AD4543">
        <v>-1.110472868729</v>
      </c>
      <c r="AE4543">
        <v>-12.9879499999999</v>
      </c>
      <c r="AF4543">
        <v>-1.68616138434421</v>
      </c>
      <c r="AG4543">
        <v>-1.110472868729</v>
      </c>
      <c r="AH4543">
        <v>12.8921956620526</v>
      </c>
      <c r="AI4543">
        <v>94.881664817084399</v>
      </c>
      <c r="AJ4543">
        <v>97.451380218942703</v>
      </c>
      <c r="AK4543">
        <v>13.0493294538411</v>
      </c>
      <c r="AL4543">
        <v>85.681609019351598</v>
      </c>
      <c r="AM4543">
        <v>101.172159955765</v>
      </c>
      <c r="AN4543">
        <v>0.99999996549041903</v>
      </c>
    </row>
    <row r="4544" spans="1:40" x14ac:dyDescent="0.25">
      <c r="A4544" t="str">
        <f>"20190312151406375"</f>
        <v>20190312151406375</v>
      </c>
      <c r="B4544" t="str">
        <f>"1552374846365239"</f>
        <v>1552374846365239</v>
      </c>
      <c r="C4544" t="s">
        <v>40</v>
      </c>
      <c r="D4544">
        <v>4.5915710000000001</v>
      </c>
      <c r="E4544">
        <v>0.52562279999999995</v>
      </c>
      <c r="F4544" t="s">
        <v>42</v>
      </c>
      <c r="G4544">
        <v>-421.54219999999998</v>
      </c>
      <c r="H4544" s="1">
        <v>-1.6869769999999999E-6</v>
      </c>
      <c r="I4544">
        <v>52.564950000000003</v>
      </c>
      <c r="J4544">
        <v>-423.2713</v>
      </c>
      <c r="K4544">
        <v>1.110471</v>
      </c>
      <c r="L4544">
        <v>65.690669999999997</v>
      </c>
      <c r="M4544">
        <v>-1.6720859999999999E-3</v>
      </c>
      <c r="N4544">
        <v>0</v>
      </c>
      <c r="O4544">
        <v>-0.99990319999999999</v>
      </c>
      <c r="P4544">
        <v>0.19287770000000001</v>
      </c>
      <c r="Q4544">
        <v>6.1852940000000002E-2</v>
      </c>
      <c r="R4544">
        <v>-0.97927180000000003</v>
      </c>
      <c r="S4544">
        <v>0.38800050000000003</v>
      </c>
      <c r="T4544">
        <v>-0.2492259</v>
      </c>
      <c r="U4544">
        <v>-3.002472</v>
      </c>
      <c r="V4544">
        <v>-0.19452900000000001</v>
      </c>
      <c r="W4544">
        <v>7.5360129999999997E-2</v>
      </c>
      <c r="X4544">
        <v>0.97799760000000002</v>
      </c>
      <c r="Y4544">
        <v>-0.12938759999999999</v>
      </c>
      <c r="Z4544">
        <v>8.2035789999999997E-2</v>
      </c>
      <c r="AA4544">
        <v>0.98819480000000004</v>
      </c>
      <c r="AB4544">
        <v>25</v>
      </c>
      <c r="AC4544">
        <v>1.7291000000000101</v>
      </c>
      <c r="AD4544">
        <v>-1.1104726869769901</v>
      </c>
      <c r="AE4544">
        <v>-13.1257199999999</v>
      </c>
      <c r="AF4544">
        <v>-1.7388135154757201</v>
      </c>
      <c r="AG4544">
        <v>-1.1104726869769901</v>
      </c>
      <c r="AH4544">
        <v>13.0311291262165</v>
      </c>
      <c r="AI4544">
        <v>94.828213596753301</v>
      </c>
      <c r="AJ4544">
        <v>97.600387353172707</v>
      </c>
      <c r="AK4544">
        <v>13.193443384281901</v>
      </c>
      <c r="AL4544">
        <v>85.678085176939902</v>
      </c>
      <c r="AM4544">
        <v>101.24961577606599</v>
      </c>
      <c r="AN4544">
        <v>0.99999999332018796</v>
      </c>
    </row>
    <row r="4545" spans="1:40" x14ac:dyDescent="0.25">
      <c r="A4545" t="str">
        <f>"20190312151406399"</f>
        <v>20190312151406399</v>
      </c>
      <c r="B4545" t="str">
        <f>"1552374846395495"</f>
        <v>1552374846395495</v>
      </c>
      <c r="C4545" t="s">
        <v>40</v>
      </c>
      <c r="D4545">
        <v>4.5923230000000004</v>
      </c>
      <c r="E4545">
        <v>0.52531799999999995</v>
      </c>
      <c r="F4545" t="s">
        <v>42</v>
      </c>
      <c r="G4545">
        <v>-421.50979999999998</v>
      </c>
      <c r="H4545" s="1">
        <v>-1.5627279999999901E-6</v>
      </c>
      <c r="I4545">
        <v>52.295459999999999</v>
      </c>
      <c r="J4545">
        <v>-423.27159999999998</v>
      </c>
      <c r="K4545">
        <v>1.1104579999999999</v>
      </c>
      <c r="L4545">
        <v>65.435269999999903</v>
      </c>
      <c r="M4545">
        <v>-1.5304019999999999E-3</v>
      </c>
      <c r="N4545">
        <v>0</v>
      </c>
      <c r="O4545">
        <v>-0.99990299999999999</v>
      </c>
      <c r="P4545">
        <v>0.19403889999999999</v>
      </c>
      <c r="Q4545">
        <v>6.1398880000000003E-2</v>
      </c>
      <c r="R4545">
        <v>-0.97907040000000001</v>
      </c>
      <c r="S4545">
        <v>0.39471440000000002</v>
      </c>
      <c r="T4545">
        <v>-0.24882599999999999</v>
      </c>
      <c r="U4545">
        <v>-3.0014949999999998</v>
      </c>
      <c r="V4545">
        <v>-0.19555130000000001</v>
      </c>
      <c r="W4545">
        <v>7.4901770000000006E-2</v>
      </c>
      <c r="X4545">
        <v>0.9778289</v>
      </c>
      <c r="Y4545">
        <v>-0.13146250000000001</v>
      </c>
      <c r="Z4545">
        <v>8.1908410000000001E-2</v>
      </c>
      <c r="AA4545">
        <v>0.98793149999999996</v>
      </c>
      <c r="AB4545">
        <v>25</v>
      </c>
      <c r="AC4545">
        <v>1.76179999999999</v>
      </c>
      <c r="AD4545">
        <v>-1.1104595627279901</v>
      </c>
      <c r="AE4545">
        <v>-13.139809999999899</v>
      </c>
      <c r="AF4545">
        <v>-1.7694942984423701</v>
      </c>
      <c r="AG4545">
        <v>-1.1104595627279901</v>
      </c>
      <c r="AH4545">
        <v>13.0455704790719</v>
      </c>
      <c r="AI4545">
        <v>94.821439409370797</v>
      </c>
      <c r="AJ4545">
        <v>97.724427995585003</v>
      </c>
      <c r="AK4545">
        <v>13.2117803356363</v>
      </c>
      <c r="AL4545">
        <v>85.704421614131704</v>
      </c>
      <c r="AM4545">
        <v>101.309116650498</v>
      </c>
      <c r="AN4545">
        <v>0.99999997187801604</v>
      </c>
    </row>
    <row r="4546" spans="1:40" x14ac:dyDescent="0.25">
      <c r="A4546" t="str">
        <f>"20190312151406424"</f>
        <v>20190312151406424</v>
      </c>
      <c r="B4546" t="str">
        <f>"1552374846415017"</f>
        <v>1552374846415017</v>
      </c>
      <c r="C4546" t="s">
        <v>40</v>
      </c>
      <c r="D4546">
        <v>4.6198709999999998</v>
      </c>
      <c r="E4546">
        <v>0.52515369999999995</v>
      </c>
      <c r="F4546" t="s">
        <v>42</v>
      </c>
      <c r="G4546">
        <v>-421.50020000000001</v>
      </c>
      <c r="H4546" s="1">
        <v>-1.512826E-6</v>
      </c>
      <c r="I4546">
        <v>52.185079999999999</v>
      </c>
      <c r="J4546">
        <v>-423.27190000000002</v>
      </c>
      <c r="K4546">
        <v>1.1104590000000001</v>
      </c>
      <c r="L4546">
        <v>65.166439999999994</v>
      </c>
      <c r="M4546">
        <v>-1.367767E-3</v>
      </c>
      <c r="N4546">
        <v>0</v>
      </c>
      <c r="O4546">
        <v>-0.99990319999999999</v>
      </c>
      <c r="P4546">
        <v>0.19448289999999999</v>
      </c>
      <c r="Q4546">
        <v>6.0434769999999999E-2</v>
      </c>
      <c r="R4546">
        <v>-0.97904239999999998</v>
      </c>
      <c r="S4546">
        <v>0.40112300000000001</v>
      </c>
      <c r="T4546">
        <v>-0.25145440000000002</v>
      </c>
      <c r="U4546">
        <v>-3.000397</v>
      </c>
      <c r="V4546">
        <v>-0.19583690000000001</v>
      </c>
      <c r="W4546">
        <v>7.3932680000000001E-2</v>
      </c>
      <c r="X4546">
        <v>0.97784550000000003</v>
      </c>
      <c r="Y4546">
        <v>-0.133412</v>
      </c>
      <c r="Z4546">
        <v>8.2775189999999998E-2</v>
      </c>
      <c r="AA4546">
        <v>0.98759779999999997</v>
      </c>
      <c r="AB4546">
        <v>25</v>
      </c>
      <c r="AC4546">
        <v>1.7717000000000001</v>
      </c>
      <c r="AD4546">
        <v>-1.1104605128259999</v>
      </c>
      <c r="AE4546">
        <v>-12.98136</v>
      </c>
      <c r="AF4546">
        <v>-1.7766922221442001</v>
      </c>
      <c r="AG4546">
        <v>-1.1104605128259999</v>
      </c>
      <c r="AH4546">
        <v>12.886352121844601</v>
      </c>
      <c r="AI4546">
        <v>94.879272442837006</v>
      </c>
      <c r="AJ4546">
        <v>97.850103439838506</v>
      </c>
      <c r="AK4546">
        <v>13.055566966277</v>
      </c>
      <c r="AL4546">
        <v>85.760100795089897</v>
      </c>
      <c r="AM4546">
        <v>101.325019607822</v>
      </c>
      <c r="AN4546">
        <v>0.99999997722192002</v>
      </c>
    </row>
    <row r="4547" spans="1:40" x14ac:dyDescent="0.25">
      <c r="A4547" t="str">
        <f>"20190312151406443"</f>
        <v>20190312151406443</v>
      </c>
      <c r="B4547" t="str">
        <f>"1552374846435512"</f>
        <v>1552374846435512</v>
      </c>
      <c r="C4547" t="s">
        <v>40</v>
      </c>
      <c r="D4547">
        <v>4.6136410000000003</v>
      </c>
      <c r="E4547">
        <v>0.52497890000000003</v>
      </c>
      <c r="F4547" t="s">
        <v>42</v>
      </c>
      <c r="G4547">
        <v>-421.51769999999999</v>
      </c>
      <c r="H4547" s="1">
        <v>-1.4962059999999999E-6</v>
      </c>
      <c r="I4547">
        <v>52.135469999999998</v>
      </c>
      <c r="J4547">
        <v>-423.27199999999999</v>
      </c>
      <c r="K4547">
        <v>1.1104700000000001</v>
      </c>
      <c r="L4547">
        <v>64.952819999999903</v>
      </c>
      <c r="M4547">
        <v>-1.214377E-3</v>
      </c>
      <c r="N4547">
        <v>0</v>
      </c>
      <c r="O4547">
        <v>-0.99990369999999995</v>
      </c>
      <c r="P4547">
        <v>0.1943645</v>
      </c>
      <c r="Q4547">
        <v>5.9389610000000002E-2</v>
      </c>
      <c r="R4547">
        <v>-0.97912999999999994</v>
      </c>
      <c r="S4547">
        <v>0.40380860000000002</v>
      </c>
      <c r="T4547">
        <v>-0.25563279999999999</v>
      </c>
      <c r="U4547">
        <v>-2.9997859999999998</v>
      </c>
      <c r="V4547">
        <v>-0.19557089999999999</v>
      </c>
      <c r="W4547">
        <v>7.2881689999999999E-2</v>
      </c>
      <c r="X4547">
        <v>0.9779776</v>
      </c>
      <c r="Y4547">
        <v>-0.13413949999999999</v>
      </c>
      <c r="Z4547">
        <v>8.4148689999999998E-2</v>
      </c>
      <c r="AA4547">
        <v>0.98738320000000002</v>
      </c>
      <c r="AB4547">
        <v>25</v>
      </c>
      <c r="AC4547">
        <v>1.7543</v>
      </c>
      <c r="AD4547">
        <v>-1.1104714962060001</v>
      </c>
      <c r="AE4547">
        <v>-12.8173499999999</v>
      </c>
      <c r="AF4547">
        <v>-1.75692005506098</v>
      </c>
      <c r="AG4547">
        <v>-1.1104714962060001</v>
      </c>
      <c r="AH4547">
        <v>12.721476337345401</v>
      </c>
      <c r="AI4547">
        <v>94.942092387158894</v>
      </c>
      <c r="AJ4547">
        <v>97.863185361226499</v>
      </c>
      <c r="AK4547">
        <v>12.890146439253501</v>
      </c>
      <c r="AL4547">
        <v>85.820480887084102</v>
      </c>
      <c r="AM4547">
        <v>101.30854555681201</v>
      </c>
      <c r="AN4547">
        <v>0.99999995188291202</v>
      </c>
    </row>
    <row r="4548" spans="1:40" x14ac:dyDescent="0.25">
      <c r="A4548" t="str">
        <f>"20190312151406465"</f>
        <v>20190312151406465</v>
      </c>
      <c r="B4548" t="str">
        <f>"1552374846455031"</f>
        <v>1552374846455031</v>
      </c>
      <c r="C4548" t="s">
        <v>40</v>
      </c>
      <c r="D4548">
        <v>4.6364029999999996</v>
      </c>
      <c r="E4548">
        <v>0.52482090000000003</v>
      </c>
      <c r="F4548" t="s">
        <v>42</v>
      </c>
      <c r="G4548">
        <v>-421.54320000000001</v>
      </c>
      <c r="H4548" s="1">
        <v>-1.506826E-6</v>
      </c>
      <c r="I4548">
        <v>52.144390000000001</v>
      </c>
      <c r="J4548">
        <v>-423.27199999999999</v>
      </c>
      <c r="K4548">
        <v>1.1104879999999999</v>
      </c>
      <c r="L4548">
        <v>64.70975</v>
      </c>
      <c r="M4548">
        <v>-1.0019110000000001E-3</v>
      </c>
      <c r="N4548">
        <v>0</v>
      </c>
      <c r="O4548">
        <v>-0.99990400000000002</v>
      </c>
      <c r="P4548">
        <v>0.19413059999999999</v>
      </c>
      <c r="Q4548">
        <v>5.7507419999999997E-2</v>
      </c>
      <c r="R4548">
        <v>-0.97928879999999996</v>
      </c>
      <c r="S4548">
        <v>0.4048157</v>
      </c>
      <c r="T4548">
        <v>-0.26003979999999999</v>
      </c>
      <c r="U4548">
        <v>-2.9993590000000001</v>
      </c>
      <c r="V4548">
        <v>-0.1951331</v>
      </c>
      <c r="W4548">
        <v>7.0988339999999997E-2</v>
      </c>
      <c r="X4548">
        <v>0.97820439999999997</v>
      </c>
      <c r="Y4548">
        <v>-0.13425670000000001</v>
      </c>
      <c r="Z4548">
        <v>8.5598220000000003E-2</v>
      </c>
      <c r="AA4548">
        <v>0.98724270000000003</v>
      </c>
      <c r="AB4548">
        <v>25</v>
      </c>
      <c r="AC4548">
        <v>1.7287999999999699</v>
      </c>
      <c r="AD4548">
        <v>-1.1104895068259999</v>
      </c>
      <c r="AE4548">
        <v>-12.565359999999901</v>
      </c>
      <c r="AF4548">
        <v>-1.7281427986775699</v>
      </c>
      <c r="AG4548">
        <v>-1.1104895068259999</v>
      </c>
      <c r="AH4548">
        <v>12.468048824007299</v>
      </c>
      <c r="AI4548">
        <v>95.041774932831402</v>
      </c>
      <c r="AJ4548">
        <v>97.891244368497496</v>
      </c>
      <c r="AK4548">
        <v>12.6361349294482</v>
      </c>
      <c r="AL4548">
        <v>85.9292440818556</v>
      </c>
      <c r="AM4548">
        <v>101.28133164693899</v>
      </c>
      <c r="AN4548">
        <v>1.0000000596554599</v>
      </c>
    </row>
    <row r="4549" spans="1:40" x14ac:dyDescent="0.25">
      <c r="A4549" t="str">
        <f>"20190312151406487"</f>
        <v>20190312151406487</v>
      </c>
      <c r="B4549" t="str">
        <f>"1552374846485011"</f>
        <v>1552374846485011</v>
      </c>
      <c r="C4549" t="s">
        <v>40</v>
      </c>
      <c r="D4549">
        <v>4.6027639999999996</v>
      </c>
      <c r="E4549">
        <v>0.52466369999999996</v>
      </c>
      <c r="F4549" t="s">
        <v>42</v>
      </c>
      <c r="G4549">
        <v>-421.58609999999999</v>
      </c>
      <c r="H4549" s="1">
        <v>-1.5606649999999901E-6</v>
      </c>
      <c r="I4549">
        <v>52.24333</v>
      </c>
      <c r="J4549">
        <v>-423.27190000000002</v>
      </c>
      <c r="K4549">
        <v>1.110528</v>
      </c>
      <c r="L4549">
        <v>64.465029999999999</v>
      </c>
      <c r="M4549">
        <v>-7.2556929999999904E-4</v>
      </c>
      <c r="N4549">
        <v>0</v>
      </c>
      <c r="O4549">
        <v>-0.99990420000000002</v>
      </c>
      <c r="P4549">
        <v>0.1940481</v>
      </c>
      <c r="Q4549">
        <v>5.5513140000000002E-2</v>
      </c>
      <c r="R4549">
        <v>-0.97942019999999996</v>
      </c>
      <c r="S4549">
        <v>0.40554810000000002</v>
      </c>
      <c r="T4549">
        <v>-0.2671212</v>
      </c>
      <c r="U4549">
        <v>-2.9987180000000002</v>
      </c>
      <c r="V4549">
        <v>-0.1947865</v>
      </c>
      <c r="W4549">
        <v>6.8975289999999995E-2</v>
      </c>
      <c r="X4549">
        <v>0.97841739999999999</v>
      </c>
      <c r="Y4549">
        <v>-0.13422039999999999</v>
      </c>
      <c r="Z4549">
        <v>8.7928580000000006E-2</v>
      </c>
      <c r="AA4549">
        <v>0.9870428</v>
      </c>
      <c r="AB4549">
        <v>25</v>
      </c>
      <c r="AC4549">
        <v>1.6858000000000199</v>
      </c>
      <c r="AD4549">
        <v>-1.1105295606650001</v>
      </c>
      <c r="AE4549">
        <v>-12.221699999999901</v>
      </c>
      <c r="AF4549">
        <v>-1.68104763492312</v>
      </c>
      <c r="AG4549">
        <v>-1.1105295606650001</v>
      </c>
      <c r="AH4549">
        <v>12.1222545888164</v>
      </c>
      <c r="AI4549">
        <v>95.184959099173895</v>
      </c>
      <c r="AJ4549">
        <v>97.895111429874007</v>
      </c>
      <c r="AK4549">
        <v>12.2885415478026</v>
      </c>
      <c r="AL4549">
        <v>86.044866563586993</v>
      </c>
      <c r="AM4549">
        <v>101.25941701006001</v>
      </c>
      <c r="AN4549">
        <v>0.99999998991779704</v>
      </c>
    </row>
    <row r="4550" spans="1:40" x14ac:dyDescent="0.25">
      <c r="A4550" t="str">
        <f>"20190312151406510"</f>
        <v>20190312151406510</v>
      </c>
      <c r="B4550" t="str">
        <f>"1552374846505507"</f>
        <v>1552374846505507</v>
      </c>
      <c r="C4550" t="s">
        <v>40</v>
      </c>
      <c r="D4550">
        <v>4.6158710000000003</v>
      </c>
      <c r="E4550">
        <v>0.52459889999999998</v>
      </c>
      <c r="F4550" t="s">
        <v>42</v>
      </c>
      <c r="G4550">
        <v>-421.62610000000001</v>
      </c>
      <c r="H4550" s="1">
        <v>-1.598017E-6</v>
      </c>
      <c r="I4550">
        <v>52.305579999999999</v>
      </c>
      <c r="J4550">
        <v>-423.27170000000001</v>
      </c>
      <c r="K4550">
        <v>1.110579</v>
      </c>
      <c r="L4550">
        <v>64.221530000000001</v>
      </c>
      <c r="M4550">
        <v>-3.754219E-4</v>
      </c>
      <c r="N4550">
        <v>0</v>
      </c>
      <c r="O4550">
        <v>-0.99990449999999997</v>
      </c>
      <c r="P4550">
        <v>0.1941465</v>
      </c>
      <c r="Q4550">
        <v>5.468257E-2</v>
      </c>
      <c r="R4550">
        <v>-0.97944759999999997</v>
      </c>
      <c r="S4550">
        <v>0.40582279999999998</v>
      </c>
      <c r="T4550">
        <v>-0.27382469999999998</v>
      </c>
      <c r="U4550">
        <v>-2.9981689999999999</v>
      </c>
      <c r="V4550">
        <v>-0.1945508</v>
      </c>
      <c r="W4550">
        <v>6.8119499999999999E-2</v>
      </c>
      <c r="X4550">
        <v>0.97852430000000001</v>
      </c>
      <c r="Y4550">
        <v>-0.13395969999999999</v>
      </c>
      <c r="Z4550">
        <v>9.0134610000000004E-2</v>
      </c>
      <c r="AA4550">
        <v>0.98687919999999996</v>
      </c>
      <c r="AB4550">
        <v>25</v>
      </c>
      <c r="AC4550">
        <v>1.6456</v>
      </c>
      <c r="AD4550">
        <v>-1.110580598017</v>
      </c>
      <c r="AE4550">
        <v>-11.91595</v>
      </c>
      <c r="AF4550">
        <v>-1.6361276408298699</v>
      </c>
      <c r="AG4550">
        <v>-1.110580598017</v>
      </c>
      <c r="AH4550">
        <v>11.814624697327201</v>
      </c>
      <c r="AI4550">
        <v>95.319581305062499</v>
      </c>
      <c r="AJ4550">
        <v>97.884359964590701</v>
      </c>
      <c r="AK4550">
        <v>11.9789673870694</v>
      </c>
      <c r="AL4550">
        <v>86.094015532649195</v>
      </c>
      <c r="AM4550">
        <v>101.24494279503099</v>
      </c>
      <c r="AN4550">
        <v>1.0000000428756799</v>
      </c>
    </row>
    <row r="4551" spans="1:40" x14ac:dyDescent="0.25">
      <c r="A4551" t="str">
        <f>"20190312151406532"</f>
        <v>20190312151406532</v>
      </c>
      <c r="B4551" t="str">
        <f>"1552374846525027"</f>
        <v>1552374846525027</v>
      </c>
      <c r="C4551" t="s">
        <v>40</v>
      </c>
      <c r="D4551">
        <v>4.5809670000000002</v>
      </c>
      <c r="E4551">
        <v>0.52454809999999996</v>
      </c>
      <c r="F4551" t="s">
        <v>42</v>
      </c>
      <c r="G4551">
        <v>-421.6431</v>
      </c>
      <c r="H4551" s="1">
        <v>-1.5627080000000001E-6</v>
      </c>
      <c r="I4551">
        <v>52.212699999999998</v>
      </c>
      <c r="J4551">
        <v>-423.27140000000003</v>
      </c>
      <c r="K4551">
        <v>1.110638</v>
      </c>
      <c r="L4551">
        <v>63.977719999999998</v>
      </c>
      <c r="M4551" s="1">
        <v>4.8972109999999897E-5</v>
      </c>
      <c r="N4551">
        <v>0</v>
      </c>
      <c r="O4551">
        <v>-0.99990460000000003</v>
      </c>
      <c r="P4551">
        <v>0.1945489</v>
      </c>
      <c r="Q4551">
        <v>5.4311669999999999E-2</v>
      </c>
      <c r="R4551">
        <v>-0.97938840000000005</v>
      </c>
      <c r="S4551">
        <v>0.40655520000000001</v>
      </c>
      <c r="T4551">
        <v>-0.2772405</v>
      </c>
      <c r="U4551">
        <v>-2.997833</v>
      </c>
      <c r="V4551">
        <v>-0.1945462</v>
      </c>
      <c r="W4551">
        <v>6.7721310000000007E-2</v>
      </c>
      <c r="X4551">
        <v>0.9785528</v>
      </c>
      <c r="Y4551">
        <v>-0.1337769</v>
      </c>
      <c r="Z4551">
        <v>9.1259320000000005E-2</v>
      </c>
      <c r="AA4551">
        <v>0.98680060000000003</v>
      </c>
      <c r="AB4551">
        <v>25</v>
      </c>
      <c r="AC4551">
        <v>1.6283000000000201</v>
      </c>
      <c r="AD4551">
        <v>-1.1106395627079999</v>
      </c>
      <c r="AE4551">
        <v>-11.76502</v>
      </c>
      <c r="AF4551">
        <v>-1.6136140024136401</v>
      </c>
      <c r="AG4551">
        <v>-1.1106395627079999</v>
      </c>
      <c r="AH4551">
        <v>11.6631149855895</v>
      </c>
      <c r="AI4551">
        <v>95.388661164724496</v>
      </c>
      <c r="AJ4551">
        <v>97.876975012917001</v>
      </c>
      <c r="AK4551">
        <v>11.826475449351801</v>
      </c>
      <c r="AL4551">
        <v>86.116882743541396</v>
      </c>
      <c r="AM4551">
        <v>101.244364539209</v>
      </c>
      <c r="AN4551">
        <v>0.99999999107519799</v>
      </c>
    </row>
    <row r="4552" spans="1:40" x14ac:dyDescent="0.25">
      <c r="A4552" t="str">
        <f>"20190312151406555"</f>
        <v>20190312151406555</v>
      </c>
      <c r="B4552" t="str">
        <f>"1552374846545523"</f>
        <v>1552374846545523</v>
      </c>
      <c r="C4552" t="s">
        <v>40</v>
      </c>
      <c r="D4552">
        <v>4.6401659999999998</v>
      </c>
      <c r="E4552">
        <v>0.52449049999999997</v>
      </c>
      <c r="F4552" t="s">
        <v>42</v>
      </c>
      <c r="G4552">
        <v>-421.64920000000001</v>
      </c>
      <c r="H4552" s="1">
        <v>-1.498625E-6</v>
      </c>
      <c r="I4552">
        <v>52.059539999999998</v>
      </c>
      <c r="J4552">
        <v>-423.27080000000001</v>
      </c>
      <c r="K4552">
        <v>1.1107009999999999</v>
      </c>
      <c r="L4552">
        <v>63.730559999999997</v>
      </c>
      <c r="M4552">
        <v>5.6984180000000002E-4</v>
      </c>
      <c r="N4552">
        <v>0</v>
      </c>
      <c r="O4552">
        <v>-0.99990449999999997</v>
      </c>
      <c r="P4552">
        <v>0.19533639999999999</v>
      </c>
      <c r="Q4552">
        <v>5.3390420000000001E-2</v>
      </c>
      <c r="R4552">
        <v>-0.97928230000000005</v>
      </c>
      <c r="S4552">
        <v>0.4079895</v>
      </c>
      <c r="T4552">
        <v>-0.27934130000000001</v>
      </c>
      <c r="U4552">
        <v>-2.9975890000000001</v>
      </c>
      <c r="V4552">
        <v>-0.19483220000000001</v>
      </c>
      <c r="W4552">
        <v>6.6770259999999998E-2</v>
      </c>
      <c r="X4552">
        <v>0.97856129999999997</v>
      </c>
      <c r="Y4552">
        <v>-0.1337264</v>
      </c>
      <c r="Z4552">
        <v>9.1949710000000004E-2</v>
      </c>
      <c r="AA4552">
        <v>0.98674340000000005</v>
      </c>
      <c r="AB4552">
        <v>24</v>
      </c>
      <c r="AC4552">
        <v>1.6215999999999999</v>
      </c>
      <c r="AD4552">
        <v>-1.110702498625</v>
      </c>
      <c r="AE4552">
        <v>-11.671019999999899</v>
      </c>
      <c r="AF4552">
        <v>-1.60072548826824</v>
      </c>
      <c r="AG4552">
        <v>-1.110702498625</v>
      </c>
      <c r="AH4552">
        <v>11.5691465271972</v>
      </c>
      <c r="AI4552">
        <v>95.432467766206003</v>
      </c>
      <c r="AJ4552">
        <v>97.8775202407043</v>
      </c>
      <c r="AK4552">
        <v>11.7320558086383</v>
      </c>
      <c r="AL4552">
        <v>86.171497692585007</v>
      </c>
      <c r="AM4552">
        <v>101.260377352166</v>
      </c>
      <c r="AN4552">
        <v>1.0000000358174901</v>
      </c>
    </row>
    <row r="4553" spans="1:40" x14ac:dyDescent="0.25">
      <c r="A4553" t="str">
        <f>"20190312151406577"</f>
        <v>20190312151406577</v>
      </c>
      <c r="B4553" t="str">
        <f>"1552374846564647"</f>
        <v>1552374846564647</v>
      </c>
      <c r="C4553" t="s">
        <v>40</v>
      </c>
      <c r="D4553">
        <v>4.6340159999999999</v>
      </c>
      <c r="E4553">
        <v>0.52442809999999995</v>
      </c>
      <c r="F4553" t="s">
        <v>42</v>
      </c>
      <c r="G4553">
        <v>-421.6583</v>
      </c>
      <c r="H4553" s="1">
        <v>-1.465263E-6</v>
      </c>
      <c r="I4553">
        <v>51.976170000000003</v>
      </c>
      <c r="J4553">
        <v>-423.27</v>
      </c>
      <c r="K4553">
        <v>1.1107670000000001</v>
      </c>
      <c r="L4553">
        <v>63.486759999999997</v>
      </c>
      <c r="M4553">
        <v>1.1904649999999999E-3</v>
      </c>
      <c r="N4553">
        <v>0</v>
      </c>
      <c r="O4553">
        <v>-0.99990389999999996</v>
      </c>
      <c r="P4553">
        <v>0.1980953</v>
      </c>
      <c r="Q4553">
        <v>5.2718830000000001E-2</v>
      </c>
      <c r="R4553">
        <v>-0.97876419999999997</v>
      </c>
      <c r="S4553">
        <v>0.41113280000000002</v>
      </c>
      <c r="T4553">
        <v>-0.28318660000000001</v>
      </c>
      <c r="U4553">
        <v>-2.996918</v>
      </c>
      <c r="V4553">
        <v>-0.19699359999999999</v>
      </c>
      <c r="W4553">
        <v>6.6058489999999997E-2</v>
      </c>
      <c r="X4553">
        <v>0.97817679999999996</v>
      </c>
      <c r="Y4553">
        <v>-0.13414089999999901</v>
      </c>
      <c r="Z4553">
        <v>9.3215679999999995E-2</v>
      </c>
      <c r="AA4553">
        <v>0.98656829999999995</v>
      </c>
      <c r="AB4553">
        <v>24</v>
      </c>
      <c r="AC4553">
        <v>1.6116999999999799</v>
      </c>
      <c r="AD4553">
        <v>-1.1107684652629899</v>
      </c>
      <c r="AE4553">
        <v>-11.510589999999899</v>
      </c>
      <c r="AF4553">
        <v>-1.5835319859669099</v>
      </c>
      <c r="AG4553">
        <v>-1.1107684652629899</v>
      </c>
      <c r="AH4553">
        <v>11.408307098984301</v>
      </c>
      <c r="AI4553">
        <v>95.508584218067398</v>
      </c>
      <c r="AJ4553">
        <v>97.902456588720995</v>
      </c>
      <c r="AK4553">
        <v>11.5711214235586</v>
      </c>
      <c r="AL4553">
        <v>86.212369316052801</v>
      </c>
      <c r="AM4553">
        <v>101.386409720003</v>
      </c>
      <c r="AN4553">
        <v>1.0000000273001299</v>
      </c>
    </row>
    <row r="4554" spans="1:40" x14ac:dyDescent="0.25">
      <c r="A4554" t="str">
        <f>"20190312151406601"</f>
        <v>20190312151406601</v>
      </c>
      <c r="B4554" t="str">
        <f>"1552374846594903"</f>
        <v>1552374846594903</v>
      </c>
      <c r="C4554" t="s">
        <v>40</v>
      </c>
      <c r="D4554">
        <v>4.631087</v>
      </c>
      <c r="E4554">
        <v>0.52432119999999904</v>
      </c>
      <c r="F4554" t="s">
        <v>42</v>
      </c>
      <c r="G4554">
        <v>-421.63990000000001</v>
      </c>
      <c r="H4554" s="1">
        <v>-1.4056729999999901E-6</v>
      </c>
      <c r="I4554">
        <v>51.848680000000002</v>
      </c>
      <c r="J4554">
        <v>-423.26889999999997</v>
      </c>
      <c r="K4554">
        <v>1.1108549999999999</v>
      </c>
      <c r="L4554">
        <v>63.226010000000002</v>
      </c>
      <c r="M4554">
        <v>1.980837E-3</v>
      </c>
      <c r="N4554">
        <v>0</v>
      </c>
      <c r="O4554">
        <v>-0.99990239999999997</v>
      </c>
      <c r="P4554">
        <v>0.2020565</v>
      </c>
      <c r="Q4554">
        <v>5.2379849999999999E-2</v>
      </c>
      <c r="R4554">
        <v>-0.97797210000000001</v>
      </c>
      <c r="S4554">
        <v>0.41958620000000002</v>
      </c>
      <c r="T4554">
        <v>-0.28590549999999998</v>
      </c>
      <c r="U4554">
        <v>-2.9955750000000001</v>
      </c>
      <c r="V4554">
        <v>-0.20019509999999999</v>
      </c>
      <c r="W4554">
        <v>6.5666909999999995E-2</v>
      </c>
      <c r="X4554">
        <v>0.97755300000000001</v>
      </c>
      <c r="Y4554">
        <v>-0.1361367</v>
      </c>
      <c r="Z4554">
        <v>9.4113080000000002E-2</v>
      </c>
      <c r="AA4554">
        <v>0.98620969999999997</v>
      </c>
      <c r="AB4554">
        <v>24</v>
      </c>
      <c r="AC4554">
        <v>1.62899999999996</v>
      </c>
      <c r="AD4554">
        <v>-1.1108564056729999</v>
      </c>
      <c r="AE4554">
        <v>-11.377329999999899</v>
      </c>
      <c r="AF4554">
        <v>-1.5915899904197</v>
      </c>
      <c r="AG4554">
        <v>-1.1108564056729999</v>
      </c>
      <c r="AH4554">
        <v>11.275206129695</v>
      </c>
      <c r="AI4554">
        <v>95.571853991363398</v>
      </c>
      <c r="AJ4554">
        <v>98.034695240610603</v>
      </c>
      <c r="AK4554">
        <v>11.4410416448303</v>
      </c>
      <c r="AL4554">
        <v>86.234854082813001</v>
      </c>
      <c r="AM4554">
        <v>101.573692584019</v>
      </c>
      <c r="AN4554">
        <v>1.00000004447097</v>
      </c>
    </row>
    <row r="4555" spans="1:40" x14ac:dyDescent="0.25">
      <c r="A4555" t="str">
        <f>"20190312151406624"</f>
        <v>20190312151406624</v>
      </c>
      <c r="B4555" t="str">
        <f>"1552374846615399"</f>
        <v>1552374846615399</v>
      </c>
      <c r="C4555" t="s">
        <v>40</v>
      </c>
      <c r="D4555">
        <v>4.6347559999999897</v>
      </c>
      <c r="E4555">
        <v>0.52426059999999997</v>
      </c>
      <c r="F4555" t="s">
        <v>42</v>
      </c>
      <c r="G4555">
        <v>-421.60329999999999</v>
      </c>
      <c r="H4555" s="1">
        <v>-1.3154299999999999E-6</v>
      </c>
      <c r="I4555">
        <v>51.661000000000001</v>
      </c>
      <c r="J4555">
        <v>-423.26749999999998</v>
      </c>
      <c r="K4555">
        <v>1.1109500000000001</v>
      </c>
      <c r="L4555">
        <v>62.984409999999997</v>
      </c>
      <c r="M4555">
        <v>2.8366160000000001E-3</v>
      </c>
      <c r="N4555">
        <v>0</v>
      </c>
      <c r="O4555">
        <v>-0.99990049999999997</v>
      </c>
      <c r="P4555">
        <v>0.20567289999999999</v>
      </c>
      <c r="Q4555">
        <v>5.4010549999999997E-2</v>
      </c>
      <c r="R4555">
        <v>-0.97712920000000003</v>
      </c>
      <c r="S4555">
        <v>0.43118289999999998</v>
      </c>
      <c r="T4555">
        <v>-0.28757329999999998</v>
      </c>
      <c r="U4555">
        <v>-2.9938959999999999</v>
      </c>
      <c r="V4555">
        <v>-0.20299249999999999</v>
      </c>
      <c r="W4555">
        <v>6.724223E-2</v>
      </c>
      <c r="X4555">
        <v>0.97686870000000003</v>
      </c>
      <c r="Y4555">
        <v>-0.13910129999999901</v>
      </c>
      <c r="Z4555">
        <v>9.4663929999999993E-2</v>
      </c>
      <c r="AA4555">
        <v>0.98574320000000004</v>
      </c>
      <c r="AB4555">
        <v>24</v>
      </c>
      <c r="AC4555">
        <v>1.6641999999999899</v>
      </c>
      <c r="AD4555">
        <v>-1.1109513154299999</v>
      </c>
      <c r="AE4555">
        <v>-11.3234099999999</v>
      </c>
      <c r="AF4555">
        <v>-1.6168358380398</v>
      </c>
      <c r="AG4555">
        <v>-1.1109513154299999</v>
      </c>
      <c r="AH4555">
        <v>11.222345828489299</v>
      </c>
      <c r="AI4555">
        <v>95.596142200988197</v>
      </c>
      <c r="AJ4555">
        <v>98.198354951452401</v>
      </c>
      <c r="AK4555">
        <v>11.392515826042899</v>
      </c>
      <c r="AL4555">
        <v>86.144394617974996</v>
      </c>
      <c r="AM4555">
        <v>101.73895331600799</v>
      </c>
      <c r="AN4555">
        <v>0.99999996479565501</v>
      </c>
    </row>
    <row r="4556" spans="1:40" x14ac:dyDescent="0.25">
      <c r="A4556" t="str">
        <f>"20190312151406644"</f>
        <v>20190312151406644</v>
      </c>
      <c r="B4556" t="str">
        <f>"1552374846634919"</f>
        <v>1552374846634919</v>
      </c>
      <c r="C4556" t="s">
        <v>40</v>
      </c>
      <c r="D4556">
        <v>4.8695890000000004</v>
      </c>
      <c r="E4556">
        <v>0.52425999999999995</v>
      </c>
      <c r="F4556" t="s">
        <v>42</v>
      </c>
      <c r="G4556">
        <v>-421.5301</v>
      </c>
      <c r="H4556" s="1">
        <v>-1.116414E-6</v>
      </c>
      <c r="I4556">
        <v>51.2425</v>
      </c>
      <c r="J4556">
        <v>-423.26589999999999</v>
      </c>
      <c r="K4556">
        <v>1.111038</v>
      </c>
      <c r="L4556">
        <v>62.762210000000003</v>
      </c>
      <c r="M4556">
        <v>3.735787E-3</v>
      </c>
      <c r="N4556">
        <v>0</v>
      </c>
      <c r="O4556">
        <v>-0.99989749999999999</v>
      </c>
      <c r="P4556">
        <v>0.20818780000000001</v>
      </c>
      <c r="Q4556">
        <v>5.5736430000000003E-2</v>
      </c>
      <c r="R4556">
        <v>-0.97650000000000003</v>
      </c>
      <c r="S4556">
        <v>0.44281009999999998</v>
      </c>
      <c r="T4556">
        <v>-0.28314980000000001</v>
      </c>
      <c r="U4556">
        <v>-2.9926759999999999</v>
      </c>
      <c r="V4556">
        <v>-0.20464660000000001</v>
      </c>
      <c r="W4556">
        <v>6.8917740000000005E-2</v>
      </c>
      <c r="X4556">
        <v>0.97640680000000002</v>
      </c>
      <c r="Y4556">
        <v>-0.14203689999999999</v>
      </c>
      <c r="Z4556">
        <v>9.3212249999999996E-2</v>
      </c>
      <c r="AA4556">
        <v>0.98546279999999997</v>
      </c>
      <c r="AB4556">
        <v>24</v>
      </c>
      <c r="AC4556">
        <v>1.73579999999998</v>
      </c>
      <c r="AD4556">
        <v>-1.1110391164140001</v>
      </c>
      <c r="AE4556">
        <v>-11.5197099999999</v>
      </c>
      <c r="AF4556">
        <v>-1.67749101496499</v>
      </c>
      <c r="AG4556">
        <v>-1.1110391164140001</v>
      </c>
      <c r="AH4556">
        <v>11.4222242524656</v>
      </c>
      <c r="AI4556">
        <v>95.49708113877</v>
      </c>
      <c r="AJ4556">
        <v>98.354848929967105</v>
      </c>
      <c r="AK4556">
        <v>11.598085656568699</v>
      </c>
      <c r="AL4556">
        <v>86.048172088034605</v>
      </c>
      <c r="AM4556">
        <v>101.837362453938</v>
      </c>
      <c r="AN4556">
        <v>1.00000006243225</v>
      </c>
    </row>
    <row r="4557" spans="1:40" x14ac:dyDescent="0.25">
      <c r="A4557" t="str">
        <f>"20190312151406667"</f>
        <v>20190312151406667</v>
      </c>
      <c r="B4557" t="str">
        <f>"1552374846655415"</f>
        <v>1552374846655415</v>
      </c>
      <c r="C4557" t="s">
        <v>40</v>
      </c>
      <c r="D4557">
        <v>4.6237180000000002</v>
      </c>
      <c r="E4557">
        <v>0.52422000000000002</v>
      </c>
      <c r="F4557" t="s">
        <v>42</v>
      </c>
      <c r="G4557">
        <v>-421.47</v>
      </c>
      <c r="H4557" s="1">
        <v>-9.3320140000000001E-7</v>
      </c>
      <c r="I4557">
        <v>50.852690000000003</v>
      </c>
      <c r="J4557">
        <v>-423.26369999999997</v>
      </c>
      <c r="K4557">
        <v>1.1111340000000001</v>
      </c>
      <c r="L4557">
        <v>62.512700000000002</v>
      </c>
      <c r="M4557">
        <v>4.873718E-3</v>
      </c>
      <c r="N4557">
        <v>0</v>
      </c>
      <c r="O4557">
        <v>-0.99989260000000002</v>
      </c>
      <c r="P4557">
        <v>0.21001359999999999</v>
      </c>
      <c r="Q4557">
        <v>5.6948070000000003E-2</v>
      </c>
      <c r="R4557">
        <v>-0.97603859999999998</v>
      </c>
      <c r="S4557">
        <v>0.45117190000000001</v>
      </c>
      <c r="T4557">
        <v>-0.27911829999999999</v>
      </c>
      <c r="U4557">
        <v>-2.991943</v>
      </c>
      <c r="V4557">
        <v>-0.20538000000000001</v>
      </c>
      <c r="W4557">
        <v>7.0078420000000002E-2</v>
      </c>
      <c r="X4557">
        <v>0.97617010000000004</v>
      </c>
      <c r="Y4557">
        <v>-0.1436576</v>
      </c>
      <c r="Z4557">
        <v>9.1888360000000002E-2</v>
      </c>
      <c r="AA4557">
        <v>0.98535220000000001</v>
      </c>
      <c r="AB4557">
        <v>24</v>
      </c>
      <c r="AC4557">
        <v>1.7936999999999399</v>
      </c>
      <c r="AD4557">
        <v>-1.1111349332014</v>
      </c>
      <c r="AE4557">
        <v>-11.66001</v>
      </c>
      <c r="AF4557">
        <v>-1.7215733947284799</v>
      </c>
      <c r="AG4557">
        <v>-1.1111349332014</v>
      </c>
      <c r="AH4557">
        <v>11.566010948242701</v>
      </c>
      <c r="AI4557">
        <v>95.428068255545298</v>
      </c>
      <c r="AJ4557">
        <v>98.466182046205404</v>
      </c>
      <c r="AK4557">
        <v>11.746107655223</v>
      </c>
      <c r="AL4557">
        <v>85.981508572569894</v>
      </c>
      <c r="AM4557">
        <v>101.881379793931</v>
      </c>
      <c r="AN4557">
        <v>0.99999999674185303</v>
      </c>
    </row>
    <row r="4558" spans="1:40" x14ac:dyDescent="0.25">
      <c r="A4558" t="str">
        <f>"20190312151406688"</f>
        <v>20190312151406688</v>
      </c>
      <c r="B4558" t="str">
        <f>"1552374846684695"</f>
        <v>1552374846684695</v>
      </c>
      <c r="C4558" t="s">
        <v>40</v>
      </c>
      <c r="D4558">
        <v>4.5295399999999999</v>
      </c>
      <c r="E4558">
        <v>0.52418399999999998</v>
      </c>
      <c r="F4558" t="s">
        <v>42</v>
      </c>
      <c r="G4558">
        <v>-421.42520000000002</v>
      </c>
      <c r="H4558" s="1">
        <v>-7.6304039999999995E-7</v>
      </c>
      <c r="I4558">
        <v>50.483820000000001</v>
      </c>
      <c r="J4558">
        <v>-423.26130000000001</v>
      </c>
      <c r="K4558">
        <v>1.1112120000000001</v>
      </c>
      <c r="L4558">
        <v>62.279789999999998</v>
      </c>
      <c r="M4558">
        <v>6.0564869999999897E-3</v>
      </c>
      <c r="N4558">
        <v>0</v>
      </c>
      <c r="O4558">
        <v>-0.99988630000000001</v>
      </c>
      <c r="P4558">
        <v>0.21127109999999999</v>
      </c>
      <c r="Q4558">
        <v>5.724195E-2</v>
      </c>
      <c r="R4558">
        <v>-0.97575020000000001</v>
      </c>
      <c r="S4558">
        <v>0.45721440000000002</v>
      </c>
      <c r="T4558">
        <v>-0.27632200000000001</v>
      </c>
      <c r="U4558">
        <v>-2.9913940000000001</v>
      </c>
      <c r="V4558">
        <v>-0.20549690000000001</v>
      </c>
      <c r="W4558">
        <v>7.0331950000000004E-2</v>
      </c>
      <c r="X4558">
        <v>0.97612730000000003</v>
      </c>
      <c r="Y4558">
        <v>-0.14447189999999999</v>
      </c>
      <c r="Z4558">
        <v>9.0972029999999995E-2</v>
      </c>
      <c r="AA4558">
        <v>0.98531820000000003</v>
      </c>
      <c r="AB4558">
        <v>24</v>
      </c>
      <c r="AC4558">
        <v>1.8360999999999801</v>
      </c>
      <c r="AD4558">
        <v>-1.1112127630403901</v>
      </c>
      <c r="AE4558">
        <v>-11.795970000000001</v>
      </c>
      <c r="AF4558">
        <v>-1.74945963419054</v>
      </c>
      <c r="AG4558">
        <v>-1.1112127630403901</v>
      </c>
      <c r="AH4558">
        <v>11.7054561492304</v>
      </c>
      <c r="AI4558">
        <v>95.363683526529101</v>
      </c>
      <c r="AJ4558">
        <v>98.500323138817805</v>
      </c>
      <c r="AK4558">
        <v>11.887518937017999</v>
      </c>
      <c r="AL4558">
        <v>85.966946586756407</v>
      </c>
      <c r="AM4558">
        <v>101.888456585645</v>
      </c>
      <c r="AN4558">
        <v>1.00000003245285</v>
      </c>
    </row>
    <row r="4559" spans="1:40" x14ac:dyDescent="0.25">
      <c r="A4559" t="str">
        <f>"20190312151406711"</f>
        <v>20190312151406711</v>
      </c>
      <c r="B4559" t="str">
        <f>"1552374846705191"</f>
        <v>1552374846705191</v>
      </c>
      <c r="C4559" t="s">
        <v>40</v>
      </c>
      <c r="D4559">
        <v>4.4742119999999996</v>
      </c>
      <c r="E4559">
        <v>0.52418240000000005</v>
      </c>
      <c r="F4559" t="s">
        <v>42</v>
      </c>
      <c r="G4559">
        <v>-421.40370000000001</v>
      </c>
      <c r="H4559" s="1">
        <v>-6.620139E-7</v>
      </c>
      <c r="I4559">
        <v>50.26164</v>
      </c>
      <c r="J4559">
        <v>-423.25830000000002</v>
      </c>
      <c r="K4559">
        <v>1.111278</v>
      </c>
      <c r="L4559">
        <v>62.034419999999997</v>
      </c>
      <c r="M4559">
        <v>7.3988469999999897E-3</v>
      </c>
      <c r="N4559">
        <v>0</v>
      </c>
      <c r="O4559">
        <v>-0.99987700000000002</v>
      </c>
      <c r="P4559">
        <v>0.21181120000000001</v>
      </c>
      <c r="Q4559">
        <v>5.6765959999999997E-2</v>
      </c>
      <c r="R4559">
        <v>-0.97566079999999999</v>
      </c>
      <c r="S4559">
        <v>0.46224979999999899</v>
      </c>
      <c r="T4559">
        <v>-0.27652320000000002</v>
      </c>
      <c r="U4559">
        <v>-2.9906920000000001</v>
      </c>
      <c r="V4559">
        <v>-0.2047361</v>
      </c>
      <c r="W4559">
        <v>6.9827260000000002E-2</v>
      </c>
      <c r="X4559">
        <v>0.97632339999999995</v>
      </c>
      <c r="Y4559">
        <v>-0.14479790000000001</v>
      </c>
      <c r="Z4559">
        <v>9.1043780000000005E-2</v>
      </c>
      <c r="AA4559">
        <v>0.98526369999999996</v>
      </c>
      <c r="AB4559">
        <v>24</v>
      </c>
      <c r="AC4559">
        <v>1.8546</v>
      </c>
      <c r="AD4559">
        <v>-1.1112786620138999</v>
      </c>
      <c r="AE4559">
        <v>-11.7727799999999</v>
      </c>
      <c r="AF4559">
        <v>-1.75220148322548</v>
      </c>
      <c r="AG4559">
        <v>-1.1112786620138999</v>
      </c>
      <c r="AH4559">
        <v>11.6845899147522</v>
      </c>
      <c r="AI4559">
        <v>95.373130408486105</v>
      </c>
      <c r="AJ4559">
        <v>98.528430103809896</v>
      </c>
      <c r="AK4559">
        <v>11.867383527062399</v>
      </c>
      <c r="AL4559">
        <v>85.995934529523794</v>
      </c>
      <c r="AM4559">
        <v>101.84337628055999</v>
      </c>
      <c r="AN4559">
        <v>1.0000000491349299</v>
      </c>
    </row>
    <row r="4560" spans="1:40" x14ac:dyDescent="0.25">
      <c r="A4560" t="str">
        <f>"20190312151406733"</f>
        <v>20190312151406733</v>
      </c>
      <c r="B4560" t="str">
        <f>"1552374846724711"</f>
        <v>1552374846724711</v>
      </c>
      <c r="C4560" t="s">
        <v>40</v>
      </c>
      <c r="D4560">
        <v>4.4004469999999998</v>
      </c>
      <c r="E4560">
        <v>0.52415999999999996</v>
      </c>
      <c r="F4560" t="s">
        <v>42</v>
      </c>
      <c r="G4560">
        <v>-421.40609999999998</v>
      </c>
      <c r="H4560" s="1">
        <v>-5.9685969999999998E-7</v>
      </c>
      <c r="I4560">
        <v>50.108310000000003</v>
      </c>
      <c r="J4560">
        <v>-423.255</v>
      </c>
      <c r="K4560">
        <v>1.111321</v>
      </c>
      <c r="L4560">
        <v>61.796599999999998</v>
      </c>
      <c r="M4560">
        <v>8.7797250000000004E-3</v>
      </c>
      <c r="N4560">
        <v>0</v>
      </c>
      <c r="O4560">
        <v>-0.99986620000000004</v>
      </c>
      <c r="P4560">
        <v>0.2127358</v>
      </c>
      <c r="Q4560">
        <v>5.615742E-2</v>
      </c>
      <c r="R4560">
        <v>-0.97549490000000005</v>
      </c>
      <c r="S4560">
        <v>0.46441650000000001</v>
      </c>
      <c r="T4560">
        <v>-0.27863090000000001</v>
      </c>
      <c r="U4560">
        <v>-2.9902340000000001</v>
      </c>
      <c r="V4560">
        <v>-0.2043191</v>
      </c>
      <c r="W4560">
        <v>6.919699E-2</v>
      </c>
      <c r="X4560">
        <v>0.97645559999999998</v>
      </c>
      <c r="Y4560">
        <v>-0.14414160000000001</v>
      </c>
      <c r="Z4560">
        <v>9.1743450000000004E-2</v>
      </c>
      <c r="AA4560">
        <v>0.98529509999999998</v>
      </c>
      <c r="AB4560">
        <v>24</v>
      </c>
      <c r="AC4560">
        <v>1.84890000000001</v>
      </c>
      <c r="AD4560">
        <v>-1.1113215968596999</v>
      </c>
      <c r="AE4560">
        <v>-11.68829</v>
      </c>
      <c r="AF4560">
        <v>-1.7309330021201399</v>
      </c>
      <c r="AG4560">
        <v>-1.1113215968596999</v>
      </c>
      <c r="AH4560">
        <v>11.601752067640099</v>
      </c>
      <c r="AI4560">
        <v>95.412076204967505</v>
      </c>
      <c r="AJ4560">
        <v>98.485698512216402</v>
      </c>
      <c r="AK4560">
        <v>11.782691364389899</v>
      </c>
      <c r="AL4560">
        <v>86.032133819359103</v>
      </c>
      <c r="AM4560">
        <v>101.818378064748</v>
      </c>
      <c r="AN4560">
        <v>1.0000000284106101</v>
      </c>
    </row>
    <row r="4561" spans="1:40" x14ac:dyDescent="0.25">
      <c r="A4561" t="str">
        <f>"20190312151406755"</f>
        <v>20190312151406755</v>
      </c>
      <c r="B4561" t="str">
        <f>"1552374846745207"</f>
        <v>1552374846745207</v>
      </c>
      <c r="C4561" t="s">
        <v>40</v>
      </c>
      <c r="D4561">
        <v>4.3014279999999996</v>
      </c>
      <c r="E4561">
        <v>0.52417259999999999</v>
      </c>
      <c r="F4561" t="s">
        <v>42</v>
      </c>
      <c r="G4561">
        <v>-421.40249999999997</v>
      </c>
      <c r="H4561" s="1">
        <v>-5.3619569999999896E-7</v>
      </c>
      <c r="I4561">
        <v>49.969140000000003</v>
      </c>
      <c r="J4561">
        <v>-423.25119999999998</v>
      </c>
      <c r="K4561">
        <v>1.1113489999999999</v>
      </c>
      <c r="L4561">
        <v>61.553710000000002</v>
      </c>
      <c r="M4561">
        <v>1.0258639999999999E-2</v>
      </c>
      <c r="N4561">
        <v>0</v>
      </c>
      <c r="O4561">
        <v>-0.99985190000000002</v>
      </c>
      <c r="P4561">
        <v>0.21360119999999999</v>
      </c>
      <c r="Q4561">
        <v>5.3392729999999999E-2</v>
      </c>
      <c r="R4561">
        <v>-0.97546109999999997</v>
      </c>
      <c r="S4561">
        <v>0.46823120000000001</v>
      </c>
      <c r="T4561">
        <v>-0.28088829999999998</v>
      </c>
      <c r="U4561">
        <v>-2.9894099999999999</v>
      </c>
      <c r="V4561">
        <v>-0.20373830000000001</v>
      </c>
      <c r="W4561">
        <v>6.641772E-2</v>
      </c>
      <c r="X4561">
        <v>0.97676989999999997</v>
      </c>
      <c r="Y4561">
        <v>-0.14393590000000001</v>
      </c>
      <c r="Z4561">
        <v>9.2495830000000001E-2</v>
      </c>
      <c r="AA4561">
        <v>0.98525479999999999</v>
      </c>
      <c r="AB4561">
        <v>24</v>
      </c>
      <c r="AC4561">
        <v>1.8487</v>
      </c>
      <c r="AD4561">
        <v>-1.1113495361957</v>
      </c>
      <c r="AE4561">
        <v>-11.5845699999999</v>
      </c>
      <c r="AF4561">
        <v>-1.7143635217925399</v>
      </c>
      <c r="AG4561">
        <v>-1.1113495361957</v>
      </c>
      <c r="AH4561">
        <v>11.4997207050691</v>
      </c>
      <c r="AI4561">
        <v>95.460035158865793</v>
      </c>
      <c r="AJ4561">
        <v>98.479134137240095</v>
      </c>
      <c r="AK4561">
        <v>11.679799500464499</v>
      </c>
      <c r="AL4561">
        <v>86.191741635615301</v>
      </c>
      <c r="AM4561">
        <v>101.78203762200199</v>
      </c>
      <c r="AN4561">
        <v>1.0000000229814401</v>
      </c>
    </row>
    <row r="4562" spans="1:40" x14ac:dyDescent="0.25">
      <c r="A4562" t="str">
        <f>"20190312151406777"</f>
        <v>20190312151406777</v>
      </c>
      <c r="B4562" t="str">
        <f>"1552374846764727"</f>
        <v>1552374846764727</v>
      </c>
      <c r="C4562" t="s">
        <v>40</v>
      </c>
      <c r="D4562">
        <v>4.2108530000000002</v>
      </c>
      <c r="E4562">
        <v>0.52417579999999997</v>
      </c>
      <c r="F4562" t="s">
        <v>42</v>
      </c>
      <c r="G4562">
        <v>-421.44450000000001</v>
      </c>
      <c r="H4562" s="1">
        <v>-5.8919949999999999E-7</v>
      </c>
      <c r="I4562">
        <v>50.066650000000003</v>
      </c>
      <c r="J4562">
        <v>-423.24720000000002</v>
      </c>
      <c r="K4562">
        <v>1.1113729999999999</v>
      </c>
      <c r="L4562">
        <v>61.322659999999999</v>
      </c>
      <c r="M4562">
        <v>1.171324E-2</v>
      </c>
      <c r="N4562">
        <v>0</v>
      </c>
      <c r="O4562">
        <v>-0.99983630000000001</v>
      </c>
      <c r="P4562">
        <v>0.215312</v>
      </c>
      <c r="Q4562">
        <v>5.192219E-2</v>
      </c>
      <c r="R4562">
        <v>-0.97516449999999999</v>
      </c>
      <c r="S4562">
        <v>0.4700317</v>
      </c>
      <c r="T4562">
        <v>-0.28911890000000001</v>
      </c>
      <c r="U4562">
        <v>-2.9883730000000002</v>
      </c>
      <c r="V4562">
        <v>-0.20403170000000001</v>
      </c>
      <c r="W4562">
        <v>6.4931760000000005E-2</v>
      </c>
      <c r="X4562">
        <v>0.97680849999999997</v>
      </c>
      <c r="Y4562">
        <v>-0.1430882</v>
      </c>
      <c r="Z4562">
        <v>9.5213259999999994E-2</v>
      </c>
      <c r="AA4562">
        <v>0.98511939999999998</v>
      </c>
      <c r="AB4562">
        <v>24</v>
      </c>
      <c r="AC4562">
        <v>1.80270000000001</v>
      </c>
      <c r="AD4562">
        <v>-1.1113735891995</v>
      </c>
      <c r="AE4562">
        <v>-11.2560099999999</v>
      </c>
      <c r="AF4562">
        <v>-1.6549887491621</v>
      </c>
      <c r="AG4562">
        <v>-1.1113735891995</v>
      </c>
      <c r="AH4562">
        <v>11.170182512995201</v>
      </c>
      <c r="AI4562">
        <v>95.620964135152605</v>
      </c>
      <c r="AJ4562">
        <v>98.427706315893204</v>
      </c>
      <c r="AK4562">
        <v>11.3466786500829</v>
      </c>
      <c r="AL4562">
        <v>86.277064837832995</v>
      </c>
      <c r="AM4562">
        <v>101.79807628809</v>
      </c>
      <c r="AN4562">
        <v>0.99999995686691701</v>
      </c>
    </row>
    <row r="4563" spans="1:40" x14ac:dyDescent="0.25">
      <c r="A4563" t="str">
        <f>"20190312151406801"</f>
        <v>20190312151406801</v>
      </c>
      <c r="B4563" t="str">
        <f>"1552374846794984"</f>
        <v>1552374846794984</v>
      </c>
      <c r="C4563" t="s">
        <v>40</v>
      </c>
      <c r="D4563">
        <v>4.1816950000000004</v>
      </c>
      <c r="E4563">
        <v>0.5242078</v>
      </c>
      <c r="F4563" t="s">
        <v>42</v>
      </c>
      <c r="G4563">
        <v>-421.44549999999998</v>
      </c>
      <c r="H4563" s="1">
        <v>-5.6191709999999995E-7</v>
      </c>
      <c r="I4563">
        <v>50.002389999999998</v>
      </c>
      <c r="J4563">
        <v>-423.24250000000001</v>
      </c>
      <c r="K4563">
        <v>1.1113949999999999</v>
      </c>
      <c r="L4563">
        <v>61.069699999999997</v>
      </c>
      <c r="M4563">
        <v>1.334053E-2</v>
      </c>
      <c r="N4563">
        <v>0</v>
      </c>
      <c r="O4563">
        <v>-0.99981589999999998</v>
      </c>
      <c r="P4563">
        <v>0.21719379999999999</v>
      </c>
      <c r="Q4563">
        <v>5.1734240000000001E-2</v>
      </c>
      <c r="R4563">
        <v>-0.97475730000000005</v>
      </c>
      <c r="S4563">
        <v>0.47540280000000001</v>
      </c>
      <c r="T4563">
        <v>-0.29325319999999999</v>
      </c>
      <c r="U4563">
        <v>-2.9870299999999999</v>
      </c>
      <c r="V4563">
        <v>-0.20433019999999999</v>
      </c>
      <c r="W4563">
        <v>6.4729060000000005E-2</v>
      </c>
      <c r="X4563">
        <v>0.97675959999999995</v>
      </c>
      <c r="Y4563">
        <v>-0.14325289999999999</v>
      </c>
      <c r="Z4563">
        <v>9.6587080000000006E-2</v>
      </c>
      <c r="AA4563">
        <v>0.98496170000000005</v>
      </c>
      <c r="AB4563">
        <v>24</v>
      </c>
      <c r="AC4563">
        <v>1.7970000000000199</v>
      </c>
      <c r="AD4563">
        <v>-1.1113955619171001</v>
      </c>
      <c r="AE4563">
        <v>-11.0673099999999</v>
      </c>
      <c r="AF4563">
        <v>-1.63313596347115</v>
      </c>
      <c r="AG4563">
        <v>-1.1113955619171001</v>
      </c>
      <c r="AH4563">
        <v>10.982393378069601</v>
      </c>
      <c r="AI4563">
        <v>95.716110292170697</v>
      </c>
      <c r="AJ4563">
        <v>98.458182238640902</v>
      </c>
      <c r="AK4563">
        <v>11.158642277665299</v>
      </c>
      <c r="AL4563">
        <v>86.288703333129206</v>
      </c>
      <c r="AM4563">
        <v>101.815427013507</v>
      </c>
      <c r="AN4563">
        <v>0.99999999901634096</v>
      </c>
    </row>
    <row r="4564" spans="1:40" x14ac:dyDescent="0.25">
      <c r="A4564" t="str">
        <f>"20190312151406826"</f>
        <v>20190312151406826</v>
      </c>
      <c r="B4564" t="str">
        <f>"1552374846815479"</f>
        <v>1552374846815479</v>
      </c>
      <c r="C4564" t="s">
        <v>40</v>
      </c>
      <c r="D4564">
        <v>4.1098600000000003</v>
      </c>
      <c r="E4564">
        <v>0.52421600000000002</v>
      </c>
      <c r="F4564" t="s">
        <v>42</v>
      </c>
      <c r="G4564">
        <v>-421.41750000000002</v>
      </c>
      <c r="H4564" s="1">
        <v>-4.3714979999999998E-7</v>
      </c>
      <c r="I4564">
        <v>49.728920000000002</v>
      </c>
      <c r="J4564">
        <v>-423.2371</v>
      </c>
      <c r="K4564">
        <v>1.111416</v>
      </c>
      <c r="L4564">
        <v>60.808689999999999</v>
      </c>
      <c r="M4564">
        <v>1.504084E-2</v>
      </c>
      <c r="N4564">
        <v>0</v>
      </c>
      <c r="O4564">
        <v>-0.9997914</v>
      </c>
      <c r="P4564">
        <v>0.21944279999999999</v>
      </c>
      <c r="Q4564">
        <v>5.2716480000000003E-2</v>
      </c>
      <c r="R4564">
        <v>-0.97420010000000001</v>
      </c>
      <c r="S4564">
        <v>0.48052980000000001</v>
      </c>
      <c r="T4564">
        <v>-0.29264499999999999</v>
      </c>
      <c r="U4564">
        <v>-2.9861759999999999</v>
      </c>
      <c r="V4564">
        <v>-0.20492959999999999</v>
      </c>
      <c r="W4564">
        <v>6.5698300000000001E-2</v>
      </c>
      <c r="X4564">
        <v>0.97656929999999997</v>
      </c>
      <c r="Y4564">
        <v>-0.14326549999999999</v>
      </c>
      <c r="Z4564">
        <v>9.6399189999999996E-2</v>
      </c>
      <c r="AA4564">
        <v>0.98497829999999997</v>
      </c>
      <c r="AB4564">
        <v>24</v>
      </c>
      <c r="AC4564">
        <v>1.8195999999999799</v>
      </c>
      <c r="AD4564">
        <v>-1.1114164371498001</v>
      </c>
      <c r="AE4564">
        <v>-11.07977</v>
      </c>
      <c r="AF4564">
        <v>-1.6366929727097199</v>
      </c>
      <c r="AG4564">
        <v>-1.1114164371498001</v>
      </c>
      <c r="AH4564">
        <v>10.998128500001201</v>
      </c>
      <c r="AI4564">
        <v>95.708001419149795</v>
      </c>
      <c r="AJ4564">
        <v>98.464385655465506</v>
      </c>
      <c r="AK4564">
        <v>11.1746517120769</v>
      </c>
      <c r="AL4564">
        <v>86.233051518396806</v>
      </c>
      <c r="AM4564">
        <v>101.851352643987</v>
      </c>
      <c r="AN4564">
        <v>1.00000000264077</v>
      </c>
    </row>
    <row r="4565" spans="1:40" x14ac:dyDescent="0.25">
      <c r="A4565" t="str">
        <f>"20190312151406848"</f>
        <v>20190312151406848</v>
      </c>
      <c r="B4565" t="str">
        <f>"1552374846835000"</f>
        <v>1552374846835000</v>
      </c>
      <c r="C4565" t="s">
        <v>40</v>
      </c>
      <c r="D4565">
        <v>4.0555539999999999</v>
      </c>
      <c r="E4565">
        <v>0.53742179999999995</v>
      </c>
      <c r="F4565" t="s">
        <v>42</v>
      </c>
      <c r="G4565">
        <v>-421.36470000000003</v>
      </c>
      <c r="H4565" s="1">
        <v>-4.4463850000000001E-6</v>
      </c>
      <c r="I4565">
        <v>49.341320000000003</v>
      </c>
      <c r="J4565">
        <v>-423.23169999999999</v>
      </c>
      <c r="K4565">
        <v>1.111429</v>
      </c>
      <c r="L4565">
        <v>60.571260000000002</v>
      </c>
      <c r="M4565">
        <v>1.6597130000000002E-2</v>
      </c>
      <c r="N4565">
        <v>0</v>
      </c>
      <c r="O4565">
        <v>-0.99976710000000002</v>
      </c>
      <c r="P4565">
        <v>0.22083820000000001</v>
      </c>
      <c r="Q4565">
        <v>5.3638779999999997E-2</v>
      </c>
      <c r="R4565">
        <v>-0.97383459999999999</v>
      </c>
      <c r="S4565">
        <v>0.48742679999999999</v>
      </c>
      <c r="T4565">
        <v>-0.2893384</v>
      </c>
      <c r="U4565">
        <v>-2.9853209999999999</v>
      </c>
      <c r="V4565">
        <v>-0.20481179999999999</v>
      </c>
      <c r="W4565">
        <v>6.6617060000000006E-2</v>
      </c>
      <c r="X4565">
        <v>0.9765317</v>
      </c>
      <c r="Y4565">
        <v>-0.1440033</v>
      </c>
      <c r="Z4565">
        <v>9.5320730000000006E-2</v>
      </c>
      <c r="AA4565">
        <v>0.98497559999999995</v>
      </c>
      <c r="AB4565">
        <v>24</v>
      </c>
      <c r="AC4565">
        <v>1.86699999999996</v>
      </c>
      <c r="AD4565">
        <v>-1.111433446385</v>
      </c>
      <c r="AE4565">
        <v>-11.2299399999999</v>
      </c>
      <c r="AF4565">
        <v>-1.66447497230098</v>
      </c>
      <c r="AG4565">
        <v>-1.111433446385</v>
      </c>
      <c r="AH4565">
        <v>11.153074704764499</v>
      </c>
      <c r="AI4565">
        <v>95.628955055186097</v>
      </c>
      <c r="AJ4565">
        <v>98.488124541655907</v>
      </c>
      <c r="AK4565">
        <v>11.3312327930026</v>
      </c>
      <c r="AL4565">
        <v>86.180294601889003</v>
      </c>
      <c r="AM4565">
        <v>101.84517579273199</v>
      </c>
      <c r="AN4565">
        <v>0.99999993360358397</v>
      </c>
    </row>
    <row r="4566" spans="1:40" x14ac:dyDescent="0.25">
      <c r="A4566" t="str">
        <f>"20190312151406868"</f>
        <v>20190312151406868</v>
      </c>
      <c r="B4566" t="str">
        <f>"1552374846864678"</f>
        <v>1552374846864678</v>
      </c>
      <c r="C4566" t="s">
        <v>40</v>
      </c>
      <c r="D4566">
        <v>4.0038340000000003</v>
      </c>
      <c r="E4566">
        <v>0.53852880000000003</v>
      </c>
      <c r="F4566" t="s">
        <v>42</v>
      </c>
      <c r="G4566">
        <v>-420.93959999999998</v>
      </c>
      <c r="H4566" s="1">
        <v>-1.5816640000000001E-6</v>
      </c>
      <c r="I4566">
        <v>42.69323</v>
      </c>
      <c r="J4566">
        <v>-423.22629999999998</v>
      </c>
      <c r="K4566">
        <v>1.1114269999999999</v>
      </c>
      <c r="L4566">
        <v>60.351680000000002</v>
      </c>
      <c r="M4566">
        <v>1.8038169999999999E-2</v>
      </c>
      <c r="N4566">
        <v>0</v>
      </c>
      <c r="O4566">
        <v>-0.99974200000000002</v>
      </c>
      <c r="P4566">
        <v>0.22249910000000001</v>
      </c>
      <c r="Q4566">
        <v>5.4559969999999999E-2</v>
      </c>
      <c r="R4566">
        <v>-0.97340530000000003</v>
      </c>
      <c r="S4566">
        <v>0.38507079999999999</v>
      </c>
      <c r="T4566">
        <v>-0.18672420000000001</v>
      </c>
      <c r="U4566">
        <v>-3.003571</v>
      </c>
      <c r="V4566">
        <v>-0.20507300000000001</v>
      </c>
      <c r="W4566">
        <v>6.7536230000000003E-2</v>
      </c>
      <c r="X4566">
        <v>0.9764138</v>
      </c>
      <c r="Y4566">
        <v>-0.10900799999999999</v>
      </c>
      <c r="Z4566">
        <v>6.159659E-2</v>
      </c>
      <c r="AA4566">
        <v>0.99213059999999997</v>
      </c>
      <c r="AB4566">
        <v>24</v>
      </c>
      <c r="AC4566">
        <v>2.28669999999999</v>
      </c>
      <c r="AD4566">
        <v>-1.1114285816639999</v>
      </c>
      <c r="AE4566">
        <v>-17.658449999999998</v>
      </c>
      <c r="AF4566">
        <v>-1.96013442851164</v>
      </c>
      <c r="AG4566">
        <v>-1.1114285816639999</v>
      </c>
      <c r="AH4566">
        <v>17.6281463324223</v>
      </c>
      <c r="AI4566">
        <v>93.585599175260299</v>
      </c>
      <c r="AJ4566">
        <v>96.344851908511203</v>
      </c>
      <c r="AK4566">
        <v>17.771576845830801</v>
      </c>
      <c r="AL4566">
        <v>86.1275113886919</v>
      </c>
      <c r="AM4566">
        <v>101.86124608029201</v>
      </c>
      <c r="AN4566">
        <v>0.99999999326102595</v>
      </c>
    </row>
    <row r="4567" spans="1:40" x14ac:dyDescent="0.25">
      <c r="A4567" t="str">
        <f>"20190312151406890"</f>
        <v>20190312151406890</v>
      </c>
      <c r="B4567" t="str">
        <f>"1552374846885173"</f>
        <v>1552374846885173</v>
      </c>
      <c r="C4567" t="s">
        <v>40</v>
      </c>
      <c r="D4567">
        <v>3.97559</v>
      </c>
      <c r="E4567">
        <v>0.53859190000000001</v>
      </c>
      <c r="F4567" t="s">
        <v>42</v>
      </c>
      <c r="G4567">
        <v>-421.03399999999999</v>
      </c>
      <c r="H4567" s="1">
        <v>-1.7751439999999999E-6</v>
      </c>
      <c r="I4567">
        <v>43.08567</v>
      </c>
      <c r="J4567">
        <v>-423.22039999999998</v>
      </c>
      <c r="K4567">
        <v>1.111424</v>
      </c>
      <c r="L4567">
        <v>60.120269999999998</v>
      </c>
      <c r="M4567">
        <v>1.9555449999999999E-2</v>
      </c>
      <c r="N4567">
        <v>0</v>
      </c>
      <c r="O4567">
        <v>-0.99971330000000003</v>
      </c>
      <c r="P4567">
        <v>0.22353709999999999</v>
      </c>
      <c r="Q4567">
        <v>5.52343E-2</v>
      </c>
      <c r="R4567">
        <v>-0.97312909999999997</v>
      </c>
      <c r="S4567">
        <v>0.38162230000000003</v>
      </c>
      <c r="T4567">
        <v>-0.19347210000000001</v>
      </c>
      <c r="U4567">
        <v>-3.005585</v>
      </c>
      <c r="V4567">
        <v>-0.2046328</v>
      </c>
      <c r="W4567">
        <v>6.8215109999999995E-2</v>
      </c>
      <c r="X4567">
        <v>0.97645899999999997</v>
      </c>
      <c r="Y4567">
        <v>-0.1062777</v>
      </c>
      <c r="Z4567">
        <v>6.3782710000000006E-2</v>
      </c>
      <c r="AA4567">
        <v>0.99228859999999997</v>
      </c>
      <c r="AB4567">
        <v>24</v>
      </c>
      <c r="AC4567">
        <v>2.1863999999999901</v>
      </c>
      <c r="AD4567">
        <v>-1.111425775144</v>
      </c>
      <c r="AE4567">
        <v>-17.034599999999902</v>
      </c>
      <c r="AF4567">
        <v>-1.84510356387001</v>
      </c>
      <c r="AG4567">
        <v>-1.111425775144</v>
      </c>
      <c r="AH4567">
        <v>17.002894869139599</v>
      </c>
      <c r="AI4567">
        <v>93.718157758864294</v>
      </c>
      <c r="AJ4567">
        <v>96.193332619184801</v>
      </c>
      <c r="AK4567">
        <v>17.1387895822918</v>
      </c>
      <c r="AL4567">
        <v>86.088524666169207</v>
      </c>
      <c r="AM4567">
        <v>101.835971823831</v>
      </c>
      <c r="AN4567">
        <v>1.0000000313745701</v>
      </c>
    </row>
    <row r="4568" spans="1:40" x14ac:dyDescent="0.25">
      <c r="A4568" t="str">
        <f>"20190312151406914"</f>
        <v>20190312151406914</v>
      </c>
      <c r="B4568" t="str">
        <f>"1552374846904693"</f>
        <v>1552374846904693</v>
      </c>
      <c r="C4568" t="s">
        <v>40</v>
      </c>
      <c r="D4568">
        <v>3.9771740000000002</v>
      </c>
      <c r="E4568">
        <v>0.53904940000000001</v>
      </c>
      <c r="F4568" t="s">
        <v>42</v>
      </c>
      <c r="G4568">
        <v>-421.0677</v>
      </c>
      <c r="H4568" s="1">
        <v>-1.8784230000000001E-6</v>
      </c>
      <c r="I4568">
        <v>43.305500000000002</v>
      </c>
      <c r="J4568">
        <v>-423.21350000000001</v>
      </c>
      <c r="K4568">
        <v>1.111415</v>
      </c>
      <c r="L4568">
        <v>59.867159999999998</v>
      </c>
      <c r="M4568">
        <v>2.1208640000000001E-2</v>
      </c>
      <c r="N4568">
        <v>0</v>
      </c>
      <c r="O4568">
        <v>-0.99967989999999995</v>
      </c>
      <c r="P4568">
        <v>0.22469790000000001</v>
      </c>
      <c r="Q4568">
        <v>5.535503E-2</v>
      </c>
      <c r="R4568">
        <v>-0.97285489999999997</v>
      </c>
      <c r="S4568">
        <v>0.38479609999999997</v>
      </c>
      <c r="T4568">
        <v>-0.19867380000000001</v>
      </c>
      <c r="U4568">
        <v>-3.0057369999999999</v>
      </c>
      <c r="V4568">
        <v>-0.20418120000000001</v>
      </c>
      <c r="W4568">
        <v>6.8342130000000001E-2</v>
      </c>
      <c r="X4568">
        <v>0.97654459999999998</v>
      </c>
      <c r="Y4568">
        <v>-0.10564419999999999</v>
      </c>
      <c r="Z4568">
        <v>6.5481590000000006E-2</v>
      </c>
      <c r="AA4568">
        <v>0.99224570000000001</v>
      </c>
      <c r="AB4568">
        <v>24</v>
      </c>
      <c r="AC4568">
        <v>2.1457999999999999</v>
      </c>
      <c r="AD4568">
        <v>-1.1114168784230001</v>
      </c>
      <c r="AE4568">
        <v>-16.5616599999999</v>
      </c>
      <c r="AF4568">
        <v>-1.78612261661658</v>
      </c>
      <c r="AG4568">
        <v>-1.1114168784230001</v>
      </c>
      <c r="AH4568">
        <v>16.530233736390201</v>
      </c>
      <c r="AI4568">
        <v>93.824321986276502</v>
      </c>
      <c r="AJ4568">
        <v>96.166989921916198</v>
      </c>
      <c r="AK4568">
        <v>16.663556308871399</v>
      </c>
      <c r="AL4568">
        <v>86.081229740786796</v>
      </c>
      <c r="AM4568">
        <v>101.809579501575</v>
      </c>
      <c r="AN4568">
        <v>0.999999982477768</v>
      </c>
    </row>
    <row r="4569" spans="1:40" x14ac:dyDescent="0.25">
      <c r="A4569" t="str">
        <f>"20190312151406933"</f>
        <v>20190312151406933</v>
      </c>
      <c r="B4569" t="str">
        <f>"1552374846925189"</f>
        <v>1552374846925189</v>
      </c>
      <c r="C4569" t="s">
        <v>40</v>
      </c>
      <c r="D4569">
        <v>3.9435099999999998</v>
      </c>
      <c r="E4569">
        <v>0.53919969999999995</v>
      </c>
      <c r="F4569" t="s">
        <v>42</v>
      </c>
      <c r="G4569">
        <v>-421.00880000000001</v>
      </c>
      <c r="H4569" s="1">
        <v>-1.5859679999999999E-6</v>
      </c>
      <c r="I4569">
        <v>42.660350000000001</v>
      </c>
      <c r="J4569">
        <v>-423.2072</v>
      </c>
      <c r="K4569">
        <v>1.1114059999999999</v>
      </c>
      <c r="L4569">
        <v>59.650730000000003</v>
      </c>
      <c r="M4569">
        <v>2.2615449999999999E-2</v>
      </c>
      <c r="N4569">
        <v>0</v>
      </c>
      <c r="O4569">
        <v>-0.99964900000000001</v>
      </c>
      <c r="P4569">
        <v>0.22606960000000001</v>
      </c>
      <c r="Q4569">
        <v>5.518108E-2</v>
      </c>
      <c r="R4569">
        <v>-0.9725473</v>
      </c>
      <c r="S4569">
        <v>0.38513180000000002</v>
      </c>
      <c r="T4569">
        <v>-0.1941495</v>
      </c>
      <c r="U4569">
        <v>-3.005798</v>
      </c>
      <c r="V4569">
        <v>-0.20418169999999999</v>
      </c>
      <c r="W4569">
        <v>6.8170880000000003E-2</v>
      </c>
      <c r="X4569">
        <v>0.97655650000000005</v>
      </c>
      <c r="Y4569">
        <v>-0.1043635</v>
      </c>
      <c r="Z4569">
        <v>6.3996230000000001E-2</v>
      </c>
      <c r="AA4569">
        <v>0.99247810000000003</v>
      </c>
      <c r="AB4569">
        <v>24</v>
      </c>
      <c r="AC4569">
        <v>2.1983999999999901</v>
      </c>
      <c r="AD4569">
        <v>-1.1114075859679999</v>
      </c>
      <c r="AE4569">
        <v>-16.990379999999998</v>
      </c>
      <c r="AF4569">
        <v>-1.8059555409877299</v>
      </c>
      <c r="AG4569">
        <v>-1.1114075859679999</v>
      </c>
      <c r="AH4569">
        <v>16.964361303453099</v>
      </c>
      <c r="AI4569">
        <v>93.727332713129002</v>
      </c>
      <c r="AJ4569">
        <v>96.076584997911894</v>
      </c>
      <c r="AK4569">
        <v>17.0963813911678</v>
      </c>
      <c r="AL4569">
        <v>86.091064713537904</v>
      </c>
      <c r="AM4569">
        <v>101.809467742054</v>
      </c>
      <c r="AN4569">
        <v>1.0000000165935501</v>
      </c>
    </row>
    <row r="4570" spans="1:40" x14ac:dyDescent="0.25">
      <c r="A4570" t="str">
        <f>"20190312151406957"</f>
        <v>20190312151406957</v>
      </c>
      <c r="B4570" t="str">
        <f>"1552374846944709"</f>
        <v>1552374846944709</v>
      </c>
      <c r="C4570" t="s">
        <v>40</v>
      </c>
      <c r="D4570">
        <v>4.0129349999999997</v>
      </c>
      <c r="E4570">
        <v>0.53897419999999996</v>
      </c>
      <c r="F4570" t="s">
        <v>42</v>
      </c>
      <c r="G4570">
        <v>-420.96749999999997</v>
      </c>
      <c r="H4570" s="1">
        <v>-1.4296860000000001E-6</v>
      </c>
      <c r="I4570">
        <v>42.321660000000001</v>
      </c>
      <c r="J4570">
        <v>-423.19990000000001</v>
      </c>
      <c r="K4570">
        <v>1.1113949999999999</v>
      </c>
      <c r="L4570">
        <v>59.406190000000002</v>
      </c>
      <c r="M4570">
        <v>2.4198910000000001E-2</v>
      </c>
      <c r="N4570">
        <v>0</v>
      </c>
      <c r="O4570">
        <v>-0.99961199999999995</v>
      </c>
      <c r="P4570">
        <v>0.22792760000000001</v>
      </c>
      <c r="Q4570">
        <v>5.4254400000000001E-2</v>
      </c>
      <c r="R4570">
        <v>-0.97216559999999996</v>
      </c>
      <c r="S4570">
        <v>0.38842769999999999</v>
      </c>
      <c r="T4570">
        <v>-0.192747</v>
      </c>
      <c r="U4570">
        <v>-3.0053100000000001</v>
      </c>
      <c r="V4570">
        <v>-0.20449590000000001</v>
      </c>
      <c r="W4570">
        <v>6.7246500000000001E-2</v>
      </c>
      <c r="X4570">
        <v>0.97655479999999995</v>
      </c>
      <c r="Y4570">
        <v>-0.1038829</v>
      </c>
      <c r="Z4570">
        <v>6.3539680000000001E-2</v>
      </c>
      <c r="AA4570">
        <v>0.99255780000000005</v>
      </c>
      <c r="AB4570">
        <v>24</v>
      </c>
      <c r="AC4570">
        <v>2.2324000000000401</v>
      </c>
      <c r="AD4570">
        <v>-1.1113964296859999</v>
      </c>
      <c r="AE4570">
        <v>-17.084530000000001</v>
      </c>
      <c r="AF4570">
        <v>-1.8107456146704699</v>
      </c>
      <c r="AG4570">
        <v>-1.1113964296859999</v>
      </c>
      <c r="AH4570">
        <v>17.062558560518902</v>
      </c>
      <c r="AI4570">
        <v>93.706033209823502</v>
      </c>
      <c r="AJ4570">
        <v>96.057779188948203</v>
      </c>
      <c r="AK4570">
        <v>17.194327737254</v>
      </c>
      <c r="AL4570">
        <v>86.144149434472297</v>
      </c>
      <c r="AM4570">
        <v>101.827148989534</v>
      </c>
      <c r="AN4570">
        <v>0.99999997114104899</v>
      </c>
    </row>
    <row r="4571" spans="1:40" x14ac:dyDescent="0.25">
      <c r="A4571" t="str">
        <f>"20190312151406979"</f>
        <v>20190312151406979</v>
      </c>
      <c r="B4571" t="str">
        <f>"1552374846975471"</f>
        <v>1552374846975471</v>
      </c>
      <c r="C4571" t="s">
        <v>40</v>
      </c>
      <c r="D4571">
        <v>3.990802</v>
      </c>
      <c r="E4571">
        <v>0.53874250000000001</v>
      </c>
      <c r="F4571" t="s">
        <v>42</v>
      </c>
      <c r="G4571">
        <v>-420.97519999999997</v>
      </c>
      <c r="H4571" s="1">
        <v>-1.5111170000000001E-6</v>
      </c>
      <c r="I4571">
        <v>42.506709999999998</v>
      </c>
      <c r="J4571">
        <v>-423.19240000000002</v>
      </c>
      <c r="K4571">
        <v>1.111383</v>
      </c>
      <c r="L4571">
        <v>59.17221</v>
      </c>
      <c r="M4571">
        <v>2.5709570000000001E-2</v>
      </c>
      <c r="N4571">
        <v>0</v>
      </c>
      <c r="O4571">
        <v>-0.99957419999999997</v>
      </c>
      <c r="P4571">
        <v>0.23018259999999999</v>
      </c>
      <c r="Q4571">
        <v>5.3913929999999999E-2</v>
      </c>
      <c r="R4571">
        <v>-0.97165299999999999</v>
      </c>
      <c r="S4571">
        <v>0.39547729999999998</v>
      </c>
      <c r="T4571">
        <v>-0.19757240000000001</v>
      </c>
      <c r="U4571">
        <v>-3.0042110000000002</v>
      </c>
      <c r="V4571">
        <v>-0.20528469999999999</v>
      </c>
      <c r="W4571">
        <v>6.6903470000000007E-2</v>
      </c>
      <c r="X4571">
        <v>0.97641290000000003</v>
      </c>
      <c r="Y4571">
        <v>-0.1047027</v>
      </c>
      <c r="Z4571">
        <v>6.5130880000000002E-2</v>
      </c>
      <c r="AA4571">
        <v>0.99236849999999999</v>
      </c>
      <c r="AB4571">
        <v>24</v>
      </c>
      <c r="AC4571">
        <v>2.21720000000004</v>
      </c>
      <c r="AD4571">
        <v>-1.111384511117</v>
      </c>
      <c r="AE4571">
        <v>-16.665500000000002</v>
      </c>
      <c r="AF4571">
        <v>-1.7801840931659301</v>
      </c>
      <c r="AG4571">
        <v>-1.111384511117</v>
      </c>
      <c r="AH4571">
        <v>16.644265036138801</v>
      </c>
      <c r="AI4571">
        <v>93.798529441922895</v>
      </c>
      <c r="AJ4571">
        <v>96.1048509484867</v>
      </c>
      <c r="AK4571">
        <v>16.776048090368199</v>
      </c>
      <c r="AL4571">
        <v>86.163848144211599</v>
      </c>
      <c r="AM4571">
        <v>101.87315388914899</v>
      </c>
      <c r="AN4571">
        <v>1.00000001681927</v>
      </c>
    </row>
    <row r="4572" spans="1:40" x14ac:dyDescent="0.25">
      <c r="A4572" t="str">
        <f>"20190312151407005"</f>
        <v>20190312151407005</v>
      </c>
      <c r="B4572" t="str">
        <f>"1552374846994991"</f>
        <v>1552374846994991</v>
      </c>
      <c r="C4572" t="s">
        <v>40</v>
      </c>
      <c r="D4572">
        <v>4.0020439999999997</v>
      </c>
      <c r="E4572">
        <v>0.53849689999999995</v>
      </c>
      <c r="F4572" t="s">
        <v>42</v>
      </c>
      <c r="G4572">
        <v>-420.96519999999998</v>
      </c>
      <c r="H4572" s="1">
        <v>-1.561575E-6</v>
      </c>
      <c r="I4572">
        <v>42.63053</v>
      </c>
      <c r="J4572">
        <v>-423.18329999999997</v>
      </c>
      <c r="K4572">
        <v>1.111362</v>
      </c>
      <c r="L4572">
        <v>58.899050000000003</v>
      </c>
      <c r="M4572">
        <v>2.7471539999999999E-2</v>
      </c>
      <c r="N4572">
        <v>0</v>
      </c>
      <c r="O4572">
        <v>-0.99952750000000001</v>
      </c>
      <c r="P4572">
        <v>0.23278789999999999</v>
      </c>
      <c r="Q4572">
        <v>5.3207240000000003E-2</v>
      </c>
      <c r="R4572">
        <v>-0.97107109999999996</v>
      </c>
      <c r="S4572">
        <v>0.4043274</v>
      </c>
      <c r="T4572">
        <v>-0.20175760000000001</v>
      </c>
      <c r="U4572">
        <v>-3.0029300000000001</v>
      </c>
      <c r="V4572">
        <v>-0.206179</v>
      </c>
      <c r="W4572">
        <v>6.6193130000000003E-2</v>
      </c>
      <c r="X4572">
        <v>0.97627280000000005</v>
      </c>
      <c r="Y4572">
        <v>-0.1058659</v>
      </c>
      <c r="Z4572">
        <v>6.6510890000000003E-2</v>
      </c>
      <c r="AA4572">
        <v>0.99215359999999997</v>
      </c>
      <c r="AB4572">
        <v>24</v>
      </c>
      <c r="AC4572">
        <v>2.21809999999999</v>
      </c>
      <c r="AD4572">
        <v>-1.1113635615749999</v>
      </c>
      <c r="AE4572">
        <v>-16.268519999999999</v>
      </c>
      <c r="AF4572">
        <v>-1.76222510867011</v>
      </c>
      <c r="AG4572">
        <v>-1.1113635615749999</v>
      </c>
      <c r="AH4572">
        <v>16.248873462943202</v>
      </c>
      <c r="AI4572">
        <v>93.8899889462934</v>
      </c>
      <c r="AJ4572">
        <v>96.189658269945298</v>
      </c>
      <c r="AK4572">
        <v>16.381894124745301</v>
      </c>
      <c r="AL4572">
        <v>86.204637779293606</v>
      </c>
      <c r="AM4572">
        <v>101.925062662386</v>
      </c>
      <c r="AN4572">
        <v>0.99999994526001701</v>
      </c>
    </row>
    <row r="4573" spans="1:40" x14ac:dyDescent="0.25">
      <c r="A4573" t="str">
        <f>"20190312151407027"</f>
        <v>20190312151407027</v>
      </c>
      <c r="B4573" t="str">
        <f>"1552374847015487"</f>
        <v>1552374847015487</v>
      </c>
      <c r="C4573" t="s">
        <v>40</v>
      </c>
      <c r="D4573">
        <v>4.007028</v>
      </c>
      <c r="E4573">
        <v>0.53830519999999904</v>
      </c>
      <c r="F4573" t="s">
        <v>42</v>
      </c>
      <c r="G4573">
        <v>-420.94880000000001</v>
      </c>
      <c r="H4573" s="1">
        <v>-1.588825E-6</v>
      </c>
      <c r="I4573">
        <v>42.704210000000003</v>
      </c>
      <c r="J4573">
        <v>-423.17559999999997</v>
      </c>
      <c r="K4573">
        <v>1.1113519999999999</v>
      </c>
      <c r="L4573">
        <v>58.678220000000003</v>
      </c>
      <c r="M4573">
        <v>2.8896709999999999E-2</v>
      </c>
      <c r="N4573">
        <v>0</v>
      </c>
      <c r="O4573">
        <v>-0.99948729999999997</v>
      </c>
      <c r="P4573">
        <v>0.2351569</v>
      </c>
      <c r="Q4573">
        <v>5.2197220000000003E-2</v>
      </c>
      <c r="R4573">
        <v>-0.97055519999999995</v>
      </c>
      <c r="S4573">
        <v>0.41412349999999998</v>
      </c>
      <c r="T4573">
        <v>-0.20596800000000001</v>
      </c>
      <c r="U4573">
        <v>-3.0013730000000001</v>
      </c>
      <c r="V4573">
        <v>-0.20716479999999901</v>
      </c>
      <c r="W4573">
        <v>6.5178730000000004E-2</v>
      </c>
      <c r="X4573">
        <v>0.97613240000000001</v>
      </c>
      <c r="Y4573">
        <v>-0.10768229999999999</v>
      </c>
      <c r="Z4573">
        <v>6.7901710000000004E-2</v>
      </c>
      <c r="AA4573">
        <v>0.99186379999999996</v>
      </c>
      <c r="AB4573">
        <v>24</v>
      </c>
      <c r="AC4573">
        <v>2.2267999999999599</v>
      </c>
      <c r="AD4573">
        <v>-1.1113535888249999</v>
      </c>
      <c r="AE4573">
        <v>-15.97401</v>
      </c>
      <c r="AF4573">
        <v>-1.75589258005365</v>
      </c>
      <c r="AG4573">
        <v>-1.1113535888249999</v>
      </c>
      <c r="AH4573">
        <v>15.955931304849599</v>
      </c>
      <c r="AI4573">
        <v>93.960466716060296</v>
      </c>
      <c r="AJ4573">
        <v>96.279924441056295</v>
      </c>
      <c r="AK4573">
        <v>16.090680823295202</v>
      </c>
      <c r="AL4573">
        <v>86.262884590319402</v>
      </c>
      <c r="AM4573">
        <v>101.98210941330299</v>
      </c>
      <c r="AN4573">
        <v>0.99999999176660603</v>
      </c>
    </row>
    <row r="4574" spans="1:40" x14ac:dyDescent="0.25">
      <c r="A4574" t="str">
        <f>"20190312151407047"</f>
        <v>20190312151407047</v>
      </c>
      <c r="B4574" t="str">
        <f>"1552374847035007"</f>
        <v>1552374847035007</v>
      </c>
      <c r="C4574" t="s">
        <v>40</v>
      </c>
      <c r="D4574">
        <v>4.026097</v>
      </c>
      <c r="E4574">
        <v>0.53811969999999898</v>
      </c>
      <c r="F4574" t="s">
        <v>42</v>
      </c>
      <c r="G4574">
        <v>-420.9522</v>
      </c>
      <c r="H4574" s="1">
        <v>-1.6699009999999999E-6</v>
      </c>
      <c r="I4574">
        <v>42.891129999999997</v>
      </c>
      <c r="J4574">
        <v>-423.16730000000001</v>
      </c>
      <c r="K4574">
        <v>1.1113440000000001</v>
      </c>
      <c r="L4574">
        <v>58.4512</v>
      </c>
      <c r="M4574">
        <v>3.036314E-2</v>
      </c>
      <c r="N4574">
        <v>0</v>
      </c>
      <c r="O4574">
        <v>-0.99944390000000005</v>
      </c>
      <c r="P4574">
        <v>0.23742640000000001</v>
      </c>
      <c r="Q4574">
        <v>5.0856690000000003E-2</v>
      </c>
      <c r="R4574">
        <v>-0.97007370000000004</v>
      </c>
      <c r="S4574">
        <v>0.4225159</v>
      </c>
      <c r="T4574">
        <v>-0.21118899999999999</v>
      </c>
      <c r="U4574">
        <v>-3</v>
      </c>
      <c r="V4574">
        <v>-0.2080109</v>
      </c>
      <c r="W4574">
        <v>6.3834459999999996E-2</v>
      </c>
      <c r="X4574">
        <v>0.9760413</v>
      </c>
      <c r="Y4574">
        <v>-0.1089903</v>
      </c>
      <c r="Z4574">
        <v>6.962322E-2</v>
      </c>
      <c r="AA4574">
        <v>0.99160159999999997</v>
      </c>
      <c r="AB4574">
        <v>24</v>
      </c>
      <c r="AC4574">
        <v>2.2151000000000001</v>
      </c>
      <c r="AD4574">
        <v>-1.111345669901</v>
      </c>
      <c r="AE4574">
        <v>-15.56007</v>
      </c>
      <c r="AF4574">
        <v>-1.7329166099607201</v>
      </c>
      <c r="AG4574">
        <v>-1.111345669901</v>
      </c>
      <c r="AH4574">
        <v>15.542447403714799</v>
      </c>
      <c r="AI4574">
        <v>94.064808916177498</v>
      </c>
      <c r="AJ4574">
        <v>96.361959450884797</v>
      </c>
      <c r="AK4574">
        <v>15.6781937885819</v>
      </c>
      <c r="AL4574">
        <v>86.340066358012905</v>
      </c>
      <c r="AM4574">
        <v>102.03071392343701</v>
      </c>
      <c r="AN4574">
        <v>0.99999999605399503</v>
      </c>
    </row>
    <row r="4575" spans="1:40" x14ac:dyDescent="0.25">
      <c r="A4575" t="str">
        <f>"20190312151407068"</f>
        <v>20190312151407068</v>
      </c>
      <c r="B4575" t="str">
        <f>"1552374847064755"</f>
        <v>1552374847064755</v>
      </c>
      <c r="C4575" t="s">
        <v>40</v>
      </c>
      <c r="D4575">
        <v>3.9835410000000002</v>
      </c>
      <c r="E4575">
        <v>0.53814629999999997</v>
      </c>
      <c r="F4575" t="s">
        <v>42</v>
      </c>
      <c r="G4575">
        <v>-420.9529</v>
      </c>
      <c r="H4575" s="1">
        <v>-1.735586E-6</v>
      </c>
      <c r="I4575">
        <v>43.043759999999999</v>
      </c>
      <c r="J4575">
        <v>-423.15890000000002</v>
      </c>
      <c r="K4575">
        <v>1.111332</v>
      </c>
      <c r="L4575">
        <v>58.229770000000002</v>
      </c>
      <c r="M4575">
        <v>3.1795860000000002E-2</v>
      </c>
      <c r="N4575">
        <v>0</v>
      </c>
      <c r="O4575">
        <v>-0.9993995</v>
      </c>
      <c r="P4575">
        <v>0.2400419</v>
      </c>
      <c r="Q4575">
        <v>4.9932570000000003E-2</v>
      </c>
      <c r="R4575">
        <v>-0.9694779</v>
      </c>
      <c r="S4575">
        <v>0.43093870000000001</v>
      </c>
      <c r="T4575">
        <v>-0.216277</v>
      </c>
      <c r="U4575">
        <v>-2.9984130000000002</v>
      </c>
      <c r="V4575">
        <v>-0.20924110000000001</v>
      </c>
      <c r="W4575">
        <v>6.2904109999999999E-2</v>
      </c>
      <c r="X4575">
        <v>0.97583869999999895</v>
      </c>
      <c r="Y4575">
        <v>-0.11035109999999999</v>
      </c>
      <c r="Z4575">
        <v>7.1305179999999996E-2</v>
      </c>
      <c r="AA4575">
        <v>0.99133150000000003</v>
      </c>
      <c r="AB4575">
        <v>24</v>
      </c>
      <c r="AC4575">
        <v>2.2060000000000102</v>
      </c>
      <c r="AD4575">
        <v>-1.111333735586</v>
      </c>
      <c r="AE4575">
        <v>-15.1860099999999</v>
      </c>
      <c r="AF4575">
        <v>-1.7130019286636899</v>
      </c>
      <c r="AG4575">
        <v>-1.111333735586</v>
      </c>
      <c r="AH4575">
        <v>15.1689199643839</v>
      </c>
      <c r="AI4575">
        <v>94.163851584324405</v>
      </c>
      <c r="AJ4575">
        <v>96.443024566866001</v>
      </c>
      <c r="AK4575">
        <v>15.305736544359499</v>
      </c>
      <c r="AL4575">
        <v>86.393478733876293</v>
      </c>
      <c r="AM4575">
        <v>102.102212222568</v>
      </c>
      <c r="AN4575">
        <v>0.99999996670089497</v>
      </c>
    </row>
    <row r="4576" spans="1:40" x14ac:dyDescent="0.25">
      <c r="A4576" t="str">
        <f>"20190312151407091"</f>
        <v>20190312151407091</v>
      </c>
      <c r="B4576" t="str">
        <f>"1552374847085251"</f>
        <v>1552374847085251</v>
      </c>
      <c r="C4576" t="s">
        <v>40</v>
      </c>
      <c r="D4576">
        <v>4.3228619999999998</v>
      </c>
      <c r="E4576">
        <v>0.53792269999999998</v>
      </c>
      <c r="F4576" t="s">
        <v>42</v>
      </c>
      <c r="G4576">
        <v>-420.94560000000001</v>
      </c>
      <c r="H4576" s="1">
        <v>-1.766502E-6</v>
      </c>
      <c r="I4576">
        <v>43.120339999999999</v>
      </c>
      <c r="J4576">
        <v>-423.14949999999999</v>
      </c>
      <c r="K4576">
        <v>1.1113280000000001</v>
      </c>
      <c r="L4576">
        <v>57.990299999999998</v>
      </c>
      <c r="M4576">
        <v>3.3347670000000003E-2</v>
      </c>
      <c r="N4576">
        <v>0</v>
      </c>
      <c r="O4576">
        <v>-0.99934900000000004</v>
      </c>
      <c r="P4576">
        <v>0.24240249999999999</v>
      </c>
      <c r="Q4576">
        <v>4.9247159999999998E-2</v>
      </c>
      <c r="R4576">
        <v>-0.96892529999999999</v>
      </c>
      <c r="S4576">
        <v>0.43902590000000002</v>
      </c>
      <c r="T4576">
        <v>-0.2204438</v>
      </c>
      <c r="U4576">
        <v>-2.9971009999999998</v>
      </c>
      <c r="V4576">
        <v>-0.21009990000000001</v>
      </c>
      <c r="W4576">
        <v>6.2209769999999998E-2</v>
      </c>
      <c r="X4576">
        <v>0.97569870000000003</v>
      </c>
      <c r="Y4576">
        <v>-0.1114742</v>
      </c>
      <c r="Z4576">
        <v>7.2679030000000006E-2</v>
      </c>
      <c r="AA4576">
        <v>0.99110609999999999</v>
      </c>
      <c r="AB4576">
        <v>24</v>
      </c>
      <c r="AC4576">
        <v>2.2038999999999702</v>
      </c>
      <c r="AD4576">
        <v>-1.1113297665019899</v>
      </c>
      <c r="AE4576">
        <v>-14.869960000000001</v>
      </c>
      <c r="AF4576">
        <v>-1.6974709516548001</v>
      </c>
      <c r="AG4576">
        <v>-1.1113297665019899</v>
      </c>
      <c r="AH4576">
        <v>14.854005326985</v>
      </c>
      <c r="AI4576">
        <v>94.251151770867494</v>
      </c>
      <c r="AJ4576">
        <v>96.519308077672804</v>
      </c>
      <c r="AK4576">
        <v>14.9919290198334</v>
      </c>
      <c r="AL4576">
        <v>86.433339636331297</v>
      </c>
      <c r="AM4576">
        <v>102.152102629089</v>
      </c>
      <c r="AN4576">
        <v>0.99999998832257597</v>
      </c>
    </row>
    <row r="4577" spans="1:40" x14ac:dyDescent="0.25">
      <c r="A4577" t="str">
        <f>"20190312151407113"</f>
        <v>20190312151407113</v>
      </c>
      <c r="B4577" t="str">
        <f>"1552374847104770"</f>
        <v>1552374847104770</v>
      </c>
      <c r="C4577" t="s">
        <v>40</v>
      </c>
      <c r="D4577">
        <v>4.0259169999999997</v>
      </c>
      <c r="E4577">
        <v>0.50983639999999997</v>
      </c>
      <c r="F4577" t="s">
        <v>42</v>
      </c>
      <c r="G4577">
        <v>-420.91320000000002</v>
      </c>
      <c r="H4577" s="1">
        <v>-1.7275650000000001E-6</v>
      </c>
      <c r="I4577">
        <v>43.049680000000002</v>
      </c>
      <c r="J4577">
        <v>-423.13990000000001</v>
      </c>
      <c r="K4577">
        <v>1.1113309999999901</v>
      </c>
      <c r="L4577">
        <v>57.758330000000001</v>
      </c>
      <c r="M4577">
        <v>3.48534E-2</v>
      </c>
      <c r="N4577">
        <v>0</v>
      </c>
      <c r="O4577">
        <v>-0.99929760000000001</v>
      </c>
      <c r="P4577">
        <v>0.24474199999999999</v>
      </c>
      <c r="Q4577">
        <v>4.9534639999999998E-2</v>
      </c>
      <c r="R4577">
        <v>-0.96832220000000002</v>
      </c>
      <c r="S4577">
        <v>0.4483337</v>
      </c>
      <c r="T4577">
        <v>-0.2228067</v>
      </c>
      <c r="U4577">
        <v>-2.9953919999999998</v>
      </c>
      <c r="V4577">
        <v>-0.2109876</v>
      </c>
      <c r="W4577">
        <v>6.2478659999999998E-2</v>
      </c>
      <c r="X4577">
        <v>0.97548999999999997</v>
      </c>
      <c r="Y4577">
        <v>-0.113063</v>
      </c>
      <c r="Z4577">
        <v>7.3466240000000002E-2</v>
      </c>
      <c r="AA4577">
        <v>0.99086799999999997</v>
      </c>
      <c r="AB4577">
        <v>24</v>
      </c>
      <c r="AC4577">
        <v>2.2266999999999899</v>
      </c>
      <c r="AD4577">
        <v>-1.11133272756499</v>
      </c>
      <c r="AE4577">
        <v>-14.70865</v>
      </c>
      <c r="AF4577">
        <v>-1.7031467887499001</v>
      </c>
      <c r="AG4577">
        <v>-1.11133272756499</v>
      </c>
      <c r="AH4577">
        <v>14.695314667941799</v>
      </c>
      <c r="AI4577">
        <v>94.296111424200205</v>
      </c>
      <c r="AJ4577">
        <v>96.610929741982901</v>
      </c>
      <c r="AK4577">
        <v>14.8353645929317</v>
      </c>
      <c r="AL4577">
        <v>86.417903549870502</v>
      </c>
      <c r="AM4577">
        <v>102.20444383588899</v>
      </c>
      <c r="AN4577">
        <v>1.0000000452045701</v>
      </c>
    </row>
    <row r="4578" spans="1:40" x14ac:dyDescent="0.25">
      <c r="A4578" t="str">
        <f>"20190312151407136"</f>
        <v>20190312151407136</v>
      </c>
      <c r="B4578" t="str">
        <f>"1552374847125266"</f>
        <v>1552374847125266</v>
      </c>
      <c r="C4578" t="s">
        <v>40</v>
      </c>
      <c r="D4578">
        <v>4.2750560000000002</v>
      </c>
      <c r="E4578">
        <v>0.50705900000000004</v>
      </c>
      <c r="F4578" t="s">
        <v>42</v>
      </c>
      <c r="G4578">
        <v>-419.04750000000001</v>
      </c>
      <c r="H4578" s="1">
        <v>-3.1763849999999999E-7</v>
      </c>
      <c r="I4578">
        <v>39.836750000000002</v>
      </c>
      <c r="J4578">
        <v>-423.12979999999999</v>
      </c>
      <c r="K4578">
        <v>1.1113189999999999</v>
      </c>
      <c r="L4578">
        <v>57.520359999999997</v>
      </c>
      <c r="M4578">
        <v>3.6401629999999997E-2</v>
      </c>
      <c r="N4578">
        <v>0</v>
      </c>
      <c r="O4578">
        <v>-0.99924270000000004</v>
      </c>
      <c r="P4578">
        <v>0.24706259999999999</v>
      </c>
      <c r="Q4578">
        <v>4.9712359999999997E-2</v>
      </c>
      <c r="R4578">
        <v>-0.96772349999999996</v>
      </c>
      <c r="S4578">
        <v>0.67086789999999996</v>
      </c>
      <c r="T4578">
        <v>-0.18218119999999999</v>
      </c>
      <c r="U4578">
        <v>-2.937897</v>
      </c>
      <c r="V4578">
        <v>-0.21181639999999999</v>
      </c>
      <c r="W4578">
        <v>6.2624760000000002E-2</v>
      </c>
      <c r="X4578">
        <v>0.97530099999999997</v>
      </c>
      <c r="Y4578">
        <v>-0.18657270000000001</v>
      </c>
      <c r="Z4578">
        <v>6.0511490000000001E-2</v>
      </c>
      <c r="AA4578">
        <v>0.98057589999999994</v>
      </c>
      <c r="AB4578">
        <v>24</v>
      </c>
      <c r="AC4578">
        <v>4.0822999999999698</v>
      </c>
      <c r="AD4578">
        <v>-1.1113193176384999</v>
      </c>
      <c r="AE4578">
        <v>-17.683609999999899</v>
      </c>
      <c r="AF4578">
        <v>-3.4229859740316102</v>
      </c>
      <c r="AG4578">
        <v>-1.1113193176384999</v>
      </c>
      <c r="AH4578">
        <v>17.753933795963899</v>
      </c>
      <c r="AI4578">
        <v>93.517186671312899</v>
      </c>
      <c r="AJ4578">
        <v>100.91281144765399</v>
      </c>
      <c r="AK4578">
        <v>18.115022187003898</v>
      </c>
      <c r="AL4578">
        <v>86.409516208660094</v>
      </c>
      <c r="AM4578">
        <v>102.25324237864901</v>
      </c>
      <c r="AN4578">
        <v>1.0000000442375001</v>
      </c>
    </row>
    <row r="4579" spans="1:40" x14ac:dyDescent="0.25">
      <c r="A4579" t="str">
        <f>"20190312151407157"</f>
        <v>20190312151407157</v>
      </c>
      <c r="B4579" t="str">
        <f>"1552374847155523"</f>
        <v>1552374847155523</v>
      </c>
      <c r="C4579" t="s">
        <v>40</v>
      </c>
      <c r="D4579">
        <v>4.0942970000000001</v>
      </c>
      <c r="E4579">
        <v>0.50622339999999999</v>
      </c>
      <c r="F4579" t="s">
        <v>59</v>
      </c>
      <c r="G4579">
        <v>-418.81569999999999</v>
      </c>
      <c r="H4579" s="1">
        <v>-4.0938069999999998E-7</v>
      </c>
      <c r="I4579">
        <v>39.447839999999999</v>
      </c>
      <c r="J4579">
        <v>-423.11989999999997</v>
      </c>
      <c r="K4579">
        <v>1.1113170000000001</v>
      </c>
      <c r="L4579">
        <v>57.293669999999999</v>
      </c>
      <c r="M4579">
        <v>3.7884920000000002E-2</v>
      </c>
      <c r="N4579">
        <v>0</v>
      </c>
      <c r="O4579">
        <v>-0.99918839999999998</v>
      </c>
      <c r="P4579">
        <v>0.24865419999999999</v>
      </c>
      <c r="Q4579">
        <v>4.9893170000000001E-2</v>
      </c>
      <c r="R4579">
        <v>-0.96730680000000002</v>
      </c>
      <c r="S4579">
        <v>0.69958500000000001</v>
      </c>
      <c r="T4579">
        <v>-0.18021490000000001</v>
      </c>
      <c r="U4579">
        <v>-2.9306950000000001</v>
      </c>
      <c r="V4579">
        <v>-0.211974</v>
      </c>
      <c r="W4579">
        <v>6.2764669999999995E-2</v>
      </c>
      <c r="X4579">
        <v>0.97525770000000001</v>
      </c>
      <c r="Y4579">
        <v>-0.1947499</v>
      </c>
      <c r="Z4579">
        <v>5.988483E-2</v>
      </c>
      <c r="AA4579">
        <v>0.97902319999999998</v>
      </c>
      <c r="AB4579">
        <v>24</v>
      </c>
      <c r="AC4579">
        <v>4.3041999999999696</v>
      </c>
      <c r="AD4579">
        <v>-1.1113174093806999</v>
      </c>
      <c r="AE4579">
        <v>-17.845829999999999</v>
      </c>
      <c r="AF4579">
        <v>-3.6117221880905999</v>
      </c>
      <c r="AG4579">
        <v>-1.1113174093806999</v>
      </c>
      <c r="AH4579">
        <v>17.930385057491701</v>
      </c>
      <c r="AI4579">
        <v>93.476970812975907</v>
      </c>
      <c r="AJ4579">
        <v>101.388706974993</v>
      </c>
      <c r="AK4579">
        <v>18.324253650783699</v>
      </c>
      <c r="AL4579">
        <v>86.401483927384504</v>
      </c>
      <c r="AM4579">
        <v>102.26261148928</v>
      </c>
      <c r="AN4579">
        <v>0.999999980942749</v>
      </c>
    </row>
    <row r="4580" spans="1:40" x14ac:dyDescent="0.25">
      <c r="A4580" t="str">
        <f>"20190312151407180"</f>
        <v>20190312151407180</v>
      </c>
      <c r="B4580" t="str">
        <f>"1552374847174575"</f>
        <v>1552374847174575</v>
      </c>
      <c r="C4580" t="s">
        <v>40</v>
      </c>
      <c r="D4580">
        <v>4.3259840000000001</v>
      </c>
      <c r="E4580">
        <v>0.50594570000000005</v>
      </c>
      <c r="F4580" t="s">
        <v>59</v>
      </c>
      <c r="G4580">
        <v>-418.62540000000001</v>
      </c>
      <c r="H4580" s="1">
        <v>-8.8021419999999895E-7</v>
      </c>
      <c r="I4580">
        <v>38.786760000000001</v>
      </c>
      <c r="J4580">
        <v>-423.10910000000001</v>
      </c>
      <c r="K4580">
        <v>1.1113249999999999</v>
      </c>
      <c r="L4580">
        <v>57.058109999999999</v>
      </c>
      <c r="M4580">
        <v>3.9445109999999999E-2</v>
      </c>
      <c r="N4580">
        <v>0</v>
      </c>
      <c r="O4580">
        <v>-0.99912880000000004</v>
      </c>
      <c r="P4580">
        <v>0.2505424</v>
      </c>
      <c r="Q4580">
        <v>5.042489E-2</v>
      </c>
      <c r="R4580">
        <v>-0.96679159999999997</v>
      </c>
      <c r="S4580">
        <v>0.71099849999999998</v>
      </c>
      <c r="T4580">
        <v>-0.17580509999999999</v>
      </c>
      <c r="U4580">
        <v>-2.9277039999999999</v>
      </c>
      <c r="V4580">
        <v>-0.2123593</v>
      </c>
      <c r="W4580">
        <v>6.3227240000000004E-2</v>
      </c>
      <c r="X4580">
        <v>0.97514400000000001</v>
      </c>
      <c r="Y4580">
        <v>-0.1970713</v>
      </c>
      <c r="Z4580">
        <v>5.843723E-2</v>
      </c>
      <c r="AA4580">
        <v>0.97864600000000002</v>
      </c>
      <c r="AB4580">
        <v>24</v>
      </c>
      <c r="AC4580">
        <v>4.48369999999999</v>
      </c>
      <c r="AD4580">
        <v>-1.1113258802142001</v>
      </c>
      <c r="AE4580">
        <v>-18.271350000000002</v>
      </c>
      <c r="AF4580">
        <v>-3.7463551233896601</v>
      </c>
      <c r="AG4580">
        <v>-1.1113258802142001</v>
      </c>
      <c r="AH4580">
        <v>18.3699046826817</v>
      </c>
      <c r="AI4580">
        <v>93.392349259900598</v>
      </c>
      <c r="AJ4580">
        <v>101.526820257742</v>
      </c>
      <c r="AK4580">
        <v>18.780937675563202</v>
      </c>
      <c r="AL4580">
        <v>86.374927899070101</v>
      </c>
      <c r="AM4580">
        <v>102.285613537508</v>
      </c>
      <c r="AN4580">
        <v>0.99999998845525295</v>
      </c>
    </row>
    <row r="4581" spans="1:40" x14ac:dyDescent="0.25">
      <c r="A4581" t="str">
        <f>"20190312151407202"</f>
        <v>20190312151407202</v>
      </c>
      <c r="B4581" t="str">
        <f>"1552374847195071"</f>
        <v>1552374847195071</v>
      </c>
      <c r="C4581" t="s">
        <v>40</v>
      </c>
      <c r="D4581">
        <v>4.3467750000000001</v>
      </c>
      <c r="E4581">
        <v>0.50585349999999996</v>
      </c>
      <c r="F4581" t="s">
        <v>59</v>
      </c>
      <c r="G4581">
        <v>-418.48099999999999</v>
      </c>
      <c r="H4581" s="1">
        <v>-1.280251E-6</v>
      </c>
      <c r="I4581">
        <v>38.217869999999998</v>
      </c>
      <c r="J4581">
        <v>-423.09780000000001</v>
      </c>
      <c r="K4581">
        <v>1.111324</v>
      </c>
      <c r="L4581">
        <v>56.819090000000003</v>
      </c>
      <c r="M4581">
        <v>4.1060909999999999E-2</v>
      </c>
      <c r="N4581">
        <v>0</v>
      </c>
      <c r="O4581">
        <v>-0.99906499999999998</v>
      </c>
      <c r="P4581">
        <v>0.25234069999999997</v>
      </c>
      <c r="Q4581">
        <v>5.094481E-2</v>
      </c>
      <c r="R4581">
        <v>-0.96629659999999995</v>
      </c>
      <c r="S4581">
        <v>0.71871949999999996</v>
      </c>
      <c r="T4581">
        <v>-0.1725826</v>
      </c>
      <c r="U4581">
        <v>-2.9257810000000002</v>
      </c>
      <c r="V4581">
        <v>-0.2126024</v>
      </c>
      <c r="W4581">
        <v>6.3646499999999995E-2</v>
      </c>
      <c r="X4581">
        <v>0.97506369999999998</v>
      </c>
      <c r="Y4581">
        <v>-0.19808509999999999</v>
      </c>
      <c r="Z4581">
        <v>5.7377009999999999E-2</v>
      </c>
      <c r="AA4581">
        <v>0.97850409999999999</v>
      </c>
      <c r="AB4581">
        <v>24</v>
      </c>
      <c r="AC4581">
        <v>4.6168000000000102</v>
      </c>
      <c r="AD4581">
        <v>-1.1113252802509901</v>
      </c>
      <c r="AE4581">
        <v>-18.601220000000001</v>
      </c>
      <c r="AF4581">
        <v>-3.83615438739155</v>
      </c>
      <c r="AG4581">
        <v>-1.1113252802509901</v>
      </c>
      <c r="AH4581">
        <v>18.712200877157599</v>
      </c>
      <c r="AI4581">
        <v>93.329736608048805</v>
      </c>
      <c r="AJ4581">
        <v>101.58557641829201</v>
      </c>
      <c r="AK4581">
        <v>19.1336767514643</v>
      </c>
      <c r="AL4581">
        <v>86.350857405516294</v>
      </c>
      <c r="AM4581">
        <v>102.300231794846</v>
      </c>
      <c r="AN4581">
        <v>0.99999993825284805</v>
      </c>
    </row>
    <row r="4582" spans="1:40" x14ac:dyDescent="0.25">
      <c r="A4582" t="str">
        <f>"20190312151407228"</f>
        <v>20190312151407228</v>
      </c>
      <c r="B4582" t="str">
        <f>"1552374847214591"</f>
        <v>1552374847214591</v>
      </c>
      <c r="C4582" t="s">
        <v>40</v>
      </c>
      <c r="D4582">
        <v>4.1936339999999896</v>
      </c>
      <c r="E4582">
        <v>0.50575760000000003</v>
      </c>
      <c r="F4582" t="s">
        <v>59</v>
      </c>
      <c r="G4582">
        <v>-418.43740000000003</v>
      </c>
      <c r="H4582" s="1">
        <v>-1.4160530000000001E-6</v>
      </c>
      <c r="I4582">
        <v>38.022460000000002</v>
      </c>
      <c r="J4582">
        <v>-423.08539999999999</v>
      </c>
      <c r="K4582">
        <v>1.1113360000000001</v>
      </c>
      <c r="L4582">
        <v>56.566679999999998</v>
      </c>
      <c r="M4582">
        <v>4.2820169999999998E-2</v>
      </c>
      <c r="N4582">
        <v>0</v>
      </c>
      <c r="O4582">
        <v>-0.99899260000000001</v>
      </c>
      <c r="P4582">
        <v>0.25461499999999998</v>
      </c>
      <c r="Q4582">
        <v>5.1126890000000001E-2</v>
      </c>
      <c r="R4582">
        <v>-0.96569020000000005</v>
      </c>
      <c r="S4582">
        <v>0.72506709999999996</v>
      </c>
      <c r="T4582">
        <v>-0.17290159999999999</v>
      </c>
      <c r="U4582">
        <v>-2.9244080000000001</v>
      </c>
      <c r="V4582">
        <v>-0.21318670000000001</v>
      </c>
      <c r="W4582">
        <v>6.368741E-2</v>
      </c>
      <c r="X4582">
        <v>0.97493350000000001</v>
      </c>
      <c r="Y4582">
        <v>-0.19846620000000001</v>
      </c>
      <c r="Z4582">
        <v>5.7485509999999997E-2</v>
      </c>
      <c r="AA4582">
        <v>0.97842039999999997</v>
      </c>
      <c r="AB4582">
        <v>24</v>
      </c>
      <c r="AC4582">
        <v>4.6479999999999597</v>
      </c>
      <c r="AD4582">
        <v>-1.1113374160529901</v>
      </c>
      <c r="AE4582">
        <v>-18.544219999999999</v>
      </c>
      <c r="AF4582">
        <v>-3.8366330976981802</v>
      </c>
      <c r="AG4582">
        <v>-1.1113374160529901</v>
      </c>
      <c r="AH4582">
        <v>18.663187526755401</v>
      </c>
      <c r="AI4582">
        <v>93.338127717941205</v>
      </c>
      <c r="AJ4582">
        <v>101.616586821409</v>
      </c>
      <c r="AK4582">
        <v>19.085842738467498</v>
      </c>
      <c r="AL4582">
        <v>86.348508867670802</v>
      </c>
      <c r="AM4582">
        <v>102.33460021432801</v>
      </c>
      <c r="AN4582">
        <v>0.99999999233582304</v>
      </c>
    </row>
    <row r="4583" spans="1:40" x14ac:dyDescent="0.25">
      <c r="A4583" t="str">
        <f>"20190312151407248"</f>
        <v>20190312151407248</v>
      </c>
      <c r="B4583" t="str">
        <f>"1552374847244847"</f>
        <v>1552374847244847</v>
      </c>
      <c r="C4583" t="s">
        <v>40</v>
      </c>
      <c r="D4583">
        <v>4.2370760000000001</v>
      </c>
      <c r="E4583">
        <v>0.50576019999999999</v>
      </c>
      <c r="F4583" t="s">
        <v>59</v>
      </c>
      <c r="G4583">
        <v>-418.4674</v>
      </c>
      <c r="H4583" s="1">
        <v>-1.3271669999999999E-6</v>
      </c>
      <c r="I4583">
        <v>38.149729999999998</v>
      </c>
      <c r="J4583">
        <v>-423.07369999999997</v>
      </c>
      <c r="K4583">
        <v>1.111356</v>
      </c>
      <c r="L4583">
        <v>56.33963</v>
      </c>
      <c r="M4583">
        <v>4.4466390000000001E-2</v>
      </c>
      <c r="N4583">
        <v>0</v>
      </c>
      <c r="O4583">
        <v>-0.99892250000000005</v>
      </c>
      <c r="P4583">
        <v>0.25743680000000002</v>
      </c>
      <c r="Q4583">
        <v>5.1256040000000003E-2</v>
      </c>
      <c r="R4583">
        <v>-0.96493510000000005</v>
      </c>
      <c r="S4583">
        <v>0.73284910000000003</v>
      </c>
      <c r="T4583">
        <v>-0.17636499999999999</v>
      </c>
      <c r="U4583">
        <v>-2.9226990000000002</v>
      </c>
      <c r="V4583">
        <v>-0.21443699999999999</v>
      </c>
      <c r="W4583">
        <v>6.3661720000000005E-2</v>
      </c>
      <c r="X4583">
        <v>0.97466090000000005</v>
      </c>
      <c r="Y4583">
        <v>-0.19942099999999999</v>
      </c>
      <c r="Z4583">
        <v>5.86355E-2</v>
      </c>
      <c r="AA4583">
        <v>0.97815810000000003</v>
      </c>
      <c r="AB4583">
        <v>24</v>
      </c>
      <c r="AC4583">
        <v>4.6062999999999699</v>
      </c>
      <c r="AD4583">
        <v>-1.1113573271670001</v>
      </c>
      <c r="AE4583">
        <v>-18.189900000000002</v>
      </c>
      <c r="AF4583">
        <v>-3.7795738572543902</v>
      </c>
      <c r="AG4583">
        <v>-1.1113573271670001</v>
      </c>
      <c r="AH4583">
        <v>18.312509128173701</v>
      </c>
      <c r="AI4583">
        <v>93.401413418988696</v>
      </c>
      <c r="AJ4583">
        <v>101.661699828613</v>
      </c>
      <c r="AK4583">
        <v>18.731478431254001</v>
      </c>
      <c r="AL4583">
        <v>86.349983655666605</v>
      </c>
      <c r="AM4583">
        <v>102.408069067171</v>
      </c>
      <c r="AN4583">
        <v>0.99999995577558298</v>
      </c>
    </row>
    <row r="4584" spans="1:40" x14ac:dyDescent="0.25">
      <c r="A4584" t="str">
        <f>"20190312151407269"</f>
        <v>20190312151407269</v>
      </c>
      <c r="B4584" t="str">
        <f>"1552374847265343"</f>
        <v>1552374847265343</v>
      </c>
      <c r="C4584" t="s">
        <v>40</v>
      </c>
      <c r="D4584">
        <v>4.4251769999999997</v>
      </c>
      <c r="E4584">
        <v>0.51057459999999999</v>
      </c>
      <c r="F4584" t="s">
        <v>59</v>
      </c>
      <c r="G4584">
        <v>-418.47910000000002</v>
      </c>
      <c r="H4584" s="1">
        <v>-1.271536E-6</v>
      </c>
      <c r="I4584">
        <v>38.232390000000002</v>
      </c>
      <c r="J4584">
        <v>-423.06209999999999</v>
      </c>
      <c r="K4584">
        <v>1.1113729999999999</v>
      </c>
      <c r="L4584">
        <v>56.12079</v>
      </c>
      <c r="M4584">
        <v>4.6104619999999999E-2</v>
      </c>
      <c r="N4584">
        <v>0</v>
      </c>
      <c r="O4584">
        <v>-0.99884989999999996</v>
      </c>
      <c r="P4584">
        <v>0.26013950000000002</v>
      </c>
      <c r="Q4584">
        <v>5.1639940000000002E-2</v>
      </c>
      <c r="R4584">
        <v>-0.96418950000000003</v>
      </c>
      <c r="S4584">
        <v>0.74114990000000003</v>
      </c>
      <c r="T4584">
        <v>-0.1792687</v>
      </c>
      <c r="U4584">
        <v>-2.9208069999999999</v>
      </c>
      <c r="V4584">
        <v>-0.2155774</v>
      </c>
      <c r="W4584">
        <v>6.3894409999999999E-2</v>
      </c>
      <c r="X4584">
        <v>0.97439410000000004</v>
      </c>
      <c r="Y4584">
        <v>-0.20056289999999999</v>
      </c>
      <c r="Z4584">
        <v>5.9600670000000001E-2</v>
      </c>
      <c r="AA4584">
        <v>0.97786620000000002</v>
      </c>
      <c r="AB4584">
        <v>24</v>
      </c>
      <c r="AC4584">
        <v>4.58299999999997</v>
      </c>
      <c r="AD4584">
        <v>-1.111374271536</v>
      </c>
      <c r="AE4584">
        <v>-17.888399999999901</v>
      </c>
      <c r="AF4584">
        <v>-3.7397702813615701</v>
      </c>
      <c r="AG4584">
        <v>-1.111374271536</v>
      </c>
      <c r="AH4584">
        <v>18.015435423604401</v>
      </c>
      <c r="AI4584">
        <v>93.456602904188401</v>
      </c>
      <c r="AJ4584">
        <v>101.727300124302</v>
      </c>
      <c r="AK4584">
        <v>18.433039576555199</v>
      </c>
      <c r="AL4584">
        <v>86.336624414847293</v>
      </c>
      <c r="AM4584">
        <v>102.475305020744</v>
      </c>
      <c r="AN4584">
        <v>0.99999998656740896</v>
      </c>
    </row>
    <row r="4585" spans="1:40" x14ac:dyDescent="0.25">
      <c r="A4585" t="str">
        <f>"20190312151407291"</f>
        <v>20190312151407291</v>
      </c>
      <c r="B4585" t="str">
        <f>"1552374847284868"</f>
        <v>1552374847284868</v>
      </c>
      <c r="C4585" t="s">
        <v>40</v>
      </c>
      <c r="D4585">
        <v>4.2618600000000004</v>
      </c>
      <c r="E4585">
        <v>0.50762700000000005</v>
      </c>
      <c r="F4585" t="s">
        <v>42</v>
      </c>
      <c r="G4585">
        <v>-420.13510000000002</v>
      </c>
      <c r="H4585" s="1">
        <v>-1.9827990000000001E-6</v>
      </c>
      <c r="I4585">
        <v>44.12726</v>
      </c>
      <c r="J4585">
        <v>-423.04910000000001</v>
      </c>
      <c r="K4585">
        <v>1.111397</v>
      </c>
      <c r="L4585">
        <v>55.884700000000002</v>
      </c>
      <c r="M4585">
        <v>4.7939669999999997E-2</v>
      </c>
      <c r="N4585">
        <v>0</v>
      </c>
      <c r="O4585">
        <v>-0.99876540000000003</v>
      </c>
      <c r="P4585">
        <v>0.2629785</v>
      </c>
      <c r="Q4585">
        <v>5.197529E-2</v>
      </c>
      <c r="R4585">
        <v>-0.96340079999999995</v>
      </c>
      <c r="S4585">
        <v>0.71575929999999999</v>
      </c>
      <c r="T4585">
        <v>-0.27177230000000002</v>
      </c>
      <c r="U4585">
        <v>-2.9328609999999999</v>
      </c>
      <c r="V4585">
        <v>-0.21666579999999999</v>
      </c>
      <c r="W4585">
        <v>6.4067159999999998E-2</v>
      </c>
      <c r="X4585">
        <v>0.97414140000000005</v>
      </c>
      <c r="Y4585">
        <v>-0.18927949999999999</v>
      </c>
      <c r="Z4585">
        <v>8.9968610000000004E-2</v>
      </c>
      <c r="AA4585">
        <v>0.97779289999999996</v>
      </c>
      <c r="AB4585">
        <v>24</v>
      </c>
      <c r="AC4585">
        <v>2.9139999999999802</v>
      </c>
      <c r="AD4585">
        <v>-1.1113989827990001</v>
      </c>
      <c r="AE4585">
        <v>-11.757440000000001</v>
      </c>
      <c r="AF4585">
        <v>-2.3273610176185802</v>
      </c>
      <c r="AG4585">
        <v>-1.1113989827990001</v>
      </c>
      <c r="AH4585">
        <v>11.784422566078399</v>
      </c>
      <c r="AI4585">
        <v>95.286168127377294</v>
      </c>
      <c r="AJ4585">
        <v>101.17184406993201</v>
      </c>
      <c r="AK4585">
        <v>12.0633507874552</v>
      </c>
      <c r="AL4585">
        <v>86.326706549273496</v>
      </c>
      <c r="AM4585">
        <v>102.539452814868</v>
      </c>
      <c r="AN4585">
        <v>1.0000000685370301</v>
      </c>
    </row>
    <row r="4586" spans="1:40" x14ac:dyDescent="0.25">
      <c r="A4586" t="str">
        <f>"20190312151407314"</f>
        <v>20190312151407314</v>
      </c>
      <c r="B4586" t="str">
        <f>"1552374847305359"</f>
        <v>1552374847305359</v>
      </c>
      <c r="C4586" t="s">
        <v>40</v>
      </c>
      <c r="D4586">
        <v>4.4933800000000002</v>
      </c>
      <c r="E4586">
        <v>0.50728009999999901</v>
      </c>
      <c r="F4586" t="s">
        <v>42</v>
      </c>
      <c r="G4586">
        <v>-419.87009999999998</v>
      </c>
      <c r="H4586" s="1">
        <v>-1.6557140000000001E-6</v>
      </c>
      <c r="I4586">
        <v>43.438580000000002</v>
      </c>
      <c r="J4586">
        <v>-423.03590000000003</v>
      </c>
      <c r="K4586">
        <v>1.1114280000000001</v>
      </c>
      <c r="L4586">
        <v>55.655270000000002</v>
      </c>
      <c r="M4586">
        <v>4.9798130000000003E-2</v>
      </c>
      <c r="N4586">
        <v>0</v>
      </c>
      <c r="O4586">
        <v>-0.99867620000000001</v>
      </c>
      <c r="P4586">
        <v>0.26572950000000001</v>
      </c>
      <c r="Q4586">
        <v>5.240239E-2</v>
      </c>
      <c r="R4586">
        <v>-0.96262250000000005</v>
      </c>
      <c r="S4586">
        <v>0.74688719999999997</v>
      </c>
      <c r="T4586">
        <v>-0.26111830000000003</v>
      </c>
      <c r="U4586">
        <v>-2.9241640000000002</v>
      </c>
      <c r="V4586">
        <v>-0.2176458</v>
      </c>
      <c r="W4586">
        <v>6.4328880000000005E-2</v>
      </c>
      <c r="X4586">
        <v>0.97390560000000004</v>
      </c>
      <c r="Y4586">
        <v>-0.19798660000000001</v>
      </c>
      <c r="Z4586">
        <v>8.6520600000000003E-2</v>
      </c>
      <c r="AA4586">
        <v>0.97637879999999999</v>
      </c>
      <c r="AB4586">
        <v>24</v>
      </c>
      <c r="AC4586">
        <v>3.1658000000000399</v>
      </c>
      <c r="AD4586">
        <v>-1.111429655714</v>
      </c>
      <c r="AE4586">
        <v>-12.2166899999999</v>
      </c>
      <c r="AF4586">
        <v>-2.5338009044739098</v>
      </c>
      <c r="AG4586">
        <v>-1.111429655714</v>
      </c>
      <c r="AH4586">
        <v>12.264075707553999</v>
      </c>
      <c r="AI4586">
        <v>95.071738332793004</v>
      </c>
      <c r="AJ4586">
        <v>101.673266578435</v>
      </c>
      <c r="AK4586">
        <v>12.572309885766</v>
      </c>
      <c r="AL4586">
        <v>86.311679879819394</v>
      </c>
      <c r="AM4586">
        <v>102.597316436236</v>
      </c>
      <c r="AN4586">
        <v>1.0000000083855201</v>
      </c>
    </row>
    <row r="4587" spans="1:40" x14ac:dyDescent="0.25">
      <c r="A4587" t="str">
        <f>"20190312151407336"</f>
        <v>20190312151407336</v>
      </c>
      <c r="B4587" t="str">
        <f>"1552374847324879"</f>
        <v>1552374847324879</v>
      </c>
      <c r="C4587" t="s">
        <v>40</v>
      </c>
      <c r="D4587">
        <v>4.558154</v>
      </c>
      <c r="E4587">
        <v>0.50690230000000003</v>
      </c>
      <c r="F4587" t="s">
        <v>42</v>
      </c>
      <c r="G4587">
        <v>-419.63679999999999</v>
      </c>
      <c r="H4587" s="1">
        <v>-1.312441E-6</v>
      </c>
      <c r="I4587">
        <v>42.54195</v>
      </c>
      <c r="J4587">
        <v>-423.02190000000002</v>
      </c>
      <c r="K4587">
        <v>1.111467</v>
      </c>
      <c r="L4587">
        <v>55.417999999999999</v>
      </c>
      <c r="M4587">
        <v>5.1803439999999999E-2</v>
      </c>
      <c r="N4587">
        <v>0</v>
      </c>
      <c r="O4587">
        <v>-0.99857620000000002</v>
      </c>
      <c r="P4587">
        <v>0.26893410000000001</v>
      </c>
      <c r="Q4587">
        <v>5.2457150000000001E-2</v>
      </c>
      <c r="R4587">
        <v>-0.96172930000000001</v>
      </c>
      <c r="S4587">
        <v>0.75714110000000001</v>
      </c>
      <c r="T4587">
        <v>-0.24756790000000001</v>
      </c>
      <c r="U4587">
        <v>-2.9209589999999999</v>
      </c>
      <c r="V4587">
        <v>-0.21894250000000001</v>
      </c>
      <c r="W4587">
        <v>6.4208009999999996E-2</v>
      </c>
      <c r="X4587">
        <v>0.97362289999999996</v>
      </c>
      <c r="Y4587">
        <v>-0.19958380000000001</v>
      </c>
      <c r="Z4587">
        <v>8.2087830000000001E-2</v>
      </c>
      <c r="AA4587">
        <v>0.97643630000000003</v>
      </c>
      <c r="AB4587">
        <v>24</v>
      </c>
      <c r="AC4587">
        <v>3.38510000000002</v>
      </c>
      <c r="AD4587">
        <v>-1.1114683124410001</v>
      </c>
      <c r="AE4587">
        <v>-12.876049999999999</v>
      </c>
      <c r="AF4587">
        <v>-2.6946955917767901</v>
      </c>
      <c r="AG4587">
        <v>-1.1114683124410001</v>
      </c>
      <c r="AH4587">
        <v>12.943919399308401</v>
      </c>
      <c r="AI4587">
        <v>94.805306283032607</v>
      </c>
      <c r="AJ4587">
        <v>101.75999796085</v>
      </c>
      <c r="AK4587">
        <v>13.2680742972631</v>
      </c>
      <c r="AL4587">
        <v>86.318619607029305</v>
      </c>
      <c r="AM4587">
        <v>102.673513246561</v>
      </c>
      <c r="AN4587">
        <v>1.0000000191294001</v>
      </c>
    </row>
    <row r="4588" spans="1:40" x14ac:dyDescent="0.25">
      <c r="A4588" t="str">
        <f>"20190312151407359"</f>
        <v>20190312151407359</v>
      </c>
      <c r="B4588" t="str">
        <f>"1552374847355136"</f>
        <v>1552374847355136</v>
      </c>
      <c r="C4588" t="s">
        <v>40</v>
      </c>
      <c r="D4588">
        <v>4.5470309999999996</v>
      </c>
      <c r="E4588">
        <v>0.50666670000000003</v>
      </c>
      <c r="F4588" t="s">
        <v>42</v>
      </c>
      <c r="G4588">
        <v>-419.39800000000002</v>
      </c>
      <c r="H4588" s="1">
        <v>-9.8427100000000009E-7</v>
      </c>
      <c r="I4588">
        <v>41.678220000000003</v>
      </c>
      <c r="J4588">
        <v>-423.0077</v>
      </c>
      <c r="K4588">
        <v>1.1115079999999999</v>
      </c>
      <c r="L4588">
        <v>55.187840000000001</v>
      </c>
      <c r="M4588">
        <v>5.383172E-2</v>
      </c>
      <c r="N4588">
        <v>0</v>
      </c>
      <c r="O4588">
        <v>-0.99847050000000004</v>
      </c>
      <c r="P4588">
        <v>0.27220149999999999</v>
      </c>
      <c r="Q4588">
        <v>5.2817299999999998E-2</v>
      </c>
      <c r="R4588">
        <v>-0.96079009999999998</v>
      </c>
      <c r="S4588">
        <v>0.76937869999999997</v>
      </c>
      <c r="T4588">
        <v>-0.23597509999999999</v>
      </c>
      <c r="U4588">
        <v>-2.917084</v>
      </c>
      <c r="V4588">
        <v>-0.22028590000000001</v>
      </c>
      <c r="W4588">
        <v>6.4400250000000006E-2</v>
      </c>
      <c r="X4588">
        <v>0.97330709999999998</v>
      </c>
      <c r="Y4588">
        <v>-0.20182</v>
      </c>
      <c r="Z4588">
        <v>7.8297119999999998E-2</v>
      </c>
      <c r="AA4588">
        <v>0.97628800000000004</v>
      </c>
      <c r="AB4588">
        <v>24</v>
      </c>
      <c r="AC4588">
        <v>3.6096999999999699</v>
      </c>
      <c r="AD4588">
        <v>-1.111508984271</v>
      </c>
      <c r="AE4588">
        <v>-13.5096199999999</v>
      </c>
      <c r="AF4588">
        <v>-2.85909710475583</v>
      </c>
      <c r="AG4588">
        <v>-1.111508984271</v>
      </c>
      <c r="AH4588">
        <v>13.598442836462199</v>
      </c>
      <c r="AI4588">
        <v>94.573299997804398</v>
      </c>
      <c r="AJ4588">
        <v>101.87359622244099</v>
      </c>
      <c r="AK4588">
        <v>13.9401411776591</v>
      </c>
      <c r="AL4588">
        <v>86.307582116885897</v>
      </c>
      <c r="AM4588">
        <v>102.752743311318</v>
      </c>
      <c r="AN4588">
        <v>0.99999999042464105</v>
      </c>
    </row>
    <row r="4589" spans="1:40" x14ac:dyDescent="0.25">
      <c r="A4589" t="str">
        <f>"20190312151407381"</f>
        <v>20190312151407381</v>
      </c>
      <c r="B4589" t="str">
        <f>"1552374847374655"</f>
        <v>1552374847374655</v>
      </c>
      <c r="C4589" t="s">
        <v>40</v>
      </c>
      <c r="D4589">
        <v>4.5577040000000002</v>
      </c>
      <c r="E4589">
        <v>0.5065442</v>
      </c>
      <c r="F4589" t="s">
        <v>42</v>
      </c>
      <c r="G4589">
        <v>-419.23</v>
      </c>
      <c r="H4589" s="1">
        <v>-7.6449249999999995E-7</v>
      </c>
      <c r="I4589">
        <v>41.096449999999997</v>
      </c>
      <c r="J4589">
        <v>-422.99250000000001</v>
      </c>
      <c r="K4589">
        <v>1.11155</v>
      </c>
      <c r="L4589">
        <v>54.951079999999997</v>
      </c>
      <c r="M4589">
        <v>5.6001349999999998E-2</v>
      </c>
      <c r="N4589">
        <v>0</v>
      </c>
      <c r="O4589">
        <v>-0.99835269999999998</v>
      </c>
      <c r="P4589">
        <v>0.27476509999999998</v>
      </c>
      <c r="Q4589">
        <v>5.229922E-2</v>
      </c>
      <c r="R4589">
        <v>-0.96008800000000005</v>
      </c>
      <c r="S4589">
        <v>0.78112789999999999</v>
      </c>
      <c r="T4589">
        <v>-0.22983319999999999</v>
      </c>
      <c r="U4589">
        <v>-2.9137569999999999</v>
      </c>
      <c r="V4589">
        <v>-0.22077540000000001</v>
      </c>
      <c r="W4589">
        <v>6.3721680000000003E-2</v>
      </c>
      <c r="X4589">
        <v>0.97324089999999996</v>
      </c>
      <c r="Y4589">
        <v>-0.20368330000000001</v>
      </c>
      <c r="Z4589">
        <v>7.6287880000000002E-2</v>
      </c>
      <c r="AA4589">
        <v>0.97606009999999999</v>
      </c>
      <c r="AB4589">
        <v>24</v>
      </c>
      <c r="AC4589">
        <v>3.7624999999999802</v>
      </c>
      <c r="AD4589">
        <v>-1.1115507644925</v>
      </c>
      <c r="AE4589">
        <v>-13.85463</v>
      </c>
      <c r="AF4589">
        <v>-2.9628945720202902</v>
      </c>
      <c r="AG4589">
        <v>-1.1115507644925</v>
      </c>
      <c r="AH4589">
        <v>13.959920774218499</v>
      </c>
      <c r="AI4589">
        <v>94.453742485646899</v>
      </c>
      <c r="AJ4589">
        <v>101.98280624818599</v>
      </c>
      <c r="AK4589">
        <v>14.3141076344077</v>
      </c>
      <c r="AL4589">
        <v>86.346541517739993</v>
      </c>
      <c r="AM4589">
        <v>102.780992431394</v>
      </c>
      <c r="AN4589">
        <v>1.00000003958999</v>
      </c>
    </row>
    <row r="4590" spans="1:40" x14ac:dyDescent="0.25">
      <c r="A4590" t="str">
        <f>"20190312151407404"</f>
        <v>20190312151407404</v>
      </c>
      <c r="B4590" t="str">
        <f>"1552374847395151"</f>
        <v>1552374847395151</v>
      </c>
      <c r="C4590" t="s">
        <v>40</v>
      </c>
      <c r="D4590">
        <v>4.3761169999999998</v>
      </c>
      <c r="E4590">
        <v>0.50678659999999998</v>
      </c>
      <c r="F4590" t="s">
        <v>42</v>
      </c>
      <c r="G4590">
        <v>-419.23579999999998</v>
      </c>
      <c r="H4590" s="1">
        <v>-7.6947680000000002E-7</v>
      </c>
      <c r="I4590">
        <v>41.110460000000003</v>
      </c>
      <c r="J4590">
        <v>-422.976</v>
      </c>
      <c r="K4590">
        <v>1.111599</v>
      </c>
      <c r="L4590">
        <v>54.70364</v>
      </c>
      <c r="M4590">
        <v>5.8352569999999999E-2</v>
      </c>
      <c r="N4590">
        <v>0</v>
      </c>
      <c r="O4590">
        <v>-0.99821959999999998</v>
      </c>
      <c r="P4590">
        <v>0.27807969999999999</v>
      </c>
      <c r="Q4590">
        <v>5.2088280000000001E-2</v>
      </c>
      <c r="R4590">
        <v>-0.95914480000000002</v>
      </c>
      <c r="S4590">
        <v>0.79019169999999905</v>
      </c>
      <c r="T4590">
        <v>-0.2338076</v>
      </c>
      <c r="U4590">
        <v>-2.9112849999999999</v>
      </c>
      <c r="V4590">
        <v>-0.22185360000000001</v>
      </c>
      <c r="W4590">
        <v>6.3342880000000004E-2</v>
      </c>
      <c r="X4590">
        <v>0.97302040000000001</v>
      </c>
      <c r="Y4590">
        <v>-0.20439080000000001</v>
      </c>
      <c r="Z4590">
        <v>7.7609960000000006E-2</v>
      </c>
      <c r="AA4590">
        <v>0.97580789999999995</v>
      </c>
      <c r="AB4590">
        <v>24</v>
      </c>
      <c r="AC4590">
        <v>3.74020000000001</v>
      </c>
      <c r="AD4590">
        <v>-1.1115997694768001</v>
      </c>
      <c r="AE4590">
        <v>-13.59318</v>
      </c>
      <c r="AF4590">
        <v>-2.9224006556171598</v>
      </c>
      <c r="AG4590">
        <v>-1.1115997694768001</v>
      </c>
      <c r="AH4590">
        <v>13.7030930958604</v>
      </c>
      <c r="AI4590">
        <v>94.536129288716694</v>
      </c>
      <c r="AJ4590">
        <v>102.03887232737399</v>
      </c>
      <c r="AK4590">
        <v>14.055278013375201</v>
      </c>
      <c r="AL4590">
        <v>86.368289020202297</v>
      </c>
      <c r="AM4590">
        <v>102.84415985403</v>
      </c>
      <c r="AN4590">
        <v>1.0000000195479</v>
      </c>
    </row>
    <row r="4591" spans="1:40" x14ac:dyDescent="0.25">
      <c r="A4591" t="str">
        <f>"20190312151407430"</f>
        <v>20190312151407430</v>
      </c>
      <c r="B4591" t="str">
        <f>"1552374847425407"</f>
        <v>1552374847425407</v>
      </c>
      <c r="C4591" t="s">
        <v>40</v>
      </c>
      <c r="D4591">
        <v>4.4035549999999999</v>
      </c>
      <c r="E4591">
        <v>0.50656909999999999</v>
      </c>
      <c r="F4591" t="s">
        <v>42</v>
      </c>
      <c r="G4591">
        <v>-419.28050000000002</v>
      </c>
      <c r="H4591" s="1">
        <v>-8.1530619999999999E-7</v>
      </c>
      <c r="I4591">
        <v>41.235759999999999</v>
      </c>
      <c r="J4591">
        <v>-422.95830000000001</v>
      </c>
      <c r="K4591">
        <v>1.111634</v>
      </c>
      <c r="L4591">
        <v>54.4512</v>
      </c>
      <c r="M4591">
        <v>6.083537E-2</v>
      </c>
      <c r="N4591">
        <v>0</v>
      </c>
      <c r="O4591">
        <v>-0.99807299999999999</v>
      </c>
      <c r="P4591">
        <v>0.28113519999999997</v>
      </c>
      <c r="Q4591">
        <v>5.1685719999999997E-2</v>
      </c>
      <c r="R4591">
        <v>-0.9582754</v>
      </c>
      <c r="S4591">
        <v>0.7983093</v>
      </c>
      <c r="T4591">
        <v>-0.24013029999999999</v>
      </c>
      <c r="U4591">
        <v>-2.9093629999999999</v>
      </c>
      <c r="V4591">
        <v>-0.2225394</v>
      </c>
      <c r="W4591">
        <v>6.277895E-2</v>
      </c>
      <c r="X4591">
        <v>0.97290030000000005</v>
      </c>
      <c r="Y4591">
        <v>-0.20460970000000001</v>
      </c>
      <c r="Z4591">
        <v>7.9697539999999997E-2</v>
      </c>
      <c r="AA4591">
        <v>0.97559370000000001</v>
      </c>
      <c r="AB4591">
        <v>24</v>
      </c>
      <c r="AC4591">
        <v>3.6777999999999902</v>
      </c>
      <c r="AD4591">
        <v>-1.1116348153061999</v>
      </c>
      <c r="AE4591">
        <v>-13.215439999999999</v>
      </c>
      <c r="AF4591">
        <v>-2.84825639586504</v>
      </c>
      <c r="AG4591">
        <v>-1.1116348153061999</v>
      </c>
      <c r="AH4591">
        <v>13.3271967194529</v>
      </c>
      <c r="AI4591">
        <v>94.663233173662405</v>
      </c>
      <c r="AJ4591">
        <v>102.063631536703</v>
      </c>
      <c r="AK4591">
        <v>13.6734219878633</v>
      </c>
      <c r="AL4591">
        <v>86.400664150285905</v>
      </c>
      <c r="AM4591">
        <v>102.884078552283</v>
      </c>
      <c r="AN4591">
        <v>0.99999998742777596</v>
      </c>
    </row>
    <row r="4592" spans="1:40" x14ac:dyDescent="0.25">
      <c r="A4592" t="str">
        <f>"20190312151407450"</f>
        <v>20190312151407450</v>
      </c>
      <c r="B4592" t="str">
        <f>"1552374847444927"</f>
        <v>1552374847444927</v>
      </c>
      <c r="C4592" t="s">
        <v>40</v>
      </c>
      <c r="D4592">
        <v>4.678515</v>
      </c>
      <c r="E4592">
        <v>0.50712380000000001</v>
      </c>
      <c r="F4592" t="s">
        <v>42</v>
      </c>
      <c r="G4592">
        <v>-419.31060000000002</v>
      </c>
      <c r="H4592" s="1">
        <v>-8.5878209999999895E-7</v>
      </c>
      <c r="I4592">
        <v>41.349550000000001</v>
      </c>
      <c r="J4592">
        <v>-422.94200000000001</v>
      </c>
      <c r="K4592">
        <v>1.1116539999999999</v>
      </c>
      <c r="L4592">
        <v>54.225830000000002</v>
      </c>
      <c r="M4592">
        <v>6.3098589999999996E-2</v>
      </c>
      <c r="N4592">
        <v>0</v>
      </c>
      <c r="O4592">
        <v>-0.99793390000000004</v>
      </c>
      <c r="P4592">
        <v>0.28329890000000002</v>
      </c>
      <c r="Q4592">
        <v>5.1413540000000001E-2</v>
      </c>
      <c r="R4592">
        <v>-0.95765250000000002</v>
      </c>
      <c r="S4592">
        <v>0.80923459999999903</v>
      </c>
      <c r="T4592">
        <v>-0.24660969999999999</v>
      </c>
      <c r="U4592">
        <v>-2.9065249999999998</v>
      </c>
      <c r="V4592">
        <v>-0.22253290000000001</v>
      </c>
      <c r="W4592">
        <v>6.2380619999999998E-2</v>
      </c>
      <c r="X4592">
        <v>0.97292749999999995</v>
      </c>
      <c r="Y4592">
        <v>-0.20599339999999999</v>
      </c>
      <c r="Z4592">
        <v>8.1840659999999996E-2</v>
      </c>
      <c r="AA4592">
        <v>0.97512500000000002</v>
      </c>
      <c r="AB4592">
        <v>24</v>
      </c>
      <c r="AC4592">
        <v>3.6313999999999198</v>
      </c>
      <c r="AD4592">
        <v>-1.1116548587821</v>
      </c>
      <c r="AE4592">
        <v>-12.87628</v>
      </c>
      <c r="AF4592">
        <v>-2.7923487051857601</v>
      </c>
      <c r="AG4592">
        <v>-1.1116548587821</v>
      </c>
      <c r="AH4592">
        <v>12.990082804754699</v>
      </c>
      <c r="AI4592">
        <v>94.782570817831399</v>
      </c>
      <c r="AJ4592">
        <v>102.131691711684</v>
      </c>
      <c r="AK4592">
        <v>13.3332381322315</v>
      </c>
      <c r="AL4592">
        <v>86.423531919630904</v>
      </c>
      <c r="AM4592">
        <v>102.883366618718</v>
      </c>
      <c r="AN4592">
        <v>1.00000007679511</v>
      </c>
    </row>
    <row r="4593" spans="1:40" x14ac:dyDescent="0.25">
      <c r="A4593" t="str">
        <f>"20190312151407471"</f>
        <v>20190312151407471</v>
      </c>
      <c r="B4593" t="str">
        <f>"1552374847465423"</f>
        <v>1552374847465423</v>
      </c>
      <c r="C4593" t="s">
        <v>40</v>
      </c>
      <c r="D4593">
        <v>4.44719</v>
      </c>
      <c r="E4593">
        <v>0.50728459999999997</v>
      </c>
      <c r="F4593" t="s">
        <v>42</v>
      </c>
      <c r="G4593">
        <v>-419.36630000000002</v>
      </c>
      <c r="H4593" s="1">
        <v>-8.8364440000000002E-7</v>
      </c>
      <c r="I4593">
        <v>41.430549999999997</v>
      </c>
      <c r="J4593">
        <v>-422.92619999999999</v>
      </c>
      <c r="K4593">
        <v>1.1116539999999999</v>
      </c>
      <c r="L4593">
        <v>54.013280000000002</v>
      </c>
      <c r="M4593">
        <v>6.5259259999999999E-2</v>
      </c>
      <c r="N4593">
        <v>0</v>
      </c>
      <c r="O4593">
        <v>-0.99779609999999996</v>
      </c>
      <c r="P4593">
        <v>0.285605</v>
      </c>
      <c r="Q4593">
        <v>5.0789599999999997E-2</v>
      </c>
      <c r="R4593">
        <v>-0.95700070000000004</v>
      </c>
      <c r="S4593">
        <v>0.81210329999999997</v>
      </c>
      <c r="T4593">
        <v>-0.25247399999999998</v>
      </c>
      <c r="U4593">
        <v>-2.9060060000000001</v>
      </c>
      <c r="V4593">
        <v>-0.22276799999999999</v>
      </c>
      <c r="W4593">
        <v>6.1651989999999997E-2</v>
      </c>
      <c r="X4593">
        <v>0.97292009999999995</v>
      </c>
      <c r="Y4593">
        <v>-0.2047697</v>
      </c>
      <c r="Z4593">
        <v>8.3769799999999894E-2</v>
      </c>
      <c r="AA4593">
        <v>0.97521899999999995</v>
      </c>
      <c r="AB4593">
        <v>24</v>
      </c>
      <c r="AC4593">
        <v>3.5598999999999701</v>
      </c>
      <c r="AD4593">
        <v>-1.1116548836444</v>
      </c>
      <c r="AE4593">
        <v>-12.58273</v>
      </c>
      <c r="AF4593">
        <v>-2.7115158541814002</v>
      </c>
      <c r="AG4593">
        <v>-1.1116548836444</v>
      </c>
      <c r="AH4593">
        <v>12.6964816911381</v>
      </c>
      <c r="AI4593">
        <v>94.894027451594198</v>
      </c>
      <c r="AJ4593">
        <v>102.05523462687999</v>
      </c>
      <c r="AK4593">
        <v>13.030300922895499</v>
      </c>
      <c r="AL4593">
        <v>86.465359707528506</v>
      </c>
      <c r="AM4593">
        <v>102.89661749850001</v>
      </c>
      <c r="AN4593">
        <v>1.00000003533948</v>
      </c>
    </row>
    <row r="4594" spans="1:40" x14ac:dyDescent="0.25">
      <c r="A4594" t="str">
        <f>"20190312151407492"</f>
        <v>20190312151407492</v>
      </c>
      <c r="B4594" t="str">
        <f>"1552374847484943"</f>
        <v>1552374847484943</v>
      </c>
      <c r="C4594" t="s">
        <v>40</v>
      </c>
      <c r="D4594">
        <v>4.4765180000000004</v>
      </c>
      <c r="E4594">
        <v>0.50712139999999895</v>
      </c>
      <c r="F4594" t="s">
        <v>42</v>
      </c>
      <c r="G4594">
        <v>-419.40410000000003</v>
      </c>
      <c r="H4594" s="1">
        <v>-9.0895100000000002E-7</v>
      </c>
      <c r="I4594">
        <v>41.505180000000003</v>
      </c>
      <c r="J4594">
        <v>-422.9085</v>
      </c>
      <c r="K4594">
        <v>1.111648</v>
      </c>
      <c r="L4594">
        <v>53.78284</v>
      </c>
      <c r="M4594">
        <v>6.7615709999999996E-2</v>
      </c>
      <c r="N4594">
        <v>0</v>
      </c>
      <c r="O4594">
        <v>-0.99764059999999999</v>
      </c>
      <c r="P4594">
        <v>0.28785850000000002</v>
      </c>
      <c r="Q4594">
        <v>5.0328890000000001E-2</v>
      </c>
      <c r="R4594">
        <v>-0.95634989999999998</v>
      </c>
      <c r="S4594">
        <v>0.81784060000000003</v>
      </c>
      <c r="T4594">
        <v>-0.25813259999999999</v>
      </c>
      <c r="U4594">
        <v>-2.9044490000000001</v>
      </c>
      <c r="V4594">
        <v>-0.22275900000000001</v>
      </c>
      <c r="W4594">
        <v>6.109038E-2</v>
      </c>
      <c r="X4594">
        <v>0.97295759999999998</v>
      </c>
      <c r="Y4594">
        <v>-0.20433660000000001</v>
      </c>
      <c r="Z4594">
        <v>8.5638660000000005E-2</v>
      </c>
      <c r="AA4594">
        <v>0.97514749999999994</v>
      </c>
      <c r="AB4594">
        <v>24</v>
      </c>
      <c r="AC4594">
        <v>3.5043999999999702</v>
      </c>
      <c r="AD4594">
        <v>-1.111648908951</v>
      </c>
      <c r="AE4594">
        <v>-12.277659999999999</v>
      </c>
      <c r="AF4594">
        <v>-2.6460990776934299</v>
      </c>
      <c r="AG4594">
        <v>-1.111648908951</v>
      </c>
      <c r="AH4594">
        <v>12.3925868457201</v>
      </c>
      <c r="AI4594">
        <v>95.013451506176693</v>
      </c>
      <c r="AJ4594">
        <v>102.05295445358</v>
      </c>
      <c r="AK4594">
        <v>12.7206058171164</v>
      </c>
      <c r="AL4594">
        <v>86.497598406929399</v>
      </c>
      <c r="AM4594">
        <v>102.895633456765</v>
      </c>
      <c r="AN4594">
        <v>1.00000004900365</v>
      </c>
    </row>
    <row r="4595" spans="1:40" x14ac:dyDescent="0.25">
      <c r="A4595" t="str">
        <f>"20190312151407515"</f>
        <v>20190312151407515</v>
      </c>
      <c r="B4595" t="str">
        <f>"1552374847505439"</f>
        <v>1552374847505439</v>
      </c>
      <c r="C4595" t="s">
        <v>40</v>
      </c>
      <c r="D4595">
        <v>4.4883360000000003</v>
      </c>
      <c r="E4595">
        <v>0.5072082</v>
      </c>
      <c r="F4595" t="s">
        <v>42</v>
      </c>
      <c r="G4595">
        <v>-419.4051</v>
      </c>
      <c r="H4595" s="1">
        <v>-8.9565779999999997E-7</v>
      </c>
      <c r="I4595">
        <v>41.474580000000003</v>
      </c>
      <c r="J4595">
        <v>-422.88959999999997</v>
      </c>
      <c r="K4595">
        <v>1.1116360000000001</v>
      </c>
      <c r="L4595">
        <v>53.546050000000001</v>
      </c>
      <c r="M4595">
        <v>7.0038859999999994E-2</v>
      </c>
      <c r="N4595">
        <v>0</v>
      </c>
      <c r="O4595">
        <v>-0.99747450000000004</v>
      </c>
      <c r="P4595">
        <v>0.2901011</v>
      </c>
      <c r="Q4595">
        <v>5.0256719999999998E-2</v>
      </c>
      <c r="R4595">
        <v>-0.95567590000000002</v>
      </c>
      <c r="S4595">
        <v>0.82604979999999995</v>
      </c>
      <c r="T4595">
        <v>-0.2621098</v>
      </c>
      <c r="U4595">
        <v>-2.9020999999999999</v>
      </c>
      <c r="V4595">
        <v>-0.22267729999999999</v>
      </c>
      <c r="W4595">
        <v>6.0925699999999902E-2</v>
      </c>
      <c r="X4595">
        <v>0.97298660000000003</v>
      </c>
      <c r="Y4595">
        <v>-0.20468749999999999</v>
      </c>
      <c r="Z4595">
        <v>8.6957480000000004E-2</v>
      </c>
      <c r="AA4595">
        <v>0.97495710000000002</v>
      </c>
      <c r="AB4595">
        <v>24</v>
      </c>
      <c r="AC4595">
        <v>3.4844999999999602</v>
      </c>
      <c r="AD4595">
        <v>-1.1116368956578</v>
      </c>
      <c r="AE4595">
        <v>-12.07147</v>
      </c>
      <c r="AF4595">
        <v>-2.6099801645630301</v>
      </c>
      <c r="AG4595">
        <v>-1.1116368956578</v>
      </c>
      <c r="AH4595">
        <v>12.1904626028235</v>
      </c>
      <c r="AI4595">
        <v>95.095489725711204</v>
      </c>
      <c r="AJ4595">
        <v>102.084592728723</v>
      </c>
      <c r="AK4595">
        <v>12.516193970933699</v>
      </c>
      <c r="AL4595">
        <v>86.507051390604005</v>
      </c>
      <c r="AM4595">
        <v>102.890690449986</v>
      </c>
      <c r="AN4595">
        <v>1.0000000223176599</v>
      </c>
    </row>
    <row r="4596" spans="1:40" x14ac:dyDescent="0.25">
      <c r="A4596" t="str">
        <f>"20190312151407537"</f>
        <v>20190312151407537</v>
      </c>
      <c r="B4596" t="str">
        <f>"1552374847534719"</f>
        <v>1552374847534719</v>
      </c>
      <c r="C4596" t="s">
        <v>40</v>
      </c>
      <c r="D4596">
        <v>4.5198519999999904</v>
      </c>
      <c r="E4596">
        <v>0.46883710000000001</v>
      </c>
      <c r="F4596" t="s">
        <v>42</v>
      </c>
      <c r="G4596">
        <v>-419.33609999999999</v>
      </c>
      <c r="H4596" s="1">
        <v>-7.7425479999999998E-7</v>
      </c>
      <c r="I4596">
        <v>41.163040000000002</v>
      </c>
      <c r="J4596">
        <v>-422.87079999999997</v>
      </c>
      <c r="K4596">
        <v>1.1116299999999999</v>
      </c>
      <c r="L4596">
        <v>53.31485</v>
      </c>
      <c r="M4596">
        <v>7.2397050000000004E-2</v>
      </c>
      <c r="N4596">
        <v>0</v>
      </c>
      <c r="O4596">
        <v>-0.9973069</v>
      </c>
      <c r="P4596">
        <v>0.2927053</v>
      </c>
      <c r="Q4596">
        <v>5.0748880000000003E-2</v>
      </c>
      <c r="R4596">
        <v>-0.95485500000000001</v>
      </c>
      <c r="S4596">
        <v>0.8322754</v>
      </c>
      <c r="T4596">
        <v>-0.26035209999999998</v>
      </c>
      <c r="U4596">
        <v>-2.9001769999999998</v>
      </c>
      <c r="V4596">
        <v>-0.22303220000000001</v>
      </c>
      <c r="W4596">
        <v>6.1332640000000001E-2</v>
      </c>
      <c r="X4596">
        <v>0.97287970000000001</v>
      </c>
      <c r="Y4596">
        <v>-0.20449229999999999</v>
      </c>
      <c r="Z4596">
        <v>8.638854E-2</v>
      </c>
      <c r="AA4596">
        <v>0.97504869999999999</v>
      </c>
      <c r="AB4596">
        <v>24</v>
      </c>
      <c r="AC4596">
        <v>3.53469999999998</v>
      </c>
      <c r="AD4596">
        <v>-1.1116307742547999</v>
      </c>
      <c r="AE4596">
        <v>-12.1518099999999</v>
      </c>
      <c r="AF4596">
        <v>-2.62535158156602</v>
      </c>
      <c r="AG4596">
        <v>-1.1116307742547999</v>
      </c>
      <c r="AH4596">
        <v>12.281082395323301</v>
      </c>
      <c r="AI4596">
        <v>95.058396943289907</v>
      </c>
      <c r="AJ4596">
        <v>102.066612825658</v>
      </c>
      <c r="AK4596">
        <v>12.607663491139901</v>
      </c>
      <c r="AL4596">
        <v>86.4836916216899</v>
      </c>
      <c r="AM4596">
        <v>102.9119186309</v>
      </c>
      <c r="AN4596">
        <v>0.99999998281914904</v>
      </c>
    </row>
    <row r="4597" spans="1:40" x14ac:dyDescent="0.25">
      <c r="A4597" t="str">
        <f>"20190312151407560"</f>
        <v>20190312151407560</v>
      </c>
      <c r="B4597" t="str">
        <f>"1552374847555216"</f>
        <v>1552374847555216</v>
      </c>
      <c r="C4597" t="s">
        <v>40</v>
      </c>
      <c r="D4597">
        <v>4.6820649999999997</v>
      </c>
      <c r="E4597">
        <v>0.45616679999999998</v>
      </c>
      <c r="F4597" t="s">
        <v>42</v>
      </c>
      <c r="G4597">
        <v>-418.87920000000003</v>
      </c>
      <c r="H4597" s="1">
        <v>-1.827568E-6</v>
      </c>
      <c r="I4597">
        <v>43.429430000000004</v>
      </c>
      <c r="J4597">
        <v>-422.85059999999999</v>
      </c>
      <c r="K4597">
        <v>1.1116220000000001</v>
      </c>
      <c r="L4597">
        <v>53.074489999999997</v>
      </c>
      <c r="M4597">
        <v>7.4836609999999998E-2</v>
      </c>
      <c r="N4597">
        <v>0</v>
      </c>
      <c r="O4597">
        <v>-0.99712800000000001</v>
      </c>
      <c r="P4597">
        <v>0.29536960000000001</v>
      </c>
      <c r="Q4597">
        <v>5.1246140000000003E-2</v>
      </c>
      <c r="R4597">
        <v>-0.95400810000000003</v>
      </c>
      <c r="S4597">
        <v>1.1349180000000001</v>
      </c>
      <c r="T4597">
        <v>-0.31606810000000002</v>
      </c>
      <c r="U4597">
        <v>-2.8106990000000001</v>
      </c>
      <c r="V4597">
        <v>-0.22337109999999999</v>
      </c>
      <c r="W4597">
        <v>6.1746229999999999E-2</v>
      </c>
      <c r="X4597">
        <v>0.97277579999999997</v>
      </c>
      <c r="Y4597">
        <v>-0.30191519999999999</v>
      </c>
      <c r="Z4597">
        <v>0.10462399999999999</v>
      </c>
      <c r="AA4597">
        <v>0.94757639999999999</v>
      </c>
      <c r="AB4597">
        <v>24</v>
      </c>
      <c r="AC4597">
        <v>3.9713999999999601</v>
      </c>
      <c r="AD4597">
        <v>-1.1116238275679999</v>
      </c>
      <c r="AE4597">
        <v>-9.6450600000000009</v>
      </c>
      <c r="AF4597">
        <v>-3.20204172788858</v>
      </c>
      <c r="AG4597">
        <v>-1.1116238275679999</v>
      </c>
      <c r="AH4597">
        <v>9.8038864607609195</v>
      </c>
      <c r="AI4597">
        <v>96.151755419738507</v>
      </c>
      <c r="AJ4597">
        <v>108.087525891125</v>
      </c>
      <c r="AK4597">
        <v>10.373281471966701</v>
      </c>
      <c r="AL4597">
        <v>86.459949725376006</v>
      </c>
      <c r="AM4597">
        <v>102.932214141579</v>
      </c>
      <c r="AN4597">
        <v>1.0000000011500301</v>
      </c>
    </row>
    <row r="4598" spans="1:40" x14ac:dyDescent="0.25">
      <c r="A4598" t="str">
        <f>"20190312151407581"</f>
        <v>20190312151407581</v>
      </c>
      <c r="B4598" t="str">
        <f>"1552374847574735"</f>
        <v>1552374847574735</v>
      </c>
      <c r="C4598" t="s">
        <v>40</v>
      </c>
      <c r="D4598">
        <v>4.468623</v>
      </c>
      <c r="E4598">
        <v>0.45108579999999998</v>
      </c>
      <c r="F4598" t="s">
        <v>42</v>
      </c>
      <c r="G4598">
        <v>-418.3417</v>
      </c>
      <c r="H4598" s="1">
        <v>-1.7252739999999999E-6</v>
      </c>
      <c r="I4598">
        <v>42.968760000000003</v>
      </c>
      <c r="J4598">
        <v>-422.83109999999999</v>
      </c>
      <c r="K4598">
        <v>1.111615</v>
      </c>
      <c r="L4598">
        <v>52.849429999999998</v>
      </c>
      <c r="M4598">
        <v>7.7108930000000006E-2</v>
      </c>
      <c r="N4598">
        <v>0</v>
      </c>
      <c r="O4598">
        <v>-0.99695560000000005</v>
      </c>
      <c r="P4598">
        <v>0.29850650000000001</v>
      </c>
      <c r="Q4598">
        <v>5.1612430000000001E-2</v>
      </c>
      <c r="R4598">
        <v>-0.95301130000000001</v>
      </c>
      <c r="S4598">
        <v>1.239166</v>
      </c>
      <c r="T4598">
        <v>-0.30550919999999998</v>
      </c>
      <c r="U4598">
        <v>-2.777374</v>
      </c>
      <c r="V4598">
        <v>-0.22435730000000001</v>
      </c>
      <c r="W4598">
        <v>6.203558E-2</v>
      </c>
      <c r="X4598">
        <v>0.97253040000000002</v>
      </c>
      <c r="Y4598">
        <v>-0.33373580000000003</v>
      </c>
      <c r="Z4598">
        <v>0.10098310000000001</v>
      </c>
      <c r="AA4598">
        <v>0.93724220000000003</v>
      </c>
      <c r="AB4598">
        <v>24</v>
      </c>
      <c r="AC4598">
        <v>4.4893999999999803</v>
      </c>
      <c r="AD4598">
        <v>-1.1116167252739999</v>
      </c>
      <c r="AE4598">
        <v>-9.8806700000000092</v>
      </c>
      <c r="AF4598">
        <v>-3.6755317959196301</v>
      </c>
      <c r="AG4598">
        <v>-1.1116167252739999</v>
      </c>
      <c r="AH4598">
        <v>10.091570226619501</v>
      </c>
      <c r="AI4598">
        <v>95.909170519600494</v>
      </c>
      <c r="AJ4598">
        <v>110.01253568311699</v>
      </c>
      <c r="AK4598">
        <v>10.7974541149994</v>
      </c>
      <c r="AL4598">
        <v>86.443339326525006</v>
      </c>
      <c r="AM4598">
        <v>102.99054506391801</v>
      </c>
      <c r="AN4598">
        <v>0.99999999508669302</v>
      </c>
    </row>
    <row r="4599" spans="1:40" x14ac:dyDescent="0.25">
      <c r="A4599" t="str">
        <f>"20190312151407628"</f>
        <v>20190312151407628</v>
      </c>
      <c r="B4599" t="str">
        <f>"1552374847625487"</f>
        <v>1552374847625487</v>
      </c>
      <c r="C4599" t="s">
        <v>40</v>
      </c>
      <c r="D4599">
        <v>4.4600849999999896</v>
      </c>
      <c r="E4599">
        <v>0.44646019999999997</v>
      </c>
      <c r="F4599" t="s">
        <v>42</v>
      </c>
      <c r="G4599">
        <v>-418.49169999999998</v>
      </c>
      <c r="H4599" s="1">
        <v>-1.944993E-6</v>
      </c>
      <c r="I4599">
        <v>43.542929999999998</v>
      </c>
      <c r="J4599">
        <v>-422.78730000000002</v>
      </c>
      <c r="K4599">
        <v>1.11159599999999</v>
      </c>
      <c r="L4599">
        <v>52.363250000000001</v>
      </c>
      <c r="M4599">
        <v>8.1990389999999996E-2</v>
      </c>
      <c r="N4599">
        <v>0</v>
      </c>
      <c r="O4599">
        <v>-0.9965676</v>
      </c>
      <c r="P4599">
        <v>0.305403599999999</v>
      </c>
      <c r="Q4599">
        <v>5.1612110000000003E-2</v>
      </c>
      <c r="R4599">
        <v>-0.95082330000000004</v>
      </c>
      <c r="S4599">
        <v>1.288025</v>
      </c>
      <c r="T4599">
        <v>-0.32995069999999999</v>
      </c>
      <c r="U4599">
        <v>-2.7623600000000001</v>
      </c>
      <c r="V4599">
        <v>-0.22664029999999999</v>
      </c>
      <c r="W4599">
        <v>6.1889470000000002E-2</v>
      </c>
      <c r="X4599">
        <v>0.97201020000000005</v>
      </c>
      <c r="Y4599">
        <v>-0.34435359999999998</v>
      </c>
      <c r="Z4599">
        <v>0.10883900000000001</v>
      </c>
      <c r="AA4599">
        <v>0.9325099</v>
      </c>
      <c r="AB4599">
        <v>24</v>
      </c>
      <c r="AC4599">
        <v>4.2956000000000296</v>
      </c>
      <c r="AD4599">
        <v>-1.11159794499299</v>
      </c>
      <c r="AE4599">
        <v>-8.8203200000000006</v>
      </c>
      <c r="AF4599">
        <v>-3.5128095650014202</v>
      </c>
      <c r="AG4599">
        <v>-1.11159794499299</v>
      </c>
      <c r="AH4599">
        <v>9.0269530263567805</v>
      </c>
      <c r="AI4599">
        <v>96.546568659205803</v>
      </c>
      <c r="AJ4599">
        <v>111.26333860551399</v>
      </c>
      <c r="AK4599">
        <v>9.7499416393807206</v>
      </c>
      <c r="AL4599">
        <v>86.451726878043999</v>
      </c>
      <c r="AM4599">
        <v>103.124961360092</v>
      </c>
      <c r="AN4599">
        <v>0.99999998049250505</v>
      </c>
    </row>
    <row r="4600" spans="1:40" x14ac:dyDescent="0.25">
      <c r="A4600" t="str">
        <f>"20190312151407648"</f>
        <v>20190312151407648</v>
      </c>
      <c r="B4600" t="str">
        <f>"1552374847645007"</f>
        <v>1552374847645007</v>
      </c>
      <c r="C4600" t="s">
        <v>40</v>
      </c>
      <c r="D4600">
        <v>4.47844</v>
      </c>
      <c r="E4600">
        <v>0.44528329999999999</v>
      </c>
      <c r="F4600" t="s">
        <v>42</v>
      </c>
      <c r="G4600">
        <v>-418.44709999999998</v>
      </c>
      <c r="H4600" s="1">
        <v>-1.9356370000000001E-6</v>
      </c>
      <c r="I4600">
        <v>43.502690000000001</v>
      </c>
      <c r="J4600">
        <v>-422.76650000000001</v>
      </c>
      <c r="K4600">
        <v>1.1115900000000001</v>
      </c>
      <c r="L4600">
        <v>52.14246</v>
      </c>
      <c r="M4600">
        <v>8.420126E-2</v>
      </c>
      <c r="N4600">
        <v>0</v>
      </c>
      <c r="O4600">
        <v>-0.99638400000000005</v>
      </c>
      <c r="P4600">
        <v>0.30885479999999998</v>
      </c>
      <c r="Q4600">
        <v>5.2063039999999998E-2</v>
      </c>
      <c r="R4600">
        <v>-0.9496831</v>
      </c>
      <c r="S4600">
        <v>1.3432919999999999</v>
      </c>
      <c r="T4600">
        <v>-0.34404289999999998</v>
      </c>
      <c r="U4600">
        <v>-2.7423709999999999</v>
      </c>
      <c r="V4600">
        <v>-0.2280182</v>
      </c>
      <c r="W4600">
        <v>6.2274969999999999E-2</v>
      </c>
      <c r="X4600">
        <v>0.97166330000000001</v>
      </c>
      <c r="Y4600">
        <v>-0.3598807</v>
      </c>
      <c r="Z4600">
        <v>0.1133228</v>
      </c>
      <c r="AA4600">
        <v>0.92609059999999999</v>
      </c>
      <c r="AB4600">
        <v>24</v>
      </c>
      <c r="AC4600">
        <v>4.3194000000000301</v>
      </c>
      <c r="AD4600">
        <v>-1.1115919356370001</v>
      </c>
      <c r="AE4600">
        <v>-8.6397699999999897</v>
      </c>
      <c r="AF4600">
        <v>-3.5297863667865901</v>
      </c>
      <c r="AG4600">
        <v>-1.1115919356370001</v>
      </c>
      <c r="AH4600">
        <v>8.8555302448393594</v>
      </c>
      <c r="AI4600">
        <v>96.650855971522105</v>
      </c>
      <c r="AJ4600">
        <v>111.732069780213</v>
      </c>
      <c r="AK4600">
        <v>9.5976791123578593</v>
      </c>
      <c r="AL4600">
        <v>86.429596807360994</v>
      </c>
      <c r="AM4600">
        <v>103.20651852956</v>
      </c>
      <c r="AN4600">
        <v>1.0000000199933099</v>
      </c>
    </row>
    <row r="4601" spans="1:40" x14ac:dyDescent="0.25">
      <c r="A4601" t="str">
        <f>"20190312151407672"</f>
        <v>20190312151407672</v>
      </c>
      <c r="B4601" t="str">
        <f>"1552374847665508"</f>
        <v>1552374847665508</v>
      </c>
      <c r="C4601" t="s">
        <v>40</v>
      </c>
      <c r="D4601">
        <v>4.5006219999999999</v>
      </c>
      <c r="E4601">
        <v>0.44468980000000002</v>
      </c>
      <c r="F4601" t="s">
        <v>42</v>
      </c>
      <c r="G4601">
        <v>-418.52809999999999</v>
      </c>
      <c r="H4601" s="1">
        <v>-1.9787900000000002E-6</v>
      </c>
      <c r="I4601">
        <v>43.636760000000002</v>
      </c>
      <c r="J4601">
        <v>-422.74329999999998</v>
      </c>
      <c r="K4601">
        <v>1.111577</v>
      </c>
      <c r="L4601">
        <v>51.901249999999997</v>
      </c>
      <c r="M4601">
        <v>8.6616399999999996E-2</v>
      </c>
      <c r="N4601">
        <v>0</v>
      </c>
      <c r="O4601">
        <v>-0.9961778</v>
      </c>
      <c r="P4601">
        <v>0.31230079999999999</v>
      </c>
      <c r="Q4601">
        <v>5.1684359999999999E-2</v>
      </c>
      <c r="R4601">
        <v>-0.94857659999999999</v>
      </c>
      <c r="S4601">
        <v>1.3630070000000001</v>
      </c>
      <c r="T4601">
        <v>-0.35746539999999999</v>
      </c>
      <c r="U4601">
        <v>-2.7352599999999998</v>
      </c>
      <c r="V4601">
        <v>-0.22918769999999999</v>
      </c>
      <c r="W4601">
        <v>6.1833319999999997E-2</v>
      </c>
      <c r="X4601">
        <v>0.97141630000000001</v>
      </c>
      <c r="Y4601">
        <v>-0.36370789999999997</v>
      </c>
      <c r="Z4601">
        <v>0.1176466</v>
      </c>
      <c r="AA4601">
        <v>0.92405400000000004</v>
      </c>
      <c r="AB4601">
        <v>24</v>
      </c>
      <c r="AC4601">
        <v>4.2151999999999799</v>
      </c>
      <c r="AD4601">
        <v>-1.1115789787899999</v>
      </c>
      <c r="AE4601">
        <v>-8.2644900000000003</v>
      </c>
      <c r="AF4601">
        <v>-3.4341695930538201</v>
      </c>
      <c r="AG4601">
        <v>-1.1115789787899999</v>
      </c>
      <c r="AH4601">
        <v>8.47686166598087</v>
      </c>
      <c r="AI4601">
        <v>96.929523845097805</v>
      </c>
      <c r="AJ4601">
        <v>112.053989706042</v>
      </c>
      <c r="AK4601">
        <v>9.2133768143997692</v>
      </c>
      <c r="AL4601">
        <v>86.454950259687806</v>
      </c>
      <c r="AM4601">
        <v>103.27511827830401</v>
      </c>
      <c r="AN4601">
        <v>0.99999999459960098</v>
      </c>
    </row>
    <row r="4602" spans="1:40" x14ac:dyDescent="0.25">
      <c r="A4602" t="str">
        <f>"20190312151407693"</f>
        <v>20190312151407693</v>
      </c>
      <c r="B4602" t="str">
        <f>"1552374847685024"</f>
        <v>1552374847685024</v>
      </c>
      <c r="C4602" t="s">
        <v>40</v>
      </c>
      <c r="D4602">
        <v>4.5304129999999896</v>
      </c>
      <c r="E4602">
        <v>0.44398510000000002</v>
      </c>
      <c r="F4602" t="s">
        <v>42</v>
      </c>
      <c r="G4602">
        <v>-418.52330000000001</v>
      </c>
      <c r="H4602" s="1">
        <v>-1.9394020000000001E-6</v>
      </c>
      <c r="I4602">
        <v>43.542949999999998</v>
      </c>
      <c r="J4602">
        <v>-422.72070000000002</v>
      </c>
      <c r="K4602">
        <v>1.1115710000000001</v>
      </c>
      <c r="L4602">
        <v>51.67212</v>
      </c>
      <c r="M4602">
        <v>8.8911459999999998E-2</v>
      </c>
      <c r="N4602">
        <v>0</v>
      </c>
      <c r="O4602">
        <v>-0.99597610000000003</v>
      </c>
      <c r="P4602">
        <v>0.31560919999999998</v>
      </c>
      <c r="Q4602">
        <v>5.1400719999999997E-2</v>
      </c>
      <c r="R4602">
        <v>-0.94749629999999996</v>
      </c>
      <c r="S4602">
        <v>1.377777</v>
      </c>
      <c r="T4602">
        <v>-0.36290919999999999</v>
      </c>
      <c r="U4602">
        <v>-2.7288209999999999</v>
      </c>
      <c r="V4602">
        <v>-0.2303374</v>
      </c>
      <c r="W4602">
        <v>6.149636E-2</v>
      </c>
      <c r="X4602">
        <v>0.97116570000000002</v>
      </c>
      <c r="Y4602">
        <v>-0.3663322</v>
      </c>
      <c r="Z4602">
        <v>0.1194233</v>
      </c>
      <c r="AA4602">
        <v>0.92278859999999996</v>
      </c>
      <c r="AB4602">
        <v>24</v>
      </c>
      <c r="AC4602">
        <v>4.1974000000000098</v>
      </c>
      <c r="AD4602">
        <v>-1.111572939402</v>
      </c>
      <c r="AE4602">
        <v>-8.1291700000000002</v>
      </c>
      <c r="AF4602">
        <v>-3.40764881216987</v>
      </c>
      <c r="AG4602">
        <v>-1.111572939402</v>
      </c>
      <c r="AH4602">
        <v>8.3469739491803701</v>
      </c>
      <c r="AI4602">
        <v>97.028647201292699</v>
      </c>
      <c r="AJ4602">
        <v>112.207718823788</v>
      </c>
      <c r="AK4602">
        <v>9.0840320857529608</v>
      </c>
      <c r="AL4602">
        <v>86.474293365384298</v>
      </c>
      <c r="AM4602">
        <v>103.342655929492</v>
      </c>
      <c r="AN4602">
        <v>0.99999996849424899</v>
      </c>
    </row>
    <row r="4603" spans="1:40" x14ac:dyDescent="0.25">
      <c r="A4603" t="str">
        <f>"20190312151407716"</f>
        <v>20190312151407716</v>
      </c>
      <c r="B4603" t="str">
        <f>"1552374847705520"</f>
        <v>1552374847705520</v>
      </c>
      <c r="C4603" t="s">
        <v>40</v>
      </c>
      <c r="D4603">
        <v>4.5158649999999998</v>
      </c>
      <c r="E4603">
        <v>0.44375890000000001</v>
      </c>
      <c r="F4603" t="s">
        <v>42</v>
      </c>
      <c r="G4603">
        <v>-418.63580000000002</v>
      </c>
      <c r="H4603" s="1">
        <v>-1.980226E-6</v>
      </c>
      <c r="I4603">
        <v>43.684660000000001</v>
      </c>
      <c r="J4603">
        <v>-422.69670000000002</v>
      </c>
      <c r="K4603">
        <v>1.1115699999999999</v>
      </c>
      <c r="L4603">
        <v>51.433500000000002</v>
      </c>
      <c r="M4603">
        <v>9.1302339999999996E-2</v>
      </c>
      <c r="N4603">
        <v>0</v>
      </c>
      <c r="O4603">
        <v>-0.99576030000000004</v>
      </c>
      <c r="P4603">
        <v>0.31914110000000001</v>
      </c>
      <c r="Q4603">
        <v>5.1328930000000002E-2</v>
      </c>
      <c r="R4603">
        <v>-0.94631670000000001</v>
      </c>
      <c r="S4603">
        <v>1.3925479999999999</v>
      </c>
      <c r="T4603">
        <v>-0.3789362</v>
      </c>
      <c r="U4603">
        <v>-2.722931</v>
      </c>
      <c r="V4603">
        <v>-0.23162820000000001</v>
      </c>
      <c r="W4603">
        <v>6.13731E-2</v>
      </c>
      <c r="X4603">
        <v>0.97086649999999997</v>
      </c>
      <c r="Y4603">
        <v>-0.36859009999999998</v>
      </c>
      <c r="Z4603">
        <v>0.1246063</v>
      </c>
      <c r="AA4603">
        <v>0.92120279999999999</v>
      </c>
      <c r="AB4603">
        <v>24</v>
      </c>
      <c r="AC4603">
        <v>4.0609000000000002</v>
      </c>
      <c r="AD4603">
        <v>-1.111571980226</v>
      </c>
      <c r="AE4603">
        <v>-7.7488400000000004</v>
      </c>
      <c r="AF4603">
        <v>-3.2833974705665301</v>
      </c>
      <c r="AG4603">
        <v>-1.111571980226</v>
      </c>
      <c r="AH4603">
        <v>7.9587766931565502</v>
      </c>
      <c r="AI4603">
        <v>97.356789590115199</v>
      </c>
      <c r="AJ4603">
        <v>112.41862115185999</v>
      </c>
      <c r="AK4603">
        <v>8.6809226277209905</v>
      </c>
      <c r="AL4603">
        <v>86.481369192235505</v>
      </c>
      <c r="AM4603">
        <v>103.418716555801</v>
      </c>
      <c r="AN4603">
        <v>1.0000000206305399</v>
      </c>
    </row>
    <row r="4604" spans="1:40" x14ac:dyDescent="0.25">
      <c r="A4604" t="str">
        <f>"20190312151407738"</f>
        <v>20190312151407738</v>
      </c>
      <c r="B4604" t="str">
        <f>"1552374847734800"</f>
        <v>1552374847734800</v>
      </c>
      <c r="C4604" t="s">
        <v>40</v>
      </c>
      <c r="D4604">
        <v>4.5161819999999997</v>
      </c>
      <c r="E4604">
        <v>0.4433667</v>
      </c>
      <c r="F4604" t="s">
        <v>42</v>
      </c>
      <c r="G4604">
        <v>-418.60120000000001</v>
      </c>
      <c r="H4604" s="1">
        <v>-1.9108419999999999E-6</v>
      </c>
      <c r="I4604">
        <v>43.508589999999998</v>
      </c>
      <c r="J4604">
        <v>-422.67290000000003</v>
      </c>
      <c r="K4604">
        <v>1.1115660000000001</v>
      </c>
      <c r="L4604">
        <v>51.202210000000001</v>
      </c>
      <c r="M4604">
        <v>9.3621170000000004E-2</v>
      </c>
      <c r="N4604">
        <v>0</v>
      </c>
      <c r="O4604">
        <v>-0.99554540000000002</v>
      </c>
      <c r="P4604">
        <v>0.32257079999999999</v>
      </c>
      <c r="Q4604">
        <v>5.1110099999999999E-2</v>
      </c>
      <c r="R4604">
        <v>-0.94516480000000003</v>
      </c>
      <c r="S4604">
        <v>1.404266</v>
      </c>
      <c r="T4604">
        <v>-0.38113459999999899</v>
      </c>
      <c r="U4604">
        <v>-2.717285</v>
      </c>
      <c r="V4604">
        <v>-0.23288690000000001</v>
      </c>
      <c r="W4604">
        <v>6.1105609999999998E-2</v>
      </c>
      <c r="X4604">
        <v>0.97058219999999995</v>
      </c>
      <c r="Y4604">
        <v>-0.37030190000000002</v>
      </c>
      <c r="Z4604">
        <v>0.1253445</v>
      </c>
      <c r="AA4604">
        <v>0.92041580000000001</v>
      </c>
      <c r="AB4604">
        <v>24</v>
      </c>
      <c r="AC4604">
        <v>4.0717000000000203</v>
      </c>
      <c r="AD4604">
        <v>-1.111567910842</v>
      </c>
      <c r="AE4604">
        <v>-7.6936199999999904</v>
      </c>
      <c r="AF4604">
        <v>-3.2799972824327801</v>
      </c>
      <c r="AG4604">
        <v>-1.111567910842</v>
      </c>
      <c r="AH4604">
        <v>7.91202493974669</v>
      </c>
      <c r="AI4604">
        <v>97.394565836246301</v>
      </c>
      <c r="AJ4604">
        <v>112.51686768463099</v>
      </c>
      <c r="AK4604">
        <v>8.6367878311530593</v>
      </c>
      <c r="AL4604">
        <v>86.496724005872906</v>
      </c>
      <c r="AM4604">
        <v>103.49278452775999</v>
      </c>
      <c r="AN4604">
        <v>1.0000000053609599</v>
      </c>
    </row>
    <row r="4605" spans="1:40" x14ac:dyDescent="0.25">
      <c r="A4605" t="str">
        <f>"20190312151407761"</f>
        <v>20190312151407761</v>
      </c>
      <c r="B4605" t="str">
        <f>"1552374847755295"</f>
        <v>1552374847755295</v>
      </c>
      <c r="C4605" t="s">
        <v>40</v>
      </c>
      <c r="D4605">
        <v>4.4692030000000003</v>
      </c>
      <c r="E4605">
        <v>0.4432027</v>
      </c>
      <c r="F4605" t="s">
        <v>42</v>
      </c>
      <c r="G4605">
        <v>-418.56509999999997</v>
      </c>
      <c r="H4605" s="1">
        <v>-1.8465259999999999E-6</v>
      </c>
      <c r="I4605">
        <v>43.343769999999999</v>
      </c>
      <c r="J4605">
        <v>-422.64729999999997</v>
      </c>
      <c r="K4605">
        <v>1.1115619999999999</v>
      </c>
      <c r="L4605">
        <v>50.960569999999997</v>
      </c>
      <c r="M4605">
        <v>9.6044299999999999E-2</v>
      </c>
      <c r="N4605">
        <v>0</v>
      </c>
      <c r="O4605">
        <v>-0.99531480000000006</v>
      </c>
      <c r="P4605">
        <v>0.325605599999999</v>
      </c>
      <c r="Q4605">
        <v>5.0788680000000003E-2</v>
      </c>
      <c r="R4605">
        <v>-0.9441406</v>
      </c>
      <c r="S4605">
        <v>1.4171450000000001</v>
      </c>
      <c r="T4605">
        <v>-0.38348500000000002</v>
      </c>
      <c r="U4605">
        <v>-2.7111209999999999</v>
      </c>
      <c r="V4605">
        <v>-0.23363999999999999</v>
      </c>
      <c r="W4605">
        <v>6.07358E-2</v>
      </c>
      <c r="X4605">
        <v>0.97042439999999996</v>
      </c>
      <c r="Y4605">
        <v>-0.37229129999999999</v>
      </c>
      <c r="Z4605">
        <v>0.12612970000000001</v>
      </c>
      <c r="AA4605">
        <v>0.91950560000000003</v>
      </c>
      <c r="AB4605">
        <v>24</v>
      </c>
      <c r="AC4605">
        <v>4.0822000000000003</v>
      </c>
      <c r="AD4605">
        <v>-1.111563846526</v>
      </c>
      <c r="AE4605">
        <v>-7.6167999999999996</v>
      </c>
      <c r="AF4605">
        <v>-3.2775043004976401</v>
      </c>
      <c r="AG4605">
        <v>-1.111563846526</v>
      </c>
      <c r="AH4605">
        <v>7.84390325258265</v>
      </c>
      <c r="AI4605">
        <v>97.449456366565002</v>
      </c>
      <c r="AJ4605">
        <v>112.677171586759</v>
      </c>
      <c r="AK4605">
        <v>8.57347227560461</v>
      </c>
      <c r="AL4605">
        <v>86.517951973509298</v>
      </c>
      <c r="AM4605">
        <v>103.536934070844</v>
      </c>
      <c r="AN4605">
        <v>1.0000000015585</v>
      </c>
    </row>
    <row r="4606" spans="1:40" x14ac:dyDescent="0.25">
      <c r="A4606" t="str">
        <f>"20190312151407783"</f>
        <v>20190312151407783</v>
      </c>
      <c r="B4606" t="str">
        <f>"1552374847774815"</f>
        <v>1552374847774815</v>
      </c>
      <c r="C4606" t="s">
        <v>40</v>
      </c>
      <c r="D4606">
        <v>4.4862789999999997</v>
      </c>
      <c r="E4606">
        <v>0.44320379999999998</v>
      </c>
      <c r="F4606" t="s">
        <v>42</v>
      </c>
      <c r="G4606">
        <v>-418.5145</v>
      </c>
      <c r="H4606" s="1">
        <v>-1.7617729999999999E-6</v>
      </c>
      <c r="I4606">
        <v>43.125279999999997</v>
      </c>
      <c r="J4606">
        <v>-422.6216</v>
      </c>
      <c r="K4606">
        <v>1.111561</v>
      </c>
      <c r="L4606">
        <v>50.722020000000001</v>
      </c>
      <c r="M4606">
        <v>9.843644E-2</v>
      </c>
      <c r="N4606">
        <v>0</v>
      </c>
      <c r="O4606">
        <v>-0.99508169999999996</v>
      </c>
      <c r="P4606">
        <v>0.32850689999999999</v>
      </c>
      <c r="Q4606">
        <v>5.0890379999999999E-2</v>
      </c>
      <c r="R4606">
        <v>-0.94313000000000002</v>
      </c>
      <c r="S4606">
        <v>1.4272769999999999</v>
      </c>
      <c r="T4606">
        <v>-0.38388100000000003</v>
      </c>
      <c r="U4606">
        <v>-2.7059329999999999</v>
      </c>
      <c r="V4606">
        <v>-0.23429249999999999</v>
      </c>
      <c r="W4606">
        <v>6.0792430000000001E-2</v>
      </c>
      <c r="X4606">
        <v>0.97026349999999995</v>
      </c>
      <c r="Y4606">
        <v>-0.37347530000000001</v>
      </c>
      <c r="Z4606">
        <v>0.12629019999999999</v>
      </c>
      <c r="AA4606">
        <v>0.91900320000000002</v>
      </c>
      <c r="AB4606">
        <v>24</v>
      </c>
      <c r="AC4606">
        <v>4.1071</v>
      </c>
      <c r="AD4606">
        <v>-1.111562761773</v>
      </c>
      <c r="AE4606">
        <v>-7.5967399999999996</v>
      </c>
      <c r="AF4606">
        <v>-3.2848869779440002</v>
      </c>
      <c r="AG4606">
        <v>-1.111562761773</v>
      </c>
      <c r="AH4606">
        <v>7.8343592256927002</v>
      </c>
      <c r="AI4606">
        <v>97.454611060843803</v>
      </c>
      <c r="AJ4606">
        <v>112.747931946265</v>
      </c>
      <c r="AK4606">
        <v>8.5675690080922493</v>
      </c>
      <c r="AL4606">
        <v>86.514701222020193</v>
      </c>
      <c r="AM4606">
        <v>103.575510207733</v>
      </c>
      <c r="AN4606">
        <v>0.99999997726690204</v>
      </c>
    </row>
    <row r="4607" spans="1:40" x14ac:dyDescent="0.25">
      <c r="A4607" t="str">
        <f>"20190312151407807"</f>
        <v>20190312151407807</v>
      </c>
      <c r="B4607" t="str">
        <f>"1552374847795312"</f>
        <v>1552374847795312</v>
      </c>
      <c r="C4607" t="s">
        <v>40</v>
      </c>
      <c r="D4607">
        <v>4.492299</v>
      </c>
      <c r="E4607">
        <v>0.44313989999999998</v>
      </c>
      <c r="F4607" t="s">
        <v>42</v>
      </c>
      <c r="G4607">
        <v>-418.45780000000002</v>
      </c>
      <c r="H4607" s="1">
        <v>-1.670088E-6</v>
      </c>
      <c r="I4607">
        <v>42.888089999999998</v>
      </c>
      <c r="J4607">
        <v>-422.59500000000003</v>
      </c>
      <c r="K4607">
        <v>1.1115539999999999</v>
      </c>
      <c r="L4607">
        <v>50.481780000000001</v>
      </c>
      <c r="M4607">
        <v>0.1008463</v>
      </c>
      <c r="N4607">
        <v>0</v>
      </c>
      <c r="O4607">
        <v>-0.99484070000000002</v>
      </c>
      <c r="P4607">
        <v>0.33118370000000003</v>
      </c>
      <c r="Q4607">
        <v>5.103121E-2</v>
      </c>
      <c r="R4607">
        <v>-0.9421853</v>
      </c>
      <c r="S4607">
        <v>1.4358519999999999</v>
      </c>
      <c r="T4607">
        <v>-0.3833107</v>
      </c>
      <c r="U4607">
        <v>-2.7014469999999999</v>
      </c>
      <c r="V4607">
        <v>-0.23469950000000001</v>
      </c>
      <c r="W4607">
        <v>6.0894770000000001E-2</v>
      </c>
      <c r="X4607">
        <v>0.97015870000000004</v>
      </c>
      <c r="Y4607">
        <v>-0.37414829999999999</v>
      </c>
      <c r="Z4607">
        <v>0.1261369</v>
      </c>
      <c r="AA4607">
        <v>0.91875050000000003</v>
      </c>
      <c r="AB4607">
        <v>24</v>
      </c>
      <c r="AC4607">
        <v>4.1372</v>
      </c>
      <c r="AD4607">
        <v>-1.111555670088</v>
      </c>
      <c r="AE4607">
        <v>-7.5936899999999898</v>
      </c>
      <c r="AF4607">
        <v>-3.2958090301850498</v>
      </c>
      <c r="AG4607">
        <v>-1.111555670088</v>
      </c>
      <c r="AH4607">
        <v>7.8426401014996596</v>
      </c>
      <c r="AI4607">
        <v>97.444285497084493</v>
      </c>
      <c r="AJ4607">
        <v>112.79420524742601</v>
      </c>
      <c r="AK4607">
        <v>8.5793307974925792</v>
      </c>
      <c r="AL4607">
        <v>86.508826647871103</v>
      </c>
      <c r="AM4607">
        <v>103.599632286112</v>
      </c>
      <c r="AN4607">
        <v>0.999999965749645</v>
      </c>
    </row>
    <row r="4608" spans="1:40" x14ac:dyDescent="0.25">
      <c r="A4608" t="str">
        <f>"20190312151407830"</f>
        <v>20190312151407830</v>
      </c>
      <c r="B4608" t="str">
        <f>"1552374847825568"</f>
        <v>1552374847825568</v>
      </c>
      <c r="C4608" t="s">
        <v>40</v>
      </c>
      <c r="D4608">
        <v>4.4363239999999999</v>
      </c>
      <c r="E4608">
        <v>0.44282820000000001</v>
      </c>
      <c r="F4608" t="s">
        <v>42</v>
      </c>
      <c r="G4608">
        <v>-418.39569999999998</v>
      </c>
      <c r="H4608" s="1">
        <v>-1.573098E-6</v>
      </c>
      <c r="I4608">
        <v>42.636339999999997</v>
      </c>
      <c r="J4608">
        <v>-422.56720000000001</v>
      </c>
      <c r="K4608">
        <v>1.11155</v>
      </c>
      <c r="L4608">
        <v>50.235379999999999</v>
      </c>
      <c r="M4608">
        <v>0.103317699999999</v>
      </c>
      <c r="N4608">
        <v>0</v>
      </c>
      <c r="O4608">
        <v>-0.99458740000000001</v>
      </c>
      <c r="P4608">
        <v>0.33355669999999998</v>
      </c>
      <c r="Q4608">
        <v>5.044183E-2</v>
      </c>
      <c r="R4608">
        <v>-0.94137969999999904</v>
      </c>
      <c r="S4608">
        <v>1.443756</v>
      </c>
      <c r="T4608">
        <v>-0.38215729999999998</v>
      </c>
      <c r="U4608">
        <v>-2.6972960000000001</v>
      </c>
      <c r="V4608">
        <v>-0.23472879999999999</v>
      </c>
      <c r="W4608">
        <v>6.0273640000000003E-2</v>
      </c>
      <c r="X4608">
        <v>0.97019049999999996</v>
      </c>
      <c r="Y4608">
        <v>-0.37454929999999997</v>
      </c>
      <c r="Z4608">
        <v>0.12579219999999999</v>
      </c>
      <c r="AA4608">
        <v>0.91863439999999996</v>
      </c>
      <c r="AB4608">
        <v>24</v>
      </c>
      <c r="AC4608">
        <v>4.1715000000000302</v>
      </c>
      <c r="AD4608">
        <v>-1.1115515730979999</v>
      </c>
      <c r="AE4608">
        <v>-7.5990399999999898</v>
      </c>
      <c r="AF4608">
        <v>-3.3095945340325299</v>
      </c>
      <c r="AG4608">
        <v>-1.1115515730979999</v>
      </c>
      <c r="AH4608">
        <v>7.8601492371237498</v>
      </c>
      <c r="AI4608">
        <v>97.4257147115501</v>
      </c>
      <c r="AJ4608">
        <v>112.834013377088</v>
      </c>
      <c r="AK4608">
        <v>8.6006342155222395</v>
      </c>
      <c r="AL4608">
        <v>86.544480608786202</v>
      </c>
      <c r="AM4608">
        <v>103.600837756731</v>
      </c>
      <c r="AN4608">
        <v>1.0000000637592601</v>
      </c>
    </row>
    <row r="4609" spans="1:40" x14ac:dyDescent="0.25">
      <c r="A4609" t="str">
        <f>"20190312151407852"</f>
        <v>20190312151407852</v>
      </c>
      <c r="B4609" t="str">
        <f>"1552374847845089"</f>
        <v>1552374847845089</v>
      </c>
      <c r="C4609" t="s">
        <v>40</v>
      </c>
      <c r="D4609">
        <v>4.3957319999999998</v>
      </c>
      <c r="E4609">
        <v>0.42087920000000001</v>
      </c>
      <c r="F4609" t="s">
        <v>42</v>
      </c>
      <c r="G4609">
        <v>-418.41759999999999</v>
      </c>
      <c r="H4609" s="1">
        <v>-1.53182E-6</v>
      </c>
      <c r="I4609">
        <v>42.54918</v>
      </c>
      <c r="J4609">
        <v>-422.53899999999999</v>
      </c>
      <c r="K4609">
        <v>1.1115469999999901</v>
      </c>
      <c r="L4609">
        <v>49.991459999999996</v>
      </c>
      <c r="M4609">
        <v>0.1057649</v>
      </c>
      <c r="N4609">
        <v>0</v>
      </c>
      <c r="O4609">
        <v>-0.99433050000000001</v>
      </c>
      <c r="P4609">
        <v>0.33603889999999997</v>
      </c>
      <c r="Q4609">
        <v>4.9769760000000003E-2</v>
      </c>
      <c r="R4609">
        <v>-0.94053220000000004</v>
      </c>
      <c r="S4609">
        <v>1.4536739999999999</v>
      </c>
      <c r="T4609">
        <v>-0.3893934</v>
      </c>
      <c r="U4609">
        <v>-2.692596</v>
      </c>
      <c r="V4609">
        <v>-0.23489460000000001</v>
      </c>
      <c r="W4609">
        <v>5.957109E-2</v>
      </c>
      <c r="X4609">
        <v>0.97019370000000005</v>
      </c>
      <c r="Y4609">
        <v>-0.37541910000000001</v>
      </c>
      <c r="Z4609">
        <v>0.12814880000000001</v>
      </c>
      <c r="AA4609">
        <v>0.91795340000000003</v>
      </c>
      <c r="AB4609">
        <v>24</v>
      </c>
      <c r="AC4609">
        <v>4.1213999999999897</v>
      </c>
      <c r="AD4609">
        <v>-1.11154853181999</v>
      </c>
      <c r="AE4609">
        <v>-7.4422799999999896</v>
      </c>
      <c r="AF4609">
        <v>-3.2555240401131398</v>
      </c>
      <c r="AG4609">
        <v>-1.11154853181999</v>
      </c>
      <c r="AH4609">
        <v>7.7049218474675998</v>
      </c>
      <c r="AI4609">
        <v>97.569650254055603</v>
      </c>
      <c r="AJ4609">
        <v>112.905285443957</v>
      </c>
      <c r="AK4609">
        <v>8.4379972499361102</v>
      </c>
      <c r="AL4609">
        <v>86.584806008227503</v>
      </c>
      <c r="AM4609">
        <v>103.610044238949</v>
      </c>
      <c r="AN4609">
        <v>1.00000000169631</v>
      </c>
    </row>
    <row r="4610" spans="1:40" x14ac:dyDescent="0.25">
      <c r="A4610" t="str">
        <f>"20190312151407873"</f>
        <v>20190312151407873</v>
      </c>
      <c r="B4610" t="str">
        <f>"1552374847864608"</f>
        <v>1552374847864608</v>
      </c>
      <c r="C4610" t="s">
        <v>40</v>
      </c>
      <c r="D4610">
        <v>4.4179639999999996</v>
      </c>
      <c r="E4610">
        <v>0.41691810000000001</v>
      </c>
      <c r="F4610" t="s">
        <v>41</v>
      </c>
      <c r="G4610">
        <v>-422.01929999999999</v>
      </c>
      <c r="H4610">
        <v>0.97195710000000002</v>
      </c>
      <c r="I4610">
        <v>49.150590000000001</v>
      </c>
      <c r="J4610">
        <v>-422.51310000000001</v>
      </c>
      <c r="K4610">
        <v>1.11154</v>
      </c>
      <c r="L4610">
        <v>49.77158</v>
      </c>
      <c r="M4610">
        <v>0.10797080000000001</v>
      </c>
      <c r="N4610">
        <v>0</v>
      </c>
      <c r="O4610">
        <v>-0.99409360000000002</v>
      </c>
      <c r="P4610">
        <v>0.33847860000000002</v>
      </c>
      <c r="Q4610">
        <v>4.9379159999999998E-2</v>
      </c>
      <c r="R4610">
        <v>-0.93967789999999995</v>
      </c>
      <c r="S4610">
        <v>1.6271059999999999</v>
      </c>
      <c r="T4610">
        <v>-0.43684390000000001</v>
      </c>
      <c r="U4610">
        <v>-2.6314389999999999</v>
      </c>
      <c r="V4610">
        <v>-0.23525670000000001</v>
      </c>
      <c r="W4610">
        <v>5.9148880000000001E-2</v>
      </c>
      <c r="X4610">
        <v>0.97013179999999999</v>
      </c>
      <c r="Y4610">
        <v>-0.42566029999999999</v>
      </c>
      <c r="Z4610">
        <v>0.14239549999999901</v>
      </c>
      <c r="AA4610">
        <v>0.89360890000000004</v>
      </c>
      <c r="AB4610">
        <v>24</v>
      </c>
      <c r="AC4610">
        <v>0.493800000000021</v>
      </c>
      <c r="AD4610">
        <v>-0.13958289999999901</v>
      </c>
      <c r="AE4610">
        <v>-0.62098999999999904</v>
      </c>
      <c r="AF4610">
        <v>-0.411134593625466</v>
      </c>
      <c r="AG4610">
        <v>-0.13958289999999901</v>
      </c>
      <c r="AH4610">
        <v>0.650542755420491</v>
      </c>
      <c r="AI4610">
        <v>100.28042286371</v>
      </c>
      <c r="AJ4610">
        <v>122.292356085577</v>
      </c>
      <c r="AK4610">
        <v>0.782125895670302</v>
      </c>
      <c r="AL4610">
        <v>86.609039610401894</v>
      </c>
      <c r="AM4610">
        <v>103.631079857055</v>
      </c>
      <c r="AN4610">
        <v>1.00000000713569</v>
      </c>
    </row>
    <row r="4611" spans="1:40" x14ac:dyDescent="0.25">
      <c r="A4611" t="str">
        <f>"20190312151407895"</f>
        <v>20190312151407895</v>
      </c>
      <c r="B4611" t="str">
        <f>"1552374847885104"</f>
        <v>1552374847885104</v>
      </c>
      <c r="C4611" t="s">
        <v>40</v>
      </c>
      <c r="D4611">
        <v>4.3851149999999999</v>
      </c>
      <c r="E4611">
        <v>0.4144428</v>
      </c>
      <c r="F4611" t="s">
        <v>41</v>
      </c>
      <c r="G4611">
        <v>-421.99689999999998</v>
      </c>
      <c r="H4611">
        <v>0.96983220000000003</v>
      </c>
      <c r="I4611">
        <v>48.960050000000003</v>
      </c>
      <c r="J4611">
        <v>-422.48500000000001</v>
      </c>
      <c r="K4611">
        <v>1.111534</v>
      </c>
      <c r="L4611">
        <v>49.537109999999998</v>
      </c>
      <c r="M4611">
        <v>0.1103224</v>
      </c>
      <c r="N4611">
        <v>0</v>
      </c>
      <c r="O4611">
        <v>-0.99383569999999999</v>
      </c>
      <c r="P4611">
        <v>0.34052729999999998</v>
      </c>
      <c r="Q4611">
        <v>4.9288789999999999E-2</v>
      </c>
      <c r="R4611">
        <v>-0.93894200000000005</v>
      </c>
      <c r="S4611">
        <v>1.664795</v>
      </c>
      <c r="T4611">
        <v>-0.45695520000000001</v>
      </c>
      <c r="U4611">
        <v>-2.616943</v>
      </c>
      <c r="V4611">
        <v>-0.23507710000000001</v>
      </c>
      <c r="W4611">
        <v>5.9028450000000003E-2</v>
      </c>
      <c r="X4611">
        <v>0.97018269999999995</v>
      </c>
      <c r="Y4611">
        <v>-0.43445080000000003</v>
      </c>
      <c r="Z4611">
        <v>0.14857609999999999</v>
      </c>
      <c r="AA4611">
        <v>0.888356699999999</v>
      </c>
      <c r="AB4611">
        <v>24</v>
      </c>
      <c r="AC4611">
        <v>0.48810000000003101</v>
      </c>
      <c r="AD4611">
        <v>-0.14170179999999999</v>
      </c>
      <c r="AE4611">
        <v>-0.57705999999999502</v>
      </c>
      <c r="AF4611">
        <v>-0.40714247280582999</v>
      </c>
      <c r="AG4611">
        <v>-0.14170179999999999</v>
      </c>
      <c r="AH4611">
        <v>0.60608449318894198</v>
      </c>
      <c r="AI4611">
        <v>100.983144069319</v>
      </c>
      <c r="AJ4611">
        <v>123.891571476935</v>
      </c>
      <c r="AK4611">
        <v>0.74376260067966704</v>
      </c>
      <c r="AL4611">
        <v>86.615951916706294</v>
      </c>
      <c r="AM4611">
        <v>103.620373415494</v>
      </c>
      <c r="AN4611">
        <v>1.00000003611655</v>
      </c>
    </row>
    <row r="4612" spans="1:40" x14ac:dyDescent="0.25">
      <c r="A4612" t="str">
        <f>"20190312151407918"</f>
        <v>20190312151407918</v>
      </c>
      <c r="B4612" t="str">
        <f>"1552374847915360"</f>
        <v>1552374847915360</v>
      </c>
      <c r="C4612" t="s">
        <v>40</v>
      </c>
      <c r="D4612">
        <v>4.4060959999999998</v>
      </c>
      <c r="E4612">
        <v>0.41321229999999998</v>
      </c>
      <c r="F4612" t="s">
        <v>41</v>
      </c>
      <c r="G4612">
        <v>-421.96980000000002</v>
      </c>
      <c r="H4612">
        <v>0.96899369999999996</v>
      </c>
      <c r="I4612">
        <v>48.741990000000001</v>
      </c>
      <c r="J4612">
        <v>-422.4556</v>
      </c>
      <c r="K4612">
        <v>1.111532</v>
      </c>
      <c r="L4612">
        <v>49.296939999999999</v>
      </c>
      <c r="M4612">
        <v>0.1127307</v>
      </c>
      <c r="N4612">
        <v>0</v>
      </c>
      <c r="O4612">
        <v>-0.9935659</v>
      </c>
      <c r="P4612">
        <v>0.34312680000000001</v>
      </c>
      <c r="Q4612">
        <v>4.9242309999999997E-2</v>
      </c>
      <c r="R4612">
        <v>-0.93799759999999999</v>
      </c>
      <c r="S4612">
        <v>1.68936199999999</v>
      </c>
      <c r="T4612">
        <v>-0.4673349</v>
      </c>
      <c r="U4612">
        <v>-2.6069339999999999</v>
      </c>
      <c r="V4612">
        <v>-0.23541309999999999</v>
      </c>
      <c r="W4612">
        <v>5.8950389999999998E-2</v>
      </c>
      <c r="X4612">
        <v>0.97010589999999997</v>
      </c>
      <c r="Y4612">
        <v>-0.43947219999999998</v>
      </c>
      <c r="Z4612">
        <v>0.15173909999999999</v>
      </c>
      <c r="AA4612">
        <v>0.88534709999999905</v>
      </c>
      <c r="AB4612">
        <v>24</v>
      </c>
      <c r="AC4612">
        <v>0.48579999999998302</v>
      </c>
      <c r="AD4612">
        <v>-0.14253829999999901</v>
      </c>
      <c r="AE4612">
        <v>-0.55494999999999794</v>
      </c>
      <c r="AF4612">
        <v>-0.40501223411207199</v>
      </c>
      <c r="AG4612">
        <v>-0.14253829999999901</v>
      </c>
      <c r="AH4612">
        <v>0.58435444352617705</v>
      </c>
      <c r="AI4612">
        <v>101.336317851592</v>
      </c>
      <c r="AJ4612">
        <v>124.72557605589201</v>
      </c>
      <c r="AK4612">
        <v>0.72513598201725604</v>
      </c>
      <c r="AL4612">
        <v>86.620431992112003</v>
      </c>
      <c r="AM4612">
        <v>103.640154018627</v>
      </c>
      <c r="AN4612">
        <v>0.99999996667378499</v>
      </c>
    </row>
    <row r="4613" spans="1:40" x14ac:dyDescent="0.25">
      <c r="A4613" t="str">
        <f>"20190312151407940"</f>
        <v>20190312151407940</v>
      </c>
      <c r="B4613" t="str">
        <f>"1552374847934880"</f>
        <v>1552374847934880</v>
      </c>
      <c r="C4613" t="s">
        <v>40</v>
      </c>
      <c r="D4613">
        <v>4.3708169999999997</v>
      </c>
      <c r="E4613">
        <v>0.41272189999999997</v>
      </c>
      <c r="F4613" t="s">
        <v>41</v>
      </c>
      <c r="G4613">
        <v>-421.93099999999998</v>
      </c>
      <c r="H4613">
        <v>0.96428170000000002</v>
      </c>
      <c r="I4613">
        <v>48.49785</v>
      </c>
      <c r="J4613">
        <v>-422.42570000000001</v>
      </c>
      <c r="K4613">
        <v>1.111523</v>
      </c>
      <c r="L4613">
        <v>49.058140000000002</v>
      </c>
      <c r="M4613">
        <v>0.11512509999999999</v>
      </c>
      <c r="N4613">
        <v>0</v>
      </c>
      <c r="O4613">
        <v>-0.99329149999999999</v>
      </c>
      <c r="P4613">
        <v>0.34514660000000003</v>
      </c>
      <c r="Q4613">
        <v>4.9130140000000003E-2</v>
      </c>
      <c r="R4613">
        <v>-0.93726229999999999</v>
      </c>
      <c r="S4613">
        <v>1.706604</v>
      </c>
      <c r="T4613">
        <v>-0.4789678</v>
      </c>
      <c r="U4613">
        <v>-2.5991819999999999</v>
      </c>
      <c r="V4613">
        <v>-0.2351637</v>
      </c>
      <c r="W4613">
        <v>5.881521E-2</v>
      </c>
      <c r="X4613">
        <v>0.9701746</v>
      </c>
      <c r="Y4613">
        <v>-0.44232500000000002</v>
      </c>
      <c r="Z4613">
        <v>0.1553619</v>
      </c>
      <c r="AA4613">
        <v>0.88329570000000002</v>
      </c>
      <c r="AB4613">
        <v>24</v>
      </c>
      <c r="AC4613">
        <v>0.49470000000002201</v>
      </c>
      <c r="AD4613">
        <v>-0.14724129999999999</v>
      </c>
      <c r="AE4613">
        <v>-0.56029000000000195</v>
      </c>
      <c r="AF4613">
        <v>-0.41095490723261002</v>
      </c>
      <c r="AG4613">
        <v>-0.14724129999999999</v>
      </c>
      <c r="AH4613">
        <v>0.59060014915049297</v>
      </c>
      <c r="AI4613">
        <v>101.565412904444</v>
      </c>
      <c r="AJ4613">
        <v>124.83119807049</v>
      </c>
      <c r="AK4613">
        <v>0.73441982025326502</v>
      </c>
      <c r="AL4613">
        <v>86.628190724735305</v>
      </c>
      <c r="AM4613">
        <v>103.62531353140101</v>
      </c>
      <c r="AN4613">
        <v>0.99999997460509604</v>
      </c>
    </row>
    <row r="4614" spans="1:40" x14ac:dyDescent="0.25">
      <c r="A4614" t="str">
        <f>"20190312151407962"</f>
        <v>20190312151407962</v>
      </c>
      <c r="B4614" t="str">
        <f>"1552374847955375"</f>
        <v>1552374847955375</v>
      </c>
      <c r="C4614" t="s">
        <v>40</v>
      </c>
      <c r="D4614">
        <v>4.4038339999999998</v>
      </c>
      <c r="E4614">
        <v>0.41240700000000002</v>
      </c>
      <c r="F4614" t="s">
        <v>41</v>
      </c>
      <c r="G4614">
        <v>-421.8895</v>
      </c>
      <c r="H4614">
        <v>0.9599299</v>
      </c>
      <c r="I4614">
        <v>48.247410000000002</v>
      </c>
      <c r="J4614">
        <v>-422.39670000000001</v>
      </c>
      <c r="K4614">
        <v>1.111521</v>
      </c>
      <c r="L4614">
        <v>48.830379999999998</v>
      </c>
      <c r="M4614">
        <v>0.11740879999999999</v>
      </c>
      <c r="N4614">
        <v>0</v>
      </c>
      <c r="O4614">
        <v>-0.99302449999999998</v>
      </c>
      <c r="P4614">
        <v>0.3474217</v>
      </c>
      <c r="Q4614">
        <v>4.8982879999999999E-2</v>
      </c>
      <c r="R4614">
        <v>-0.93642910000000001</v>
      </c>
      <c r="S4614">
        <v>1.7166439999999901</v>
      </c>
      <c r="T4614">
        <v>-0.4850855</v>
      </c>
      <c r="U4614">
        <v>-2.5940859999999999</v>
      </c>
      <c r="V4614">
        <v>-0.23528779999999999</v>
      </c>
      <c r="W4614">
        <v>5.8645740000000002E-2</v>
      </c>
      <c r="X4614">
        <v>0.97015479999999998</v>
      </c>
      <c r="Y4614">
        <v>-0.4432797</v>
      </c>
      <c r="Z4614">
        <v>0.15729009999999999</v>
      </c>
      <c r="AA4614">
        <v>0.88247549999999997</v>
      </c>
      <c r="AB4614">
        <v>24</v>
      </c>
      <c r="AC4614">
        <v>0.50720000000001098</v>
      </c>
      <c r="AD4614">
        <v>-0.15159109999999901</v>
      </c>
      <c r="AE4614">
        <v>-0.58297000000000299</v>
      </c>
      <c r="AF4614">
        <v>-0.41911209379875197</v>
      </c>
      <c r="AG4614">
        <v>-0.15159109999999901</v>
      </c>
      <c r="AH4614">
        <v>0.61482881693213498</v>
      </c>
      <c r="AI4614">
        <v>101.515108781791</v>
      </c>
      <c r="AJ4614">
        <v>124.28119106932201</v>
      </c>
      <c r="AK4614">
        <v>0.75937427063191498</v>
      </c>
      <c r="AL4614">
        <v>86.637917528538097</v>
      </c>
      <c r="AM4614">
        <v>103.632503450089</v>
      </c>
      <c r="AN4614">
        <v>1.00000000380601</v>
      </c>
    </row>
    <row r="4615" spans="1:40" x14ac:dyDescent="0.25">
      <c r="A4615" t="str">
        <f>"20190312151407985"</f>
        <v>20190312151407985</v>
      </c>
      <c r="B4615" t="str">
        <f>"1552374847974895"</f>
        <v>1552374847974895</v>
      </c>
      <c r="C4615" t="s">
        <v>40</v>
      </c>
      <c r="D4615">
        <v>4.413888</v>
      </c>
      <c r="E4615">
        <v>0.41191030000000001</v>
      </c>
      <c r="F4615" t="s">
        <v>42</v>
      </c>
      <c r="G4615">
        <v>-418.46109999999999</v>
      </c>
      <c r="H4615" s="1">
        <v>-1.685393E-6</v>
      </c>
      <c r="I4615">
        <v>42.925150000000002</v>
      </c>
      <c r="J4615">
        <v>-422.36500000000001</v>
      </c>
      <c r="K4615">
        <v>1.1115159999999999</v>
      </c>
      <c r="L4615">
        <v>48.585970000000003</v>
      </c>
      <c r="M4615">
        <v>0.1198603</v>
      </c>
      <c r="N4615">
        <v>0</v>
      </c>
      <c r="O4615">
        <v>-0.99273180000000005</v>
      </c>
      <c r="P4615">
        <v>0.34931400000000001</v>
      </c>
      <c r="Q4615">
        <v>4.8705030000000003E-2</v>
      </c>
      <c r="R4615">
        <v>-0.93573919999999999</v>
      </c>
      <c r="S4615">
        <v>1.7254940000000001</v>
      </c>
      <c r="T4615">
        <v>-0.48732229999999999</v>
      </c>
      <c r="U4615">
        <v>-2.5890200000000001</v>
      </c>
      <c r="V4615">
        <v>-0.23485139999999999</v>
      </c>
      <c r="W4615">
        <v>5.834918E-2</v>
      </c>
      <c r="X4615">
        <v>0.97027839999999999</v>
      </c>
      <c r="Y4615">
        <v>-0.44389669999999998</v>
      </c>
      <c r="Z4615">
        <v>0.1580164</v>
      </c>
      <c r="AA4615">
        <v>0.88203539999999903</v>
      </c>
      <c r="AB4615">
        <v>24</v>
      </c>
      <c r="AC4615">
        <v>3.9039000000000201</v>
      </c>
      <c r="AD4615">
        <v>-1.111517685393</v>
      </c>
      <c r="AE4615">
        <v>-5.6608200000000002</v>
      </c>
      <c r="AF4615">
        <v>-3.1157957024736902</v>
      </c>
      <c r="AG4615">
        <v>-1.111517685393</v>
      </c>
      <c r="AH4615">
        <v>5.93293912789931</v>
      </c>
      <c r="AI4615">
        <v>99.417625933806406</v>
      </c>
      <c r="AJ4615">
        <v>117.70706301017</v>
      </c>
      <c r="AK4615">
        <v>6.7928948998091796</v>
      </c>
      <c r="AL4615">
        <v>86.654938266451396</v>
      </c>
      <c r="AM4615">
        <v>103.606490549772</v>
      </c>
      <c r="AN4615">
        <v>0.999999990197596</v>
      </c>
    </row>
    <row r="4616" spans="1:40" x14ac:dyDescent="0.25">
      <c r="A4616" t="str">
        <f>"20190312151408008"</f>
        <v>20190312151408008</v>
      </c>
      <c r="B4616" t="str">
        <f>"1552374848005151"</f>
        <v>1552374848005151</v>
      </c>
      <c r="C4616" t="s">
        <v>40</v>
      </c>
      <c r="D4616">
        <v>4.386082</v>
      </c>
      <c r="E4616">
        <v>0.41142529999999999</v>
      </c>
      <c r="F4616" t="s">
        <v>42</v>
      </c>
      <c r="G4616">
        <v>-418.41750000000002</v>
      </c>
      <c r="H4616" s="1">
        <v>-1.599833E-6</v>
      </c>
      <c r="I4616">
        <v>42.707700000000003</v>
      </c>
      <c r="J4616">
        <v>-422.33350000000002</v>
      </c>
      <c r="K4616">
        <v>1.111521</v>
      </c>
      <c r="L4616">
        <v>48.34787</v>
      </c>
      <c r="M4616">
        <v>0.1222536</v>
      </c>
      <c r="N4616">
        <v>0</v>
      </c>
      <c r="O4616">
        <v>-0.99243999999999999</v>
      </c>
      <c r="P4616">
        <v>0.35107339999999998</v>
      </c>
      <c r="Q4616">
        <v>4.8289899999999997E-2</v>
      </c>
      <c r="R4616">
        <v>-0.93510230000000005</v>
      </c>
      <c r="S4616">
        <v>1.735077</v>
      </c>
      <c r="T4616">
        <v>-0.48855730000000003</v>
      </c>
      <c r="U4616">
        <v>-2.5837400000000001</v>
      </c>
      <c r="V4616">
        <v>-0.23433309999999999</v>
      </c>
      <c r="W4616">
        <v>5.7917900000000001E-2</v>
      </c>
      <c r="X4616">
        <v>0.97042949999999994</v>
      </c>
      <c r="Y4616">
        <v>-0.44479819999999998</v>
      </c>
      <c r="Z4616">
        <v>0.15841379999999999</v>
      </c>
      <c r="AA4616">
        <v>0.88150980000000001</v>
      </c>
      <c r="AB4616">
        <v>24</v>
      </c>
      <c r="AC4616">
        <v>3.9159999999999902</v>
      </c>
      <c r="AD4616">
        <v>-1.1115225998330001</v>
      </c>
      <c r="AE4616">
        <v>-5.6401699999999897</v>
      </c>
      <c r="AF4616">
        <v>-3.1154110538340198</v>
      </c>
      <c r="AG4616">
        <v>-1.1115225998330001</v>
      </c>
      <c r="AH4616">
        <v>5.9214579866089299</v>
      </c>
      <c r="AI4616">
        <v>99.4319614767941</v>
      </c>
      <c r="AJ4616">
        <v>117.74985826503</v>
      </c>
      <c r="AK4616">
        <v>6.7826936545494503</v>
      </c>
      <c r="AL4616">
        <v>86.6796905168504</v>
      </c>
      <c r="AM4616">
        <v>103.575538965197</v>
      </c>
      <c r="AN4616">
        <v>0.99999994968313299</v>
      </c>
    </row>
    <row r="4617" spans="1:40" x14ac:dyDescent="0.25">
      <c r="A4617" t="str">
        <f>"20190312151408030"</f>
        <v>20190312151408030</v>
      </c>
      <c r="B4617" t="str">
        <f>"1552374848024672"</f>
        <v>1552374848024672</v>
      </c>
      <c r="C4617" t="s">
        <v>40</v>
      </c>
      <c r="D4617">
        <v>4.3928339999999997</v>
      </c>
      <c r="E4617">
        <v>0.41127520000000001</v>
      </c>
      <c r="F4617" t="s">
        <v>42</v>
      </c>
      <c r="G4617">
        <v>-418.3886</v>
      </c>
      <c r="H4617" s="1">
        <v>-1.5226390000000001E-6</v>
      </c>
      <c r="I4617">
        <v>42.515779999999999</v>
      </c>
      <c r="J4617">
        <v>-422.3014</v>
      </c>
      <c r="K4617">
        <v>1.111524</v>
      </c>
      <c r="L4617">
        <v>48.109380000000002</v>
      </c>
      <c r="M4617">
        <v>0.12466149999999999</v>
      </c>
      <c r="N4617">
        <v>0</v>
      </c>
      <c r="O4617">
        <v>-0.99214049999999998</v>
      </c>
      <c r="P4617">
        <v>0.35268319999999997</v>
      </c>
      <c r="Q4617">
        <v>4.8326279999999999E-2</v>
      </c>
      <c r="R4617">
        <v>-0.93449409999999999</v>
      </c>
      <c r="S4617">
        <v>1.7442930000000001</v>
      </c>
      <c r="T4617">
        <v>-0.49146820000000002</v>
      </c>
      <c r="U4617">
        <v>-2.5787049999999998</v>
      </c>
      <c r="V4617">
        <v>-0.2336502</v>
      </c>
      <c r="W4617">
        <v>5.7939789999999998E-2</v>
      </c>
      <c r="X4617">
        <v>0.97059289999999998</v>
      </c>
      <c r="Y4617">
        <v>-0.4455112</v>
      </c>
      <c r="Z4617">
        <v>0.1593376</v>
      </c>
      <c r="AA4617">
        <v>0.88098310000000002</v>
      </c>
      <c r="AB4617">
        <v>24</v>
      </c>
      <c r="AC4617">
        <v>3.9127999999999998</v>
      </c>
      <c r="AD4617">
        <v>-1.111525522639</v>
      </c>
      <c r="AE4617">
        <v>-5.5936000000000003</v>
      </c>
      <c r="AF4617">
        <v>-3.1026639918566001</v>
      </c>
      <c r="AG4617">
        <v>-1.111525522639</v>
      </c>
      <c r="AH4617">
        <v>5.8818170821694498</v>
      </c>
      <c r="AI4617">
        <v>99.489101872836997</v>
      </c>
      <c r="AJ4617">
        <v>117.811688638616</v>
      </c>
      <c r="AK4617">
        <v>6.74223887310007</v>
      </c>
      <c r="AL4617">
        <v>86.678434390989395</v>
      </c>
      <c r="AM4617">
        <v>103.535239594054</v>
      </c>
      <c r="AN4617">
        <v>1.00000000637784</v>
      </c>
    </row>
    <row r="4618" spans="1:40" x14ac:dyDescent="0.25">
      <c r="A4618" t="str">
        <f>"20190312151408052"</f>
        <v>20190312151408052</v>
      </c>
      <c r="B4618" t="str">
        <f>"1552374848045168"</f>
        <v>1552374848045168</v>
      </c>
      <c r="C4618" t="s">
        <v>40</v>
      </c>
      <c r="D4618">
        <v>4.3971999999999998</v>
      </c>
      <c r="E4618">
        <v>0.41108539999999999</v>
      </c>
      <c r="F4618" t="s">
        <v>42</v>
      </c>
      <c r="G4618">
        <v>-418.36009999999999</v>
      </c>
      <c r="H4618" s="1">
        <v>-1.43922599999999E-6</v>
      </c>
      <c r="I4618">
        <v>42.309579999999997</v>
      </c>
      <c r="J4618">
        <v>-422.26729999999998</v>
      </c>
      <c r="K4618">
        <v>1.111537</v>
      </c>
      <c r="L4618">
        <v>47.86157</v>
      </c>
      <c r="M4618">
        <v>0.1271746</v>
      </c>
      <c r="N4618">
        <v>0</v>
      </c>
      <c r="O4618">
        <v>-0.99182159999999997</v>
      </c>
      <c r="P4618">
        <v>0.35445490000000002</v>
      </c>
      <c r="Q4618">
        <v>4.8288369999999997E-2</v>
      </c>
      <c r="R4618">
        <v>-0.93382569999999998</v>
      </c>
      <c r="S4618">
        <v>1.7500610000000001</v>
      </c>
      <c r="T4618">
        <v>-0.49355759999999999</v>
      </c>
      <c r="U4618">
        <v>-2.5753170000000001</v>
      </c>
      <c r="V4618">
        <v>-0.2330335</v>
      </c>
      <c r="W4618">
        <v>5.7886479999999997E-2</v>
      </c>
      <c r="X4618">
        <v>0.9707443</v>
      </c>
      <c r="Y4618">
        <v>-0.44507869999999999</v>
      </c>
      <c r="Z4618">
        <v>0.16001599999999999</v>
      </c>
      <c r="AA4618">
        <v>0.88107880000000005</v>
      </c>
      <c r="AB4618">
        <v>24</v>
      </c>
      <c r="AC4618">
        <v>3.90719999999998</v>
      </c>
      <c r="AD4618">
        <v>-1.1115384392259999</v>
      </c>
      <c r="AE4618">
        <v>-5.55199</v>
      </c>
      <c r="AF4618">
        <v>-3.0866175457199101</v>
      </c>
      <c r="AG4618">
        <v>-1.1115384392259999</v>
      </c>
      <c r="AH4618">
        <v>5.8470919311541802</v>
      </c>
      <c r="AI4618">
        <v>99.543029612903396</v>
      </c>
      <c r="AJ4618">
        <v>117.829095951497</v>
      </c>
      <c r="AK4618">
        <v>6.7045663265263702</v>
      </c>
      <c r="AL4618">
        <v>86.681493864277698</v>
      </c>
      <c r="AM4618">
        <v>103.498795314031</v>
      </c>
      <c r="AN4618">
        <v>0.99999997633576498</v>
      </c>
    </row>
    <row r="4619" spans="1:40" x14ac:dyDescent="0.25">
      <c r="A4619" t="str">
        <f>"20190312151408074"</f>
        <v>20190312151408074</v>
      </c>
      <c r="B4619" t="str">
        <f>"1552374848064687"</f>
        <v>1552374848064687</v>
      </c>
      <c r="C4619" t="s">
        <v>40</v>
      </c>
      <c r="D4619">
        <v>4.4044489999999996</v>
      </c>
      <c r="E4619">
        <v>0.41084169999999998</v>
      </c>
      <c r="F4619" t="s">
        <v>42</v>
      </c>
      <c r="G4619">
        <v>-418.3177</v>
      </c>
      <c r="H4619" s="1">
        <v>-1.3484089999999999E-6</v>
      </c>
      <c r="I4619">
        <v>42.08032</v>
      </c>
      <c r="J4619">
        <v>-422.23649999999998</v>
      </c>
      <c r="K4619">
        <v>1.1115489999999999</v>
      </c>
      <c r="L4619">
        <v>47.64087</v>
      </c>
      <c r="M4619">
        <v>0.1294276</v>
      </c>
      <c r="N4619">
        <v>0</v>
      </c>
      <c r="O4619">
        <v>-0.99153020000000003</v>
      </c>
      <c r="P4619">
        <v>0.35633169999999997</v>
      </c>
      <c r="Q4619">
        <v>4.8052129999999998E-2</v>
      </c>
      <c r="R4619">
        <v>-0.93312320000000004</v>
      </c>
      <c r="S4619">
        <v>1.7567140000000001</v>
      </c>
      <c r="T4619">
        <v>-0.49438310000000002</v>
      </c>
      <c r="U4619">
        <v>-2.5713499999999998</v>
      </c>
      <c r="V4619">
        <v>-0.2327786</v>
      </c>
      <c r="W4619">
        <v>5.763513E-2</v>
      </c>
      <c r="X4619">
        <v>0.97082040000000003</v>
      </c>
      <c r="Y4619">
        <v>-0.4452142</v>
      </c>
      <c r="Z4619">
        <v>0.16029389999999999</v>
      </c>
      <c r="AA4619">
        <v>0.88095970000000001</v>
      </c>
      <c r="AB4619">
        <v>24</v>
      </c>
      <c r="AC4619">
        <v>3.9187999999999699</v>
      </c>
      <c r="AD4619">
        <v>-1.1115503484089999</v>
      </c>
      <c r="AE4619">
        <v>-5.5605499999999903</v>
      </c>
      <c r="AF4619">
        <v>-3.0837703752909502</v>
      </c>
      <c r="AG4619">
        <v>-1.1115503484089999</v>
      </c>
      <c r="AH4619">
        <v>5.8644297396967797</v>
      </c>
      <c r="AI4619">
        <v>99.523318642912102</v>
      </c>
      <c r="AJ4619">
        <v>117.73733174936601</v>
      </c>
      <c r="AK4619">
        <v>6.7183867167952096</v>
      </c>
      <c r="AL4619">
        <v>86.695919211642902</v>
      </c>
      <c r="AM4619">
        <v>103.483550954458</v>
      </c>
      <c r="AN4619">
        <v>0.99999996694211701</v>
      </c>
    </row>
    <row r="4620" spans="1:40" x14ac:dyDescent="0.25">
      <c r="A4620" t="str">
        <f>"20190312151408096"</f>
        <v>20190312151408096</v>
      </c>
      <c r="B4620" t="str">
        <f>"1552374848085184"</f>
        <v>1552374848085184</v>
      </c>
      <c r="C4620" t="s">
        <v>40</v>
      </c>
      <c r="D4620">
        <v>4.5245439999999997</v>
      </c>
      <c r="E4620">
        <v>0.41084219999999999</v>
      </c>
      <c r="F4620" t="s">
        <v>42</v>
      </c>
      <c r="G4620">
        <v>-418.29199999999997</v>
      </c>
      <c r="H4620" s="1">
        <v>-1.2752159999999999E-6</v>
      </c>
      <c r="I4620">
        <v>41.899099999999997</v>
      </c>
      <c r="J4620">
        <v>-422.20150000000001</v>
      </c>
      <c r="K4620">
        <v>1.111567</v>
      </c>
      <c r="L4620">
        <v>47.395539999999997</v>
      </c>
      <c r="M4620">
        <v>0.13195799999999999</v>
      </c>
      <c r="N4620">
        <v>0</v>
      </c>
      <c r="O4620">
        <v>-0.99119690000000005</v>
      </c>
      <c r="P4620">
        <v>0.3582999</v>
      </c>
      <c r="Q4620">
        <v>4.8383460000000003E-2</v>
      </c>
      <c r="R4620">
        <v>-0.93235250000000003</v>
      </c>
      <c r="S4620">
        <v>1.7635799999999999</v>
      </c>
      <c r="T4620">
        <v>-0.4969729</v>
      </c>
      <c r="U4620">
        <v>-2.5671390000000001</v>
      </c>
      <c r="V4620">
        <v>-0.23235539999999999</v>
      </c>
      <c r="W4620">
        <v>5.7949319999999999E-2</v>
      </c>
      <c r="X4620">
        <v>0.97090310000000002</v>
      </c>
      <c r="Y4620">
        <v>-0.44513570000000002</v>
      </c>
      <c r="Z4620">
        <v>0.16113450000000001</v>
      </c>
      <c r="AA4620">
        <v>0.88084609999999997</v>
      </c>
      <c r="AB4620">
        <v>24</v>
      </c>
      <c r="AC4620">
        <v>3.9095000000000302</v>
      </c>
      <c r="AD4620">
        <v>-1.1115682752160001</v>
      </c>
      <c r="AE4620">
        <v>-5.4964399999999998</v>
      </c>
      <c r="AF4620">
        <v>-3.0666805178591701</v>
      </c>
      <c r="AG4620">
        <v>-1.1115682752160001</v>
      </c>
      <c r="AH4620">
        <v>5.8065902447958404</v>
      </c>
      <c r="AI4620">
        <v>99.607641977580002</v>
      </c>
      <c r="AJ4620">
        <v>117.84023326211</v>
      </c>
      <c r="AK4620">
        <v>6.66007535242972</v>
      </c>
      <c r="AL4620">
        <v>86.677887397389796</v>
      </c>
      <c r="AM4620">
        <v>103.458825341569</v>
      </c>
      <c r="AN4620">
        <v>0.99999999259361605</v>
      </c>
    </row>
    <row r="4621" spans="1:40" x14ac:dyDescent="0.25">
      <c r="A4621" t="str">
        <f>"20190312151408118"</f>
        <v>20190312151408118</v>
      </c>
      <c r="B4621" t="str">
        <f>"1552374848115440"</f>
        <v>1552374848115440</v>
      </c>
      <c r="C4621" t="s">
        <v>40</v>
      </c>
      <c r="D4621">
        <v>4.4572190000000003</v>
      </c>
      <c r="E4621">
        <v>0.4108812</v>
      </c>
      <c r="F4621" t="s">
        <v>41</v>
      </c>
      <c r="G4621">
        <v>-421.67230000000001</v>
      </c>
      <c r="H4621">
        <v>0.96309020000000001</v>
      </c>
      <c r="I4621">
        <v>46.628279999999997</v>
      </c>
      <c r="J4621">
        <v>-422.1687</v>
      </c>
      <c r="K4621">
        <v>1.111586</v>
      </c>
      <c r="L4621">
        <v>47.168489999999998</v>
      </c>
      <c r="M4621">
        <v>0.13433100000000001</v>
      </c>
      <c r="N4621">
        <v>0</v>
      </c>
      <c r="O4621">
        <v>-0.99087800000000004</v>
      </c>
      <c r="P4621">
        <v>0.36054269999999999</v>
      </c>
      <c r="Q4621">
        <v>4.8781970000000001E-2</v>
      </c>
      <c r="R4621">
        <v>-0.93146620000000002</v>
      </c>
      <c r="S4621">
        <v>1.7693179999999999</v>
      </c>
      <c r="T4621">
        <v>-0.49610900000000002</v>
      </c>
      <c r="U4621">
        <v>-2.5634459999999999</v>
      </c>
      <c r="V4621">
        <v>-0.23237479999999999</v>
      </c>
      <c r="W4621">
        <v>5.8327759999999999E-2</v>
      </c>
      <c r="X4621">
        <v>0.97087579999999996</v>
      </c>
      <c r="Y4621">
        <v>-0.44495099999999999</v>
      </c>
      <c r="Z4621">
        <v>0.160887</v>
      </c>
      <c r="AA4621">
        <v>0.88098469999999995</v>
      </c>
      <c r="AB4621">
        <v>24</v>
      </c>
      <c r="AC4621">
        <v>0.49639999999999401</v>
      </c>
      <c r="AD4621">
        <v>-0.14849579999999901</v>
      </c>
      <c r="AE4621">
        <v>-0.54021000000000896</v>
      </c>
      <c r="AF4621">
        <v>-0.40282593740456002</v>
      </c>
      <c r="AG4621">
        <v>-0.14849579999999901</v>
      </c>
      <c r="AH4621">
        <v>0.57830653535614596</v>
      </c>
      <c r="AI4621">
        <v>101.898171137197</v>
      </c>
      <c r="AJ4621">
        <v>124.85957529397101</v>
      </c>
      <c r="AK4621">
        <v>0.72024869822800197</v>
      </c>
      <c r="AL4621">
        <v>86.656167659100305</v>
      </c>
      <c r="AM4621">
        <v>103.460272874694</v>
      </c>
      <c r="AN4621">
        <v>0.99999999714364796</v>
      </c>
    </row>
    <row r="4622" spans="1:40" x14ac:dyDescent="0.25">
      <c r="A4622" t="str">
        <f>"20190312151408140"</f>
        <v>20190312151408140</v>
      </c>
      <c r="B4622" t="str">
        <f>"1552374848134960"</f>
        <v>1552374848134960</v>
      </c>
      <c r="C4622" t="s">
        <v>40</v>
      </c>
      <c r="D4622">
        <v>4.4876300000000002</v>
      </c>
      <c r="E4622">
        <v>0.41055520000000001</v>
      </c>
      <c r="F4622" t="s">
        <v>41</v>
      </c>
      <c r="G4622">
        <v>-421.63200000000001</v>
      </c>
      <c r="H4622">
        <v>0.96200240000000004</v>
      </c>
      <c r="I4622">
        <v>46.394930000000002</v>
      </c>
      <c r="J4622">
        <v>-422.13249999999999</v>
      </c>
      <c r="K4622">
        <v>1.1116159999999999</v>
      </c>
      <c r="L4622">
        <v>46.923400000000001</v>
      </c>
      <c r="M4622">
        <v>0.13693089999999999</v>
      </c>
      <c r="N4622">
        <v>0</v>
      </c>
      <c r="O4622">
        <v>-0.99052240000000003</v>
      </c>
      <c r="P4622">
        <v>0.3629675</v>
      </c>
      <c r="Q4622">
        <v>4.8748270000000003E-2</v>
      </c>
      <c r="R4622">
        <v>-0.93052599999999996</v>
      </c>
      <c r="S4622">
        <v>1.775482</v>
      </c>
      <c r="T4622">
        <v>-0.49489670000000002</v>
      </c>
      <c r="U4622">
        <v>-2.5593870000000001</v>
      </c>
      <c r="V4622">
        <v>-0.23235929999999999</v>
      </c>
      <c r="W4622">
        <v>5.8271589999999998E-2</v>
      </c>
      <c r="X4622">
        <v>0.97088289999999999</v>
      </c>
      <c r="Y4622">
        <v>-0.44472929999999999</v>
      </c>
      <c r="Z4622">
        <v>0.16053339999999999</v>
      </c>
      <c r="AA4622">
        <v>0.88116109999999903</v>
      </c>
      <c r="AB4622">
        <v>24</v>
      </c>
      <c r="AC4622">
        <v>0.50050000000004502</v>
      </c>
      <c r="AD4622">
        <v>-0.14961359999999899</v>
      </c>
      <c r="AE4622">
        <v>-0.528469999999998</v>
      </c>
      <c r="AF4622">
        <v>-0.40625208934017698</v>
      </c>
      <c r="AG4622">
        <v>-0.14961359999999899</v>
      </c>
      <c r="AH4622">
        <v>0.56802912768723202</v>
      </c>
      <c r="AI4622">
        <v>102.09212019938199</v>
      </c>
      <c r="AJ4622">
        <v>125.572193627812</v>
      </c>
      <c r="AK4622">
        <v>0.71420030754637498</v>
      </c>
      <c r="AL4622">
        <v>86.659391502687498</v>
      </c>
      <c r="AM4622">
        <v>103.45931286185601</v>
      </c>
      <c r="AN4622">
        <v>1.00000001400501</v>
      </c>
    </row>
    <row r="4623" spans="1:40" x14ac:dyDescent="0.25">
      <c r="A4623" t="str">
        <f>"20190312151408163"</f>
        <v>20190312151408163</v>
      </c>
      <c r="B4623" t="str">
        <f>"1552374848155455"</f>
        <v>1552374848155455</v>
      </c>
      <c r="C4623" t="s">
        <v>40</v>
      </c>
      <c r="D4623">
        <v>4.4557909999999996</v>
      </c>
      <c r="E4623">
        <v>0.41049330000000001</v>
      </c>
      <c r="F4623" t="s">
        <v>42</v>
      </c>
      <c r="G4623">
        <v>-418.15010000000001</v>
      </c>
      <c r="H4623" s="1">
        <v>-1.028617E-6</v>
      </c>
      <c r="I4623">
        <v>41.224319999999999</v>
      </c>
      <c r="J4623">
        <v>-422.09649999999999</v>
      </c>
      <c r="K4623">
        <v>1.1116429999999999</v>
      </c>
      <c r="L4623">
        <v>46.684170000000002</v>
      </c>
      <c r="M4623">
        <v>0.139512</v>
      </c>
      <c r="N4623">
        <v>0</v>
      </c>
      <c r="O4623">
        <v>-0.99016199999999999</v>
      </c>
      <c r="P4623">
        <v>0.3656643</v>
      </c>
      <c r="Q4623">
        <v>4.8126149999999999E-2</v>
      </c>
      <c r="R4623">
        <v>-0.9295021</v>
      </c>
      <c r="S4623">
        <v>1.78463699999999</v>
      </c>
      <c r="T4623">
        <v>-0.4981545</v>
      </c>
      <c r="U4623">
        <v>-2.5539550000000002</v>
      </c>
      <c r="V4623">
        <v>-0.23264219999999999</v>
      </c>
      <c r="W4623">
        <v>5.7624649999999999E-2</v>
      </c>
      <c r="X4623">
        <v>0.97085370000000004</v>
      </c>
      <c r="Y4623">
        <v>-0.44530989999999998</v>
      </c>
      <c r="Z4623">
        <v>0.16157349999999901</v>
      </c>
      <c r="AA4623">
        <v>0.88067759999999995</v>
      </c>
      <c r="AB4623">
        <v>24</v>
      </c>
      <c r="AC4623">
        <v>3.9463999999999801</v>
      </c>
      <c r="AD4623">
        <v>-1.111644028617</v>
      </c>
      <c r="AE4623">
        <v>-5.4598500000000003</v>
      </c>
      <c r="AF4623">
        <v>-3.06265032613305</v>
      </c>
      <c r="AG4623">
        <v>-1.111644028617</v>
      </c>
      <c r="AH4623">
        <v>5.7991467657080804</v>
      </c>
      <c r="AI4623">
        <v>99.620453429118896</v>
      </c>
      <c r="AJ4623">
        <v>117.839468395323</v>
      </c>
      <c r="AK4623">
        <v>6.6517428300217096</v>
      </c>
      <c r="AL4623">
        <v>86.6965206155337</v>
      </c>
      <c r="AM4623">
        <v>103.475492960175</v>
      </c>
      <c r="AN4623">
        <v>0.99999995015607501</v>
      </c>
    </row>
    <row r="4624" spans="1:40" x14ac:dyDescent="0.25">
      <c r="A4624" t="str">
        <f>"20190312151408186"</f>
        <v>20190312151408186</v>
      </c>
      <c r="B4624" t="str">
        <f>"1552374848174976"</f>
        <v>1552374848174976</v>
      </c>
      <c r="C4624" t="s">
        <v>40</v>
      </c>
      <c r="D4624">
        <v>4.5706910000000001</v>
      </c>
      <c r="E4624">
        <v>0.41046630000000001</v>
      </c>
      <c r="F4624" t="s">
        <v>42</v>
      </c>
      <c r="G4624">
        <v>-418.13499999999999</v>
      </c>
      <c r="H4624" s="1">
        <v>-9.7368729999999998E-7</v>
      </c>
      <c r="I4624">
        <v>41.051090000000002</v>
      </c>
      <c r="J4624">
        <v>-422.05939999999998</v>
      </c>
      <c r="K4624">
        <v>1.11168</v>
      </c>
      <c r="L4624">
        <v>46.442439999999998</v>
      </c>
      <c r="M4624">
        <v>0.14216609999999999</v>
      </c>
      <c r="N4624">
        <v>0</v>
      </c>
      <c r="O4624">
        <v>-0.98978440000000001</v>
      </c>
      <c r="P4624">
        <v>0.3679442</v>
      </c>
      <c r="Q4624">
        <v>4.7751010000000003E-2</v>
      </c>
      <c r="R4624">
        <v>-0.92862100000000003</v>
      </c>
      <c r="S4624">
        <v>1.7922669999999901</v>
      </c>
      <c r="T4624">
        <v>-0.50293060000000001</v>
      </c>
      <c r="U4624">
        <v>-2.5485229999999999</v>
      </c>
      <c r="V4624">
        <v>-0.2324224</v>
      </c>
      <c r="W4624">
        <v>5.7228099999999997E-2</v>
      </c>
      <c r="X4624">
        <v>0.97092990000000001</v>
      </c>
      <c r="Y4624">
        <v>-0.4454187</v>
      </c>
      <c r="Z4624">
        <v>0.16313050000000001</v>
      </c>
      <c r="AA4624">
        <v>0.8803356</v>
      </c>
      <c r="AB4624">
        <v>24</v>
      </c>
      <c r="AC4624">
        <v>3.9243999999999901</v>
      </c>
      <c r="AD4624">
        <v>-1.1116809736872999</v>
      </c>
      <c r="AE4624">
        <v>-5.3913500000000001</v>
      </c>
      <c r="AF4624">
        <v>-3.03371065546389</v>
      </c>
      <c r="AG4624">
        <v>-1.1116809736872999</v>
      </c>
      <c r="AH4624">
        <v>5.7351415963912498</v>
      </c>
      <c r="AI4624">
        <v>99.722755455010102</v>
      </c>
      <c r="AJ4624">
        <v>117.877441115465</v>
      </c>
      <c r="AK4624">
        <v>6.5826350391762301</v>
      </c>
      <c r="AL4624">
        <v>86.719279139946494</v>
      </c>
      <c r="AM4624">
        <v>103.462206888217</v>
      </c>
      <c r="AN4624">
        <v>1.0000000490826799</v>
      </c>
    </row>
    <row r="4625" spans="1:40" x14ac:dyDescent="0.25">
      <c r="A4625" t="str">
        <f>"20190312151408208"</f>
        <v>20190312151408208</v>
      </c>
      <c r="B4625" t="str">
        <f>"1552374848205232"</f>
        <v>1552374848205232</v>
      </c>
      <c r="C4625" t="s">
        <v>40</v>
      </c>
      <c r="D4625">
        <v>4.4324430000000001</v>
      </c>
      <c r="E4625">
        <v>0.41061959999999997</v>
      </c>
      <c r="F4625" t="s">
        <v>42</v>
      </c>
      <c r="G4625">
        <v>-418.12790000000001</v>
      </c>
      <c r="H4625" s="1">
        <v>-9.1907420000000003E-7</v>
      </c>
      <c r="I4625">
        <v>40.88503</v>
      </c>
      <c r="J4625">
        <v>-422.02229999999997</v>
      </c>
      <c r="K4625">
        <v>1.111715</v>
      </c>
      <c r="L4625">
        <v>46.20523</v>
      </c>
      <c r="M4625">
        <v>0.14482</v>
      </c>
      <c r="N4625">
        <v>0</v>
      </c>
      <c r="O4625">
        <v>-0.98939960000000005</v>
      </c>
      <c r="P4625">
        <v>0.37001479999999998</v>
      </c>
      <c r="Q4625">
        <v>4.7294490000000002E-2</v>
      </c>
      <c r="R4625">
        <v>-0.92782140000000002</v>
      </c>
      <c r="S4625">
        <v>1.799561</v>
      </c>
      <c r="T4625">
        <v>-0.50883719999999999</v>
      </c>
      <c r="U4625">
        <v>-2.5437319999999999</v>
      </c>
      <c r="V4625">
        <v>-0.23198379999999999</v>
      </c>
      <c r="W4625">
        <v>5.675347E-2</v>
      </c>
      <c r="X4625">
        <v>0.9710626</v>
      </c>
      <c r="Y4625">
        <v>-0.44530969999999997</v>
      </c>
      <c r="Z4625">
        <v>0.16502229999999901</v>
      </c>
      <c r="AA4625">
        <v>0.88003799999999899</v>
      </c>
      <c r="AB4625">
        <v>24</v>
      </c>
      <c r="AC4625">
        <v>3.8943999999999601</v>
      </c>
      <c r="AD4625">
        <v>-1.1117159190741901</v>
      </c>
      <c r="AE4625">
        <v>-5.3201999999999998</v>
      </c>
      <c r="AF4625">
        <v>-2.99760042314331</v>
      </c>
      <c r="AG4625">
        <v>-1.1117159190741901</v>
      </c>
      <c r="AH4625">
        <v>5.6670099532728102</v>
      </c>
      <c r="AI4625">
        <v>99.837729669511305</v>
      </c>
      <c r="AJ4625">
        <v>117.87688240874</v>
      </c>
      <c r="AK4625">
        <v>6.5066521646730902</v>
      </c>
      <c r="AL4625">
        <v>86.746517566624703</v>
      </c>
      <c r="AM4625">
        <v>103.43595508102</v>
      </c>
      <c r="AN4625">
        <v>1.0000000064691199</v>
      </c>
    </row>
    <row r="4626" spans="1:40" x14ac:dyDescent="0.25">
      <c r="A4626" t="str">
        <f>"20190312151408231"</f>
        <v>20190312151408231</v>
      </c>
      <c r="B4626" t="str">
        <f>"1552374848224752"</f>
        <v>1552374848224752</v>
      </c>
      <c r="C4626" t="s">
        <v>40</v>
      </c>
      <c r="D4626">
        <v>4.4989049999999997</v>
      </c>
      <c r="E4626">
        <v>0.41038079999999999</v>
      </c>
      <c r="F4626" t="s">
        <v>42</v>
      </c>
      <c r="G4626">
        <v>-418.07600000000002</v>
      </c>
      <c r="H4626" s="1">
        <v>-8.5326800000000001E-7</v>
      </c>
      <c r="I4626">
        <v>40.651119999999999</v>
      </c>
      <c r="J4626">
        <v>-421.98390000000001</v>
      </c>
      <c r="K4626">
        <v>1.1117429999999999</v>
      </c>
      <c r="L4626">
        <v>45.96414</v>
      </c>
      <c r="M4626">
        <v>0.14755750000000001</v>
      </c>
      <c r="N4626">
        <v>0</v>
      </c>
      <c r="O4626">
        <v>-0.98899499999999996</v>
      </c>
      <c r="P4626">
        <v>0.37269740000000001</v>
      </c>
      <c r="Q4626">
        <v>4.6882090000000001E-2</v>
      </c>
      <c r="R4626">
        <v>-0.92676800000000004</v>
      </c>
      <c r="S4626">
        <v>1.8044739999999999</v>
      </c>
      <c r="T4626">
        <v>-0.50833759999999995</v>
      </c>
      <c r="U4626">
        <v>-2.5396420000000002</v>
      </c>
      <c r="V4626">
        <v>-0.23210529999999999</v>
      </c>
      <c r="W4626">
        <v>5.6321679999999999E-2</v>
      </c>
      <c r="X4626">
        <v>0.97105870000000005</v>
      </c>
      <c r="Y4626">
        <v>-0.44465100000000002</v>
      </c>
      <c r="Z4626">
        <v>0.1649207</v>
      </c>
      <c r="AA4626">
        <v>0.88039000000000001</v>
      </c>
      <c r="AB4626">
        <v>24</v>
      </c>
      <c r="AC4626">
        <v>3.9079000000000401</v>
      </c>
      <c r="AD4626">
        <v>-1.111743853268</v>
      </c>
      <c r="AE4626">
        <v>-5.3130199999999999</v>
      </c>
      <c r="AF4626">
        <v>-2.9959704318047602</v>
      </c>
      <c r="AG4626">
        <v>-1.111743853268</v>
      </c>
      <c r="AH4626">
        <v>5.6704123673445199</v>
      </c>
      <c r="AI4626">
        <v>99.834593691257695</v>
      </c>
      <c r="AJ4626">
        <v>117.849797034848</v>
      </c>
      <c r="AK4626">
        <v>6.5088700739269099</v>
      </c>
      <c r="AL4626">
        <v>86.771296926943606</v>
      </c>
      <c r="AM4626">
        <v>103.442788754047</v>
      </c>
      <c r="AN4626">
        <v>1.0000000003859</v>
      </c>
    </row>
    <row r="4627" spans="1:40" x14ac:dyDescent="0.25">
      <c r="A4627" t="str">
        <f>"20190312151408255"</f>
        <v>20190312151408255</v>
      </c>
      <c r="B4627" t="str">
        <f>"1552374848245248"</f>
        <v>1552374848245248</v>
      </c>
      <c r="C4627" t="s">
        <v>40</v>
      </c>
      <c r="D4627">
        <v>4.4368119999999998</v>
      </c>
      <c r="E4627">
        <v>0.41029310000000002</v>
      </c>
      <c r="F4627" t="s">
        <v>42</v>
      </c>
      <c r="G4627">
        <v>-418.03100000000001</v>
      </c>
      <c r="H4627" s="1">
        <v>-7.9386699999999997E-7</v>
      </c>
      <c r="I4627">
        <v>40.441339999999997</v>
      </c>
      <c r="J4627">
        <v>-421.94150000000002</v>
      </c>
      <c r="K4627">
        <v>1.111766</v>
      </c>
      <c r="L4627">
        <v>45.703670000000002</v>
      </c>
      <c r="M4627">
        <v>0.15055760000000001</v>
      </c>
      <c r="N4627">
        <v>0</v>
      </c>
      <c r="O4627">
        <v>-0.9885429</v>
      </c>
      <c r="P4627">
        <v>0.3747606</v>
      </c>
      <c r="Q4627">
        <v>4.6389989999999999E-2</v>
      </c>
      <c r="R4627">
        <v>-0.92596040000000002</v>
      </c>
      <c r="S4627">
        <v>1.8134159999999999</v>
      </c>
      <c r="T4627">
        <v>-0.51001540000000001</v>
      </c>
      <c r="U4627">
        <v>-2.5335999999999999</v>
      </c>
      <c r="V4627">
        <v>-0.23131860000000001</v>
      </c>
      <c r="W4627">
        <v>5.5818449999999999E-2</v>
      </c>
      <c r="X4627">
        <v>0.97127540000000001</v>
      </c>
      <c r="Y4627">
        <v>-0.44493779999999999</v>
      </c>
      <c r="Z4627">
        <v>0.1654841</v>
      </c>
      <c r="AA4627">
        <v>0.88013940000000002</v>
      </c>
      <c r="AB4627">
        <v>24</v>
      </c>
      <c r="AC4627">
        <v>3.9105000000000101</v>
      </c>
      <c r="AD4627">
        <v>-1.1117667938669999</v>
      </c>
      <c r="AE4627">
        <v>-5.2623299999999897</v>
      </c>
      <c r="AF4627">
        <v>-2.9876786319333601</v>
      </c>
      <c r="AG4627">
        <v>-1.1117667938669999</v>
      </c>
      <c r="AH4627">
        <v>5.6292569619410999</v>
      </c>
      <c r="AI4627">
        <v>99.895684065698006</v>
      </c>
      <c r="AJ4627">
        <v>117.95673436462</v>
      </c>
      <c r="AK4627">
        <v>6.4692181100360804</v>
      </c>
      <c r="AL4627">
        <v>86.800175146127202</v>
      </c>
      <c r="AM4627">
        <v>103.39598972338401</v>
      </c>
      <c r="AN4627">
        <v>0.99999994835575901</v>
      </c>
    </row>
    <row r="4628" spans="1:40" x14ac:dyDescent="0.25">
      <c r="A4628" t="str">
        <f>"20190312151408275"</f>
        <v>20190312151408275</v>
      </c>
      <c r="B4628" t="str">
        <f>"1552374848264768"</f>
        <v>1552374848264768</v>
      </c>
      <c r="C4628" t="s">
        <v>40</v>
      </c>
      <c r="D4628">
        <v>4.5331700000000001</v>
      </c>
      <c r="E4628">
        <v>0.41057189999999999</v>
      </c>
      <c r="F4628" t="s">
        <v>42</v>
      </c>
      <c r="G4628">
        <v>-417.98630000000003</v>
      </c>
      <c r="H4628" s="1">
        <v>-7.2639460000000005E-7</v>
      </c>
      <c r="I4628">
        <v>40.208170000000003</v>
      </c>
      <c r="J4628">
        <v>-421.90620000000001</v>
      </c>
      <c r="K4628">
        <v>1.111783</v>
      </c>
      <c r="L4628">
        <v>45.489899999999999</v>
      </c>
      <c r="M4628">
        <v>0.1530511</v>
      </c>
      <c r="N4628">
        <v>0</v>
      </c>
      <c r="O4628">
        <v>-0.98815980000000003</v>
      </c>
      <c r="P4628">
        <v>0.37593189999999999</v>
      </c>
      <c r="Q4628">
        <v>4.6738540000000002E-2</v>
      </c>
      <c r="R4628">
        <v>-0.92546810000000002</v>
      </c>
      <c r="S4628">
        <v>1.820068</v>
      </c>
      <c r="T4628">
        <v>-0.51160249999999996</v>
      </c>
      <c r="U4628">
        <v>-2.52887</v>
      </c>
      <c r="V4628">
        <v>-0.23010420000000001</v>
      </c>
      <c r="W4628">
        <v>5.6162179999999999E-2</v>
      </c>
      <c r="X4628">
        <v>0.97154410000000002</v>
      </c>
      <c r="Y4628">
        <v>-0.44494070000000002</v>
      </c>
      <c r="Z4628">
        <v>0.16601869999999999</v>
      </c>
      <c r="AA4628">
        <v>0.88003719999999996</v>
      </c>
      <c r="AB4628">
        <v>24</v>
      </c>
      <c r="AC4628">
        <v>3.9198999999999802</v>
      </c>
      <c r="AD4628">
        <v>-1.1117837263946</v>
      </c>
      <c r="AE4628">
        <v>-5.2817299999999898</v>
      </c>
      <c r="AF4628">
        <v>-2.9801433534933399</v>
      </c>
      <c r="AG4628">
        <v>-1.1117837263946</v>
      </c>
      <c r="AH4628">
        <v>5.65782277959784</v>
      </c>
      <c r="AI4628">
        <v>99.862864326625896</v>
      </c>
      <c r="AJ4628">
        <v>117.777108897658</v>
      </c>
      <c r="AK4628">
        <v>6.4906298667373203</v>
      </c>
      <c r="AL4628">
        <v>86.780450205766996</v>
      </c>
      <c r="AM4628">
        <v>103.32462340041199</v>
      </c>
      <c r="AN4628">
        <v>1.0000000357823999</v>
      </c>
    </row>
    <row r="4629" spans="1:40" x14ac:dyDescent="0.25">
      <c r="A4629" t="str">
        <f>"20190312151408296"</f>
        <v>20190312151408296</v>
      </c>
      <c r="B4629" t="str">
        <f>"1552374848285264"</f>
        <v>1552374848285264</v>
      </c>
      <c r="C4629" t="s">
        <v>40</v>
      </c>
      <c r="D4629">
        <v>4.5516579999999998</v>
      </c>
      <c r="E4629">
        <v>0.45963130000000002</v>
      </c>
      <c r="F4629" t="s">
        <v>42</v>
      </c>
      <c r="G4629">
        <v>-417.91550000000001</v>
      </c>
      <c r="H4629" s="1">
        <v>-6.5896469999999896E-7</v>
      </c>
      <c r="I4629">
        <v>39.95467</v>
      </c>
      <c r="J4629">
        <v>-421.86610000000002</v>
      </c>
      <c r="K4629">
        <v>1.111809</v>
      </c>
      <c r="L4629">
        <v>45.252110000000002</v>
      </c>
      <c r="M4629">
        <v>0.155859</v>
      </c>
      <c r="N4629">
        <v>0</v>
      </c>
      <c r="O4629">
        <v>-0.98772070000000001</v>
      </c>
      <c r="P4629">
        <v>0.37757420000000003</v>
      </c>
      <c r="Q4629">
        <v>4.6362269999999997E-2</v>
      </c>
      <c r="R4629">
        <v>-0.92481789999999997</v>
      </c>
      <c r="S4629">
        <v>1.82196</v>
      </c>
      <c r="T4629">
        <v>-0.50759520000000002</v>
      </c>
      <c r="U4629">
        <v>-2.527161</v>
      </c>
      <c r="V4629">
        <v>-0.22906570000000001</v>
      </c>
      <c r="W4629">
        <v>5.57794E-2</v>
      </c>
      <c r="X4629">
        <v>0.97181150000000005</v>
      </c>
      <c r="Y4629">
        <v>-0.44324089999999999</v>
      </c>
      <c r="Z4629">
        <v>0.16477729999999999</v>
      </c>
      <c r="AA4629">
        <v>0.88112769999999996</v>
      </c>
      <c r="AB4629">
        <v>24</v>
      </c>
      <c r="AC4629">
        <v>3.9506000000000001</v>
      </c>
      <c r="AD4629">
        <v>-1.1118096589647</v>
      </c>
      <c r="AE4629">
        <v>-5.2974399999999902</v>
      </c>
      <c r="AF4629">
        <v>-2.9919247737537802</v>
      </c>
      <c r="AG4629">
        <v>-1.1118096589647</v>
      </c>
      <c r="AH4629">
        <v>5.68747729620328</v>
      </c>
      <c r="AI4629">
        <v>99.815342938382798</v>
      </c>
      <c r="AJ4629">
        <v>117.746829809109</v>
      </c>
      <c r="AK4629">
        <v>6.5218963932583698</v>
      </c>
      <c r="AL4629">
        <v>86.802416247665306</v>
      </c>
      <c r="AM4629">
        <v>103.263096748062</v>
      </c>
      <c r="AN4629">
        <v>1.0000000139565499</v>
      </c>
    </row>
    <row r="4630" spans="1:40" x14ac:dyDescent="0.25">
      <c r="A4630" t="str">
        <f>"20190312151408319"</f>
        <v>20190312151408319</v>
      </c>
      <c r="B4630" t="str">
        <f>"1552374848315521"</f>
        <v>1552374848315521</v>
      </c>
      <c r="C4630" t="s">
        <v>40</v>
      </c>
      <c r="D4630">
        <v>4.5118229999999997</v>
      </c>
      <c r="E4630">
        <v>0.46671459999999998</v>
      </c>
      <c r="F4630" t="s">
        <v>59</v>
      </c>
      <c r="G4630">
        <v>-417.52850000000001</v>
      </c>
      <c r="H4630" s="1">
        <v>-2.1107130000000001E-6</v>
      </c>
      <c r="I4630">
        <v>37.310070000000003</v>
      </c>
      <c r="J4630">
        <v>-421.82569999999998</v>
      </c>
      <c r="K4630">
        <v>1.1118410000000001</v>
      </c>
      <c r="L4630">
        <v>45.01587</v>
      </c>
      <c r="M4630">
        <v>0.15868099999999999</v>
      </c>
      <c r="N4630">
        <v>0</v>
      </c>
      <c r="O4630">
        <v>-0.98727120000000002</v>
      </c>
      <c r="P4630">
        <v>0.37941219999999998</v>
      </c>
      <c r="Q4630">
        <v>4.6737250000000001E-2</v>
      </c>
      <c r="R4630">
        <v>-0.92404679999999995</v>
      </c>
      <c r="S4630">
        <v>1.457031</v>
      </c>
      <c r="T4630">
        <v>-0.37346079999999998</v>
      </c>
      <c r="U4630">
        <v>-2.6677550000000001</v>
      </c>
      <c r="V4630">
        <v>-0.22822870000000001</v>
      </c>
      <c r="W4630">
        <v>5.6145519999999997E-2</v>
      </c>
      <c r="X4630">
        <v>0.9719873</v>
      </c>
      <c r="Y4630">
        <v>-0.33028980000000002</v>
      </c>
      <c r="Z4630">
        <v>0.12371260000000001</v>
      </c>
      <c r="AA4630">
        <v>0.93573709999999999</v>
      </c>
      <c r="AB4630">
        <v>24</v>
      </c>
      <c r="AC4630">
        <v>4.2971999999999699</v>
      </c>
      <c r="AD4630">
        <v>-1.111843110713</v>
      </c>
      <c r="AE4630">
        <v>-7.7057999999999902</v>
      </c>
      <c r="AF4630">
        <v>-2.97270575989773</v>
      </c>
      <c r="AG4630">
        <v>-1.111843110713</v>
      </c>
      <c r="AH4630">
        <v>8.1604890763697302</v>
      </c>
      <c r="AI4630">
        <v>97.295191083405001</v>
      </c>
      <c r="AJ4630">
        <v>110.01568790635901</v>
      </c>
      <c r="AK4630">
        <v>8.7559554934523707</v>
      </c>
      <c r="AL4630">
        <v>86.781406098786704</v>
      </c>
      <c r="AM4630">
        <v>103.214031046099</v>
      </c>
      <c r="AN4630">
        <v>0.99999998514052502</v>
      </c>
    </row>
    <row r="4631" spans="1:40" x14ac:dyDescent="0.25">
      <c r="A4631" t="str">
        <f>"20190312151408341"</f>
        <v>20190312151408341</v>
      </c>
      <c r="B4631" t="str">
        <f>"1552374848335040"</f>
        <v>1552374848335040</v>
      </c>
      <c r="C4631" t="s">
        <v>40</v>
      </c>
      <c r="D4631">
        <v>4.4962019999999896</v>
      </c>
      <c r="E4631">
        <v>0.468559</v>
      </c>
      <c r="F4631" t="s">
        <v>59</v>
      </c>
      <c r="G4631">
        <v>-417.2131</v>
      </c>
      <c r="H4631" s="1">
        <v>-2.8862380000000002E-6</v>
      </c>
      <c r="I4631">
        <v>36.221969999999999</v>
      </c>
      <c r="J4631">
        <v>-421.78309999999999</v>
      </c>
      <c r="K4631">
        <v>1.111866</v>
      </c>
      <c r="L4631">
        <v>44.771940000000001</v>
      </c>
      <c r="M4631">
        <v>0.16162779999999999</v>
      </c>
      <c r="N4631">
        <v>0</v>
      </c>
      <c r="O4631">
        <v>-0.98679329999999998</v>
      </c>
      <c r="P4631">
        <v>0.38160240000000001</v>
      </c>
      <c r="Q4631">
        <v>4.7112349999999997E-2</v>
      </c>
      <c r="R4631">
        <v>-0.92312570000000005</v>
      </c>
      <c r="S4631">
        <v>1.408539</v>
      </c>
      <c r="T4631">
        <v>-0.33952769999999999</v>
      </c>
      <c r="U4631">
        <v>-2.685425</v>
      </c>
      <c r="V4631">
        <v>-0.22764000000000001</v>
      </c>
      <c r="W4631">
        <v>5.6509730000000001E-2</v>
      </c>
      <c r="X4631">
        <v>0.97210430000000003</v>
      </c>
      <c r="Y4631">
        <v>-0.31227149999999998</v>
      </c>
      <c r="Z4631">
        <v>0.11270769999999999</v>
      </c>
      <c r="AA4631">
        <v>0.94328339999999999</v>
      </c>
      <c r="AB4631">
        <v>24</v>
      </c>
      <c r="AC4631">
        <v>4.5699999999999896</v>
      </c>
      <c r="AD4631">
        <v>-1.111868886238</v>
      </c>
      <c r="AE4631">
        <v>-8.5499700000000001</v>
      </c>
      <c r="AF4631">
        <v>-3.0873043607337798</v>
      </c>
      <c r="AG4631">
        <v>-1.111868886238</v>
      </c>
      <c r="AH4631">
        <v>9.0570897763467002</v>
      </c>
      <c r="AI4631">
        <v>96.627878977569097</v>
      </c>
      <c r="AJ4631">
        <v>108.82278375041901</v>
      </c>
      <c r="AK4631">
        <v>9.6332017446326699</v>
      </c>
      <c r="AL4631">
        <v>86.760505411917194</v>
      </c>
      <c r="AM4631">
        <v>103.179606710687</v>
      </c>
      <c r="AN4631">
        <v>1.00000004463158</v>
      </c>
    </row>
    <row r="4632" spans="1:40" x14ac:dyDescent="0.25">
      <c r="A4632" t="str">
        <f>"20190312151408364"</f>
        <v>20190312151408364</v>
      </c>
      <c r="B4632" t="str">
        <f>"1552374848355536"</f>
        <v>1552374848355536</v>
      </c>
      <c r="C4632" t="s">
        <v>40</v>
      </c>
      <c r="D4632">
        <v>4.4928350000000004</v>
      </c>
      <c r="E4632">
        <v>0.46959220000000002</v>
      </c>
      <c r="F4632" t="s">
        <v>59</v>
      </c>
      <c r="G4632">
        <v>-416.85939999999999</v>
      </c>
      <c r="H4632" s="1">
        <v>-3.4757520000000002E-6</v>
      </c>
      <c r="I4632">
        <v>35.325360000000003</v>
      </c>
      <c r="J4632">
        <v>-421.74130000000002</v>
      </c>
      <c r="K4632">
        <v>1.11189</v>
      </c>
      <c r="L4632">
        <v>44.536349999999999</v>
      </c>
      <c r="M4632">
        <v>0.16450339999999999</v>
      </c>
      <c r="N4632">
        <v>0</v>
      </c>
      <c r="O4632">
        <v>-0.98631800000000003</v>
      </c>
      <c r="P4632">
        <v>0.3836717</v>
      </c>
      <c r="Q4632">
        <v>4.7543830000000002E-2</v>
      </c>
      <c r="R4632">
        <v>-0.92224530000000005</v>
      </c>
      <c r="S4632">
        <v>1.4005129999999999</v>
      </c>
      <c r="T4632">
        <v>-0.31626690000000002</v>
      </c>
      <c r="U4632">
        <v>-2.6870419999999999</v>
      </c>
      <c r="V4632">
        <v>-0.22699520000000001</v>
      </c>
      <c r="W4632">
        <v>5.6931990000000002E-2</v>
      </c>
      <c r="X4632">
        <v>0.97223040000000005</v>
      </c>
      <c r="Y4632">
        <v>-0.30743949999999998</v>
      </c>
      <c r="Z4632">
        <v>0.1051026</v>
      </c>
      <c r="AA4632">
        <v>0.94574539999999996</v>
      </c>
      <c r="AB4632">
        <v>24</v>
      </c>
      <c r="AC4632">
        <v>4.8819000000000301</v>
      </c>
      <c r="AD4632">
        <v>-1.111893475752</v>
      </c>
      <c r="AE4632">
        <v>-9.2109900000000007</v>
      </c>
      <c r="AF4632">
        <v>-3.2629374582342199</v>
      </c>
      <c r="AG4632">
        <v>-1.111893475752</v>
      </c>
      <c r="AH4632">
        <v>9.7773959510701598</v>
      </c>
      <c r="AI4632">
        <v>96.156827931813595</v>
      </c>
      <c r="AJ4632">
        <v>108.455016635463</v>
      </c>
      <c r="AK4632">
        <v>10.3672821675582</v>
      </c>
      <c r="AL4632">
        <v>86.736272575851601</v>
      </c>
      <c r="AM4632">
        <v>103.14192705380501</v>
      </c>
      <c r="AN4632">
        <v>1.0000000114962799</v>
      </c>
    </row>
    <row r="4633" spans="1:40" x14ac:dyDescent="0.25">
      <c r="A4633" t="str">
        <f>"20190312151408387"</f>
        <v>20190312151408387</v>
      </c>
      <c r="B4633" t="str">
        <f>"1552374848375056"</f>
        <v>1552374848375056</v>
      </c>
      <c r="C4633" t="s">
        <v>40</v>
      </c>
      <c r="D4633">
        <v>4.4935769999999904</v>
      </c>
      <c r="E4633">
        <v>0.47031859999999998</v>
      </c>
      <c r="F4633" t="s">
        <v>59</v>
      </c>
      <c r="G4633">
        <v>-416.60860000000002</v>
      </c>
      <c r="H4633" s="1">
        <v>-3.8860149999999999E-6</v>
      </c>
      <c r="I4633">
        <v>34.676940000000002</v>
      </c>
      <c r="J4633">
        <v>-421.69690000000003</v>
      </c>
      <c r="K4633">
        <v>1.1119139999999901</v>
      </c>
      <c r="L4633">
        <v>44.291049999999998</v>
      </c>
      <c r="M4633">
        <v>0.1675305</v>
      </c>
      <c r="N4633">
        <v>0</v>
      </c>
      <c r="O4633">
        <v>-0.98580829999999997</v>
      </c>
      <c r="P4633">
        <v>0.38641049999999999</v>
      </c>
      <c r="Q4633">
        <v>4.7439929999999998E-2</v>
      </c>
      <c r="R4633">
        <v>-0.92110630000000004</v>
      </c>
      <c r="S4633">
        <v>1.3986510000000001</v>
      </c>
      <c r="T4633">
        <v>-0.30298969999999997</v>
      </c>
      <c r="U4633">
        <v>-2.6866759999999998</v>
      </c>
      <c r="V4633">
        <v>-0.2269021</v>
      </c>
      <c r="W4633">
        <v>5.6816789999999999E-2</v>
      </c>
      <c r="X4633">
        <v>0.97225890000000004</v>
      </c>
      <c r="Y4633">
        <v>-0.30426449999999999</v>
      </c>
      <c r="Z4633">
        <v>0.1007412</v>
      </c>
      <c r="AA4633">
        <v>0.94724569999999997</v>
      </c>
      <c r="AB4633">
        <v>24</v>
      </c>
      <c r="AC4633">
        <v>5.0883000000000003</v>
      </c>
      <c r="AD4633">
        <v>-1.1119178860150001</v>
      </c>
      <c r="AE4633">
        <v>-9.6141099999999895</v>
      </c>
      <c r="AF4633">
        <v>-3.3704105753361602</v>
      </c>
      <c r="AG4633">
        <v>-1.1119178860150001</v>
      </c>
      <c r="AH4633">
        <v>10.223880940222401</v>
      </c>
      <c r="AI4633">
        <v>95.897118729812703</v>
      </c>
      <c r="AJ4633">
        <v>108.245350948019</v>
      </c>
      <c r="AK4633">
        <v>10.822373598773099</v>
      </c>
      <c r="AL4633">
        <v>86.742883842511603</v>
      </c>
      <c r="AM4633">
        <v>103.13635224660401</v>
      </c>
      <c r="AN4633">
        <v>1.0000000396197599</v>
      </c>
    </row>
    <row r="4634" spans="1:40" x14ac:dyDescent="0.25">
      <c r="A4634" t="str">
        <f>"20190312151408409"</f>
        <v>20190312151408409</v>
      </c>
      <c r="B4634" t="str">
        <f>"1552374848405313"</f>
        <v>1552374848405313</v>
      </c>
      <c r="C4634" t="s">
        <v>40</v>
      </c>
      <c r="D4634">
        <v>4.5205000000000002</v>
      </c>
      <c r="E4634">
        <v>0.47088669999999999</v>
      </c>
      <c r="F4634" t="s">
        <v>59</v>
      </c>
      <c r="G4634">
        <v>-416.44409999999999</v>
      </c>
      <c r="H4634" s="1">
        <v>-4.1536499999999996E-6</v>
      </c>
      <c r="I4634">
        <v>34.227739999999997</v>
      </c>
      <c r="J4634">
        <v>-421.65339999999998</v>
      </c>
      <c r="K4634">
        <v>1.111934</v>
      </c>
      <c r="L4634">
        <v>44.055050000000001</v>
      </c>
      <c r="M4634">
        <v>0.17047279999999901</v>
      </c>
      <c r="N4634">
        <v>0</v>
      </c>
      <c r="O4634">
        <v>-0.9853037</v>
      </c>
      <c r="P4634">
        <v>0.38902239999999999</v>
      </c>
      <c r="Q4634">
        <v>4.7427120000000003E-2</v>
      </c>
      <c r="R4634">
        <v>-0.92000680000000001</v>
      </c>
      <c r="S4634">
        <v>1.4012150000000001</v>
      </c>
      <c r="T4634">
        <v>-0.29660760000000003</v>
      </c>
      <c r="U4634">
        <v>-2.684418</v>
      </c>
      <c r="V4634">
        <v>-0.22676109999999999</v>
      </c>
      <c r="W4634">
        <v>5.6794890000000001E-2</v>
      </c>
      <c r="X4634">
        <v>0.97229299999999996</v>
      </c>
      <c r="Y4634">
        <v>-0.30255650000000001</v>
      </c>
      <c r="Z4634">
        <v>9.8645930000000007E-2</v>
      </c>
      <c r="AA4634">
        <v>0.94801290000000005</v>
      </c>
      <c r="AB4634">
        <v>25</v>
      </c>
      <c r="AC4634">
        <v>5.2092999999999803</v>
      </c>
      <c r="AD4634">
        <v>-1.1119381536499999</v>
      </c>
      <c r="AE4634">
        <v>-9.82730999999999</v>
      </c>
      <c r="AF4634">
        <v>-3.4234390295249399</v>
      </c>
      <c r="AG4634">
        <v>-1.1119381536499999</v>
      </c>
      <c r="AH4634">
        <v>10.4669318945983</v>
      </c>
      <c r="AI4634">
        <v>95.765611483063097</v>
      </c>
      <c r="AJ4634">
        <v>108.111464933844</v>
      </c>
      <c r="AK4634">
        <v>11.0685592798963</v>
      </c>
      <c r="AL4634">
        <v>86.744140412533696</v>
      </c>
      <c r="AM4634">
        <v>103.12802747247</v>
      </c>
      <c r="AN4634">
        <v>0.99999996692616</v>
      </c>
    </row>
    <row r="4635" spans="1:40" x14ac:dyDescent="0.25">
      <c r="A4635" t="str">
        <f>"20190312151408432"</f>
        <v>20190312151408432</v>
      </c>
      <c r="B4635" t="str">
        <f>"1552374848424832"</f>
        <v>1552374848424832</v>
      </c>
      <c r="C4635" t="s">
        <v>40</v>
      </c>
      <c r="D4635">
        <v>4.5394019999999999</v>
      </c>
      <c r="E4635">
        <v>0.47105010000000003</v>
      </c>
      <c r="F4635" t="s">
        <v>59</v>
      </c>
      <c r="G4635">
        <v>-416.27449999999999</v>
      </c>
      <c r="H4635" s="1">
        <v>-4.4170969999999997E-6</v>
      </c>
      <c r="I4635">
        <v>33.784500000000001</v>
      </c>
      <c r="J4635">
        <v>-421.6071</v>
      </c>
      <c r="K4635">
        <v>1.111953</v>
      </c>
      <c r="L4635">
        <v>43.808109999999999</v>
      </c>
      <c r="M4635">
        <v>0.1735749</v>
      </c>
      <c r="N4635">
        <v>0</v>
      </c>
      <c r="O4635">
        <v>-0.98476200000000003</v>
      </c>
      <c r="P4635">
        <v>0.39190390000000003</v>
      </c>
      <c r="Q4635">
        <v>4.7065280000000001E-2</v>
      </c>
      <c r="R4635">
        <v>-0.9188018</v>
      </c>
      <c r="S4635">
        <v>1.4045719999999999</v>
      </c>
      <c r="T4635">
        <v>-0.29035349999999999</v>
      </c>
      <c r="U4635">
        <v>-2.6818849999999999</v>
      </c>
      <c r="V4635">
        <v>-0.22674349999999999</v>
      </c>
      <c r="W4635">
        <v>5.6425459999999997E-2</v>
      </c>
      <c r="X4635">
        <v>0.97231860000000003</v>
      </c>
      <c r="Y4635">
        <v>-0.30094880000000002</v>
      </c>
      <c r="Z4635">
        <v>9.6586469999999994E-2</v>
      </c>
      <c r="AA4635">
        <v>0.94873649999999998</v>
      </c>
      <c r="AB4635">
        <v>25</v>
      </c>
      <c r="AC4635">
        <v>5.33260000000001</v>
      </c>
      <c r="AD4635">
        <v>-1.1119574170969999</v>
      </c>
      <c r="AE4635">
        <v>-10.0236099999999</v>
      </c>
      <c r="AF4635">
        <v>-3.47833479278352</v>
      </c>
      <c r="AG4635">
        <v>-1.1119574170969999</v>
      </c>
      <c r="AH4635">
        <v>10.6945218543029</v>
      </c>
      <c r="AI4635">
        <v>95.646832831541204</v>
      </c>
      <c r="AJ4635">
        <v>108.016833030857</v>
      </c>
      <c r="AK4635">
        <v>11.300799083263501</v>
      </c>
      <c r="AL4635">
        <v>86.765341148543101</v>
      </c>
      <c r="AM4635">
        <v>103.126710178127</v>
      </c>
      <c r="AN4635">
        <v>0.99999995361720895</v>
      </c>
    </row>
    <row r="4636" spans="1:40" x14ac:dyDescent="0.25">
      <c r="A4636" t="str">
        <f>"20190312151408454"</f>
        <v>20190312151408454</v>
      </c>
      <c r="B4636" t="str">
        <f>"1552374848445329"</f>
        <v>1552374848445329</v>
      </c>
      <c r="C4636" t="s">
        <v>40</v>
      </c>
      <c r="D4636">
        <v>4.5106359999999999</v>
      </c>
      <c r="E4636">
        <v>0.47121869999999999</v>
      </c>
      <c r="F4636" t="s">
        <v>59</v>
      </c>
      <c r="G4636">
        <v>-416.1678</v>
      </c>
      <c r="H4636" s="1">
        <v>-4.5935990000000001E-6</v>
      </c>
      <c r="I4636">
        <v>33.484540000000003</v>
      </c>
      <c r="J4636">
        <v>-421.56130000000002</v>
      </c>
      <c r="K4636">
        <v>1.111964</v>
      </c>
      <c r="L4636">
        <v>43.568730000000002</v>
      </c>
      <c r="M4636">
        <v>0.1766027</v>
      </c>
      <c r="N4636">
        <v>0</v>
      </c>
      <c r="O4636">
        <v>-0.98422339999999997</v>
      </c>
      <c r="P4636">
        <v>0.39419749999999998</v>
      </c>
      <c r="Q4636">
        <v>4.6774690000000001E-2</v>
      </c>
      <c r="R4636">
        <v>-0.91783490000000001</v>
      </c>
      <c r="S4636">
        <v>1.411011</v>
      </c>
      <c r="T4636">
        <v>-0.28845310000000002</v>
      </c>
      <c r="U4636">
        <v>-2.6780400000000002</v>
      </c>
      <c r="V4636">
        <v>-0.22617970000000001</v>
      </c>
      <c r="W4636">
        <v>5.6134099999999999E-2</v>
      </c>
      <c r="X4636">
        <v>0.97246679999999996</v>
      </c>
      <c r="Y4636">
        <v>-0.3003924</v>
      </c>
      <c r="Z4636">
        <v>9.5961199999999997E-2</v>
      </c>
      <c r="AA4636">
        <v>0.94897619999999905</v>
      </c>
      <c r="AB4636">
        <v>25</v>
      </c>
      <c r="AC4636">
        <v>5.3935000000000102</v>
      </c>
      <c r="AD4636">
        <v>-1.111968593599</v>
      </c>
      <c r="AE4636">
        <v>-10.08419</v>
      </c>
      <c r="AF4636">
        <v>-3.49467732773839</v>
      </c>
      <c r="AG4636">
        <v>-1.111968593599</v>
      </c>
      <c r="AH4636">
        <v>10.7763466113527</v>
      </c>
      <c r="AI4636">
        <v>95.605845785346503</v>
      </c>
      <c r="AJ4636">
        <v>107.96743667991799</v>
      </c>
      <c r="AK4636">
        <v>11.383272379512499</v>
      </c>
      <c r="AL4636">
        <v>86.782061451262905</v>
      </c>
      <c r="AM4636">
        <v>103.09326976337699</v>
      </c>
      <c r="AN4636">
        <v>0.99999998548856905</v>
      </c>
    </row>
    <row r="4637" spans="1:40" x14ac:dyDescent="0.25">
      <c r="A4637" t="str">
        <f>"20190312151408476"</f>
        <v>20190312151408476</v>
      </c>
      <c r="B4637" t="str">
        <f>"1552374848464848"</f>
        <v>1552374848464848</v>
      </c>
      <c r="C4637" t="s">
        <v>40</v>
      </c>
      <c r="D4637">
        <v>4.4856910000000001</v>
      </c>
      <c r="E4637">
        <v>0.47121669999999999</v>
      </c>
      <c r="F4637" t="s">
        <v>59</v>
      </c>
      <c r="G4637">
        <v>-416.08960000000002</v>
      </c>
      <c r="H4637" s="1">
        <v>-4.7391400000000003E-6</v>
      </c>
      <c r="I4637">
        <v>33.232900000000001</v>
      </c>
      <c r="J4637">
        <v>-421.51459999999997</v>
      </c>
      <c r="K4637">
        <v>1.1119779999999999</v>
      </c>
      <c r="L4637">
        <v>43.328189999999999</v>
      </c>
      <c r="M4637">
        <v>0.179669</v>
      </c>
      <c r="N4637">
        <v>0</v>
      </c>
      <c r="O4637">
        <v>-0.98366799999999999</v>
      </c>
      <c r="P4637">
        <v>0.39651969999999997</v>
      </c>
      <c r="Q4637">
        <v>4.6653880000000002E-2</v>
      </c>
      <c r="R4637">
        <v>-0.91683999999999999</v>
      </c>
      <c r="S4637">
        <v>1.4161379999999999</v>
      </c>
      <c r="T4637">
        <v>-0.28778910000000002</v>
      </c>
      <c r="U4637">
        <v>-2.6750180000000001</v>
      </c>
      <c r="V4637">
        <v>-0.22561129999999999</v>
      </c>
      <c r="W4637">
        <v>5.6020790000000001E-2</v>
      </c>
      <c r="X4637">
        <v>0.97260539999999995</v>
      </c>
      <c r="Y4637">
        <v>-0.29929499999999998</v>
      </c>
      <c r="Z4637">
        <v>9.5733310000000002E-2</v>
      </c>
      <c r="AA4637">
        <v>0.94934589999999996</v>
      </c>
      <c r="AB4637">
        <v>25</v>
      </c>
      <c r="AC4637">
        <v>5.4249999999999501</v>
      </c>
      <c r="AD4637">
        <v>-1.1119827391399999</v>
      </c>
      <c r="AE4637">
        <v>-10.09529</v>
      </c>
      <c r="AF4637">
        <v>-3.4899383408458799</v>
      </c>
      <c r="AG4637">
        <v>-1.1119827391399999</v>
      </c>
      <c r="AH4637">
        <v>10.804041513232001</v>
      </c>
      <c r="AI4637">
        <v>95.593705238869603</v>
      </c>
      <c r="AJ4637">
        <v>107.901575177878</v>
      </c>
      <c r="AK4637">
        <v>11.4080448918599</v>
      </c>
      <c r="AL4637">
        <v>86.788563997966406</v>
      </c>
      <c r="AM4637">
        <v>103.05969780202901</v>
      </c>
      <c r="AN4637">
        <v>1.0000000258545301</v>
      </c>
    </row>
    <row r="4638" spans="1:40" x14ac:dyDescent="0.25">
      <c r="A4638" t="str">
        <f>"20190312151408498"</f>
        <v>20190312151408498</v>
      </c>
      <c r="B4638" t="str">
        <f>"1552374848495105"</f>
        <v>1552374848495105</v>
      </c>
      <c r="C4638" t="s">
        <v>40</v>
      </c>
      <c r="D4638">
        <v>4.6449280000000002</v>
      </c>
      <c r="E4638">
        <v>0.47143699999999999</v>
      </c>
      <c r="F4638" t="s">
        <v>59</v>
      </c>
      <c r="G4638">
        <v>-416.14109999999999</v>
      </c>
      <c r="H4638" s="1">
        <v>-4.721332E-6</v>
      </c>
      <c r="I4638">
        <v>33.245480000000001</v>
      </c>
      <c r="J4638">
        <v>-421.46929999999998</v>
      </c>
      <c r="K4638">
        <v>1.112007</v>
      </c>
      <c r="L4638">
        <v>43.098269999999999</v>
      </c>
      <c r="M4638">
        <v>0.1826257</v>
      </c>
      <c r="N4638">
        <v>0</v>
      </c>
      <c r="O4638">
        <v>-0.98312319999999997</v>
      </c>
      <c r="P4638">
        <v>0.39962959999999997</v>
      </c>
      <c r="Q4638">
        <v>4.5431899999999997E-2</v>
      </c>
      <c r="R4638">
        <v>-0.91555039999999999</v>
      </c>
      <c r="S4638">
        <v>1.4237059999999999</v>
      </c>
      <c r="T4638">
        <v>-0.29461349999999997</v>
      </c>
      <c r="U4638">
        <v>-2.6713559999999998</v>
      </c>
      <c r="V4638">
        <v>-0.22597339999999999</v>
      </c>
      <c r="W4638">
        <v>5.4804819999999997E-2</v>
      </c>
      <c r="X4638">
        <v>0.97259059999999997</v>
      </c>
      <c r="Y4638">
        <v>-0.29895959999999899</v>
      </c>
      <c r="Z4638">
        <v>9.7961190000000004E-2</v>
      </c>
      <c r="AA4638">
        <v>0.94922430000000002</v>
      </c>
      <c r="AB4638">
        <v>25</v>
      </c>
      <c r="AC4638">
        <v>5.3281999999999803</v>
      </c>
      <c r="AD4638">
        <v>-1.112011721332</v>
      </c>
      <c r="AE4638">
        <v>-9.8527900000000006</v>
      </c>
      <c r="AF4638">
        <v>-3.4055408425304301</v>
      </c>
      <c r="AG4638">
        <v>-1.112011721332</v>
      </c>
      <c r="AH4638">
        <v>10.5561557743242</v>
      </c>
      <c r="AI4638">
        <v>95.725026804871007</v>
      </c>
      <c r="AJ4638">
        <v>107.88031548016301</v>
      </c>
      <c r="AK4638">
        <v>11.147497621902399</v>
      </c>
      <c r="AL4638">
        <v>86.858341111755394</v>
      </c>
      <c r="AM4638">
        <v>103.08013031369801</v>
      </c>
      <c r="AN4638">
        <v>1.00000001050557</v>
      </c>
    </row>
    <row r="4639" spans="1:40" x14ac:dyDescent="0.25">
      <c r="A4639" t="str">
        <f>"20190312151408520"</f>
        <v>20190312151408520</v>
      </c>
      <c r="B4639" t="str">
        <f>"1552374848515600"</f>
        <v>1552374848515600</v>
      </c>
      <c r="C4639" t="s">
        <v>40</v>
      </c>
      <c r="D4639">
        <v>4.7360119999999997</v>
      </c>
      <c r="E4639">
        <v>0.47173140000000002</v>
      </c>
      <c r="F4639" t="s">
        <v>59</v>
      </c>
      <c r="G4639">
        <v>-416.15519999999998</v>
      </c>
      <c r="H4639" s="1">
        <v>-4.7468949999999999E-6</v>
      </c>
      <c r="I4639">
        <v>33.189149999999998</v>
      </c>
      <c r="J4639">
        <v>-421.4205</v>
      </c>
      <c r="K4639">
        <v>1.112036</v>
      </c>
      <c r="L4639">
        <v>42.855469999999997</v>
      </c>
      <c r="M4639">
        <v>0.18578629999999999</v>
      </c>
      <c r="N4639">
        <v>0</v>
      </c>
      <c r="O4639">
        <v>-0.98253080000000004</v>
      </c>
      <c r="P4639">
        <v>0.40269199999999999</v>
      </c>
      <c r="Q4639">
        <v>4.4571479999999997E-2</v>
      </c>
      <c r="R4639">
        <v>-0.91424989999999995</v>
      </c>
      <c r="S4639">
        <v>1.4303889999999999</v>
      </c>
      <c r="T4639">
        <v>-0.29931999999999997</v>
      </c>
      <c r="U4639">
        <v>-2.6672359999999999</v>
      </c>
      <c r="V4639">
        <v>-0.2260934</v>
      </c>
      <c r="W4639">
        <v>5.3950640000000001E-2</v>
      </c>
      <c r="X4639">
        <v>0.97261050000000004</v>
      </c>
      <c r="Y4639">
        <v>-0.29827619999999999</v>
      </c>
      <c r="Z4639">
        <v>9.9510269999999998E-2</v>
      </c>
      <c r="AA4639">
        <v>0.94927819999999996</v>
      </c>
      <c r="AB4639">
        <v>25</v>
      </c>
      <c r="AC4639">
        <v>5.2653000000000203</v>
      </c>
      <c r="AD4639">
        <v>-1.112040746895</v>
      </c>
      <c r="AE4639">
        <v>-9.6663200000000007</v>
      </c>
      <c r="AF4639">
        <v>-3.34352090268816</v>
      </c>
      <c r="AG4639">
        <v>-1.112040746895</v>
      </c>
      <c r="AH4639">
        <v>10.370442690719701</v>
      </c>
      <c r="AI4639">
        <v>95.827345318102601</v>
      </c>
      <c r="AJ4639">
        <v>107.86977272980199</v>
      </c>
      <c r="AK4639">
        <v>10.952709630542101</v>
      </c>
      <c r="AL4639">
        <v>86.907354634235702</v>
      </c>
      <c r="AM4639">
        <v>103.08657877092701</v>
      </c>
      <c r="AN4639">
        <v>1.0000000408951</v>
      </c>
    </row>
    <row r="4640" spans="1:40" x14ac:dyDescent="0.25">
      <c r="A4640" t="str">
        <f>"20190312151408542"</f>
        <v>20190312151408542</v>
      </c>
      <c r="B4640" t="str">
        <f>"1552374848535120"</f>
        <v>1552374848535120</v>
      </c>
      <c r="C4640" t="s">
        <v>40</v>
      </c>
      <c r="D4640">
        <v>4.4796889999999996</v>
      </c>
      <c r="E4640">
        <v>0.47169739999999999</v>
      </c>
      <c r="F4640" t="s">
        <v>59</v>
      </c>
      <c r="G4640">
        <v>-416.16989999999998</v>
      </c>
      <c r="H4640" s="1">
        <v>-4.7774670000000001E-6</v>
      </c>
      <c r="I4640">
        <v>33.122750000000003</v>
      </c>
      <c r="J4640">
        <v>-421.37180000000001</v>
      </c>
      <c r="K4640">
        <v>1.1120699999999999</v>
      </c>
      <c r="L4640">
        <v>42.616549999999997</v>
      </c>
      <c r="M4640">
        <v>0.18894649999999999</v>
      </c>
      <c r="N4640">
        <v>0</v>
      </c>
      <c r="O4640">
        <v>-0.98192760000000001</v>
      </c>
      <c r="P4640">
        <v>0.4055417</v>
      </c>
      <c r="Q4640">
        <v>4.375072E-2</v>
      </c>
      <c r="R4640">
        <v>-0.91302930000000004</v>
      </c>
      <c r="S4640">
        <v>1.4368289999999999</v>
      </c>
      <c r="T4640">
        <v>-0.30431009999999997</v>
      </c>
      <c r="U4640">
        <v>-2.6633610000000001</v>
      </c>
      <c r="V4640">
        <v>-0.2259911</v>
      </c>
      <c r="W4640">
        <v>5.313118E-2</v>
      </c>
      <c r="X4640">
        <v>0.97267930000000002</v>
      </c>
      <c r="Y4640">
        <v>-0.29748190000000002</v>
      </c>
      <c r="Z4640">
        <v>0.10114570000000001</v>
      </c>
      <c r="AA4640">
        <v>0.94935449999999999</v>
      </c>
      <c r="AB4640">
        <v>25</v>
      </c>
      <c r="AC4640">
        <v>5.2019000000000197</v>
      </c>
      <c r="AD4640">
        <v>-1.1120747774669999</v>
      </c>
      <c r="AE4640">
        <v>-9.4937999999999896</v>
      </c>
      <c r="AF4640">
        <v>-3.27965375431299</v>
      </c>
      <c r="AG4640">
        <v>-1.1120747774669999</v>
      </c>
      <c r="AH4640">
        <v>10.1980910684116</v>
      </c>
      <c r="AI4640">
        <v>95.926711847032195</v>
      </c>
      <c r="AJ4640">
        <v>107.827524378738</v>
      </c>
      <c r="AK4640">
        <v>10.770046448296901</v>
      </c>
      <c r="AL4640">
        <v>86.954373428279595</v>
      </c>
      <c r="AM4640">
        <v>103.079967751094</v>
      </c>
      <c r="AN4640">
        <v>0.99999996010794501</v>
      </c>
    </row>
    <row r="4641" spans="1:40" x14ac:dyDescent="0.25">
      <c r="A4641" t="str">
        <f>"20190312151408566"</f>
        <v>20190312151408566</v>
      </c>
      <c r="B4641" t="str">
        <f>"1552374848555616"</f>
        <v>1552374848555616</v>
      </c>
      <c r="C4641" t="s">
        <v>40</v>
      </c>
      <c r="D4641">
        <v>4.4808589999999997</v>
      </c>
      <c r="E4641">
        <v>0.47167300000000001</v>
      </c>
      <c r="F4641" t="s">
        <v>59</v>
      </c>
      <c r="G4641">
        <v>-416.20269999999999</v>
      </c>
      <c r="H4641" s="1">
        <v>-4.7764879999999996E-6</v>
      </c>
      <c r="I4641">
        <v>33.110390000000002</v>
      </c>
      <c r="J4641">
        <v>-421.32060000000001</v>
      </c>
      <c r="K4641">
        <v>1.1121190000000001</v>
      </c>
      <c r="L4641">
        <v>42.370609999999999</v>
      </c>
      <c r="M4641">
        <v>0.19226579999999999</v>
      </c>
      <c r="N4641">
        <v>0</v>
      </c>
      <c r="O4641">
        <v>-0.98128280000000001</v>
      </c>
      <c r="P4641">
        <v>0.40861540000000002</v>
      </c>
      <c r="Q4641">
        <v>4.3581849999999998E-2</v>
      </c>
      <c r="R4641">
        <v>-0.91166550000000002</v>
      </c>
      <c r="S4641">
        <v>1.4456180000000001</v>
      </c>
      <c r="T4641">
        <v>-0.3110118</v>
      </c>
      <c r="U4641">
        <v>-2.658569</v>
      </c>
      <c r="V4641">
        <v>-0.2259835</v>
      </c>
      <c r="W4641">
        <v>5.2955469999999998E-2</v>
      </c>
      <c r="X4641">
        <v>0.97269070000000002</v>
      </c>
      <c r="Y4641">
        <v>-0.29728649999999901</v>
      </c>
      <c r="Z4641">
        <v>0.103335999999999</v>
      </c>
      <c r="AA4641">
        <v>0.94917980000000002</v>
      </c>
      <c r="AB4641">
        <v>25</v>
      </c>
      <c r="AC4641">
        <v>5.1179000000000201</v>
      </c>
      <c r="AD4641">
        <v>-1.1121237764880001</v>
      </c>
      <c r="AE4641">
        <v>-9.2602199999999897</v>
      </c>
      <c r="AF4641">
        <v>-3.2064483611683601</v>
      </c>
      <c r="AG4641">
        <v>-1.1121237764880001</v>
      </c>
      <c r="AH4641">
        <v>9.9614268295427593</v>
      </c>
      <c r="AI4641">
        <v>96.066234511145197</v>
      </c>
      <c r="AJ4641">
        <v>107.84266382876299</v>
      </c>
      <c r="AK4641">
        <v>10.5236949246642</v>
      </c>
      <c r="AL4641">
        <v>86.964455217460099</v>
      </c>
      <c r="AM4641">
        <v>103.079394977305</v>
      </c>
      <c r="AN4641">
        <v>1.00000001097083</v>
      </c>
    </row>
    <row r="4642" spans="1:40" x14ac:dyDescent="0.25">
      <c r="A4642" t="str">
        <f>"20190312151408587"</f>
        <v>20190312151408587</v>
      </c>
      <c r="B4642" t="str">
        <f>"1552374848584896"</f>
        <v>1552374848584896</v>
      </c>
      <c r="C4642" t="s">
        <v>40</v>
      </c>
      <c r="D4642">
        <v>4.4734369999999997</v>
      </c>
      <c r="E4642">
        <v>0.47162290000000001</v>
      </c>
      <c r="F4642" t="s">
        <v>59</v>
      </c>
      <c r="G4642">
        <v>-416.17910000000001</v>
      </c>
      <c r="H4642" s="1">
        <v>-4.8415540000000004E-6</v>
      </c>
      <c r="I4642">
        <v>32.992980000000003</v>
      </c>
      <c r="J4642">
        <v>-421.27140000000003</v>
      </c>
      <c r="K4642">
        <v>1.112185</v>
      </c>
      <c r="L4642">
        <v>42.138399999999997</v>
      </c>
      <c r="M4642">
        <v>0.19548389999999999</v>
      </c>
      <c r="N4642">
        <v>0</v>
      </c>
      <c r="O4642">
        <v>-0.98064669999999998</v>
      </c>
      <c r="P4642">
        <v>0.41136400000000001</v>
      </c>
      <c r="Q4642">
        <v>4.2981659999999998E-2</v>
      </c>
      <c r="R4642">
        <v>-0.91045759999999998</v>
      </c>
      <c r="S4642">
        <v>1.4549259999999999</v>
      </c>
      <c r="T4642">
        <v>-0.31470239999999999</v>
      </c>
      <c r="U4642">
        <v>-2.6536249999999999</v>
      </c>
      <c r="V4642">
        <v>-0.22572539999999999</v>
      </c>
      <c r="W4642">
        <v>5.2345490000000001E-2</v>
      </c>
      <c r="X4642">
        <v>0.97278359999999997</v>
      </c>
      <c r="Y4642">
        <v>-0.29740040000000001</v>
      </c>
      <c r="Z4642">
        <v>0.1045321</v>
      </c>
      <c r="AA4642">
        <v>0.9490132</v>
      </c>
      <c r="AB4642">
        <v>25</v>
      </c>
      <c r="AC4642">
        <v>5.0923000000000203</v>
      </c>
      <c r="AD4642">
        <v>-1.1121898415539999</v>
      </c>
      <c r="AE4642">
        <v>-9.1454199999999997</v>
      </c>
      <c r="AF4642">
        <v>-3.17036310396806</v>
      </c>
      <c r="AG4642">
        <v>-1.1121898415539999</v>
      </c>
      <c r="AH4642">
        <v>9.8532412453209695</v>
      </c>
      <c r="AI4642">
        <v>96.132923937285597</v>
      </c>
      <c r="AJ4642">
        <v>107.83601525542301</v>
      </c>
      <c r="AK4642">
        <v>10.410308904790099</v>
      </c>
      <c r="AL4642">
        <v>86.999452914520703</v>
      </c>
      <c r="AM4642">
        <v>103.063764597153</v>
      </c>
      <c r="AN4642">
        <v>0.99999996947872904</v>
      </c>
    </row>
    <row r="4643" spans="1:40" x14ac:dyDescent="0.25">
      <c r="A4643" t="str">
        <f>"20190312151408610"</f>
        <v>20190312151408610</v>
      </c>
      <c r="B4643" t="str">
        <f>"1552374848605392"</f>
        <v>1552374848605392</v>
      </c>
      <c r="C4643" t="s">
        <v>40</v>
      </c>
      <c r="D4643">
        <v>4.5067620000000002</v>
      </c>
      <c r="E4643">
        <v>0.47156090000000001</v>
      </c>
      <c r="F4643" t="s">
        <v>59</v>
      </c>
      <c r="G4643">
        <v>-416.21480000000003</v>
      </c>
      <c r="H4643" s="1">
        <v>-4.8379129999999996E-6</v>
      </c>
      <c r="I4643">
        <v>32.984559999999902</v>
      </c>
      <c r="J4643">
        <v>-421.21940000000001</v>
      </c>
      <c r="K4643">
        <v>1.112244</v>
      </c>
      <c r="L4643">
        <v>41.897060000000003</v>
      </c>
      <c r="M4643">
        <v>0.198903</v>
      </c>
      <c r="N4643">
        <v>0</v>
      </c>
      <c r="O4643">
        <v>-0.97995860000000001</v>
      </c>
      <c r="P4643">
        <v>0.41413939999999999</v>
      </c>
      <c r="Q4643">
        <v>4.2057600000000001E-2</v>
      </c>
      <c r="R4643">
        <v>-0.90924139999999998</v>
      </c>
      <c r="S4643">
        <v>1.4633480000000001</v>
      </c>
      <c r="T4643">
        <v>-0.3218626</v>
      </c>
      <c r="U4643">
        <v>-2.6490779999999998</v>
      </c>
      <c r="V4643">
        <v>-0.22529379999999999</v>
      </c>
      <c r="W4643">
        <v>5.1413100000000003E-2</v>
      </c>
      <c r="X4643">
        <v>0.97293339999999995</v>
      </c>
      <c r="Y4643">
        <v>-0.296952299999999</v>
      </c>
      <c r="Z4643">
        <v>0.1068602</v>
      </c>
      <c r="AA4643">
        <v>0.94889420000000002</v>
      </c>
      <c r="AB4643">
        <v>25</v>
      </c>
      <c r="AC4643">
        <v>5.0045999999999804</v>
      </c>
      <c r="AD4643">
        <v>-1.112248837913</v>
      </c>
      <c r="AE4643">
        <v>-8.9124999999999996</v>
      </c>
      <c r="AF4643">
        <v>-3.0951155190528801</v>
      </c>
      <c r="AG4643">
        <v>-1.112248837913</v>
      </c>
      <c r="AH4643">
        <v>9.6160284379038004</v>
      </c>
      <c r="AI4643">
        <v>96.283145213150405</v>
      </c>
      <c r="AJ4643">
        <v>107.841833579183</v>
      </c>
      <c r="AK4643">
        <v>10.162914959414699</v>
      </c>
      <c r="AL4643">
        <v>87.052947062995301</v>
      </c>
      <c r="AM4643">
        <v>103.037701233058</v>
      </c>
      <c r="AN4643">
        <v>1.0000000020027999</v>
      </c>
    </row>
    <row r="4644" spans="1:40" x14ac:dyDescent="0.25">
      <c r="A4644" t="str">
        <f>"20190312151408633"</f>
        <v>20190312151408633</v>
      </c>
      <c r="B4644" t="str">
        <f>"1552374848624912"</f>
        <v>1552374848624912</v>
      </c>
      <c r="C4644" t="s">
        <v>40</v>
      </c>
      <c r="D4644">
        <v>4.479635</v>
      </c>
      <c r="E4644">
        <v>0.47156940000000003</v>
      </c>
      <c r="F4644" t="s">
        <v>59</v>
      </c>
      <c r="G4644">
        <v>-416.21980000000002</v>
      </c>
      <c r="H4644" s="1">
        <v>-4.8719779999999999E-6</v>
      </c>
      <c r="I4644">
        <v>32.915550000000003</v>
      </c>
      <c r="J4644">
        <v>-421.16480000000001</v>
      </c>
      <c r="K4644">
        <v>1.112301</v>
      </c>
      <c r="L4644">
        <v>41.648960000000002</v>
      </c>
      <c r="M4644">
        <v>0.2025081</v>
      </c>
      <c r="N4644">
        <v>0</v>
      </c>
      <c r="O4644">
        <v>-0.97921959999999997</v>
      </c>
      <c r="P4644">
        <v>0.41671780000000003</v>
      </c>
      <c r="Q4644">
        <v>4.0801320000000002E-2</v>
      </c>
      <c r="R4644">
        <v>-0.90811969999999997</v>
      </c>
      <c r="S4644">
        <v>1.4718929999999999</v>
      </c>
      <c r="T4644">
        <v>-0.32745089999999999</v>
      </c>
      <c r="U4644">
        <v>-2.644196</v>
      </c>
      <c r="V4644">
        <v>-0.22446240000000001</v>
      </c>
      <c r="W4644">
        <v>5.0149689999999997E-2</v>
      </c>
      <c r="X4644">
        <v>0.97319140000000004</v>
      </c>
      <c r="Y4644">
        <v>-0.29642829999999998</v>
      </c>
      <c r="Z4644">
        <v>0.10867350000000001</v>
      </c>
      <c r="AA4644">
        <v>0.94885209999999998</v>
      </c>
      <c r="AB4644">
        <v>25</v>
      </c>
      <c r="AC4644">
        <v>4.9449999999999896</v>
      </c>
      <c r="AD4644">
        <v>-1.1123058719779999</v>
      </c>
      <c r="AE4644">
        <v>-8.7334099999999903</v>
      </c>
      <c r="AF4644">
        <v>-3.0365400150783799</v>
      </c>
      <c r="AG4644">
        <v>-1.1123058719779999</v>
      </c>
      <c r="AH4644">
        <v>9.4379715438274001</v>
      </c>
      <c r="AI4644">
        <v>96.401281790348506</v>
      </c>
      <c r="AJ4644">
        <v>107.83487882665</v>
      </c>
      <c r="AK4644">
        <v>9.9766280114127106</v>
      </c>
      <c r="AL4644">
        <v>87.125428439720693</v>
      </c>
      <c r="AM4644">
        <v>102.987896030912</v>
      </c>
      <c r="AN4644">
        <v>0.99999993072740501</v>
      </c>
    </row>
    <row r="4645" spans="1:40" x14ac:dyDescent="0.25">
      <c r="A4645" t="str">
        <f>"20190312151408655"</f>
        <v>20190312151408655</v>
      </c>
      <c r="B4645" t="str">
        <f>"1552374848645408"</f>
        <v>1552374848645408</v>
      </c>
      <c r="C4645" t="s">
        <v>40</v>
      </c>
      <c r="D4645">
        <v>4.5248540000000004</v>
      </c>
      <c r="E4645">
        <v>0.47163890000000003</v>
      </c>
      <c r="F4645" t="s">
        <v>59</v>
      </c>
      <c r="G4645">
        <v>-416.22739999999999</v>
      </c>
      <c r="H4645" s="1">
        <v>-4.9054139999999996E-6</v>
      </c>
      <c r="I4645">
        <v>32.846640000000001</v>
      </c>
      <c r="J4645">
        <v>-421.11219999999997</v>
      </c>
      <c r="K4645">
        <v>1.1123639999999999</v>
      </c>
      <c r="L4645">
        <v>41.414549999999998</v>
      </c>
      <c r="M4645">
        <v>0.206011</v>
      </c>
      <c r="N4645">
        <v>0</v>
      </c>
      <c r="O4645">
        <v>-0.97848840000000004</v>
      </c>
      <c r="P4645">
        <v>0.41906700000000002</v>
      </c>
      <c r="Q4645">
        <v>4.0142249999999997E-2</v>
      </c>
      <c r="R4645">
        <v>-0.90706779999999998</v>
      </c>
      <c r="S4645">
        <v>1.4803770000000001</v>
      </c>
      <c r="T4645">
        <v>-0.33350170000000001</v>
      </c>
      <c r="U4645">
        <v>-2.6391909999999998</v>
      </c>
      <c r="V4645">
        <v>-0.22349569999999999</v>
      </c>
      <c r="W4645">
        <v>4.9483899999999997E-2</v>
      </c>
      <c r="X4645">
        <v>0.97344799999999998</v>
      </c>
      <c r="Y4645">
        <v>-0.29599219999999998</v>
      </c>
      <c r="Z4645">
        <v>0.1106405</v>
      </c>
      <c r="AA4645">
        <v>0.94876090000000002</v>
      </c>
      <c r="AB4645">
        <v>25</v>
      </c>
      <c r="AC4645">
        <v>4.8847999999999798</v>
      </c>
      <c r="AD4645">
        <v>-1.11236890541399</v>
      </c>
      <c r="AE4645">
        <v>-8.5679099999999906</v>
      </c>
      <c r="AF4645">
        <v>-2.9769478028701202</v>
      </c>
      <c r="AG4645">
        <v>-1.11236890541399</v>
      </c>
      <c r="AH4645">
        <v>9.2725313774087805</v>
      </c>
      <c r="AI4645">
        <v>96.516177394264204</v>
      </c>
      <c r="AJ4645">
        <v>107.799236325473</v>
      </c>
      <c r="AK4645">
        <v>9.8020110664993396</v>
      </c>
      <c r="AL4645">
        <v>87.163623009997195</v>
      </c>
      <c r="AM4645">
        <v>102.930550668208</v>
      </c>
      <c r="AN4645">
        <v>0.99999999649084903</v>
      </c>
    </row>
    <row r="4646" spans="1:40" x14ac:dyDescent="0.25">
      <c r="A4646" t="str">
        <f>"20190312151408677"</f>
        <v>20190312151408677</v>
      </c>
      <c r="B4646" t="str">
        <f>"1552374848664928"</f>
        <v>1552374848664928</v>
      </c>
      <c r="C4646" t="s">
        <v>40</v>
      </c>
      <c r="D4646">
        <v>4.4765059999999997</v>
      </c>
      <c r="E4646">
        <v>0.47168179999999998</v>
      </c>
      <c r="F4646" t="s">
        <v>59</v>
      </c>
      <c r="G4646">
        <v>-416.17360000000002</v>
      </c>
      <c r="H4646" s="1">
        <v>-5.0113069999999998E-6</v>
      </c>
      <c r="I4646">
        <v>32.662230000000001</v>
      </c>
      <c r="J4646">
        <v>-421.05680000000001</v>
      </c>
      <c r="K4646">
        <v>1.1124350000000001</v>
      </c>
      <c r="L4646">
        <v>41.17136</v>
      </c>
      <c r="M4646">
        <v>0.20975559999999999</v>
      </c>
      <c r="N4646">
        <v>0</v>
      </c>
      <c r="O4646">
        <v>-0.97769229999999996</v>
      </c>
      <c r="P4646">
        <v>0.42123749999999999</v>
      </c>
      <c r="Q4646">
        <v>3.9568949999999999E-2</v>
      </c>
      <c r="R4646">
        <v>-0.90608690000000003</v>
      </c>
      <c r="S4646">
        <v>1.486969</v>
      </c>
      <c r="T4646">
        <v>-0.33491779999999999</v>
      </c>
      <c r="U4646">
        <v>-2.6351930000000001</v>
      </c>
      <c r="V4646">
        <v>-0.22209899999999999</v>
      </c>
      <c r="W4646">
        <v>4.8907140000000002E-2</v>
      </c>
      <c r="X4646">
        <v>0.97379669999999896</v>
      </c>
      <c r="Y4646">
        <v>-0.2947284</v>
      </c>
      <c r="Z4646">
        <v>0.1110739</v>
      </c>
      <c r="AA4646">
        <v>0.94910369999999999</v>
      </c>
      <c r="AB4646">
        <v>25</v>
      </c>
      <c r="AC4646">
        <v>4.88319999999998</v>
      </c>
      <c r="AD4646">
        <v>-1.1124400113070001</v>
      </c>
      <c r="AE4646">
        <v>-8.5091299999999901</v>
      </c>
      <c r="AF4646">
        <v>-2.9516590513030501</v>
      </c>
      <c r="AG4646">
        <v>-1.1124400113070001</v>
      </c>
      <c r="AH4646">
        <v>9.2255366769165299</v>
      </c>
      <c r="AI4646">
        <v>96.551584925756799</v>
      </c>
      <c r="AJ4646">
        <v>107.74178327606</v>
      </c>
      <c r="AK4646">
        <v>9.7498892768599195</v>
      </c>
      <c r="AL4646">
        <v>87.196708837385501</v>
      </c>
      <c r="AM4646">
        <v>102.84798538322001</v>
      </c>
      <c r="AN4646">
        <v>0.99999994353743304</v>
      </c>
    </row>
    <row r="4647" spans="1:40" x14ac:dyDescent="0.25">
      <c r="A4647" t="str">
        <f>"20190312151408698"</f>
        <v>20190312151408698</v>
      </c>
      <c r="B4647" t="str">
        <f>"1552374848695090"</f>
        <v>1552374848695090</v>
      </c>
      <c r="C4647" t="s">
        <v>40</v>
      </c>
      <c r="D4647">
        <v>4.5257230000000002</v>
      </c>
      <c r="E4647">
        <v>0.4717462</v>
      </c>
      <c r="F4647" t="s">
        <v>59</v>
      </c>
      <c r="G4647">
        <v>-416.11410000000001</v>
      </c>
      <c r="H4647" s="1">
        <v>-5.1274509999999997E-6</v>
      </c>
      <c r="I4647">
        <v>32.460169999999998</v>
      </c>
      <c r="J4647">
        <v>-421.00279999999998</v>
      </c>
      <c r="K4647">
        <v>1.112519</v>
      </c>
      <c r="L4647">
        <v>40.939390000000003</v>
      </c>
      <c r="M4647">
        <v>0.2134375</v>
      </c>
      <c r="N4647">
        <v>0</v>
      </c>
      <c r="O4647">
        <v>-0.97689499999999996</v>
      </c>
      <c r="P4647">
        <v>0.4238191</v>
      </c>
      <c r="Q4647">
        <v>3.9101490000000003E-2</v>
      </c>
      <c r="R4647">
        <v>-0.9049026</v>
      </c>
      <c r="S4647">
        <v>1.4931030000000001</v>
      </c>
      <c r="T4647">
        <v>-0.3360493</v>
      </c>
      <c r="U4647">
        <v>-2.6315</v>
      </c>
      <c r="V4647">
        <v>-0.2212083</v>
      </c>
      <c r="W4647">
        <v>4.8430389999999997E-2</v>
      </c>
      <c r="X4647">
        <v>0.97402330000000004</v>
      </c>
      <c r="Y4647">
        <v>-0.29335559999999899</v>
      </c>
      <c r="Z4647">
        <v>0.11140839999999901</v>
      </c>
      <c r="AA4647">
        <v>0.94948969999999999</v>
      </c>
      <c r="AB4647">
        <v>25</v>
      </c>
      <c r="AC4647">
        <v>4.8886999999999698</v>
      </c>
      <c r="AD4647">
        <v>-1.112524127451</v>
      </c>
      <c r="AE4647">
        <v>-8.4792199999999998</v>
      </c>
      <c r="AF4647">
        <v>-2.9283076239713699</v>
      </c>
      <c r="AG4647">
        <v>-1.112524127451</v>
      </c>
      <c r="AH4647">
        <v>9.20832857429874</v>
      </c>
      <c r="AI4647">
        <v>96.567865419430007</v>
      </c>
      <c r="AJ4647">
        <v>107.64099817644799</v>
      </c>
      <c r="AK4647">
        <v>9.7265621165454004</v>
      </c>
      <c r="AL4647">
        <v>87.2240571722552</v>
      </c>
      <c r="AM4647">
        <v>102.79528086182199</v>
      </c>
      <c r="AN4647">
        <v>1.0000000018036601</v>
      </c>
    </row>
    <row r="4648" spans="1:40" x14ac:dyDescent="0.25">
      <c r="A4648" t="str">
        <f>"20190312151408722"</f>
        <v>20190312151408722</v>
      </c>
      <c r="B4648" t="str">
        <f>"1552374848715589"</f>
        <v>1552374848715589</v>
      </c>
      <c r="C4648" t="s">
        <v>40</v>
      </c>
      <c r="D4648">
        <v>4.5398550000000002</v>
      </c>
      <c r="E4648">
        <v>0.47174650000000001</v>
      </c>
      <c r="F4648" t="s">
        <v>59</v>
      </c>
      <c r="G4648">
        <v>-416.05439999999999</v>
      </c>
      <c r="H4648" s="1">
        <v>-5.2378549999999997E-6</v>
      </c>
      <c r="I4648">
        <v>32.269449999999999</v>
      </c>
      <c r="J4648">
        <v>-420.94420000000002</v>
      </c>
      <c r="K4648">
        <v>1.112609</v>
      </c>
      <c r="L4648">
        <v>40.692540000000001</v>
      </c>
      <c r="M4648">
        <v>0.2174681</v>
      </c>
      <c r="N4648">
        <v>0</v>
      </c>
      <c r="O4648">
        <v>-0.97600529999999996</v>
      </c>
      <c r="P4648">
        <v>0.42655969999999999</v>
      </c>
      <c r="Q4648">
        <v>3.890619E-2</v>
      </c>
      <c r="R4648">
        <v>-0.90362240000000005</v>
      </c>
      <c r="S4648">
        <v>1.4996339999999999</v>
      </c>
      <c r="T4648">
        <v>-0.33715650000000003</v>
      </c>
      <c r="U4648">
        <v>-2.627472</v>
      </c>
      <c r="V4648">
        <v>-0.22014639999999999</v>
      </c>
      <c r="W4648">
        <v>4.8223210000000002E-2</v>
      </c>
      <c r="X4648">
        <v>0.97427419999999998</v>
      </c>
      <c r="Y4648">
        <v>-0.29179870000000002</v>
      </c>
      <c r="Z4648">
        <v>0.1117302</v>
      </c>
      <c r="AA4648">
        <v>0.94993150000000004</v>
      </c>
      <c r="AB4648">
        <v>25</v>
      </c>
      <c r="AC4648">
        <v>4.8898000000000303</v>
      </c>
      <c r="AD4648">
        <v>-1.1126142378549999</v>
      </c>
      <c r="AE4648">
        <v>-8.4230900000000002</v>
      </c>
      <c r="AF4648">
        <v>-2.9030112032812898</v>
      </c>
      <c r="AG4648">
        <v>-1.1126142378549999</v>
      </c>
      <c r="AH4648">
        <v>9.1653111752497001</v>
      </c>
      <c r="AI4648">
        <v>96.601340937412402</v>
      </c>
      <c r="AJ4648">
        <v>107.57502371531599</v>
      </c>
      <c r="AK4648">
        <v>9.6782391697979495</v>
      </c>
      <c r="AL4648">
        <v>87.235941775742504</v>
      </c>
      <c r="AM4648">
        <v>102.73269279365699</v>
      </c>
      <c r="AN4648">
        <v>1.0000000661006401</v>
      </c>
    </row>
    <row r="4649" spans="1:40" x14ac:dyDescent="0.25">
      <c r="A4649" t="str">
        <f>"20190312151408743"</f>
        <v>20190312151408743</v>
      </c>
      <c r="B4649" t="str">
        <f>"1552374848735105"</f>
        <v>1552374848735105</v>
      </c>
      <c r="C4649" t="s">
        <v>40</v>
      </c>
      <c r="D4649">
        <v>4.5514070000000002</v>
      </c>
      <c r="E4649">
        <v>0.47172199999999997</v>
      </c>
      <c r="F4649" t="s">
        <v>59</v>
      </c>
      <c r="G4649">
        <v>-415.99299999999999</v>
      </c>
      <c r="H4649" s="1">
        <v>-5.3475839999999998E-6</v>
      </c>
      <c r="I4649">
        <v>32.080849999999998</v>
      </c>
      <c r="J4649">
        <v>-420.88900000000001</v>
      </c>
      <c r="K4649">
        <v>1.112687</v>
      </c>
      <c r="L4649">
        <v>40.464570000000002</v>
      </c>
      <c r="M4649">
        <v>0.2212954</v>
      </c>
      <c r="N4649">
        <v>0</v>
      </c>
      <c r="O4649">
        <v>-0.97514409999999896</v>
      </c>
      <c r="P4649">
        <v>0.42960540000000003</v>
      </c>
      <c r="Q4649">
        <v>3.8893259999999999E-2</v>
      </c>
      <c r="R4649">
        <v>-0.90217890000000001</v>
      </c>
      <c r="S4649">
        <v>1.507935</v>
      </c>
      <c r="T4649">
        <v>-0.33885349999999997</v>
      </c>
      <c r="U4649">
        <v>-2.6227420000000001</v>
      </c>
      <c r="V4649">
        <v>-0.21961939999999999</v>
      </c>
      <c r="W4649">
        <v>4.8194639999999997E-2</v>
      </c>
      <c r="X4649">
        <v>0.97439450000000005</v>
      </c>
      <c r="Y4649">
        <v>-0.2910182</v>
      </c>
      <c r="Z4649">
        <v>0.1122433</v>
      </c>
      <c r="AA4649">
        <v>0.95011040000000002</v>
      </c>
      <c r="AB4649">
        <v>25</v>
      </c>
      <c r="AC4649">
        <v>4.8959999999999502</v>
      </c>
      <c r="AD4649">
        <v>-1.112692347584</v>
      </c>
      <c r="AE4649">
        <v>-8.3837200000000003</v>
      </c>
      <c r="AF4649">
        <v>-2.8813584229103602</v>
      </c>
      <c r="AG4649">
        <v>-1.112692347584</v>
      </c>
      <c r="AH4649">
        <v>9.1393177358894793</v>
      </c>
      <c r="AI4649">
        <v>96.623178998705299</v>
      </c>
      <c r="AJ4649">
        <v>107.49853227833501</v>
      </c>
      <c r="AK4649">
        <v>9.6471466921153599</v>
      </c>
      <c r="AL4649">
        <v>87.237580502168598</v>
      </c>
      <c r="AM4649">
        <v>102.70168524258099</v>
      </c>
      <c r="AN4649">
        <v>1.00000002290566</v>
      </c>
    </row>
    <row r="4650" spans="1:40" x14ac:dyDescent="0.25">
      <c r="A4650" t="str">
        <f>"20190312151408766"</f>
        <v>20190312151408766</v>
      </c>
      <c r="B4650" t="str">
        <f>"1552374848755602"</f>
        <v>1552374848755602</v>
      </c>
      <c r="C4650" t="s">
        <v>40</v>
      </c>
      <c r="D4650">
        <v>4.5217299999999998</v>
      </c>
      <c r="E4650">
        <v>0.4716977</v>
      </c>
      <c r="F4650" t="s">
        <v>59</v>
      </c>
      <c r="G4650">
        <v>-415.9359</v>
      </c>
      <c r="H4650" s="1">
        <v>-5.4429300000000004E-6</v>
      </c>
      <c r="I4650">
        <v>31.918559999999999</v>
      </c>
      <c r="J4650">
        <v>-420.82889999999998</v>
      </c>
      <c r="K4650">
        <v>1.112765</v>
      </c>
      <c r="L4650">
        <v>40.221159999999998</v>
      </c>
      <c r="M4650">
        <v>0.22550000000000001</v>
      </c>
      <c r="N4650">
        <v>0</v>
      </c>
      <c r="O4650">
        <v>-0.9741803</v>
      </c>
      <c r="P4650">
        <v>0.43320969999999998</v>
      </c>
      <c r="Q4650">
        <v>3.8155559999999998E-2</v>
      </c>
      <c r="R4650">
        <v>-0.90048530000000004</v>
      </c>
      <c r="S4650">
        <v>1.51712</v>
      </c>
      <c r="T4650">
        <v>-0.34081020000000001</v>
      </c>
      <c r="U4650">
        <v>-2.6175839999999999</v>
      </c>
      <c r="V4650">
        <v>-0.2193109</v>
      </c>
      <c r="W4650">
        <v>4.7442089999999999E-2</v>
      </c>
      <c r="X4650">
        <v>0.9745009</v>
      </c>
      <c r="Y4650">
        <v>-0.2901667</v>
      </c>
      <c r="Z4650">
        <v>0.1128306</v>
      </c>
      <c r="AA4650">
        <v>0.95030130000000002</v>
      </c>
      <c r="AB4650">
        <v>25</v>
      </c>
      <c r="AC4650">
        <v>4.8929999999999696</v>
      </c>
      <c r="AD4650">
        <v>-1.11277044293</v>
      </c>
      <c r="AE4650">
        <v>-8.3025999999999893</v>
      </c>
      <c r="AF4650">
        <v>-2.8565204166417302</v>
      </c>
      <c r="AG4650">
        <v>-1.11277044293</v>
      </c>
      <c r="AH4650">
        <v>9.0712211014357305</v>
      </c>
      <c r="AI4650">
        <v>96.673619884586799</v>
      </c>
      <c r="AJ4650">
        <v>107.47917394776699</v>
      </c>
      <c r="AK4650">
        <v>9.5752294604611201</v>
      </c>
      <c r="AL4650">
        <v>87.280747796652904</v>
      </c>
      <c r="AM4650">
        <v>102.68308068820301</v>
      </c>
      <c r="AN4650">
        <v>1.0000000134315901</v>
      </c>
    </row>
    <row r="4651" spans="1:40" x14ac:dyDescent="0.25">
      <c r="A4651" t="str">
        <f>"20190312151408788"</f>
        <v>20190312151408788</v>
      </c>
      <c r="B4651" t="str">
        <f>"1552374848785465"</f>
        <v>1552374848785465</v>
      </c>
      <c r="C4651" t="s">
        <v>40</v>
      </c>
      <c r="D4651">
        <v>4.5484400000000003</v>
      </c>
      <c r="E4651">
        <v>0.47169240000000001</v>
      </c>
      <c r="F4651" t="s">
        <v>59</v>
      </c>
      <c r="G4651">
        <v>-415.89640000000003</v>
      </c>
      <c r="H4651" s="1">
        <v>-5.5171540000000003E-6</v>
      </c>
      <c r="I4651">
        <v>31.79006</v>
      </c>
      <c r="J4651">
        <v>-420.76929999999999</v>
      </c>
      <c r="K4651">
        <v>1.1128480000000001</v>
      </c>
      <c r="L4651">
        <v>39.985019999999999</v>
      </c>
      <c r="M4651">
        <v>0.22971269999999999</v>
      </c>
      <c r="N4651">
        <v>0</v>
      </c>
      <c r="O4651">
        <v>-0.97319540000000004</v>
      </c>
      <c r="P4651">
        <v>0.43726219999999999</v>
      </c>
      <c r="Q4651">
        <v>3.7598029999999998E-2</v>
      </c>
      <c r="R4651">
        <v>-0.89854809999999996</v>
      </c>
      <c r="S4651">
        <v>1.527649</v>
      </c>
      <c r="T4651">
        <v>-0.34463749999999999</v>
      </c>
      <c r="U4651">
        <v>-2.6112060000000001</v>
      </c>
      <c r="V4651">
        <v>-0.2194854</v>
      </c>
      <c r="W4651">
        <v>4.6869569999999999E-2</v>
      </c>
      <c r="X4651">
        <v>0.9744893</v>
      </c>
      <c r="Y4651">
        <v>-0.28982249999999998</v>
      </c>
      <c r="Z4651">
        <v>0.1140456</v>
      </c>
      <c r="AA4651">
        <v>0.95026129999999998</v>
      </c>
      <c r="AB4651">
        <v>25</v>
      </c>
      <c r="AC4651">
        <v>4.8728999999999498</v>
      </c>
      <c r="AD4651">
        <v>-1.1128535171539999</v>
      </c>
      <c r="AE4651">
        <v>-8.19496</v>
      </c>
      <c r="AF4651">
        <v>-2.8215329087079701</v>
      </c>
      <c r="AG4651">
        <v>-1.1128535171539999</v>
      </c>
      <c r="AH4651">
        <v>8.9729762622208096</v>
      </c>
      <c r="AI4651">
        <v>96.747382246017494</v>
      </c>
      <c r="AJ4651">
        <v>107.45564154194901</v>
      </c>
      <c r="AK4651">
        <v>9.4717365835385401</v>
      </c>
      <c r="AL4651">
        <v>87.313587263603907</v>
      </c>
      <c r="AM4651">
        <v>102.692991659181</v>
      </c>
      <c r="AN4651">
        <v>0.99999999660981698</v>
      </c>
    </row>
    <row r="4652" spans="1:40" x14ac:dyDescent="0.25">
      <c r="A4652" t="str">
        <f>"20190312151408811"</f>
        <v>20190312151408811</v>
      </c>
      <c r="B4652" t="str">
        <f>"1552374848804985"</f>
        <v>1552374848804985</v>
      </c>
      <c r="C4652" t="s">
        <v>40</v>
      </c>
      <c r="D4652">
        <v>4.5472210000000004</v>
      </c>
      <c r="E4652">
        <v>0.47169410000000001</v>
      </c>
      <c r="F4652" t="s">
        <v>59</v>
      </c>
      <c r="G4652">
        <v>-415.83710000000002</v>
      </c>
      <c r="H4652" s="1">
        <v>-5.6017890000000002E-6</v>
      </c>
      <c r="I4652">
        <v>31.640450000000001</v>
      </c>
      <c r="J4652">
        <v>-420.70569999999998</v>
      </c>
      <c r="K4652">
        <v>1.1129359999999999</v>
      </c>
      <c r="L4652">
        <v>39.738340000000001</v>
      </c>
      <c r="M4652">
        <v>0.2342234</v>
      </c>
      <c r="N4652">
        <v>0</v>
      </c>
      <c r="O4652">
        <v>-0.97211899999999996</v>
      </c>
      <c r="P4652">
        <v>0.44171100000000002</v>
      </c>
      <c r="Q4652">
        <v>3.7233589999999997E-2</v>
      </c>
      <c r="R4652">
        <v>-0.89638469999999904</v>
      </c>
      <c r="S4652">
        <v>1.5392459999999999</v>
      </c>
      <c r="T4652">
        <v>-0.34730149999999999</v>
      </c>
      <c r="U4652">
        <v>-2.604187</v>
      </c>
      <c r="V4652">
        <v>-0.2198002</v>
      </c>
      <c r="W4652">
        <v>4.6489950000000002E-2</v>
      </c>
      <c r="X4652">
        <v>0.97443650000000004</v>
      </c>
      <c r="Y4652">
        <v>-0.28959380000000001</v>
      </c>
      <c r="Z4652">
        <v>0.114874</v>
      </c>
      <c r="AA4652">
        <v>0.95023120000000005</v>
      </c>
      <c r="AB4652">
        <v>25</v>
      </c>
      <c r="AC4652">
        <v>4.8685999999999501</v>
      </c>
      <c r="AD4652">
        <v>-1.1129416017889999</v>
      </c>
      <c r="AE4652">
        <v>-8.0978899999999996</v>
      </c>
      <c r="AF4652">
        <v>-2.7975071443538901</v>
      </c>
      <c r="AG4652">
        <v>-1.1129416017889999</v>
      </c>
      <c r="AH4652">
        <v>8.8896783190310504</v>
      </c>
      <c r="AI4652">
        <v>96.810078629500893</v>
      </c>
      <c r="AJ4652">
        <v>107.468351221265</v>
      </c>
      <c r="AK4652">
        <v>9.3856840905473895</v>
      </c>
      <c r="AL4652">
        <v>87.335361547312104</v>
      </c>
      <c r="AM4652">
        <v>102.711272067064</v>
      </c>
      <c r="AN4652">
        <v>0.99999996795164503</v>
      </c>
    </row>
    <row r="4653" spans="1:40" x14ac:dyDescent="0.25">
      <c r="A4653" t="str">
        <f>"20190312151408834"</f>
        <v>20190312151408834</v>
      </c>
      <c r="B4653" t="str">
        <f>"1552374848825480"</f>
        <v>1552374848825480</v>
      </c>
      <c r="C4653" t="s">
        <v>40</v>
      </c>
      <c r="D4653">
        <v>4.5516620000000003</v>
      </c>
      <c r="E4653">
        <v>0.47171279999999999</v>
      </c>
      <c r="F4653" t="s">
        <v>59</v>
      </c>
      <c r="G4653">
        <v>-415.74329999999998</v>
      </c>
      <c r="H4653" s="1">
        <v>-5.6930579999999999E-6</v>
      </c>
      <c r="I4653">
        <v>31.438009999999998</v>
      </c>
      <c r="J4653">
        <v>-420.64350000000002</v>
      </c>
      <c r="K4653">
        <v>1.113019</v>
      </c>
      <c r="L4653">
        <v>39.501429999999999</v>
      </c>
      <c r="M4653">
        <v>0.2386644</v>
      </c>
      <c r="N4653">
        <v>0</v>
      </c>
      <c r="O4653">
        <v>-0.97103790000000001</v>
      </c>
      <c r="P4653">
        <v>0.44604690000000002</v>
      </c>
      <c r="Q4653">
        <v>3.6580639999999998E-2</v>
      </c>
      <c r="R4653">
        <v>-0.8942618</v>
      </c>
      <c r="S4653">
        <v>1.552246</v>
      </c>
      <c r="T4653">
        <v>-0.34812799999999999</v>
      </c>
      <c r="U4653">
        <v>-2.5963440000000002</v>
      </c>
      <c r="V4653">
        <v>-0.22006300000000001</v>
      </c>
      <c r="W4653">
        <v>4.582166E-2</v>
      </c>
      <c r="X4653">
        <v>0.97440890000000002</v>
      </c>
      <c r="Y4653">
        <v>-0.2899757</v>
      </c>
      <c r="Z4653">
        <v>0.1151059</v>
      </c>
      <c r="AA4653">
        <v>0.95008669999999995</v>
      </c>
      <c r="AB4653">
        <v>25</v>
      </c>
      <c r="AC4653">
        <v>4.9002000000000399</v>
      </c>
      <c r="AD4653">
        <v>-1.1130246930579999</v>
      </c>
      <c r="AE4653">
        <v>-8.06341999999999</v>
      </c>
      <c r="AF4653">
        <v>-2.7951125383746298</v>
      </c>
      <c r="AG4653">
        <v>-1.1130246930579999</v>
      </c>
      <c r="AH4653">
        <v>8.8764390496132393</v>
      </c>
      <c r="AI4653">
        <v>96.820258470496199</v>
      </c>
      <c r="AJ4653">
        <v>107.478756044043</v>
      </c>
      <c r="AK4653">
        <v>9.3724408918400002</v>
      </c>
      <c r="AL4653">
        <v>87.373692750689102</v>
      </c>
      <c r="AM4653">
        <v>102.726324132096</v>
      </c>
      <c r="AN4653">
        <v>1.00000002644668</v>
      </c>
    </row>
    <row r="4654" spans="1:40" x14ac:dyDescent="0.25">
      <c r="A4654" t="str">
        <f>"20190312151408857"</f>
        <v>20190312151408857</v>
      </c>
      <c r="B4654" t="str">
        <f>"1552374848845001"</f>
        <v>1552374848845001</v>
      </c>
      <c r="C4654" t="s">
        <v>40</v>
      </c>
      <c r="D4654">
        <v>4.5628320000000002</v>
      </c>
      <c r="E4654">
        <v>0.47173759999999998</v>
      </c>
      <c r="F4654" t="s">
        <v>59</v>
      </c>
      <c r="G4654">
        <v>-415.67399999999998</v>
      </c>
      <c r="H4654" s="1">
        <v>-5.763822E-6</v>
      </c>
      <c r="I4654">
        <v>31.279610000000002</v>
      </c>
      <c r="J4654">
        <v>-420.57679999999999</v>
      </c>
      <c r="K4654">
        <v>1.1131070000000001</v>
      </c>
      <c r="L4654">
        <v>39.253230000000002</v>
      </c>
      <c r="M4654">
        <v>0.24344189999999999</v>
      </c>
      <c r="N4654">
        <v>0</v>
      </c>
      <c r="O4654">
        <v>-0.96985080000000001</v>
      </c>
      <c r="P4654">
        <v>0.45130229999999999</v>
      </c>
      <c r="Q4654">
        <v>3.6216940000000003E-2</v>
      </c>
      <c r="R4654">
        <v>-0.89163599999999998</v>
      </c>
      <c r="S4654">
        <v>1.5646359999999999</v>
      </c>
      <c r="T4654">
        <v>-0.35043760000000002</v>
      </c>
      <c r="U4654">
        <v>-2.588654</v>
      </c>
      <c r="V4654">
        <v>-0.22100410000000001</v>
      </c>
      <c r="W4654">
        <v>4.5430110000000003E-2</v>
      </c>
      <c r="X4654">
        <v>0.97421420000000003</v>
      </c>
      <c r="Y4654">
        <v>-0.28980240000000002</v>
      </c>
      <c r="Z4654">
        <v>0.11581130000000001</v>
      </c>
      <c r="AA4654">
        <v>0.95005390000000001</v>
      </c>
      <c r="AB4654">
        <v>25</v>
      </c>
      <c r="AC4654">
        <v>4.9027999999999503</v>
      </c>
      <c r="AD4654">
        <v>-1.113112763822</v>
      </c>
      <c r="AE4654">
        <v>-7.9736200000000004</v>
      </c>
      <c r="AF4654">
        <v>-2.7748079737551801</v>
      </c>
      <c r="AG4654">
        <v>-1.113112763822</v>
      </c>
      <c r="AH4654">
        <v>8.8028435863117807</v>
      </c>
      <c r="AI4654">
        <v>96.876637385516304</v>
      </c>
      <c r="AJ4654">
        <v>107.49574948438</v>
      </c>
      <c r="AK4654">
        <v>9.2967001952988202</v>
      </c>
      <c r="AL4654">
        <v>87.396150250167096</v>
      </c>
      <c r="AM4654">
        <v>102.78143493530099</v>
      </c>
      <c r="AN4654">
        <v>1.00000000729653</v>
      </c>
    </row>
    <row r="4655" spans="1:40" x14ac:dyDescent="0.25">
      <c r="A4655" t="str">
        <f>"20190312151408880"</f>
        <v>20190312151408880</v>
      </c>
      <c r="B4655" t="str">
        <f>"1552374848875258"</f>
        <v>1552374848875258</v>
      </c>
      <c r="C4655" t="s">
        <v>40</v>
      </c>
      <c r="D4655">
        <v>4.5592739999999896</v>
      </c>
      <c r="E4655">
        <v>0.47177259999999999</v>
      </c>
      <c r="F4655" t="s">
        <v>59</v>
      </c>
      <c r="G4655">
        <v>-415.58199999999999</v>
      </c>
      <c r="H4655" s="1">
        <v>-5.8471149999999997E-6</v>
      </c>
      <c r="I4655">
        <v>31.0975</v>
      </c>
      <c r="J4655">
        <v>-420.5104</v>
      </c>
      <c r="K4655">
        <v>1.113192</v>
      </c>
      <c r="L4655">
        <v>39.011020000000002</v>
      </c>
      <c r="M4655">
        <v>0.24823719999999999</v>
      </c>
      <c r="N4655">
        <v>0</v>
      </c>
      <c r="O4655">
        <v>-0.9686342</v>
      </c>
      <c r="P4655">
        <v>0.45662849999999999</v>
      </c>
      <c r="Q4655">
        <v>3.6232609999999998E-2</v>
      </c>
      <c r="R4655">
        <v>-0.88891949999999997</v>
      </c>
      <c r="S4655">
        <v>1.5796809999999999</v>
      </c>
      <c r="T4655">
        <v>-0.35203899999999999</v>
      </c>
      <c r="U4655">
        <v>-2.5793759999999999</v>
      </c>
      <c r="V4655">
        <v>-0.22202330000000001</v>
      </c>
      <c r="W4655">
        <v>4.5412950000000001E-2</v>
      </c>
      <c r="X4655">
        <v>0.97398320000000005</v>
      </c>
      <c r="Y4655">
        <v>-0.29059059999999998</v>
      </c>
      <c r="Z4655">
        <v>0.116292699999999</v>
      </c>
      <c r="AA4655">
        <v>0.94975419999999999</v>
      </c>
      <c r="AB4655">
        <v>25</v>
      </c>
      <c r="AC4655">
        <v>4.9284000000000097</v>
      </c>
      <c r="AD4655">
        <v>-1.1131978471149999</v>
      </c>
      <c r="AE4655">
        <v>-7.9135200000000001</v>
      </c>
      <c r="AF4655">
        <v>-2.7700680749907201</v>
      </c>
      <c r="AG4655">
        <v>-1.1131978471149999</v>
      </c>
      <c r="AH4655">
        <v>8.7643165988279197</v>
      </c>
      <c r="AI4655">
        <v>96.905439178109901</v>
      </c>
      <c r="AJ4655">
        <v>107.53976975248401</v>
      </c>
      <c r="AK4655">
        <v>9.2588191488652996</v>
      </c>
      <c r="AL4655">
        <v>87.397134384771803</v>
      </c>
      <c r="AM4655">
        <v>102.841373743441</v>
      </c>
      <c r="AN4655">
        <v>0.99999997782641603</v>
      </c>
    </row>
    <row r="4656" spans="1:40" x14ac:dyDescent="0.25">
      <c r="A4656" t="str">
        <f>"20190312151408900"</f>
        <v>20190312151408900</v>
      </c>
      <c r="B4656" t="str">
        <f>"1552374848894777"</f>
        <v>1552374848894777</v>
      </c>
      <c r="C4656" t="s">
        <v>40</v>
      </c>
      <c r="D4656">
        <v>4.594004</v>
      </c>
      <c r="E4656">
        <v>0.47169040000000001</v>
      </c>
      <c r="F4656" t="s">
        <v>59</v>
      </c>
      <c r="G4656">
        <v>-415.47890000000001</v>
      </c>
      <c r="H4656" s="1">
        <v>-5.93787799999999E-6</v>
      </c>
      <c r="I4656">
        <v>30.900220000000001</v>
      </c>
      <c r="J4656">
        <v>-420.44830000000002</v>
      </c>
      <c r="K4656">
        <v>1.113278</v>
      </c>
      <c r="L4656">
        <v>38.789029999999997</v>
      </c>
      <c r="M4656">
        <v>0.25275320000000001</v>
      </c>
      <c r="N4656">
        <v>0</v>
      </c>
      <c r="O4656">
        <v>-0.96746560000000004</v>
      </c>
      <c r="P4656">
        <v>0.4624839</v>
      </c>
      <c r="Q4656">
        <v>3.5652259999999998E-2</v>
      </c>
      <c r="R4656">
        <v>-0.88591089999999995</v>
      </c>
      <c r="S4656">
        <v>1.5944210000000001</v>
      </c>
      <c r="T4656">
        <v>-0.35275980000000001</v>
      </c>
      <c r="U4656">
        <v>-2.5702210000000001</v>
      </c>
      <c r="V4656">
        <v>-0.22390599999999999</v>
      </c>
      <c r="W4656">
        <v>4.4787500000000001E-2</v>
      </c>
      <c r="X4656">
        <v>0.97358109999999998</v>
      </c>
      <c r="Y4656">
        <v>-0.29156480000000001</v>
      </c>
      <c r="Z4656">
        <v>0.11648890000000001</v>
      </c>
      <c r="AA4656">
        <v>0.94943160000000004</v>
      </c>
      <c r="AB4656">
        <v>25</v>
      </c>
      <c r="AC4656">
        <v>4.9694000000000003</v>
      </c>
      <c r="AD4656">
        <v>-1.113283937878</v>
      </c>
      <c r="AE4656">
        <v>-7.8888099999999897</v>
      </c>
      <c r="AF4656">
        <v>-2.7744220465175999</v>
      </c>
      <c r="AG4656">
        <v>-1.113283937878</v>
      </c>
      <c r="AH4656">
        <v>8.76379271174876</v>
      </c>
      <c r="AI4656">
        <v>96.905362717505099</v>
      </c>
      <c r="AJ4656">
        <v>107.566630014941</v>
      </c>
      <c r="AK4656">
        <v>9.2596372236195492</v>
      </c>
      <c r="AL4656">
        <v>87.433006557736206</v>
      </c>
      <c r="AM4656">
        <v>102.951777816816</v>
      </c>
      <c r="AN4656">
        <v>0.99999998763472897</v>
      </c>
    </row>
    <row r="4657" spans="1:40" x14ac:dyDescent="0.25">
      <c r="A4657" t="str">
        <f>"20190312151408924"</f>
        <v>20190312151408924</v>
      </c>
      <c r="B4657" t="str">
        <f>"1552374848915273"</f>
        <v>1552374848915273</v>
      </c>
      <c r="C4657" t="s">
        <v>40</v>
      </c>
      <c r="D4657">
        <v>4.5036189999999996</v>
      </c>
      <c r="E4657">
        <v>0.43992880000000001</v>
      </c>
      <c r="F4657" t="s">
        <v>59</v>
      </c>
      <c r="G4657">
        <v>-415.38909999999998</v>
      </c>
      <c r="H4657" s="1">
        <v>-6.0071719999999999E-6</v>
      </c>
      <c r="I4657">
        <v>30.75422</v>
      </c>
      <c r="J4657">
        <v>-420.37950000000001</v>
      </c>
      <c r="K4657">
        <v>1.1133820000000001</v>
      </c>
      <c r="L4657">
        <v>38.548459999999999</v>
      </c>
      <c r="M4657">
        <v>0.25778000000000001</v>
      </c>
      <c r="N4657">
        <v>0</v>
      </c>
      <c r="O4657">
        <v>-0.96613789999999999</v>
      </c>
      <c r="P4657">
        <v>0.4685858</v>
      </c>
      <c r="Q4657">
        <v>3.4381929999999998E-2</v>
      </c>
      <c r="R4657">
        <v>-0.88274889999999995</v>
      </c>
      <c r="S4657">
        <v>1.6115109999999999</v>
      </c>
      <c r="T4657">
        <v>-0.35461369999999998</v>
      </c>
      <c r="U4657">
        <v>-2.559326</v>
      </c>
      <c r="V4657">
        <v>-0.22555020000000001</v>
      </c>
      <c r="W4657">
        <v>4.3467949999999998E-2</v>
      </c>
      <c r="X4657">
        <v>0.97326140000000005</v>
      </c>
      <c r="Y4657">
        <v>-0.29291850000000003</v>
      </c>
      <c r="Z4657">
        <v>0.11705599999999999</v>
      </c>
      <c r="AA4657">
        <v>0.94894500000000004</v>
      </c>
      <c r="AB4657">
        <v>25</v>
      </c>
      <c r="AC4657">
        <v>4.9904000000000197</v>
      </c>
      <c r="AD4657">
        <v>-1.1133880071719999</v>
      </c>
      <c r="AE4657">
        <v>-7.7942399999999896</v>
      </c>
      <c r="AF4657">
        <v>-2.7722722665021098</v>
      </c>
      <c r="AG4657">
        <v>-1.1133880071719999</v>
      </c>
      <c r="AH4657">
        <v>8.6915080288629802</v>
      </c>
      <c r="AI4657">
        <v>96.958130147128799</v>
      </c>
      <c r="AJ4657">
        <v>107.690775411429</v>
      </c>
      <c r="AK4657">
        <v>9.1906168557894397</v>
      </c>
      <c r="AL4657">
        <v>87.508685094146898</v>
      </c>
      <c r="AM4657">
        <v>103.047783145087</v>
      </c>
      <c r="AN4657">
        <v>1.00000005406359</v>
      </c>
    </row>
    <row r="4658" spans="1:40" x14ac:dyDescent="0.25">
      <c r="A4658" t="str">
        <f>"20190312151408945"</f>
        <v>20190312151408945</v>
      </c>
      <c r="B4658" t="str">
        <f>"1552374848934793"</f>
        <v>1552374848934793</v>
      </c>
      <c r="C4658" t="s">
        <v>40</v>
      </c>
      <c r="D4658">
        <v>4.4776150000000001</v>
      </c>
      <c r="E4658">
        <v>0.4241799</v>
      </c>
      <c r="F4658" t="s">
        <v>59</v>
      </c>
      <c r="G4658">
        <v>-415.399</v>
      </c>
      <c r="H4658" s="1">
        <v>-5.5065879999999996E-6</v>
      </c>
      <c r="I4658">
        <v>32.027259999999998</v>
      </c>
      <c r="J4658">
        <v>-420.31240000000003</v>
      </c>
      <c r="K4658">
        <v>1.11348799999999</v>
      </c>
      <c r="L4658">
        <v>38.318420000000003</v>
      </c>
      <c r="M4658">
        <v>0.26272849999999998</v>
      </c>
      <c r="N4658">
        <v>0</v>
      </c>
      <c r="O4658">
        <v>-0.96480379999999999</v>
      </c>
      <c r="P4658">
        <v>0.47441830000000001</v>
      </c>
      <c r="Q4658">
        <v>3.4115630000000001E-2</v>
      </c>
      <c r="R4658">
        <v>-0.87963840000000004</v>
      </c>
      <c r="S4658">
        <v>1.855621</v>
      </c>
      <c r="T4658">
        <v>-0.41481859999999998</v>
      </c>
      <c r="U4658">
        <v>-2.4296259999999998</v>
      </c>
      <c r="V4658">
        <v>-0.22700980000000001</v>
      </c>
      <c r="W4658">
        <v>4.3151630000000003E-2</v>
      </c>
      <c r="X4658">
        <v>0.97293600000000002</v>
      </c>
      <c r="Y4658">
        <v>-0.37102220000000002</v>
      </c>
      <c r="Z4658">
        <v>0.13660839999999999</v>
      </c>
      <c r="AA4658">
        <v>0.91852089999999997</v>
      </c>
      <c r="AB4658">
        <v>25</v>
      </c>
      <c r="AC4658">
        <v>4.9134000000000198</v>
      </c>
      <c r="AD4658">
        <v>-1.1134935065879901</v>
      </c>
      <c r="AE4658">
        <v>-6.2911599999999996</v>
      </c>
      <c r="AF4658">
        <v>-3.0288610123796902</v>
      </c>
      <c r="AG4658">
        <v>-1.1134935065879901</v>
      </c>
      <c r="AH4658">
        <v>7.2205956856615003</v>
      </c>
      <c r="AI4658">
        <v>98.093547822078904</v>
      </c>
      <c r="AJ4658">
        <v>112.756842209731</v>
      </c>
      <c r="AK4658">
        <v>7.9089107263466296</v>
      </c>
      <c r="AL4658">
        <v>87.526825748175995</v>
      </c>
      <c r="AM4658">
        <v>103.13354200488</v>
      </c>
      <c r="AN4658">
        <v>0.99999998628184805</v>
      </c>
    </row>
    <row r="4659" spans="1:40" x14ac:dyDescent="0.25">
      <c r="A4659" t="str">
        <f>"20190312151408967"</f>
        <v>20190312151408967</v>
      </c>
      <c r="B4659" t="str">
        <f>"1552374848965049"</f>
        <v>1552374848965049</v>
      </c>
      <c r="C4659" t="s">
        <v>40</v>
      </c>
      <c r="D4659">
        <v>4.5168309999999998</v>
      </c>
      <c r="E4659">
        <v>0.41509669999999999</v>
      </c>
      <c r="F4659" t="s">
        <v>59</v>
      </c>
      <c r="G4659">
        <v>-415.2527</v>
      </c>
      <c r="H4659" s="1">
        <v>-5.3988410000000004E-6</v>
      </c>
      <c r="I4659">
        <v>32.30236</v>
      </c>
      <c r="J4659">
        <v>-420.24130000000002</v>
      </c>
      <c r="K4659">
        <v>1.1136010000000001</v>
      </c>
      <c r="L4659">
        <v>38.080350000000003</v>
      </c>
      <c r="M4659">
        <v>0.26800479999999999</v>
      </c>
      <c r="N4659">
        <v>0</v>
      </c>
      <c r="O4659">
        <v>-0.96335110000000002</v>
      </c>
      <c r="P4659">
        <v>0.48056399999999999</v>
      </c>
      <c r="Q4659">
        <v>3.3858119999999998E-2</v>
      </c>
      <c r="R4659">
        <v>-0.87630609999999998</v>
      </c>
      <c r="S4659">
        <v>1.983063</v>
      </c>
      <c r="T4659">
        <v>-0.43641829999999998</v>
      </c>
      <c r="U4659">
        <v>-2.35791</v>
      </c>
      <c r="V4659">
        <v>-0.2285018</v>
      </c>
      <c r="W4659">
        <v>4.2840540000000003E-2</v>
      </c>
      <c r="X4659">
        <v>0.97260049999999998</v>
      </c>
      <c r="Y4659">
        <v>-0.40820689999999998</v>
      </c>
      <c r="Z4659">
        <v>0.14324429999999999</v>
      </c>
      <c r="AA4659">
        <v>0.90158090000000002</v>
      </c>
      <c r="AB4659">
        <v>25</v>
      </c>
      <c r="AC4659">
        <v>4.9886000000000204</v>
      </c>
      <c r="AD4659">
        <v>-1.1136063988410001</v>
      </c>
      <c r="AE4659">
        <v>-5.77799</v>
      </c>
      <c r="AF4659">
        <v>-3.1895729522165501</v>
      </c>
      <c r="AG4659">
        <v>-1.1136063988410001</v>
      </c>
      <c r="AH4659">
        <v>6.7597834237085301</v>
      </c>
      <c r="AI4659">
        <v>98.474024422310194</v>
      </c>
      <c r="AJ4659">
        <v>115.260067657547</v>
      </c>
      <c r="AK4659">
        <v>7.5569945589828</v>
      </c>
      <c r="AL4659">
        <v>87.544666568356902</v>
      </c>
      <c r="AM4659">
        <v>103.22123963845701</v>
      </c>
      <c r="AN4659">
        <v>1.00000005853548</v>
      </c>
    </row>
    <row r="4660" spans="1:40" x14ac:dyDescent="0.25">
      <c r="A4660" t="str">
        <f>"20190312151408990"</f>
        <v>20190312151408990</v>
      </c>
      <c r="B4660" t="str">
        <f>"1552374848985545"</f>
        <v>1552374848985545</v>
      </c>
      <c r="C4660" t="s">
        <v>40</v>
      </c>
      <c r="D4660">
        <v>4.5334940000000001</v>
      </c>
      <c r="E4660">
        <v>0.41280440000000002</v>
      </c>
      <c r="F4660" t="s">
        <v>59</v>
      </c>
      <c r="G4660">
        <v>-415.13130000000001</v>
      </c>
      <c r="H4660" s="1">
        <v>-5.3961620000000003E-6</v>
      </c>
      <c r="I4660">
        <v>32.360469999999999</v>
      </c>
      <c r="J4660">
        <v>-420.1671</v>
      </c>
      <c r="K4660">
        <v>1.1137090000000001</v>
      </c>
      <c r="L4660">
        <v>37.837710000000001</v>
      </c>
      <c r="M4660">
        <v>0.27354030000000001</v>
      </c>
      <c r="N4660">
        <v>0</v>
      </c>
      <c r="O4660">
        <v>-0.96179380000000003</v>
      </c>
      <c r="P4660">
        <v>0.48720029999999998</v>
      </c>
      <c r="Q4660">
        <v>3.3775430000000002E-2</v>
      </c>
      <c r="R4660">
        <v>-0.872637199999999</v>
      </c>
      <c r="S4660">
        <v>2.0631710000000001</v>
      </c>
      <c r="T4660">
        <v>-0.44962190000000002</v>
      </c>
      <c r="U4660">
        <v>-2.309418</v>
      </c>
      <c r="V4660">
        <v>-0.2302999</v>
      </c>
      <c r="W4660">
        <v>4.2699540000000001E-2</v>
      </c>
      <c r="X4660">
        <v>0.97218249999999995</v>
      </c>
      <c r="Y4660">
        <v>-0.4294058</v>
      </c>
      <c r="Z4660">
        <v>0.1471915</v>
      </c>
      <c r="AA4660">
        <v>0.891036099999999</v>
      </c>
      <c r="AB4660">
        <v>25</v>
      </c>
      <c r="AC4660">
        <v>5.0357999999999903</v>
      </c>
      <c r="AD4660">
        <v>-1.113714396162</v>
      </c>
      <c r="AE4660">
        <v>-5.4772399999999903</v>
      </c>
      <c r="AF4660">
        <v>-3.2720577918410299</v>
      </c>
      <c r="AG4660">
        <v>-1.113714396162</v>
      </c>
      <c r="AH4660">
        <v>6.5002544635053701</v>
      </c>
      <c r="AI4660">
        <v>98.700961375708204</v>
      </c>
      <c r="AJ4660">
        <v>116.71948600154801</v>
      </c>
      <c r="AK4660">
        <v>7.3620669678893602</v>
      </c>
      <c r="AL4660">
        <v>87.552752660893503</v>
      </c>
      <c r="AM4660">
        <v>103.327106629708</v>
      </c>
      <c r="AN4660">
        <v>1.0000000539812299</v>
      </c>
    </row>
    <row r="4661" spans="1:40" x14ac:dyDescent="0.25">
      <c r="A4661" t="str">
        <f>"20190312151409023"</f>
        <v>20190312151409023</v>
      </c>
      <c r="B4661" t="str">
        <f>"1552374849014832"</f>
        <v>1552374849014832</v>
      </c>
      <c r="C4661" t="s">
        <v>40</v>
      </c>
      <c r="D4661">
        <v>4.543679</v>
      </c>
      <c r="E4661">
        <v>0.41083789999999998</v>
      </c>
      <c r="F4661" t="s">
        <v>41</v>
      </c>
      <c r="G4661">
        <v>-419.49160000000001</v>
      </c>
      <c r="H4661">
        <v>0.96942899999999999</v>
      </c>
      <c r="I4661">
        <v>37.101700000000001</v>
      </c>
      <c r="J4661">
        <v>-420.05869999999999</v>
      </c>
      <c r="K4661">
        <v>1.1138399999999999</v>
      </c>
      <c r="L4661">
        <v>37.492220000000003</v>
      </c>
      <c r="M4661">
        <v>0.28163529999999998</v>
      </c>
      <c r="N4661">
        <v>0</v>
      </c>
      <c r="O4661">
        <v>-0.95945429999999998</v>
      </c>
      <c r="P4661">
        <v>0.49715310000000001</v>
      </c>
      <c r="Q4661">
        <v>3.2422100000000002E-2</v>
      </c>
      <c r="R4661">
        <v>-0.86705710000000003</v>
      </c>
      <c r="S4661">
        <v>2.0961609999999999</v>
      </c>
      <c r="T4661">
        <v>-0.44785999999999998</v>
      </c>
      <c r="U4661">
        <v>-2.2848820000000001</v>
      </c>
      <c r="V4661">
        <v>-0.23321819999999999</v>
      </c>
      <c r="W4661">
        <v>4.1266949999999997E-2</v>
      </c>
      <c r="X4661">
        <v>0.97154839999999998</v>
      </c>
      <c r="Y4661">
        <v>-0.43365130000000002</v>
      </c>
      <c r="Z4661">
        <v>0.1464751</v>
      </c>
      <c r="AA4661">
        <v>0.889095999999999</v>
      </c>
      <c r="AB4661">
        <v>25</v>
      </c>
      <c r="AC4661">
        <v>0.56709999999998195</v>
      </c>
      <c r="AD4661">
        <v>-0.14441099999999901</v>
      </c>
      <c r="AE4661">
        <v>-0.39052000000000198</v>
      </c>
      <c r="AF4661">
        <v>-0.41585802963732199</v>
      </c>
      <c r="AG4661">
        <v>-0.14441099999999901</v>
      </c>
      <c r="AH4661">
        <v>0.51191826553420905</v>
      </c>
      <c r="AI4661">
        <v>102.35034215925801</v>
      </c>
      <c r="AJ4661">
        <v>129.08876437246801</v>
      </c>
      <c r="AK4661">
        <v>0.67516868138442898</v>
      </c>
      <c r="AL4661">
        <v>87.634906310828896</v>
      </c>
      <c r="AM4661">
        <v>103.498330860011</v>
      </c>
      <c r="AN4661">
        <v>0.99999999175805099</v>
      </c>
    </row>
    <row r="4662" spans="1:40" x14ac:dyDescent="0.25">
      <c r="A4662" t="str">
        <f>"20190312151409047"</f>
        <v>20190312151409047</v>
      </c>
      <c r="B4662" t="str">
        <f>"1552374849035320"</f>
        <v>1552374849035320</v>
      </c>
      <c r="C4662" t="s">
        <v>40</v>
      </c>
      <c r="D4662">
        <v>4.5215740000000002</v>
      </c>
      <c r="E4662">
        <v>0.41021809999999997</v>
      </c>
      <c r="F4662" t="s">
        <v>59</v>
      </c>
      <c r="G4662">
        <v>-414.9348</v>
      </c>
      <c r="H4662" s="1">
        <v>-5.5740299999999999E-6</v>
      </c>
      <c r="I4662">
        <v>32.086199999999998</v>
      </c>
      <c r="J4662">
        <v>-419.9796</v>
      </c>
      <c r="K4662">
        <v>1.1139239999999999</v>
      </c>
      <c r="L4662">
        <v>37.247129999999999</v>
      </c>
      <c r="M4662">
        <v>0.2875452</v>
      </c>
      <c r="N4662">
        <v>0</v>
      </c>
      <c r="O4662">
        <v>-0.95769910000000003</v>
      </c>
      <c r="P4662">
        <v>0.50404380000000004</v>
      </c>
      <c r="Q4662">
        <v>3.1370969999999998E-2</v>
      </c>
      <c r="R4662">
        <v>-0.86310819999999999</v>
      </c>
      <c r="S4662">
        <v>2.1353759999999999</v>
      </c>
      <c r="T4662">
        <v>-0.46419569999999999</v>
      </c>
      <c r="U4662">
        <v>-2.2529599999999999</v>
      </c>
      <c r="V4662">
        <v>-0.234955</v>
      </c>
      <c r="W4662">
        <v>4.0167790000000002E-2</v>
      </c>
      <c r="X4662">
        <v>0.97117600000000004</v>
      </c>
      <c r="Y4662">
        <v>-0.44199549999999999</v>
      </c>
      <c r="Z4662">
        <v>0.15170410000000001</v>
      </c>
      <c r="AA4662">
        <v>0.88409609999999905</v>
      </c>
      <c r="AB4662">
        <v>25</v>
      </c>
      <c r="AC4662">
        <v>5.0448000000000004</v>
      </c>
      <c r="AD4662">
        <v>-1.1139295740299999</v>
      </c>
      <c r="AE4662">
        <v>-5.1609299999999996</v>
      </c>
      <c r="AF4662">
        <v>-3.2697222688565799</v>
      </c>
      <c r="AG4662">
        <v>-1.1139295740299999</v>
      </c>
      <c r="AH4662">
        <v>6.2448691488294896</v>
      </c>
      <c r="AI4662">
        <v>98.979903038709395</v>
      </c>
      <c r="AJ4662">
        <v>117.63589755622399</v>
      </c>
      <c r="AK4662">
        <v>7.1365477296349402</v>
      </c>
      <c r="AL4662">
        <v>87.697935978162903</v>
      </c>
      <c r="AM4662">
        <v>103.600155973621</v>
      </c>
      <c r="AN4662">
        <v>1.0000000631772401</v>
      </c>
    </row>
    <row r="4663" spans="1:40" x14ac:dyDescent="0.25">
      <c r="A4663" t="str">
        <f>"20190312151409068"</f>
        <v>20190312151409068</v>
      </c>
      <c r="B4663" t="str">
        <f>"1552374849065577"</f>
        <v>1552374849065577</v>
      </c>
      <c r="C4663" t="s">
        <v>40</v>
      </c>
      <c r="D4663">
        <v>4.4902369999999996</v>
      </c>
      <c r="E4663">
        <v>0.40983750000000002</v>
      </c>
      <c r="F4663" t="s">
        <v>59</v>
      </c>
      <c r="G4663">
        <v>-414.8646</v>
      </c>
      <c r="H4663" s="1">
        <v>-5.6363279999999996E-6</v>
      </c>
      <c r="I4663">
        <v>31.950559999999999</v>
      </c>
      <c r="J4663">
        <v>-419.90370000000001</v>
      </c>
      <c r="K4663">
        <v>1.1140319999999999</v>
      </c>
      <c r="L4663">
        <v>37.016910000000003</v>
      </c>
      <c r="M4663">
        <v>0.2932535</v>
      </c>
      <c r="N4663">
        <v>0</v>
      </c>
      <c r="O4663">
        <v>-0.9559666</v>
      </c>
      <c r="P4663">
        <v>0.51053340000000003</v>
      </c>
      <c r="Q4663">
        <v>3.0975010000000001E-2</v>
      </c>
      <c r="R4663">
        <v>-0.85930019999999996</v>
      </c>
      <c r="S4663">
        <v>2.1567989999999999</v>
      </c>
      <c r="T4663">
        <v>-0.46969640000000001</v>
      </c>
      <c r="U4663">
        <v>-2.2333370000000001</v>
      </c>
      <c r="V4663">
        <v>-0.236481</v>
      </c>
      <c r="W4663">
        <v>3.9726119999999997E-2</v>
      </c>
      <c r="X4663">
        <v>0.97082360000000001</v>
      </c>
      <c r="Y4663">
        <v>-0.44473679999999899</v>
      </c>
      <c r="Z4663">
        <v>0.1534507</v>
      </c>
      <c r="AA4663">
        <v>0.88241829999999999</v>
      </c>
      <c r="AB4663">
        <v>25</v>
      </c>
      <c r="AC4663">
        <v>5.0391000000000101</v>
      </c>
      <c r="AD4663">
        <v>-1.114037636328</v>
      </c>
      <c r="AE4663">
        <v>-5.0663499999999901</v>
      </c>
      <c r="AF4663">
        <v>-3.2526443072291298</v>
      </c>
      <c r="AG4663">
        <v>-1.114037636328</v>
      </c>
      <c r="AH4663">
        <v>6.1714040207595602</v>
      </c>
      <c r="AI4663">
        <v>99.073156234380207</v>
      </c>
      <c r="AJ4663">
        <v>117.791514871088</v>
      </c>
      <c r="AK4663">
        <v>7.0644888301951898</v>
      </c>
      <c r="AL4663">
        <v>87.723261750033402</v>
      </c>
      <c r="AM4663">
        <v>103.689956478426</v>
      </c>
      <c r="AN4663">
        <v>0.99999994514410495</v>
      </c>
    </row>
    <row r="4664" spans="1:40" x14ac:dyDescent="0.25">
      <c r="A4664" t="str">
        <f>"20190312151409089"</f>
        <v>20190312151409089</v>
      </c>
      <c r="B4664" t="str">
        <f>"1552374849085097"</f>
        <v>1552374849085097</v>
      </c>
      <c r="C4664" t="s">
        <v>40</v>
      </c>
      <c r="D4664">
        <v>4.5208779999999997</v>
      </c>
      <c r="E4664">
        <v>0.40994540000000002</v>
      </c>
      <c r="F4664" t="s">
        <v>59</v>
      </c>
      <c r="G4664">
        <v>-414.6961</v>
      </c>
      <c r="H4664" s="1">
        <v>-5.752293E-6</v>
      </c>
      <c r="I4664">
        <v>31.71369</v>
      </c>
      <c r="J4664">
        <v>-419.82650000000001</v>
      </c>
      <c r="K4664">
        <v>1.114134</v>
      </c>
      <c r="L4664">
        <v>36.788240000000002</v>
      </c>
      <c r="M4664">
        <v>0.29904629999999999</v>
      </c>
      <c r="N4664">
        <v>0</v>
      </c>
      <c r="O4664">
        <v>-0.95416999999999996</v>
      </c>
      <c r="P4664">
        <v>0.51699359999999905</v>
      </c>
      <c r="Q4664">
        <v>3.1016490000000001E-2</v>
      </c>
      <c r="R4664">
        <v>-0.85542759999999995</v>
      </c>
      <c r="S4664">
        <v>2.1755070000000001</v>
      </c>
      <c r="T4664">
        <v>-0.4653969</v>
      </c>
      <c r="U4664">
        <v>-2.2154539999999998</v>
      </c>
      <c r="V4664">
        <v>-0.23791860000000001</v>
      </c>
      <c r="W4664">
        <v>3.9721819999999998E-2</v>
      </c>
      <c r="X4664">
        <v>0.97047249999999996</v>
      </c>
      <c r="Y4664">
        <v>-0.44682850000000002</v>
      </c>
      <c r="Z4664">
        <v>0.15205779999999999</v>
      </c>
      <c r="AA4664">
        <v>0.88160229999999995</v>
      </c>
      <c r="AB4664">
        <v>25</v>
      </c>
      <c r="AC4664">
        <v>5.1303999999999998</v>
      </c>
      <c r="AD4664">
        <v>-1.1141397522930001</v>
      </c>
      <c r="AE4664">
        <v>-5.0745499999999897</v>
      </c>
      <c r="AF4664">
        <v>-3.2993194605395302</v>
      </c>
      <c r="AG4664">
        <v>-1.1141397522930001</v>
      </c>
      <c r="AH4664">
        <v>6.2281594547349703</v>
      </c>
      <c r="AI4664">
        <v>98.982814257826504</v>
      </c>
      <c r="AJ4664">
        <v>117.912060952879</v>
      </c>
      <c r="AK4664">
        <v>7.1355999386133604</v>
      </c>
      <c r="AL4664">
        <v>87.723508391882405</v>
      </c>
      <c r="AM4664">
        <v>103.77481279895299</v>
      </c>
      <c r="AN4664">
        <v>0.999999978233161</v>
      </c>
    </row>
    <row r="4665" spans="1:40" x14ac:dyDescent="0.25">
      <c r="A4665" t="str">
        <f>"20190312151409124"</f>
        <v>20190312151409124</v>
      </c>
      <c r="B4665" t="str">
        <f>"1552374849115356"</f>
        <v>1552374849115356</v>
      </c>
      <c r="C4665" t="s">
        <v>40</v>
      </c>
      <c r="D4665">
        <v>4.530678</v>
      </c>
      <c r="E4665">
        <v>0.41019230000000001</v>
      </c>
      <c r="F4665" t="s">
        <v>59</v>
      </c>
      <c r="G4665">
        <v>-414.56310000000002</v>
      </c>
      <c r="H4665" s="1">
        <v>-5.8522529999999996E-6</v>
      </c>
      <c r="I4665">
        <v>31.504429999999999</v>
      </c>
      <c r="J4665">
        <v>-419.70580000000001</v>
      </c>
      <c r="K4665">
        <v>1.114293</v>
      </c>
      <c r="L4665">
        <v>36.43994</v>
      </c>
      <c r="M4665">
        <v>0.30810910000000002</v>
      </c>
      <c r="N4665">
        <v>0</v>
      </c>
      <c r="O4665">
        <v>-0.9512815</v>
      </c>
      <c r="P4665">
        <v>0.52731930000000005</v>
      </c>
      <c r="Q4665">
        <v>3.1574360000000003E-2</v>
      </c>
      <c r="R4665">
        <v>-0.84908050000000002</v>
      </c>
      <c r="S4665">
        <v>2.1911010000000002</v>
      </c>
      <c r="T4665">
        <v>-0.46380969999999999</v>
      </c>
      <c r="U4665">
        <v>-2.1996150000000001</v>
      </c>
      <c r="V4665">
        <v>-0.2404723</v>
      </c>
      <c r="W4665">
        <v>4.0195910000000001E-2</v>
      </c>
      <c r="X4665">
        <v>0.9698234</v>
      </c>
      <c r="Y4665">
        <v>-0.44472020000000001</v>
      </c>
      <c r="Z4665">
        <v>0.1514026</v>
      </c>
      <c r="AA4665">
        <v>0.88278040000000002</v>
      </c>
      <c r="AB4665">
        <v>25</v>
      </c>
      <c r="AC4665">
        <v>5.1426999999999898</v>
      </c>
      <c r="AD4665">
        <v>-1.114298852253</v>
      </c>
      <c r="AE4665">
        <v>-4.9355099999999998</v>
      </c>
      <c r="AF4665">
        <v>-3.2912676370621399</v>
      </c>
      <c r="AG4665">
        <v>-1.114298852253</v>
      </c>
      <c r="AH4665">
        <v>6.1301722823477602</v>
      </c>
      <c r="AI4665">
        <v>99.098670431838499</v>
      </c>
      <c r="AJ4665">
        <v>118.23119252011401</v>
      </c>
      <c r="AK4665">
        <v>7.0464967751479</v>
      </c>
      <c r="AL4665">
        <v>87.696323448489196</v>
      </c>
      <c r="AM4665">
        <v>103.92589845735699</v>
      </c>
      <c r="AN4665">
        <v>1.00000003271778</v>
      </c>
    </row>
    <row r="4666" spans="1:40" x14ac:dyDescent="0.25">
      <c r="A4666" t="str">
        <f>"20190312151409146"</f>
        <v>20190312151409146</v>
      </c>
      <c r="B4666" t="str">
        <f>"1552374849134873"</f>
        <v>1552374849134873</v>
      </c>
      <c r="C4666" t="s">
        <v>40</v>
      </c>
      <c r="D4666">
        <v>4.4976070000000004</v>
      </c>
      <c r="E4666">
        <v>0.41034490000000001</v>
      </c>
      <c r="F4666" t="s">
        <v>41</v>
      </c>
      <c r="G4666">
        <v>-419.02350000000001</v>
      </c>
      <c r="H4666">
        <v>0.97244580000000003</v>
      </c>
      <c r="I4666">
        <v>35.770579999999903</v>
      </c>
      <c r="J4666">
        <v>-419.62150000000003</v>
      </c>
      <c r="K4666">
        <v>1.114411</v>
      </c>
      <c r="L4666">
        <v>36.203310000000002</v>
      </c>
      <c r="M4666">
        <v>0.3144631</v>
      </c>
      <c r="N4666">
        <v>0</v>
      </c>
      <c r="O4666">
        <v>-0.94919969999999998</v>
      </c>
      <c r="P4666">
        <v>0.53454429999999997</v>
      </c>
      <c r="Q4666">
        <v>3.136949E-2</v>
      </c>
      <c r="R4666">
        <v>-0.84455809999999998</v>
      </c>
      <c r="S4666">
        <v>2.215576</v>
      </c>
      <c r="T4666">
        <v>-0.460731</v>
      </c>
      <c r="U4666">
        <v>-2.1743769999999998</v>
      </c>
      <c r="V4666">
        <v>-0.24226880000000001</v>
      </c>
      <c r="W4666">
        <v>3.992718E-2</v>
      </c>
      <c r="X4666">
        <v>0.9693872</v>
      </c>
      <c r="Y4666">
        <v>-0.44884550000000001</v>
      </c>
      <c r="Z4666">
        <v>0.15046860000000001</v>
      </c>
      <c r="AA4666">
        <v>0.88085009999999997</v>
      </c>
      <c r="AB4666">
        <v>25</v>
      </c>
      <c r="AC4666">
        <v>0.59800000000001297</v>
      </c>
      <c r="AD4666">
        <v>-0.14196520000000001</v>
      </c>
      <c r="AE4666">
        <v>-0.432729999999999</v>
      </c>
      <c r="AF4666">
        <v>-0.41617821983251102</v>
      </c>
      <c r="AG4666">
        <v>-0.14196520000000001</v>
      </c>
      <c r="AH4666">
        <v>0.57747533698610998</v>
      </c>
      <c r="AI4666">
        <v>101.279124716372</v>
      </c>
      <c r="AJ4666">
        <v>125.77975341459501</v>
      </c>
      <c r="AK4666">
        <v>0.72583482521936005</v>
      </c>
      <c r="AL4666">
        <v>87.7117327178902</v>
      </c>
      <c r="AM4666">
        <v>104.031904372143</v>
      </c>
      <c r="AN4666">
        <v>0.99999994734001396</v>
      </c>
    </row>
    <row r="4667" spans="1:40" x14ac:dyDescent="0.25">
      <c r="A4667" t="str">
        <f>"20190312151409168"</f>
        <v>20190312151409168</v>
      </c>
      <c r="B4667" t="str">
        <f>"1552374849165129"</f>
        <v>1552374849165129</v>
      </c>
      <c r="C4667" t="s">
        <v>40</v>
      </c>
      <c r="D4667">
        <v>4.5016629999999997</v>
      </c>
      <c r="E4667">
        <v>0.41079329999999997</v>
      </c>
      <c r="F4667" t="s">
        <v>59</v>
      </c>
      <c r="G4667">
        <v>-414.19209999999998</v>
      </c>
      <c r="H4667" s="1">
        <v>-6.1156070000000003E-6</v>
      </c>
      <c r="I4667">
        <v>30.961680000000001</v>
      </c>
      <c r="J4667">
        <v>-419.53919999999999</v>
      </c>
      <c r="K4667">
        <v>1.114533</v>
      </c>
      <c r="L4667">
        <v>35.978090000000002</v>
      </c>
      <c r="M4667">
        <v>0.3206948</v>
      </c>
      <c r="N4667">
        <v>0</v>
      </c>
      <c r="O4667">
        <v>-0.94711239999999997</v>
      </c>
      <c r="P4667">
        <v>0.54171559999999996</v>
      </c>
      <c r="Q4667">
        <v>3.0736260000000001E-2</v>
      </c>
      <c r="R4667">
        <v>-0.83999990000000002</v>
      </c>
      <c r="S4667">
        <v>2.233063</v>
      </c>
      <c r="T4667">
        <v>-0.45835399999999998</v>
      </c>
      <c r="U4667">
        <v>-2.155853</v>
      </c>
      <c r="V4667">
        <v>-0.24414859999999999</v>
      </c>
      <c r="W4667">
        <v>3.92244E-2</v>
      </c>
      <c r="X4667">
        <v>0.96894429999999998</v>
      </c>
      <c r="Y4667">
        <v>-0.45030369999999997</v>
      </c>
      <c r="Z4667">
        <v>0.14968239999999999</v>
      </c>
      <c r="AA4667">
        <v>0.88023960000000001</v>
      </c>
      <c r="AB4667">
        <v>25</v>
      </c>
      <c r="AC4667">
        <v>5.34710000000001</v>
      </c>
      <c r="AD4667">
        <v>-1.1145391156069999</v>
      </c>
      <c r="AE4667">
        <v>-5.0164099999999996</v>
      </c>
      <c r="AF4667">
        <v>-3.3777444605984899</v>
      </c>
      <c r="AG4667">
        <v>-1.1145391156069999</v>
      </c>
      <c r="AH4667">
        <v>6.3202714408044596</v>
      </c>
      <c r="AI4667">
        <v>98.840181054407907</v>
      </c>
      <c r="AJ4667">
        <v>118.12139680506</v>
      </c>
      <c r="AK4667">
        <v>7.2523917549157702</v>
      </c>
      <c r="AL4667">
        <v>87.752030905227599</v>
      </c>
      <c r="AM4667">
        <v>104.142633233269</v>
      </c>
      <c r="AN4667">
        <v>1.0000000744699</v>
      </c>
    </row>
    <row r="4668" spans="1:40" x14ac:dyDescent="0.25">
      <c r="A4668" t="str">
        <f>"20190312151409191"</f>
        <v>20190312151409191</v>
      </c>
      <c r="B4668" t="str">
        <f>"1552374849185626"</f>
        <v>1552374849185626</v>
      </c>
      <c r="C4668" t="s">
        <v>40</v>
      </c>
      <c r="D4668">
        <v>4.5034260000000002</v>
      </c>
      <c r="E4668">
        <v>0.41109709999999999</v>
      </c>
      <c r="F4668" t="s">
        <v>59</v>
      </c>
      <c r="G4668">
        <v>-414.05020000000002</v>
      </c>
      <c r="H4668" s="1">
        <v>-6.214785E-6</v>
      </c>
      <c r="I4668">
        <v>30.758179999999999</v>
      </c>
      <c r="J4668">
        <v>-419.44869999999997</v>
      </c>
      <c r="K4668">
        <v>1.1146640000000001</v>
      </c>
      <c r="L4668">
        <v>35.736080000000001</v>
      </c>
      <c r="M4668">
        <v>0.32755810000000002</v>
      </c>
      <c r="N4668">
        <v>0</v>
      </c>
      <c r="O4668">
        <v>-0.94476009999999999</v>
      </c>
      <c r="P4668">
        <v>0.54923120000000003</v>
      </c>
      <c r="Q4668">
        <v>3.0586039999999998E-2</v>
      </c>
      <c r="R4668">
        <v>-0.83511069999999998</v>
      </c>
      <c r="S4668">
        <v>2.248383</v>
      </c>
      <c r="T4668">
        <v>-0.4565381</v>
      </c>
      <c r="U4668">
        <v>-2.1381839999999999</v>
      </c>
      <c r="V4668">
        <v>-0.24582200000000001</v>
      </c>
      <c r="W4668">
        <v>3.9004270000000001E-2</v>
      </c>
      <c r="X4668">
        <v>0.96852990000000005</v>
      </c>
      <c r="Y4668">
        <v>-0.45053599999999999</v>
      </c>
      <c r="Z4668">
        <v>0.1490628</v>
      </c>
      <c r="AA4668">
        <v>0.88022590000000001</v>
      </c>
      <c r="AB4668">
        <v>25</v>
      </c>
      <c r="AC4668">
        <v>5.3984999999999497</v>
      </c>
      <c r="AD4668">
        <v>-1.1146702147849901</v>
      </c>
      <c r="AE4668">
        <v>-4.9779</v>
      </c>
      <c r="AF4668">
        <v>-3.3918149838161802</v>
      </c>
      <c r="AG4668">
        <v>-1.1146702147849901</v>
      </c>
      <c r="AH4668">
        <v>6.32591695152614</v>
      </c>
      <c r="AI4668">
        <v>98.827120095771093</v>
      </c>
      <c r="AJ4668">
        <v>118.19921262683</v>
      </c>
      <c r="AK4668">
        <v>7.2638917840076997</v>
      </c>
      <c r="AL4668">
        <v>87.764652867682699</v>
      </c>
      <c r="AM4668">
        <v>104.24148259728101</v>
      </c>
      <c r="AN4668">
        <v>0.99999997797812101</v>
      </c>
    </row>
    <row r="4669" spans="1:40" x14ac:dyDescent="0.25">
      <c r="A4669" t="str">
        <f>"20190312151409212"</f>
        <v>20190312151409212</v>
      </c>
      <c r="B4669" t="str">
        <f>"1552374849205145"</f>
        <v>1552374849205145</v>
      </c>
      <c r="C4669" t="s">
        <v>40</v>
      </c>
      <c r="D4669">
        <v>4.5024850000000001</v>
      </c>
      <c r="E4669">
        <v>0.41146080000000002</v>
      </c>
      <c r="F4669" t="s">
        <v>59</v>
      </c>
      <c r="G4669">
        <v>-413.96640000000002</v>
      </c>
      <c r="H4669" s="1">
        <v>-6.2845849999999997E-6</v>
      </c>
      <c r="I4669">
        <v>30.608350000000002</v>
      </c>
      <c r="J4669">
        <v>-419.36259999999999</v>
      </c>
      <c r="K4669">
        <v>1.114779</v>
      </c>
      <c r="L4669">
        <v>35.51099</v>
      </c>
      <c r="M4669">
        <v>0.3340938</v>
      </c>
      <c r="N4669">
        <v>0</v>
      </c>
      <c r="O4669">
        <v>-0.94246850000000004</v>
      </c>
      <c r="P4669">
        <v>0.55640210000000001</v>
      </c>
      <c r="Q4669">
        <v>3.1087389999999999E-2</v>
      </c>
      <c r="R4669">
        <v>-0.83033169999999901</v>
      </c>
      <c r="S4669">
        <v>2.2656559999999999</v>
      </c>
      <c r="T4669">
        <v>-0.4606537</v>
      </c>
      <c r="U4669">
        <v>-2.11911</v>
      </c>
      <c r="V4669">
        <v>-0.24747720000000001</v>
      </c>
      <c r="W4669">
        <v>3.943928E-2</v>
      </c>
      <c r="X4669">
        <v>0.96809069999999997</v>
      </c>
      <c r="Y4669">
        <v>-0.4515207</v>
      </c>
      <c r="Z4669">
        <v>0.15033189999999999</v>
      </c>
      <c r="AA4669">
        <v>0.87950519999999999</v>
      </c>
      <c r="AB4669">
        <v>25</v>
      </c>
      <c r="AC4669">
        <v>5.3961999999999604</v>
      </c>
      <c r="AD4669">
        <v>-1.1147852845849999</v>
      </c>
      <c r="AE4669">
        <v>-4.9026399999999901</v>
      </c>
      <c r="AF4669">
        <v>-3.3692661699986699</v>
      </c>
      <c r="AG4669">
        <v>-1.1147852845849999</v>
      </c>
      <c r="AH4669">
        <v>6.2770958003462898</v>
      </c>
      <c r="AI4669">
        <v>98.893477106255503</v>
      </c>
      <c r="AJ4669">
        <v>118.224927431137</v>
      </c>
      <c r="AK4669">
        <v>7.2108690489947103</v>
      </c>
      <c r="AL4669">
        <v>87.739709514461893</v>
      </c>
      <c r="AM4669">
        <v>104.339671115724</v>
      </c>
      <c r="AN4669">
        <v>1.00000001237662</v>
      </c>
    </row>
    <row r="4670" spans="1:40" x14ac:dyDescent="0.25">
      <c r="A4670" t="str">
        <f>"20190312151409235"</f>
        <v>20190312151409235</v>
      </c>
      <c r="B4670" t="str">
        <f>"1552374849225641"</f>
        <v>1552374849225641</v>
      </c>
      <c r="C4670" t="s">
        <v>40</v>
      </c>
      <c r="D4670">
        <v>4.5252379999999999</v>
      </c>
      <c r="E4670">
        <v>0.41177010000000003</v>
      </c>
      <c r="F4670" t="s">
        <v>41</v>
      </c>
      <c r="G4670">
        <v>-418.6456</v>
      </c>
      <c r="H4670">
        <v>0.97053299999999998</v>
      </c>
      <c r="I4670">
        <v>34.850320000000004</v>
      </c>
      <c r="J4670">
        <v>-419.27199999999999</v>
      </c>
      <c r="K4670">
        <v>1.1148940000000001</v>
      </c>
      <c r="L4670">
        <v>35.27948</v>
      </c>
      <c r="M4670">
        <v>0.34097870000000002</v>
      </c>
      <c r="N4670">
        <v>0</v>
      </c>
      <c r="O4670">
        <v>-0.93999920000000003</v>
      </c>
      <c r="P4670">
        <v>0.56368319999999905</v>
      </c>
      <c r="Q4670">
        <v>3.0549960000000001E-2</v>
      </c>
      <c r="R4670">
        <v>-0.82542629999999995</v>
      </c>
      <c r="S4670">
        <v>2.2817989999999999</v>
      </c>
      <c r="T4670">
        <v>-0.45883410000000002</v>
      </c>
      <c r="U4670">
        <v>-2.1011350000000002</v>
      </c>
      <c r="V4670">
        <v>-0.24890780000000001</v>
      </c>
      <c r="W4670">
        <v>3.8837980000000001E-2</v>
      </c>
      <c r="X4670">
        <v>0.96774819999999995</v>
      </c>
      <c r="Y4670">
        <v>-0.45193559999999999</v>
      </c>
      <c r="Z4670">
        <v>0.1496651</v>
      </c>
      <c r="AA4670">
        <v>0.87940580000000002</v>
      </c>
      <c r="AB4670">
        <v>25</v>
      </c>
      <c r="AC4670">
        <v>0.62639999999998897</v>
      </c>
      <c r="AD4670">
        <v>-0.14436099999999999</v>
      </c>
      <c r="AE4670">
        <v>-0.42915999999999599</v>
      </c>
      <c r="AF4670">
        <v>-0.42707399126684298</v>
      </c>
      <c r="AG4670">
        <v>-0.14436099999999999</v>
      </c>
      <c r="AH4670">
        <v>0.595515348094802</v>
      </c>
      <c r="AI4670">
        <v>101.144163177536</v>
      </c>
      <c r="AJ4670">
        <v>125.64620918562299</v>
      </c>
      <c r="AK4670">
        <v>0.74690750575560905</v>
      </c>
      <c r="AL4670">
        <v>87.774187923903099</v>
      </c>
      <c r="AM4670">
        <v>104.424008606942</v>
      </c>
      <c r="AN4670">
        <v>1.00000003009727</v>
      </c>
    </row>
    <row r="4671" spans="1:40" x14ac:dyDescent="0.25">
      <c r="A4671" t="str">
        <f>"20190312151409258"</f>
        <v>20190312151409258</v>
      </c>
      <c r="B4671" t="str">
        <f>"1552374849254921"</f>
        <v>1552374849254921</v>
      </c>
      <c r="C4671" t="s">
        <v>40</v>
      </c>
      <c r="D4671">
        <v>4.5205929999999999</v>
      </c>
      <c r="E4671">
        <v>0.41238930000000001</v>
      </c>
      <c r="F4671" t="s">
        <v>41</v>
      </c>
      <c r="G4671">
        <v>-418.56979999999999</v>
      </c>
      <c r="H4671">
        <v>0.97428820000000005</v>
      </c>
      <c r="I4671">
        <v>34.643099999999997</v>
      </c>
      <c r="J4671">
        <v>-419.17910000000001</v>
      </c>
      <c r="K4671">
        <v>1.1150089999999999</v>
      </c>
      <c r="L4671">
        <v>35.047550000000001</v>
      </c>
      <c r="M4671">
        <v>0.34804359999999901</v>
      </c>
      <c r="N4671">
        <v>0</v>
      </c>
      <c r="O4671">
        <v>-0.93740619999999997</v>
      </c>
      <c r="P4671">
        <v>0.57079499999999905</v>
      </c>
      <c r="Q4671">
        <v>3.109731E-2</v>
      </c>
      <c r="R4671">
        <v>-0.82050389999999995</v>
      </c>
      <c r="S4671">
        <v>2.2977910000000001</v>
      </c>
      <c r="T4671">
        <v>-0.46008120000000002</v>
      </c>
      <c r="U4671">
        <v>-2.0823360000000002</v>
      </c>
      <c r="V4671">
        <v>-0.25001230000000002</v>
      </c>
      <c r="W4671">
        <v>3.9324449999999997E-2</v>
      </c>
      <c r="X4671">
        <v>0.96744379999999996</v>
      </c>
      <c r="Y4671">
        <v>-0.45219300000000001</v>
      </c>
      <c r="Z4671">
        <v>0.14998649999999999</v>
      </c>
      <c r="AA4671">
        <v>0.87921870000000002</v>
      </c>
      <c r="AB4671">
        <v>25</v>
      </c>
      <c r="AC4671">
        <v>0.60930000000001805</v>
      </c>
      <c r="AD4671">
        <v>-0.14072079999999901</v>
      </c>
      <c r="AE4671">
        <v>-0.40445000000000397</v>
      </c>
      <c r="AF4671">
        <v>-0.41505669161715197</v>
      </c>
      <c r="AG4671">
        <v>-0.14072079999999901</v>
      </c>
      <c r="AH4671">
        <v>0.57012749535048701</v>
      </c>
      <c r="AI4671">
        <v>101.284878824874</v>
      </c>
      <c r="AJ4671">
        <v>126.054872693709</v>
      </c>
      <c r="AK4671">
        <v>0.71911039608910898</v>
      </c>
      <c r="AL4671">
        <v>87.746293946210699</v>
      </c>
      <c r="AM4671">
        <v>104.48969229406001</v>
      </c>
      <c r="AN4671">
        <v>1.0000000343387601</v>
      </c>
    </row>
    <row r="4672" spans="1:40" x14ac:dyDescent="0.25">
      <c r="A4672" t="str">
        <f>"20190312151409281"</f>
        <v>20190312151409281</v>
      </c>
      <c r="B4672" t="str">
        <f>"1552374849275417"</f>
        <v>1552374849275417</v>
      </c>
      <c r="C4672" t="s">
        <v>40</v>
      </c>
      <c r="D4672">
        <v>4.5294129999999999</v>
      </c>
      <c r="E4672">
        <v>0.41277710000000001</v>
      </c>
      <c r="F4672" t="s">
        <v>41</v>
      </c>
      <c r="G4672">
        <v>-418.49349999999998</v>
      </c>
      <c r="H4672">
        <v>0.9790835</v>
      </c>
      <c r="I4672">
        <v>34.434539999999998</v>
      </c>
      <c r="J4672">
        <v>-419.08390000000003</v>
      </c>
      <c r="K4672">
        <v>1.115124</v>
      </c>
      <c r="L4672">
        <v>34.815339999999999</v>
      </c>
      <c r="M4672">
        <v>0.35527979999999998</v>
      </c>
      <c r="N4672">
        <v>0</v>
      </c>
      <c r="O4672">
        <v>-0.9346873</v>
      </c>
      <c r="P4672">
        <v>0.57807549999999996</v>
      </c>
      <c r="Q4672">
        <v>3.1719499999999998E-2</v>
      </c>
      <c r="R4672">
        <v>-0.81536690000000001</v>
      </c>
      <c r="S4672">
        <v>2.3117070000000002</v>
      </c>
      <c r="T4672">
        <v>-0.4580958</v>
      </c>
      <c r="U4672">
        <v>-2.0654599999999999</v>
      </c>
      <c r="V4672">
        <v>-0.25117220000000001</v>
      </c>
      <c r="W4672">
        <v>3.9884309999999999E-2</v>
      </c>
      <c r="X4672">
        <v>0.96712030000000004</v>
      </c>
      <c r="Y4672">
        <v>-0.45159709999999997</v>
      </c>
      <c r="Z4672">
        <v>0.14923900000000001</v>
      </c>
      <c r="AA4672">
        <v>0.87965210000000005</v>
      </c>
      <c r="AB4672">
        <v>25</v>
      </c>
      <c r="AC4672">
        <v>0.590400000000045</v>
      </c>
      <c r="AD4672">
        <v>-0.13604050000000001</v>
      </c>
      <c r="AE4672">
        <v>-0.38079999999999298</v>
      </c>
      <c r="AF4672">
        <v>-0.40152191322480901</v>
      </c>
      <c r="AG4672">
        <v>-0.13604050000000001</v>
      </c>
      <c r="AH4672">
        <v>0.54527909744207204</v>
      </c>
      <c r="AI4672">
        <v>101.359388065643</v>
      </c>
      <c r="AJ4672">
        <v>126.36645850140199</v>
      </c>
      <c r="AK4672">
        <v>0.69069252098687295</v>
      </c>
      <c r="AL4672">
        <v>87.714190960177206</v>
      </c>
      <c r="AM4672">
        <v>104.558728399844</v>
      </c>
      <c r="AN4672">
        <v>0.99999995345455195</v>
      </c>
    </row>
    <row r="4673" spans="1:40" x14ac:dyDescent="0.25">
      <c r="A4673" t="str">
        <f>"20190312151409302"</f>
        <v>20190312151409302</v>
      </c>
      <c r="B4673" t="str">
        <f>"1552374849294937"</f>
        <v>1552374849294937</v>
      </c>
      <c r="C4673" t="s">
        <v>40</v>
      </c>
      <c r="D4673">
        <v>4.5195780000000001</v>
      </c>
      <c r="E4673">
        <v>0.41320050000000003</v>
      </c>
      <c r="F4673" t="s">
        <v>41</v>
      </c>
      <c r="G4673">
        <v>-418.38959999999997</v>
      </c>
      <c r="H4673">
        <v>0.97886989999999996</v>
      </c>
      <c r="I4673">
        <v>34.204509999999999</v>
      </c>
      <c r="J4673">
        <v>-418.99099999999999</v>
      </c>
      <c r="K4673">
        <v>1.1152359999999999</v>
      </c>
      <c r="L4673">
        <v>34.594119999999997</v>
      </c>
      <c r="M4673">
        <v>0.3623248</v>
      </c>
      <c r="N4673">
        <v>0</v>
      </c>
      <c r="O4673">
        <v>-0.93197850000000004</v>
      </c>
      <c r="P4673">
        <v>0.58504659999999997</v>
      </c>
      <c r="Q4673">
        <v>3.1290810000000002E-2</v>
      </c>
      <c r="R4673">
        <v>-0.81039609999999995</v>
      </c>
      <c r="S4673">
        <v>2.327423</v>
      </c>
      <c r="T4673">
        <v>-0.45665509999999898</v>
      </c>
      <c r="U4673">
        <v>-2.0470280000000001</v>
      </c>
      <c r="V4673">
        <v>-0.25216569999999999</v>
      </c>
      <c r="W4673">
        <v>3.940022E-2</v>
      </c>
      <c r="X4673">
        <v>0.96688160000000001</v>
      </c>
      <c r="Y4673">
        <v>-0.45181729999999998</v>
      </c>
      <c r="Z4673">
        <v>0.14866360000000001</v>
      </c>
      <c r="AA4673">
        <v>0.87963649999999904</v>
      </c>
      <c r="AB4673">
        <v>25</v>
      </c>
      <c r="AC4673">
        <v>0.60140000000001204</v>
      </c>
      <c r="AD4673">
        <v>-0.13636609999999999</v>
      </c>
      <c r="AE4673">
        <v>-0.38961000000000401</v>
      </c>
      <c r="AF4673">
        <v>-0.40469893348142699</v>
      </c>
      <c r="AG4673">
        <v>-0.13636609999999999</v>
      </c>
      <c r="AH4673">
        <v>0.560742613040492</v>
      </c>
      <c r="AI4673">
        <v>101.155306172545</v>
      </c>
      <c r="AJ4673">
        <v>125.818722222191</v>
      </c>
      <c r="AK4673">
        <v>0.70484694655626701</v>
      </c>
      <c r="AL4673">
        <v>87.741949139475096</v>
      </c>
      <c r="AM4673">
        <v>104.61730736645301</v>
      </c>
      <c r="AN4673">
        <v>0.99999997300554799</v>
      </c>
    </row>
    <row r="4674" spans="1:40" x14ac:dyDescent="0.25">
      <c r="A4674" t="str">
        <f>"20190312151409325"</f>
        <v>20190312151409325</v>
      </c>
      <c r="B4674" t="str">
        <f>"1552374849315436"</f>
        <v>1552374849315436</v>
      </c>
      <c r="C4674" t="s">
        <v>40</v>
      </c>
      <c r="D4674">
        <v>4.5747790000000004</v>
      </c>
      <c r="E4674">
        <v>0.41368949999999999</v>
      </c>
      <c r="F4674" t="s">
        <v>41</v>
      </c>
      <c r="G4674">
        <v>-418.28370000000001</v>
      </c>
      <c r="H4674">
        <v>0.97714889999999999</v>
      </c>
      <c r="I4674">
        <v>33.981169999999999</v>
      </c>
      <c r="J4674">
        <v>-418.89319999999998</v>
      </c>
      <c r="K4674">
        <v>1.115348</v>
      </c>
      <c r="L4674">
        <v>34.366459999999996</v>
      </c>
      <c r="M4674">
        <v>0.3697202</v>
      </c>
      <c r="N4674">
        <v>0</v>
      </c>
      <c r="O4674">
        <v>-0.92906889999999998</v>
      </c>
      <c r="P4674">
        <v>0.59217629999999999</v>
      </c>
      <c r="Q4674">
        <v>3.0791840000000001E-2</v>
      </c>
      <c r="R4674">
        <v>-0.80521980000000004</v>
      </c>
      <c r="S4674">
        <v>2.3421630000000002</v>
      </c>
      <c r="T4674">
        <v>-0.45712330000000001</v>
      </c>
      <c r="U4674">
        <v>-2.0286870000000001</v>
      </c>
      <c r="V4674">
        <v>-0.25301240000000003</v>
      </c>
      <c r="W4674">
        <v>3.8852270000000001E-2</v>
      </c>
      <c r="X4674">
        <v>0.96668259999999995</v>
      </c>
      <c r="Y4674">
        <v>-0.45141140000000002</v>
      </c>
      <c r="Z4674">
        <v>0.1486845</v>
      </c>
      <c r="AA4674">
        <v>0.87984130000000005</v>
      </c>
      <c r="AB4674">
        <v>25</v>
      </c>
      <c r="AC4674">
        <v>0.60949999999996796</v>
      </c>
      <c r="AD4674">
        <v>-0.13819909999999999</v>
      </c>
      <c r="AE4674">
        <v>-0.38528999999999702</v>
      </c>
      <c r="AF4674">
        <v>-0.40882962923273403</v>
      </c>
      <c r="AG4674">
        <v>-0.13819909999999999</v>
      </c>
      <c r="AH4674">
        <v>0.56267675903840997</v>
      </c>
      <c r="AI4674">
        <v>101.23825187190501</v>
      </c>
      <c r="AJ4674">
        <v>126.00140184078499</v>
      </c>
      <c r="AK4674">
        <v>0.70911620496315997</v>
      </c>
      <c r="AL4674">
        <v>87.773368506912405</v>
      </c>
      <c r="AM4674">
        <v>104.667164545373</v>
      </c>
      <c r="AN4674">
        <v>1.00000001129033</v>
      </c>
    </row>
    <row r="4675" spans="1:40" x14ac:dyDescent="0.25">
      <c r="A4675" t="str">
        <f>"20190312151409347"</f>
        <v>20190312151409347</v>
      </c>
      <c r="B4675" t="str">
        <f>"1552374849345689"</f>
        <v>1552374849345689</v>
      </c>
      <c r="C4675" t="s">
        <v>40</v>
      </c>
      <c r="D4675">
        <v>4.5674400000000004</v>
      </c>
      <c r="E4675">
        <v>0.4143752</v>
      </c>
      <c r="F4675" t="s">
        <v>59</v>
      </c>
      <c r="G4675">
        <v>-413.17910000000001</v>
      </c>
      <c r="H4675" s="1">
        <v>-9.6525299999999999E-6</v>
      </c>
      <c r="I4675">
        <v>29.49389</v>
      </c>
      <c r="J4675">
        <v>-418.79410000000001</v>
      </c>
      <c r="K4675">
        <v>1.115456</v>
      </c>
      <c r="L4675">
        <v>34.141359999999999</v>
      </c>
      <c r="M4675">
        <v>0.37718390000000002</v>
      </c>
      <c r="N4675">
        <v>0</v>
      </c>
      <c r="O4675">
        <v>-0.92606350000000004</v>
      </c>
      <c r="P4675">
        <v>0.59910490000000005</v>
      </c>
      <c r="Q4675">
        <v>3.0292449999999999E-2</v>
      </c>
      <c r="R4675">
        <v>-0.80009739999999996</v>
      </c>
      <c r="S4675">
        <v>2.356995</v>
      </c>
      <c r="T4675">
        <v>-0.46006789999999997</v>
      </c>
      <c r="U4675">
        <v>-2.0098569999999998</v>
      </c>
      <c r="V4675">
        <v>-0.25357540000000001</v>
      </c>
      <c r="W4675">
        <v>3.8311949999999997E-2</v>
      </c>
      <c r="X4675">
        <v>0.96655659999999999</v>
      </c>
      <c r="Y4675">
        <v>-0.45094869999999998</v>
      </c>
      <c r="Z4675">
        <v>0.14948410000000001</v>
      </c>
      <c r="AA4675">
        <v>0.87994309999999998</v>
      </c>
      <c r="AB4675">
        <v>25</v>
      </c>
      <c r="AC4675">
        <v>5.6150000000000002</v>
      </c>
      <c r="AD4675">
        <v>-1.11546565253</v>
      </c>
      <c r="AE4675">
        <v>-4.6474699999999904</v>
      </c>
      <c r="AF4675">
        <v>-3.3682488158673598</v>
      </c>
      <c r="AG4675">
        <v>-1.11546565253</v>
      </c>
      <c r="AH4675">
        <v>6.2752168480183297</v>
      </c>
      <c r="AI4675">
        <v>98.901445056981501</v>
      </c>
      <c r="AJ4675">
        <v>118.22486494069599</v>
      </c>
      <c r="AK4675">
        <v>7.2088633082628997</v>
      </c>
      <c r="AL4675">
        <v>87.804349550325099</v>
      </c>
      <c r="AM4675">
        <v>104.700223111791</v>
      </c>
      <c r="AN4675">
        <v>0.99999997500076099</v>
      </c>
    </row>
    <row r="4676" spans="1:40" x14ac:dyDescent="0.25">
      <c r="A4676" t="str">
        <f>"20190312151409370"</f>
        <v>20190312151409370</v>
      </c>
      <c r="B4676" t="str">
        <f>"1552374849365210"</f>
        <v>1552374849365210</v>
      </c>
      <c r="C4676" t="s">
        <v>40</v>
      </c>
      <c r="D4676">
        <v>4.5730719999999998</v>
      </c>
      <c r="E4676">
        <v>0.41477459999999999</v>
      </c>
      <c r="F4676" t="s">
        <v>59</v>
      </c>
      <c r="G4676">
        <v>-413.0591</v>
      </c>
      <c r="H4676" s="1">
        <v>-9.6748809999999992E-6</v>
      </c>
      <c r="I4676">
        <v>29.318090000000002</v>
      </c>
      <c r="J4676">
        <v>-418.69189999999998</v>
      </c>
      <c r="K4676">
        <v>1.115553</v>
      </c>
      <c r="L4676">
        <v>33.914639999999999</v>
      </c>
      <c r="M4676">
        <v>0.38483709999999999</v>
      </c>
      <c r="N4676">
        <v>0</v>
      </c>
      <c r="O4676">
        <v>-0.92290899999999998</v>
      </c>
      <c r="P4676">
        <v>0.60634460000000001</v>
      </c>
      <c r="Q4676">
        <v>2.9648879999999999E-2</v>
      </c>
      <c r="R4676">
        <v>-0.79464919999999895</v>
      </c>
      <c r="S4676">
        <v>2.3694760000000001</v>
      </c>
      <c r="T4676">
        <v>-0.4608622</v>
      </c>
      <c r="U4676">
        <v>-1.992767</v>
      </c>
      <c r="V4676">
        <v>-0.2543415</v>
      </c>
      <c r="W4676">
        <v>3.762675E-2</v>
      </c>
      <c r="X4676">
        <v>0.96638219999999997</v>
      </c>
      <c r="Y4676">
        <v>-0.44955820000000002</v>
      </c>
      <c r="Z4676">
        <v>0.14957300000000001</v>
      </c>
      <c r="AA4676">
        <v>0.88063919999999996</v>
      </c>
      <c r="AB4676">
        <v>25</v>
      </c>
      <c r="AC4676">
        <v>5.6327999999999703</v>
      </c>
      <c r="AD4676">
        <v>-1.1155626748809999</v>
      </c>
      <c r="AE4676">
        <v>-4.5965499999999997</v>
      </c>
      <c r="AF4676">
        <v>-3.3509810107898499</v>
      </c>
      <c r="AG4676">
        <v>-1.1155626748809999</v>
      </c>
      <c r="AH4676">
        <v>6.2628982923652696</v>
      </c>
      <c r="AI4676">
        <v>98.925654140264399</v>
      </c>
      <c r="AJ4676">
        <v>118.149131349458</v>
      </c>
      <c r="AK4676">
        <v>7.1900937988856297</v>
      </c>
      <c r="AL4676">
        <v>87.8436369258159</v>
      </c>
      <c r="AM4676">
        <v>104.745248180758</v>
      </c>
      <c r="AN4676">
        <v>0.99999996370732502</v>
      </c>
    </row>
    <row r="4677" spans="1:40" x14ac:dyDescent="0.25">
      <c r="A4677" t="str">
        <f>"20190312151409391"</f>
        <v>20190312151409391</v>
      </c>
      <c r="B4677" t="str">
        <f>"1552374849384729"</f>
        <v>1552374849384729</v>
      </c>
      <c r="C4677" t="s">
        <v>40</v>
      </c>
      <c r="D4677">
        <v>4.5119150000000001</v>
      </c>
      <c r="E4677">
        <v>0.4152325</v>
      </c>
      <c r="F4677" t="s">
        <v>59</v>
      </c>
      <c r="G4677">
        <v>-412.96230000000003</v>
      </c>
      <c r="H4677" s="1">
        <v>-9.6925269999999996E-6</v>
      </c>
      <c r="I4677">
        <v>29.172899999999998</v>
      </c>
      <c r="J4677">
        <v>-418.58769999999998</v>
      </c>
      <c r="K4677">
        <v>1.1156299999999999</v>
      </c>
      <c r="L4677">
        <v>33.689</v>
      </c>
      <c r="M4677">
        <v>0.39255909999999999</v>
      </c>
      <c r="N4677">
        <v>0</v>
      </c>
      <c r="O4677">
        <v>-0.91965059999999998</v>
      </c>
      <c r="P4677">
        <v>0.61340019999999995</v>
      </c>
      <c r="Q4677">
        <v>2.900877E-2</v>
      </c>
      <c r="R4677">
        <v>-0.78923959999999904</v>
      </c>
      <c r="S4677">
        <v>2.384369</v>
      </c>
      <c r="T4677">
        <v>-0.46423940000000002</v>
      </c>
      <c r="U4677">
        <v>-1.9732670000000001</v>
      </c>
      <c r="V4677">
        <v>-0.25484089999999998</v>
      </c>
      <c r="W4677">
        <v>3.6957730000000001E-2</v>
      </c>
      <c r="X4677">
        <v>0.96627649999999998</v>
      </c>
      <c r="Y4677">
        <v>-0.4489457</v>
      </c>
      <c r="Z4677">
        <v>0.1504732</v>
      </c>
      <c r="AA4677">
        <v>0.88079819999999998</v>
      </c>
      <c r="AB4677">
        <v>25</v>
      </c>
      <c r="AC4677">
        <v>5.6253999999999502</v>
      </c>
      <c r="AD4677">
        <v>-1.11563969252699</v>
      </c>
      <c r="AE4677">
        <v>-4.5160999999999998</v>
      </c>
      <c r="AF4677">
        <v>-3.3213671915874401</v>
      </c>
      <c r="AG4677">
        <v>-1.11563969252699</v>
      </c>
      <c r="AH4677">
        <v>6.2133759508910096</v>
      </c>
      <c r="AI4677">
        <v>98.998092294507202</v>
      </c>
      <c r="AJ4677">
        <v>118.12678265844301</v>
      </c>
      <c r="AK4677">
        <v>7.1331740937682104</v>
      </c>
      <c r="AL4677">
        <v>87.881995743971103</v>
      </c>
      <c r="AM4677">
        <v>104.774480762732</v>
      </c>
      <c r="AN4677">
        <v>1.0000000162859</v>
      </c>
    </row>
    <row r="4678" spans="1:40" x14ac:dyDescent="0.25">
      <c r="A4678" t="str">
        <f>"20190312151409414"</f>
        <v>20190312151409414</v>
      </c>
      <c r="B4678" t="str">
        <f>"1552374849405225"</f>
        <v>1552374849405225</v>
      </c>
      <c r="C4678" t="s">
        <v>40</v>
      </c>
      <c r="D4678">
        <v>4.5471500000000002</v>
      </c>
      <c r="E4678">
        <v>0.41566370000000002</v>
      </c>
      <c r="F4678" t="s">
        <v>59</v>
      </c>
      <c r="G4678">
        <v>-412.84969999999998</v>
      </c>
      <c r="H4678" s="1">
        <v>-9.714129E-6</v>
      </c>
      <c r="I4678">
        <v>29.013739999999999</v>
      </c>
      <c r="J4678">
        <v>-418.48250000000002</v>
      </c>
      <c r="K4678">
        <v>1.115688</v>
      </c>
      <c r="L4678">
        <v>33.466030000000003</v>
      </c>
      <c r="M4678">
        <v>0.40028130000000001</v>
      </c>
      <c r="N4678">
        <v>0</v>
      </c>
      <c r="O4678">
        <v>-0.9163154</v>
      </c>
      <c r="P4678">
        <v>0.62047319999999995</v>
      </c>
      <c r="Q4678">
        <v>2.806821E-2</v>
      </c>
      <c r="R4678">
        <v>-0.78372540000000002</v>
      </c>
      <c r="S4678">
        <v>2.3984070000000002</v>
      </c>
      <c r="T4678">
        <v>-0.46632220000000002</v>
      </c>
      <c r="U4678">
        <v>-1.9541930000000001</v>
      </c>
      <c r="V4678">
        <v>-0.2553821</v>
      </c>
      <c r="W4678">
        <v>3.5993259999999999E-2</v>
      </c>
      <c r="X4678">
        <v>0.96616999999999997</v>
      </c>
      <c r="Y4678">
        <v>-0.44811220000000002</v>
      </c>
      <c r="Z4678">
        <v>0.1509489</v>
      </c>
      <c r="AA4678">
        <v>0.88114119999999996</v>
      </c>
      <c r="AB4678">
        <v>25</v>
      </c>
      <c r="AC4678">
        <v>5.6328000000000298</v>
      </c>
      <c r="AD4678">
        <v>-1.1156977141290001</v>
      </c>
      <c r="AE4678">
        <v>-4.4522899999999899</v>
      </c>
      <c r="AF4678">
        <v>-3.2998124120168901</v>
      </c>
      <c r="AG4678">
        <v>-1.1156977141290001</v>
      </c>
      <c r="AH4678">
        <v>6.1854951761183399</v>
      </c>
      <c r="AI4678">
        <v>99.042417497606905</v>
      </c>
      <c r="AJ4678">
        <v>118.078844694575</v>
      </c>
      <c r="AK4678">
        <v>7.0988656782331496</v>
      </c>
      <c r="AL4678">
        <v>87.937292570190607</v>
      </c>
      <c r="AM4678">
        <v>104.80604056110499</v>
      </c>
      <c r="AN4678">
        <v>1.0000000003329099</v>
      </c>
    </row>
    <row r="4679" spans="1:40" x14ac:dyDescent="0.25">
      <c r="A4679" t="str">
        <f>"20190312151409436"</f>
        <v>20190312151409436</v>
      </c>
      <c r="B4679" t="str">
        <f>"1552374849424745"</f>
        <v>1552374849424745</v>
      </c>
      <c r="C4679" t="s">
        <v>40</v>
      </c>
      <c r="D4679">
        <v>4.5491699999999904</v>
      </c>
      <c r="E4679">
        <v>0.4161377</v>
      </c>
      <c r="F4679" t="s">
        <v>41</v>
      </c>
      <c r="G4679">
        <v>-417.73200000000003</v>
      </c>
      <c r="H4679">
        <v>0.96985089999999996</v>
      </c>
      <c r="I4679">
        <v>32.863869999999999</v>
      </c>
      <c r="J4679">
        <v>-418.37459999999999</v>
      </c>
      <c r="K4679">
        <v>1.115747</v>
      </c>
      <c r="L4679">
        <v>33.242579999999997</v>
      </c>
      <c r="M4679">
        <v>0.40810740000000001</v>
      </c>
      <c r="N4679">
        <v>0</v>
      </c>
      <c r="O4679">
        <v>-0.91285649999999996</v>
      </c>
      <c r="P4679">
        <v>0.62747799999999998</v>
      </c>
      <c r="Q4679">
        <v>2.7792899999999999E-2</v>
      </c>
      <c r="R4679">
        <v>-0.77813859999999901</v>
      </c>
      <c r="S4679">
        <v>2.4129330000000002</v>
      </c>
      <c r="T4679">
        <v>-0.46862209999999899</v>
      </c>
      <c r="U4679">
        <v>-1.934326</v>
      </c>
      <c r="V4679">
        <v>-0.25577820000000001</v>
      </c>
      <c r="W4679">
        <v>3.5702089999999999E-2</v>
      </c>
      <c r="X4679">
        <v>0.96607600000000005</v>
      </c>
      <c r="Y4679">
        <v>-0.4474089</v>
      </c>
      <c r="Z4679">
        <v>0.15147739999999901</v>
      </c>
      <c r="AA4679">
        <v>0.88140790000000002</v>
      </c>
      <c r="AB4679">
        <v>25</v>
      </c>
      <c r="AC4679">
        <v>0.64260000000001505</v>
      </c>
      <c r="AD4679">
        <v>-0.1458961</v>
      </c>
      <c r="AE4679">
        <v>-0.37870999999999799</v>
      </c>
      <c r="AF4679">
        <v>-0.41615602544867503</v>
      </c>
      <c r="AG4679">
        <v>-0.1458961</v>
      </c>
      <c r="AH4679">
        <v>0.58559629742952302</v>
      </c>
      <c r="AI4679">
        <v>101.479666235934</v>
      </c>
      <c r="AJ4679">
        <v>125.399635844342</v>
      </c>
      <c r="AK4679">
        <v>0.73307198355660497</v>
      </c>
      <c r="AL4679">
        <v>87.953986074969905</v>
      </c>
      <c r="AM4679">
        <v>104.829373075193</v>
      </c>
      <c r="AN4679">
        <v>0.999999982300803</v>
      </c>
    </row>
    <row r="4680" spans="1:40" x14ac:dyDescent="0.25">
      <c r="A4680" t="str">
        <f>"20190312151409459"</f>
        <v>20190312151409459</v>
      </c>
      <c r="B4680" t="str">
        <f>"1552374849455002"</f>
        <v>1552374849455002</v>
      </c>
      <c r="C4680" t="s">
        <v>40</v>
      </c>
      <c r="D4680">
        <v>4.5382889999999998</v>
      </c>
      <c r="E4680">
        <v>0.41685060000000002</v>
      </c>
      <c r="F4680" t="s">
        <v>41</v>
      </c>
      <c r="G4680">
        <v>-417.6413</v>
      </c>
      <c r="H4680">
        <v>0.97436739999999999</v>
      </c>
      <c r="I4680">
        <v>32.663930000000001</v>
      </c>
      <c r="J4680">
        <v>-418.26049999999998</v>
      </c>
      <c r="K4680">
        <v>1.1158030000000001</v>
      </c>
      <c r="L4680">
        <v>33.011600000000001</v>
      </c>
      <c r="M4680">
        <v>0.41628349999999997</v>
      </c>
      <c r="N4680">
        <v>0</v>
      </c>
      <c r="O4680">
        <v>-0.90915659999999998</v>
      </c>
      <c r="P4680">
        <v>0.63456020000000002</v>
      </c>
      <c r="Q4680">
        <v>2.7262809999999998E-2</v>
      </c>
      <c r="R4680">
        <v>-0.77239259999999998</v>
      </c>
      <c r="S4680">
        <v>2.426971</v>
      </c>
      <c r="T4680">
        <v>-0.46788360000000001</v>
      </c>
      <c r="U4680">
        <v>-1.9149780000000001</v>
      </c>
      <c r="V4680">
        <v>-0.25592350000000003</v>
      </c>
      <c r="W4680">
        <v>3.5166950000000002E-2</v>
      </c>
      <c r="X4680">
        <v>0.96605719999999995</v>
      </c>
      <c r="Y4680">
        <v>-0.44626199999999999</v>
      </c>
      <c r="Z4680">
        <v>0.1509943</v>
      </c>
      <c r="AA4680">
        <v>0.88207199999999997</v>
      </c>
      <c r="AB4680">
        <v>25</v>
      </c>
      <c r="AC4680">
        <v>0.61919999999997799</v>
      </c>
      <c r="AD4680">
        <v>-0.14143559999999999</v>
      </c>
      <c r="AE4680">
        <v>-0.34766999999999998</v>
      </c>
      <c r="AF4680">
        <v>-0.40229202464046399</v>
      </c>
      <c r="AG4680">
        <v>-0.14143559999999999</v>
      </c>
      <c r="AH4680">
        <v>0.55199344283983398</v>
      </c>
      <c r="AI4680">
        <v>101.698876320097</v>
      </c>
      <c r="AJ4680">
        <v>126.08451165927499</v>
      </c>
      <c r="AK4680">
        <v>0.69752395154206503</v>
      </c>
      <c r="AL4680">
        <v>87.984666708810707</v>
      </c>
      <c r="AM4680">
        <v>104.837701704235</v>
      </c>
      <c r="AN4680">
        <v>1.00000003294819</v>
      </c>
    </row>
    <row r="4681" spans="1:40" x14ac:dyDescent="0.25">
      <c r="A4681" t="str">
        <f>"20190312151409483"</f>
        <v>20190312151409483</v>
      </c>
      <c r="B4681" t="str">
        <f>"1552374849475497"</f>
        <v>1552374849475497</v>
      </c>
      <c r="C4681" t="s">
        <v>40</v>
      </c>
      <c r="D4681">
        <v>4.591685</v>
      </c>
      <c r="E4681">
        <v>0.41722399999999998</v>
      </c>
      <c r="F4681" t="s">
        <v>41</v>
      </c>
      <c r="G4681">
        <v>-417.51859999999999</v>
      </c>
      <c r="H4681">
        <v>0.97344350000000002</v>
      </c>
      <c r="I4681">
        <v>32.43497</v>
      </c>
      <c r="J4681">
        <v>-418.14640000000003</v>
      </c>
      <c r="K4681">
        <v>1.1158570000000001</v>
      </c>
      <c r="L4681">
        <v>32.785709999999902</v>
      </c>
      <c r="M4681">
        <v>0.4243574</v>
      </c>
      <c r="N4681">
        <v>0</v>
      </c>
      <c r="O4681">
        <v>-0.90541590000000005</v>
      </c>
      <c r="P4681">
        <v>0.64144559999999995</v>
      </c>
      <c r="Q4681">
        <v>2.6917770000000001E-2</v>
      </c>
      <c r="R4681">
        <v>-0.7666965</v>
      </c>
      <c r="S4681">
        <v>2.4400330000000001</v>
      </c>
      <c r="T4681">
        <v>-0.46815129999999999</v>
      </c>
      <c r="U4681">
        <v>-1.895966</v>
      </c>
      <c r="V4681">
        <v>-0.25596530000000001</v>
      </c>
      <c r="W4681">
        <v>3.4822409999999998E-2</v>
      </c>
      <c r="X4681">
        <v>0.96605859999999999</v>
      </c>
      <c r="Y4681">
        <v>-0.44489849999999997</v>
      </c>
      <c r="Z4681">
        <v>0.1508285</v>
      </c>
      <c r="AA4681">
        <v>0.88278880000000004</v>
      </c>
      <c r="AB4681">
        <v>25</v>
      </c>
      <c r="AC4681">
        <v>0.627800000000036</v>
      </c>
      <c r="AD4681">
        <v>-0.142413499999999</v>
      </c>
      <c r="AE4681">
        <v>-0.350739999999994</v>
      </c>
      <c r="AF4681">
        <v>-0.40377571219256803</v>
      </c>
      <c r="AG4681">
        <v>-0.142413499999999</v>
      </c>
      <c r="AH4681">
        <v>0.56197920314341598</v>
      </c>
      <c r="AI4681">
        <v>101.629200362414</v>
      </c>
      <c r="AJ4681">
        <v>125.696818852902</v>
      </c>
      <c r="AK4681">
        <v>0.70649632377286598</v>
      </c>
      <c r="AL4681">
        <v>88.004419482541905</v>
      </c>
      <c r="AM4681">
        <v>104.839997658999</v>
      </c>
      <c r="AN4681">
        <v>1.0000000268381199</v>
      </c>
    </row>
    <row r="4682" spans="1:40" x14ac:dyDescent="0.25">
      <c r="A4682" t="str">
        <f>"20190312151409503"</f>
        <v>20190312151409503</v>
      </c>
      <c r="B4682" t="str">
        <f>"1552374849495019"</f>
        <v>1552374849495019</v>
      </c>
      <c r="C4682" t="s">
        <v>40</v>
      </c>
      <c r="D4682">
        <v>4.600994</v>
      </c>
      <c r="E4682">
        <v>0.41746369999999999</v>
      </c>
      <c r="F4682" t="s">
        <v>41</v>
      </c>
      <c r="G4682">
        <v>-417.38350000000003</v>
      </c>
      <c r="H4682">
        <v>0.97036290000000003</v>
      </c>
      <c r="I4682">
        <v>32.202590000000001</v>
      </c>
      <c r="J4682">
        <v>-418.04160000000002</v>
      </c>
      <c r="K4682">
        <v>1.1159129999999999</v>
      </c>
      <c r="L4682">
        <v>32.582729999999998</v>
      </c>
      <c r="M4682">
        <v>0.43167899999999998</v>
      </c>
      <c r="N4682">
        <v>0</v>
      </c>
      <c r="O4682">
        <v>-0.90194739999999995</v>
      </c>
      <c r="P4682">
        <v>0.64757929999999997</v>
      </c>
      <c r="Q4682">
        <v>2.6094849999999999E-2</v>
      </c>
      <c r="R4682">
        <v>-0.76155130000000004</v>
      </c>
      <c r="S4682">
        <v>2.4546199999999998</v>
      </c>
      <c r="T4682">
        <v>-0.46806379999999997</v>
      </c>
      <c r="U4682">
        <v>-1.8756710000000001</v>
      </c>
      <c r="V4682">
        <v>-0.25587389999999999</v>
      </c>
      <c r="W4682">
        <v>3.4005109999999998E-2</v>
      </c>
      <c r="X4682">
        <v>0.96611190000000002</v>
      </c>
      <c r="Y4682">
        <v>-0.4448202</v>
      </c>
      <c r="Z4682">
        <v>0.15058260000000001</v>
      </c>
      <c r="AA4682">
        <v>0.88287019999999905</v>
      </c>
      <c r="AB4682">
        <v>25</v>
      </c>
      <c r="AC4682">
        <v>0.65809999999999003</v>
      </c>
      <c r="AD4682">
        <v>-0.14555009999999899</v>
      </c>
      <c r="AE4682">
        <v>-0.38013999999999698</v>
      </c>
      <c r="AF4682">
        <v>-0.41430840504467598</v>
      </c>
      <c r="AG4682">
        <v>-0.14555009999999899</v>
      </c>
      <c r="AH4682">
        <v>0.60481644014379299</v>
      </c>
      <c r="AI4682">
        <v>101.229316393472</v>
      </c>
      <c r="AJ4682">
        <v>124.41173293623601</v>
      </c>
      <c r="AK4682">
        <v>0.74742170985922196</v>
      </c>
      <c r="AL4682">
        <v>88.051275028229796</v>
      </c>
      <c r="AM4682">
        <v>104.83414996046299</v>
      </c>
      <c r="AN4682">
        <v>1.0000000017644599</v>
      </c>
    </row>
    <row r="4683" spans="1:40" x14ac:dyDescent="0.25">
      <c r="A4683" t="str">
        <f>"20190312151409527"</f>
        <v>20190312151409527</v>
      </c>
      <c r="B4683" t="str">
        <f>"1552374849515513"</f>
        <v>1552374849515513</v>
      </c>
      <c r="C4683" t="s">
        <v>40</v>
      </c>
      <c r="D4683">
        <v>4.6075759999999999</v>
      </c>
      <c r="E4683">
        <v>0.41734110000000002</v>
      </c>
      <c r="F4683" t="s">
        <v>59</v>
      </c>
      <c r="G4683">
        <v>-412.19060000000002</v>
      </c>
      <c r="H4683" s="1">
        <v>-9.8517389999999992E-6</v>
      </c>
      <c r="I4683">
        <v>28.180109999999999</v>
      </c>
      <c r="J4683">
        <v>-417.92099999999999</v>
      </c>
      <c r="K4683">
        <v>1.1159709999999901</v>
      </c>
      <c r="L4683">
        <v>32.354370000000003</v>
      </c>
      <c r="M4683">
        <v>0.43998870000000001</v>
      </c>
      <c r="N4683">
        <v>0</v>
      </c>
      <c r="O4683">
        <v>-0.89792249999999996</v>
      </c>
      <c r="P4683">
        <v>0.65443809999999902</v>
      </c>
      <c r="Q4683">
        <v>2.6114330000000002E-2</v>
      </c>
      <c r="R4683">
        <v>-0.75566489999999997</v>
      </c>
      <c r="S4683">
        <v>2.4678339999999999</v>
      </c>
      <c r="T4683">
        <v>-0.47067320000000001</v>
      </c>
      <c r="U4683">
        <v>-1.8569340000000001</v>
      </c>
      <c r="V4683">
        <v>-0.25569350000000002</v>
      </c>
      <c r="W4683">
        <v>3.4036570000000002E-2</v>
      </c>
      <c r="X4683">
        <v>0.96615859999999998</v>
      </c>
      <c r="Y4683">
        <v>-0.44304169999999998</v>
      </c>
      <c r="Z4683">
        <v>0.1510697</v>
      </c>
      <c r="AA4683">
        <v>0.88368089999999999</v>
      </c>
      <c r="AB4683">
        <v>25</v>
      </c>
      <c r="AC4683">
        <v>5.7303999999999702</v>
      </c>
      <c r="AD4683">
        <v>-1.11598085173899</v>
      </c>
      <c r="AE4683">
        <v>-4.1742600000000003</v>
      </c>
      <c r="AF4683">
        <v>-3.22905693141964</v>
      </c>
      <c r="AG4683">
        <v>-1.11598085173899</v>
      </c>
      <c r="AH4683">
        <v>6.1183255216203003</v>
      </c>
      <c r="AI4683">
        <v>99.163567367761502</v>
      </c>
      <c r="AJ4683">
        <v>117.823661927163</v>
      </c>
      <c r="AK4683">
        <v>7.00757655087033</v>
      </c>
      <c r="AL4683">
        <v>88.049471547617202</v>
      </c>
      <c r="AM4683">
        <v>104.82346706540901</v>
      </c>
      <c r="AN4683">
        <v>1.00000004719678</v>
      </c>
    </row>
    <row r="4684" spans="1:40" x14ac:dyDescent="0.25">
      <c r="A4684" t="str">
        <f>"20190312151409548"</f>
        <v>20190312151409548</v>
      </c>
      <c r="B4684" t="str">
        <f>"1552374849544794"</f>
        <v>1552374849544794</v>
      </c>
      <c r="C4684" t="s">
        <v>40</v>
      </c>
      <c r="D4684">
        <v>4.5884960000000001</v>
      </c>
      <c r="E4684">
        <v>0.41715439999999998</v>
      </c>
      <c r="F4684" t="s">
        <v>59</v>
      </c>
      <c r="G4684">
        <v>-412.036</v>
      </c>
      <c r="H4684" s="1">
        <v>-9.8870099999999994E-6</v>
      </c>
      <c r="I4684">
        <v>28.011369999999999</v>
      </c>
      <c r="J4684">
        <v>-417.80900000000003</v>
      </c>
      <c r="K4684">
        <v>1.1160219999999901</v>
      </c>
      <c r="L4684">
        <v>32.146999999999998</v>
      </c>
      <c r="M4684">
        <v>0.44760230000000001</v>
      </c>
      <c r="N4684">
        <v>0</v>
      </c>
      <c r="O4684">
        <v>-0.89415100000000003</v>
      </c>
      <c r="P4684">
        <v>0.66040730000000003</v>
      </c>
      <c r="Q4684">
        <v>2.529379E-2</v>
      </c>
      <c r="R4684">
        <v>-0.75048199999999998</v>
      </c>
      <c r="S4684">
        <v>2.4851990000000002</v>
      </c>
      <c r="T4684">
        <v>-0.47127010000000003</v>
      </c>
      <c r="U4684">
        <v>-1.834015</v>
      </c>
      <c r="V4684">
        <v>-0.25512210000000002</v>
      </c>
      <c r="W4684">
        <v>3.3244040000000002E-2</v>
      </c>
      <c r="X4684">
        <v>0.96633720000000001</v>
      </c>
      <c r="Y4684">
        <v>-0.44367109999999899</v>
      </c>
      <c r="Z4684">
        <v>0.150979</v>
      </c>
      <c r="AA4684">
        <v>0.88338069999999902</v>
      </c>
      <c r="AB4684">
        <v>25</v>
      </c>
      <c r="AC4684">
        <v>5.7730000000000201</v>
      </c>
      <c r="AD4684">
        <v>-1.1160318870099999</v>
      </c>
      <c r="AE4684">
        <v>-4.1356299999999901</v>
      </c>
      <c r="AF4684">
        <v>-3.23125379052808</v>
      </c>
      <c r="AG4684">
        <v>-1.1160318870099999</v>
      </c>
      <c r="AH4684">
        <v>6.1309253864952797</v>
      </c>
      <c r="AI4684">
        <v>99.148159638423493</v>
      </c>
      <c r="AJ4684">
        <v>117.791103732309</v>
      </c>
      <c r="AK4684">
        <v>7.0195992995610101</v>
      </c>
      <c r="AL4684">
        <v>88.094905830976998</v>
      </c>
      <c r="AM4684">
        <v>104.78918085994</v>
      </c>
      <c r="AN4684">
        <v>1.00000001810388</v>
      </c>
    </row>
    <row r="4685" spans="1:40" x14ac:dyDescent="0.25">
      <c r="A4685" t="str">
        <f>"20190312151409571"</f>
        <v>20190312151409571</v>
      </c>
      <c r="B4685" t="str">
        <f>"1552374849565292"</f>
        <v>1552374849565292</v>
      </c>
      <c r="C4685" t="s">
        <v>40</v>
      </c>
      <c r="D4685">
        <v>4.6048429999999998</v>
      </c>
      <c r="E4685">
        <v>0.41706720000000003</v>
      </c>
      <c r="F4685" t="s">
        <v>59</v>
      </c>
      <c r="G4685">
        <v>-411.9384</v>
      </c>
      <c r="H4685" s="1">
        <v>-9.9077020000000005E-6</v>
      </c>
      <c r="I4685">
        <v>27.890889999999999</v>
      </c>
      <c r="J4685">
        <v>-417.68599999999998</v>
      </c>
      <c r="K4685">
        <v>1.1160669999999999</v>
      </c>
      <c r="L4685">
        <v>31.924499999999998</v>
      </c>
      <c r="M4685">
        <v>0.45583630000000003</v>
      </c>
      <c r="N4685">
        <v>0</v>
      </c>
      <c r="O4685">
        <v>-0.88998069999999896</v>
      </c>
      <c r="P4685">
        <v>0.66700459999999995</v>
      </c>
      <c r="Q4685">
        <v>2.508521E-2</v>
      </c>
      <c r="R4685">
        <v>-0.74463109999999999</v>
      </c>
      <c r="S4685">
        <v>2.5006409999999999</v>
      </c>
      <c r="T4685">
        <v>-0.47539160000000003</v>
      </c>
      <c r="U4685">
        <v>-1.8129580000000001</v>
      </c>
      <c r="V4685">
        <v>-0.25472909999999999</v>
      </c>
      <c r="W4685">
        <v>3.3068170000000001E-2</v>
      </c>
      <c r="X4685">
        <v>0.9664469</v>
      </c>
      <c r="Y4685">
        <v>-0.44274790000000003</v>
      </c>
      <c r="Z4685">
        <v>0.151901799999999</v>
      </c>
      <c r="AA4685">
        <v>0.88368549999999901</v>
      </c>
      <c r="AB4685">
        <v>25</v>
      </c>
      <c r="AC4685">
        <v>5.7475999999999701</v>
      </c>
      <c r="AD4685">
        <v>-1.1160769077020001</v>
      </c>
      <c r="AE4685">
        <v>-4.0336099999999897</v>
      </c>
      <c r="AF4685">
        <v>-3.1960839809100898</v>
      </c>
      <c r="AG4685">
        <v>-1.1160769077020001</v>
      </c>
      <c r="AH4685">
        <v>6.0572297561926298</v>
      </c>
      <c r="AI4685">
        <v>99.255637872614599</v>
      </c>
      <c r="AJ4685">
        <v>117.81827155482</v>
      </c>
      <c r="AK4685">
        <v>6.9390642594114302</v>
      </c>
      <c r="AL4685">
        <v>88.104987975820194</v>
      </c>
      <c r="AM4685">
        <v>104.765792369379</v>
      </c>
      <c r="AN4685">
        <v>1.00000001438678</v>
      </c>
    </row>
    <row r="4686" spans="1:40" x14ac:dyDescent="0.25">
      <c r="A4686" t="str">
        <f>"20190312151409593"</f>
        <v>20190312151409593</v>
      </c>
      <c r="B4686" t="str">
        <f>"1552374849584809"</f>
        <v>1552374849584809</v>
      </c>
      <c r="C4686" t="s">
        <v>40</v>
      </c>
      <c r="D4686">
        <v>4.6327210000000001</v>
      </c>
      <c r="E4686">
        <v>0.41708129999999999</v>
      </c>
      <c r="F4686" t="s">
        <v>59</v>
      </c>
      <c r="G4686">
        <v>-411.78980000000001</v>
      </c>
      <c r="H4686" s="1">
        <v>-9.9425690000000005E-6</v>
      </c>
      <c r="I4686">
        <v>27.73113</v>
      </c>
      <c r="J4686">
        <v>-417.56599999999997</v>
      </c>
      <c r="K4686">
        <v>1.1161110000000001</v>
      </c>
      <c r="L4686">
        <v>31.711819999999999</v>
      </c>
      <c r="M4686">
        <v>0.46376529999999999</v>
      </c>
      <c r="N4686">
        <v>0</v>
      </c>
      <c r="O4686">
        <v>-0.88587389999999999</v>
      </c>
      <c r="P4686">
        <v>0.67335219999999996</v>
      </c>
      <c r="Q4686">
        <v>2.4161439999999999E-2</v>
      </c>
      <c r="R4686">
        <v>-0.73892679999999999</v>
      </c>
      <c r="S4686">
        <v>2.5171510000000001</v>
      </c>
      <c r="T4686">
        <v>-0.476464</v>
      </c>
      <c r="U4686">
        <v>-1.79019199999999</v>
      </c>
      <c r="V4686">
        <v>-0.25434390000000001</v>
      </c>
      <c r="W4686">
        <v>3.2176009999999998E-2</v>
      </c>
      <c r="X4686">
        <v>0.96657839999999995</v>
      </c>
      <c r="Y4686">
        <v>-0.4427933</v>
      </c>
      <c r="Z4686">
        <v>0.1518979</v>
      </c>
      <c r="AA4686">
        <v>0.88366350000000005</v>
      </c>
      <c r="AB4686">
        <v>25</v>
      </c>
      <c r="AC4686">
        <v>5.7761999999999496</v>
      </c>
      <c r="AD4686">
        <v>-1.116120942569</v>
      </c>
      <c r="AE4686">
        <v>-3.9806899999999898</v>
      </c>
      <c r="AF4686">
        <v>-3.19036119310474</v>
      </c>
      <c r="AG4686">
        <v>-1.116120942569</v>
      </c>
      <c r="AH4686">
        <v>6.0524401540736097</v>
      </c>
      <c r="AI4686">
        <v>99.265177806235997</v>
      </c>
      <c r="AJ4686">
        <v>117.794603450788</v>
      </c>
      <c r="AK4686">
        <v>6.9322552116574903</v>
      </c>
      <c r="AL4686">
        <v>88.156132098780702</v>
      </c>
      <c r="AM4686">
        <v>104.74251855968301</v>
      </c>
      <c r="AN4686">
        <v>0.99999995921664397</v>
      </c>
    </row>
    <row r="4687" spans="1:40" x14ac:dyDescent="0.25">
      <c r="A4687" t="str">
        <f>"20190312151409615"</f>
        <v>20190312151409615</v>
      </c>
      <c r="B4687" t="str">
        <f>"1552374849605305"</f>
        <v>1552374849605305</v>
      </c>
      <c r="C4687" t="s">
        <v>40</v>
      </c>
      <c r="D4687">
        <v>4.6171889999999998</v>
      </c>
      <c r="E4687">
        <v>0.41704370000000002</v>
      </c>
      <c r="F4687" t="s">
        <v>59</v>
      </c>
      <c r="G4687">
        <v>-411.66890000000001</v>
      </c>
      <c r="H4687" s="1">
        <v>-9.9728500000000006E-6</v>
      </c>
      <c r="I4687">
        <v>27.594100000000001</v>
      </c>
      <c r="J4687">
        <v>-417.44279999999998</v>
      </c>
      <c r="K4687">
        <v>1.1161620000000001</v>
      </c>
      <c r="L4687">
        <v>31.498049999999999</v>
      </c>
      <c r="M4687">
        <v>0.47179779999999999</v>
      </c>
      <c r="N4687">
        <v>0</v>
      </c>
      <c r="O4687">
        <v>-0.88162169999999895</v>
      </c>
      <c r="P4687">
        <v>0.68002099999999999</v>
      </c>
      <c r="Q4687">
        <v>2.3925209999999999E-2</v>
      </c>
      <c r="R4687">
        <v>-0.73280259999999997</v>
      </c>
      <c r="S4687">
        <v>2.5321959999999999</v>
      </c>
      <c r="T4687">
        <v>-0.47925689999999999</v>
      </c>
      <c r="U4687">
        <v>-1.768127</v>
      </c>
      <c r="V4687">
        <v>-0.25431479999999901</v>
      </c>
      <c r="W4687">
        <v>3.1961549999999998E-2</v>
      </c>
      <c r="X4687">
        <v>0.96659320000000004</v>
      </c>
      <c r="Y4687">
        <v>-0.4422162</v>
      </c>
      <c r="Z4687">
        <v>0.1524104</v>
      </c>
      <c r="AA4687">
        <v>0.88386419999999999</v>
      </c>
      <c r="AB4687">
        <v>25</v>
      </c>
      <c r="AC4687">
        <v>5.7738999999999603</v>
      </c>
      <c r="AD4687">
        <v>-1.1161719728499999</v>
      </c>
      <c r="AE4687">
        <v>-3.9039499999999898</v>
      </c>
      <c r="AF4687">
        <v>-3.1675304121549401</v>
      </c>
      <c r="AG4687">
        <v>-1.1161719728499999</v>
      </c>
      <c r="AH4687">
        <v>6.01219544817714</v>
      </c>
      <c r="AI4687">
        <v>99.327546687776703</v>
      </c>
      <c r="AJ4687">
        <v>117.78254294028299</v>
      </c>
      <c r="AK4687">
        <v>6.8866234754039199</v>
      </c>
      <c r="AL4687">
        <v>88.168426124907398</v>
      </c>
      <c r="AM4687">
        <v>104.740689417436</v>
      </c>
      <c r="AN4687">
        <v>0.99999998623184105</v>
      </c>
    </row>
    <row r="4688" spans="1:40" x14ac:dyDescent="0.25">
      <c r="A4688" t="str">
        <f>"20190312151409637"</f>
        <v>20190312151409637</v>
      </c>
      <c r="B4688" t="str">
        <f>"1552374849635561"</f>
        <v>1552374849635561</v>
      </c>
      <c r="C4688" t="s">
        <v>40</v>
      </c>
      <c r="D4688">
        <v>4.6495369999999996</v>
      </c>
      <c r="E4688">
        <v>0.41702630000000002</v>
      </c>
      <c r="F4688" t="s">
        <v>59</v>
      </c>
      <c r="G4688">
        <v>-411.52530000000002</v>
      </c>
      <c r="H4688" s="1">
        <v>-1.0010290000000001E-5</v>
      </c>
      <c r="I4688">
        <v>27.446269999999998</v>
      </c>
      <c r="J4688">
        <v>-417.31810000000002</v>
      </c>
      <c r="K4688">
        <v>1.1162019999999999</v>
      </c>
      <c r="L4688">
        <v>31.286349999999999</v>
      </c>
      <c r="M4688">
        <v>0.47981639999999998</v>
      </c>
      <c r="N4688">
        <v>0</v>
      </c>
      <c r="O4688">
        <v>-0.87728269999999997</v>
      </c>
      <c r="P4688">
        <v>0.68668560000000001</v>
      </c>
      <c r="Q4688">
        <v>2.347919E-2</v>
      </c>
      <c r="R4688">
        <v>-0.72657579999999999</v>
      </c>
      <c r="S4688">
        <v>2.548279</v>
      </c>
      <c r="T4688">
        <v>-0.48066399999999998</v>
      </c>
      <c r="U4688">
        <v>-1.7448429999999999</v>
      </c>
      <c r="V4688">
        <v>-0.25432009999999999</v>
      </c>
      <c r="W4688">
        <v>3.1533079999999998E-2</v>
      </c>
      <c r="X4688">
        <v>0.96660590000000002</v>
      </c>
      <c r="Y4688">
        <v>-0.44213200000000002</v>
      </c>
      <c r="Z4688">
        <v>0.15247529999999901</v>
      </c>
      <c r="AA4688">
        <v>0.88389509999999905</v>
      </c>
      <c r="AB4688">
        <v>25</v>
      </c>
      <c r="AC4688">
        <v>5.7927999999999997</v>
      </c>
      <c r="AD4688">
        <v>-1.1162120102899999</v>
      </c>
      <c r="AE4688">
        <v>-3.8400799999999902</v>
      </c>
      <c r="AF4688">
        <v>-3.1581724907851498</v>
      </c>
      <c r="AG4688">
        <v>-1.1162120102899999</v>
      </c>
      <c r="AH4688">
        <v>5.9941667670858898</v>
      </c>
      <c r="AI4688">
        <v>99.355346754203694</v>
      </c>
      <c r="AJ4688">
        <v>117.783594166033</v>
      </c>
      <c r="AK4688">
        <v>6.8665870681951304</v>
      </c>
      <c r="AL4688">
        <v>88.1929880668999</v>
      </c>
      <c r="AM4688">
        <v>104.74079799615301</v>
      </c>
      <c r="AN4688">
        <v>1.00000000715655</v>
      </c>
    </row>
    <row r="4689" spans="1:40" x14ac:dyDescent="0.25">
      <c r="A4689" t="str">
        <f>"20190312151409660"</f>
        <v>20190312151409660</v>
      </c>
      <c r="B4689" t="str">
        <f>"1552374849655081"</f>
        <v>1552374849655081</v>
      </c>
      <c r="C4689" t="s">
        <v>40</v>
      </c>
      <c r="D4689">
        <v>4.6283019999999997</v>
      </c>
      <c r="E4689">
        <v>0.41706159999999998</v>
      </c>
      <c r="F4689" t="s">
        <v>41</v>
      </c>
      <c r="G4689">
        <v>-416.54349999999999</v>
      </c>
      <c r="H4689">
        <v>0.97009920000000005</v>
      </c>
      <c r="I4689">
        <v>30.766220000000001</v>
      </c>
      <c r="J4689">
        <v>-417.185</v>
      </c>
      <c r="K4689">
        <v>1.116252</v>
      </c>
      <c r="L4689">
        <v>31.065059999999999</v>
      </c>
      <c r="M4689">
        <v>0.48826459999999999</v>
      </c>
      <c r="N4689">
        <v>0</v>
      </c>
      <c r="O4689">
        <v>-0.8726083</v>
      </c>
      <c r="P4689">
        <v>0.69368960000000002</v>
      </c>
      <c r="Q4689">
        <v>2.352951E-2</v>
      </c>
      <c r="R4689">
        <v>-0.71988929999999995</v>
      </c>
      <c r="S4689">
        <v>2.563904</v>
      </c>
      <c r="T4689">
        <v>-0.48355510000000002</v>
      </c>
      <c r="U4689">
        <v>-1.721436</v>
      </c>
      <c r="V4689">
        <v>-0.2543532</v>
      </c>
      <c r="W4689">
        <v>3.1595989999999997E-2</v>
      </c>
      <c r="X4689">
        <v>0.96659510000000004</v>
      </c>
      <c r="Y4689">
        <v>-0.44146099999999999</v>
      </c>
      <c r="Z4689">
        <v>0.1529452</v>
      </c>
      <c r="AA4689">
        <v>0.88414930000000003</v>
      </c>
      <c r="AB4689">
        <v>25</v>
      </c>
      <c r="AC4689">
        <v>0.64150000000000695</v>
      </c>
      <c r="AD4689">
        <v>-0.146152799999999</v>
      </c>
      <c r="AE4689">
        <v>-0.298839999999998</v>
      </c>
      <c r="AF4689">
        <v>-0.39696591007628601</v>
      </c>
      <c r="AG4689">
        <v>-0.146152799999999</v>
      </c>
      <c r="AH4689">
        <v>0.55055424198413705</v>
      </c>
      <c r="AI4689">
        <v>102.151878078233</v>
      </c>
      <c r="AJ4689">
        <v>125.792719893639</v>
      </c>
      <c r="AK4689">
        <v>0.69430004182432703</v>
      </c>
      <c r="AL4689">
        <v>88.189381729062603</v>
      </c>
      <c r="AM4689">
        <v>104.742790511954</v>
      </c>
      <c r="AN4689">
        <v>0.99999997213916403</v>
      </c>
    </row>
    <row r="4690" spans="1:40" x14ac:dyDescent="0.25">
      <c r="A4690" t="str">
        <f>"20190312151409685"</f>
        <v>20190312151409685</v>
      </c>
      <c r="B4690" t="str">
        <f>"1552374849675577"</f>
        <v>1552374849675577</v>
      </c>
      <c r="C4690" t="s">
        <v>40</v>
      </c>
      <c r="D4690">
        <v>4.6642449999999904</v>
      </c>
      <c r="E4690">
        <v>0.41712290000000002</v>
      </c>
      <c r="F4690" t="s">
        <v>59</v>
      </c>
      <c r="G4690">
        <v>-411.23469999999998</v>
      </c>
      <c r="H4690" s="1">
        <v>-1.008654E-5</v>
      </c>
      <c r="I4690">
        <v>27.151959999999999</v>
      </c>
      <c r="J4690">
        <v>-417.04939999999999</v>
      </c>
      <c r="K4690">
        <v>1.116309</v>
      </c>
      <c r="L4690">
        <v>30.844819999999999</v>
      </c>
      <c r="M4690">
        <v>0.49674609999999902</v>
      </c>
      <c r="N4690">
        <v>0</v>
      </c>
      <c r="O4690">
        <v>-0.86780759999999901</v>
      </c>
      <c r="P4690">
        <v>0.70069650000000006</v>
      </c>
      <c r="Q4690">
        <v>2.3362600000000001E-2</v>
      </c>
      <c r="R4690">
        <v>-0.71307699999999996</v>
      </c>
      <c r="S4690">
        <v>2.5801699999999999</v>
      </c>
      <c r="T4690">
        <v>-0.48403570000000001</v>
      </c>
      <c r="U4690">
        <v>-1.6968080000000001</v>
      </c>
      <c r="V4690">
        <v>-0.25438440000000001</v>
      </c>
      <c r="W4690">
        <v>3.14411E-2</v>
      </c>
      <c r="X4690">
        <v>0.96659200000000001</v>
      </c>
      <c r="Y4690">
        <v>-0.44120860000000001</v>
      </c>
      <c r="Z4690">
        <v>0.152658399999999</v>
      </c>
      <c r="AA4690">
        <v>0.88432479999999902</v>
      </c>
      <c r="AB4690">
        <v>25</v>
      </c>
      <c r="AC4690">
        <v>5.81470000000001</v>
      </c>
      <c r="AD4690">
        <v>-1.1163190865399999</v>
      </c>
      <c r="AE4690">
        <v>-3.69286</v>
      </c>
      <c r="AF4690">
        <v>-3.12967572443306</v>
      </c>
      <c r="AG4690">
        <v>-1.1163190865399999</v>
      </c>
      <c r="AH4690">
        <v>5.9376428898401299</v>
      </c>
      <c r="AI4690">
        <v>99.442871470681098</v>
      </c>
      <c r="AJ4690">
        <v>117.793292854538</v>
      </c>
      <c r="AK4690">
        <v>6.8041635437684898</v>
      </c>
      <c r="AL4690">
        <v>88.198260788425202</v>
      </c>
      <c r="AM4690">
        <v>104.74456536533999</v>
      </c>
      <c r="AN4690">
        <v>1.0000000300982801</v>
      </c>
    </row>
    <row r="4691" spans="1:40" x14ac:dyDescent="0.25">
      <c r="A4691" t="str">
        <f>"20190312151409704"</f>
        <v>20190312151409704</v>
      </c>
      <c r="B4691" t="str">
        <f>"1552374849695097"</f>
        <v>1552374849695097</v>
      </c>
      <c r="C4691" t="s">
        <v>40</v>
      </c>
      <c r="D4691">
        <v>4.6985039999999998</v>
      </c>
      <c r="E4691">
        <v>0.41723949999999999</v>
      </c>
      <c r="F4691" t="s">
        <v>59</v>
      </c>
      <c r="G4691">
        <v>-411.08769999999998</v>
      </c>
      <c r="H4691" s="1">
        <v>-1.01254E-5</v>
      </c>
      <c r="I4691">
        <v>27.005749999999999</v>
      </c>
      <c r="J4691">
        <v>-416.92759999999998</v>
      </c>
      <c r="K4691">
        <v>1.1163609999999999</v>
      </c>
      <c r="L4691">
        <v>30.651119999999999</v>
      </c>
      <c r="M4691">
        <v>0.50427440000000001</v>
      </c>
      <c r="N4691">
        <v>0</v>
      </c>
      <c r="O4691">
        <v>-0.86345400000000005</v>
      </c>
      <c r="P4691">
        <v>0.70711579999999996</v>
      </c>
      <c r="Q4691">
        <v>2.3360280000000001E-2</v>
      </c>
      <c r="R4691">
        <v>-0.70671209999999995</v>
      </c>
      <c r="S4691">
        <v>2.5962830000000001</v>
      </c>
      <c r="T4691">
        <v>-0.48614540000000001</v>
      </c>
      <c r="U4691">
        <v>-1.671875</v>
      </c>
      <c r="V4691">
        <v>-0.25472220000000001</v>
      </c>
      <c r="W4691">
        <v>3.1444430000000002E-2</v>
      </c>
      <c r="X4691">
        <v>0.96650290000000005</v>
      </c>
      <c r="Y4691">
        <v>-0.44186399999999998</v>
      </c>
      <c r="Z4691">
        <v>0.1529499</v>
      </c>
      <c r="AA4691">
        <v>0.88394709999999999</v>
      </c>
      <c r="AB4691">
        <v>25</v>
      </c>
      <c r="AC4691">
        <v>5.8399000000000001</v>
      </c>
      <c r="AD4691">
        <v>-1.1163711253999999</v>
      </c>
      <c r="AE4691">
        <v>-3.6453700000000002</v>
      </c>
      <c r="AF4691">
        <v>-3.1223580566328701</v>
      </c>
      <c r="AG4691">
        <v>-1.1163711253999999</v>
      </c>
      <c r="AH4691">
        <v>5.9368718827141702</v>
      </c>
      <c r="AI4691">
        <v>99.448959717588394</v>
      </c>
      <c r="AJ4691">
        <v>117.741070008946</v>
      </c>
      <c r="AK4691">
        <v>6.8001361806370602</v>
      </c>
      <c r="AL4691">
        <v>88.198069851209993</v>
      </c>
      <c r="AM4691">
        <v>104.76459172888001</v>
      </c>
      <c r="AN4691">
        <v>1.0000000035296299</v>
      </c>
    </row>
    <row r="4692" spans="1:40" x14ac:dyDescent="0.25">
      <c r="A4692" t="str">
        <f>"20190312151409727"</f>
        <v>20190312151409727</v>
      </c>
      <c r="B4692" t="str">
        <f>"1552374849725353"</f>
        <v>1552374849725353</v>
      </c>
      <c r="C4692" t="s">
        <v>40</v>
      </c>
      <c r="D4692">
        <v>4.6860660000000003</v>
      </c>
      <c r="E4692">
        <v>0.41742410000000002</v>
      </c>
      <c r="F4692" t="s">
        <v>59</v>
      </c>
      <c r="G4692">
        <v>-410.94049999999999</v>
      </c>
      <c r="H4692" s="1">
        <v>-1.016546E-5</v>
      </c>
      <c r="I4692">
        <v>26.87114</v>
      </c>
      <c r="J4692">
        <v>-416.7953</v>
      </c>
      <c r="K4692">
        <v>1.116422</v>
      </c>
      <c r="L4692">
        <v>30.44501</v>
      </c>
      <c r="M4692">
        <v>0.51236040000000005</v>
      </c>
      <c r="N4692">
        <v>0</v>
      </c>
      <c r="O4692">
        <v>-0.85867979999999999</v>
      </c>
      <c r="P4692">
        <v>0.71376549999999905</v>
      </c>
      <c r="Q4692">
        <v>2.3081600000000001E-2</v>
      </c>
      <c r="R4692">
        <v>-0.70000459999999998</v>
      </c>
      <c r="S4692">
        <v>2.6111149999999999</v>
      </c>
      <c r="T4692">
        <v>-0.48687340000000001</v>
      </c>
      <c r="U4692">
        <v>-1.6485289999999999</v>
      </c>
      <c r="V4692">
        <v>-0.25477880000000003</v>
      </c>
      <c r="W4692">
        <v>3.117516E-2</v>
      </c>
      <c r="X4692">
        <v>0.96649669999999999</v>
      </c>
      <c r="Y4692">
        <v>-0.44139080000000003</v>
      </c>
      <c r="Z4692">
        <v>0.152713299999999</v>
      </c>
      <c r="AA4692">
        <v>0.88422449999999997</v>
      </c>
      <c r="AB4692">
        <v>25</v>
      </c>
      <c r="AC4692">
        <v>5.8548000000000098</v>
      </c>
      <c r="AD4692">
        <v>-1.11643216546</v>
      </c>
      <c r="AE4692">
        <v>-3.5738699999999901</v>
      </c>
      <c r="AF4692">
        <v>-3.1140448073098499</v>
      </c>
      <c r="AG4692">
        <v>-1.11643216546</v>
      </c>
      <c r="AH4692">
        <v>5.9124261071219504</v>
      </c>
      <c r="AI4692">
        <v>99.484878450256403</v>
      </c>
      <c r="AJ4692">
        <v>117.77554855542</v>
      </c>
      <c r="AK4692">
        <v>6.7749891744698996</v>
      </c>
      <c r="AL4692">
        <v>88.213505445870794</v>
      </c>
      <c r="AM4692">
        <v>104.767819691254</v>
      </c>
      <c r="AN4692">
        <v>0.99999999932067696</v>
      </c>
    </row>
    <row r="4693" spans="1:40" x14ac:dyDescent="0.25">
      <c r="A4693" t="str">
        <f>"20190312151409749"</f>
        <v>20190312151409749</v>
      </c>
      <c r="B4693" t="str">
        <f>"1552374849744874"</f>
        <v>1552374849744874</v>
      </c>
      <c r="C4693" t="s">
        <v>40</v>
      </c>
      <c r="D4693">
        <v>4.685543</v>
      </c>
      <c r="E4693">
        <v>0.41756900000000002</v>
      </c>
      <c r="F4693" t="s">
        <v>59</v>
      </c>
      <c r="G4693">
        <v>-410.78440000000001</v>
      </c>
      <c r="H4693" s="1">
        <v>-1.0207779999999999E-5</v>
      </c>
      <c r="I4693">
        <v>26.726680000000002</v>
      </c>
      <c r="J4693">
        <v>-416.65940000000001</v>
      </c>
      <c r="K4693">
        <v>1.1164750000000001</v>
      </c>
      <c r="L4693">
        <v>30.238160000000001</v>
      </c>
      <c r="M4693">
        <v>0.52055129999999905</v>
      </c>
      <c r="N4693">
        <v>0</v>
      </c>
      <c r="O4693">
        <v>-0.85373869999999896</v>
      </c>
      <c r="P4693">
        <v>0.72060449999999998</v>
      </c>
      <c r="Q4693">
        <v>2.377464E-2</v>
      </c>
      <c r="R4693">
        <v>-0.69293899999999997</v>
      </c>
      <c r="S4693">
        <v>2.6257929999999998</v>
      </c>
      <c r="T4693">
        <v>-0.48770629999999998</v>
      </c>
      <c r="U4693">
        <v>-1.6243289999999999</v>
      </c>
      <c r="V4693">
        <v>-0.2550501</v>
      </c>
      <c r="W4693">
        <v>3.1870990000000002E-2</v>
      </c>
      <c r="X4693">
        <v>0.96640250000000005</v>
      </c>
      <c r="Y4693">
        <v>-0.4409401</v>
      </c>
      <c r="Z4693">
        <v>0.15250169999999999</v>
      </c>
      <c r="AA4693">
        <v>0.88448579999999999</v>
      </c>
      <c r="AB4693">
        <v>25</v>
      </c>
      <c r="AC4693">
        <v>5.875</v>
      </c>
      <c r="AD4693">
        <v>-1.11648520778</v>
      </c>
      <c r="AE4693">
        <v>-3.5114799999999899</v>
      </c>
      <c r="AF4693">
        <v>-3.1054259781633702</v>
      </c>
      <c r="AG4693">
        <v>-1.11648520778</v>
      </c>
      <c r="AH4693">
        <v>5.8996152026542799</v>
      </c>
      <c r="AI4693">
        <v>99.506763018414901</v>
      </c>
      <c r="AJ4693">
        <v>117.761319018709</v>
      </c>
      <c r="AK4693">
        <v>6.7598571926064404</v>
      </c>
      <c r="AL4693">
        <v>88.173617597074198</v>
      </c>
      <c r="AM4693">
        <v>104.784234670423</v>
      </c>
      <c r="AN4693">
        <v>1.00000005275991</v>
      </c>
    </row>
    <row r="4694" spans="1:40" x14ac:dyDescent="0.25">
      <c r="A4694" t="str">
        <f>"20190312151409782"</f>
        <v>20190312151409782</v>
      </c>
      <c r="B4694" t="str">
        <f>"1552374849775129"</f>
        <v>1552374849775129</v>
      </c>
      <c r="C4694" t="s">
        <v>40</v>
      </c>
      <c r="D4694">
        <v>4.6991170000000002</v>
      </c>
      <c r="E4694">
        <v>0.41780210000000001</v>
      </c>
      <c r="F4694" t="s">
        <v>59</v>
      </c>
      <c r="G4694">
        <v>-410.59109999999998</v>
      </c>
      <c r="H4694" s="1">
        <v>-1.02617E-5</v>
      </c>
      <c r="I4694">
        <v>26.56277</v>
      </c>
      <c r="J4694">
        <v>-416.4547</v>
      </c>
      <c r="K4694">
        <v>1.1165339999999999</v>
      </c>
      <c r="L4694">
        <v>29.934200000000001</v>
      </c>
      <c r="M4694">
        <v>0.53268570000000004</v>
      </c>
      <c r="N4694">
        <v>0</v>
      </c>
      <c r="O4694">
        <v>-0.84621999999999997</v>
      </c>
      <c r="P4694">
        <v>0.7310913</v>
      </c>
      <c r="Q4694">
        <v>2.3444070000000001E-2</v>
      </c>
      <c r="R4694">
        <v>-0.68187699999999996</v>
      </c>
      <c r="S4694">
        <v>2.641022</v>
      </c>
      <c r="T4694">
        <v>-0.48590990000000001</v>
      </c>
      <c r="U4694">
        <v>-1.5995790000000001</v>
      </c>
      <c r="V4694">
        <v>-0.25599139999999998</v>
      </c>
      <c r="W4694">
        <v>3.1535470000000003E-2</v>
      </c>
      <c r="X4694">
        <v>0.96616449999999998</v>
      </c>
      <c r="Y4694">
        <v>-0.43665579999999998</v>
      </c>
      <c r="Z4694">
        <v>0.15101919999999999</v>
      </c>
      <c r="AA4694">
        <v>0.88686239999999905</v>
      </c>
      <c r="AB4694">
        <v>25</v>
      </c>
      <c r="AC4694">
        <v>5.8636000000000204</v>
      </c>
      <c r="AD4694">
        <v>-1.1165442617000001</v>
      </c>
      <c r="AE4694">
        <v>-3.3714300000000001</v>
      </c>
      <c r="AF4694">
        <v>-3.0822396774558598</v>
      </c>
      <c r="AG4694">
        <v>-1.1165442617000001</v>
      </c>
      <c r="AH4694">
        <v>5.8183449839190002</v>
      </c>
      <c r="AI4694">
        <v>99.624438643242897</v>
      </c>
      <c r="AJ4694">
        <v>117.912186090216</v>
      </c>
      <c r="AK4694">
        <v>6.6783239566162003</v>
      </c>
      <c r="AL4694">
        <v>88.192850980041001</v>
      </c>
      <c r="AM4694">
        <v>104.839889101447</v>
      </c>
      <c r="AN4694">
        <v>0.99999996190116403</v>
      </c>
    </row>
    <row r="4695" spans="1:40" x14ac:dyDescent="0.25">
      <c r="A4695" t="str">
        <f>"20190312151409805"</f>
        <v>20190312151409805</v>
      </c>
      <c r="B4695" t="str">
        <f>"1552374849795625"</f>
        <v>1552374849795625</v>
      </c>
      <c r="C4695" t="s">
        <v>40</v>
      </c>
      <c r="D4695">
        <v>4.7131309999999997</v>
      </c>
      <c r="E4695">
        <v>0.41796450000000002</v>
      </c>
      <c r="F4695" t="s">
        <v>59</v>
      </c>
      <c r="G4695">
        <v>-410.36329999999998</v>
      </c>
      <c r="H4695" s="1">
        <v>-1.0324690000000001E-5</v>
      </c>
      <c r="I4695">
        <v>26.364249999999998</v>
      </c>
      <c r="J4695">
        <v>-416.31180000000001</v>
      </c>
      <c r="K4695">
        <v>1.1165609999999999</v>
      </c>
      <c r="L4695">
        <v>29.727630000000001</v>
      </c>
      <c r="M4695">
        <v>0.54099449999999905</v>
      </c>
      <c r="N4695">
        <v>0</v>
      </c>
      <c r="O4695">
        <v>-0.84093169999999995</v>
      </c>
      <c r="P4695">
        <v>0.73828349999999998</v>
      </c>
      <c r="Q4695">
        <v>2.345065E-2</v>
      </c>
      <c r="R4695">
        <v>-0.67408299999999999</v>
      </c>
      <c r="S4695">
        <v>2.6633</v>
      </c>
      <c r="T4695">
        <v>-0.48818450000000002</v>
      </c>
      <c r="U4695">
        <v>-1.560883</v>
      </c>
      <c r="V4695">
        <v>-0.25672699999999998</v>
      </c>
      <c r="W4695">
        <v>3.1538799999999999E-2</v>
      </c>
      <c r="X4695">
        <v>0.96596919999999997</v>
      </c>
      <c r="Y4695">
        <v>-0.44055460000000002</v>
      </c>
      <c r="Z4695">
        <v>0.151423</v>
      </c>
      <c r="AA4695">
        <v>0.88486309999999901</v>
      </c>
      <c r="AB4695">
        <v>25</v>
      </c>
      <c r="AC4695">
        <v>5.9485000000000197</v>
      </c>
      <c r="AD4695">
        <v>-1.11657132469</v>
      </c>
      <c r="AE4695">
        <v>-3.3633799999999998</v>
      </c>
      <c r="AF4695">
        <v>-3.1001948762430902</v>
      </c>
      <c r="AG4695">
        <v>-1.11657132469</v>
      </c>
      <c r="AH4695">
        <v>5.8897133361212299</v>
      </c>
      <c r="AI4695">
        <v>99.523186913144698</v>
      </c>
      <c r="AJ4695">
        <v>117.761174438127</v>
      </c>
      <c r="AK4695">
        <v>6.7488267851151802</v>
      </c>
      <c r="AL4695">
        <v>88.1926601081976</v>
      </c>
      <c r="AM4695">
        <v>104.88351772877</v>
      </c>
      <c r="AN4695">
        <v>0.999999971891539</v>
      </c>
    </row>
    <row r="4696" spans="1:40" x14ac:dyDescent="0.25">
      <c r="A4696" t="str">
        <f>"20190312151409827"</f>
        <v>20190312151409827</v>
      </c>
      <c r="B4696" t="str">
        <f>"1552374849824906"</f>
        <v>1552374849824906</v>
      </c>
      <c r="C4696" t="s">
        <v>40</v>
      </c>
      <c r="D4696">
        <v>4.7560729999999998</v>
      </c>
      <c r="E4696">
        <v>0.41824060000000002</v>
      </c>
      <c r="F4696" t="s">
        <v>59</v>
      </c>
      <c r="G4696">
        <v>-410.19560000000001</v>
      </c>
      <c r="H4696" s="1">
        <v>-1.037186E-5</v>
      </c>
      <c r="I4696">
        <v>26.226009999999999</v>
      </c>
      <c r="J4696">
        <v>-416.17020000000002</v>
      </c>
      <c r="K4696">
        <v>1.11659</v>
      </c>
      <c r="L4696">
        <v>29.527370000000001</v>
      </c>
      <c r="M4696">
        <v>0.54910389999999998</v>
      </c>
      <c r="N4696">
        <v>0</v>
      </c>
      <c r="O4696">
        <v>-0.83565859999999903</v>
      </c>
      <c r="P4696">
        <v>0.74528669999999997</v>
      </c>
      <c r="Q4696">
        <v>2.3569570000000001E-2</v>
      </c>
      <c r="R4696">
        <v>-0.66632749999999996</v>
      </c>
      <c r="S4696">
        <v>2.6787719999999999</v>
      </c>
      <c r="T4696">
        <v>-0.48903289999999999</v>
      </c>
      <c r="U4696">
        <v>-1.5336299999999901</v>
      </c>
      <c r="V4696">
        <v>-0.25748280000000001</v>
      </c>
      <c r="W4696">
        <v>3.165461E-2</v>
      </c>
      <c r="X4696">
        <v>0.96576430000000002</v>
      </c>
      <c r="Y4696">
        <v>-0.44088280000000002</v>
      </c>
      <c r="Z4696">
        <v>0.15118989999999999</v>
      </c>
      <c r="AA4696">
        <v>0.88473950000000001</v>
      </c>
      <c r="AB4696">
        <v>25</v>
      </c>
      <c r="AC4696">
        <v>5.9745999999999997</v>
      </c>
      <c r="AD4696">
        <v>-1.1166003718599999</v>
      </c>
      <c r="AE4696">
        <v>-3.3013599999999999</v>
      </c>
      <c r="AF4696">
        <v>-3.0973113645324499</v>
      </c>
      <c r="AG4696">
        <v>-1.1166003718599999</v>
      </c>
      <c r="AH4696">
        <v>5.8825609828431702</v>
      </c>
      <c r="AI4696">
        <v>99.534218778723499</v>
      </c>
      <c r="AJ4696">
        <v>117.76789554320899</v>
      </c>
      <c r="AK4696">
        <v>6.7412652963793498</v>
      </c>
      <c r="AL4696">
        <v>88.186021501521793</v>
      </c>
      <c r="AM4696">
        <v>104.928406973943</v>
      </c>
      <c r="AN4696">
        <v>1.0000000448922901</v>
      </c>
    </row>
    <row r="4697" spans="1:40" x14ac:dyDescent="0.25">
      <c r="A4697" t="str">
        <f>"20190312151409851"</f>
        <v>20190312151409851</v>
      </c>
      <c r="B4697" t="str">
        <f>"1552374849845402"</f>
        <v>1552374849845402</v>
      </c>
      <c r="C4697" t="s">
        <v>40</v>
      </c>
      <c r="D4697">
        <v>4.7113800000000001</v>
      </c>
      <c r="E4697">
        <v>0.41847210000000001</v>
      </c>
      <c r="F4697" t="s">
        <v>59</v>
      </c>
      <c r="G4697">
        <v>-410.03429999999997</v>
      </c>
      <c r="H4697" s="1">
        <v>-1.041726E-5</v>
      </c>
      <c r="I4697">
        <v>26.093430000000001</v>
      </c>
      <c r="J4697">
        <v>-416.01990000000001</v>
      </c>
      <c r="K4697">
        <v>1.116617</v>
      </c>
      <c r="L4697">
        <v>29.319369999999999</v>
      </c>
      <c r="M4697">
        <v>0.55756249999999996</v>
      </c>
      <c r="N4697">
        <v>0</v>
      </c>
      <c r="O4697">
        <v>-0.83003850000000001</v>
      </c>
      <c r="P4697">
        <v>0.75238689999999997</v>
      </c>
      <c r="Q4697">
        <v>2.2808519999999999E-2</v>
      </c>
      <c r="R4697">
        <v>-0.65832650000000004</v>
      </c>
      <c r="S4697">
        <v>2.6932369999999999</v>
      </c>
      <c r="T4697">
        <v>-0.49010959999999998</v>
      </c>
      <c r="U4697">
        <v>-1.507263</v>
      </c>
      <c r="V4697">
        <v>-0.25800240000000002</v>
      </c>
      <c r="W4697">
        <v>3.0895389999999998E-2</v>
      </c>
      <c r="X4697">
        <v>0.96565020000000001</v>
      </c>
      <c r="Y4697">
        <v>-0.440415</v>
      </c>
      <c r="Z4697">
        <v>0.1509479</v>
      </c>
      <c r="AA4697">
        <v>0.88501379999999996</v>
      </c>
      <c r="AB4697">
        <v>25</v>
      </c>
      <c r="AC4697">
        <v>5.98560000000003</v>
      </c>
      <c r="AD4697">
        <v>-1.1166274172599999</v>
      </c>
      <c r="AE4697">
        <v>-3.22594</v>
      </c>
      <c r="AF4697">
        <v>-3.0866278796367101</v>
      </c>
      <c r="AG4697">
        <v>-1.1166274172599999</v>
      </c>
      <c r="AH4697">
        <v>5.85751475440268</v>
      </c>
      <c r="AI4697">
        <v>99.572804512718406</v>
      </c>
      <c r="AJ4697">
        <v>117.787068640301</v>
      </c>
      <c r="AK4697">
        <v>6.7145072458351303</v>
      </c>
      <c r="AL4697">
        <v>88.229542876746507</v>
      </c>
      <c r="AM4697">
        <v>104.95887171605899</v>
      </c>
      <c r="AN4697">
        <v>1.00000003614452</v>
      </c>
    </row>
    <row r="4698" spans="1:40" x14ac:dyDescent="0.25">
      <c r="A4698" t="str">
        <f>"20190312151409874"</f>
        <v>20190312151409874</v>
      </c>
      <c r="B4698" t="str">
        <f>"1552374849864922"</f>
        <v>1552374849864922</v>
      </c>
      <c r="C4698" t="s">
        <v>40</v>
      </c>
      <c r="D4698">
        <v>4.7480129999999896</v>
      </c>
      <c r="E4698">
        <v>0.43174689999999999</v>
      </c>
      <c r="F4698" t="s">
        <v>59</v>
      </c>
      <c r="G4698">
        <v>-409.8854</v>
      </c>
      <c r="H4698" s="1">
        <v>-2.3282200000000001E-6</v>
      </c>
      <c r="I4698">
        <v>25.967040000000001</v>
      </c>
      <c r="J4698">
        <v>-415.86939999999998</v>
      </c>
      <c r="K4698">
        <v>1.1166259999999999</v>
      </c>
      <c r="L4698">
        <v>29.11523</v>
      </c>
      <c r="M4698">
        <v>0.56588689999999997</v>
      </c>
      <c r="N4698">
        <v>0</v>
      </c>
      <c r="O4698">
        <v>-0.82438539999999905</v>
      </c>
      <c r="P4698">
        <v>0.75892530000000002</v>
      </c>
      <c r="Q4698">
        <v>2.2565410000000001E-2</v>
      </c>
      <c r="R4698">
        <v>-0.65078659999999999</v>
      </c>
      <c r="S4698">
        <v>2.707611</v>
      </c>
      <c r="T4698">
        <v>-0.492842</v>
      </c>
      <c r="U4698">
        <v>-1.479614</v>
      </c>
      <c r="V4698">
        <v>-0.25792320000000002</v>
      </c>
      <c r="W4698">
        <v>3.0667090000000001E-2</v>
      </c>
      <c r="X4698">
        <v>0.96567860000000005</v>
      </c>
      <c r="Y4698">
        <v>-0.44025979999999998</v>
      </c>
      <c r="Z4698">
        <v>0.1512269</v>
      </c>
      <c r="AA4698">
        <v>0.88504340000000004</v>
      </c>
      <c r="AB4698">
        <v>25</v>
      </c>
      <c r="AC4698">
        <v>5.9839999999999796</v>
      </c>
      <c r="AD4698">
        <v>-1.11662832822</v>
      </c>
      <c r="AE4698">
        <v>-3.14819</v>
      </c>
      <c r="AF4698">
        <v>-3.0681806033058399</v>
      </c>
      <c r="AG4698">
        <v>-1.11662832822</v>
      </c>
      <c r="AH4698">
        <v>5.8232578886319297</v>
      </c>
      <c r="AI4698">
        <v>99.628340295093096</v>
      </c>
      <c r="AJ4698">
        <v>117.784022434441</v>
      </c>
      <c r="AK4698">
        <v>6.67614585486265</v>
      </c>
      <c r="AL4698">
        <v>88.242629645757503</v>
      </c>
      <c r="AM4698">
        <v>104.954065388385</v>
      </c>
      <c r="AN4698">
        <v>1.0000000030026299</v>
      </c>
    </row>
    <row r="4699" spans="1:40" x14ac:dyDescent="0.25">
      <c r="A4699" t="str">
        <f>"20190312151409897"</f>
        <v>20190312151409897</v>
      </c>
      <c r="B4699" t="str">
        <f>"1552374849885417"</f>
        <v>1552374849885417</v>
      </c>
      <c r="C4699" t="s">
        <v>40</v>
      </c>
      <c r="D4699">
        <v>4.7473519999999896</v>
      </c>
      <c r="E4699">
        <v>0.4320175</v>
      </c>
      <c r="F4699" t="s">
        <v>59</v>
      </c>
      <c r="G4699">
        <v>-410.06990000000002</v>
      </c>
      <c r="H4699" s="1">
        <v>-1.037156E-5</v>
      </c>
      <c r="I4699">
        <v>25.765560000000001</v>
      </c>
      <c r="J4699">
        <v>-415.72140000000002</v>
      </c>
      <c r="K4699">
        <v>1.1166290000000001</v>
      </c>
      <c r="L4699">
        <v>28.91882</v>
      </c>
      <c r="M4699">
        <v>0.57391150000000002</v>
      </c>
      <c r="N4699">
        <v>0</v>
      </c>
      <c r="O4699">
        <v>-0.81881890000000002</v>
      </c>
      <c r="P4699">
        <v>0.76512239999999998</v>
      </c>
      <c r="Q4699">
        <v>2.2244819999999998E-2</v>
      </c>
      <c r="R4699">
        <v>-0.64350059999999998</v>
      </c>
      <c r="S4699">
        <v>2.653778</v>
      </c>
      <c r="T4699">
        <v>-0.51096169999999996</v>
      </c>
      <c r="U4699">
        <v>-1.5327759999999999</v>
      </c>
      <c r="V4699">
        <v>-0.2577275</v>
      </c>
      <c r="W4699">
        <v>3.0363009999999999E-2</v>
      </c>
      <c r="X4699">
        <v>0.96574040000000005</v>
      </c>
      <c r="Y4699">
        <v>-0.40958090000000003</v>
      </c>
      <c r="Z4699">
        <v>0.1554171</v>
      </c>
      <c r="AA4699">
        <v>0.89893769999999995</v>
      </c>
      <c r="AB4699">
        <v>25</v>
      </c>
      <c r="AC4699">
        <v>5.6514999999999898</v>
      </c>
      <c r="AD4699">
        <v>-1.11663937156</v>
      </c>
      <c r="AE4699">
        <v>-3.1532599999999902</v>
      </c>
      <c r="AF4699">
        <v>-2.7366181531025702</v>
      </c>
      <c r="AG4699">
        <v>-1.11663937156</v>
      </c>
      <c r="AH4699">
        <v>5.6574513845254204</v>
      </c>
      <c r="AI4699">
        <v>100.075138658743</v>
      </c>
      <c r="AJ4699">
        <v>115.81394800861599</v>
      </c>
      <c r="AK4699">
        <v>6.3830023163302299</v>
      </c>
      <c r="AL4699">
        <v>88.260060168703106</v>
      </c>
      <c r="AM4699">
        <v>104.94231322372499</v>
      </c>
      <c r="AN4699">
        <v>0.99999994841233297</v>
      </c>
    </row>
    <row r="4700" spans="1:40" x14ac:dyDescent="0.25">
      <c r="A4700" t="str">
        <f>"20190312151409918"</f>
        <v>20190312151409918</v>
      </c>
      <c r="B4700" t="str">
        <f>"1552374849915673"</f>
        <v>1552374849915673</v>
      </c>
      <c r="C4700" t="s">
        <v>40</v>
      </c>
      <c r="D4700">
        <v>4.7719639999999997</v>
      </c>
      <c r="E4700">
        <v>0.43317909999999998</v>
      </c>
      <c r="F4700" t="s">
        <v>59</v>
      </c>
      <c r="G4700">
        <v>-409.91120000000001</v>
      </c>
      <c r="H4700" s="1">
        <v>-2.2383810000000001E-6</v>
      </c>
      <c r="I4700">
        <v>25.631889999999999</v>
      </c>
      <c r="J4700">
        <v>-415.5752</v>
      </c>
      <c r="K4700">
        <v>1.116635</v>
      </c>
      <c r="L4700">
        <v>28.728490000000001</v>
      </c>
      <c r="M4700">
        <v>0.5816945</v>
      </c>
      <c r="N4700">
        <v>0</v>
      </c>
      <c r="O4700">
        <v>-0.81330809999999998</v>
      </c>
      <c r="P4700">
        <v>0.77094259999999903</v>
      </c>
      <c r="Q4700">
        <v>2.1534790000000002E-2</v>
      </c>
      <c r="R4700">
        <v>-0.63654080000000002</v>
      </c>
      <c r="S4700">
        <v>2.6669309999999999</v>
      </c>
      <c r="T4700">
        <v>-0.51254299999999997</v>
      </c>
      <c r="U4700">
        <v>-1.5087280000000001</v>
      </c>
      <c r="V4700">
        <v>-0.25727420000000001</v>
      </c>
      <c r="W4700">
        <v>2.9675239999999999E-2</v>
      </c>
      <c r="X4700">
        <v>0.96588269999999998</v>
      </c>
      <c r="Y4700">
        <v>-0.40892519999999999</v>
      </c>
      <c r="Z4700">
        <v>0.155252799999999</v>
      </c>
      <c r="AA4700">
        <v>0.89926450000000002</v>
      </c>
      <c r="AB4700">
        <v>25</v>
      </c>
      <c r="AC4700">
        <v>5.6639999999999802</v>
      </c>
      <c r="AD4700">
        <v>-1.1166372383809999</v>
      </c>
      <c r="AE4700">
        <v>-3.0966</v>
      </c>
      <c r="AF4700">
        <v>-2.7240180650531101</v>
      </c>
      <c r="AG4700">
        <v>-1.1166372383809999</v>
      </c>
      <c r="AH4700">
        <v>5.6447694034416296</v>
      </c>
      <c r="AI4700">
        <v>100.10172814166999</v>
      </c>
      <c r="AJ4700">
        <v>115.760741042235</v>
      </c>
      <c r="AK4700">
        <v>6.3663627574075301</v>
      </c>
      <c r="AL4700">
        <v>88.2994843654389</v>
      </c>
      <c r="AM4700">
        <v>104.915105018196</v>
      </c>
      <c r="AN4700">
        <v>1.0000000120069901</v>
      </c>
    </row>
    <row r="4701" spans="1:40" x14ac:dyDescent="0.25">
      <c r="A4701" t="str">
        <f>"20190312151409940"</f>
        <v>20190312151409940</v>
      </c>
      <c r="B4701" t="str">
        <f>"1552374849935194"</f>
        <v>1552374849935194</v>
      </c>
      <c r="C4701" t="s">
        <v>40</v>
      </c>
      <c r="D4701">
        <v>4.7603200000000001</v>
      </c>
      <c r="E4701">
        <v>0.43381069999999999</v>
      </c>
      <c r="F4701" t="s">
        <v>59</v>
      </c>
      <c r="G4701">
        <v>-409.71440000000001</v>
      </c>
      <c r="H4701" s="1">
        <v>-2.3168960000000001E-6</v>
      </c>
      <c r="I4701">
        <v>25.460899999999999</v>
      </c>
      <c r="J4701">
        <v>-415.42610000000002</v>
      </c>
      <c r="K4701">
        <v>1.116628</v>
      </c>
      <c r="L4701">
        <v>28.538270000000001</v>
      </c>
      <c r="M4701">
        <v>0.58947989999999995</v>
      </c>
      <c r="N4701">
        <v>0</v>
      </c>
      <c r="O4701">
        <v>-0.80768300000000004</v>
      </c>
      <c r="P4701">
        <v>0.77667030000000004</v>
      </c>
      <c r="Q4701">
        <v>2.1296610000000001E-2</v>
      </c>
      <c r="R4701">
        <v>-0.62954739999999998</v>
      </c>
      <c r="S4701">
        <v>2.6744080000000001</v>
      </c>
      <c r="T4701">
        <v>-0.50954160000000004</v>
      </c>
      <c r="U4701">
        <v>-1.491058</v>
      </c>
      <c r="V4701">
        <v>-0.25672669999999997</v>
      </c>
      <c r="W4701">
        <v>2.9461230000000001E-2</v>
      </c>
      <c r="X4701">
        <v>0.96603490000000003</v>
      </c>
      <c r="Y4701">
        <v>-0.40598780000000001</v>
      </c>
      <c r="Z4701">
        <v>0.1536614</v>
      </c>
      <c r="AA4701">
        <v>0.90086739999999998</v>
      </c>
      <c r="AB4701">
        <v>25</v>
      </c>
      <c r="AC4701">
        <v>5.7117000000000004</v>
      </c>
      <c r="AD4701">
        <v>-1.1166303168959999</v>
      </c>
      <c r="AE4701">
        <v>-3.0773700000000002</v>
      </c>
      <c r="AF4701">
        <v>-2.7188850374231999</v>
      </c>
      <c r="AG4701">
        <v>-1.1166303168959999</v>
      </c>
      <c r="AH4701">
        <v>5.6845616815309299</v>
      </c>
      <c r="AI4701">
        <v>100.048832770095</v>
      </c>
      <c r="AJ4701">
        <v>115.56145500292401</v>
      </c>
      <c r="AK4701">
        <v>6.3994875281122896</v>
      </c>
      <c r="AL4701">
        <v>88.311751570535506</v>
      </c>
      <c r="AM4701">
        <v>104.882533802743</v>
      </c>
      <c r="AN4701">
        <v>0.99999999529200601</v>
      </c>
    </row>
    <row r="4702" spans="1:40" x14ac:dyDescent="0.25">
      <c r="A4702" t="str">
        <f>"20190312151409962"</f>
        <v>20190312151409962</v>
      </c>
      <c r="B4702" t="str">
        <f>"1552374849954714"</f>
        <v>1552374849954714</v>
      </c>
      <c r="C4702" t="s">
        <v>40</v>
      </c>
      <c r="D4702">
        <v>4.7477169999999997</v>
      </c>
      <c r="E4702">
        <v>0.43464180000000002</v>
      </c>
      <c r="F4702" t="s">
        <v>59</v>
      </c>
      <c r="G4702">
        <v>-409.49939999999998</v>
      </c>
      <c r="H4702" s="1">
        <v>-2.4064170000000002E-6</v>
      </c>
      <c r="I4702">
        <v>25.291309999999999</v>
      </c>
      <c r="J4702">
        <v>-415.27199999999999</v>
      </c>
      <c r="K4702">
        <v>1.1166259999999999</v>
      </c>
      <c r="L4702">
        <v>28.34543</v>
      </c>
      <c r="M4702">
        <v>0.59737430000000002</v>
      </c>
      <c r="N4702">
        <v>0</v>
      </c>
      <c r="O4702">
        <v>-0.80186139999999995</v>
      </c>
      <c r="P4702">
        <v>0.78292519999999999</v>
      </c>
      <c r="Q4702">
        <v>2.124332E-2</v>
      </c>
      <c r="R4702">
        <v>-0.621753</v>
      </c>
      <c r="S4702">
        <v>2.6844480000000002</v>
      </c>
      <c r="T4702">
        <v>-0.50576469999999996</v>
      </c>
      <c r="U4702">
        <v>-1.4706729999999999</v>
      </c>
      <c r="V4702">
        <v>-0.25690629999999998</v>
      </c>
      <c r="W4702">
        <v>2.9416910000000001E-2</v>
      </c>
      <c r="X4702">
        <v>0.96598850000000003</v>
      </c>
      <c r="Y4702">
        <v>-0.40397470000000002</v>
      </c>
      <c r="Z4702">
        <v>0.1518168</v>
      </c>
      <c r="AA4702">
        <v>0.90208440000000001</v>
      </c>
      <c r="AB4702">
        <v>25</v>
      </c>
      <c r="AC4702">
        <v>5.7726000000000104</v>
      </c>
      <c r="AD4702">
        <v>-1.116628406417</v>
      </c>
      <c r="AE4702">
        <v>-3.0541200000000002</v>
      </c>
      <c r="AF4702">
        <v>-2.7249381960722201</v>
      </c>
      <c r="AG4702">
        <v>-1.116628406417</v>
      </c>
      <c r="AH4702">
        <v>5.7303398407497097</v>
      </c>
      <c r="AI4702">
        <v>99.98065562971</v>
      </c>
      <c r="AJ4702">
        <v>115.432405510903</v>
      </c>
      <c r="AK4702">
        <v>6.4427433489868298</v>
      </c>
      <c r="AL4702">
        <v>88.314292014787199</v>
      </c>
      <c r="AM4702">
        <v>104.893166342052</v>
      </c>
      <c r="AN4702">
        <v>0.99999999185294397</v>
      </c>
    </row>
    <row r="4703" spans="1:40" x14ac:dyDescent="0.25">
      <c r="A4703" t="str">
        <f>"20190312151409987"</f>
        <v>20190312151409987</v>
      </c>
      <c r="B4703" t="str">
        <f>"1552374849975218"</f>
        <v>1552374849975218</v>
      </c>
      <c r="C4703" t="s">
        <v>40</v>
      </c>
      <c r="D4703">
        <v>4.7639529999999999</v>
      </c>
      <c r="E4703">
        <v>0.43521789999999999</v>
      </c>
      <c r="F4703" t="s">
        <v>59</v>
      </c>
      <c r="G4703">
        <v>-409.30610000000001</v>
      </c>
      <c r="H4703" s="1">
        <v>-2.4866769999999998E-6</v>
      </c>
      <c r="I4703">
        <v>25.13768</v>
      </c>
      <c r="J4703">
        <v>-415.10050000000001</v>
      </c>
      <c r="K4703">
        <v>1.1166229999999999</v>
      </c>
      <c r="L4703">
        <v>28.13522</v>
      </c>
      <c r="M4703">
        <v>0.60598090000000004</v>
      </c>
      <c r="N4703">
        <v>0</v>
      </c>
      <c r="O4703">
        <v>-0.795377</v>
      </c>
      <c r="P4703">
        <v>0.78947279999999997</v>
      </c>
      <c r="Q4703">
        <v>2.136969E-2</v>
      </c>
      <c r="R4703">
        <v>-0.61341349999999994</v>
      </c>
      <c r="S4703">
        <v>2.6948240000000001</v>
      </c>
      <c r="T4703">
        <v>-0.50438309999999997</v>
      </c>
      <c r="U4703">
        <v>-1.448944</v>
      </c>
      <c r="V4703">
        <v>-0.25674160000000001</v>
      </c>
      <c r="W4703">
        <v>2.9559419999999999E-2</v>
      </c>
      <c r="X4703">
        <v>0.96602790000000005</v>
      </c>
      <c r="Y4703">
        <v>-0.40137279999999997</v>
      </c>
      <c r="Z4703">
        <v>0.1505725</v>
      </c>
      <c r="AA4703">
        <v>0.90345330000000001</v>
      </c>
      <c r="AB4703">
        <v>25</v>
      </c>
      <c r="AC4703">
        <v>5.7943999999999898</v>
      </c>
      <c r="AD4703">
        <v>-1.116625486677</v>
      </c>
      <c r="AE4703">
        <v>-2.9975399999999999</v>
      </c>
      <c r="AF4703">
        <v>-2.7130263441865798</v>
      </c>
      <c r="AG4703">
        <v>-1.116625486677</v>
      </c>
      <c r="AH4703">
        <v>5.72813715564231</v>
      </c>
      <c r="AI4703">
        <v>99.991580780841403</v>
      </c>
      <c r="AJ4703">
        <v>115.343710489751</v>
      </c>
      <c r="AK4703">
        <v>6.4357532345170796</v>
      </c>
      <c r="AL4703">
        <v>88.306123180118902</v>
      </c>
      <c r="AM4703">
        <v>104.883462287733</v>
      </c>
      <c r="AN4703">
        <v>0.99999995602985203</v>
      </c>
    </row>
    <row r="4704" spans="1:40" x14ac:dyDescent="0.25">
      <c r="A4704" t="str">
        <f>"20190312151410007"</f>
        <v>20190312151410007</v>
      </c>
      <c r="B4704" t="str">
        <f>"1552374849994729"</f>
        <v>1552374849994729</v>
      </c>
      <c r="C4704" t="s">
        <v>40</v>
      </c>
      <c r="D4704">
        <v>4.7637049999999999</v>
      </c>
      <c r="E4704">
        <v>0.43558079999999999</v>
      </c>
      <c r="F4704" t="s">
        <v>59</v>
      </c>
      <c r="G4704">
        <v>-409.10390000000001</v>
      </c>
      <c r="H4704" s="1">
        <v>-2.5711849999999998E-6</v>
      </c>
      <c r="I4704">
        <v>24.979610000000001</v>
      </c>
      <c r="J4704">
        <v>-414.95769999999999</v>
      </c>
      <c r="K4704">
        <v>1.116617</v>
      </c>
      <c r="L4704">
        <v>27.963840000000001</v>
      </c>
      <c r="M4704">
        <v>0.61300129999999997</v>
      </c>
      <c r="N4704">
        <v>0</v>
      </c>
      <c r="O4704">
        <v>-0.78997890000000004</v>
      </c>
      <c r="P4704">
        <v>0.79475669999999898</v>
      </c>
      <c r="Q4704">
        <v>2.0771089999999999E-2</v>
      </c>
      <c r="R4704">
        <v>-0.60657269999999996</v>
      </c>
      <c r="S4704">
        <v>2.7068479999999999</v>
      </c>
      <c r="T4704">
        <v>-0.50404329999999997</v>
      </c>
      <c r="U4704">
        <v>-1.4244380000000001</v>
      </c>
      <c r="V4704">
        <v>-0.25653140000000002</v>
      </c>
      <c r="W4704">
        <v>2.8974590000000001E-2</v>
      </c>
      <c r="X4704">
        <v>0.96610149999999995</v>
      </c>
      <c r="Y4704">
        <v>-0.40140520000000002</v>
      </c>
      <c r="Z4704">
        <v>0.14988750000000001</v>
      </c>
      <c r="AA4704">
        <v>0.90355280000000004</v>
      </c>
      <c r="AB4704">
        <v>25</v>
      </c>
      <c r="AC4704">
        <v>5.8537999999999704</v>
      </c>
      <c r="AD4704">
        <v>-1.116619571185</v>
      </c>
      <c r="AE4704">
        <v>-2.9842299999999899</v>
      </c>
      <c r="AF4704">
        <v>-2.7168067890663199</v>
      </c>
      <c r="AG4704">
        <v>-1.116619571185</v>
      </c>
      <c r="AH4704">
        <v>5.7794375325441498</v>
      </c>
      <c r="AI4704">
        <v>99.917914097012002</v>
      </c>
      <c r="AJ4704">
        <v>115.17735014072299</v>
      </c>
      <c r="AK4704">
        <v>6.48303760504675</v>
      </c>
      <c r="AL4704">
        <v>88.339645901260099</v>
      </c>
      <c r="AM4704">
        <v>104.87073428481899</v>
      </c>
      <c r="AN4704">
        <v>0.99999999717693899</v>
      </c>
    </row>
    <row r="4705" spans="1:40" x14ac:dyDescent="0.25">
      <c r="A4705" t="str">
        <f>"20190312151410019"</f>
        <v>20190312151410019</v>
      </c>
      <c r="B4705" t="str">
        <f>"1552374850015226"</f>
        <v>1552374850015226</v>
      </c>
      <c r="C4705" t="s">
        <v>40</v>
      </c>
      <c r="D4705">
        <v>4.765015</v>
      </c>
      <c r="E4705">
        <v>0.436141</v>
      </c>
      <c r="F4705" t="s">
        <v>59</v>
      </c>
      <c r="G4705">
        <v>-408.94670000000002</v>
      </c>
      <c r="H4705" s="1">
        <v>-2.6377190000000001E-6</v>
      </c>
      <c r="I4705">
        <v>24.86016</v>
      </c>
      <c r="J4705">
        <v>-414.86750000000001</v>
      </c>
      <c r="K4705">
        <v>1.1166130000000001</v>
      </c>
      <c r="L4705">
        <v>27.85727</v>
      </c>
      <c r="M4705">
        <v>0.6173708</v>
      </c>
      <c r="N4705">
        <v>0</v>
      </c>
      <c r="O4705">
        <v>-0.78656899999999996</v>
      </c>
      <c r="P4705">
        <v>0.79824069999999903</v>
      </c>
      <c r="Q4705">
        <v>2.0580399999999999E-2</v>
      </c>
      <c r="R4705">
        <v>-0.60198739999999995</v>
      </c>
      <c r="S4705">
        <v>2.7171630000000002</v>
      </c>
      <c r="T4705">
        <v>-0.50474449999999904</v>
      </c>
      <c r="U4705">
        <v>-1.402954</v>
      </c>
      <c r="V4705">
        <v>-0.2567392</v>
      </c>
      <c r="W4705">
        <v>2.878489E-2</v>
      </c>
      <c r="X4705">
        <v>0.96605200000000002</v>
      </c>
      <c r="Y4705">
        <v>-0.40335939999999998</v>
      </c>
      <c r="Z4705">
        <v>0.14984239999999999</v>
      </c>
      <c r="AA4705">
        <v>0.90268959999999998</v>
      </c>
      <c r="AB4705">
        <v>25</v>
      </c>
      <c r="AC4705">
        <v>5.9207999999999803</v>
      </c>
      <c r="AD4705">
        <v>-1.116615637719</v>
      </c>
      <c r="AE4705">
        <v>-2.9971099999999899</v>
      </c>
      <c r="AF4705">
        <v>-2.7297327272236198</v>
      </c>
      <c r="AG4705">
        <v>-1.116615637719</v>
      </c>
      <c r="AH4705">
        <v>5.8476901501101501</v>
      </c>
      <c r="AI4705">
        <v>99.816487498596203</v>
      </c>
      <c r="AJ4705">
        <v>115.02341553212</v>
      </c>
      <c r="AK4705">
        <v>6.54933212901663</v>
      </c>
      <c r="AL4705">
        <v>88.350519494830806</v>
      </c>
      <c r="AM4705">
        <v>104.882974518117</v>
      </c>
      <c r="AN4705">
        <v>1.0000000267064699</v>
      </c>
    </row>
    <row r="4706" spans="1:40" x14ac:dyDescent="0.25">
      <c r="A4706" t="str">
        <f>"20190312151410033"</f>
        <v>20190312151410033</v>
      </c>
      <c r="B4706" t="str">
        <f>"1552374850024986"</f>
        <v>1552374850024986</v>
      </c>
      <c r="C4706" t="s">
        <v>40</v>
      </c>
      <c r="D4706">
        <v>4.7676379999999998</v>
      </c>
      <c r="E4706">
        <v>0.436141</v>
      </c>
      <c r="F4706" t="s">
        <v>59</v>
      </c>
      <c r="G4706">
        <v>-408.8689</v>
      </c>
      <c r="H4706" s="1">
        <v>-2.6688499999999999E-6</v>
      </c>
      <c r="I4706">
        <v>24.793089999999999</v>
      </c>
      <c r="J4706">
        <v>-414.77170000000001</v>
      </c>
      <c r="K4706">
        <v>1.116609</v>
      </c>
      <c r="L4706">
        <v>27.7453</v>
      </c>
      <c r="M4706">
        <v>0.62196059999999997</v>
      </c>
      <c r="N4706">
        <v>0</v>
      </c>
      <c r="O4706">
        <v>-0.78294469999999905</v>
      </c>
      <c r="P4706">
        <v>0.8018014</v>
      </c>
      <c r="Q4706">
        <v>2.0755240000000001E-2</v>
      </c>
      <c r="R4706">
        <v>-0.59723040000000005</v>
      </c>
      <c r="S4706">
        <v>2.722534</v>
      </c>
      <c r="T4706">
        <v>-0.50679059999999998</v>
      </c>
      <c r="U4706">
        <v>-1.390717</v>
      </c>
      <c r="V4706">
        <v>-0.25683230000000001</v>
      </c>
      <c r="W4706">
        <v>2.8962680000000001E-2</v>
      </c>
      <c r="X4706">
        <v>0.96602189999999999</v>
      </c>
      <c r="Y4706">
        <v>-0.40190409999999999</v>
      </c>
      <c r="Z4706">
        <v>0.14996219999999999</v>
      </c>
      <c r="AA4706">
        <v>0.90331859999999997</v>
      </c>
      <c r="AB4706">
        <v>25</v>
      </c>
      <c r="AC4706">
        <v>5.9028000000000098</v>
      </c>
      <c r="AD4706">
        <v>-1.1166116688500001</v>
      </c>
      <c r="AE4706">
        <v>-2.95221</v>
      </c>
      <c r="AF4706">
        <v>-2.7081169944591599</v>
      </c>
      <c r="AG4706">
        <v>-1.1166116688500001</v>
      </c>
      <c r="AH4706">
        <v>5.81671496908832</v>
      </c>
      <c r="AI4706">
        <v>99.872261829357299</v>
      </c>
      <c r="AJ4706">
        <v>114.965509049838</v>
      </c>
      <c r="AK4706">
        <v>6.5126716719259496</v>
      </c>
      <c r="AL4706">
        <v>88.340328567289006</v>
      </c>
      <c r="AM4706">
        <v>104.888575110847</v>
      </c>
      <c r="AN4706">
        <v>0.99999998921784095</v>
      </c>
    </row>
    <row r="4707" spans="1:40" x14ac:dyDescent="0.25">
      <c r="A4707" t="str">
        <f>"20190312151410052"</f>
        <v>20190312151410052</v>
      </c>
      <c r="B4707" t="str">
        <f>"1552374850045482"</f>
        <v>1552374850045482</v>
      </c>
      <c r="C4707" t="s">
        <v>40</v>
      </c>
      <c r="D4707">
        <v>4.7533029999999998</v>
      </c>
      <c r="E4707">
        <v>0.43732349999999998</v>
      </c>
      <c r="F4707" t="s">
        <v>59</v>
      </c>
      <c r="G4707">
        <v>-408.7482</v>
      </c>
      <c r="H4707" s="1">
        <v>-2.7226130000000001E-6</v>
      </c>
      <c r="I4707">
        <v>24.713629999999998</v>
      </c>
      <c r="J4707">
        <v>-414.63260000000002</v>
      </c>
      <c r="K4707">
        <v>1.1166100000000001</v>
      </c>
      <c r="L4707">
        <v>27.584900000000001</v>
      </c>
      <c r="M4707">
        <v>0.6285345</v>
      </c>
      <c r="N4707">
        <v>0</v>
      </c>
      <c r="O4707">
        <v>-0.7776769</v>
      </c>
      <c r="P4707">
        <v>0.80728659999999997</v>
      </c>
      <c r="Q4707">
        <v>2.0573379999999999E-2</v>
      </c>
      <c r="R4707">
        <v>-0.58980089999999996</v>
      </c>
      <c r="S4707">
        <v>2.730896</v>
      </c>
      <c r="T4707">
        <v>-0.50624219999999998</v>
      </c>
      <c r="U4707">
        <v>-1.3744809999999901</v>
      </c>
      <c r="V4707">
        <v>-0.25761489999999998</v>
      </c>
      <c r="W4707">
        <v>2.8772019999999999E-2</v>
      </c>
      <c r="X4707">
        <v>0.96581919999999999</v>
      </c>
      <c r="Y4707">
        <v>-0.39970689999999998</v>
      </c>
      <c r="Z4707">
        <v>0.14903910000000001</v>
      </c>
      <c r="AA4707">
        <v>0.90444559999999996</v>
      </c>
      <c r="AB4707">
        <v>25</v>
      </c>
      <c r="AC4707">
        <v>5.8844000000000198</v>
      </c>
      <c r="AD4707">
        <v>-1.116612722613</v>
      </c>
      <c r="AE4707">
        <v>-2.87127</v>
      </c>
      <c r="AF4707">
        <v>-2.6933629553676899</v>
      </c>
      <c r="AG4707">
        <v>-1.116612722613</v>
      </c>
      <c r="AH4707">
        <v>5.7643055816344697</v>
      </c>
      <c r="AI4707">
        <v>99.953985107059594</v>
      </c>
      <c r="AJ4707">
        <v>115.04426083608401</v>
      </c>
      <c r="AK4707">
        <v>6.4597404607391598</v>
      </c>
      <c r="AL4707">
        <v>88.351257147161206</v>
      </c>
      <c r="AM4707">
        <v>104.93491265414301</v>
      </c>
      <c r="AN4707">
        <v>0.99999999646276505</v>
      </c>
    </row>
    <row r="4708" spans="1:40" x14ac:dyDescent="0.25">
      <c r="A4708" t="str">
        <f>"20190312151410075"</f>
        <v>20190312151410075</v>
      </c>
      <c r="B4708" t="str">
        <f>"1552374850065002"</f>
        <v>1552374850065002</v>
      </c>
      <c r="C4708" t="s">
        <v>40</v>
      </c>
      <c r="D4708">
        <v>4.7842900000000004</v>
      </c>
      <c r="E4708">
        <v>0.43828089999999997</v>
      </c>
      <c r="F4708" t="s">
        <v>59</v>
      </c>
      <c r="G4708">
        <v>-408.65159999999997</v>
      </c>
      <c r="H4708" s="1">
        <v>-2.7588799999999998E-6</v>
      </c>
      <c r="I4708">
        <v>24.619589999999999</v>
      </c>
      <c r="J4708">
        <v>-414.4631</v>
      </c>
      <c r="K4708">
        <v>1.116601</v>
      </c>
      <c r="L4708">
        <v>27.393219999999999</v>
      </c>
      <c r="M4708">
        <v>0.63639619999999997</v>
      </c>
      <c r="N4708">
        <v>0</v>
      </c>
      <c r="O4708">
        <v>-0.77125650000000001</v>
      </c>
      <c r="P4708">
        <v>0.8134998</v>
      </c>
      <c r="Q4708">
        <v>2.0449209999999999E-2</v>
      </c>
      <c r="R4708">
        <v>-0.58120569999999905</v>
      </c>
      <c r="S4708">
        <v>2.7375790000000002</v>
      </c>
      <c r="T4708">
        <v>-0.51109079999999996</v>
      </c>
      <c r="U4708">
        <v>-1.3572690000000001</v>
      </c>
      <c r="V4708">
        <v>-0.25805460000000002</v>
      </c>
      <c r="W4708">
        <v>2.8646189999999998E-2</v>
      </c>
      <c r="X4708">
        <v>0.96570560000000005</v>
      </c>
      <c r="Y4708">
        <v>-0.3957157</v>
      </c>
      <c r="Z4708">
        <v>0.14949970000000001</v>
      </c>
      <c r="AA4708">
        <v>0.90612300000000001</v>
      </c>
      <c r="AB4708">
        <v>25</v>
      </c>
      <c r="AC4708">
        <v>5.8115000000000201</v>
      </c>
      <c r="AD4708">
        <v>-1.11660375888</v>
      </c>
      <c r="AE4708">
        <v>-2.7736299999999998</v>
      </c>
      <c r="AF4708">
        <v>-2.6379347820212402</v>
      </c>
      <c r="AG4708">
        <v>-1.11660375888</v>
      </c>
      <c r="AH4708">
        <v>5.6676598490232299</v>
      </c>
      <c r="AI4708">
        <v>100.127044030875</v>
      </c>
      <c r="AJ4708">
        <v>114.958979376326</v>
      </c>
      <c r="AK4708">
        <v>6.3504229806188901</v>
      </c>
      <c r="AL4708">
        <v>88.358469725007893</v>
      </c>
      <c r="AM4708">
        <v>104.960942711334</v>
      </c>
      <c r="AN4708">
        <v>1.00000004332701</v>
      </c>
    </row>
    <row r="4709" spans="1:40" x14ac:dyDescent="0.25">
      <c r="A4709" t="str">
        <f>"20190312151410097"</f>
        <v>20190312151410097</v>
      </c>
      <c r="B4709" t="str">
        <f>"1552374850085498"</f>
        <v>1552374850085498</v>
      </c>
      <c r="C4709" t="s">
        <v>40</v>
      </c>
      <c r="D4709">
        <v>4.806</v>
      </c>
      <c r="E4709">
        <v>0.43898019999999999</v>
      </c>
      <c r="F4709" t="s">
        <v>59</v>
      </c>
      <c r="G4709">
        <v>-408.51280000000003</v>
      </c>
      <c r="H4709" s="1">
        <v>-2.8156479999999998E-6</v>
      </c>
      <c r="I4709">
        <v>24.505289999999999</v>
      </c>
      <c r="J4709">
        <v>-414.30599999999998</v>
      </c>
      <c r="K4709">
        <v>1.1165940000000001</v>
      </c>
      <c r="L4709">
        <v>27.218869999999999</v>
      </c>
      <c r="M4709">
        <v>0.64354869999999897</v>
      </c>
      <c r="N4709">
        <v>0</v>
      </c>
      <c r="O4709">
        <v>-0.76529879999999995</v>
      </c>
      <c r="P4709">
        <v>0.81901780000000002</v>
      </c>
      <c r="Q4709">
        <v>2.022382E-2</v>
      </c>
      <c r="R4709">
        <v>-0.57341180000000003</v>
      </c>
      <c r="S4709">
        <v>2.747925</v>
      </c>
      <c r="T4709">
        <v>-0.51566049999999997</v>
      </c>
      <c r="U4709">
        <v>-1.3336790000000001</v>
      </c>
      <c r="V4709">
        <v>-0.2582856</v>
      </c>
      <c r="W4709">
        <v>2.8421689999999999E-2</v>
      </c>
      <c r="X4709">
        <v>0.96565040000000002</v>
      </c>
      <c r="Y4709">
        <v>-0.39466420000000002</v>
      </c>
      <c r="Z4709">
        <v>0.15006069999999999</v>
      </c>
      <c r="AA4709">
        <v>0.90648879999999998</v>
      </c>
      <c r="AB4709">
        <v>25</v>
      </c>
      <c r="AC4709">
        <v>5.7931999999999499</v>
      </c>
      <c r="AD4709">
        <v>-1.116596815648</v>
      </c>
      <c r="AE4709">
        <v>-2.7135799999999999</v>
      </c>
      <c r="AF4709">
        <v>-2.6079738459620398</v>
      </c>
      <c r="AG4709">
        <v>-1.116596815648</v>
      </c>
      <c r="AH4709">
        <v>5.6337439869267403</v>
      </c>
      <c r="AI4709">
        <v>100.19626284975401</v>
      </c>
      <c r="AJ4709">
        <v>114.84037099839701</v>
      </c>
      <c r="AK4709">
        <v>6.30772441853403</v>
      </c>
      <c r="AL4709">
        <v>88.371337746016493</v>
      </c>
      <c r="AM4709">
        <v>104.974551375235</v>
      </c>
      <c r="AN4709">
        <v>0.99999996932498703</v>
      </c>
    </row>
    <row r="4710" spans="1:40" x14ac:dyDescent="0.25">
      <c r="A4710" t="str">
        <f>"20190312151410118"</f>
        <v>20190312151410118</v>
      </c>
      <c r="B4710" t="str">
        <f>"1552374850114778"</f>
        <v>1552374850114778</v>
      </c>
      <c r="C4710" t="s">
        <v>40</v>
      </c>
      <c r="D4710">
        <v>4.843051</v>
      </c>
      <c r="E4710">
        <v>0.4388746</v>
      </c>
      <c r="F4710" t="s">
        <v>59</v>
      </c>
      <c r="G4710">
        <v>-408.3759</v>
      </c>
      <c r="H4710" s="1">
        <v>-2.8727489999999999E-6</v>
      </c>
      <c r="I4710">
        <v>24.397690000000001</v>
      </c>
      <c r="J4710">
        <v>-414.14479999999998</v>
      </c>
      <c r="K4710">
        <v>1.1165989999999999</v>
      </c>
      <c r="L4710">
        <v>27.043399999999998</v>
      </c>
      <c r="M4710">
        <v>0.6507539</v>
      </c>
      <c r="N4710">
        <v>0</v>
      </c>
      <c r="O4710">
        <v>-0.7591812</v>
      </c>
      <c r="P4710">
        <v>0.82446929999999996</v>
      </c>
      <c r="Q4710">
        <v>2.0407189999999999E-2</v>
      </c>
      <c r="R4710">
        <v>-0.56553909999999996</v>
      </c>
      <c r="S4710">
        <v>2.7573240000000001</v>
      </c>
      <c r="T4710">
        <v>-0.51918540000000002</v>
      </c>
      <c r="U4710">
        <v>-1.311768</v>
      </c>
      <c r="V4710">
        <v>-0.25840859999999999</v>
      </c>
      <c r="W4710">
        <v>2.8607589999999999E-2</v>
      </c>
      <c r="X4710">
        <v>0.96561209999999997</v>
      </c>
      <c r="Y4710">
        <v>-0.3929743</v>
      </c>
      <c r="Z4710">
        <v>0.1502407</v>
      </c>
      <c r="AA4710">
        <v>0.90719289999999997</v>
      </c>
      <c r="AB4710">
        <v>25</v>
      </c>
      <c r="AC4710">
        <v>5.7688999999999702</v>
      </c>
      <c r="AD4710">
        <v>-1.1166018727489999</v>
      </c>
      <c r="AE4710">
        <v>-2.64570999999999</v>
      </c>
      <c r="AF4710">
        <v>-2.5783430270782302</v>
      </c>
      <c r="AG4710">
        <v>-1.1166018727489999</v>
      </c>
      <c r="AH4710">
        <v>5.5901443761496399</v>
      </c>
      <c r="AI4710">
        <v>100.280618240964</v>
      </c>
      <c r="AJ4710">
        <v>114.76057518570001</v>
      </c>
      <c r="AK4710">
        <v>6.2565459043874201</v>
      </c>
      <c r="AL4710">
        <v>88.360682281375801</v>
      </c>
      <c r="AM4710">
        <v>104.981929469505</v>
      </c>
      <c r="AN4710">
        <v>1.00000006321298</v>
      </c>
    </row>
    <row r="4711" spans="1:40" x14ac:dyDescent="0.25">
      <c r="A4711" t="str">
        <f>"20190312151410141"</f>
        <v>20190312151410141</v>
      </c>
      <c r="B4711" t="str">
        <f>"1552374850135273"</f>
        <v>1552374850135273</v>
      </c>
      <c r="C4711" t="s">
        <v>40</v>
      </c>
      <c r="D4711">
        <v>4.7731680000000001</v>
      </c>
      <c r="E4711">
        <v>0.43819809999999998</v>
      </c>
      <c r="F4711" t="s">
        <v>59</v>
      </c>
      <c r="G4711">
        <v>-408.1164</v>
      </c>
      <c r="H4711" s="1">
        <v>-2.9930500000000001E-6</v>
      </c>
      <c r="I4711">
        <v>24.247920000000001</v>
      </c>
      <c r="J4711">
        <v>-413.9735</v>
      </c>
      <c r="K4711">
        <v>1.1165969999999901</v>
      </c>
      <c r="L4711">
        <v>26.860410000000002</v>
      </c>
      <c r="M4711">
        <v>0.65827139999999995</v>
      </c>
      <c r="N4711">
        <v>0</v>
      </c>
      <c r="O4711">
        <v>-0.75267229999999996</v>
      </c>
      <c r="P4711">
        <v>0.82971919999999899</v>
      </c>
      <c r="Q4711">
        <v>2.0490350000000001E-2</v>
      </c>
      <c r="R4711">
        <v>-0.55780549999999995</v>
      </c>
      <c r="S4711">
        <v>2.7702330000000002</v>
      </c>
      <c r="T4711">
        <v>-0.5131116</v>
      </c>
      <c r="U4711">
        <v>-1.2846070000000001</v>
      </c>
      <c r="V4711">
        <v>-0.25783460000000002</v>
      </c>
      <c r="W4711">
        <v>2.8706249999999999E-2</v>
      </c>
      <c r="X4711">
        <v>0.96576260000000003</v>
      </c>
      <c r="Y4711">
        <v>-0.3931654</v>
      </c>
      <c r="Z4711">
        <v>0.14770730000000001</v>
      </c>
      <c r="AA4711">
        <v>0.9075261</v>
      </c>
      <c r="AB4711">
        <v>25</v>
      </c>
      <c r="AC4711">
        <v>5.8571</v>
      </c>
      <c r="AD4711">
        <v>-1.1165999930499999</v>
      </c>
      <c r="AE4711">
        <v>-2.61248999999999</v>
      </c>
      <c r="AF4711">
        <v>-2.6098563032379301</v>
      </c>
      <c r="AG4711">
        <v>-1.1165999930499999</v>
      </c>
      <c r="AH4711">
        <v>5.6510840249893501</v>
      </c>
      <c r="AI4711">
        <v>100.169781575142</v>
      </c>
      <c r="AJ4711">
        <v>114.78904470117099</v>
      </c>
      <c r="AK4711">
        <v>6.32399368481025</v>
      </c>
      <c r="AL4711">
        <v>88.355027159968301</v>
      </c>
      <c r="AM4711">
        <v>104.947916442604</v>
      </c>
      <c r="AN4711">
        <v>1.00000006465248</v>
      </c>
    </row>
    <row r="4712" spans="1:40" x14ac:dyDescent="0.25">
      <c r="A4712" t="str">
        <f>"20190312151410163"</f>
        <v>20190312151410163</v>
      </c>
      <c r="B4712" t="str">
        <f>"1552374850154794"</f>
        <v>1552374850154794</v>
      </c>
      <c r="C4712" t="s">
        <v>40</v>
      </c>
      <c r="D4712">
        <v>4.7889140000000001</v>
      </c>
      <c r="E4712">
        <v>0.43764500000000001</v>
      </c>
      <c r="F4712" t="s">
        <v>59</v>
      </c>
      <c r="G4712">
        <v>-407.84660000000002</v>
      </c>
      <c r="H4712" s="1">
        <v>-3.1200409999999998E-6</v>
      </c>
      <c r="I4712">
        <v>24.101089999999999</v>
      </c>
      <c r="J4712">
        <v>-413.80130000000003</v>
      </c>
      <c r="K4712">
        <v>1.116595</v>
      </c>
      <c r="L4712">
        <v>26.680019999999999</v>
      </c>
      <c r="M4712">
        <v>0.66568549999999904</v>
      </c>
      <c r="N4712">
        <v>0</v>
      </c>
      <c r="O4712">
        <v>-0.74612270000000003</v>
      </c>
      <c r="P4712">
        <v>0.83476939999999999</v>
      </c>
      <c r="Q4712">
        <v>2.0421060000000001E-2</v>
      </c>
      <c r="R4712">
        <v>-0.55022099999999996</v>
      </c>
      <c r="S4712">
        <v>2.7850039999999998</v>
      </c>
      <c r="T4712">
        <v>-0.50755870000000003</v>
      </c>
      <c r="U4712">
        <v>-1.2542719999999901</v>
      </c>
      <c r="V4712">
        <v>-0.25708009999999998</v>
      </c>
      <c r="W4712">
        <v>2.8655239999999998E-2</v>
      </c>
      <c r="X4712">
        <v>0.96596519999999997</v>
      </c>
      <c r="Y4712">
        <v>-0.39445950000000002</v>
      </c>
      <c r="Z4712">
        <v>0.14536470000000001</v>
      </c>
      <c r="AA4712">
        <v>0.90734269999999995</v>
      </c>
      <c r="AB4712">
        <v>25</v>
      </c>
      <c r="AC4712">
        <v>5.9546999999999999</v>
      </c>
      <c r="AD4712">
        <v>-1.116598120041</v>
      </c>
      <c r="AE4712">
        <v>-2.5789300000000002</v>
      </c>
      <c r="AF4712">
        <v>-2.6480005938162101</v>
      </c>
      <c r="AG4712">
        <v>-1.116598120041</v>
      </c>
      <c r="AH4712">
        <v>5.7192982955895504</v>
      </c>
      <c r="AI4712">
        <v>100.04660303418</v>
      </c>
      <c r="AJ4712">
        <v>114.843851843933</v>
      </c>
      <c r="AK4712">
        <v>6.4007086717381299</v>
      </c>
      <c r="AL4712">
        <v>88.357950970124804</v>
      </c>
      <c r="AM4712">
        <v>104.903137037032</v>
      </c>
      <c r="AN4712">
        <v>1.00000003410325</v>
      </c>
    </row>
    <row r="4713" spans="1:40" x14ac:dyDescent="0.25">
      <c r="A4713" t="str">
        <f>"20190312151410186"</f>
        <v>20190312151410186</v>
      </c>
      <c r="B4713" t="str">
        <f>"1552374850175293"</f>
        <v>1552374850175293</v>
      </c>
      <c r="C4713" t="s">
        <v>40</v>
      </c>
      <c r="D4713">
        <v>4.9102360000000003</v>
      </c>
      <c r="E4713">
        <v>0.43740709999999999</v>
      </c>
      <c r="F4713" t="s">
        <v>59</v>
      </c>
      <c r="G4713">
        <v>-407.61779999999999</v>
      </c>
      <c r="H4713" s="1">
        <v>-3.2270479999999998E-6</v>
      </c>
      <c r="I4713">
        <v>23.97297</v>
      </c>
      <c r="J4713">
        <v>-413.6302</v>
      </c>
      <c r="K4713">
        <v>1.116603</v>
      </c>
      <c r="L4713">
        <v>26.504300000000001</v>
      </c>
      <c r="M4713">
        <v>0.67291590000000001</v>
      </c>
      <c r="N4713">
        <v>0</v>
      </c>
      <c r="O4713">
        <v>-0.7396085</v>
      </c>
      <c r="P4713">
        <v>0.83981079999999997</v>
      </c>
      <c r="Q4713">
        <v>2.0544469999999999E-2</v>
      </c>
      <c r="R4713">
        <v>-0.54249049999999999</v>
      </c>
      <c r="S4713">
        <v>2.7986149999999999</v>
      </c>
      <c r="T4713">
        <v>-0.50536170000000002</v>
      </c>
      <c r="U4713">
        <v>-1.2251890000000001</v>
      </c>
      <c r="V4713">
        <v>-0.2565963</v>
      </c>
      <c r="W4713">
        <v>2.8791089999999998E-2</v>
      </c>
      <c r="X4713">
        <v>0.96608970000000005</v>
      </c>
      <c r="Y4713">
        <v>-0.39525529999999998</v>
      </c>
      <c r="Z4713">
        <v>0.14395459999999999</v>
      </c>
      <c r="AA4713">
        <v>0.90722119999999995</v>
      </c>
      <c r="AB4713">
        <v>25</v>
      </c>
      <c r="AC4713">
        <v>6.0124000000000102</v>
      </c>
      <c r="AD4713">
        <v>-1.1166062270479999</v>
      </c>
      <c r="AE4713">
        <v>-2.5313300000000001</v>
      </c>
      <c r="AF4713">
        <v>-2.6655788945496401</v>
      </c>
      <c r="AG4713">
        <v>-1.1166062270479999</v>
      </c>
      <c r="AH4713">
        <v>5.7500532236604398</v>
      </c>
      <c r="AI4713">
        <v>99.991856012468403</v>
      </c>
      <c r="AJ4713">
        <v>114.87124338344501</v>
      </c>
      <c r="AK4713">
        <v>6.4354667572973003</v>
      </c>
      <c r="AL4713">
        <v>88.3501639842261</v>
      </c>
      <c r="AM4713">
        <v>104.874503312267</v>
      </c>
      <c r="AN4713">
        <v>0.999999948241582</v>
      </c>
    </row>
    <row r="4714" spans="1:40" x14ac:dyDescent="0.25">
      <c r="A4714" t="str">
        <f>"20190312151410199"</f>
        <v>20190312151410199</v>
      </c>
      <c r="B4714" t="str">
        <f>"1552374850194810"</f>
        <v>1552374850194810</v>
      </c>
      <c r="C4714" t="s">
        <v>40</v>
      </c>
      <c r="D4714">
        <v>4.7886699999999998</v>
      </c>
      <c r="E4714">
        <v>0.43730740000000001</v>
      </c>
      <c r="F4714" t="s">
        <v>59</v>
      </c>
      <c r="G4714">
        <v>-407.3673</v>
      </c>
      <c r="H4714" s="1">
        <v>-3.34475E-6</v>
      </c>
      <c r="I4714">
        <v>23.835699999999999</v>
      </c>
      <c r="J4714">
        <v>-413.5224</v>
      </c>
      <c r="K4714">
        <v>1.1166020000000001</v>
      </c>
      <c r="L4714">
        <v>26.395659999999999</v>
      </c>
      <c r="M4714">
        <v>0.67739359999999904</v>
      </c>
      <c r="N4714">
        <v>0</v>
      </c>
      <c r="O4714">
        <v>-0.73550959999999999</v>
      </c>
      <c r="P4714">
        <v>0.842840699999999</v>
      </c>
      <c r="Q4714">
        <v>2.0755119999999998E-2</v>
      </c>
      <c r="R4714">
        <v>-0.53776299999999999</v>
      </c>
      <c r="S4714">
        <v>2.8108219999999999</v>
      </c>
      <c r="T4714">
        <v>-0.50114269999999905</v>
      </c>
      <c r="U4714">
        <v>-1.1976929999999999</v>
      </c>
      <c r="V4714">
        <v>-0.25615929999999998</v>
      </c>
      <c r="W4714">
        <v>2.901225E-2</v>
      </c>
      <c r="X4714">
        <v>0.96619909999999998</v>
      </c>
      <c r="Y4714">
        <v>-0.3988467</v>
      </c>
      <c r="Z4714">
        <v>0.1424781</v>
      </c>
      <c r="AA4714">
        <v>0.90588150000000001</v>
      </c>
      <c r="AB4714">
        <v>25</v>
      </c>
      <c r="AC4714">
        <v>6.1551</v>
      </c>
      <c r="AD4714">
        <v>-1.11660534475</v>
      </c>
      <c r="AE4714">
        <v>-2.55995999999999</v>
      </c>
      <c r="AF4714">
        <v>-2.7170317453675801</v>
      </c>
      <c r="AG4714">
        <v>-1.11660534475</v>
      </c>
      <c r="AH4714">
        <v>5.8876078688635403</v>
      </c>
      <c r="AI4714">
        <v>99.770582309121707</v>
      </c>
      <c r="AJ4714">
        <v>114.772527282927</v>
      </c>
      <c r="AK4714">
        <v>6.5797412881330999</v>
      </c>
      <c r="AL4714">
        <v>88.337487238119607</v>
      </c>
      <c r="AM4714">
        <v>104.848684155703</v>
      </c>
      <c r="AN4714">
        <v>0.99999999923368099</v>
      </c>
    </row>
    <row r="4715" spans="1:40" x14ac:dyDescent="0.25">
      <c r="A4715" t="str">
        <f>"20190312151410219"</f>
        <v>20190312151410219</v>
      </c>
      <c r="B4715" t="str">
        <f>"1552374850215307"</f>
        <v>1552374850215307</v>
      </c>
      <c r="C4715" t="s">
        <v>40</v>
      </c>
      <c r="D4715">
        <v>4.8237800000000002</v>
      </c>
      <c r="E4715">
        <v>0.43717159999999999</v>
      </c>
      <c r="F4715" t="s">
        <v>59</v>
      </c>
      <c r="G4715">
        <v>-407.19670000000002</v>
      </c>
      <c r="H4715" s="1">
        <v>-3.425312E-6</v>
      </c>
      <c r="I4715">
        <v>23.743690000000001</v>
      </c>
      <c r="J4715">
        <v>-413.3698</v>
      </c>
      <c r="K4715">
        <v>1.1166049999999901</v>
      </c>
      <c r="L4715">
        <v>26.2438</v>
      </c>
      <c r="M4715">
        <v>0.68365169999999997</v>
      </c>
      <c r="N4715">
        <v>0</v>
      </c>
      <c r="O4715">
        <v>-0.72969649999999997</v>
      </c>
      <c r="P4715">
        <v>0.84716340000000001</v>
      </c>
      <c r="Q4715">
        <v>2.0865439999999999E-2</v>
      </c>
      <c r="R4715">
        <v>-0.53092280000000003</v>
      </c>
      <c r="S4715">
        <v>2.8179020000000001</v>
      </c>
      <c r="T4715">
        <v>-0.49741049999999998</v>
      </c>
      <c r="U4715">
        <v>-1.1813659999999999</v>
      </c>
      <c r="V4715">
        <v>-0.25572669999999997</v>
      </c>
      <c r="W4715">
        <v>2.913379E-2</v>
      </c>
      <c r="X4715">
        <v>0.96631</v>
      </c>
      <c r="Y4715">
        <v>-0.39657510000000001</v>
      </c>
      <c r="Z4715">
        <v>0.1405652</v>
      </c>
      <c r="AA4715">
        <v>0.90717669999999995</v>
      </c>
      <c r="AB4715">
        <v>25</v>
      </c>
      <c r="AC4715">
        <v>6.1730999999999696</v>
      </c>
      <c r="AD4715">
        <v>-1.1166084253120001</v>
      </c>
      <c r="AE4715">
        <v>-2.5001099999999901</v>
      </c>
      <c r="AF4715">
        <v>-2.71908486163117</v>
      </c>
      <c r="AG4715">
        <v>-1.1166084253120001</v>
      </c>
      <c r="AH4715">
        <v>5.87979532445756</v>
      </c>
      <c r="AI4715">
        <v>99.779825746424507</v>
      </c>
      <c r="AJ4715">
        <v>114.817968691377</v>
      </c>
      <c r="AK4715">
        <v>6.5736009855894402</v>
      </c>
      <c r="AL4715">
        <v>88.330520514461298</v>
      </c>
      <c r="AM4715">
        <v>104.823086495572</v>
      </c>
      <c r="AN4715">
        <v>0.99999996945632597</v>
      </c>
    </row>
    <row r="4716" spans="1:40" x14ac:dyDescent="0.25">
      <c r="A4716" t="str">
        <f>"20190312151410241"</f>
        <v>20190312151410241</v>
      </c>
      <c r="B4716" t="str">
        <f>"1552374850234829"</f>
        <v>1552374850234829</v>
      </c>
      <c r="C4716" t="s">
        <v>40</v>
      </c>
      <c r="D4716">
        <v>4.7945489999999999</v>
      </c>
      <c r="E4716">
        <v>0.43714510000000001</v>
      </c>
      <c r="F4716" t="s">
        <v>59</v>
      </c>
      <c r="G4716">
        <v>-406.98840000000001</v>
      </c>
      <c r="H4716" s="1">
        <v>-3.5235269999999999E-6</v>
      </c>
      <c r="I4716">
        <v>23.6311</v>
      </c>
      <c r="J4716">
        <v>-413.19319999999999</v>
      </c>
      <c r="K4716">
        <v>1.116603</v>
      </c>
      <c r="L4716">
        <v>26.071079999999998</v>
      </c>
      <c r="M4716">
        <v>0.69077060000000001</v>
      </c>
      <c r="N4716">
        <v>0</v>
      </c>
      <c r="O4716">
        <v>-0.72296079999999996</v>
      </c>
      <c r="P4716">
        <v>0.85210649999999999</v>
      </c>
      <c r="Q4716">
        <v>2.0914459999999999E-2</v>
      </c>
      <c r="R4716">
        <v>-0.52295059999999904</v>
      </c>
      <c r="S4716">
        <v>2.8278810000000001</v>
      </c>
      <c r="T4716">
        <v>-0.49481890000000001</v>
      </c>
      <c r="U4716">
        <v>-1.1578059999999999</v>
      </c>
      <c r="V4716">
        <v>-0.2553221</v>
      </c>
      <c r="W4716">
        <v>2.9192889999999999E-2</v>
      </c>
      <c r="X4716">
        <v>0.96641520000000003</v>
      </c>
      <c r="Y4716">
        <v>-0.39540750000000002</v>
      </c>
      <c r="Z4716">
        <v>0.1389271</v>
      </c>
      <c r="AA4716">
        <v>0.90793840000000003</v>
      </c>
      <c r="AB4716">
        <v>25</v>
      </c>
      <c r="AC4716">
        <v>6.2047999999999703</v>
      </c>
      <c r="AD4716">
        <v>-1.116606523527</v>
      </c>
      <c r="AE4716">
        <v>-2.43997999999999</v>
      </c>
      <c r="AF4716">
        <v>-2.7241825765751</v>
      </c>
      <c r="AG4716">
        <v>-1.116606523527</v>
      </c>
      <c r="AH4716">
        <v>5.8855224940359498</v>
      </c>
      <c r="AI4716">
        <v>99.768956772136207</v>
      </c>
      <c r="AJ4716">
        <v>114.837608075543</v>
      </c>
      <c r="AK4716">
        <v>6.5808324600084998</v>
      </c>
      <c r="AL4716">
        <v>88.327132892437504</v>
      </c>
      <c r="AM4716">
        <v>104.799123841249</v>
      </c>
      <c r="AN4716">
        <v>0.99999996918300005</v>
      </c>
    </row>
    <row r="4717" spans="1:40" x14ac:dyDescent="0.25">
      <c r="A4717" t="str">
        <f>"20190312151410254"</f>
        <v>20190312151410254</v>
      </c>
      <c r="B4717" t="str">
        <f>"1552374850244586"</f>
        <v>1552374850244586</v>
      </c>
      <c r="C4717" t="s">
        <v>40</v>
      </c>
      <c r="D4717">
        <v>4.8054839999999999</v>
      </c>
      <c r="E4717">
        <v>0.43712329999999999</v>
      </c>
      <c r="F4717" t="s">
        <v>59</v>
      </c>
      <c r="G4717">
        <v>-406.76850000000002</v>
      </c>
      <c r="H4717" s="1">
        <v>-3.6150530000000001E-6</v>
      </c>
      <c r="I4717">
        <v>23.511970000000002</v>
      </c>
      <c r="J4717">
        <v>-413.09300000000002</v>
      </c>
      <c r="K4717">
        <v>1.116603</v>
      </c>
      <c r="L4717">
        <v>25.974789999999999</v>
      </c>
      <c r="M4717">
        <v>0.69474569999999902</v>
      </c>
      <c r="N4717">
        <v>0</v>
      </c>
      <c r="O4717">
        <v>-0.71914180000000005</v>
      </c>
      <c r="P4717">
        <v>0.85483169999999897</v>
      </c>
      <c r="Q4717">
        <v>2.0653649999999999E-2</v>
      </c>
      <c r="R4717">
        <v>-0.51849429999999996</v>
      </c>
      <c r="S4717">
        <v>2.8388369999999998</v>
      </c>
      <c r="T4717">
        <v>-0.49338569999999998</v>
      </c>
      <c r="U4717">
        <v>-1.130768</v>
      </c>
      <c r="V4717">
        <v>-0.25504110000000002</v>
      </c>
      <c r="W4717">
        <v>2.8938849999999999E-2</v>
      </c>
      <c r="X4717">
        <v>0.9664971</v>
      </c>
      <c r="Y4717">
        <v>-0.39910099999999998</v>
      </c>
      <c r="Z4717">
        <v>0.13829149999999901</v>
      </c>
      <c r="AA4717">
        <v>0.9064181</v>
      </c>
      <c r="AB4717">
        <v>25</v>
      </c>
      <c r="AC4717">
        <v>6.3244999999999996</v>
      </c>
      <c r="AD4717">
        <v>-1.1166066150530001</v>
      </c>
      <c r="AE4717">
        <v>-2.46281999999999</v>
      </c>
      <c r="AF4717">
        <v>-2.7626358958772901</v>
      </c>
      <c r="AG4717">
        <v>-1.1166066150530001</v>
      </c>
      <c r="AH4717">
        <v>6.0030584831087301</v>
      </c>
      <c r="AI4717">
        <v>99.590778755753703</v>
      </c>
      <c r="AJ4717">
        <v>114.71211092576701</v>
      </c>
      <c r="AK4717">
        <v>6.7019160377905003</v>
      </c>
      <c r="AL4717">
        <v>88.341694569271198</v>
      </c>
      <c r="AM4717">
        <v>104.782352171534</v>
      </c>
      <c r="AN4717">
        <v>1.0000000320184701</v>
      </c>
    </row>
    <row r="4718" spans="1:40" x14ac:dyDescent="0.25">
      <c r="A4718" t="str">
        <f>"20190312151410275"</f>
        <v>20190312151410275</v>
      </c>
      <c r="B4718" t="str">
        <f>"1552374850265082"</f>
        <v>1552374850265082</v>
      </c>
      <c r="C4718" t="s">
        <v>40</v>
      </c>
      <c r="D4718">
        <v>4.8079130000000001</v>
      </c>
      <c r="E4718">
        <v>0.43718059999999997</v>
      </c>
      <c r="F4718" t="s">
        <v>59</v>
      </c>
      <c r="G4718">
        <v>-406.66149999999999</v>
      </c>
      <c r="H4718" s="1">
        <v>-3.6582660000000001E-6</v>
      </c>
      <c r="I4718">
        <v>23.45213</v>
      </c>
      <c r="J4718">
        <v>-412.92840000000001</v>
      </c>
      <c r="K4718">
        <v>1.116601</v>
      </c>
      <c r="L4718">
        <v>25.818570000000001</v>
      </c>
      <c r="M4718">
        <v>0.70119430000000005</v>
      </c>
      <c r="N4718">
        <v>0</v>
      </c>
      <c r="O4718">
        <v>-0.71285549999999998</v>
      </c>
      <c r="P4718">
        <v>0.85950309999999897</v>
      </c>
      <c r="Q4718">
        <v>2.0577020000000001E-2</v>
      </c>
      <c r="R4718">
        <v>-0.51071619999999995</v>
      </c>
      <c r="S4718">
        <v>2.8446349999999998</v>
      </c>
      <c r="T4718">
        <v>-0.49386669999999999</v>
      </c>
      <c r="U4718">
        <v>-1.115753</v>
      </c>
      <c r="V4718">
        <v>-0.25510660000000002</v>
      </c>
      <c r="W4718">
        <v>2.8862579999999999E-2</v>
      </c>
      <c r="X4718">
        <v>0.96648199999999995</v>
      </c>
      <c r="Y4718">
        <v>-0.39571139999999999</v>
      </c>
      <c r="Z4718">
        <v>0.13742770000000001</v>
      </c>
      <c r="AA4718">
        <v>0.90803420000000001</v>
      </c>
      <c r="AB4718">
        <v>25</v>
      </c>
      <c r="AC4718">
        <v>6.2669000000000201</v>
      </c>
      <c r="AD4718">
        <v>-1.1166046582660001</v>
      </c>
      <c r="AE4718">
        <v>-2.3664399999999999</v>
      </c>
      <c r="AF4718">
        <v>-2.7323718827671302</v>
      </c>
      <c r="AG4718">
        <v>-1.1166046582660001</v>
      </c>
      <c r="AH4718">
        <v>5.9173314115692</v>
      </c>
      <c r="AI4718">
        <v>99.721441050479001</v>
      </c>
      <c r="AJ4718">
        <v>114.78548358028</v>
      </c>
      <c r="AK4718">
        <v>6.6126751850473697</v>
      </c>
      <c r="AL4718">
        <v>88.346066193977407</v>
      </c>
      <c r="AM4718">
        <v>104.786203182576</v>
      </c>
      <c r="AN4718">
        <v>0.99999994110590595</v>
      </c>
    </row>
    <row r="4719" spans="1:40" x14ac:dyDescent="0.25">
      <c r="A4719" t="str">
        <f>"20190312151410299"</f>
        <v>20190312151410299</v>
      </c>
      <c r="B4719" t="str">
        <f>"1552374850295338"</f>
        <v>1552374850295338</v>
      </c>
      <c r="C4719" t="s">
        <v>40</v>
      </c>
      <c r="D4719">
        <v>4.8579359999999996</v>
      </c>
      <c r="E4719">
        <v>0.4373958</v>
      </c>
      <c r="F4719" t="s">
        <v>59</v>
      </c>
      <c r="G4719">
        <v>-406.46589999999998</v>
      </c>
      <c r="H4719" s="1">
        <v>-3.7385220000000001E-6</v>
      </c>
      <c r="I4719">
        <v>23.350090000000002</v>
      </c>
      <c r="J4719">
        <v>-412.73759999999999</v>
      </c>
      <c r="K4719">
        <v>1.116601</v>
      </c>
      <c r="L4719">
        <v>25.641079999999999</v>
      </c>
      <c r="M4719">
        <v>0.70852789999999999</v>
      </c>
      <c r="N4719">
        <v>0</v>
      </c>
      <c r="O4719">
        <v>-0.7055669</v>
      </c>
      <c r="P4719">
        <v>0.86465319999999901</v>
      </c>
      <c r="Q4719">
        <v>2.0531489999999999E-2</v>
      </c>
      <c r="R4719">
        <v>-0.50194970000000005</v>
      </c>
      <c r="S4719">
        <v>2.8543400000000001</v>
      </c>
      <c r="T4719">
        <v>-0.49317820000000001</v>
      </c>
      <c r="U4719">
        <v>-1.090271</v>
      </c>
      <c r="V4719">
        <v>-0.25494050000000001</v>
      </c>
      <c r="W4719">
        <v>2.8822070000000002E-2</v>
      </c>
      <c r="X4719">
        <v>0.96652709999999997</v>
      </c>
      <c r="Y4719">
        <v>-0.3944667</v>
      </c>
      <c r="Z4719">
        <v>0.13625079999999901</v>
      </c>
      <c r="AA4719">
        <v>0.90875289999999997</v>
      </c>
      <c r="AB4719">
        <v>25</v>
      </c>
      <c r="AC4719">
        <v>6.2717000000000098</v>
      </c>
      <c r="AD4719">
        <v>-1.1166047385219999</v>
      </c>
      <c r="AE4719">
        <v>-2.2909899999999999</v>
      </c>
      <c r="AF4719">
        <v>-2.72587093657636</v>
      </c>
      <c r="AG4719">
        <v>-1.1166047385219999</v>
      </c>
      <c r="AH4719">
        <v>5.8957363870872204</v>
      </c>
      <c r="AI4719">
        <v>99.754221895342297</v>
      </c>
      <c r="AJ4719">
        <v>114.813278597498</v>
      </c>
      <c r="AK4719">
        <v>6.5906665862404097</v>
      </c>
      <c r="AL4719">
        <v>88.348388313833297</v>
      </c>
      <c r="AM4719">
        <v>104.776337925787</v>
      </c>
      <c r="AN4719">
        <v>1.0000000026468701</v>
      </c>
    </row>
    <row r="4720" spans="1:40" x14ac:dyDescent="0.25">
      <c r="A4720" t="str">
        <f>"20190312151410319"</f>
        <v>20190312151410319</v>
      </c>
      <c r="B4720" t="str">
        <f>"1552374850314858"</f>
        <v>1552374850314858</v>
      </c>
      <c r="C4720" t="s">
        <v>40</v>
      </c>
      <c r="D4720">
        <v>4.847156</v>
      </c>
      <c r="E4720">
        <v>0.43763099999999999</v>
      </c>
      <c r="F4720" t="s">
        <v>59</v>
      </c>
      <c r="G4720">
        <v>-406.23289999999997</v>
      </c>
      <c r="H4720" s="1">
        <v>-3.8338709999999997E-6</v>
      </c>
      <c r="I4720">
        <v>23.227080000000001</v>
      </c>
      <c r="J4720">
        <v>-412.56729999999999</v>
      </c>
      <c r="K4720">
        <v>1.116603</v>
      </c>
      <c r="L4720">
        <v>25.485600000000002</v>
      </c>
      <c r="M4720">
        <v>0.71495549999999997</v>
      </c>
      <c r="N4720">
        <v>0</v>
      </c>
      <c r="O4720">
        <v>-0.69905289999999998</v>
      </c>
      <c r="P4720">
        <v>0.86928209999999995</v>
      </c>
      <c r="Q4720">
        <v>2.0760420000000002E-2</v>
      </c>
      <c r="R4720">
        <v>-0.4938805</v>
      </c>
      <c r="S4720">
        <v>2.8642270000000001</v>
      </c>
      <c r="T4720">
        <v>-0.4916739</v>
      </c>
      <c r="U4720">
        <v>-1.0629580000000001</v>
      </c>
      <c r="V4720">
        <v>-0.25509090000000001</v>
      </c>
      <c r="W4720">
        <v>2.9049430000000001E-2</v>
      </c>
      <c r="X4720">
        <v>0.96648060000000002</v>
      </c>
      <c r="Y4720">
        <v>-0.39485589999999998</v>
      </c>
      <c r="Z4720">
        <v>0.13506399999999999</v>
      </c>
      <c r="AA4720">
        <v>0.90876100000000004</v>
      </c>
      <c r="AB4720">
        <v>25</v>
      </c>
      <c r="AC4720">
        <v>6.3344000000000102</v>
      </c>
      <c r="AD4720">
        <v>-1.116606833871</v>
      </c>
      <c r="AE4720">
        <v>-2.2585199999999999</v>
      </c>
      <c r="AF4720">
        <v>-2.7380841437605898</v>
      </c>
      <c r="AG4720">
        <v>-1.116606833871</v>
      </c>
      <c r="AH4720">
        <v>5.9442631568299902</v>
      </c>
      <c r="AI4720">
        <v>99.682334746958205</v>
      </c>
      <c r="AJ4720">
        <v>114.73204209297801</v>
      </c>
      <c r="AK4720">
        <v>6.6391400103783802</v>
      </c>
      <c r="AL4720">
        <v>88.335356073093394</v>
      </c>
      <c r="AM4720">
        <v>104.785353540443</v>
      </c>
      <c r="AN4720">
        <v>0.99999999341124701</v>
      </c>
    </row>
    <row r="4721" spans="1:40" x14ac:dyDescent="0.25">
      <c r="A4721" t="str">
        <f>"20190312151410343"</f>
        <v>20190312151410343</v>
      </c>
      <c r="B4721" t="str">
        <f>"1552374850335357"</f>
        <v>1552374850335357</v>
      </c>
      <c r="C4721" t="s">
        <v>40</v>
      </c>
      <c r="D4721">
        <v>4.8575369999999998</v>
      </c>
      <c r="E4721">
        <v>0.43793890000000002</v>
      </c>
      <c r="F4721" t="s">
        <v>59</v>
      </c>
      <c r="G4721">
        <v>-406.06569999999999</v>
      </c>
      <c r="H4721" s="1">
        <v>-3.9019369999999901E-6</v>
      </c>
      <c r="I4721">
        <v>23.13674</v>
      </c>
      <c r="J4721">
        <v>-412.37990000000002</v>
      </c>
      <c r="K4721">
        <v>1.1165959999999999</v>
      </c>
      <c r="L4721">
        <v>25.317779999999999</v>
      </c>
      <c r="M4721">
        <v>0.72189749999999997</v>
      </c>
      <c r="N4721">
        <v>0</v>
      </c>
      <c r="O4721">
        <v>-0.69188179999999999</v>
      </c>
      <c r="P4721">
        <v>0.87409499999999996</v>
      </c>
      <c r="Q4721">
        <v>2.0503759999999999E-2</v>
      </c>
      <c r="R4721">
        <v>-0.48532249999999999</v>
      </c>
      <c r="S4721">
        <v>2.8731689999999999</v>
      </c>
      <c r="T4721">
        <v>-0.49344500000000002</v>
      </c>
      <c r="U4721">
        <v>-1.0379940000000001</v>
      </c>
      <c r="V4721">
        <v>-0.25493199999999999</v>
      </c>
      <c r="W4721">
        <v>2.879729E-2</v>
      </c>
      <c r="X4721">
        <v>0.96653009999999995</v>
      </c>
      <c r="Y4721">
        <v>-0.39360220000000001</v>
      </c>
      <c r="Z4721">
        <v>0.13455739999999999</v>
      </c>
      <c r="AA4721">
        <v>0.90937979999999996</v>
      </c>
      <c r="AB4721">
        <v>25</v>
      </c>
      <c r="AC4721">
        <v>6.31420000000002</v>
      </c>
      <c r="AD4721">
        <v>-1.1165999019370001</v>
      </c>
      <c r="AE4721">
        <v>-2.1810399999999901</v>
      </c>
      <c r="AF4721">
        <v>-2.7184706782115202</v>
      </c>
      <c r="AG4721">
        <v>-1.1165999019370001</v>
      </c>
      <c r="AH4721">
        <v>5.9028064448605697</v>
      </c>
      <c r="AI4721">
        <v>99.749294520982801</v>
      </c>
      <c r="AJ4721">
        <v>114.72789876406</v>
      </c>
      <c r="AK4721">
        <v>6.5939367675758804</v>
      </c>
      <c r="AL4721">
        <v>88.349808723730305</v>
      </c>
      <c r="AM4721">
        <v>104.775822964988</v>
      </c>
      <c r="AN4721">
        <v>1.0000000213706699</v>
      </c>
    </row>
    <row r="4722" spans="1:40" x14ac:dyDescent="0.25">
      <c r="A4722" t="str">
        <f>"20190312151410356"</f>
        <v>20190312151410356</v>
      </c>
      <c r="B4722" t="str">
        <f>"1552374850345114"</f>
        <v>1552374850345114</v>
      </c>
      <c r="C4722" t="s">
        <v>40</v>
      </c>
      <c r="D4722">
        <v>4.8392809999999997</v>
      </c>
      <c r="E4722">
        <v>0.43809480000000001</v>
      </c>
      <c r="F4722" t="s">
        <v>59</v>
      </c>
      <c r="G4722">
        <v>-405.90109999999999</v>
      </c>
      <c r="H4722" s="1">
        <v>-3.9681640000000002E-6</v>
      </c>
      <c r="I4722">
        <v>23.043520000000001</v>
      </c>
      <c r="J4722">
        <v>-412.26819999999998</v>
      </c>
      <c r="K4722">
        <v>1.1165969999999901</v>
      </c>
      <c r="L4722">
        <v>25.219539999999999</v>
      </c>
      <c r="M4722">
        <v>0.72596969999999905</v>
      </c>
      <c r="N4722">
        <v>0</v>
      </c>
      <c r="O4722">
        <v>-0.68760779999999999</v>
      </c>
      <c r="P4722">
        <v>0.87683120000000003</v>
      </c>
      <c r="Q4722">
        <v>2.0119999999999999E-2</v>
      </c>
      <c r="R4722">
        <v>-0.48037780000000002</v>
      </c>
      <c r="S4722">
        <v>2.88205</v>
      </c>
      <c r="T4722">
        <v>-0.49671090000000001</v>
      </c>
      <c r="U4722">
        <v>-1.0116879999999999</v>
      </c>
      <c r="V4722">
        <v>-0.25468489999999999</v>
      </c>
      <c r="W4722">
        <v>2.8418349999999998E-2</v>
      </c>
      <c r="X4722">
        <v>0.96660639999999998</v>
      </c>
      <c r="Y4722">
        <v>-0.39631440000000001</v>
      </c>
      <c r="Z4722">
        <v>0.1350867</v>
      </c>
      <c r="AA4722">
        <v>0.90812250000000005</v>
      </c>
      <c r="AB4722">
        <v>25</v>
      </c>
      <c r="AC4722">
        <v>6.36709999999999</v>
      </c>
      <c r="AD4722">
        <v>-1.1166009681639999</v>
      </c>
      <c r="AE4722">
        <v>-2.1760199999999901</v>
      </c>
      <c r="AF4722">
        <v>-2.7235693416644202</v>
      </c>
      <c r="AG4722">
        <v>-1.1166009681639999</v>
      </c>
      <c r="AH4722">
        <v>5.9550775057730299</v>
      </c>
      <c r="AI4722">
        <v>99.676810630120002</v>
      </c>
      <c r="AJ4722">
        <v>114.57710395994</v>
      </c>
      <c r="AK4722">
        <v>6.6428590065364999</v>
      </c>
      <c r="AL4722">
        <v>88.371529187001499</v>
      </c>
      <c r="AM4722">
        <v>104.76101243761001</v>
      </c>
      <c r="AN4722">
        <v>0.99999996671284497</v>
      </c>
    </row>
    <row r="4723" spans="1:40" x14ac:dyDescent="0.25">
      <c r="A4723" t="str">
        <f>"20190312151410376"</f>
        <v>20190312151410376</v>
      </c>
      <c r="B4723" t="str">
        <f>"1552374850364633"</f>
        <v>1552374850364633</v>
      </c>
      <c r="C4723" t="s">
        <v>40</v>
      </c>
      <c r="D4723">
        <v>4.9109910000000001</v>
      </c>
      <c r="E4723">
        <v>0.43846160000000001</v>
      </c>
      <c r="F4723" t="s">
        <v>59</v>
      </c>
      <c r="G4723">
        <v>-405.78320000000002</v>
      </c>
      <c r="H4723" s="1">
        <v>-4.0166230000000002E-6</v>
      </c>
      <c r="I4723">
        <v>22.982399999999998</v>
      </c>
      <c r="J4723">
        <v>-412.10210000000001</v>
      </c>
      <c r="K4723">
        <v>1.1165969999999901</v>
      </c>
      <c r="L4723">
        <v>25.075320000000001</v>
      </c>
      <c r="M4723">
        <v>0.73194490000000001</v>
      </c>
      <c r="N4723">
        <v>0</v>
      </c>
      <c r="O4723">
        <v>-0.6812435</v>
      </c>
      <c r="P4723">
        <v>0.88085599999999997</v>
      </c>
      <c r="Q4723">
        <v>2.024685E-2</v>
      </c>
      <c r="R4723">
        <v>-0.47295090000000001</v>
      </c>
      <c r="S4723">
        <v>2.8872070000000001</v>
      </c>
      <c r="T4723">
        <v>-0.49712240000000002</v>
      </c>
      <c r="U4723">
        <v>-0.99600219999999995</v>
      </c>
      <c r="V4723">
        <v>-0.25441429999999998</v>
      </c>
      <c r="W4723">
        <v>2.8551819999999999E-2</v>
      </c>
      <c r="X4723">
        <v>0.96667369999999997</v>
      </c>
      <c r="Y4723">
        <v>-0.39330680000000001</v>
      </c>
      <c r="Z4723">
        <v>0.1341859</v>
      </c>
      <c r="AA4723">
        <v>0.90956250000000005</v>
      </c>
      <c r="AB4723">
        <v>25</v>
      </c>
      <c r="AC4723">
        <v>6.3188999999999798</v>
      </c>
      <c r="AD4723">
        <v>-1.1166010166229901</v>
      </c>
      <c r="AE4723">
        <v>-2.0929199999999999</v>
      </c>
      <c r="AF4723">
        <v>-2.69714041215338</v>
      </c>
      <c r="AG4723">
        <v>-1.1166010166229901</v>
      </c>
      <c r="AH4723">
        <v>5.88575271940734</v>
      </c>
      <c r="AI4723">
        <v>99.7853392265162</v>
      </c>
      <c r="AJ4723">
        <v>114.61957246464701</v>
      </c>
      <c r="AK4723">
        <v>6.5698895962721702</v>
      </c>
      <c r="AL4723">
        <v>88.363878774825906</v>
      </c>
      <c r="AM4723">
        <v>104.745030906354</v>
      </c>
      <c r="AN4723">
        <v>0.99999994237074397</v>
      </c>
    </row>
    <row r="4724" spans="1:40" x14ac:dyDescent="0.25">
      <c r="A4724" t="str">
        <f>"20190312151410389"</f>
        <v>20190312151410389</v>
      </c>
      <c r="B4724" t="str">
        <f>"1552374850385130"</f>
        <v>1552374850385130</v>
      </c>
      <c r="C4724" t="s">
        <v>40</v>
      </c>
      <c r="D4724">
        <v>4.861993</v>
      </c>
      <c r="E4724">
        <v>0.43884879999999998</v>
      </c>
      <c r="F4724" t="s">
        <v>59</v>
      </c>
      <c r="G4724">
        <v>-405.60559999999998</v>
      </c>
      <c r="H4724" s="1">
        <v>-4.0893379999999997E-6</v>
      </c>
      <c r="I4724">
        <v>22.888929999999998</v>
      </c>
      <c r="J4724">
        <v>-411.99329999999998</v>
      </c>
      <c r="K4724">
        <v>1.1165969999999901</v>
      </c>
      <c r="L4724">
        <v>24.98218</v>
      </c>
      <c r="M4724">
        <v>0.73580419999999902</v>
      </c>
      <c r="N4724">
        <v>0</v>
      </c>
      <c r="O4724">
        <v>-0.67707340000000005</v>
      </c>
      <c r="P4724">
        <v>0.88345810000000002</v>
      </c>
      <c r="Q4724">
        <v>1.9880599999999998E-2</v>
      </c>
      <c r="R4724">
        <v>-0.46808870000000002</v>
      </c>
      <c r="S4724">
        <v>2.8942260000000002</v>
      </c>
      <c r="T4724">
        <v>-0.49745729999999999</v>
      </c>
      <c r="U4724">
        <v>-0.97406009999999998</v>
      </c>
      <c r="V4724">
        <v>-0.25424910000000001</v>
      </c>
      <c r="W4724">
        <v>2.8189570000000001E-2</v>
      </c>
      <c r="X4724">
        <v>0.96672789999999997</v>
      </c>
      <c r="Y4724">
        <v>-0.39496819999999999</v>
      </c>
      <c r="Z4724">
        <v>0.13386629999999899</v>
      </c>
      <c r="AA4724">
        <v>0.90888939999999996</v>
      </c>
      <c r="AB4724">
        <v>25</v>
      </c>
      <c r="AC4724">
        <v>6.3876999999999899</v>
      </c>
      <c r="AD4724">
        <v>-1.1166010893379901</v>
      </c>
      <c r="AE4724">
        <v>-2.0932499999999998</v>
      </c>
      <c r="AF4724">
        <v>-2.7101646466737401</v>
      </c>
      <c r="AG4724">
        <v>-1.1166010893379901</v>
      </c>
      <c r="AH4724">
        <v>5.9536004815366397</v>
      </c>
      <c r="AI4724">
        <v>99.686837523290905</v>
      </c>
      <c r="AJ4724">
        <v>114.475711360356</v>
      </c>
      <c r="AK4724">
        <v>6.6360492085686298</v>
      </c>
      <c r="AL4724">
        <v>88.384642695581405</v>
      </c>
      <c r="AM4724">
        <v>104.73508301211901</v>
      </c>
      <c r="AN4724">
        <v>1.000000044673</v>
      </c>
    </row>
    <row r="4725" spans="1:40" x14ac:dyDescent="0.25">
      <c r="A4725" t="str">
        <f>"20190312151410409"</f>
        <v>20190312151410409</v>
      </c>
      <c r="B4725" t="str">
        <f>"1552374850405626"</f>
        <v>1552374850405626</v>
      </c>
      <c r="C4725" t="s">
        <v>40</v>
      </c>
      <c r="D4725">
        <v>4.9090809999999996</v>
      </c>
      <c r="E4725">
        <v>0.43916539999999998</v>
      </c>
      <c r="F4725" t="s">
        <v>59</v>
      </c>
      <c r="G4725">
        <v>-405.52589999999998</v>
      </c>
      <c r="H4725" s="1">
        <v>-4.1203859999999996E-6</v>
      </c>
      <c r="I4725">
        <v>22.838069999999998</v>
      </c>
      <c r="J4725">
        <v>-411.82459999999998</v>
      </c>
      <c r="K4725">
        <v>1.1165969999999901</v>
      </c>
      <c r="L4725">
        <v>24.840029999999999</v>
      </c>
      <c r="M4725">
        <v>0.74170219999999998</v>
      </c>
      <c r="N4725">
        <v>0</v>
      </c>
      <c r="O4725">
        <v>-0.67060739999999996</v>
      </c>
      <c r="P4725">
        <v>0.88739279999999998</v>
      </c>
      <c r="Q4725">
        <v>1.9545670000000001E-2</v>
      </c>
      <c r="R4725">
        <v>-0.46060010000000001</v>
      </c>
      <c r="S4725">
        <v>2.89798</v>
      </c>
      <c r="T4725">
        <v>-0.50033969999999905</v>
      </c>
      <c r="U4725">
        <v>-0.96075440000000001</v>
      </c>
      <c r="V4725">
        <v>-0.25396340000000001</v>
      </c>
      <c r="W4725">
        <v>2.7861150000000001E-2</v>
      </c>
      <c r="X4725">
        <v>0.96681249999999996</v>
      </c>
      <c r="Y4725">
        <v>-0.39102619999999999</v>
      </c>
      <c r="Z4725">
        <v>0.13354050000000001</v>
      </c>
      <c r="AA4725">
        <v>0.91064009999999995</v>
      </c>
      <c r="AB4725">
        <v>25</v>
      </c>
      <c r="AC4725">
        <v>6.2986999999999904</v>
      </c>
      <c r="AD4725">
        <v>-1.11660112038599</v>
      </c>
      <c r="AE4725">
        <v>-2.0019599999999902</v>
      </c>
      <c r="AF4725">
        <v>-2.6633022144047098</v>
      </c>
      <c r="AG4725">
        <v>-1.11660112038599</v>
      </c>
      <c r="AH4725">
        <v>5.8478653981279001</v>
      </c>
      <c r="AI4725">
        <v>99.857786844376903</v>
      </c>
      <c r="AJ4725">
        <v>114.486015323563</v>
      </c>
      <c r="AK4725">
        <v>6.5220783851408797</v>
      </c>
      <c r="AL4725">
        <v>88.403467147215693</v>
      </c>
      <c r="AM4725">
        <v>104.718012443295</v>
      </c>
      <c r="AN4725">
        <v>1.0000000311875601</v>
      </c>
    </row>
    <row r="4726" spans="1:40" x14ac:dyDescent="0.25">
      <c r="A4726" t="str">
        <f>"20190312151410431"</f>
        <v>20190312151410431</v>
      </c>
      <c r="B4726" t="str">
        <f>"1552374850425146"</f>
        <v>1552374850425146</v>
      </c>
      <c r="C4726" t="s">
        <v>40</v>
      </c>
      <c r="D4726">
        <v>4.9096890000000002</v>
      </c>
      <c r="E4726">
        <v>0.43946020000000002</v>
      </c>
      <c r="F4726" t="s">
        <v>59</v>
      </c>
      <c r="G4726">
        <v>-405.39109999999999</v>
      </c>
      <c r="H4726" s="1">
        <v>-4.1746159999999901E-6</v>
      </c>
      <c r="I4726">
        <v>22.761649999999999</v>
      </c>
      <c r="J4726">
        <v>-411.63290000000001</v>
      </c>
      <c r="K4726">
        <v>1.1165959999999999</v>
      </c>
      <c r="L4726">
        <v>24.681460000000001</v>
      </c>
      <c r="M4726">
        <v>0.74828869999999903</v>
      </c>
      <c r="N4726">
        <v>0</v>
      </c>
      <c r="O4726">
        <v>-0.66324989999999995</v>
      </c>
      <c r="P4726">
        <v>0.8915459</v>
      </c>
      <c r="Q4726">
        <v>1.9274320000000001E-2</v>
      </c>
      <c r="R4726">
        <v>-0.45252009999999998</v>
      </c>
      <c r="S4726">
        <v>2.9047239999999999</v>
      </c>
      <c r="T4726">
        <v>-0.50414420000000004</v>
      </c>
      <c r="U4726">
        <v>-0.93838500000000002</v>
      </c>
      <c r="V4726">
        <v>-0.25319700000000001</v>
      </c>
      <c r="W4726">
        <v>2.7605660000000001E-2</v>
      </c>
      <c r="X4726">
        <v>0.96702080000000001</v>
      </c>
      <c r="Y4726">
        <v>-0.3888491</v>
      </c>
      <c r="Z4726">
        <v>0.13343469999999999</v>
      </c>
      <c r="AA4726">
        <v>0.91158740000000005</v>
      </c>
      <c r="AB4726">
        <v>25</v>
      </c>
      <c r="AC4726">
        <v>6.2418000000000102</v>
      </c>
      <c r="AD4726">
        <v>-1.1166001746159999</v>
      </c>
      <c r="AE4726">
        <v>-1.91981</v>
      </c>
      <c r="AF4726">
        <v>-2.6267269357653702</v>
      </c>
      <c r="AG4726">
        <v>-1.1166001746159999</v>
      </c>
      <c r="AH4726">
        <v>5.7756119600891198</v>
      </c>
      <c r="AI4726">
        <v>99.980978617575502</v>
      </c>
      <c r="AJ4726">
        <v>114.45586490123399</v>
      </c>
      <c r="AK4726">
        <v>6.4423740855799698</v>
      </c>
      <c r="AL4726">
        <v>88.418111245487793</v>
      </c>
      <c r="AM4726">
        <v>104.672492275453</v>
      </c>
      <c r="AN4726">
        <v>1.0000000104528299</v>
      </c>
    </row>
    <row r="4727" spans="1:40" x14ac:dyDescent="0.25">
      <c r="A4727" t="str">
        <f>"20190312151410454"</f>
        <v>20190312151410454</v>
      </c>
      <c r="B4727" t="str">
        <f>"1552374850445645"</f>
        <v>1552374850445645</v>
      </c>
      <c r="C4727" t="s">
        <v>40</v>
      </c>
      <c r="D4727">
        <v>4.8689200000000001</v>
      </c>
      <c r="E4727">
        <v>0.43984190000000001</v>
      </c>
      <c r="F4727" t="s">
        <v>59</v>
      </c>
      <c r="G4727">
        <v>-405.23110000000003</v>
      </c>
      <c r="H4727" s="1">
        <v>-4.2392970000000004E-6</v>
      </c>
      <c r="I4727">
        <v>22.67258</v>
      </c>
      <c r="J4727">
        <v>-411.44330000000002</v>
      </c>
      <c r="K4727">
        <v>1.116595</v>
      </c>
      <c r="L4727">
        <v>24.52777</v>
      </c>
      <c r="M4727">
        <v>0.75467589999999996</v>
      </c>
      <c r="N4727">
        <v>0</v>
      </c>
      <c r="O4727">
        <v>-0.65597299999999903</v>
      </c>
      <c r="P4727">
        <v>0.89555980000000002</v>
      </c>
      <c r="Q4727">
        <v>1.9586119999999999E-2</v>
      </c>
      <c r="R4727">
        <v>-0.44450990000000001</v>
      </c>
      <c r="S4727">
        <v>2.9121090000000001</v>
      </c>
      <c r="T4727">
        <v>-0.50793100000000002</v>
      </c>
      <c r="U4727">
        <v>-0.91381840000000003</v>
      </c>
      <c r="V4727">
        <v>-0.2525017</v>
      </c>
      <c r="W4727">
        <v>2.79317E-2</v>
      </c>
      <c r="X4727">
        <v>0.96719319999999998</v>
      </c>
      <c r="Y4727">
        <v>-0.38752690000000001</v>
      </c>
      <c r="Z4727">
        <v>0.13336629999999899</v>
      </c>
      <c r="AA4727">
        <v>0.91216030000000003</v>
      </c>
      <c r="AB4727">
        <v>25</v>
      </c>
      <c r="AC4727">
        <v>6.2121999999999904</v>
      </c>
      <c r="AD4727">
        <v>-1.1165992392969999</v>
      </c>
      <c r="AE4727">
        <v>-1.8551899999999999</v>
      </c>
      <c r="AF4727">
        <v>-2.5981214061610398</v>
      </c>
      <c r="AG4727">
        <v>-1.1165992392969999</v>
      </c>
      <c r="AH4727">
        <v>5.73550809756569</v>
      </c>
      <c r="AI4727">
        <v>100.05604039947001</v>
      </c>
      <c r="AJ4727">
        <v>114.36999787201501</v>
      </c>
      <c r="AK4727">
        <v>6.39476988167615</v>
      </c>
      <c r="AL4727">
        <v>88.3994232859813</v>
      </c>
      <c r="AM4727">
        <v>104.63143564641599</v>
      </c>
      <c r="AN4727">
        <v>0.999999987247009</v>
      </c>
    </row>
    <row r="4728" spans="1:40" x14ac:dyDescent="0.25">
      <c r="A4728" t="str">
        <f>"20190312151410476"</f>
        <v>20190312151410476</v>
      </c>
      <c r="B4728" t="str">
        <f>"1552374850465162"</f>
        <v>1552374850465162</v>
      </c>
      <c r="C4728" t="s">
        <v>40</v>
      </c>
      <c r="D4728">
        <v>4.8851120000000003</v>
      </c>
      <c r="E4728">
        <v>0.4402373</v>
      </c>
      <c r="F4728" t="s">
        <v>59</v>
      </c>
      <c r="G4728">
        <v>-405.0188</v>
      </c>
      <c r="H4728" s="1">
        <v>-4.3276760000000003E-6</v>
      </c>
      <c r="I4728">
        <v>22.568819999999999</v>
      </c>
      <c r="J4728">
        <v>-411.24540000000002</v>
      </c>
      <c r="K4728">
        <v>1.1165969999999901</v>
      </c>
      <c r="L4728">
        <v>24.370539999999998</v>
      </c>
      <c r="M4728">
        <v>0.76121589999999995</v>
      </c>
      <c r="N4728">
        <v>0</v>
      </c>
      <c r="O4728">
        <v>-0.64837250000000002</v>
      </c>
      <c r="P4728">
        <v>0.899798599999999</v>
      </c>
      <c r="Q4728">
        <v>2.0602019999999999E-2</v>
      </c>
      <c r="R4728">
        <v>-0.43581920000000002</v>
      </c>
      <c r="S4728">
        <v>2.9191590000000001</v>
      </c>
      <c r="T4728">
        <v>-0.50735909999999995</v>
      </c>
      <c r="U4728">
        <v>-0.89010619999999996</v>
      </c>
      <c r="V4728">
        <v>-0.2521678</v>
      </c>
      <c r="W4728">
        <v>2.895553E-2</v>
      </c>
      <c r="X4728">
        <v>0.96725019999999995</v>
      </c>
      <c r="Y4728">
        <v>-0.38583699999999999</v>
      </c>
      <c r="Z4728">
        <v>0.1320837</v>
      </c>
      <c r="AA4728">
        <v>0.91306290000000001</v>
      </c>
      <c r="AB4728">
        <v>25</v>
      </c>
      <c r="AC4728">
        <v>6.2266000000000101</v>
      </c>
      <c r="AD4728">
        <v>-1.1166013276759901</v>
      </c>
      <c r="AE4728">
        <v>-1.80171999999999</v>
      </c>
      <c r="AF4728">
        <v>-2.5890491252261199</v>
      </c>
      <c r="AG4728">
        <v>-1.1166013276759901</v>
      </c>
      <c r="AH4728">
        <v>5.7381815851781601</v>
      </c>
      <c r="AI4728">
        <v>100.05809497472799</v>
      </c>
      <c r="AJ4728">
        <v>114.28474359812699</v>
      </c>
      <c r="AK4728">
        <v>6.3934890163571696</v>
      </c>
      <c r="AL4728">
        <v>88.340738398226705</v>
      </c>
      <c r="AM4728">
        <v>104.61209192366501</v>
      </c>
      <c r="AN4728">
        <v>0.99999998573723003</v>
      </c>
    </row>
    <row r="4729" spans="1:40" x14ac:dyDescent="0.25">
      <c r="A4729" t="str">
        <f>"20190312151410500"</f>
        <v>20190312151410500</v>
      </c>
      <c r="B4729" t="str">
        <f>"1552374850495369"</f>
        <v>1552374850495369</v>
      </c>
      <c r="C4729" t="s">
        <v>40</v>
      </c>
      <c r="D4729">
        <v>4.9665239999999997</v>
      </c>
      <c r="E4729">
        <v>0.44085859999999899</v>
      </c>
      <c r="F4729" t="s">
        <v>59</v>
      </c>
      <c r="G4729">
        <v>-404.77449999999999</v>
      </c>
      <c r="H4729" s="1">
        <v>-4.4239710000000002E-6</v>
      </c>
      <c r="I4729">
        <v>22.457840000000001</v>
      </c>
      <c r="J4729">
        <v>-411.04849999999999</v>
      </c>
      <c r="K4729">
        <v>1.1165909999999999</v>
      </c>
      <c r="L4729">
        <v>24.217189999999999</v>
      </c>
      <c r="M4729">
        <v>0.76759820000000001</v>
      </c>
      <c r="N4729">
        <v>0</v>
      </c>
      <c r="O4729">
        <v>-0.64080360000000003</v>
      </c>
      <c r="P4729">
        <v>0.90411600000000003</v>
      </c>
      <c r="Q4729">
        <v>2.0992130000000001E-2</v>
      </c>
      <c r="R4729">
        <v>-0.42677130000000002</v>
      </c>
      <c r="S4729">
        <v>2.926666</v>
      </c>
      <c r="T4729">
        <v>-0.50501739999999995</v>
      </c>
      <c r="U4729">
        <v>-0.86508180000000001</v>
      </c>
      <c r="V4729">
        <v>-0.25229400000000002</v>
      </c>
      <c r="W4729">
        <v>2.9344950000000002E-2</v>
      </c>
      <c r="X4729">
        <v>0.9672056</v>
      </c>
      <c r="Y4729">
        <v>-0.38476009999999999</v>
      </c>
      <c r="Z4729">
        <v>0.13038440000000001</v>
      </c>
      <c r="AA4729">
        <v>0.91376120000000005</v>
      </c>
      <c r="AB4729">
        <v>25</v>
      </c>
      <c r="AC4729">
        <v>6.274</v>
      </c>
      <c r="AD4729">
        <v>-1.1165954239710001</v>
      </c>
      <c r="AE4729">
        <v>-1.75934999999999</v>
      </c>
      <c r="AF4729">
        <v>-2.5939747705747398</v>
      </c>
      <c r="AG4729">
        <v>-1.1165954239710001</v>
      </c>
      <c r="AH4729">
        <v>5.7742358632592996</v>
      </c>
      <c r="AI4729">
        <v>100.00371568812299</v>
      </c>
      <c r="AJ4729">
        <v>114.19116853387401</v>
      </c>
      <c r="AK4729">
        <v>6.4278526939998502</v>
      </c>
      <c r="AL4729">
        <v>88.318416865010903</v>
      </c>
      <c r="AM4729">
        <v>104.619736729943</v>
      </c>
      <c r="AN4729">
        <v>1.0000000305989301</v>
      </c>
    </row>
    <row r="4730" spans="1:40" x14ac:dyDescent="0.25">
      <c r="A4730" t="str">
        <f>"20190312151410521"</f>
        <v>20190312151410521</v>
      </c>
      <c r="B4730" t="str">
        <f>"1552374850514888"</f>
        <v>1552374850514888</v>
      </c>
      <c r="C4730" t="s">
        <v>40</v>
      </c>
      <c r="D4730">
        <v>4.9434979999999999</v>
      </c>
      <c r="E4730">
        <v>0.44119120000000001</v>
      </c>
      <c r="F4730" t="s">
        <v>59</v>
      </c>
      <c r="G4730">
        <v>-404.57400000000001</v>
      </c>
      <c r="H4730" s="1">
        <v>-4.5003430000000001E-6</v>
      </c>
      <c r="I4730">
        <v>22.362220000000001</v>
      </c>
      <c r="J4730">
        <v>-410.85669999999999</v>
      </c>
      <c r="K4730">
        <v>1.1165889999999901</v>
      </c>
      <c r="L4730">
        <v>24.070799999999998</v>
      </c>
      <c r="M4730">
        <v>0.77369169999999998</v>
      </c>
      <c r="N4730">
        <v>0</v>
      </c>
      <c r="O4730">
        <v>-0.63343319999999903</v>
      </c>
      <c r="P4730">
        <v>0.90803699999999998</v>
      </c>
      <c r="Q4730">
        <v>2.0647120000000001E-2</v>
      </c>
      <c r="R4730">
        <v>-0.41838120000000001</v>
      </c>
      <c r="S4730">
        <v>2.9332579999999999</v>
      </c>
      <c r="T4730">
        <v>-0.50587420000000005</v>
      </c>
      <c r="U4730">
        <v>-0.8403931</v>
      </c>
      <c r="V4730">
        <v>-0.25199860000000002</v>
      </c>
      <c r="W4730">
        <v>2.900844E-2</v>
      </c>
      <c r="X4730">
        <v>0.96729270000000001</v>
      </c>
      <c r="Y4730">
        <v>-0.38366230000000001</v>
      </c>
      <c r="Z4730">
        <v>0.12954389999999999</v>
      </c>
      <c r="AA4730">
        <v>0.91434219999999999</v>
      </c>
      <c r="AB4730">
        <v>25</v>
      </c>
      <c r="AC4730">
        <v>6.28269999999997</v>
      </c>
      <c r="AD4730">
        <v>-1.1165935003430001</v>
      </c>
      <c r="AE4730">
        <v>-1.70857999999999</v>
      </c>
      <c r="AF4730">
        <v>-2.5820335888106101</v>
      </c>
      <c r="AG4730">
        <v>-1.1165935003430001</v>
      </c>
      <c r="AH4730">
        <v>5.77381607813287</v>
      </c>
      <c r="AI4730">
        <v>100.01186105266601</v>
      </c>
      <c r="AJ4730">
        <v>114.09405314848</v>
      </c>
      <c r="AK4730">
        <v>6.4226653815110204</v>
      </c>
      <c r="AL4730">
        <v>88.337705587881402</v>
      </c>
      <c r="AM4730">
        <v>104.602092523038</v>
      </c>
      <c r="AN4730">
        <v>0.99999997573324095</v>
      </c>
    </row>
    <row r="4731" spans="1:40" x14ac:dyDescent="0.25">
      <c r="A4731" t="str">
        <f>"20190312151410544"</f>
        <v>20190312151410544</v>
      </c>
      <c r="B4731" t="str">
        <f>"1552374850535387"</f>
        <v>1552374850535387</v>
      </c>
      <c r="C4731" t="s">
        <v>40</v>
      </c>
      <c r="D4731">
        <v>4.89011</v>
      </c>
      <c r="E4731">
        <v>0.44162750000000001</v>
      </c>
      <c r="F4731" t="s">
        <v>59</v>
      </c>
      <c r="G4731">
        <v>-404.37810000000002</v>
      </c>
      <c r="H4731" s="1">
        <v>-4.5760629999999997E-6</v>
      </c>
      <c r="I4731">
        <v>22.274799999999999</v>
      </c>
      <c r="J4731">
        <v>-410.6617</v>
      </c>
      <c r="K4731">
        <v>1.116582</v>
      </c>
      <c r="L4731">
        <v>23.92484</v>
      </c>
      <c r="M4731">
        <v>0.77976519999999905</v>
      </c>
      <c r="N4731">
        <v>0</v>
      </c>
      <c r="O4731">
        <v>-0.62594119999999998</v>
      </c>
      <c r="P4731">
        <v>0.91161780000000003</v>
      </c>
      <c r="Q4731">
        <v>2.0449019999999998E-2</v>
      </c>
      <c r="R4731">
        <v>-0.4105299</v>
      </c>
      <c r="S4731">
        <v>2.939819</v>
      </c>
      <c r="T4731">
        <v>-0.5066773</v>
      </c>
      <c r="U4731">
        <v>-0.81497189999999997</v>
      </c>
      <c r="V4731">
        <v>-0.25101489999999999</v>
      </c>
      <c r="W4731">
        <v>2.883256E-2</v>
      </c>
      <c r="X4731">
        <v>0.96755369999999996</v>
      </c>
      <c r="Y4731">
        <v>-0.38270490000000001</v>
      </c>
      <c r="Z4731">
        <v>0.12867490000000001</v>
      </c>
      <c r="AA4731">
        <v>0.91486599999999996</v>
      </c>
      <c r="AB4731">
        <v>25</v>
      </c>
      <c r="AC4731">
        <v>6.2835999999999697</v>
      </c>
      <c r="AD4731">
        <v>-1.116586576063</v>
      </c>
      <c r="AE4731">
        <v>-1.65004</v>
      </c>
      <c r="AF4731">
        <v>-2.57079631807213</v>
      </c>
      <c r="AG4731">
        <v>-1.116586576063</v>
      </c>
      <c r="AH4731">
        <v>5.7628141792888998</v>
      </c>
      <c r="AI4731">
        <v>100.034538131329</v>
      </c>
      <c r="AJ4731">
        <v>114.04169096011699</v>
      </c>
      <c r="AK4731">
        <v>6.4082592453700302</v>
      </c>
      <c r="AL4731">
        <v>88.347786992899998</v>
      </c>
      <c r="AM4731">
        <v>104.543756867059</v>
      </c>
      <c r="AN4731">
        <v>0.999999979460926</v>
      </c>
    </row>
    <row r="4732" spans="1:40" x14ac:dyDescent="0.25">
      <c r="A4732" t="str">
        <f>"20190312151410566"</f>
        <v>20190312151410566</v>
      </c>
      <c r="B4732" t="str">
        <f>"1552374850554904"</f>
        <v>1552374850554904</v>
      </c>
      <c r="C4732" t="s">
        <v>40</v>
      </c>
      <c r="D4732">
        <v>4.8800019999999904</v>
      </c>
      <c r="E4732">
        <v>0.4421234</v>
      </c>
      <c r="F4732" t="s">
        <v>59</v>
      </c>
      <c r="G4732">
        <v>-404.17200000000003</v>
      </c>
      <c r="H4732" s="1">
        <v>-4.6552050000000003E-6</v>
      </c>
      <c r="I4732">
        <v>22.180219999999998</v>
      </c>
      <c r="J4732">
        <v>-410.46420000000001</v>
      </c>
      <c r="K4732">
        <v>1.1165689999999999</v>
      </c>
      <c r="L4732">
        <v>23.779969999999999</v>
      </c>
      <c r="M4732">
        <v>0.78578950000000003</v>
      </c>
      <c r="N4732">
        <v>0</v>
      </c>
      <c r="O4732">
        <v>-0.61836169999999901</v>
      </c>
      <c r="P4732">
        <v>0.9151762</v>
      </c>
      <c r="Q4732">
        <v>2.0204219999999998E-2</v>
      </c>
      <c r="R4732">
        <v>-0.40254709999999999</v>
      </c>
      <c r="S4732">
        <v>2.9456180000000001</v>
      </c>
      <c r="T4732">
        <v>-0.50680979999999998</v>
      </c>
      <c r="U4732">
        <v>-0.79187010000000002</v>
      </c>
      <c r="V4732">
        <v>-0.25010009999999999</v>
      </c>
      <c r="W4732">
        <v>2.8610920000000001E-2</v>
      </c>
      <c r="X4732">
        <v>0.96779720000000002</v>
      </c>
      <c r="Y4732">
        <v>-0.381027</v>
      </c>
      <c r="Z4732">
        <v>0.12756210000000001</v>
      </c>
      <c r="AA4732">
        <v>0.91572180000000003</v>
      </c>
      <c r="AB4732">
        <v>25</v>
      </c>
      <c r="AC4732">
        <v>6.2922000000000304</v>
      </c>
      <c r="AD4732">
        <v>-1.1165736552050001</v>
      </c>
      <c r="AE4732">
        <v>-1.59975</v>
      </c>
      <c r="AF4732">
        <v>-2.5583341921002898</v>
      </c>
      <c r="AG4732">
        <v>-1.1165736552050001</v>
      </c>
      <c r="AH4732">
        <v>5.7635799671431496</v>
      </c>
      <c r="AI4732">
        <v>100.041231971908</v>
      </c>
      <c r="AJ4732">
        <v>113.93544692130099</v>
      </c>
      <c r="AK4732">
        <v>6.4039569489200296</v>
      </c>
      <c r="AL4732">
        <v>88.360491358019004</v>
      </c>
      <c r="AM4732">
        <v>104.489496524605</v>
      </c>
      <c r="AN4732">
        <v>1.00000003254554</v>
      </c>
    </row>
    <row r="4733" spans="1:40" x14ac:dyDescent="0.25">
      <c r="A4733" t="str">
        <f>"20190312151410588"</f>
        <v>20190312151410588</v>
      </c>
      <c r="B4733" t="str">
        <f>"1552374850584841"</f>
        <v>1552374850584841</v>
      </c>
      <c r="C4733" t="s">
        <v>40</v>
      </c>
      <c r="D4733">
        <v>4.9957690000000001</v>
      </c>
      <c r="E4733">
        <v>0.44286170000000002</v>
      </c>
      <c r="F4733" t="s">
        <v>59</v>
      </c>
      <c r="G4733">
        <v>-403.96370000000002</v>
      </c>
      <c r="H4733" s="1">
        <v>-4.7350390000000004E-6</v>
      </c>
      <c r="I4733">
        <v>22.083690000000001</v>
      </c>
      <c r="J4733">
        <v>-410.26510000000002</v>
      </c>
      <c r="K4733">
        <v>1.1165480000000001</v>
      </c>
      <c r="L4733">
        <v>23.63702</v>
      </c>
      <c r="M4733">
        <v>0.79173179999999999</v>
      </c>
      <c r="N4733">
        <v>0</v>
      </c>
      <c r="O4733">
        <v>-0.61073480000000002</v>
      </c>
      <c r="P4733">
        <v>0.91877169999999997</v>
      </c>
      <c r="Q4733">
        <v>1.95175E-2</v>
      </c>
      <c r="R4733">
        <v>-0.3943065</v>
      </c>
      <c r="S4733">
        <v>2.9506230000000002</v>
      </c>
      <c r="T4733">
        <v>-0.50682499999999997</v>
      </c>
      <c r="U4733">
        <v>-0.76995849999999999</v>
      </c>
      <c r="V4733">
        <v>-0.24943709999999999</v>
      </c>
      <c r="W4733">
        <v>2.7943619999999999E-2</v>
      </c>
      <c r="X4733">
        <v>0.96798779999999995</v>
      </c>
      <c r="Y4733">
        <v>-0.37896590000000002</v>
      </c>
      <c r="Z4733">
        <v>0.12639010000000001</v>
      </c>
      <c r="AA4733">
        <v>0.91673899999999997</v>
      </c>
      <c r="AB4733">
        <v>25</v>
      </c>
      <c r="AC4733">
        <v>6.3014000000000001</v>
      </c>
      <c r="AD4733">
        <v>-1.1165527350390001</v>
      </c>
      <c r="AE4733">
        <v>-1.5533299999999901</v>
      </c>
      <c r="AF4733">
        <v>-2.54359222025374</v>
      </c>
      <c r="AG4733">
        <v>-1.1165527350390001</v>
      </c>
      <c r="AH4733">
        <v>5.7674709690085297</v>
      </c>
      <c r="AI4733">
        <v>100.04480312904001</v>
      </c>
      <c r="AJ4733">
        <v>113.79862303418599</v>
      </c>
      <c r="AK4733">
        <v>6.4015836143422096</v>
      </c>
      <c r="AL4733">
        <v>88.398740149060799</v>
      </c>
      <c r="AM4733">
        <v>104.449969866711</v>
      </c>
      <c r="AN4733">
        <v>1.0000000468519701</v>
      </c>
    </row>
    <row r="4734" spans="1:40" x14ac:dyDescent="0.25">
      <c r="A4734" t="str">
        <f>"20190312151410611"</f>
        <v>20190312151410611</v>
      </c>
      <c r="B4734" t="str">
        <f>"1552374850605337"</f>
        <v>1552374850605337</v>
      </c>
      <c r="C4734" t="s">
        <v>40</v>
      </c>
      <c r="D4734">
        <v>4.9430519999999998</v>
      </c>
      <c r="E4734">
        <v>0.44325229999999999</v>
      </c>
      <c r="F4734" t="s">
        <v>59</v>
      </c>
      <c r="G4734">
        <v>-403.7647</v>
      </c>
      <c r="H4734" s="1">
        <v>-4.8110409999999998E-6</v>
      </c>
      <c r="I4734">
        <v>21.98967</v>
      </c>
      <c r="J4734">
        <v>-410.06290000000001</v>
      </c>
      <c r="K4734">
        <v>1.1165240000000001</v>
      </c>
      <c r="L4734">
        <v>23.494720000000001</v>
      </c>
      <c r="M4734">
        <v>0.79763719999999905</v>
      </c>
      <c r="N4734">
        <v>0</v>
      </c>
      <c r="O4734">
        <v>-0.60300200000000004</v>
      </c>
      <c r="P4734">
        <v>0.92216699999999996</v>
      </c>
      <c r="Q4734">
        <v>1.9254770000000001E-2</v>
      </c>
      <c r="R4734">
        <v>-0.38631280000000001</v>
      </c>
      <c r="S4734">
        <v>2.9546510000000001</v>
      </c>
      <c r="T4734">
        <v>-0.50751040000000003</v>
      </c>
      <c r="U4734">
        <v>-0.74877930000000004</v>
      </c>
      <c r="V4734">
        <v>-0.24842159999999999</v>
      </c>
      <c r="W4734">
        <v>2.7708139999999999E-2</v>
      </c>
      <c r="X4734">
        <v>0.96825559999999999</v>
      </c>
      <c r="Y4734">
        <v>-0.37653439999999999</v>
      </c>
      <c r="Z4734">
        <v>0.1253563</v>
      </c>
      <c r="AA4734">
        <v>0.91788210000000003</v>
      </c>
      <c r="AB4734">
        <v>25</v>
      </c>
      <c r="AC4734">
        <v>6.2981999999999996</v>
      </c>
      <c r="AD4734">
        <v>-1.1165288110410001</v>
      </c>
      <c r="AE4734">
        <v>-1.50505</v>
      </c>
      <c r="AF4734">
        <v>-2.5225609303972298</v>
      </c>
      <c r="AG4734">
        <v>-1.1165288110410001</v>
      </c>
      <c r="AH4734">
        <v>5.7604556020167301</v>
      </c>
      <c r="AI4734">
        <v>100.06788041775999</v>
      </c>
      <c r="AJ4734">
        <v>113.649090502786</v>
      </c>
      <c r="AK4734">
        <v>6.3869240621959102</v>
      </c>
      <c r="AL4734">
        <v>88.412237262338607</v>
      </c>
      <c r="AM4734">
        <v>104.389774661876</v>
      </c>
      <c r="AN4734">
        <v>0.99999996965008897</v>
      </c>
    </row>
    <row r="4735" spans="1:40" x14ac:dyDescent="0.25">
      <c r="A4735" t="str">
        <f>"20190312151410632"</f>
        <v>20190312151410632</v>
      </c>
      <c r="B4735" t="str">
        <f>"1552374850625843"</f>
        <v>1552374850625843</v>
      </c>
      <c r="C4735" t="s">
        <v>40</v>
      </c>
      <c r="D4735">
        <v>5.2084169999999999</v>
      </c>
      <c r="E4735">
        <v>0.4437489</v>
      </c>
      <c r="F4735" t="s">
        <v>59</v>
      </c>
      <c r="G4735">
        <v>-403.5625</v>
      </c>
      <c r="H4735" s="1">
        <v>-4.8895280000000003E-6</v>
      </c>
      <c r="I4735">
        <v>21.901479999999999</v>
      </c>
      <c r="J4735">
        <v>-409.86149999999998</v>
      </c>
      <c r="K4735">
        <v>1.116498</v>
      </c>
      <c r="L4735">
        <v>23.355830000000001</v>
      </c>
      <c r="M4735">
        <v>0.8033903</v>
      </c>
      <c r="N4735">
        <v>0</v>
      </c>
      <c r="O4735">
        <v>-0.59531529999999999</v>
      </c>
      <c r="P4735">
        <v>0.92556740000000004</v>
      </c>
      <c r="Q4735">
        <v>1.8730549999999999E-2</v>
      </c>
      <c r="R4735">
        <v>-0.37811929999999999</v>
      </c>
      <c r="S4735">
        <v>2.9598689999999999</v>
      </c>
      <c r="T4735">
        <v>-0.50839670000000003</v>
      </c>
      <c r="U4735">
        <v>-0.72546390000000005</v>
      </c>
      <c r="V4735">
        <v>-0.24770800000000001</v>
      </c>
      <c r="W4735">
        <v>2.72067E-2</v>
      </c>
      <c r="X4735">
        <v>0.9684526</v>
      </c>
      <c r="Y4735">
        <v>-0.37492449999999999</v>
      </c>
      <c r="Z4735">
        <v>0.1243963</v>
      </c>
      <c r="AA4735">
        <v>0.91867140000000003</v>
      </c>
      <c r="AB4735">
        <v>25</v>
      </c>
      <c r="AC4735">
        <v>6.2989999999999702</v>
      </c>
      <c r="AD4735">
        <v>-1.116502889528</v>
      </c>
      <c r="AE4735">
        <v>-1.45434999999999</v>
      </c>
      <c r="AF4735">
        <v>-2.5069159886377701</v>
      </c>
      <c r="AG4735">
        <v>-1.116502889528</v>
      </c>
      <c r="AH4735">
        <v>5.7551734258748199</v>
      </c>
      <c r="AI4735">
        <v>100.085092044642</v>
      </c>
      <c r="AJ4735">
        <v>113.53762707561</v>
      </c>
      <c r="AK4735">
        <v>6.3759883656032397</v>
      </c>
      <c r="AL4735">
        <v>88.440978461807603</v>
      </c>
      <c r="AM4735">
        <v>104.347350308179</v>
      </c>
      <c r="AN4735">
        <v>0.999999948117823</v>
      </c>
    </row>
    <row r="4736" spans="1:40" x14ac:dyDescent="0.25">
      <c r="A4736" t="str">
        <f>"20190312151410656"</f>
        <v>20190312151410656</v>
      </c>
      <c r="B4736" t="str">
        <f>"1552374850645355"</f>
        <v>1552374850645355</v>
      </c>
      <c r="C4736" t="s">
        <v>40</v>
      </c>
      <c r="D4736">
        <v>4.973446</v>
      </c>
      <c r="E4736">
        <v>0.44429629999999998</v>
      </c>
      <c r="F4736" t="s">
        <v>59</v>
      </c>
      <c r="G4736">
        <v>-403.36520000000002</v>
      </c>
      <c r="H4736" s="1">
        <v>-4.9662209999999999E-6</v>
      </c>
      <c r="I4736">
        <v>21.81607</v>
      </c>
      <c r="J4736">
        <v>-409.65019999999998</v>
      </c>
      <c r="K4736">
        <v>1.1164700000000001</v>
      </c>
      <c r="L4736">
        <v>23.21313</v>
      </c>
      <c r="M4736">
        <v>0.80928559999999905</v>
      </c>
      <c r="N4736">
        <v>0</v>
      </c>
      <c r="O4736">
        <v>-0.58727649999999998</v>
      </c>
      <c r="P4736">
        <v>0.92903610000000003</v>
      </c>
      <c r="Q4736">
        <v>1.7691169999999999E-2</v>
      </c>
      <c r="R4736">
        <v>-0.36956630000000001</v>
      </c>
      <c r="S4736">
        <v>2.9645389999999998</v>
      </c>
      <c r="T4736">
        <v>-0.50951109999999999</v>
      </c>
      <c r="U4736">
        <v>-0.70266719999999905</v>
      </c>
      <c r="V4736">
        <v>-0.24697939999999999</v>
      </c>
      <c r="W4736">
        <v>2.6191880000000001E-2</v>
      </c>
      <c r="X4736">
        <v>0.96866669999999999</v>
      </c>
      <c r="Y4736">
        <v>-0.37278549999999999</v>
      </c>
      <c r="Z4736">
        <v>0.1233998</v>
      </c>
      <c r="AA4736">
        <v>0.91967580000000004</v>
      </c>
      <c r="AB4736">
        <v>25</v>
      </c>
      <c r="AC4736">
        <v>6.2849999999999602</v>
      </c>
      <c r="AD4736">
        <v>-1.1164749662210001</v>
      </c>
      <c r="AE4736">
        <v>-1.39705999999999</v>
      </c>
      <c r="AF4736">
        <v>-2.4858695557647499</v>
      </c>
      <c r="AG4736">
        <v>-1.1164749662210001</v>
      </c>
      <c r="AH4736">
        <v>5.7348519521572197</v>
      </c>
      <c r="AI4736">
        <v>100.12754902255</v>
      </c>
      <c r="AJ4736">
        <v>113.435144355307</v>
      </c>
      <c r="AK4736">
        <v>6.3493771908461802</v>
      </c>
      <c r="AL4736">
        <v>88.499144194352795</v>
      </c>
      <c r="AM4736">
        <v>104.303851905841</v>
      </c>
      <c r="AN4736">
        <v>1.0000000071455899</v>
      </c>
    </row>
    <row r="4737" spans="1:40" x14ac:dyDescent="0.25">
      <c r="A4737" t="str">
        <f>"20190312151410679"</f>
        <v>20190312151410679</v>
      </c>
      <c r="B4737" t="str">
        <f>"1552374850675608"</f>
        <v>1552374850675608</v>
      </c>
      <c r="C4737" t="s">
        <v>40</v>
      </c>
      <c r="D4737">
        <v>4.9525069999999998</v>
      </c>
      <c r="E4737">
        <v>0.44504860000000002</v>
      </c>
      <c r="F4737" t="s">
        <v>59</v>
      </c>
      <c r="G4737">
        <v>-403.1678</v>
      </c>
      <c r="H4737" s="1">
        <v>-5.0430099999999997E-6</v>
      </c>
      <c r="I4737">
        <v>21.73094</v>
      </c>
      <c r="J4737">
        <v>-409.43740000000003</v>
      </c>
      <c r="K4737">
        <v>1.116431</v>
      </c>
      <c r="L4737">
        <v>23.072389999999999</v>
      </c>
      <c r="M4737">
        <v>0.81507719999999995</v>
      </c>
      <c r="N4737">
        <v>0</v>
      </c>
      <c r="O4737">
        <v>-0.57921149999999999</v>
      </c>
      <c r="P4737">
        <v>0.93239899999999998</v>
      </c>
      <c r="Q4737">
        <v>1.7690040000000001E-2</v>
      </c>
      <c r="R4737">
        <v>-0.36099789999999998</v>
      </c>
      <c r="S4737">
        <v>2.9688720000000002</v>
      </c>
      <c r="T4737">
        <v>-0.51133469999999903</v>
      </c>
      <c r="U4737">
        <v>-0.67883300000000002</v>
      </c>
      <c r="V4737">
        <v>-0.2462762</v>
      </c>
      <c r="W4737">
        <v>2.6217150000000002E-2</v>
      </c>
      <c r="X4737">
        <v>0.96884499999999996</v>
      </c>
      <c r="Y4737">
        <v>-0.37093090000000001</v>
      </c>
      <c r="Z4737">
        <v>0.12259150000000001</v>
      </c>
      <c r="AA4737">
        <v>0.92053339999999995</v>
      </c>
      <c r="AB4737">
        <v>25</v>
      </c>
      <c r="AC4737">
        <v>6.26960000000002</v>
      </c>
      <c r="AD4737">
        <v>-1.11643604301</v>
      </c>
      <c r="AE4737">
        <v>-1.34144999999999</v>
      </c>
      <c r="AF4737">
        <v>-2.4635482221499099</v>
      </c>
      <c r="AG4737">
        <v>-1.11643604301</v>
      </c>
      <c r="AH4737">
        <v>5.7144035137294598</v>
      </c>
      <c r="AI4737">
        <v>100.17122737357199</v>
      </c>
      <c r="AJ4737">
        <v>113.321456298228</v>
      </c>
      <c r="AK4737">
        <v>6.3221757962518996</v>
      </c>
      <c r="AL4737">
        <v>88.497695776583399</v>
      </c>
      <c r="AM4737">
        <v>104.262272286856</v>
      </c>
      <c r="AN4737">
        <v>0.99999996983277994</v>
      </c>
    </row>
    <row r="4738" spans="1:40" x14ac:dyDescent="0.25">
      <c r="A4738" t="str">
        <f>"20190312151410705"</f>
        <v>20190312151410705</v>
      </c>
      <c r="B4738" t="str">
        <f>"1552374850695127"</f>
        <v>1552374850695127</v>
      </c>
      <c r="C4738" t="s">
        <v>40</v>
      </c>
      <c r="D4738">
        <v>4.9561080000000004</v>
      </c>
      <c r="E4738">
        <v>0.44560300000000003</v>
      </c>
      <c r="F4738" t="s">
        <v>59</v>
      </c>
      <c r="G4738">
        <v>-402.94260000000003</v>
      </c>
      <c r="H4738" s="1">
        <v>-5.1312979999999998E-6</v>
      </c>
      <c r="I4738">
        <v>21.637650000000001</v>
      </c>
      <c r="J4738">
        <v>-409.19659999999999</v>
      </c>
      <c r="K4738">
        <v>1.116395</v>
      </c>
      <c r="L4738">
        <v>22.916409999999999</v>
      </c>
      <c r="M4738">
        <v>0.82146419999999998</v>
      </c>
      <c r="N4738">
        <v>0</v>
      </c>
      <c r="O4738">
        <v>-0.57011719999999999</v>
      </c>
      <c r="P4738">
        <v>0.93606330000000004</v>
      </c>
      <c r="Q4738">
        <v>1.7803349999999999E-2</v>
      </c>
      <c r="R4738">
        <v>-0.35138150000000001</v>
      </c>
      <c r="S4738">
        <v>2.972931</v>
      </c>
      <c r="T4738">
        <v>-0.51103729999999903</v>
      </c>
      <c r="U4738">
        <v>-0.6567383</v>
      </c>
      <c r="V4738">
        <v>-0.24547869999999999</v>
      </c>
      <c r="W4738">
        <v>2.6361099999999998E-2</v>
      </c>
      <c r="X4738">
        <v>0.96904349999999995</v>
      </c>
      <c r="Y4738">
        <v>-0.36758479999999999</v>
      </c>
      <c r="Z4738">
        <v>0.12099790000000001</v>
      </c>
      <c r="AA4738">
        <v>0.92208509999999999</v>
      </c>
      <c r="AB4738">
        <v>25</v>
      </c>
      <c r="AC4738">
        <v>6.2539999999999596</v>
      </c>
      <c r="AD4738">
        <v>-1.1164001312980001</v>
      </c>
      <c r="AE4738">
        <v>-1.2787599999999899</v>
      </c>
      <c r="AF4738">
        <v>-2.4406114777041101</v>
      </c>
      <c r="AG4738">
        <v>-1.1164001312980001</v>
      </c>
      <c r="AH4738">
        <v>5.6928318244333296</v>
      </c>
      <c r="AI4738">
        <v>100.21732852528299</v>
      </c>
      <c r="AJ4738">
        <v>113.205616950497</v>
      </c>
      <c r="AK4738">
        <v>6.2937483123766702</v>
      </c>
      <c r="AL4738">
        <v>88.489445246395704</v>
      </c>
      <c r="AM4738">
        <v>104.215168967773</v>
      </c>
      <c r="AN4738">
        <v>1.0000000023195701</v>
      </c>
    </row>
    <row r="4739" spans="1:40" x14ac:dyDescent="0.25">
      <c r="A4739" t="str">
        <f>"20190312151410729"</f>
        <v>20190312151410729</v>
      </c>
      <c r="B4739" t="str">
        <f>"1552374850725384"</f>
        <v>1552374850725384</v>
      </c>
      <c r="C4739" t="s">
        <v>40</v>
      </c>
      <c r="D4739">
        <v>4.9916070000000001</v>
      </c>
      <c r="E4739">
        <v>0.46904109999999999</v>
      </c>
      <c r="F4739" t="s">
        <v>59</v>
      </c>
      <c r="G4739">
        <v>-402.67340000000002</v>
      </c>
      <c r="H4739" s="1">
        <v>-5.2386969999999996E-6</v>
      </c>
      <c r="I4739">
        <v>21.536449999999999</v>
      </c>
      <c r="J4739">
        <v>-408.9864</v>
      </c>
      <c r="K4739">
        <v>1.11636</v>
      </c>
      <c r="L4739">
        <v>22.783570000000001</v>
      </c>
      <c r="M4739">
        <v>0.82688079999999997</v>
      </c>
      <c r="N4739">
        <v>0</v>
      </c>
      <c r="O4739">
        <v>-0.56223239999999997</v>
      </c>
      <c r="P4739">
        <v>0.9393492</v>
      </c>
      <c r="Q4739">
        <v>1.8026830000000001E-2</v>
      </c>
      <c r="R4739">
        <v>-0.34248820000000002</v>
      </c>
      <c r="S4739">
        <v>2.9780880000000001</v>
      </c>
      <c r="T4739">
        <v>-0.50967739999999995</v>
      </c>
      <c r="U4739">
        <v>-0.63000489999999998</v>
      </c>
      <c r="V4739">
        <v>-0.2453968</v>
      </c>
      <c r="W4739">
        <v>2.6602770000000001E-2</v>
      </c>
      <c r="X4739">
        <v>0.96905759999999996</v>
      </c>
      <c r="Y4739">
        <v>-0.36712119999999998</v>
      </c>
      <c r="Z4739">
        <v>0.11953800000000001</v>
      </c>
      <c r="AA4739">
        <v>0.92246010000000001</v>
      </c>
      <c r="AB4739">
        <v>25</v>
      </c>
      <c r="AC4739">
        <v>6.3129999999999802</v>
      </c>
      <c r="AD4739">
        <v>-1.116365238697</v>
      </c>
      <c r="AE4739">
        <v>-1.24712</v>
      </c>
      <c r="AF4739">
        <v>-2.4447795184743799</v>
      </c>
      <c r="AG4739">
        <v>-1.116365238697</v>
      </c>
      <c r="AH4739">
        <v>5.7487356121836504</v>
      </c>
      <c r="AI4739">
        <v>100.132057382646</v>
      </c>
      <c r="AJ4739">
        <v>113.038718125378</v>
      </c>
      <c r="AK4739">
        <v>6.3459577195968899</v>
      </c>
      <c r="AL4739">
        <v>88.475593659805995</v>
      </c>
      <c r="AM4739">
        <v>104.210420061956</v>
      </c>
      <c r="AN4739">
        <v>0.99999996446983497</v>
      </c>
    </row>
    <row r="4740" spans="1:40" x14ac:dyDescent="0.25">
      <c r="A4740" t="str">
        <f>"20190312151410745"</f>
        <v>20190312151410745</v>
      </c>
      <c r="B4740" t="str">
        <f>"1552374850735144"</f>
        <v>1552374850735144</v>
      </c>
      <c r="C4740" t="s">
        <v>40</v>
      </c>
      <c r="D4740">
        <v>4.9799040000000003</v>
      </c>
      <c r="E4740">
        <v>0.46920410000000001</v>
      </c>
      <c r="F4740" t="s">
        <v>59</v>
      </c>
      <c r="G4740">
        <v>-402.43860000000001</v>
      </c>
      <c r="H4740" s="1">
        <v>-5.2595070000000002E-6</v>
      </c>
      <c r="I4740">
        <v>21.039010000000001</v>
      </c>
      <c r="J4740">
        <v>-408.81810000000002</v>
      </c>
      <c r="K4740">
        <v>1.1163379999999901</v>
      </c>
      <c r="L4740">
        <v>22.67905</v>
      </c>
      <c r="M4740">
        <v>0.83111979999999996</v>
      </c>
      <c r="N4740">
        <v>0</v>
      </c>
      <c r="O4740">
        <v>-0.55594709999999903</v>
      </c>
      <c r="P4740">
        <v>0.94185640000000004</v>
      </c>
      <c r="Q4740">
        <v>1.8097120000000001E-2</v>
      </c>
      <c r="R4740">
        <v>-0.3355282</v>
      </c>
      <c r="S4740">
        <v>2.9196170000000001</v>
      </c>
      <c r="T4740">
        <v>-0.49778460000000002</v>
      </c>
      <c r="U4740">
        <v>-0.7778931</v>
      </c>
      <c r="V4740">
        <v>-0.24521879999999999</v>
      </c>
      <c r="W4740">
        <v>2.6690479999999999E-2</v>
      </c>
      <c r="X4740">
        <v>0.96910030000000003</v>
      </c>
      <c r="Y4740">
        <v>-0.31264160000000002</v>
      </c>
      <c r="Z4740">
        <v>0.1126675</v>
      </c>
      <c r="AA4740">
        <v>0.94316549999999999</v>
      </c>
      <c r="AB4740">
        <v>25</v>
      </c>
      <c r="AC4740">
        <v>6.3795000000000002</v>
      </c>
      <c r="AD4740">
        <v>-1.11634325950699</v>
      </c>
      <c r="AE4740">
        <v>-1.64003999999999</v>
      </c>
      <c r="AF4740">
        <v>-2.12279949608233</v>
      </c>
      <c r="AG4740">
        <v>-1.11634325950699</v>
      </c>
      <c r="AH4740">
        <v>6.04089767745256</v>
      </c>
      <c r="AI4740">
        <v>99.889896992854901</v>
      </c>
      <c r="AJ4740">
        <v>109.361712038397</v>
      </c>
      <c r="AK4740">
        <v>6.4996111209106902</v>
      </c>
      <c r="AL4740">
        <v>88.470566541363695</v>
      </c>
      <c r="AM4740">
        <v>104.199929164029</v>
      </c>
      <c r="AN4740">
        <v>1.00000001652808</v>
      </c>
    </row>
    <row r="4741" spans="1:40" x14ac:dyDescent="0.25">
      <c r="A4741" t="str">
        <f>"20190312151410769"</f>
        <v>20190312151410769</v>
      </c>
      <c r="B4741" t="str">
        <f>"1552374850765401"</f>
        <v>1552374850765401</v>
      </c>
      <c r="C4741" t="s">
        <v>40</v>
      </c>
      <c r="D4741">
        <v>4.9934070000000004</v>
      </c>
      <c r="E4741">
        <v>0.4705799</v>
      </c>
      <c r="F4741" t="s">
        <v>59</v>
      </c>
      <c r="G4741">
        <v>-402.226</v>
      </c>
      <c r="H4741" s="1">
        <v>-5.34653E-6</v>
      </c>
      <c r="I4741">
        <v>20.97156</v>
      </c>
      <c r="J4741">
        <v>-408.60680000000002</v>
      </c>
      <c r="K4741">
        <v>1.116301</v>
      </c>
      <c r="L4741">
        <v>22.550419999999999</v>
      </c>
      <c r="M4741">
        <v>0.83631929999999999</v>
      </c>
      <c r="N4741">
        <v>0</v>
      </c>
      <c r="O4741">
        <v>-0.54809419999999898</v>
      </c>
      <c r="P4741">
        <v>0.94490609999999997</v>
      </c>
      <c r="Q4741">
        <v>1.8079620000000001E-2</v>
      </c>
      <c r="R4741">
        <v>-0.32684210000000002</v>
      </c>
      <c r="S4741">
        <v>2.9248660000000002</v>
      </c>
      <c r="T4741">
        <v>-0.49531229999999998</v>
      </c>
      <c r="U4741">
        <v>-0.75759889999999996</v>
      </c>
      <c r="V4741">
        <v>-0.2450108</v>
      </c>
      <c r="W4741">
        <v>2.6692380000000002E-2</v>
      </c>
      <c r="X4741">
        <v>0.96915289999999998</v>
      </c>
      <c r="Y4741">
        <v>-0.31047829999999998</v>
      </c>
      <c r="Z4741">
        <v>0.11082400000000001</v>
      </c>
      <c r="AA4741">
        <v>0.94409810000000005</v>
      </c>
      <c r="AB4741">
        <v>25</v>
      </c>
      <c r="AC4741">
        <v>6.3808000000000202</v>
      </c>
      <c r="AD4741">
        <v>-1.11630634653</v>
      </c>
      <c r="AE4741">
        <v>-1.5788599999999999</v>
      </c>
      <c r="AF4741">
        <v>-2.1159983094557</v>
      </c>
      <c r="AG4741">
        <v>-1.11630634653</v>
      </c>
      <c r="AH4741">
        <v>6.0283908824802701</v>
      </c>
      <c r="AI4741">
        <v>99.910899708922997</v>
      </c>
      <c r="AJ4741">
        <v>109.341353473806</v>
      </c>
      <c r="AK4741">
        <v>6.4857601973009897</v>
      </c>
      <c r="AL4741">
        <v>88.4704577062098</v>
      </c>
      <c r="AM4741">
        <v>104.18763209964</v>
      </c>
      <c r="AN4741">
        <v>1.00000005942255</v>
      </c>
    </row>
    <row r="4742" spans="1:40" x14ac:dyDescent="0.25">
      <c r="A4742" t="str">
        <f>"20190312151410791"</f>
        <v>20190312151410791</v>
      </c>
      <c r="B4742" t="str">
        <f>"1552374850784920"</f>
        <v>1552374850784920</v>
      </c>
      <c r="C4742" t="s">
        <v>40</v>
      </c>
      <c r="D4742">
        <v>4.9650080000000001</v>
      </c>
      <c r="E4742">
        <v>0.47174179999999999</v>
      </c>
      <c r="F4742" t="s">
        <v>59</v>
      </c>
      <c r="G4742">
        <v>-402.00420000000003</v>
      </c>
      <c r="H4742" s="1">
        <v>-5.4335339999999901E-6</v>
      </c>
      <c r="I4742">
        <v>20.879719999999999</v>
      </c>
      <c r="J4742">
        <v>-408.39159999999998</v>
      </c>
      <c r="K4742">
        <v>1.1162669999999999</v>
      </c>
      <c r="L4742">
        <v>22.422090000000001</v>
      </c>
      <c r="M4742">
        <v>0.84148140000000005</v>
      </c>
      <c r="N4742">
        <v>0</v>
      </c>
      <c r="O4742">
        <v>-0.54013580000000005</v>
      </c>
      <c r="P4742">
        <v>0.94772259999999997</v>
      </c>
      <c r="Q4742">
        <v>1.8335150000000001E-2</v>
      </c>
      <c r="R4742">
        <v>-0.31856849999999998</v>
      </c>
      <c r="S4742">
        <v>2.9281009999999998</v>
      </c>
      <c r="T4742">
        <v>-0.4950502</v>
      </c>
      <c r="U4742">
        <v>-0.74090579999999995</v>
      </c>
      <c r="V4742">
        <v>-0.2442879</v>
      </c>
      <c r="W4742">
        <v>2.6975519999999999E-2</v>
      </c>
      <c r="X4742">
        <v>0.96932739999999995</v>
      </c>
      <c r="Y4742">
        <v>-0.306921</v>
      </c>
      <c r="Z4742">
        <v>0.10938390000000001</v>
      </c>
      <c r="AA4742">
        <v>0.9454283</v>
      </c>
      <c r="AB4742">
        <v>25</v>
      </c>
      <c r="AC4742">
        <v>6.3873999999999498</v>
      </c>
      <c r="AD4742">
        <v>-1.116272433534</v>
      </c>
      <c r="AE4742">
        <v>-1.54236999999999</v>
      </c>
      <c r="AF4742">
        <v>-2.0919899231801899</v>
      </c>
      <c r="AG4742">
        <v>-1.116272433534</v>
      </c>
      <c r="AH4742">
        <v>6.0343274431048997</v>
      </c>
      <c r="AI4742">
        <v>99.9141066523229</v>
      </c>
      <c r="AJ4742">
        <v>109.120487015059</v>
      </c>
      <c r="AK4742">
        <v>6.4834862285011701</v>
      </c>
      <c r="AL4742">
        <v>88.454228940157705</v>
      </c>
      <c r="AM4742">
        <v>104.14501029912699</v>
      </c>
      <c r="AN4742">
        <v>0.99999993257821795</v>
      </c>
    </row>
    <row r="4743" spans="1:40" x14ac:dyDescent="0.25">
      <c r="A4743" t="str">
        <f>"20190312151410813"</f>
        <v>20190312151410813</v>
      </c>
      <c r="B4743" t="str">
        <f>"1552374850805416"</f>
        <v>1552374850805416</v>
      </c>
      <c r="C4743" t="s">
        <v>40</v>
      </c>
      <c r="D4743">
        <v>4.9864819999999996</v>
      </c>
      <c r="E4743">
        <v>0.47225149999999999</v>
      </c>
      <c r="F4743" t="s">
        <v>59</v>
      </c>
      <c r="G4743">
        <v>-401.74200000000002</v>
      </c>
      <c r="H4743" s="1">
        <v>-5.538003E-6</v>
      </c>
      <c r="I4743">
        <v>20.78049</v>
      </c>
      <c r="J4743">
        <v>-408.18959999999998</v>
      </c>
      <c r="K4743">
        <v>1.1162379999999901</v>
      </c>
      <c r="L4743">
        <v>22.30396</v>
      </c>
      <c r="M4743">
        <v>0.84620790000000001</v>
      </c>
      <c r="N4743">
        <v>0</v>
      </c>
      <c r="O4743">
        <v>-0.53270079999999997</v>
      </c>
      <c r="P4743">
        <v>0.95029249999999998</v>
      </c>
      <c r="Q4743">
        <v>1.861225E-2</v>
      </c>
      <c r="R4743">
        <v>-0.31080200000000002</v>
      </c>
      <c r="S4743">
        <v>2.931702</v>
      </c>
      <c r="T4743">
        <v>-0.49214720000000001</v>
      </c>
      <c r="U4743">
        <v>-0.72375489999999998</v>
      </c>
      <c r="V4743">
        <v>-0.24367949999999999</v>
      </c>
      <c r="W4743">
        <v>2.7277249999999999E-2</v>
      </c>
      <c r="X4743">
        <v>0.96947220000000001</v>
      </c>
      <c r="Y4743">
        <v>-0.30426700000000001</v>
      </c>
      <c r="Z4743">
        <v>0.1075021</v>
      </c>
      <c r="AA4743">
        <v>0.94650140000000005</v>
      </c>
      <c r="AB4743">
        <v>25</v>
      </c>
      <c r="AC4743">
        <v>6.44760000000002</v>
      </c>
      <c r="AD4743">
        <v>-1.11624353800299</v>
      </c>
      <c r="AE4743">
        <v>-1.5234699999999901</v>
      </c>
      <c r="AF4743">
        <v>-2.0864150248909099</v>
      </c>
      <c r="AG4743">
        <v>-1.11624353800299</v>
      </c>
      <c r="AH4743">
        <v>6.0950482907550496</v>
      </c>
      <c r="AI4743">
        <v>99.829978688527902</v>
      </c>
      <c r="AJ4743">
        <v>108.896748462095</v>
      </c>
      <c r="AK4743">
        <v>6.5382521333197303</v>
      </c>
      <c r="AL4743">
        <v>88.436934897933497</v>
      </c>
      <c r="AM4743">
        <v>104.109167659883</v>
      </c>
      <c r="AN4743">
        <v>1.0000000468303201</v>
      </c>
    </row>
    <row r="4744" spans="1:40" x14ac:dyDescent="0.25">
      <c r="A4744" t="str">
        <f>"20190312151410835"</f>
        <v>20190312151410835</v>
      </c>
      <c r="B4744" t="str">
        <f>"1552374850824936"</f>
        <v>1552374850824936</v>
      </c>
      <c r="C4744" t="s">
        <v>40</v>
      </c>
      <c r="D4744">
        <v>5.0444930000000001</v>
      </c>
      <c r="E4744">
        <v>0.47180919999999998</v>
      </c>
      <c r="F4744" t="s">
        <v>59</v>
      </c>
      <c r="G4744">
        <v>-401.52719999999999</v>
      </c>
      <c r="H4744" s="1">
        <v>-5.6252720000000002E-6</v>
      </c>
      <c r="I4744">
        <v>20.708649999999999</v>
      </c>
      <c r="J4744">
        <v>-407.96899999999999</v>
      </c>
      <c r="K4744">
        <v>1.116196</v>
      </c>
      <c r="L4744">
        <v>22.177669999999999</v>
      </c>
      <c r="M4744">
        <v>0.85123749999999998</v>
      </c>
      <c r="N4744">
        <v>0</v>
      </c>
      <c r="O4744">
        <v>-0.5246265</v>
      </c>
      <c r="P4744">
        <v>0.9529147</v>
      </c>
      <c r="Q4744">
        <v>1.8779489999999999E-2</v>
      </c>
      <c r="R4744">
        <v>-0.3026567</v>
      </c>
      <c r="S4744">
        <v>2.9365540000000001</v>
      </c>
      <c r="T4744">
        <v>-0.49200179999999999</v>
      </c>
      <c r="U4744">
        <v>-0.70315550000000004</v>
      </c>
      <c r="V4744">
        <v>-0.2427521</v>
      </c>
      <c r="W4744">
        <v>2.7475059999999999E-2</v>
      </c>
      <c r="X4744">
        <v>0.96969919999999998</v>
      </c>
      <c r="Y4744">
        <v>-0.30198209999999998</v>
      </c>
      <c r="Z4744">
        <v>0.1061328</v>
      </c>
      <c r="AA4744">
        <v>0.94738730000000004</v>
      </c>
      <c r="AB4744">
        <v>25</v>
      </c>
      <c r="AC4744">
        <v>6.4417999999999997</v>
      </c>
      <c r="AD4744">
        <v>-1.116201625272</v>
      </c>
      <c r="AE4744">
        <v>-1.46902</v>
      </c>
      <c r="AF4744">
        <v>-2.0701444655975401</v>
      </c>
      <c r="AG4744">
        <v>-1.116201625272</v>
      </c>
      <c r="AH4744">
        <v>6.0811390184189698</v>
      </c>
      <c r="AI4744">
        <v>99.857250280541294</v>
      </c>
      <c r="AJ4744">
        <v>108.799627471305</v>
      </c>
      <c r="AK4744">
        <v>6.52009631355563</v>
      </c>
      <c r="AL4744">
        <v>88.425596896701805</v>
      </c>
      <c r="AM4744">
        <v>104.054443332549</v>
      </c>
      <c r="AN4744">
        <v>0.99999999972852605</v>
      </c>
    </row>
    <row r="4745" spans="1:40" x14ac:dyDescent="0.25">
      <c r="A4745" t="str">
        <f>"20190312151410860"</f>
        <v>20190312151410860</v>
      </c>
      <c r="B4745" t="str">
        <f>"1552374850855192"</f>
        <v>1552374850855192</v>
      </c>
      <c r="C4745" t="s">
        <v>40</v>
      </c>
      <c r="D4745">
        <v>4.9840059999999999</v>
      </c>
      <c r="E4745">
        <v>0.46025759999999999</v>
      </c>
      <c r="F4745" t="s">
        <v>59</v>
      </c>
      <c r="G4745">
        <v>-401.2679</v>
      </c>
      <c r="H4745" s="1">
        <v>-5.734281E-6</v>
      </c>
      <c r="I4745">
        <v>20.642430000000001</v>
      </c>
      <c r="J4745">
        <v>-407.74110000000002</v>
      </c>
      <c r="K4745">
        <v>1.116158</v>
      </c>
      <c r="L4745">
        <v>22.049990000000001</v>
      </c>
      <c r="M4745">
        <v>0.856294</v>
      </c>
      <c r="N4745">
        <v>0</v>
      </c>
      <c r="O4745">
        <v>-0.51633229999999997</v>
      </c>
      <c r="P4745">
        <v>0.95555089999999998</v>
      </c>
      <c r="Q4745">
        <v>1.8328870000000001E-2</v>
      </c>
      <c r="R4745">
        <v>-0.29425669999999998</v>
      </c>
      <c r="S4745">
        <v>2.943695</v>
      </c>
      <c r="T4745">
        <v>-0.4903286</v>
      </c>
      <c r="U4745">
        <v>-0.67440800000000001</v>
      </c>
      <c r="V4745">
        <v>-0.24186279999999999</v>
      </c>
      <c r="W4745">
        <v>2.705608E-2</v>
      </c>
      <c r="X4745">
        <v>0.96993320000000005</v>
      </c>
      <c r="Y4745">
        <v>-0.30219800000000002</v>
      </c>
      <c r="Z4745">
        <v>0.1045746</v>
      </c>
      <c r="AA4745">
        <v>0.94749170000000005</v>
      </c>
      <c r="AB4745">
        <v>25</v>
      </c>
      <c r="AC4745">
        <v>6.4732000000000101</v>
      </c>
      <c r="AD4745">
        <v>-1.116163734281</v>
      </c>
      <c r="AE4745">
        <v>-1.4075599999999999</v>
      </c>
      <c r="AF4745">
        <v>-2.0782108180071601</v>
      </c>
      <c r="AG4745">
        <v>-1.116163734281</v>
      </c>
      <c r="AH4745">
        <v>6.0971440554706904</v>
      </c>
      <c r="AI4745">
        <v>99.830290097109796</v>
      </c>
      <c r="AJ4745">
        <v>108.821670639809</v>
      </c>
      <c r="AK4745">
        <v>6.5375796223807203</v>
      </c>
      <c r="AL4745">
        <v>88.449611656004706</v>
      </c>
      <c r="AM4745">
        <v>104.001740299405</v>
      </c>
      <c r="AN4745">
        <v>1.00000002897552</v>
      </c>
    </row>
    <row r="4746" spans="1:40" x14ac:dyDescent="0.25">
      <c r="A4746" t="str">
        <f>"20190312151410882"</f>
        <v>20190312151410882</v>
      </c>
      <c r="B4746" t="str">
        <f>"1552374850875688"</f>
        <v>1552374850875688</v>
      </c>
      <c r="C4746" t="s">
        <v>40</v>
      </c>
      <c r="D4746">
        <v>4.9569489999999998</v>
      </c>
      <c r="E4746">
        <v>0.46137810000000001</v>
      </c>
      <c r="F4746" t="s">
        <v>59</v>
      </c>
      <c r="G4746">
        <v>-400.41759999999999</v>
      </c>
      <c r="H4746" s="1">
        <v>-6.126144E-6</v>
      </c>
      <c r="I4746">
        <v>20.667200000000001</v>
      </c>
      <c r="J4746">
        <v>-407.52300000000002</v>
      </c>
      <c r="K4746">
        <v>1.1161179999999999</v>
      </c>
      <c r="L4746">
        <v>21.93036</v>
      </c>
      <c r="M4746">
        <v>0.86100319999999997</v>
      </c>
      <c r="N4746">
        <v>0</v>
      </c>
      <c r="O4746">
        <v>-0.50844089999999997</v>
      </c>
      <c r="P4746">
        <v>0.95780220000000005</v>
      </c>
      <c r="Q4746">
        <v>1.834972E-2</v>
      </c>
      <c r="R4746">
        <v>-0.2868424</v>
      </c>
      <c r="S4746">
        <v>2.9752200000000002</v>
      </c>
      <c r="T4746">
        <v>-0.45345010000000002</v>
      </c>
      <c r="U4746">
        <v>-0.56176759999999903</v>
      </c>
      <c r="V4746">
        <v>-0.2404626</v>
      </c>
      <c r="W4746">
        <v>2.7119000000000001E-2</v>
      </c>
      <c r="X4746">
        <v>0.97027949999999996</v>
      </c>
      <c r="Y4746">
        <v>-0.33116719999999999</v>
      </c>
      <c r="Z4746">
        <v>9.7523020000000002E-2</v>
      </c>
      <c r="AA4746">
        <v>0.93851879999999999</v>
      </c>
      <c r="AB4746">
        <v>25</v>
      </c>
      <c r="AC4746">
        <v>7.1054000000000297</v>
      </c>
      <c r="AD4746">
        <v>-1.116124126144</v>
      </c>
      <c r="AE4746">
        <v>-1.2631599999999901</v>
      </c>
      <c r="AF4746">
        <v>-2.4663044487437098</v>
      </c>
      <c r="AG4746">
        <v>-1.116124126144</v>
      </c>
      <c r="AH4746">
        <v>6.6026342564642198</v>
      </c>
      <c r="AI4746">
        <v>98.998377408822904</v>
      </c>
      <c r="AJ4746">
        <v>110.482339790932</v>
      </c>
      <c r="AK4746">
        <v>7.1360472128124703</v>
      </c>
      <c r="AL4746">
        <v>88.446005245308598</v>
      </c>
      <c r="AM4746">
        <v>103.91906726086999</v>
      </c>
      <c r="AN4746">
        <v>1.00000000514</v>
      </c>
    </row>
    <row r="4747" spans="1:40" x14ac:dyDescent="0.25">
      <c r="A4747" t="str">
        <f>"20190312151410904"</f>
        <v>20190312151410904</v>
      </c>
      <c r="B4747" t="str">
        <f>"1552374850895208"</f>
        <v>1552374850895208</v>
      </c>
      <c r="C4747" t="s">
        <v>40</v>
      </c>
      <c r="D4747">
        <v>5.0418079999999996</v>
      </c>
      <c r="E4747">
        <v>0.46232620000000002</v>
      </c>
      <c r="F4747" t="s">
        <v>59</v>
      </c>
      <c r="G4747">
        <v>-400.06490000000002</v>
      </c>
      <c r="H4747" s="1">
        <v>-6.2322539999999996E-6</v>
      </c>
      <c r="I4747">
        <v>20.560839999999999</v>
      </c>
      <c r="J4747">
        <v>-407.30739999999997</v>
      </c>
      <c r="K4747">
        <v>1.1160730000000001</v>
      </c>
      <c r="L4747">
        <v>21.814609999999998</v>
      </c>
      <c r="M4747">
        <v>0.86553539999999995</v>
      </c>
      <c r="N4747">
        <v>0</v>
      </c>
      <c r="O4747">
        <v>-0.50068679999999999</v>
      </c>
      <c r="P4747">
        <v>0.96009049999999996</v>
      </c>
      <c r="Q4747">
        <v>1.8074969999999999E-2</v>
      </c>
      <c r="R4747">
        <v>-0.27910509999999999</v>
      </c>
      <c r="S4747">
        <v>2.97702</v>
      </c>
      <c r="T4747">
        <v>-0.4455171</v>
      </c>
      <c r="U4747">
        <v>-0.54666139999999996</v>
      </c>
      <c r="V4747">
        <v>-0.2395716</v>
      </c>
      <c r="W4747">
        <v>2.6876859999999999E-2</v>
      </c>
      <c r="X4747">
        <v>0.9705066</v>
      </c>
      <c r="Y4747">
        <v>-0.32781690000000002</v>
      </c>
      <c r="Z4747">
        <v>9.4618010000000002E-2</v>
      </c>
      <c r="AA4747">
        <v>0.93999120000000003</v>
      </c>
      <c r="AB4747">
        <v>25</v>
      </c>
      <c r="AC4747">
        <v>7.24249999999995</v>
      </c>
      <c r="AD4747">
        <v>-1.1160792322540001</v>
      </c>
      <c r="AE4747">
        <v>-1.2537700000000001</v>
      </c>
      <c r="AF4747">
        <v>-2.4839754236087801</v>
      </c>
      <c r="AG4747">
        <v>-1.1160792322540001</v>
      </c>
      <c r="AH4747">
        <v>6.7415080246123296</v>
      </c>
      <c r="AI4747">
        <v>98.829973027764893</v>
      </c>
      <c r="AJ4747">
        <v>110.226819569364</v>
      </c>
      <c r="AK4747">
        <v>7.27074254830094</v>
      </c>
      <c r="AL4747">
        <v>88.459883879202195</v>
      </c>
      <c r="AM4747">
        <v>103.86636667907899</v>
      </c>
      <c r="AN4747">
        <v>0.99999998888678898</v>
      </c>
    </row>
    <row r="4748" spans="1:40" x14ac:dyDescent="0.25">
      <c r="A4748" t="str">
        <f>"20190312151410926"</f>
        <v>20190312151410926</v>
      </c>
      <c r="B4748" t="str">
        <f>"1552374850915704"</f>
        <v>1552374850915704</v>
      </c>
      <c r="C4748" t="s">
        <v>40</v>
      </c>
      <c r="D4748">
        <v>4.993036</v>
      </c>
      <c r="E4748">
        <v>0.46280480000000002</v>
      </c>
      <c r="F4748" t="s">
        <v>42</v>
      </c>
      <c r="G4748">
        <v>-399.8759</v>
      </c>
      <c r="H4748" s="1">
        <v>-2.7282700000000001E-7</v>
      </c>
      <c r="I4748">
        <v>20.49456</v>
      </c>
      <c r="J4748">
        <v>-407.0976</v>
      </c>
      <c r="K4748">
        <v>1.1160369999999999</v>
      </c>
      <c r="L4748">
        <v>21.704219999999999</v>
      </c>
      <c r="M4748">
        <v>0.86983220000000006</v>
      </c>
      <c r="N4748">
        <v>0</v>
      </c>
      <c r="O4748">
        <v>-0.49318459999999997</v>
      </c>
      <c r="P4748">
        <v>0.96225450000000001</v>
      </c>
      <c r="Q4748">
        <v>1.838275E-2</v>
      </c>
      <c r="R4748">
        <v>-0.2715302</v>
      </c>
      <c r="S4748">
        <v>2.9793090000000002</v>
      </c>
      <c r="T4748">
        <v>-0.44743309999999997</v>
      </c>
      <c r="U4748">
        <v>-0.52920529999999999</v>
      </c>
      <c r="V4748">
        <v>-0.23882709999999999</v>
      </c>
      <c r="W4748">
        <v>2.7213850000000001E-2</v>
      </c>
      <c r="X4748">
        <v>0.97068069999999895</v>
      </c>
      <c r="Y4748">
        <v>-0.32514900000000002</v>
      </c>
      <c r="Z4748">
        <v>9.3867320000000004E-2</v>
      </c>
      <c r="AA4748">
        <v>0.94099259999999996</v>
      </c>
      <c r="AB4748">
        <v>25</v>
      </c>
      <c r="AC4748">
        <v>7.2216999999999896</v>
      </c>
      <c r="AD4748">
        <v>-1.116037272827</v>
      </c>
      <c r="AE4748">
        <v>-1.20965999999999</v>
      </c>
      <c r="AF4748">
        <v>-2.4526551629533699</v>
      </c>
      <c r="AG4748">
        <v>-1.116037272827</v>
      </c>
      <c r="AH4748">
        <v>6.72263517913572</v>
      </c>
      <c r="AI4748">
        <v>98.864255431235193</v>
      </c>
      <c r="AJ4748">
        <v>110.04375854958001</v>
      </c>
      <c r="AK4748">
        <v>7.2425741483573498</v>
      </c>
      <c r="AL4748">
        <v>88.440568725117004</v>
      </c>
      <c r="AM4748">
        <v>103.82254623055</v>
      </c>
      <c r="AN4748">
        <v>0.99999999933936101</v>
      </c>
    </row>
    <row r="4749" spans="1:40" x14ac:dyDescent="0.25">
      <c r="A4749" t="str">
        <f>"20190312151410949"</f>
        <v>20190312151410949</v>
      </c>
      <c r="B4749" t="str">
        <f>"1552374850944985"</f>
        <v>1552374850944985</v>
      </c>
      <c r="C4749" t="s">
        <v>40</v>
      </c>
      <c r="D4749">
        <v>5.2792000000000003</v>
      </c>
      <c r="E4749">
        <v>0.46394859999999999</v>
      </c>
      <c r="F4749" t="s">
        <v>42</v>
      </c>
      <c r="G4749">
        <v>-399.69540000000001</v>
      </c>
      <c r="H4749" s="1">
        <v>-3.4360319999999999E-7</v>
      </c>
      <c r="I4749">
        <v>20.439879999999999</v>
      </c>
      <c r="J4749">
        <v>-406.86110000000002</v>
      </c>
      <c r="K4749">
        <v>1.1159969999999999</v>
      </c>
      <c r="L4749">
        <v>21.582730000000002</v>
      </c>
      <c r="M4749">
        <v>0.87453959999999997</v>
      </c>
      <c r="N4749">
        <v>0</v>
      </c>
      <c r="O4749">
        <v>-0.48478830000000001</v>
      </c>
      <c r="P4749">
        <v>0.96453979999999995</v>
      </c>
      <c r="Q4749">
        <v>1.862134E-2</v>
      </c>
      <c r="R4749">
        <v>-0.26327979999999901</v>
      </c>
      <c r="S4749">
        <v>2.982513</v>
      </c>
      <c r="T4749">
        <v>-0.44967469999999998</v>
      </c>
      <c r="U4749">
        <v>-0.50942989999999999</v>
      </c>
      <c r="V4749">
        <v>-0.237793</v>
      </c>
      <c r="W4749">
        <v>2.7487930000000001E-2</v>
      </c>
      <c r="X4749">
        <v>0.97092679999999998</v>
      </c>
      <c r="Y4749">
        <v>-0.32231900000000002</v>
      </c>
      <c r="Z4749">
        <v>9.3019480000000002E-2</v>
      </c>
      <c r="AA4749">
        <v>0.94204980000000005</v>
      </c>
      <c r="AB4749">
        <v>25</v>
      </c>
      <c r="AC4749">
        <v>7.16570000000001</v>
      </c>
      <c r="AD4749">
        <v>-1.11599734360319</v>
      </c>
      <c r="AE4749">
        <v>-1.1428499999999899</v>
      </c>
      <c r="AF4749">
        <v>-2.41739833087084</v>
      </c>
      <c r="AG4749">
        <v>-1.11599734360319</v>
      </c>
      <c r="AH4749">
        <v>6.6636566038529903</v>
      </c>
      <c r="AI4749">
        <v>98.946963111489794</v>
      </c>
      <c r="AJ4749">
        <v>109.939432108651</v>
      </c>
      <c r="AK4749">
        <v>7.17590301600434</v>
      </c>
      <c r="AL4749">
        <v>88.424859180953305</v>
      </c>
      <c r="AM4749">
        <v>103.76162065037801</v>
      </c>
      <c r="AN4749">
        <v>0.99999997405146202</v>
      </c>
    </row>
    <row r="4750" spans="1:40" x14ac:dyDescent="0.25">
      <c r="A4750" t="str">
        <f>"20190312151410973"</f>
        <v>20190312151410973</v>
      </c>
      <c r="B4750" t="str">
        <f>"1552374850965480"</f>
        <v>1552374850965480</v>
      </c>
      <c r="C4750" t="s">
        <v>40</v>
      </c>
      <c r="D4750">
        <v>5.095186</v>
      </c>
      <c r="E4750">
        <v>0.46541919999999998</v>
      </c>
      <c r="F4750" t="s">
        <v>42</v>
      </c>
      <c r="G4750">
        <v>-399.47340000000003</v>
      </c>
      <c r="H4750" s="1">
        <v>-4.2807889999999999E-7</v>
      </c>
      <c r="I4750">
        <v>20.363029999999998</v>
      </c>
      <c r="J4750">
        <v>-406.63819999999998</v>
      </c>
      <c r="K4750">
        <v>1.1159600000000001</v>
      </c>
      <c r="L4750">
        <v>21.470700000000001</v>
      </c>
      <c r="M4750">
        <v>0.87885859999999905</v>
      </c>
      <c r="N4750">
        <v>0</v>
      </c>
      <c r="O4750">
        <v>-0.4769137</v>
      </c>
      <c r="P4750">
        <v>0.96660299999999999</v>
      </c>
      <c r="Q4750">
        <v>1.8274640000000002E-2</v>
      </c>
      <c r="R4750">
        <v>-0.25562639999999998</v>
      </c>
      <c r="S4750">
        <v>2.9844970000000002</v>
      </c>
      <c r="T4750">
        <v>-0.45084200000000002</v>
      </c>
      <c r="U4750">
        <v>-0.49273679999999997</v>
      </c>
      <c r="V4750">
        <v>-0.23676340000000001</v>
      </c>
      <c r="W4750">
        <v>2.7171910000000001E-2</v>
      </c>
      <c r="X4750">
        <v>0.97118729999999998</v>
      </c>
      <c r="Y4750">
        <v>-0.31912360000000001</v>
      </c>
      <c r="Z4750">
        <v>9.1998819999999995E-2</v>
      </c>
      <c r="AA4750">
        <v>0.94323710000000005</v>
      </c>
      <c r="AB4750">
        <v>25</v>
      </c>
      <c r="AC4750">
        <v>7.1647999999999499</v>
      </c>
      <c r="AD4750">
        <v>-1.1159604280788999</v>
      </c>
      <c r="AE4750">
        <v>-1.1076699999999999</v>
      </c>
      <c r="AF4750">
        <v>-2.3871424912006001</v>
      </c>
      <c r="AG4750">
        <v>-1.1159604280788999</v>
      </c>
      <c r="AH4750">
        <v>6.6676767371634096</v>
      </c>
      <c r="AI4750">
        <v>98.954720605062903</v>
      </c>
      <c r="AJ4750">
        <v>109.698237378085</v>
      </c>
      <c r="AK4750">
        <v>7.1694999840744602</v>
      </c>
      <c r="AL4750">
        <v>88.442972593814801</v>
      </c>
      <c r="AM4750">
        <v>103.70074932176701</v>
      </c>
      <c r="AN4750">
        <v>0.999999995976949</v>
      </c>
    </row>
    <row r="4751" spans="1:40" x14ac:dyDescent="0.25">
      <c r="A4751" t="str">
        <f>"20190312151410993"</f>
        <v>20190312151410993</v>
      </c>
      <c r="B4751" t="str">
        <f>"1552374850985001"</f>
        <v>1552374850985001</v>
      </c>
      <c r="C4751" t="s">
        <v>40</v>
      </c>
      <c r="D4751">
        <v>4.9685620000000004</v>
      </c>
      <c r="E4751">
        <v>0.46614</v>
      </c>
      <c r="F4751" t="s">
        <v>42</v>
      </c>
      <c r="G4751">
        <v>-399.07889999999998</v>
      </c>
      <c r="H4751" s="1">
        <v>-5.8543109999999999E-7</v>
      </c>
      <c r="I4751">
        <v>20.253499999999999</v>
      </c>
      <c r="J4751">
        <v>-406.43860000000001</v>
      </c>
      <c r="K4751">
        <v>1.1159330000000001</v>
      </c>
      <c r="L4751">
        <v>21.37238</v>
      </c>
      <c r="M4751">
        <v>0.88263060000000004</v>
      </c>
      <c r="N4751">
        <v>0</v>
      </c>
      <c r="O4751">
        <v>-0.4698966</v>
      </c>
      <c r="P4751">
        <v>0.96837549999999994</v>
      </c>
      <c r="Q4751">
        <v>1.8174880000000001E-2</v>
      </c>
      <c r="R4751">
        <v>-0.24883479999999999</v>
      </c>
      <c r="S4751">
        <v>2.9848629999999998</v>
      </c>
      <c r="T4751">
        <v>-0.44064389999999998</v>
      </c>
      <c r="U4751">
        <v>-0.48062129999999997</v>
      </c>
      <c r="V4751">
        <v>-0.23584040000000001</v>
      </c>
      <c r="W4751">
        <v>2.7098029999999999E-2</v>
      </c>
      <c r="X4751">
        <v>0.97141390000000005</v>
      </c>
      <c r="Y4751">
        <v>-0.31579380000000001</v>
      </c>
      <c r="Z4751">
        <v>8.8832149999999999E-2</v>
      </c>
      <c r="AA4751">
        <v>0.94466030000000001</v>
      </c>
      <c r="AB4751">
        <v>25</v>
      </c>
      <c r="AC4751">
        <v>7.3597000000000303</v>
      </c>
      <c r="AD4751">
        <v>-1.1159335854311001</v>
      </c>
      <c r="AE4751">
        <v>-1.1188800000000001</v>
      </c>
      <c r="AF4751">
        <v>-2.4166329742177299</v>
      </c>
      <c r="AG4751">
        <v>-1.1159335854311001</v>
      </c>
      <c r="AH4751">
        <v>6.8678855188079702</v>
      </c>
      <c r="AI4751">
        <v>98.714121356465199</v>
      </c>
      <c r="AJ4751">
        <v>109.38566435999</v>
      </c>
      <c r="AK4751">
        <v>7.3656821950598603</v>
      </c>
      <c r="AL4751">
        <v>88.447207142497803</v>
      </c>
      <c r="AM4751">
        <v>103.646274976729</v>
      </c>
      <c r="AN4751">
        <v>0.99999998130762502</v>
      </c>
    </row>
    <row r="4752" spans="1:40" x14ac:dyDescent="0.25">
      <c r="A4752" t="str">
        <f>"20190312151411014"</f>
        <v>20190312151411014</v>
      </c>
      <c r="B4752" t="str">
        <f>"1552374851005496"</f>
        <v>1552374851005496</v>
      </c>
      <c r="C4752" t="s">
        <v>40</v>
      </c>
      <c r="D4752">
        <v>4.9979829999999996</v>
      </c>
      <c r="E4752">
        <v>0.4669818</v>
      </c>
      <c r="F4752" t="s">
        <v>42</v>
      </c>
      <c r="G4752">
        <v>-398.81790000000001</v>
      </c>
      <c r="H4752" s="1">
        <v>-6.9070629999999999E-7</v>
      </c>
      <c r="I4752">
        <v>20.185569999999998</v>
      </c>
      <c r="J4752">
        <v>-406.23050000000001</v>
      </c>
      <c r="K4752">
        <v>1.115904</v>
      </c>
      <c r="L4752">
        <v>21.271909999999998</v>
      </c>
      <c r="M4752">
        <v>0.88646999999999998</v>
      </c>
      <c r="N4752">
        <v>0</v>
      </c>
      <c r="O4752">
        <v>-0.46261279999999999</v>
      </c>
      <c r="P4752">
        <v>0.97016210000000003</v>
      </c>
      <c r="Q4752">
        <v>1.8206770000000001E-2</v>
      </c>
      <c r="R4752">
        <v>-0.2417733</v>
      </c>
      <c r="S4752">
        <v>2.9866329999999999</v>
      </c>
      <c r="T4752">
        <v>-0.43734679999999998</v>
      </c>
      <c r="U4752">
        <v>-0.46511839999999999</v>
      </c>
      <c r="V4752">
        <v>-0.23491619999999999</v>
      </c>
      <c r="W4752">
        <v>2.7156179999999999E-2</v>
      </c>
      <c r="X4752">
        <v>0.97163619999999995</v>
      </c>
      <c r="Y4752">
        <v>-0.3130734</v>
      </c>
      <c r="Z4752">
        <v>8.7050349999999999E-2</v>
      </c>
      <c r="AA4752">
        <v>0.94573110000000005</v>
      </c>
      <c r="AB4752">
        <v>25</v>
      </c>
      <c r="AC4752">
        <v>7.4125999999999896</v>
      </c>
      <c r="AD4752">
        <v>-1.1159046907062999</v>
      </c>
      <c r="AE4752">
        <v>-1.0863400000000001</v>
      </c>
      <c r="AF4752">
        <v>-2.41282205118064</v>
      </c>
      <c r="AG4752">
        <v>-1.1159046907062999</v>
      </c>
      <c r="AH4752">
        <v>6.9206266242282304</v>
      </c>
      <c r="AI4752">
        <v>98.6570931506904</v>
      </c>
      <c r="AJ4752">
        <v>109.220707447262</v>
      </c>
      <c r="AK4752">
        <v>7.4136378655408102</v>
      </c>
      <c r="AL4752">
        <v>88.443874183160304</v>
      </c>
      <c r="AM4752">
        <v>103.591791963311</v>
      </c>
      <c r="AN4752">
        <v>0.99999999214253599</v>
      </c>
    </row>
    <row r="4753" spans="1:40" x14ac:dyDescent="0.25">
      <c r="A4753" t="str">
        <f>"20190312151411035"</f>
        <v>20190312151411035</v>
      </c>
      <c r="B4753" t="str">
        <f>"1552374851025016"</f>
        <v>1552374851025016</v>
      </c>
      <c r="C4753" t="s">
        <v>40</v>
      </c>
      <c r="D4753">
        <v>4.9592790000000004</v>
      </c>
      <c r="E4753">
        <v>0.46803850000000002</v>
      </c>
      <c r="F4753" t="s">
        <v>42</v>
      </c>
      <c r="G4753">
        <v>-398.55169999999998</v>
      </c>
      <c r="H4753" s="1">
        <v>-7.9794309999999998E-7</v>
      </c>
      <c r="I4753">
        <v>20.115600000000001</v>
      </c>
      <c r="J4753">
        <v>-406.01409999999998</v>
      </c>
      <c r="K4753">
        <v>1.115869</v>
      </c>
      <c r="L4753">
        <v>21.169619999999998</v>
      </c>
      <c r="M4753">
        <v>0.89036150000000003</v>
      </c>
      <c r="N4753">
        <v>0</v>
      </c>
      <c r="O4753">
        <v>-0.45507799999999998</v>
      </c>
      <c r="P4753">
        <v>0.97205560000000002</v>
      </c>
      <c r="Q4753">
        <v>1.7629679999999998E-2</v>
      </c>
      <c r="R4753">
        <v>-0.2340885</v>
      </c>
      <c r="S4753">
        <v>2.988251</v>
      </c>
      <c r="T4753">
        <v>-0.4342587</v>
      </c>
      <c r="U4753">
        <v>-0.44998169999999998</v>
      </c>
      <c r="V4753">
        <v>-0.2343595</v>
      </c>
      <c r="W4753">
        <v>2.659943E-2</v>
      </c>
      <c r="X4753">
        <v>0.97178600000000004</v>
      </c>
      <c r="Y4753">
        <v>-0.30999369999999998</v>
      </c>
      <c r="Z4753">
        <v>8.5264850000000003E-2</v>
      </c>
      <c r="AA4753">
        <v>0.94690750000000001</v>
      </c>
      <c r="AB4753">
        <v>25</v>
      </c>
      <c r="AC4753">
        <v>7.4623999999999997</v>
      </c>
      <c r="AD4753">
        <v>-1.1158697979431</v>
      </c>
      <c r="AE4753">
        <v>-1.05402</v>
      </c>
      <c r="AF4753">
        <v>-2.4049888719672201</v>
      </c>
      <c r="AG4753">
        <v>-1.1158697979431</v>
      </c>
      <c r="AH4753">
        <v>6.9716304741547903</v>
      </c>
      <c r="AI4753">
        <v>98.604077931798599</v>
      </c>
      <c r="AJ4753">
        <v>109.03279185474899</v>
      </c>
      <c r="AK4753">
        <v>7.4587377181673</v>
      </c>
      <c r="AL4753">
        <v>88.475785099860602</v>
      </c>
      <c r="AM4753">
        <v>103.558759977861</v>
      </c>
      <c r="AN4753">
        <v>0.99999996735628605</v>
      </c>
    </row>
    <row r="4754" spans="1:40" x14ac:dyDescent="0.25">
      <c r="A4754" t="str">
        <f>"20190312151411059"</f>
        <v>20190312151411059</v>
      </c>
      <c r="B4754" t="str">
        <f>"1552374851055272"</f>
        <v>1552374851055272</v>
      </c>
      <c r="C4754" t="s">
        <v>40</v>
      </c>
      <c r="D4754">
        <v>4.9175969999999998</v>
      </c>
      <c r="E4754">
        <v>0.46895409999999998</v>
      </c>
      <c r="F4754" t="s">
        <v>42</v>
      </c>
      <c r="G4754">
        <v>-398.5256</v>
      </c>
      <c r="H4754" s="1">
        <v>-8.0140569999999999E-7</v>
      </c>
      <c r="I4754">
        <v>20.0823</v>
      </c>
      <c r="J4754">
        <v>-405.7826</v>
      </c>
      <c r="K4754">
        <v>1.115829</v>
      </c>
      <c r="L4754">
        <v>21.062529999999999</v>
      </c>
      <c r="M4754">
        <v>0.89441349999999997</v>
      </c>
      <c r="N4754">
        <v>0</v>
      </c>
      <c r="O4754">
        <v>-0.44706210000000002</v>
      </c>
      <c r="P4754">
        <v>0.97403709999999999</v>
      </c>
      <c r="Q4754">
        <v>1.7412279999999999E-2</v>
      </c>
      <c r="R4754">
        <v>-0.22571840000000001</v>
      </c>
      <c r="S4754">
        <v>2.9898069999999999</v>
      </c>
      <c r="T4754">
        <v>-0.44551420000000003</v>
      </c>
      <c r="U4754">
        <v>-0.43411250000000001</v>
      </c>
      <c r="V4754">
        <v>-0.23398540000000001</v>
      </c>
      <c r="W4754">
        <v>2.640114E-2</v>
      </c>
      <c r="X4754">
        <v>0.97188160000000001</v>
      </c>
      <c r="Y4754">
        <v>-0.30618129999999999</v>
      </c>
      <c r="Z4754">
        <v>8.612388E-2</v>
      </c>
      <c r="AA4754">
        <v>0.94806950000000001</v>
      </c>
      <c r="AB4754">
        <v>25</v>
      </c>
      <c r="AC4754">
        <v>7.2569999999999997</v>
      </c>
      <c r="AD4754">
        <v>-1.1158298014057</v>
      </c>
      <c r="AE4754">
        <v>-0.98022999999999805</v>
      </c>
      <c r="AF4754">
        <v>-2.3140597007680799</v>
      </c>
      <c r="AG4754">
        <v>-1.1158298014057</v>
      </c>
      <c r="AH4754">
        <v>6.7722958963267699</v>
      </c>
      <c r="AI4754">
        <v>98.861822871305094</v>
      </c>
      <c r="AJ4754">
        <v>108.86504163880301</v>
      </c>
      <c r="AK4754">
        <v>7.2431995797319004</v>
      </c>
      <c r="AL4754">
        <v>88.487150345379405</v>
      </c>
      <c r="AM4754">
        <v>103.53663113542</v>
      </c>
      <c r="AN4754">
        <v>1.0000000160125</v>
      </c>
    </row>
    <row r="4755" spans="1:40" x14ac:dyDescent="0.25">
      <c r="A4755" t="str">
        <f>"20190312151411081"</f>
        <v>20190312151411081</v>
      </c>
      <c r="B4755" t="str">
        <f>"1552374851075769"</f>
        <v>1552374851075769</v>
      </c>
      <c r="C4755" t="s">
        <v>40</v>
      </c>
      <c r="D4755">
        <v>4.9738790000000002</v>
      </c>
      <c r="E4755">
        <v>0.46960879999999999</v>
      </c>
      <c r="F4755" t="s">
        <v>42</v>
      </c>
      <c r="G4755">
        <v>-398.36660000000001</v>
      </c>
      <c r="H4755" s="1">
        <v>-8.6372879999999995E-7</v>
      </c>
      <c r="I4755">
        <v>20.03406</v>
      </c>
      <c r="J4755">
        <v>-405.5591</v>
      </c>
      <c r="K4755">
        <v>1.1157840000000001</v>
      </c>
      <c r="L4755">
        <v>20.961459999999999</v>
      </c>
      <c r="M4755">
        <v>0.89821839999999997</v>
      </c>
      <c r="N4755">
        <v>0</v>
      </c>
      <c r="O4755">
        <v>-0.43936789999999998</v>
      </c>
      <c r="P4755">
        <v>0.97591099999999997</v>
      </c>
      <c r="Q4755">
        <v>1.738425E-2</v>
      </c>
      <c r="R4755">
        <v>-0.2174758</v>
      </c>
      <c r="S4755">
        <v>2.9918520000000002</v>
      </c>
      <c r="T4755">
        <v>-0.4501617</v>
      </c>
      <c r="U4755">
        <v>-0.41491699999999998</v>
      </c>
      <c r="V4755">
        <v>-0.2338557</v>
      </c>
      <c r="W4755">
        <v>2.6390650000000002E-2</v>
      </c>
      <c r="X4755">
        <v>0.97191309999999997</v>
      </c>
      <c r="Y4755">
        <v>-0.30401329999999999</v>
      </c>
      <c r="Z4755">
        <v>8.58265E-2</v>
      </c>
      <c r="AA4755">
        <v>0.94879380000000002</v>
      </c>
      <c r="AB4755">
        <v>25</v>
      </c>
      <c r="AC4755">
        <v>7.1924999999999901</v>
      </c>
      <c r="AD4755">
        <v>-1.1157848637287999</v>
      </c>
      <c r="AE4755">
        <v>-0.927399999999998</v>
      </c>
      <c r="AF4755">
        <v>-2.2735123185293298</v>
      </c>
      <c r="AG4755">
        <v>-1.1157848637287999</v>
      </c>
      <c r="AH4755">
        <v>6.7096215217821298</v>
      </c>
      <c r="AI4755">
        <v>98.950568498344296</v>
      </c>
      <c r="AJ4755">
        <v>108.71862114694</v>
      </c>
      <c r="AK4755">
        <v>7.1716703138245901</v>
      </c>
      <c r="AL4755">
        <v>88.487751585136095</v>
      </c>
      <c r="AM4755">
        <v>103.528981197357</v>
      </c>
      <c r="AN4755">
        <v>1.0000000143907599</v>
      </c>
    </row>
    <row r="4756" spans="1:40" x14ac:dyDescent="0.25">
      <c r="A4756" t="str">
        <f>"20190312151411105"</f>
        <v>20190312151411105</v>
      </c>
      <c r="B4756" t="str">
        <f>"1552374851095292"</f>
        <v>1552374851095292</v>
      </c>
      <c r="C4756" t="s">
        <v>40</v>
      </c>
      <c r="D4756">
        <v>4.9732890000000003</v>
      </c>
      <c r="E4756">
        <v>0.47050950000000002</v>
      </c>
      <c r="F4756" t="s">
        <v>42</v>
      </c>
      <c r="G4756">
        <v>-398.15640000000002</v>
      </c>
      <c r="H4756" s="1">
        <v>-9.5016349999999997E-7</v>
      </c>
      <c r="I4756">
        <v>19.985410000000002</v>
      </c>
      <c r="J4756">
        <v>-405.32380000000001</v>
      </c>
      <c r="K4756">
        <v>1.1157349999999999</v>
      </c>
      <c r="L4756">
        <v>20.857389999999999</v>
      </c>
      <c r="M4756">
        <v>0.90210670000000004</v>
      </c>
      <c r="N4756">
        <v>0</v>
      </c>
      <c r="O4756">
        <v>-0.43132819999999999</v>
      </c>
      <c r="P4756">
        <v>0.97779150000000004</v>
      </c>
      <c r="Q4756">
        <v>1.7404139999999999E-2</v>
      </c>
      <c r="R4756">
        <v>-0.2088566</v>
      </c>
      <c r="S4756">
        <v>2.99411</v>
      </c>
      <c r="T4756">
        <v>-0.451295</v>
      </c>
      <c r="U4756">
        <v>-0.3947754</v>
      </c>
      <c r="V4756">
        <v>-0.23374800000000001</v>
      </c>
      <c r="W4756">
        <v>2.6430220000000001E-2</v>
      </c>
      <c r="X4756">
        <v>0.97193799999999997</v>
      </c>
      <c r="Y4756">
        <v>-0.30194690000000002</v>
      </c>
      <c r="Z4756">
        <v>8.4802180000000005E-2</v>
      </c>
      <c r="AA4756">
        <v>0.94954550000000004</v>
      </c>
      <c r="AB4756">
        <v>25</v>
      </c>
      <c r="AC4756">
        <v>7.1673999999999802</v>
      </c>
      <c r="AD4756">
        <v>-1.1157359501635</v>
      </c>
      <c r="AE4756">
        <v>-0.87197999999999698</v>
      </c>
      <c r="AF4756">
        <v>-2.2513072762908402</v>
      </c>
      <c r="AG4756">
        <v>-1.1157359501635</v>
      </c>
      <c r="AH4756">
        <v>6.6828344346541302</v>
      </c>
      <c r="AI4756">
        <v>98.990740699505594</v>
      </c>
      <c r="AJ4756">
        <v>108.617595839315</v>
      </c>
      <c r="AK4756">
        <v>7.1395747242932002</v>
      </c>
      <c r="AL4756">
        <v>88.485483699359406</v>
      </c>
      <c r="AM4756">
        <v>103.52264570708201</v>
      </c>
      <c r="AN4756">
        <v>1.0000000799386199</v>
      </c>
    </row>
    <row r="4757" spans="1:40" x14ac:dyDescent="0.25">
      <c r="A4757" t="str">
        <f>"20190312151411128"</f>
        <v>20190312151411128</v>
      </c>
      <c r="B4757" t="str">
        <f>"1552374851125544"</f>
        <v>1552374851125544</v>
      </c>
      <c r="C4757" t="s">
        <v>40</v>
      </c>
      <c r="D4757">
        <v>5.2008340000000004</v>
      </c>
      <c r="E4757">
        <v>0.47145179999999998</v>
      </c>
      <c r="F4757" t="s">
        <v>42</v>
      </c>
      <c r="G4757">
        <v>-397.97460000000001</v>
      </c>
      <c r="H4757" s="1">
        <v>-1.023132E-6</v>
      </c>
      <c r="I4757">
        <v>19.936720000000001</v>
      </c>
      <c r="J4757">
        <v>-405.09589999999997</v>
      </c>
      <c r="K4757">
        <v>1.1156870000000001</v>
      </c>
      <c r="L4757">
        <v>20.759060000000002</v>
      </c>
      <c r="M4757">
        <v>0.90575709999999998</v>
      </c>
      <c r="N4757">
        <v>0</v>
      </c>
      <c r="O4757">
        <v>-0.42360940000000002</v>
      </c>
      <c r="P4757">
        <v>0.97950110000000001</v>
      </c>
      <c r="Q4757">
        <v>1.698177E-2</v>
      </c>
      <c r="R4757">
        <v>-0.2007217</v>
      </c>
      <c r="S4757">
        <v>2.9960939999999998</v>
      </c>
      <c r="T4757">
        <v>-0.45486120000000002</v>
      </c>
      <c r="U4757">
        <v>-0.37533569999999999</v>
      </c>
      <c r="V4757">
        <v>-0.23352139999999999</v>
      </c>
      <c r="W4757">
        <v>2.603219E-2</v>
      </c>
      <c r="X4757">
        <v>0.97200310000000001</v>
      </c>
      <c r="Y4757">
        <v>-0.29993890000000001</v>
      </c>
      <c r="Z4757">
        <v>8.4263309999999994E-2</v>
      </c>
      <c r="AA4757">
        <v>0.95022960000000001</v>
      </c>
      <c r="AB4757">
        <v>25</v>
      </c>
      <c r="AC4757">
        <v>7.1212999999999598</v>
      </c>
      <c r="AD4757">
        <v>-1.1156880231319899</v>
      </c>
      <c r="AE4757">
        <v>-0.82233999999999996</v>
      </c>
      <c r="AF4757">
        <v>-2.2182589600451701</v>
      </c>
      <c r="AG4757">
        <v>-1.1156880231319899</v>
      </c>
      <c r="AH4757">
        <v>6.6382664638657998</v>
      </c>
      <c r="AI4757">
        <v>99.057019059570706</v>
      </c>
      <c r="AJ4757">
        <v>108.477689278387</v>
      </c>
      <c r="AK4757">
        <v>7.0874547070204397</v>
      </c>
      <c r="AL4757">
        <v>88.508296826928103</v>
      </c>
      <c r="AM4757">
        <v>103.509145660079</v>
      </c>
      <c r="AN4757">
        <v>0.99999997279188202</v>
      </c>
    </row>
    <row r="4758" spans="1:40" x14ac:dyDescent="0.25">
      <c r="A4758" t="str">
        <f>"20190312151411149"</f>
        <v>20190312151411149</v>
      </c>
      <c r="B4758" t="str">
        <f>"1552374851145065"</f>
        <v>1552374851145065</v>
      </c>
      <c r="C4758" t="s">
        <v>40</v>
      </c>
      <c r="D4758">
        <v>5.1780879999999998</v>
      </c>
      <c r="E4758">
        <v>0.4719778</v>
      </c>
      <c r="F4758" t="s">
        <v>42</v>
      </c>
      <c r="G4758">
        <v>-397.74279999999999</v>
      </c>
      <c r="H4758" s="1">
        <v>-1.1180379999999999E-6</v>
      </c>
      <c r="I4758">
        <v>19.881489999999999</v>
      </c>
      <c r="J4758">
        <v>-404.87400000000002</v>
      </c>
      <c r="K4758">
        <v>1.1156299999999999</v>
      </c>
      <c r="L4758">
        <v>20.66544</v>
      </c>
      <c r="M4758">
        <v>0.90920350000000005</v>
      </c>
      <c r="N4758">
        <v>0</v>
      </c>
      <c r="O4758">
        <v>-0.416161</v>
      </c>
      <c r="P4758">
        <v>0.98103189999999996</v>
      </c>
      <c r="Q4758">
        <v>1.65940999999999E-2</v>
      </c>
      <c r="R4758">
        <v>-0.19313530000000001</v>
      </c>
      <c r="S4758">
        <v>2.9973749999999999</v>
      </c>
      <c r="T4758">
        <v>-0.45479120000000001</v>
      </c>
      <c r="U4758">
        <v>-0.35772710000000002</v>
      </c>
      <c r="V4758">
        <v>-0.23305999999999999</v>
      </c>
      <c r="W4758">
        <v>2.5672299999999999E-2</v>
      </c>
      <c r="X4758">
        <v>0.97212339999999997</v>
      </c>
      <c r="Y4758">
        <v>-0.29777150000000002</v>
      </c>
      <c r="Z4758">
        <v>8.3081710000000003E-2</v>
      </c>
      <c r="AA4758">
        <v>0.95101500000000005</v>
      </c>
      <c r="AB4758">
        <v>25</v>
      </c>
      <c r="AC4758">
        <v>7.13120000000003</v>
      </c>
      <c r="AD4758">
        <v>-1.1156311180380001</v>
      </c>
      <c r="AE4758">
        <v>-0.78395000000000004</v>
      </c>
      <c r="AF4758">
        <v>-2.2018896281329798</v>
      </c>
      <c r="AG4758">
        <v>-1.1156311180380001</v>
      </c>
      <c r="AH4758">
        <v>6.6496974515404403</v>
      </c>
      <c r="AI4758">
        <v>99.049342787745402</v>
      </c>
      <c r="AJ4758">
        <v>108.321064582709</v>
      </c>
      <c r="AK4758">
        <v>7.0930548371655604</v>
      </c>
      <c r="AL4758">
        <v>88.528923892294998</v>
      </c>
      <c r="AM4758">
        <v>103.481821667053</v>
      </c>
      <c r="AN4758">
        <v>0.99999996770742405</v>
      </c>
    </row>
    <row r="4759" spans="1:40" x14ac:dyDescent="0.25">
      <c r="A4759" t="str">
        <f>"20190312151411171"</f>
        <v>20190312151411171</v>
      </c>
      <c r="B4759" t="str">
        <f>"1552374851165561"</f>
        <v>1552374851165561</v>
      </c>
      <c r="C4759" t="s">
        <v>40</v>
      </c>
      <c r="D4759">
        <v>5.0135630000000004</v>
      </c>
      <c r="E4759">
        <v>0.47255570000000002</v>
      </c>
      <c r="F4759" t="s">
        <v>42</v>
      </c>
      <c r="G4759">
        <v>-397.54860000000002</v>
      </c>
      <c r="H4759" s="1">
        <v>-1.1983349999999999E-6</v>
      </c>
      <c r="I4759">
        <v>19.838239999999999</v>
      </c>
      <c r="J4759">
        <v>-404.65390000000002</v>
      </c>
      <c r="K4759">
        <v>1.115585</v>
      </c>
      <c r="L4759">
        <v>20.574549999999999</v>
      </c>
      <c r="M4759">
        <v>0.91252599999999995</v>
      </c>
      <c r="N4759">
        <v>0</v>
      </c>
      <c r="O4759">
        <v>-0.40882459999999998</v>
      </c>
      <c r="P4759">
        <v>0.98251299999999997</v>
      </c>
      <c r="Q4759">
        <v>1.6196869999999999E-2</v>
      </c>
      <c r="R4759">
        <v>-0.1854896</v>
      </c>
      <c r="S4759">
        <v>2.9990540000000001</v>
      </c>
      <c r="T4759">
        <v>-0.45674039999999999</v>
      </c>
      <c r="U4759">
        <v>-0.338653599999999</v>
      </c>
      <c r="V4759">
        <v>-0.2327949</v>
      </c>
      <c r="W4759">
        <v>2.5298580000000001E-2</v>
      </c>
      <c r="X4759">
        <v>0.97219679999999997</v>
      </c>
      <c r="Y4759">
        <v>-0.29615249999999999</v>
      </c>
      <c r="Z4759">
        <v>8.2303600000000005E-2</v>
      </c>
      <c r="AA4759">
        <v>0.95158799999999999</v>
      </c>
      <c r="AB4759">
        <v>25</v>
      </c>
      <c r="AC4759">
        <v>7.1052999999999997</v>
      </c>
      <c r="AD4759">
        <v>-1.1155861983349999</v>
      </c>
      <c r="AE4759">
        <v>-0.73630999999999902</v>
      </c>
      <c r="AF4759">
        <v>-2.1799293302878899</v>
      </c>
      <c r="AG4759">
        <v>-1.1155861983349999</v>
      </c>
      <c r="AH4759">
        <v>6.6237806778666997</v>
      </c>
      <c r="AI4759">
        <v>99.089173106698993</v>
      </c>
      <c r="AJ4759">
        <v>108.216711827753</v>
      </c>
      <c r="AK4759">
        <v>7.0619469637944201</v>
      </c>
      <c r="AL4759">
        <v>88.550343549480303</v>
      </c>
      <c r="AM4759">
        <v>103.466065606329</v>
      </c>
      <c r="AN4759">
        <v>1.0000000507731299</v>
      </c>
    </row>
    <row r="4760" spans="1:40" x14ac:dyDescent="0.25">
      <c r="A4760" t="str">
        <f>"20190312151411193"</f>
        <v>20190312151411193</v>
      </c>
      <c r="B4760" t="str">
        <f>"1552374851185081"</f>
        <v>1552374851185081</v>
      </c>
      <c r="C4760" t="s">
        <v>40</v>
      </c>
      <c r="D4760">
        <v>4.9994779999999999</v>
      </c>
      <c r="E4760">
        <v>0.47314499999999998</v>
      </c>
      <c r="F4760" t="s">
        <v>42</v>
      </c>
      <c r="G4760">
        <v>-397.29910000000001</v>
      </c>
      <c r="H4760" s="1">
        <v>-1.303419E-6</v>
      </c>
      <c r="I4760">
        <v>19.79008</v>
      </c>
      <c r="J4760">
        <v>-404.42430000000002</v>
      </c>
      <c r="K4760">
        <v>1.115542</v>
      </c>
      <c r="L4760">
        <v>20.4819</v>
      </c>
      <c r="M4760">
        <v>0.91588820000000004</v>
      </c>
      <c r="N4760">
        <v>0</v>
      </c>
      <c r="O4760">
        <v>-0.40123560000000003</v>
      </c>
      <c r="P4760">
        <v>0.98392630000000003</v>
      </c>
      <c r="Q4760">
        <v>1.61473E-2</v>
      </c>
      <c r="R4760">
        <v>-0.1778441</v>
      </c>
      <c r="S4760">
        <v>3.0004879999999998</v>
      </c>
      <c r="T4760">
        <v>-0.4551229</v>
      </c>
      <c r="U4760">
        <v>-0.32003779999999998</v>
      </c>
      <c r="V4760">
        <v>-0.23228080000000001</v>
      </c>
      <c r="W4760">
        <v>2.5281430000000001E-2</v>
      </c>
      <c r="X4760">
        <v>0.97232010000000002</v>
      </c>
      <c r="Y4760">
        <v>-0.2942729</v>
      </c>
      <c r="Z4760">
        <v>8.0833989999999994E-2</v>
      </c>
      <c r="AA4760">
        <v>0.9522969</v>
      </c>
      <c r="AB4760">
        <v>25</v>
      </c>
      <c r="AC4760">
        <v>7.1252000000000004</v>
      </c>
      <c r="AD4760">
        <v>-1.1155433034190001</v>
      </c>
      <c r="AE4760">
        <v>-0.69181999999999899</v>
      </c>
      <c r="AF4760">
        <v>-2.1726716805056099</v>
      </c>
      <c r="AG4760">
        <v>-1.1155433034190001</v>
      </c>
      <c r="AH4760">
        <v>6.6427043895780802</v>
      </c>
      <c r="AI4760">
        <v>99.068728816942198</v>
      </c>
      <c r="AJ4760">
        <v>108.1116979681</v>
      </c>
      <c r="AK4760">
        <v>7.0774614587713502</v>
      </c>
      <c r="AL4760">
        <v>88.551326338688895</v>
      </c>
      <c r="AM4760">
        <v>103.435764833371</v>
      </c>
      <c r="AN4760">
        <v>0.99999994880774601</v>
      </c>
    </row>
    <row r="4761" spans="1:40" x14ac:dyDescent="0.25">
      <c r="A4761" t="str">
        <f>"20190312151411215"</f>
        <v>20190312151411215</v>
      </c>
      <c r="B4761" t="str">
        <f>"1552374851205580"</f>
        <v>1552374851205580</v>
      </c>
      <c r="C4761" t="s">
        <v>40</v>
      </c>
      <c r="D4761">
        <v>4.9948240000000004</v>
      </c>
      <c r="E4761">
        <v>0.47371829999999998</v>
      </c>
      <c r="F4761" t="s">
        <v>42</v>
      </c>
      <c r="G4761">
        <v>-397.0283</v>
      </c>
      <c r="H4761" s="1">
        <v>-1.4178889999999999E-6</v>
      </c>
      <c r="I4761">
        <v>19.739129999999999</v>
      </c>
      <c r="J4761">
        <v>-404.20060000000001</v>
      </c>
      <c r="K4761">
        <v>1.115507</v>
      </c>
      <c r="L4761">
        <v>20.393619999999999</v>
      </c>
      <c r="M4761">
        <v>0.91906710000000003</v>
      </c>
      <c r="N4761">
        <v>0</v>
      </c>
      <c r="O4761">
        <v>-0.39389950000000001</v>
      </c>
      <c r="P4761">
        <v>0.98526250000000004</v>
      </c>
      <c r="Q4761">
        <v>1.633896E-2</v>
      </c>
      <c r="R4761">
        <v>-0.17026859999999999</v>
      </c>
      <c r="S4761">
        <v>3.0019529999999999</v>
      </c>
      <c r="T4761">
        <v>-0.45278570000000001</v>
      </c>
      <c r="U4761">
        <v>-0.30148320000000001</v>
      </c>
      <c r="V4761">
        <v>-0.231986</v>
      </c>
      <c r="W4761">
        <v>2.5504510000000001E-2</v>
      </c>
      <c r="X4761">
        <v>0.97238469999999999</v>
      </c>
      <c r="Y4761">
        <v>-0.29268519999999998</v>
      </c>
      <c r="Z4761">
        <v>7.9297720000000002E-2</v>
      </c>
      <c r="AA4761">
        <v>0.95291510000000001</v>
      </c>
      <c r="AB4761">
        <v>25</v>
      </c>
      <c r="AC4761">
        <v>7.1722999999999999</v>
      </c>
      <c r="AD4761">
        <v>-1.115508417889</v>
      </c>
      <c r="AE4761">
        <v>-0.65449000000000201</v>
      </c>
      <c r="AF4761">
        <v>-2.1717225087551602</v>
      </c>
      <c r="AG4761">
        <v>-1.115508417889</v>
      </c>
      <c r="AH4761">
        <v>6.6896877794591498</v>
      </c>
      <c r="AI4761">
        <v>99.012173960318094</v>
      </c>
      <c r="AJ4761">
        <v>107.985366294907</v>
      </c>
      <c r="AK4761">
        <v>7.1212822070228396</v>
      </c>
      <c r="AL4761">
        <v>88.538540739538405</v>
      </c>
      <c r="AM4761">
        <v>103.418470677695</v>
      </c>
      <c r="AN4761">
        <v>0.99999999451021504</v>
      </c>
    </row>
    <row r="4762" spans="1:40" x14ac:dyDescent="0.25">
      <c r="A4762" t="str">
        <f>"20190312151411237"</f>
        <v>20190312151411237</v>
      </c>
      <c r="B4762" t="str">
        <f>"1552374851234856"</f>
        <v>1552374851234856</v>
      </c>
      <c r="C4762" t="s">
        <v>40</v>
      </c>
      <c r="D4762">
        <v>5.1802910000000004</v>
      </c>
      <c r="E4762">
        <v>0.47437000000000001</v>
      </c>
      <c r="F4762" t="s">
        <v>42</v>
      </c>
      <c r="G4762">
        <v>-396.76670000000001</v>
      </c>
      <c r="H4762" s="1">
        <v>-1.5293119999999901E-6</v>
      </c>
      <c r="I4762">
        <v>19.693200000000001</v>
      </c>
      <c r="J4762">
        <v>-403.97179999999997</v>
      </c>
      <c r="K4762">
        <v>1.1154569999999999</v>
      </c>
      <c r="L4762">
        <v>20.305389999999999</v>
      </c>
      <c r="M4762">
        <v>0.92221980000000003</v>
      </c>
      <c r="N4762">
        <v>0</v>
      </c>
      <c r="O4762">
        <v>-0.38646019999999998</v>
      </c>
      <c r="P4762">
        <v>0.98650289999999996</v>
      </c>
      <c r="Q4762">
        <v>1.666805E-2</v>
      </c>
      <c r="R4762">
        <v>-0.16289339999999999</v>
      </c>
      <c r="S4762">
        <v>3.003479</v>
      </c>
      <c r="T4762">
        <v>-0.45069769999999998</v>
      </c>
      <c r="U4762">
        <v>-0.2829895</v>
      </c>
      <c r="V4762">
        <v>-0.23140189999999999</v>
      </c>
      <c r="W4762">
        <v>2.586917E-2</v>
      </c>
      <c r="X4762">
        <v>0.97251430000000005</v>
      </c>
      <c r="Y4762">
        <v>-0.29099390000000003</v>
      </c>
      <c r="Z4762">
        <v>7.7786159999999993E-2</v>
      </c>
      <c r="AA4762">
        <v>0.95355749999999995</v>
      </c>
      <c r="AB4762">
        <v>25</v>
      </c>
      <c r="AC4762">
        <v>7.2050999999999599</v>
      </c>
      <c r="AD4762">
        <v>-1.1154585293119901</v>
      </c>
      <c r="AE4762">
        <v>-0.61218999999999801</v>
      </c>
      <c r="AF4762">
        <v>-2.1684861626481799</v>
      </c>
      <c r="AG4762">
        <v>-1.1154585293119901</v>
      </c>
      <c r="AH4762">
        <v>6.7218674729078298</v>
      </c>
      <c r="AI4762">
        <v>98.974601389813401</v>
      </c>
      <c r="AJ4762">
        <v>107.879791471815</v>
      </c>
      <c r="AK4762">
        <v>7.1505302105192099</v>
      </c>
      <c r="AL4762">
        <v>88.517640458900601</v>
      </c>
      <c r="AM4762">
        <v>103.384183154895</v>
      </c>
      <c r="AN4762">
        <v>1.0000000584922899</v>
      </c>
    </row>
    <row r="4763" spans="1:40" x14ac:dyDescent="0.25">
      <c r="A4763" t="str">
        <f>"20190312151411260"</f>
        <v>20190312151411260</v>
      </c>
      <c r="B4763" t="str">
        <f>"1552374851255353"</f>
        <v>1552374851255353</v>
      </c>
      <c r="C4763" t="s">
        <v>40</v>
      </c>
      <c r="D4763">
        <v>4.9658170000000004</v>
      </c>
      <c r="E4763">
        <v>0.47420479999999998</v>
      </c>
      <c r="F4763" t="s">
        <v>42</v>
      </c>
      <c r="G4763">
        <v>-396.4966</v>
      </c>
      <c r="H4763" s="1">
        <v>-1.643891E-6</v>
      </c>
      <c r="I4763">
        <v>19.643879999999999</v>
      </c>
      <c r="J4763">
        <v>-403.73809999999997</v>
      </c>
      <c r="K4763">
        <v>1.1154120000000001</v>
      </c>
      <c r="L4763">
        <v>20.217320000000001</v>
      </c>
      <c r="M4763">
        <v>0.92534260000000002</v>
      </c>
      <c r="N4763">
        <v>0</v>
      </c>
      <c r="O4763">
        <v>-0.37892229999999999</v>
      </c>
      <c r="P4763">
        <v>0.98768290000000003</v>
      </c>
      <c r="Q4763">
        <v>1.6004109999999998E-2</v>
      </c>
      <c r="R4763">
        <v>-0.155648799999999</v>
      </c>
      <c r="S4763">
        <v>3.0047299999999999</v>
      </c>
      <c r="T4763">
        <v>-0.44837070000000001</v>
      </c>
      <c r="U4763">
        <v>-0.26589970000000002</v>
      </c>
      <c r="V4763">
        <v>-0.2305963</v>
      </c>
      <c r="W4763">
        <v>2.5244719999999998E-2</v>
      </c>
      <c r="X4763">
        <v>0.97272199999999998</v>
      </c>
      <c r="Y4763">
        <v>-0.28878920000000002</v>
      </c>
      <c r="Z4763">
        <v>7.6191869999999995E-2</v>
      </c>
      <c r="AA4763">
        <v>0.95435610000000004</v>
      </c>
      <c r="AB4763">
        <v>25</v>
      </c>
      <c r="AC4763">
        <v>7.2414999999999701</v>
      </c>
      <c r="AD4763">
        <v>-1.1154136438910001</v>
      </c>
      <c r="AE4763">
        <v>-0.57344000000000095</v>
      </c>
      <c r="AF4763">
        <v>-2.1625260939422399</v>
      </c>
      <c r="AG4763">
        <v>-1.1154136438910001</v>
      </c>
      <c r="AH4763">
        <v>6.7593384504372098</v>
      </c>
      <c r="AI4763">
        <v>98.932130532439899</v>
      </c>
      <c r="AJ4763">
        <v>107.74111754359301</v>
      </c>
      <c r="AK4763">
        <v>7.1839629029887204</v>
      </c>
      <c r="AL4763">
        <v>88.553430440479204</v>
      </c>
      <c r="AM4763">
        <v>103.336509440927</v>
      </c>
      <c r="AN4763">
        <v>1.00000001937278</v>
      </c>
    </row>
    <row r="4764" spans="1:40" x14ac:dyDescent="0.25">
      <c r="A4764" t="str">
        <f>"20190312151411281"</f>
        <v>20190312151411281</v>
      </c>
      <c r="B4764" t="str">
        <f>"1552374851274873"</f>
        <v>1552374851274873</v>
      </c>
      <c r="C4764" t="s">
        <v>40</v>
      </c>
      <c r="D4764">
        <v>4.9497359999999997</v>
      </c>
      <c r="E4764">
        <v>0.47405619999999998</v>
      </c>
      <c r="F4764" t="s">
        <v>42</v>
      </c>
      <c r="G4764">
        <v>-396.24560000000002</v>
      </c>
      <c r="H4764" s="1">
        <v>-1.7556909999999999E-6</v>
      </c>
      <c r="I4764">
        <v>19.61345</v>
      </c>
      <c r="J4764">
        <v>-403.51400000000001</v>
      </c>
      <c r="K4764">
        <v>1.11537</v>
      </c>
      <c r="L4764">
        <v>20.134830000000001</v>
      </c>
      <c r="M4764">
        <v>0.92824819999999997</v>
      </c>
      <c r="N4764">
        <v>0</v>
      </c>
      <c r="O4764">
        <v>-0.37174770000000001</v>
      </c>
      <c r="P4764">
        <v>0.98863380000000001</v>
      </c>
      <c r="Q4764">
        <v>1.592375E-2</v>
      </c>
      <c r="R4764">
        <v>-0.1494993</v>
      </c>
      <c r="S4764">
        <v>3.0064700000000002</v>
      </c>
      <c r="T4764">
        <v>-0.44757950000000002</v>
      </c>
      <c r="U4764">
        <v>-0.24230960000000001</v>
      </c>
      <c r="V4764">
        <v>-0.22911570000000001</v>
      </c>
      <c r="W4764">
        <v>2.521135E-2</v>
      </c>
      <c r="X4764">
        <v>0.97307259999999995</v>
      </c>
      <c r="Y4764">
        <v>-0.28896889999999997</v>
      </c>
      <c r="Z4764">
        <v>7.5084890000000001E-2</v>
      </c>
      <c r="AA4764">
        <v>0.9543895</v>
      </c>
      <c r="AB4764">
        <v>25</v>
      </c>
      <c r="AC4764">
        <v>7.2683999999999802</v>
      </c>
      <c r="AD4764">
        <v>-1.1153717556910001</v>
      </c>
      <c r="AE4764">
        <v>-0.52137999999999696</v>
      </c>
      <c r="AF4764">
        <v>-2.1674387497902101</v>
      </c>
      <c r="AG4764">
        <v>-1.1153717556910001</v>
      </c>
      <c r="AH4764">
        <v>6.7823565037591402</v>
      </c>
      <c r="AI4764">
        <v>98.902892443460402</v>
      </c>
      <c r="AJ4764">
        <v>107.722328448607</v>
      </c>
      <c r="AK4764">
        <v>7.2070940490303901</v>
      </c>
      <c r="AL4764">
        <v>88.555342909832405</v>
      </c>
      <c r="AM4764">
        <v>103.24930362640301</v>
      </c>
      <c r="AN4764">
        <v>0.99999995051303403</v>
      </c>
    </row>
    <row r="4765" spans="1:40" x14ac:dyDescent="0.25">
      <c r="A4765" t="str">
        <f>"20190312151411305"</f>
        <v>20190312151411305</v>
      </c>
      <c r="B4765" t="str">
        <f>"1552374851295368"</f>
        <v>1552374851295368</v>
      </c>
      <c r="C4765" t="s">
        <v>40</v>
      </c>
      <c r="D4765">
        <v>5.0361549999999999</v>
      </c>
      <c r="E4765">
        <v>0.47412520000000002</v>
      </c>
      <c r="F4765" t="s">
        <v>42</v>
      </c>
      <c r="G4765">
        <v>-395.97239999999999</v>
      </c>
      <c r="H4765" s="1">
        <v>-1.8910350000000001E-6</v>
      </c>
      <c r="I4765">
        <v>19.578749999999999</v>
      </c>
      <c r="J4765">
        <v>-403.28210000000001</v>
      </c>
      <c r="K4765">
        <v>1.115334</v>
      </c>
      <c r="L4765">
        <v>20.051449999999999</v>
      </c>
      <c r="M4765">
        <v>0.93117110000000003</v>
      </c>
      <c r="N4765">
        <v>0</v>
      </c>
      <c r="O4765">
        <v>-0.36436459999999998</v>
      </c>
      <c r="P4765">
        <v>0.98958829999999998</v>
      </c>
      <c r="Q4765">
        <v>1.5739739999999999E-2</v>
      </c>
      <c r="R4765">
        <v>-0.14306469999999999</v>
      </c>
      <c r="S4765">
        <v>3.0081180000000001</v>
      </c>
      <c r="T4765">
        <v>-0.44488670000000002</v>
      </c>
      <c r="U4765">
        <v>-0.22180179999999999</v>
      </c>
      <c r="V4765">
        <v>-0.22771449999999999</v>
      </c>
      <c r="W4765">
        <v>2.5070729999999999E-2</v>
      </c>
      <c r="X4765">
        <v>0.97340510000000002</v>
      </c>
      <c r="Y4765">
        <v>-0.28805730000000002</v>
      </c>
      <c r="Z4765">
        <v>7.3551969999999994E-2</v>
      </c>
      <c r="AA4765">
        <v>0.95478430000000003</v>
      </c>
      <c r="AB4765">
        <v>25</v>
      </c>
      <c r="AC4765">
        <v>7.3097000000000198</v>
      </c>
      <c r="AD4765">
        <v>-1.115335891035</v>
      </c>
      <c r="AE4765">
        <v>-0.47269999999999901</v>
      </c>
      <c r="AF4765">
        <v>-2.1730271119457498</v>
      </c>
      <c r="AG4765">
        <v>-1.115335891035</v>
      </c>
      <c r="AH4765">
        <v>6.8212233632190502</v>
      </c>
      <c r="AI4765">
        <v>98.855217499401704</v>
      </c>
      <c r="AJ4765">
        <v>107.670242076995</v>
      </c>
      <c r="AK4765">
        <v>7.2453508645204696</v>
      </c>
      <c r="AL4765">
        <v>88.563402406544995</v>
      </c>
      <c r="AM4765">
        <v>103.166765534211</v>
      </c>
      <c r="AN4765">
        <v>0.99999996185949502</v>
      </c>
    </row>
    <row r="4766" spans="1:40" x14ac:dyDescent="0.25">
      <c r="A4766" t="str">
        <f>"20190312151411328"</f>
        <v>20190312151411328</v>
      </c>
      <c r="B4766" t="str">
        <f>"1552374851314888"</f>
        <v>1552374851314888</v>
      </c>
      <c r="C4766" t="s">
        <v>40</v>
      </c>
      <c r="D4766">
        <v>4.9837930000000004</v>
      </c>
      <c r="E4766">
        <v>0.47412989999999999</v>
      </c>
      <c r="F4766" t="s">
        <v>42</v>
      </c>
      <c r="G4766">
        <v>-395.6891</v>
      </c>
      <c r="H4766" s="1">
        <v>-2.0319189999999999E-6</v>
      </c>
      <c r="I4766">
        <v>19.539390000000001</v>
      </c>
      <c r="J4766">
        <v>-403.0394</v>
      </c>
      <c r="K4766">
        <v>1.115305</v>
      </c>
      <c r="L4766">
        <v>19.966460000000001</v>
      </c>
      <c r="M4766">
        <v>0.93414439999999999</v>
      </c>
      <c r="N4766">
        <v>0</v>
      </c>
      <c r="O4766">
        <v>-0.35667290000000001</v>
      </c>
      <c r="P4766">
        <v>0.99057139999999999</v>
      </c>
      <c r="Q4766">
        <v>1.5407290000000001E-2</v>
      </c>
      <c r="R4766">
        <v>-0.13612920000000001</v>
      </c>
      <c r="S4766">
        <v>3.009277</v>
      </c>
      <c r="T4766">
        <v>-0.44203140000000002</v>
      </c>
      <c r="U4766">
        <v>-0.20294190000000001</v>
      </c>
      <c r="V4766">
        <v>-0.22650090000000001</v>
      </c>
      <c r="W4766">
        <v>2.4772800000000001E-2</v>
      </c>
      <c r="X4766">
        <v>0.97369589999999995</v>
      </c>
      <c r="Y4766">
        <v>-0.28633509999999901</v>
      </c>
      <c r="Z4766">
        <v>7.1908009999999994E-2</v>
      </c>
      <c r="AA4766">
        <v>0.95542729999999998</v>
      </c>
      <c r="AB4766">
        <v>25</v>
      </c>
      <c r="AC4766">
        <v>7.3502999999999998</v>
      </c>
      <c r="AD4766">
        <v>-1.1153070319189999</v>
      </c>
      <c r="AE4766">
        <v>-0.42707000000000001</v>
      </c>
      <c r="AF4766">
        <v>-2.1730210696115901</v>
      </c>
      <c r="AG4766">
        <v>-1.1153070319189999</v>
      </c>
      <c r="AH4766">
        <v>6.86167194480368</v>
      </c>
      <c r="AI4766">
        <v>98.808311795314495</v>
      </c>
      <c r="AJ4766">
        <v>107.572460027083</v>
      </c>
      <c r="AK4766">
        <v>7.2834382143689398</v>
      </c>
      <c r="AL4766">
        <v>88.580477935597699</v>
      </c>
      <c r="AM4766">
        <v>103.095242095652</v>
      </c>
      <c r="AN4766">
        <v>1.00000002749872</v>
      </c>
    </row>
    <row r="4767" spans="1:40" x14ac:dyDescent="0.25">
      <c r="A4767" t="str">
        <f>"20190312151411349"</f>
        <v>20190312151411349</v>
      </c>
      <c r="B4767" t="str">
        <f>"1552374851345145"</f>
        <v>1552374851345145</v>
      </c>
      <c r="C4767" t="s">
        <v>40</v>
      </c>
      <c r="D4767">
        <v>4.9836710000000002</v>
      </c>
      <c r="E4767">
        <v>0.47423209999999999</v>
      </c>
      <c r="F4767" t="s">
        <v>42</v>
      </c>
      <c r="G4767">
        <v>-395.38589999999999</v>
      </c>
      <c r="H4767" s="1">
        <v>-2.1817530000000002E-6</v>
      </c>
      <c r="I4767">
        <v>19.502559999999999</v>
      </c>
      <c r="J4767">
        <v>-402.81549999999999</v>
      </c>
      <c r="K4767">
        <v>1.115292</v>
      </c>
      <c r="L4767">
        <v>19.890049999999999</v>
      </c>
      <c r="M4767">
        <v>0.93681619999999999</v>
      </c>
      <c r="N4767">
        <v>0</v>
      </c>
      <c r="O4767">
        <v>-0.34959519999999999</v>
      </c>
      <c r="P4767">
        <v>0.99145649999999996</v>
      </c>
      <c r="Q4767">
        <v>1.555233E-2</v>
      </c>
      <c r="R4767">
        <v>-0.12950880000000001</v>
      </c>
      <c r="S4767">
        <v>3.0103149999999999</v>
      </c>
      <c r="T4767">
        <v>-0.43868049999999997</v>
      </c>
      <c r="U4767">
        <v>-0.1824646</v>
      </c>
      <c r="V4767">
        <v>-0.22563859999999999</v>
      </c>
      <c r="W4767">
        <v>2.494012E-2</v>
      </c>
      <c r="X4767">
        <v>0.97389179999999997</v>
      </c>
      <c r="Y4767">
        <v>-0.28576760000000001</v>
      </c>
      <c r="Z4767">
        <v>7.0367970000000002E-2</v>
      </c>
      <c r="AA4767">
        <v>0.95571189999999995</v>
      </c>
      <c r="AB4767">
        <v>25</v>
      </c>
      <c r="AC4767">
        <v>7.42959999999999</v>
      </c>
      <c r="AD4767">
        <v>-1.115294181753</v>
      </c>
      <c r="AE4767">
        <v>-0.387489999999999</v>
      </c>
      <c r="AF4767">
        <v>-2.18540927789316</v>
      </c>
      <c r="AG4767">
        <v>-1.115294181753</v>
      </c>
      <c r="AH4767">
        <v>6.9402267380166602</v>
      </c>
      <c r="AI4767">
        <v>98.714484245509297</v>
      </c>
      <c r="AJ4767">
        <v>107.47870314155099</v>
      </c>
      <c r="AK4767">
        <v>7.3611576534424898</v>
      </c>
      <c r="AL4767">
        <v>88.570888222019406</v>
      </c>
      <c r="AM4767">
        <v>103.044561910769</v>
      </c>
      <c r="AN4767">
        <v>1.0000000127513999</v>
      </c>
    </row>
    <row r="4768" spans="1:40" x14ac:dyDescent="0.25">
      <c r="A4768" t="str">
        <f>"20190312151411372"</f>
        <v>20190312151411372</v>
      </c>
      <c r="B4768" t="str">
        <f>"1552374851365641"</f>
        <v>1552374851365641</v>
      </c>
      <c r="C4768" t="s">
        <v>40</v>
      </c>
      <c r="D4768">
        <v>5.316808</v>
      </c>
      <c r="E4768">
        <v>0.47436820000000002</v>
      </c>
      <c r="F4768" t="s">
        <v>42</v>
      </c>
      <c r="G4768">
        <v>-395.09730000000002</v>
      </c>
      <c r="H4768" s="1">
        <v>-2.3237840000000001E-6</v>
      </c>
      <c r="I4768">
        <v>19.470949999999998</v>
      </c>
      <c r="J4768">
        <v>-402.58109999999999</v>
      </c>
      <c r="K4768">
        <v>1.1152789999999999</v>
      </c>
      <c r="L4768">
        <v>19.812010000000001</v>
      </c>
      <c r="M4768">
        <v>0.93954510000000002</v>
      </c>
      <c r="N4768">
        <v>0</v>
      </c>
      <c r="O4768">
        <v>-0.34219270000000002</v>
      </c>
      <c r="P4768">
        <v>0.99234730000000004</v>
      </c>
      <c r="Q4768">
        <v>1.5297649999999999E-2</v>
      </c>
      <c r="R4768">
        <v>-0.12252739999999999</v>
      </c>
      <c r="S4768">
        <v>3.0112920000000001</v>
      </c>
      <c r="T4768">
        <v>-0.43513970000000002</v>
      </c>
      <c r="U4768">
        <v>-0.1635132</v>
      </c>
      <c r="V4768">
        <v>-0.2248067</v>
      </c>
      <c r="W4768">
        <v>2.4703200000000002E-2</v>
      </c>
      <c r="X4768">
        <v>0.97409020000000002</v>
      </c>
      <c r="Y4768">
        <v>-0.28442139999999999</v>
      </c>
      <c r="Z4768">
        <v>6.8707569999999996E-2</v>
      </c>
      <c r="AA4768">
        <v>0.95623420000000003</v>
      </c>
      <c r="AB4768">
        <v>25</v>
      </c>
      <c r="AC4768">
        <v>7.4837999999999703</v>
      </c>
      <c r="AD4768">
        <v>-1.115281323784</v>
      </c>
      <c r="AE4768">
        <v>-0.34106000000000197</v>
      </c>
      <c r="AF4768">
        <v>-2.1920568088336898</v>
      </c>
      <c r="AG4768">
        <v>-1.115281323784</v>
      </c>
      <c r="AH4768">
        <v>6.9936464076222498</v>
      </c>
      <c r="AI4768">
        <v>98.652376335195498</v>
      </c>
      <c r="AJ4768">
        <v>107.402841259756</v>
      </c>
      <c r="AK4768">
        <v>7.41350494430153</v>
      </c>
      <c r="AL4768">
        <v>88.584466916447695</v>
      </c>
      <c r="AM4768">
        <v>102.99554683503101</v>
      </c>
      <c r="AN4768">
        <v>1.0000000090955801</v>
      </c>
    </row>
    <row r="4769" spans="1:40" x14ac:dyDescent="0.25">
      <c r="A4769" t="str">
        <f>"20190312151411394"</f>
        <v>20190312151411394</v>
      </c>
      <c r="B4769" t="str">
        <f>"1552374851385160"</f>
        <v>1552374851385160</v>
      </c>
      <c r="C4769" t="s">
        <v>40</v>
      </c>
      <c r="D4769">
        <v>4.9877359999999999</v>
      </c>
      <c r="E4769">
        <v>0.47451569999999998</v>
      </c>
      <c r="F4769" t="s">
        <v>42</v>
      </c>
      <c r="G4769">
        <v>-394.82150000000001</v>
      </c>
      <c r="H4769" s="1">
        <v>-2.459371E-6</v>
      </c>
      <c r="I4769">
        <v>19.44172</v>
      </c>
      <c r="J4769">
        <v>-402.34070000000003</v>
      </c>
      <c r="K4769">
        <v>1.115273</v>
      </c>
      <c r="L4769">
        <v>19.734100000000002</v>
      </c>
      <c r="M4769">
        <v>0.94227419999999995</v>
      </c>
      <c r="N4769">
        <v>0</v>
      </c>
      <c r="O4769">
        <v>-0.33460459999999997</v>
      </c>
      <c r="P4769">
        <v>0.99328269999999996</v>
      </c>
      <c r="Q4769">
        <v>1.504929E-2</v>
      </c>
      <c r="R4769">
        <v>-0.1147297</v>
      </c>
      <c r="S4769">
        <v>3.012054</v>
      </c>
      <c r="T4769">
        <v>-0.43292120000000001</v>
      </c>
      <c r="U4769">
        <v>-0.1437378</v>
      </c>
      <c r="V4769">
        <v>-0.22459950000000001</v>
      </c>
      <c r="W4769">
        <v>2.445961E-2</v>
      </c>
      <c r="X4769">
        <v>0.97414420000000002</v>
      </c>
      <c r="Y4769">
        <v>-0.28312589999999999</v>
      </c>
      <c r="Z4769">
        <v>6.7247509999999996E-2</v>
      </c>
      <c r="AA4769">
        <v>0.95672230000000003</v>
      </c>
      <c r="AB4769">
        <v>25</v>
      </c>
      <c r="AC4769">
        <v>7.5192000000000103</v>
      </c>
      <c r="AD4769">
        <v>-1.1152754593709999</v>
      </c>
      <c r="AE4769">
        <v>-0.29238000000000097</v>
      </c>
      <c r="AF4769">
        <v>-2.1924736055987801</v>
      </c>
      <c r="AG4769">
        <v>-1.1152754593709999</v>
      </c>
      <c r="AH4769">
        <v>7.0291441923319598</v>
      </c>
      <c r="AI4769">
        <v>98.6129737166697</v>
      </c>
      <c r="AJ4769">
        <v>107.323320831271</v>
      </c>
      <c r="AK4769">
        <v>7.44712346736085</v>
      </c>
      <c r="AL4769">
        <v>88.598427892419394</v>
      </c>
      <c r="AM4769">
        <v>102.983279785183</v>
      </c>
      <c r="AN4769">
        <v>1.00000006515761</v>
      </c>
    </row>
    <row r="4770" spans="1:40" x14ac:dyDescent="0.25">
      <c r="A4770" t="str">
        <f>"20190312151411416"</f>
        <v>20190312151411416</v>
      </c>
      <c r="B4770" t="str">
        <f>"1552374851405660"</f>
        <v>1552374851405660</v>
      </c>
      <c r="C4770" t="s">
        <v>40</v>
      </c>
      <c r="D4770">
        <v>4.9716089999999999</v>
      </c>
      <c r="E4770">
        <v>0.47470050000000003</v>
      </c>
      <c r="F4770" t="s">
        <v>42</v>
      </c>
      <c r="G4770">
        <v>-394.56169999999997</v>
      </c>
      <c r="H4770" s="1">
        <v>-2.585875E-6</v>
      </c>
      <c r="I4770">
        <v>19.420809999999999</v>
      </c>
      <c r="J4770">
        <v>-402.1155</v>
      </c>
      <c r="K4770">
        <v>1.1152709999999999</v>
      </c>
      <c r="L4770">
        <v>19.663060000000002</v>
      </c>
      <c r="M4770">
        <v>0.94477029999999995</v>
      </c>
      <c r="N4770">
        <v>0</v>
      </c>
      <c r="O4770">
        <v>-0.32749040000000001</v>
      </c>
      <c r="P4770">
        <v>0.99407480000000004</v>
      </c>
      <c r="Q4770">
        <v>1.426758E-2</v>
      </c>
      <c r="R4770">
        <v>-0.107757199999999</v>
      </c>
      <c r="S4770">
        <v>3.012848</v>
      </c>
      <c r="T4770">
        <v>-0.43195210000000001</v>
      </c>
      <c r="U4770">
        <v>-0.121337899999999</v>
      </c>
      <c r="V4770">
        <v>-0.2240838</v>
      </c>
      <c r="W4770">
        <v>2.368688E-2</v>
      </c>
      <c r="X4770">
        <v>0.97428199999999998</v>
      </c>
      <c r="Y4770">
        <v>-0.28311180000000002</v>
      </c>
      <c r="Z4770">
        <v>6.6140499999999894E-2</v>
      </c>
      <c r="AA4770">
        <v>0.95680359999999998</v>
      </c>
      <c r="AB4770">
        <v>25</v>
      </c>
      <c r="AC4770">
        <v>7.5538000000000203</v>
      </c>
      <c r="AD4770">
        <v>-1.11527358587499</v>
      </c>
      <c r="AE4770">
        <v>-0.24225000000000199</v>
      </c>
      <c r="AF4770">
        <v>-2.1972567340591</v>
      </c>
      <c r="AG4770">
        <v>-1.11527358587499</v>
      </c>
      <c r="AH4770">
        <v>7.0627143414083697</v>
      </c>
      <c r="AI4770">
        <v>98.574561878445493</v>
      </c>
      <c r="AJ4770">
        <v>107.281260409494</v>
      </c>
      <c r="AK4770">
        <v>7.4802209990784396</v>
      </c>
      <c r="AL4770">
        <v>88.6427148269279</v>
      </c>
      <c r="AM4770">
        <v>102.952705308592</v>
      </c>
      <c r="AN4770">
        <v>1.00000001661528</v>
      </c>
    </row>
    <row r="4771" spans="1:40" x14ac:dyDescent="0.25">
      <c r="A4771" t="str">
        <f>"20190312151411438"</f>
        <v>20190312151411438</v>
      </c>
      <c r="B4771" t="str">
        <f>"1552374851434937"</f>
        <v>1552374851434937</v>
      </c>
      <c r="C4771" t="s">
        <v>40</v>
      </c>
      <c r="D4771">
        <v>4.9723850000000001</v>
      </c>
      <c r="E4771">
        <v>0.47502650000000002</v>
      </c>
      <c r="F4771" t="s">
        <v>42</v>
      </c>
      <c r="G4771">
        <v>-394.3546</v>
      </c>
      <c r="H4771" s="1">
        <v>-2.6872209999999998E-6</v>
      </c>
      <c r="I4771">
        <v>19.401299999999999</v>
      </c>
      <c r="J4771">
        <v>-401.87790000000001</v>
      </c>
      <c r="K4771">
        <v>1.115273</v>
      </c>
      <c r="L4771">
        <v>19.590060000000001</v>
      </c>
      <c r="M4771">
        <v>0.94734320000000005</v>
      </c>
      <c r="N4771">
        <v>0</v>
      </c>
      <c r="O4771">
        <v>-0.31997219999999998</v>
      </c>
      <c r="P4771">
        <v>0.99484989999999995</v>
      </c>
      <c r="Q4771">
        <v>1.4288220000000001E-2</v>
      </c>
      <c r="R4771">
        <v>-0.1003491</v>
      </c>
      <c r="S4771">
        <v>3.0130919999999999</v>
      </c>
      <c r="T4771">
        <v>-0.43299480000000001</v>
      </c>
      <c r="U4771">
        <v>-0.10162350000000001</v>
      </c>
      <c r="V4771">
        <v>-0.22359960000000001</v>
      </c>
      <c r="W4771">
        <v>2.3715489999999999E-2</v>
      </c>
      <c r="X4771">
        <v>0.97439249999999999</v>
      </c>
      <c r="Y4771">
        <v>-0.28181050000000002</v>
      </c>
      <c r="Z4771">
        <v>6.5195219999999998E-2</v>
      </c>
      <c r="AA4771">
        <v>0.95725260000000001</v>
      </c>
      <c r="AB4771">
        <v>25</v>
      </c>
      <c r="AC4771">
        <v>7.5232999999999999</v>
      </c>
      <c r="AD4771">
        <v>-1.1152756872209999</v>
      </c>
      <c r="AE4771">
        <v>-0.18876000000000201</v>
      </c>
      <c r="AF4771">
        <v>-2.1807101109228002</v>
      </c>
      <c r="AG4771">
        <v>-1.1152756872209999</v>
      </c>
      <c r="AH4771">
        <v>7.0336415481476502</v>
      </c>
      <c r="AI4771">
        <v>98.6120522420063</v>
      </c>
      <c r="AJ4771">
        <v>107.225526211401</v>
      </c>
      <c r="AK4771">
        <v>7.4479158074065301</v>
      </c>
      <c r="AL4771">
        <v>88.641075077287297</v>
      </c>
      <c r="AM4771">
        <v>102.924241470201</v>
      </c>
      <c r="AN4771">
        <v>0.99999997482117398</v>
      </c>
    </row>
    <row r="4772" spans="1:40" x14ac:dyDescent="0.25">
      <c r="A4772" t="str">
        <f>"20190312151411472"</f>
        <v>20190312151411472</v>
      </c>
      <c r="B4772" t="str">
        <f>"1552374851465193"</f>
        <v>1552374851465193</v>
      </c>
      <c r="C4772" t="s">
        <v>40</v>
      </c>
      <c r="D4772">
        <v>5.0138280000000002</v>
      </c>
      <c r="E4772">
        <v>0.4754931</v>
      </c>
      <c r="F4772" t="s">
        <v>42</v>
      </c>
      <c r="G4772">
        <v>-394.06799999999998</v>
      </c>
      <c r="H4772" s="1">
        <v>-2.8268749999999999E-6</v>
      </c>
      <c r="I4772">
        <v>19.377770000000002</v>
      </c>
      <c r="J4772">
        <v>-401.53</v>
      </c>
      <c r="K4772">
        <v>1.1152759999999999</v>
      </c>
      <c r="L4772">
        <v>19.486969999999999</v>
      </c>
      <c r="M4772">
        <v>0.95099460000000002</v>
      </c>
      <c r="N4772">
        <v>0</v>
      </c>
      <c r="O4772">
        <v>-0.30895070000000002</v>
      </c>
      <c r="P4772">
        <v>0.99588379999999999</v>
      </c>
      <c r="Q4772">
        <v>1.428609E-2</v>
      </c>
      <c r="R4772">
        <v>-8.9509050000000007E-2</v>
      </c>
      <c r="S4772">
        <v>3.0134280000000002</v>
      </c>
      <c r="T4772">
        <v>-0.43032880000000001</v>
      </c>
      <c r="U4772">
        <v>-8.1909179999999998E-2</v>
      </c>
      <c r="V4772">
        <v>-0.2228965</v>
      </c>
      <c r="W4772">
        <v>2.3725019999999999E-2</v>
      </c>
      <c r="X4772">
        <v>0.97455340000000001</v>
      </c>
      <c r="Y4772">
        <v>-0.27716869999999999</v>
      </c>
      <c r="Z4772">
        <v>6.2980289999999994E-2</v>
      </c>
      <c r="AA4772">
        <v>0.95875500000000002</v>
      </c>
      <c r="AB4772">
        <v>25</v>
      </c>
      <c r="AC4772">
        <v>7.4619999999999296</v>
      </c>
      <c r="AD4772">
        <v>-1.115278826875</v>
      </c>
      <c r="AE4772">
        <v>-0.10919999999999699</v>
      </c>
      <c r="AF4772">
        <v>-2.1536177092137598</v>
      </c>
      <c r="AG4772">
        <v>-1.115278826875</v>
      </c>
      <c r="AH4772">
        <v>6.9748498953455798</v>
      </c>
      <c r="AI4772">
        <v>98.686635492717699</v>
      </c>
      <c r="AJ4772">
        <v>107.159068595199</v>
      </c>
      <c r="AK4772">
        <v>7.3844733841836696</v>
      </c>
      <c r="AL4772">
        <v>88.640528966948594</v>
      </c>
      <c r="AM4772">
        <v>102.882903794662</v>
      </c>
      <c r="AN4772">
        <v>1.0000000278689001</v>
      </c>
    </row>
    <row r="4773" spans="1:40" x14ac:dyDescent="0.25">
      <c r="A4773" t="str">
        <f>"20190312151411494"</f>
        <v>20190312151411494</v>
      </c>
      <c r="B4773" t="str">
        <f>"1552374851485688"</f>
        <v>1552374851485688</v>
      </c>
      <c r="C4773" t="s">
        <v>40</v>
      </c>
      <c r="D4773">
        <v>5.1602259999999998</v>
      </c>
      <c r="E4773">
        <v>0.47585959999999999</v>
      </c>
      <c r="F4773" t="s">
        <v>42</v>
      </c>
      <c r="G4773">
        <v>-393.65710000000001</v>
      </c>
      <c r="H4773" s="1">
        <v>-3.0261690000000001E-6</v>
      </c>
      <c r="I4773">
        <v>19.34929</v>
      </c>
      <c r="J4773">
        <v>-401.28879999999998</v>
      </c>
      <c r="K4773">
        <v>1.115281</v>
      </c>
      <c r="L4773">
        <v>19.418060000000001</v>
      </c>
      <c r="M4773">
        <v>0.95344629999999997</v>
      </c>
      <c r="N4773">
        <v>0</v>
      </c>
      <c r="O4773">
        <v>-0.30129929999999999</v>
      </c>
      <c r="P4773">
        <v>0.99649410000000005</v>
      </c>
      <c r="Q4773">
        <v>1.4804909999999999E-2</v>
      </c>
      <c r="R4773">
        <v>-8.2343620000000006E-2</v>
      </c>
      <c r="S4773">
        <v>3.0137939999999999</v>
      </c>
      <c r="T4773">
        <v>-0.42693629999999999</v>
      </c>
      <c r="U4773">
        <v>-5.2703859999999998E-2</v>
      </c>
      <c r="V4773">
        <v>-0.2220799</v>
      </c>
      <c r="W4773">
        <v>2.4257020000000001E-2</v>
      </c>
      <c r="X4773">
        <v>0.97472669999999995</v>
      </c>
      <c r="Y4773">
        <v>-0.27889340000000001</v>
      </c>
      <c r="Z4773">
        <v>6.1589530000000003E-2</v>
      </c>
      <c r="AA4773">
        <v>0.95834509999999995</v>
      </c>
      <c r="AB4773">
        <v>25</v>
      </c>
      <c r="AC4773">
        <v>7.6316999999999604</v>
      </c>
      <c r="AD4773">
        <v>-1.115284026169</v>
      </c>
      <c r="AE4773">
        <v>-6.8770000000000595E-2</v>
      </c>
      <c r="AF4773">
        <v>-2.1873252142569699</v>
      </c>
      <c r="AG4773">
        <v>-1.115284026169</v>
      </c>
      <c r="AH4773">
        <v>7.1451341793276102</v>
      </c>
      <c r="AI4773">
        <v>98.488904343701293</v>
      </c>
      <c r="AJ4773">
        <v>107.020813317578</v>
      </c>
      <c r="AK4773">
        <v>7.5552096259830996</v>
      </c>
      <c r="AL4773">
        <v>88.610038815309395</v>
      </c>
      <c r="AM4773">
        <v>102.835065889539</v>
      </c>
      <c r="AN4773">
        <v>1.0000000123480901</v>
      </c>
    </row>
    <row r="4774" spans="1:40" x14ac:dyDescent="0.25">
      <c r="A4774" t="str">
        <f>"20190312151411516"</f>
        <v>20190312151411516</v>
      </c>
      <c r="B4774" t="str">
        <f>"1552374851505209"</f>
        <v>1552374851505209</v>
      </c>
      <c r="C4774" t="s">
        <v>40</v>
      </c>
      <c r="D4774">
        <v>5.194318</v>
      </c>
      <c r="E4774">
        <v>0.4761861</v>
      </c>
      <c r="F4774" t="s">
        <v>42</v>
      </c>
      <c r="G4774">
        <v>-393.34350000000001</v>
      </c>
      <c r="H4774" s="1">
        <v>-3.178156E-6</v>
      </c>
      <c r="I4774">
        <v>19.328119999999998</v>
      </c>
      <c r="J4774">
        <v>-401.05220000000003</v>
      </c>
      <c r="K4774">
        <v>1.1152879999999901</v>
      </c>
      <c r="L4774">
        <v>19.352509999999999</v>
      </c>
      <c r="M4774">
        <v>0.95578730000000001</v>
      </c>
      <c r="N4774">
        <v>0</v>
      </c>
      <c r="O4774">
        <v>-0.29378799999999999</v>
      </c>
      <c r="P4774">
        <v>0.99712219999999996</v>
      </c>
      <c r="Q4774">
        <v>1.5875859999999999E-2</v>
      </c>
      <c r="R4774">
        <v>-7.4129710000000001E-2</v>
      </c>
      <c r="S4774">
        <v>3.0140380000000002</v>
      </c>
      <c r="T4774">
        <v>-0.42308519999999999</v>
      </c>
      <c r="U4774">
        <v>-3.411865E-2</v>
      </c>
      <c r="V4774">
        <v>-0.22245090000000001</v>
      </c>
      <c r="W4774">
        <v>2.5322890000000001E-2</v>
      </c>
      <c r="X4774">
        <v>0.97461500000000001</v>
      </c>
      <c r="Y4774">
        <v>-0.277443099999999</v>
      </c>
      <c r="Z4774">
        <v>5.9935019999999999E-2</v>
      </c>
      <c r="AA4774">
        <v>0.95887080000000002</v>
      </c>
      <c r="AB4774">
        <v>25</v>
      </c>
      <c r="AC4774">
        <v>7.7087000000000199</v>
      </c>
      <c r="AD4774">
        <v>-1.11529117815599</v>
      </c>
      <c r="AE4774">
        <v>-2.43900000000003E-2</v>
      </c>
      <c r="AF4774">
        <v>-2.1956315237350599</v>
      </c>
      <c r="AG4774">
        <v>-1.11529117815599</v>
      </c>
      <c r="AH4774">
        <v>7.22440930321235</v>
      </c>
      <c r="AI4774">
        <v>98.402247143762906</v>
      </c>
      <c r="AJ4774">
        <v>106.904996310473</v>
      </c>
      <c r="AK4774">
        <v>7.6326117404485396</v>
      </c>
      <c r="AL4774">
        <v>88.548950205297103</v>
      </c>
      <c r="AM4774">
        <v>102.857220314483</v>
      </c>
      <c r="AN4774">
        <v>1.0000000249468799</v>
      </c>
    </row>
    <row r="4775" spans="1:40" x14ac:dyDescent="0.25">
      <c r="A4775" t="str">
        <f>"20190312151411540"</f>
        <v>20190312151411540</v>
      </c>
      <c r="B4775" t="str">
        <f>"1552374851535465"</f>
        <v>1552374851535465</v>
      </c>
      <c r="C4775" t="s">
        <v>40</v>
      </c>
      <c r="D4775">
        <v>4.9272619999999998</v>
      </c>
      <c r="E4775">
        <v>0.47616340000000001</v>
      </c>
      <c r="F4775" t="s">
        <v>42</v>
      </c>
      <c r="G4775">
        <v>-393.07780000000002</v>
      </c>
      <c r="H4775" s="1">
        <v>-3.3050659999999998E-6</v>
      </c>
      <c r="I4775">
        <v>19.32086</v>
      </c>
      <c r="J4775">
        <v>-400.80410000000001</v>
      </c>
      <c r="K4775">
        <v>1.115294</v>
      </c>
      <c r="L4775">
        <v>19.285830000000001</v>
      </c>
      <c r="M4775">
        <v>0.95817450000000004</v>
      </c>
      <c r="N4775">
        <v>0</v>
      </c>
      <c r="O4775">
        <v>-0.28590660000000001</v>
      </c>
      <c r="P4775">
        <v>0.99768500000000004</v>
      </c>
      <c r="Q4775">
        <v>1.6160689999999998E-2</v>
      </c>
      <c r="R4775">
        <v>-6.6060709999999995E-2</v>
      </c>
      <c r="S4775">
        <v>3.0144959999999998</v>
      </c>
      <c r="T4775">
        <v>-0.42160249999999999</v>
      </c>
      <c r="U4775">
        <v>-1.196289E-2</v>
      </c>
      <c r="V4775">
        <v>-0.22231119999999999</v>
      </c>
      <c r="W4775">
        <v>2.5609860000000002E-2</v>
      </c>
      <c r="X4775">
        <v>0.97463940000000004</v>
      </c>
      <c r="Y4775">
        <v>-0.276709599999999</v>
      </c>
      <c r="Z4775">
        <v>5.8620249999999999E-2</v>
      </c>
      <c r="AA4775">
        <v>0.95916400000000002</v>
      </c>
      <c r="AB4775">
        <v>25</v>
      </c>
      <c r="AC4775">
        <v>7.7262999999999797</v>
      </c>
      <c r="AD4775">
        <v>-1.115297305066</v>
      </c>
      <c r="AE4775">
        <v>3.5030000000002497E-2</v>
      </c>
      <c r="AF4775">
        <v>-2.19696582054137</v>
      </c>
      <c r="AG4775">
        <v>-1.115297305066</v>
      </c>
      <c r="AH4775">
        <v>7.2428001561830797</v>
      </c>
      <c r="AI4775">
        <v>98.3826105223838</v>
      </c>
      <c r="AJ4775">
        <v>106.87417715910701</v>
      </c>
      <c r="AK4775">
        <v>7.6504052832330496</v>
      </c>
      <c r="AL4775">
        <v>88.532502734353301</v>
      </c>
      <c r="AM4775">
        <v>102.84910302711199</v>
      </c>
      <c r="AN4775">
        <v>1.0000000473035</v>
      </c>
    </row>
    <row r="4776" spans="1:40" x14ac:dyDescent="0.25">
      <c r="A4776" t="str">
        <f>"20190312151411562"</f>
        <v>20190312151411562</v>
      </c>
      <c r="B4776" t="str">
        <f>"1552374851554985"</f>
        <v>1552374851554985</v>
      </c>
      <c r="C4776" t="s">
        <v>40</v>
      </c>
      <c r="D4776">
        <v>4.8544669999999996</v>
      </c>
      <c r="E4776">
        <v>0.4761341</v>
      </c>
      <c r="F4776" t="s">
        <v>42</v>
      </c>
      <c r="G4776">
        <v>-392.73559999999998</v>
      </c>
      <c r="H4776" s="1">
        <v>-3.467154E-6</v>
      </c>
      <c r="I4776">
        <v>19.31907</v>
      </c>
      <c r="J4776">
        <v>-400.57130000000001</v>
      </c>
      <c r="K4776">
        <v>1.115294</v>
      </c>
      <c r="L4776">
        <v>19.225280000000001</v>
      </c>
      <c r="M4776">
        <v>0.96035029999999999</v>
      </c>
      <c r="N4776">
        <v>0</v>
      </c>
      <c r="O4776">
        <v>-0.27851090000000001</v>
      </c>
      <c r="P4776">
        <v>0.99811709999999998</v>
      </c>
      <c r="Q4776">
        <v>1.646224E-2</v>
      </c>
      <c r="R4776">
        <v>-5.9089959999999997E-2</v>
      </c>
      <c r="S4776">
        <v>3.014526</v>
      </c>
      <c r="T4776">
        <v>-0.41669270000000003</v>
      </c>
      <c r="U4776">
        <v>1.242065E-2</v>
      </c>
      <c r="V4776">
        <v>-0.22160769999999999</v>
      </c>
      <c r="W4776">
        <v>2.5923040000000001E-2</v>
      </c>
      <c r="X4776">
        <v>0.97479130000000003</v>
      </c>
      <c r="Y4776">
        <v>-0.27725559999999899</v>
      </c>
      <c r="Z4776">
        <v>5.7007259999999997E-2</v>
      </c>
      <c r="AA4776">
        <v>0.9591035</v>
      </c>
      <c r="AB4776">
        <v>25</v>
      </c>
      <c r="AC4776">
        <v>7.8357000000000303</v>
      </c>
      <c r="AD4776">
        <v>-1.1152974671539999</v>
      </c>
      <c r="AE4776">
        <v>9.3790000000001997E-2</v>
      </c>
      <c r="AF4776">
        <v>-2.2274593209205999</v>
      </c>
      <c r="AG4776">
        <v>-1.1152974671539999</v>
      </c>
      <c r="AH4776">
        <v>7.3505944224786397</v>
      </c>
      <c r="AI4776">
        <v>98.262070593972695</v>
      </c>
      <c r="AJ4776">
        <v>106.85844492675299</v>
      </c>
      <c r="AK4776">
        <v>7.7612306904491799</v>
      </c>
      <c r="AL4776">
        <v>88.514552854137506</v>
      </c>
      <c r="AM4776">
        <v>102.807855459245</v>
      </c>
      <c r="AN4776">
        <v>1.00000002762891</v>
      </c>
    </row>
    <row r="4777" spans="1:40" x14ac:dyDescent="0.25">
      <c r="A4777" t="str">
        <f>"20190312151411585"</f>
        <v>20190312151411585</v>
      </c>
      <c r="B4777" t="str">
        <f>"1552374851575484"</f>
        <v>1552374851575484</v>
      </c>
      <c r="C4777" t="s">
        <v>40</v>
      </c>
      <c r="D4777">
        <v>4.8770490000000004</v>
      </c>
      <c r="E4777">
        <v>0.47616370000000002</v>
      </c>
      <c r="F4777" t="s">
        <v>42</v>
      </c>
      <c r="G4777">
        <v>-392.42880000000002</v>
      </c>
      <c r="H4777" s="1">
        <v>-3.6124599999999999E-6</v>
      </c>
      <c r="I4777">
        <v>19.317360000000001</v>
      </c>
      <c r="J4777">
        <v>-400.3338</v>
      </c>
      <c r="K4777">
        <v>1.1152979999999999</v>
      </c>
      <c r="L4777">
        <v>19.16544</v>
      </c>
      <c r="M4777">
        <v>0.96250720000000001</v>
      </c>
      <c r="N4777">
        <v>0</v>
      </c>
      <c r="O4777">
        <v>-0.2709627</v>
      </c>
      <c r="P4777">
        <v>0.99852969999999996</v>
      </c>
      <c r="Q4777">
        <v>1.646891E-2</v>
      </c>
      <c r="R4777">
        <v>-5.1645679999999999E-2</v>
      </c>
      <c r="S4777">
        <v>3.014465</v>
      </c>
      <c r="T4777">
        <v>-0.41289949999999997</v>
      </c>
      <c r="U4777">
        <v>3.4088130000000001E-2</v>
      </c>
      <c r="V4777">
        <v>-0.22122310000000001</v>
      </c>
      <c r="W4777">
        <v>2.593591E-2</v>
      </c>
      <c r="X4777">
        <v>0.97487829999999998</v>
      </c>
      <c r="Y4777">
        <v>-0.27678180000000002</v>
      </c>
      <c r="Z4777">
        <v>5.5471220000000002E-2</v>
      </c>
      <c r="AA4777">
        <v>0.95933040000000003</v>
      </c>
      <c r="AB4777">
        <v>25</v>
      </c>
      <c r="AC4777">
        <v>7.9049999999999701</v>
      </c>
      <c r="AD4777">
        <v>-1.1153016124599999</v>
      </c>
      <c r="AE4777">
        <v>0.15192</v>
      </c>
      <c r="AF4777">
        <v>-2.24371961473256</v>
      </c>
      <c r="AG4777">
        <v>-1.1153016124599999</v>
      </c>
      <c r="AH4777">
        <v>7.4204019097430196</v>
      </c>
      <c r="AI4777">
        <v>98.186909957150903</v>
      </c>
      <c r="AJ4777">
        <v>106.823831496981</v>
      </c>
      <c r="AK4777">
        <v>7.832020167135</v>
      </c>
      <c r="AL4777">
        <v>88.513815191588506</v>
      </c>
      <c r="AM4777">
        <v>102.785255150445</v>
      </c>
      <c r="AN4777">
        <v>1.00000001560601</v>
      </c>
    </row>
    <row r="4778" spans="1:40" x14ac:dyDescent="0.25">
      <c r="A4778" t="str">
        <f>"20190312151411607"</f>
        <v>20190312151411607</v>
      </c>
      <c r="B4778" t="str">
        <f>"1552374851595001"</f>
        <v>1552374851595001</v>
      </c>
      <c r="C4778" t="s">
        <v>40</v>
      </c>
      <c r="D4778">
        <v>5.0381280000000004</v>
      </c>
      <c r="E4778">
        <v>0.47621380000000002</v>
      </c>
      <c r="F4778" t="s">
        <v>42</v>
      </c>
      <c r="G4778">
        <v>-392.13479999999998</v>
      </c>
      <c r="H4778" s="1">
        <v>-3.7512249999999998E-6</v>
      </c>
      <c r="I4778">
        <v>19.318680000000001</v>
      </c>
      <c r="J4778">
        <v>-400.09480000000002</v>
      </c>
      <c r="K4778">
        <v>1.1152979999999999</v>
      </c>
      <c r="L4778">
        <v>19.107299999999999</v>
      </c>
      <c r="M4778">
        <v>0.96461350000000001</v>
      </c>
      <c r="N4778">
        <v>0</v>
      </c>
      <c r="O4778">
        <v>-0.26336609999999899</v>
      </c>
      <c r="P4778">
        <v>0.99888549999999998</v>
      </c>
      <c r="Q4778">
        <v>1.6173650000000001E-2</v>
      </c>
      <c r="R4778">
        <v>-4.4340610000000003E-2</v>
      </c>
      <c r="S4778">
        <v>3.0140989999999999</v>
      </c>
      <c r="T4778">
        <v>-0.41000429999999999</v>
      </c>
      <c r="U4778">
        <v>5.6335450000000002E-2</v>
      </c>
      <c r="V4778">
        <v>-0.22066549999999999</v>
      </c>
      <c r="W4778">
        <v>2.5644179999999999E-2</v>
      </c>
      <c r="X4778">
        <v>0.9750124</v>
      </c>
      <c r="Y4778">
        <v>-0.27643640000000003</v>
      </c>
      <c r="Z4778">
        <v>5.4074759999999999E-2</v>
      </c>
      <c r="AA4778">
        <v>0.95950970000000002</v>
      </c>
      <c r="AB4778">
        <v>25</v>
      </c>
      <c r="AC4778">
        <v>7.9600000000000302</v>
      </c>
      <c r="AD4778">
        <v>-1.1153017512250001</v>
      </c>
      <c r="AE4778">
        <v>0.21138000000000101</v>
      </c>
      <c r="AF4778">
        <v>-2.25621496359972</v>
      </c>
      <c r="AG4778">
        <v>-1.1153017512250001</v>
      </c>
      <c r="AH4778">
        <v>7.4765846818863997</v>
      </c>
      <c r="AI4778">
        <v>98.12754894535</v>
      </c>
      <c r="AJ4778">
        <v>106.792280956567</v>
      </c>
      <c r="AK4778">
        <v>7.8888353046362401</v>
      </c>
      <c r="AL4778">
        <v>88.530535676987796</v>
      </c>
      <c r="AM4778">
        <v>102.752388015745</v>
      </c>
      <c r="AN4778">
        <v>1.00000003350594</v>
      </c>
    </row>
    <row r="4779" spans="1:40" x14ac:dyDescent="0.25">
      <c r="A4779" t="str">
        <f>"20190312151411629"</f>
        <v>20190312151411629</v>
      </c>
      <c r="B4779" t="str">
        <f>"1552374851625257"</f>
        <v>1552374851625257</v>
      </c>
      <c r="C4779" t="s">
        <v>40</v>
      </c>
      <c r="D4779">
        <v>4.8763909999999999</v>
      </c>
      <c r="E4779">
        <v>0.4813384</v>
      </c>
      <c r="F4779" t="s">
        <v>42</v>
      </c>
      <c r="G4779">
        <v>-391.887</v>
      </c>
      <c r="H4779" s="1">
        <v>-3.868226E-6</v>
      </c>
      <c r="I4779">
        <v>19.31926</v>
      </c>
      <c r="J4779">
        <v>-399.86239999999998</v>
      </c>
      <c r="K4779">
        <v>1.115292</v>
      </c>
      <c r="L4779">
        <v>19.05273</v>
      </c>
      <c r="M4779">
        <v>0.9666013</v>
      </c>
      <c r="N4779">
        <v>0</v>
      </c>
      <c r="O4779">
        <v>-0.25597579999999998</v>
      </c>
      <c r="P4779">
        <v>0.99915779999999998</v>
      </c>
      <c r="Q4779">
        <v>1.6386950000000001E-2</v>
      </c>
      <c r="R4779">
        <v>-3.7622179999999998E-2</v>
      </c>
      <c r="S4779">
        <v>3.0134280000000002</v>
      </c>
      <c r="T4779">
        <v>-0.40947620000000001</v>
      </c>
      <c r="U4779">
        <v>7.7819819999999998E-2</v>
      </c>
      <c r="V4779">
        <v>-0.21976129999999999</v>
      </c>
      <c r="W4779">
        <v>2.5862489999999998E-2</v>
      </c>
      <c r="X4779">
        <v>0.97521080000000004</v>
      </c>
      <c r="Y4779">
        <v>-0.27601229999999999</v>
      </c>
      <c r="Z4779">
        <v>5.3018790000000003E-2</v>
      </c>
      <c r="AA4779">
        <v>0.95969070000000001</v>
      </c>
      <c r="AB4779">
        <v>25</v>
      </c>
      <c r="AC4779">
        <v>7.9754000000000298</v>
      </c>
      <c r="AD4779">
        <v>-1.1152958682259999</v>
      </c>
      <c r="AE4779">
        <v>0.26652999999999899</v>
      </c>
      <c r="AF4779">
        <v>-2.2552653752276202</v>
      </c>
      <c r="AG4779">
        <v>-1.1152958682259999</v>
      </c>
      <c r="AH4779">
        <v>7.4950045038466104</v>
      </c>
      <c r="AI4779">
        <v>98.109717529547595</v>
      </c>
      <c r="AJ4779">
        <v>106.746670771848</v>
      </c>
      <c r="AK4779">
        <v>7.9060229761279803</v>
      </c>
      <c r="AL4779">
        <v>88.518023237415704</v>
      </c>
      <c r="AM4779">
        <v>102.699332094467</v>
      </c>
      <c r="AN4779">
        <v>1.0000000009016601</v>
      </c>
    </row>
    <row r="4780" spans="1:40" x14ac:dyDescent="0.25">
      <c r="A4780" t="str">
        <f>"20190312151411650"</f>
        <v>20190312151411650</v>
      </c>
      <c r="B4780" t="str">
        <f>"1552374851645753"</f>
        <v>1552374851645753</v>
      </c>
      <c r="C4780" t="s">
        <v>40</v>
      </c>
      <c r="D4780">
        <v>4.8942079999999999</v>
      </c>
      <c r="E4780">
        <v>0.48174159999999999</v>
      </c>
      <c r="F4780" t="s">
        <v>61</v>
      </c>
      <c r="G4780">
        <v>-387.38819999999998</v>
      </c>
      <c r="H4780" s="1">
        <v>-1.297681E-6</v>
      </c>
      <c r="I4780">
        <v>19.26314</v>
      </c>
      <c r="J4780">
        <v>-399.6259</v>
      </c>
      <c r="K4780">
        <v>1.1152879999999901</v>
      </c>
      <c r="L4780">
        <v>18.99905</v>
      </c>
      <c r="M4780">
        <v>0.9685627</v>
      </c>
      <c r="N4780">
        <v>0</v>
      </c>
      <c r="O4780">
        <v>-0.24845130000000001</v>
      </c>
      <c r="P4780">
        <v>0.99940790000000002</v>
      </c>
      <c r="Q4780">
        <v>1.613991E-2</v>
      </c>
      <c r="R4780">
        <v>-3.0394930000000001E-2</v>
      </c>
      <c r="S4780">
        <v>3.0088499999999998</v>
      </c>
      <c r="T4780">
        <v>-0.26901560000000002</v>
      </c>
      <c r="U4780">
        <v>5.0750730000000001E-2</v>
      </c>
      <c r="V4780">
        <v>-0.21922839999999999</v>
      </c>
      <c r="W4780">
        <v>2.5612719999999999E-2</v>
      </c>
      <c r="X4780">
        <v>0.97533729999999996</v>
      </c>
      <c r="Y4780">
        <v>-0.26274649999999999</v>
      </c>
      <c r="Z4780">
        <v>3.3725829999999998E-2</v>
      </c>
      <c r="AA4780">
        <v>0.96427529999999995</v>
      </c>
      <c r="AB4780">
        <v>25</v>
      </c>
      <c r="AC4780">
        <v>12.2377</v>
      </c>
      <c r="AD4780">
        <v>-1.1152892976809901</v>
      </c>
      <c r="AE4780">
        <v>0.26408999999999899</v>
      </c>
      <c r="AF4780">
        <v>-3.2693792463959999</v>
      </c>
      <c r="AG4780">
        <v>-1.1152892976809901</v>
      </c>
      <c r="AH4780">
        <v>11.691240460054701</v>
      </c>
      <c r="AI4780">
        <v>95.249070562873499</v>
      </c>
      <c r="AJ4780">
        <v>105.62330302598799</v>
      </c>
      <c r="AK4780">
        <v>12.190890630676099</v>
      </c>
      <c r="AL4780">
        <v>88.532338709669702</v>
      </c>
      <c r="AM4780">
        <v>102.667942452728</v>
      </c>
      <c r="AN4780">
        <v>0.99999997578182298</v>
      </c>
    </row>
    <row r="4781" spans="1:40" x14ac:dyDescent="0.25">
      <c r="A4781" t="str">
        <f>"20190312151411675"</f>
        <v>20190312151411675</v>
      </c>
      <c r="B4781" t="str">
        <f>"1552374851665277"</f>
        <v>1552374851665277</v>
      </c>
      <c r="C4781" t="s">
        <v>40</v>
      </c>
      <c r="D4781">
        <v>4.8874209999999998</v>
      </c>
      <c r="E4781">
        <v>0.48282560000000002</v>
      </c>
      <c r="F4781" t="s">
        <v>61</v>
      </c>
      <c r="G4781">
        <v>-387.38010000000003</v>
      </c>
      <c r="H4781" s="1">
        <v>-1.298033E-6</v>
      </c>
      <c r="I4781">
        <v>19.282910000000001</v>
      </c>
      <c r="J4781">
        <v>-399.37369999999999</v>
      </c>
      <c r="K4781">
        <v>1.115294</v>
      </c>
      <c r="L4781">
        <v>18.944030000000001</v>
      </c>
      <c r="M4781">
        <v>0.97058580000000005</v>
      </c>
      <c r="N4781">
        <v>0</v>
      </c>
      <c r="O4781">
        <v>-0.24042729999999901</v>
      </c>
      <c r="P4781">
        <v>0.99960009999999999</v>
      </c>
      <c r="Q4781">
        <v>1.6001140000000001E-2</v>
      </c>
      <c r="R4781">
        <v>-2.3315659999999998E-2</v>
      </c>
      <c r="S4781">
        <v>3.0083310000000001</v>
      </c>
      <c r="T4781">
        <v>-0.27398489999999998</v>
      </c>
      <c r="U4781">
        <v>6.9732669999999997E-2</v>
      </c>
      <c r="V4781">
        <v>-0.2180626</v>
      </c>
      <c r="W4781">
        <v>2.5473530000000001E-2</v>
      </c>
      <c r="X4781">
        <v>0.97560230000000003</v>
      </c>
      <c r="Y4781">
        <v>-0.26081389999999999</v>
      </c>
      <c r="Z4781">
        <v>3.3553569999999998E-2</v>
      </c>
      <c r="AA4781">
        <v>0.96480580000000005</v>
      </c>
      <c r="AB4781">
        <v>25</v>
      </c>
      <c r="AC4781">
        <v>11.993599999999899</v>
      </c>
      <c r="AD4781">
        <v>-1.115295298033</v>
      </c>
      <c r="AE4781">
        <v>0.33888000000000301</v>
      </c>
      <c r="AF4781">
        <v>-3.1852329683316398</v>
      </c>
      <c r="AG4781">
        <v>-1.115295298033</v>
      </c>
      <c r="AH4781">
        <v>11.4612250581048</v>
      </c>
      <c r="AI4781">
        <v>95.3562186844335</v>
      </c>
      <c r="AJ4781">
        <v>105.53134763821301</v>
      </c>
      <c r="AK4781">
        <v>11.9477727002522</v>
      </c>
      <c r="AL4781">
        <v>88.540316381292101</v>
      </c>
      <c r="AM4781">
        <v>102.599421036301</v>
      </c>
      <c r="AN4781">
        <v>1.00000002300735</v>
      </c>
    </row>
    <row r="4782" spans="1:40" x14ac:dyDescent="0.25">
      <c r="A4782" t="str">
        <f>"20190312151411696"</f>
        <v>20190312151411696</v>
      </c>
      <c r="B4782" t="str">
        <f>"1552374851685813"</f>
        <v>1552374851685813</v>
      </c>
      <c r="C4782" t="s">
        <v>40</v>
      </c>
      <c r="D4782">
        <v>4.9724640000000004</v>
      </c>
      <c r="E4782">
        <v>0.48416769999999998</v>
      </c>
      <c r="F4782" t="s">
        <v>61</v>
      </c>
      <c r="G4782">
        <v>-387.27890000000002</v>
      </c>
      <c r="H4782" s="1">
        <v>-1.3469570000000001E-6</v>
      </c>
      <c r="I4782">
        <v>19.276620000000001</v>
      </c>
      <c r="J4782">
        <v>-399.14109999999999</v>
      </c>
      <c r="K4782">
        <v>1.115289</v>
      </c>
      <c r="L4782">
        <v>18.895109999999999</v>
      </c>
      <c r="M4782">
        <v>0.97239149999999996</v>
      </c>
      <c r="N4782">
        <v>0</v>
      </c>
      <c r="O4782">
        <v>-0.23301849999999999</v>
      </c>
      <c r="P4782">
        <v>0.99972380000000005</v>
      </c>
      <c r="Q4782">
        <v>1.652116E-2</v>
      </c>
      <c r="R4782">
        <v>-1.6722540000000001E-2</v>
      </c>
      <c r="S4782">
        <v>3.007568</v>
      </c>
      <c r="T4782">
        <v>-0.27733679999999999</v>
      </c>
      <c r="U4782">
        <v>8.2702639999999994E-2</v>
      </c>
      <c r="V4782">
        <v>-0.2170609</v>
      </c>
      <c r="W4782">
        <v>2.5978810000000001E-2</v>
      </c>
      <c r="X4782">
        <v>0.97581229999999997</v>
      </c>
      <c r="Y4782">
        <v>-0.25761020000000001</v>
      </c>
      <c r="Z4782">
        <v>3.3156860000000003E-2</v>
      </c>
      <c r="AA4782">
        <v>0.96567990000000004</v>
      </c>
      <c r="AB4782">
        <v>25</v>
      </c>
      <c r="AC4782">
        <v>11.8621999999999</v>
      </c>
      <c r="AD4782">
        <v>-1.1152903469569999</v>
      </c>
      <c r="AE4782">
        <v>0.38151000000000201</v>
      </c>
      <c r="AF4782">
        <v>-3.1078905696268699</v>
      </c>
      <c r="AG4782">
        <v>-1.1152903469569999</v>
      </c>
      <c r="AH4782">
        <v>11.3465051423346</v>
      </c>
      <c r="AI4782">
        <v>95.415556865157598</v>
      </c>
      <c r="AJ4782">
        <v>105.318029596705</v>
      </c>
      <c r="AK4782">
        <v>11.8171923609552</v>
      </c>
      <c r="AL4782">
        <v>88.511356334357004</v>
      </c>
      <c r="AM4782">
        <v>102.54076552800301</v>
      </c>
      <c r="AN4782">
        <v>0.99999998885455799</v>
      </c>
    </row>
    <row r="4783" spans="1:40" x14ac:dyDescent="0.25">
      <c r="A4783" t="str">
        <f>"20190312151411718"</f>
        <v>20190312151411718</v>
      </c>
      <c r="B4783" t="str">
        <f>"1552374851715050"</f>
        <v>1552374851715050</v>
      </c>
      <c r="C4783" t="s">
        <v>40</v>
      </c>
      <c r="D4783">
        <v>4.8839959999999998</v>
      </c>
      <c r="E4783">
        <v>0.48515229999999998</v>
      </c>
      <c r="F4783" t="s">
        <v>61</v>
      </c>
      <c r="G4783">
        <v>-387.28100000000001</v>
      </c>
      <c r="H4783" s="1">
        <v>-1.3491980000000001E-6</v>
      </c>
      <c r="I4783">
        <v>19.258369999999999</v>
      </c>
      <c r="J4783">
        <v>-398.90300000000002</v>
      </c>
      <c r="K4783">
        <v>1.1152879999999901</v>
      </c>
      <c r="L4783">
        <v>18.84695</v>
      </c>
      <c r="M4783">
        <v>0.97417960000000003</v>
      </c>
      <c r="N4783">
        <v>0</v>
      </c>
      <c r="O4783">
        <v>-0.22542889999999999</v>
      </c>
      <c r="P4783">
        <v>0.99979770000000001</v>
      </c>
      <c r="Q4783">
        <v>1.7494160000000002E-2</v>
      </c>
      <c r="R4783">
        <v>-9.9437850000000001E-3</v>
      </c>
      <c r="S4783">
        <v>3.00705</v>
      </c>
      <c r="T4783">
        <v>-0.2827752</v>
      </c>
      <c r="U4783">
        <v>9.2102050000000005E-2</v>
      </c>
      <c r="V4783">
        <v>-0.21607589999999999</v>
      </c>
      <c r="W4783">
        <v>2.692023E-2</v>
      </c>
      <c r="X4783">
        <v>0.97600540000000002</v>
      </c>
      <c r="Y4783">
        <v>-0.2530673</v>
      </c>
      <c r="Z4783">
        <v>3.2898810000000001E-2</v>
      </c>
      <c r="AA4783">
        <v>0.96688909999999995</v>
      </c>
      <c r="AB4783">
        <v>25</v>
      </c>
      <c r="AC4783">
        <v>11.622</v>
      </c>
      <c r="AD4783">
        <v>-1.1152893491979901</v>
      </c>
      <c r="AE4783">
        <v>0.41142000000000301</v>
      </c>
      <c r="AF4783">
        <v>-2.9934350695727798</v>
      </c>
      <c r="AG4783">
        <v>-1.1152893491979901</v>
      </c>
      <c r="AH4783">
        <v>11.127697946681</v>
      </c>
      <c r="AI4783">
        <v>95.5281895072129</v>
      </c>
      <c r="AJ4783">
        <v>105.05656384457301</v>
      </c>
      <c r="AK4783">
        <v>11.577140641831701</v>
      </c>
      <c r="AL4783">
        <v>88.457398105281897</v>
      </c>
      <c r="AM4783">
        <v>102.483252471977</v>
      </c>
      <c r="AN4783">
        <v>1.0000000170866099</v>
      </c>
    </row>
    <row r="4784" spans="1:40" x14ac:dyDescent="0.25">
      <c r="A4784" t="str">
        <f>"20190312151411743"</f>
        <v>20190312151411743</v>
      </c>
      <c r="B4784" t="str">
        <f>"1552374851735545"</f>
        <v>1552374851735545</v>
      </c>
      <c r="C4784" t="s">
        <v>40</v>
      </c>
      <c r="D4784">
        <v>5.0994960000000003</v>
      </c>
      <c r="E4784">
        <v>0.48615730000000001</v>
      </c>
      <c r="F4784" t="s">
        <v>61</v>
      </c>
      <c r="G4784">
        <v>-386.28829999999999</v>
      </c>
      <c r="H4784" s="1">
        <v>-1.8140149999999999E-6</v>
      </c>
      <c r="I4784">
        <v>19.283619999999999</v>
      </c>
      <c r="J4784">
        <v>-398.63959999999997</v>
      </c>
      <c r="K4784">
        <v>1.1152799999999901</v>
      </c>
      <c r="L4784">
        <v>18.795839999999998</v>
      </c>
      <c r="M4784">
        <v>0.97608490000000003</v>
      </c>
      <c r="N4784">
        <v>0</v>
      </c>
      <c r="O4784">
        <v>-0.21703410000000001</v>
      </c>
      <c r="P4784">
        <v>0.99983949999999999</v>
      </c>
      <c r="Q4784">
        <v>1.7718859999999999E-2</v>
      </c>
      <c r="R4784">
        <v>-2.6587540000000002E-3</v>
      </c>
      <c r="S4784">
        <v>3.0062869999999999</v>
      </c>
      <c r="T4784">
        <v>-0.265791099999999</v>
      </c>
      <c r="U4784">
        <v>0.1040649</v>
      </c>
      <c r="V4784">
        <v>-0.214786</v>
      </c>
      <c r="W4784">
        <v>2.7101360000000001E-2</v>
      </c>
      <c r="X4784">
        <v>0.97628499999999996</v>
      </c>
      <c r="Y4784">
        <v>-0.24888279999999999</v>
      </c>
      <c r="Z4784">
        <v>3.002645E-2</v>
      </c>
      <c r="AA4784">
        <v>0.96806809999999999</v>
      </c>
      <c r="AB4784">
        <v>25</v>
      </c>
      <c r="AC4784">
        <v>12.351299999999901</v>
      </c>
      <c r="AD4784">
        <v>-1.11528181401499</v>
      </c>
      <c r="AE4784">
        <v>0.48778000000000399</v>
      </c>
      <c r="AF4784">
        <v>-3.1315187411116101</v>
      </c>
      <c r="AG4784">
        <v>-1.11528181401499</v>
      </c>
      <c r="AH4784">
        <v>11.854470710274301</v>
      </c>
      <c r="AI4784">
        <v>95.197372841768299</v>
      </c>
      <c r="AJ4784">
        <v>104.797435967328</v>
      </c>
      <c r="AK4784">
        <v>12.311731761671799</v>
      </c>
      <c r="AL4784">
        <v>88.447016237155907</v>
      </c>
      <c r="AM4784">
        <v>102.407603255361</v>
      </c>
      <c r="AN4784">
        <v>0.99999995536742303</v>
      </c>
    </row>
    <row r="4785" spans="1:40" x14ac:dyDescent="0.25">
      <c r="A4785" t="str">
        <f>"20190312151411764"</f>
        <v>20190312151411764</v>
      </c>
      <c r="B4785" t="str">
        <f>"1552374851755065"</f>
        <v>1552374851755065</v>
      </c>
      <c r="C4785" t="s">
        <v>40</v>
      </c>
      <c r="D4785">
        <v>4.8601999999999999</v>
      </c>
      <c r="E4785">
        <v>0.48742970000000002</v>
      </c>
      <c r="F4785" t="s">
        <v>61</v>
      </c>
      <c r="G4785">
        <v>-385.82530000000003</v>
      </c>
      <c r="H4785" s="1">
        <v>-2.0302800000000002E-6</v>
      </c>
      <c r="I4785">
        <v>19.298089999999998</v>
      </c>
      <c r="J4785">
        <v>-398.4076</v>
      </c>
      <c r="K4785">
        <v>1.115273</v>
      </c>
      <c r="L4785">
        <v>18.75281</v>
      </c>
      <c r="M4785">
        <v>0.97770170000000001</v>
      </c>
      <c r="N4785">
        <v>0</v>
      </c>
      <c r="O4785">
        <v>-0.2096346</v>
      </c>
      <c r="P4785">
        <v>0.9998146</v>
      </c>
      <c r="Q4785">
        <v>1.8824190000000001E-2</v>
      </c>
      <c r="R4785">
        <v>4.1162710000000003E-3</v>
      </c>
      <c r="S4785">
        <v>3.0054319999999999</v>
      </c>
      <c r="T4785">
        <v>-0.2615751</v>
      </c>
      <c r="U4785">
        <v>0.1177979</v>
      </c>
      <c r="V4785">
        <v>-0.21401580000000001</v>
      </c>
      <c r="W4785">
        <v>2.8154289999999998E-2</v>
      </c>
      <c r="X4785">
        <v>0.97642439999999997</v>
      </c>
      <c r="Y4785">
        <v>-0.2460695</v>
      </c>
      <c r="Z4785">
        <v>2.8805540000000001E-2</v>
      </c>
      <c r="AA4785">
        <v>0.96882400000000002</v>
      </c>
      <c r="AB4785">
        <v>25</v>
      </c>
      <c r="AC4785">
        <v>12.582299999999901</v>
      </c>
      <c r="AD4785">
        <v>-1.1152750302800001</v>
      </c>
      <c r="AE4785">
        <v>0.54527999999999799</v>
      </c>
      <c r="AF4785">
        <v>-3.1463747676832798</v>
      </c>
      <c r="AG4785">
        <v>-1.1152750302800001</v>
      </c>
      <c r="AH4785">
        <v>12.093519433579001</v>
      </c>
      <c r="AI4785">
        <v>95.100120502173894</v>
      </c>
      <c r="AJ4785">
        <v>104.583356287893</v>
      </c>
      <c r="AK4785">
        <v>12.545785143315401</v>
      </c>
      <c r="AL4785">
        <v>88.386664849859699</v>
      </c>
      <c r="AM4785">
        <v>102.362770828934</v>
      </c>
      <c r="AN4785">
        <v>1.0000000178052</v>
      </c>
    </row>
    <row r="4786" spans="1:40" x14ac:dyDescent="0.25">
      <c r="A4786" t="str">
        <f>"20190312151411787"</f>
        <v>20190312151411787</v>
      </c>
      <c r="B4786" t="str">
        <f>"1552374851775561"</f>
        <v>1552374851775561</v>
      </c>
      <c r="C4786" t="s">
        <v>40</v>
      </c>
      <c r="D4786">
        <v>4.8550199999999997</v>
      </c>
      <c r="E4786">
        <v>0.48792190000000002</v>
      </c>
      <c r="F4786" t="s">
        <v>61</v>
      </c>
      <c r="G4786">
        <v>-385.46210000000002</v>
      </c>
      <c r="H4786" s="1">
        <v>-2.2009879999999999E-6</v>
      </c>
      <c r="I4786">
        <v>19.303809999999999</v>
      </c>
      <c r="J4786">
        <v>-398.16489999999999</v>
      </c>
      <c r="K4786">
        <v>1.1152580000000001</v>
      </c>
      <c r="L4786">
        <v>18.709720000000001</v>
      </c>
      <c r="M4786">
        <v>0.97932960000000002</v>
      </c>
      <c r="N4786">
        <v>0</v>
      </c>
      <c r="O4786">
        <v>-0.20189750000000001</v>
      </c>
      <c r="P4786">
        <v>0.99975449999999999</v>
      </c>
      <c r="Q4786">
        <v>1.937786E-2</v>
      </c>
      <c r="R4786">
        <v>1.075081E-2</v>
      </c>
      <c r="S4786">
        <v>3.0049130000000002</v>
      </c>
      <c r="T4786">
        <v>-0.25887670000000002</v>
      </c>
      <c r="U4786">
        <v>0.12789919999999999</v>
      </c>
      <c r="V4786">
        <v>-0.2127773</v>
      </c>
      <c r="W4786">
        <v>2.865477E-2</v>
      </c>
      <c r="X4786">
        <v>0.97668049999999995</v>
      </c>
      <c r="Y4786">
        <v>-0.24174290000000001</v>
      </c>
      <c r="Z4786">
        <v>2.7672510000000001E-2</v>
      </c>
      <c r="AA4786">
        <v>0.96994570000000002</v>
      </c>
      <c r="AB4786">
        <v>25</v>
      </c>
      <c r="AC4786">
        <v>12.7027999999999</v>
      </c>
      <c r="AD4786">
        <v>-1.1152602009879999</v>
      </c>
      <c r="AE4786">
        <v>0.59409000000000101</v>
      </c>
      <c r="AF4786">
        <v>-3.1226931291997402</v>
      </c>
      <c r="AG4786">
        <v>-1.1152602009879999</v>
      </c>
      <c r="AH4786">
        <v>12.2271687646614</v>
      </c>
      <c r="AI4786">
        <v>95.050398536231896</v>
      </c>
      <c r="AJ4786">
        <v>104.32651554360901</v>
      </c>
      <c r="AK4786">
        <v>12.6688071141118</v>
      </c>
      <c r="AL4786">
        <v>88.357977915223003</v>
      </c>
      <c r="AM4786">
        <v>102.290284096595</v>
      </c>
      <c r="AN4786">
        <v>1.00000003715964</v>
      </c>
    </row>
    <row r="4787" spans="1:40" x14ac:dyDescent="0.25">
      <c r="A4787" t="str">
        <f>"20190312151411807"</f>
        <v>20190312151411807</v>
      </c>
      <c r="B4787" t="str">
        <f>"1552374851804841"</f>
        <v>1552374851804841</v>
      </c>
      <c r="C4787" t="s">
        <v>40</v>
      </c>
      <c r="D4787">
        <v>4.8742890000000001</v>
      </c>
      <c r="E4787">
        <v>0.4888304</v>
      </c>
      <c r="F4787" t="s">
        <v>61</v>
      </c>
      <c r="G4787">
        <v>-385.11900000000003</v>
      </c>
      <c r="H4787" s="1">
        <v>-2.3578090000000001E-6</v>
      </c>
      <c r="I4787">
        <v>19.333770000000001</v>
      </c>
      <c r="J4787">
        <v>-397.93389999999999</v>
      </c>
      <c r="K4787">
        <v>1.115246</v>
      </c>
      <c r="L4787">
        <v>18.670590000000001</v>
      </c>
      <c r="M4787">
        <v>0.98081680000000004</v>
      </c>
      <c r="N4787">
        <v>0</v>
      </c>
      <c r="O4787">
        <v>-0.19454949999999999</v>
      </c>
      <c r="P4787">
        <v>0.99965939999999998</v>
      </c>
      <c r="Q4787">
        <v>1.9876319999999999E-2</v>
      </c>
      <c r="R4787">
        <v>1.6924560000000002E-2</v>
      </c>
      <c r="S4787">
        <v>3.004181</v>
      </c>
      <c r="T4787">
        <v>-0.25682189999999999</v>
      </c>
      <c r="U4787">
        <v>0.14370729999999901</v>
      </c>
      <c r="V4787">
        <v>-0.21148910000000001</v>
      </c>
      <c r="W4787">
        <v>2.9099949999999999E-2</v>
      </c>
      <c r="X4787">
        <v>0.97694709999999996</v>
      </c>
      <c r="Y4787">
        <v>-0.23963280000000001</v>
      </c>
      <c r="Z4787">
        <v>2.675075E-2</v>
      </c>
      <c r="AA4787">
        <v>0.970495</v>
      </c>
      <c r="AB4787">
        <v>25</v>
      </c>
      <c r="AC4787">
        <v>12.8148999999999</v>
      </c>
      <c r="AD4787">
        <v>-1.115248357809</v>
      </c>
      <c r="AE4787">
        <v>0.66317999999999999</v>
      </c>
      <c r="AF4787">
        <v>-3.1202555235892602</v>
      </c>
      <c r="AG4787">
        <v>-1.115248357809</v>
      </c>
      <c r="AH4787">
        <v>12.3477050916369</v>
      </c>
      <c r="AI4787">
        <v>95.004491664485201</v>
      </c>
      <c r="AJ4787">
        <v>104.181707735264</v>
      </c>
      <c r="AK4787">
        <v>12.7845842506559</v>
      </c>
      <c r="AL4787">
        <v>88.332460346035305</v>
      </c>
      <c r="AM4787">
        <v>102.214883767983</v>
      </c>
      <c r="AN4787">
        <v>1.0000000413536101</v>
      </c>
    </row>
    <row r="4788" spans="1:40" x14ac:dyDescent="0.25">
      <c r="A4788" t="str">
        <f>"20190312151411831"</f>
        <v>20190312151411831</v>
      </c>
      <c r="B4788" t="str">
        <f>"1552374851825337"</f>
        <v>1552374851825337</v>
      </c>
      <c r="C4788" t="s">
        <v>40</v>
      </c>
      <c r="D4788">
        <v>4.8440139999999996</v>
      </c>
      <c r="E4788">
        <v>0.48935050000000002</v>
      </c>
      <c r="F4788" t="s">
        <v>61</v>
      </c>
      <c r="G4788">
        <v>-384.61239999999998</v>
      </c>
      <c r="H4788" s="1">
        <v>-2.5932489999999999E-6</v>
      </c>
      <c r="I4788">
        <v>19.35671</v>
      </c>
      <c r="J4788">
        <v>-397.68040000000002</v>
      </c>
      <c r="K4788">
        <v>1.1152200000000001</v>
      </c>
      <c r="L4788">
        <v>18.6297</v>
      </c>
      <c r="M4788">
        <v>0.98237989999999997</v>
      </c>
      <c r="N4788">
        <v>0</v>
      </c>
      <c r="O4788">
        <v>-0.18650230000000001</v>
      </c>
      <c r="P4788">
        <v>0.99949429999999995</v>
      </c>
      <c r="Q4788">
        <v>2.0782430000000001E-2</v>
      </c>
      <c r="R4788">
        <v>2.4077089999999999E-2</v>
      </c>
      <c r="S4788">
        <v>3.003479</v>
      </c>
      <c r="T4788">
        <v>-0.25144549999999999</v>
      </c>
      <c r="U4788">
        <v>0.15469359999999999</v>
      </c>
      <c r="V4788">
        <v>-0.2104761</v>
      </c>
      <c r="W4788">
        <v>2.9942159999999999E-2</v>
      </c>
      <c r="X4788">
        <v>0.97714040000000002</v>
      </c>
      <c r="Y4788">
        <v>-0.2353335</v>
      </c>
      <c r="Z4788">
        <v>2.535403E-2</v>
      </c>
      <c r="AA4788">
        <v>0.97158389999999994</v>
      </c>
      <c r="AB4788">
        <v>25</v>
      </c>
      <c r="AC4788">
        <v>13.068</v>
      </c>
      <c r="AD4788">
        <v>-1.1152225932490001</v>
      </c>
      <c r="AE4788">
        <v>0.72700999999999905</v>
      </c>
      <c r="AF4788">
        <v>-3.1289257593640301</v>
      </c>
      <c r="AG4788">
        <v>-1.1152225932490001</v>
      </c>
      <c r="AH4788">
        <v>12.6115176829164</v>
      </c>
      <c r="AI4788">
        <v>94.905494820121206</v>
      </c>
      <c r="AJ4788">
        <v>103.933774605452</v>
      </c>
      <c r="AK4788">
        <v>13.0416362511234</v>
      </c>
      <c r="AL4788">
        <v>88.284184227600406</v>
      </c>
      <c r="AM4788">
        <v>102.155787330097</v>
      </c>
      <c r="AN4788">
        <v>1.0000000414644099</v>
      </c>
    </row>
    <row r="4789" spans="1:40" x14ac:dyDescent="0.25">
      <c r="A4789" t="str">
        <f>"20190312151411852"</f>
        <v>20190312151411852</v>
      </c>
      <c r="B4789" t="str">
        <f>"1552374851844858"</f>
        <v>1552374851844858</v>
      </c>
      <c r="C4789" t="s">
        <v>40</v>
      </c>
      <c r="D4789">
        <v>4.9206709999999996</v>
      </c>
      <c r="E4789">
        <v>0.49005409999999999</v>
      </c>
      <c r="F4789" t="s">
        <v>61</v>
      </c>
      <c r="G4789">
        <v>-384.10300000000001</v>
      </c>
      <c r="H4789" s="1">
        <v>-2.8251849999999999E-6</v>
      </c>
      <c r="I4789">
        <v>19.406639999999999</v>
      </c>
      <c r="J4789">
        <v>-397.44279999999998</v>
      </c>
      <c r="K4789">
        <v>1.1151979999999999</v>
      </c>
      <c r="L4789">
        <v>18.593229999999998</v>
      </c>
      <c r="M4789">
        <v>0.98377729999999997</v>
      </c>
      <c r="N4789">
        <v>0</v>
      </c>
      <c r="O4789">
        <v>-0.1789896</v>
      </c>
      <c r="P4789">
        <v>0.99933070000000002</v>
      </c>
      <c r="Q4789">
        <v>2.09143E-2</v>
      </c>
      <c r="R4789">
        <v>3.0013890000000001E-2</v>
      </c>
      <c r="S4789">
        <v>3.0025019999999998</v>
      </c>
      <c r="T4789">
        <v>-0.2466209</v>
      </c>
      <c r="U4789">
        <v>0.17181399999999999</v>
      </c>
      <c r="V4789">
        <v>-0.20881140000000001</v>
      </c>
      <c r="W4789">
        <v>3.002604E-2</v>
      </c>
      <c r="X4789">
        <v>0.97749490000000006</v>
      </c>
      <c r="Y4789">
        <v>-0.2335343</v>
      </c>
      <c r="Z4789">
        <v>2.4192490000000001E-2</v>
      </c>
      <c r="AA4789">
        <v>0.97204760000000001</v>
      </c>
      <c r="AB4789">
        <v>25</v>
      </c>
      <c r="AC4789">
        <v>13.339799999999901</v>
      </c>
      <c r="AD4789">
        <v>-1.1152008251850001</v>
      </c>
      <c r="AE4789">
        <v>0.81341000000000097</v>
      </c>
      <c r="AF4789">
        <v>-3.1660854020668698</v>
      </c>
      <c r="AG4789">
        <v>-1.1152008251850001</v>
      </c>
      <c r="AH4789">
        <v>12.8889952002597</v>
      </c>
      <c r="AI4789">
        <v>94.803027349077496</v>
      </c>
      <c r="AJ4789">
        <v>103.801025186629</v>
      </c>
      <c r="AK4789">
        <v>13.318932649652901</v>
      </c>
      <c r="AL4789">
        <v>88.2793760619209</v>
      </c>
      <c r="AM4789">
        <v>102.058224592014</v>
      </c>
      <c r="AN4789">
        <v>1.00000002168702</v>
      </c>
    </row>
    <row r="4790" spans="1:40" x14ac:dyDescent="0.25">
      <c r="A4790" t="str">
        <f>"20190312151411876"</f>
        <v>20190312151411876</v>
      </c>
      <c r="B4790" t="str">
        <f>"1552374851865353"</f>
        <v>1552374851865353</v>
      </c>
      <c r="C4790" t="s">
        <v>40</v>
      </c>
      <c r="D4790">
        <v>4.9350959999999997</v>
      </c>
      <c r="E4790">
        <v>0.49075000000000002</v>
      </c>
      <c r="F4790" t="s">
        <v>61</v>
      </c>
      <c r="G4790">
        <v>-383.9341</v>
      </c>
      <c r="H4790" s="1">
        <v>-2.9025300000000001E-6</v>
      </c>
      <c r="I4790">
        <v>19.42069</v>
      </c>
      <c r="J4790">
        <v>-397.18939999999998</v>
      </c>
      <c r="K4790">
        <v>1.115164</v>
      </c>
      <c r="L4790">
        <v>18.556239999999999</v>
      </c>
      <c r="M4790">
        <v>0.98519579999999995</v>
      </c>
      <c r="N4790">
        <v>0</v>
      </c>
      <c r="O4790">
        <v>-0.17101659999999999</v>
      </c>
      <c r="P4790">
        <v>0.99912400000000001</v>
      </c>
      <c r="Q4790">
        <v>2.089007E-2</v>
      </c>
      <c r="R4790">
        <v>3.6262669999999997E-2</v>
      </c>
      <c r="S4790">
        <v>3.0017399999999999</v>
      </c>
      <c r="T4790">
        <v>-0.24780640000000001</v>
      </c>
      <c r="U4790">
        <v>0.18386839999999999</v>
      </c>
      <c r="V4790">
        <v>-0.20700440000000001</v>
      </c>
      <c r="W4790">
        <v>2.9948829999999999E-2</v>
      </c>
      <c r="X4790">
        <v>0.97788149999999996</v>
      </c>
      <c r="Y4790">
        <v>-0.2295904</v>
      </c>
      <c r="Z4790">
        <v>2.350008E-2</v>
      </c>
      <c r="AA4790">
        <v>0.97300359999999997</v>
      </c>
      <c r="AB4790">
        <v>25</v>
      </c>
      <c r="AC4790">
        <v>13.255299999999901</v>
      </c>
      <c r="AD4790">
        <v>-1.1151669025299999</v>
      </c>
      <c r="AE4790">
        <v>0.86445000000000105</v>
      </c>
      <c r="AF4790">
        <v>-3.0969244573408701</v>
      </c>
      <c r="AG4790">
        <v>-1.1151669025299999</v>
      </c>
      <c r="AH4790">
        <v>12.821784803013401</v>
      </c>
      <c r="AI4790">
        <v>94.832478722637205</v>
      </c>
      <c r="AJ4790">
        <v>103.57892524479</v>
      </c>
      <c r="AK4790">
        <v>13.237549012176</v>
      </c>
      <c r="AL4790">
        <v>88.283801806738495</v>
      </c>
      <c r="AM4790">
        <v>101.952300551707</v>
      </c>
      <c r="AN4790">
        <v>0.99999999103998904</v>
      </c>
    </row>
    <row r="4791" spans="1:40" x14ac:dyDescent="0.25">
      <c r="A4791" t="str">
        <f>"20190312151411899"</f>
        <v>20190312151411899</v>
      </c>
      <c r="B4791" t="str">
        <f>"1552374851895610"</f>
        <v>1552374851895610</v>
      </c>
      <c r="C4791" t="s">
        <v>40</v>
      </c>
      <c r="D4791">
        <v>4.9005029999999996</v>
      </c>
      <c r="E4791">
        <v>0.49144359999999998</v>
      </c>
      <c r="F4791" t="s">
        <v>61</v>
      </c>
      <c r="G4791">
        <v>-383.8125</v>
      </c>
      <c r="H4791" s="1">
        <v>-2.9575469999999999E-6</v>
      </c>
      <c r="I4791">
        <v>19.43468</v>
      </c>
      <c r="J4791">
        <v>-396.94369999999998</v>
      </c>
      <c r="K4791">
        <v>1.1151199999999999</v>
      </c>
      <c r="L4791">
        <v>18.522369999999999</v>
      </c>
      <c r="M4791">
        <v>0.98649690000000001</v>
      </c>
      <c r="N4791">
        <v>0</v>
      </c>
      <c r="O4791">
        <v>-0.16335069999999999</v>
      </c>
      <c r="P4791">
        <v>0.99891719999999895</v>
      </c>
      <c r="Q4791">
        <v>2.088011E-2</v>
      </c>
      <c r="R4791">
        <v>4.1571940000000002E-2</v>
      </c>
      <c r="S4791">
        <v>3.000702</v>
      </c>
      <c r="T4791">
        <v>-0.25015399999999999</v>
      </c>
      <c r="U4791">
        <v>0.197052</v>
      </c>
      <c r="V4791">
        <v>-0.20459250000000001</v>
      </c>
      <c r="W4791">
        <v>2.98964E-2</v>
      </c>
      <c r="X4791">
        <v>0.9783906</v>
      </c>
      <c r="Y4791">
        <v>-0.2263125</v>
      </c>
      <c r="Z4791">
        <v>2.295968E-2</v>
      </c>
      <c r="AA4791">
        <v>0.97378410000000004</v>
      </c>
      <c r="AB4791">
        <v>25</v>
      </c>
      <c r="AC4791">
        <v>13.1311999999999</v>
      </c>
      <c r="AD4791">
        <v>-1.1151229575470001</v>
      </c>
      <c r="AE4791">
        <v>0.91230999999999796</v>
      </c>
      <c r="AF4791">
        <v>-3.0234957507143299</v>
      </c>
      <c r="AG4791">
        <v>-1.1151229575470001</v>
      </c>
      <c r="AH4791">
        <v>12.714508169868299</v>
      </c>
      <c r="AI4791">
        <v>94.876974730603706</v>
      </c>
      <c r="AJ4791">
        <v>103.376427339778</v>
      </c>
      <c r="AK4791">
        <v>13.116544658052501</v>
      </c>
      <c r="AL4791">
        <v>88.286807230107101</v>
      </c>
      <c r="AM4791">
        <v>101.81100062892401</v>
      </c>
      <c r="AN4791">
        <v>1.00000002597878</v>
      </c>
    </row>
    <row r="4792" spans="1:40" x14ac:dyDescent="0.25">
      <c r="A4792" t="str">
        <f>"20190312151411920"</f>
        <v>20190312151411920</v>
      </c>
      <c r="B4792" t="str">
        <f>"1552374851915129"</f>
        <v>1552374851915129</v>
      </c>
      <c r="C4792" t="s">
        <v>40</v>
      </c>
      <c r="D4792">
        <v>4.8579319999999999</v>
      </c>
      <c r="E4792">
        <v>0.5205919</v>
      </c>
      <c r="F4792" t="s">
        <v>61</v>
      </c>
      <c r="G4792">
        <v>-383.6712</v>
      </c>
      <c r="H4792" s="1">
        <v>-3.0234690000000001E-6</v>
      </c>
      <c r="I4792">
        <v>19.43956</v>
      </c>
      <c r="J4792">
        <v>-396.70519999999999</v>
      </c>
      <c r="K4792">
        <v>1.1150709999999999</v>
      </c>
      <c r="L4792">
        <v>18.49118</v>
      </c>
      <c r="M4792">
        <v>0.9876897</v>
      </c>
      <c r="N4792">
        <v>0</v>
      </c>
      <c r="O4792">
        <v>-0.15598380000000001</v>
      </c>
      <c r="P4792">
        <v>0.99870499999999995</v>
      </c>
      <c r="Q4792">
        <v>2.1355280000000001E-2</v>
      </c>
      <c r="R4792">
        <v>4.6175290000000001E-2</v>
      </c>
      <c r="S4792">
        <v>2.9998779999999998</v>
      </c>
      <c r="T4792">
        <v>-0.2520423</v>
      </c>
      <c r="U4792">
        <v>0.20730589999999999</v>
      </c>
      <c r="V4792">
        <v>-0.20179820000000001</v>
      </c>
      <c r="W4792">
        <v>3.033727E-2</v>
      </c>
      <c r="X4792">
        <v>0.97895719999999997</v>
      </c>
      <c r="Y4792">
        <v>-0.2223928</v>
      </c>
      <c r="Z4792">
        <v>2.235999E-2</v>
      </c>
      <c r="AA4792">
        <v>0.97470069999999998</v>
      </c>
      <c r="AB4792">
        <v>25</v>
      </c>
      <c r="AC4792">
        <v>13.033999999999899</v>
      </c>
      <c r="AD4792">
        <v>-1.115074023469</v>
      </c>
      <c r="AE4792">
        <v>0.94838</v>
      </c>
      <c r="AF4792">
        <v>-2.9485364110721699</v>
      </c>
      <c r="AG4792">
        <v>-1.115074023469</v>
      </c>
      <c r="AH4792">
        <v>12.634509472310199</v>
      </c>
      <c r="AI4792">
        <v>94.912317871010202</v>
      </c>
      <c r="AJ4792">
        <v>103.136104698091</v>
      </c>
      <c r="AK4792">
        <v>13.0218311558371</v>
      </c>
      <c r="AL4792">
        <v>88.261535786260296</v>
      </c>
      <c r="AM4792">
        <v>101.64756842710899</v>
      </c>
      <c r="AN4792">
        <v>1.0000000314530599</v>
      </c>
    </row>
    <row r="4793" spans="1:40" x14ac:dyDescent="0.25">
      <c r="A4793" t="str">
        <f>"20190312151411944"</f>
        <v>20190312151411944</v>
      </c>
      <c r="B4793" t="str">
        <f>"1552374851935625"</f>
        <v>1552374851935625</v>
      </c>
      <c r="C4793" t="s">
        <v>40</v>
      </c>
      <c r="D4793">
        <v>4.9467169999999996</v>
      </c>
      <c r="E4793">
        <v>0.52568400000000004</v>
      </c>
      <c r="F4793" t="s">
        <v>61</v>
      </c>
      <c r="G4793">
        <v>-381.0829</v>
      </c>
      <c r="H4793" s="1">
        <v>-4.4274210000000001E-6</v>
      </c>
      <c r="I4793">
        <v>18.422260000000001</v>
      </c>
      <c r="J4793">
        <v>-396.44470000000001</v>
      </c>
      <c r="K4793">
        <v>1.115</v>
      </c>
      <c r="L4793">
        <v>18.459009999999999</v>
      </c>
      <c r="M4793">
        <v>0.98891220000000002</v>
      </c>
      <c r="N4793">
        <v>0</v>
      </c>
      <c r="O4793">
        <v>-0.148044799999999</v>
      </c>
      <c r="P4793">
        <v>0.99845099999999998</v>
      </c>
      <c r="Q4793">
        <v>2.1680979999999999E-2</v>
      </c>
      <c r="R4793">
        <v>5.1242969999999999E-2</v>
      </c>
      <c r="S4793">
        <v>3.0090940000000002</v>
      </c>
      <c r="T4793">
        <v>-0.214781</v>
      </c>
      <c r="U4793">
        <v>-1.3275149999999999E-2</v>
      </c>
      <c r="V4793">
        <v>-0.19889760000000001</v>
      </c>
      <c r="W4793">
        <v>3.062991E-2</v>
      </c>
      <c r="X4793">
        <v>0.97954149999999995</v>
      </c>
      <c r="Y4793">
        <v>-0.1429523</v>
      </c>
      <c r="Z4793">
        <v>1.561941E-2</v>
      </c>
      <c r="AA4793">
        <v>0.98960630000000005</v>
      </c>
      <c r="AB4793">
        <v>25</v>
      </c>
      <c r="AC4793">
        <v>15.361800000000001</v>
      </c>
      <c r="AD4793">
        <v>-1.115004427421</v>
      </c>
      <c r="AE4793">
        <v>-3.6749999999997798E-2</v>
      </c>
      <c r="AF4793">
        <v>-2.2263148176157999</v>
      </c>
      <c r="AG4793">
        <v>-1.115004427421</v>
      </c>
      <c r="AH4793">
        <v>15.1182940271785</v>
      </c>
      <c r="AI4793">
        <v>94.173197125442201</v>
      </c>
      <c r="AJ4793">
        <v>98.377149216290505</v>
      </c>
      <c r="AK4793">
        <v>15.321962238320699</v>
      </c>
      <c r="AL4793">
        <v>88.244760896048504</v>
      </c>
      <c r="AM4793">
        <v>101.47795979743699</v>
      </c>
      <c r="AN4793">
        <v>0.99999999844730902</v>
      </c>
    </row>
    <row r="4794" spans="1:40" x14ac:dyDescent="0.25">
      <c r="A4794" t="str">
        <f>"20190312151411967"</f>
        <v>20190312151411967</v>
      </c>
      <c r="B4794" t="str">
        <f>"1552374851955144"</f>
        <v>1552374851955144</v>
      </c>
      <c r="C4794" t="s">
        <v>40</v>
      </c>
      <c r="D4794">
        <v>4.9314450000000001</v>
      </c>
      <c r="E4794">
        <v>0.52817630000000004</v>
      </c>
      <c r="F4794" t="s">
        <v>61</v>
      </c>
      <c r="G4794">
        <v>-383.80549999999999</v>
      </c>
      <c r="H4794" s="1">
        <v>-3.1611210000000001E-6</v>
      </c>
      <c r="I4794">
        <v>18.305489999999999</v>
      </c>
      <c r="J4794">
        <v>-396.1943</v>
      </c>
      <c r="K4794">
        <v>1.1149180000000001</v>
      </c>
      <c r="L4794">
        <v>18.430019999999999</v>
      </c>
      <c r="M4794">
        <v>0.99000719999999998</v>
      </c>
      <c r="N4794">
        <v>0</v>
      </c>
      <c r="O4794">
        <v>-0.14054420000000001</v>
      </c>
      <c r="P4794">
        <v>0.99814150000000001</v>
      </c>
      <c r="Q4794">
        <v>2.2137359999999998E-2</v>
      </c>
      <c r="R4794">
        <v>5.6778740000000001E-2</v>
      </c>
      <c r="S4794">
        <v>3.0123289999999998</v>
      </c>
      <c r="T4794">
        <v>-0.26574150000000002</v>
      </c>
      <c r="U4794">
        <v>-3.6590579999999998E-2</v>
      </c>
      <c r="V4794">
        <v>-0.19690060000000001</v>
      </c>
      <c r="W4794">
        <v>3.1055050000000001E-2</v>
      </c>
      <c r="X4794">
        <v>0.97993149999999996</v>
      </c>
      <c r="Y4794">
        <v>-0.12748010000000001</v>
      </c>
      <c r="Z4794">
        <v>1.7953210000000001E-2</v>
      </c>
      <c r="AA4794">
        <v>0.99167870000000002</v>
      </c>
      <c r="AB4794">
        <v>25</v>
      </c>
      <c r="AC4794">
        <v>12.3888</v>
      </c>
      <c r="AD4794">
        <v>-1.1149211611209999</v>
      </c>
      <c r="AE4794">
        <v>-0.124530000000003</v>
      </c>
      <c r="AF4794">
        <v>-1.60499852382918</v>
      </c>
      <c r="AG4794">
        <v>-1.1149211611209999</v>
      </c>
      <c r="AH4794">
        <v>12.1846473443607</v>
      </c>
      <c r="AI4794">
        <v>95.183597408897299</v>
      </c>
      <c r="AJ4794">
        <v>97.503971657963604</v>
      </c>
      <c r="AK4794">
        <v>12.3403687288284</v>
      </c>
      <c r="AL4794">
        <v>88.220390583214098</v>
      </c>
      <c r="AM4794">
        <v>101.361325508428</v>
      </c>
      <c r="AN4794">
        <v>1.0000000035515499</v>
      </c>
    </row>
    <row r="4795" spans="1:40" x14ac:dyDescent="0.25">
      <c r="A4795" t="str">
        <f>"20190312151411989"</f>
        <v>20190312151411989</v>
      </c>
      <c r="B4795" t="str">
        <f>"1552374851975642"</f>
        <v>1552374851975642</v>
      </c>
      <c r="C4795" t="s">
        <v>40</v>
      </c>
      <c r="D4795">
        <v>4.9195510000000002</v>
      </c>
      <c r="E4795">
        <v>0.52976380000000001</v>
      </c>
      <c r="F4795" t="s">
        <v>61</v>
      </c>
      <c r="G4795">
        <v>-384.24290000000002</v>
      </c>
      <c r="H4795" s="1">
        <v>-2.9598040000000001E-6</v>
      </c>
      <c r="I4795">
        <v>18.274889999999999</v>
      </c>
      <c r="J4795">
        <v>-395.95429999999999</v>
      </c>
      <c r="K4795">
        <v>1.114816</v>
      </c>
      <c r="L4795">
        <v>18.403929999999999</v>
      </c>
      <c r="M4795">
        <v>0.99098310000000001</v>
      </c>
      <c r="N4795">
        <v>0</v>
      </c>
      <c r="O4795">
        <v>-0.13349739999999999</v>
      </c>
      <c r="P4795">
        <v>0.99788719999999997</v>
      </c>
      <c r="Q4795">
        <v>2.3524670000000001E-2</v>
      </c>
      <c r="R4795">
        <v>6.0562360000000003E-2</v>
      </c>
      <c r="S4795">
        <v>3.014008</v>
      </c>
      <c r="T4795">
        <v>-0.28117039999999999</v>
      </c>
      <c r="U4795">
        <v>-3.9123539999999998E-2</v>
      </c>
      <c r="V4795">
        <v>-0.19364680000000001</v>
      </c>
      <c r="W4795">
        <v>3.2438139999999997E-2</v>
      </c>
      <c r="X4795">
        <v>0.98053489999999999</v>
      </c>
      <c r="Y4795">
        <v>-0.1195362</v>
      </c>
      <c r="Z4795">
        <v>1.7959650000000001E-2</v>
      </c>
      <c r="AA4795">
        <v>0.99266739999999998</v>
      </c>
      <c r="AB4795">
        <v>25</v>
      </c>
      <c r="AC4795">
        <v>11.7113999999999</v>
      </c>
      <c r="AD4795">
        <v>-1.1148189598039999</v>
      </c>
      <c r="AE4795">
        <v>-0.12903999999999899</v>
      </c>
      <c r="AF4795">
        <v>-1.4227684037678301</v>
      </c>
      <c r="AG4795">
        <v>-1.1148189598039999</v>
      </c>
      <c r="AH4795">
        <v>11.5194186436956</v>
      </c>
      <c r="AI4795">
        <v>95.486289483321997</v>
      </c>
      <c r="AJ4795">
        <v>97.0409682059326</v>
      </c>
      <c r="AK4795">
        <v>11.6603643653456</v>
      </c>
      <c r="AL4795">
        <v>88.141105392908798</v>
      </c>
      <c r="AM4795">
        <v>101.17163893951501</v>
      </c>
      <c r="AN4795">
        <v>1.0000000030974501</v>
      </c>
    </row>
    <row r="4796" spans="1:40" x14ac:dyDescent="0.25">
      <c r="A4796" t="str">
        <f>"20190312151412011"</f>
        <v>20190312151412011</v>
      </c>
      <c r="B4796" t="str">
        <f>"1552374852004922"</f>
        <v>1552374852004922</v>
      </c>
      <c r="C4796" t="s">
        <v>40</v>
      </c>
      <c r="D4796">
        <v>4.9737629999999999</v>
      </c>
      <c r="E4796">
        <v>0.53179030000000005</v>
      </c>
      <c r="F4796" t="s">
        <v>61</v>
      </c>
      <c r="G4796">
        <v>-384.3229</v>
      </c>
      <c r="H4796" s="1">
        <v>-2.9265100000000001E-6</v>
      </c>
      <c r="I4796">
        <v>18.24926</v>
      </c>
      <c r="J4796">
        <v>-395.70670000000001</v>
      </c>
      <c r="K4796">
        <v>1.114727</v>
      </c>
      <c r="L4796">
        <v>18.37866</v>
      </c>
      <c r="M4796">
        <v>0.99192049999999998</v>
      </c>
      <c r="N4796">
        <v>0</v>
      </c>
      <c r="O4796">
        <v>-0.12635160000000001</v>
      </c>
      <c r="P4796">
        <v>0.99764929999999996</v>
      </c>
      <c r="Q4796">
        <v>2.383443E-2</v>
      </c>
      <c r="R4796">
        <v>6.4250680000000004E-2</v>
      </c>
      <c r="S4796">
        <v>3.0155940000000001</v>
      </c>
      <c r="T4796">
        <v>-0.28903230000000002</v>
      </c>
      <c r="U4796">
        <v>-4.01001E-2</v>
      </c>
      <c r="V4796">
        <v>-0.19019739999999999</v>
      </c>
      <c r="W4796">
        <v>3.2745059999999999E-2</v>
      </c>
      <c r="X4796">
        <v>0.98119959999999995</v>
      </c>
      <c r="Y4796">
        <v>-0.1120691</v>
      </c>
      <c r="Z4796">
        <v>1.7414120000000002E-2</v>
      </c>
      <c r="AA4796">
        <v>0.99354779999999998</v>
      </c>
      <c r="AB4796">
        <v>25</v>
      </c>
      <c r="AC4796">
        <v>11.383800000000001</v>
      </c>
      <c r="AD4796">
        <v>-1.1147299265099999</v>
      </c>
      <c r="AE4796">
        <v>-0.12939999999999999</v>
      </c>
      <c r="AF4796">
        <v>-1.2976500170201399</v>
      </c>
      <c r="AG4796">
        <v>-1.1147299265099999</v>
      </c>
      <c r="AH4796">
        <v>11.2015086191505</v>
      </c>
      <c r="AI4796">
        <v>95.645627847328498</v>
      </c>
      <c r="AJ4796">
        <v>96.608031597710195</v>
      </c>
      <c r="AK4796">
        <v>11.3313862223751</v>
      </c>
      <c r="AL4796">
        <v>88.123510767706506</v>
      </c>
      <c r="AM4796">
        <v>100.97026061051901</v>
      </c>
      <c r="AN4796">
        <v>0.99999997248066097</v>
      </c>
    </row>
    <row r="4797" spans="1:40" x14ac:dyDescent="0.25">
      <c r="A4797" t="str">
        <f>"20190312151412032"</f>
        <v>20190312151412032</v>
      </c>
      <c r="B4797" t="str">
        <f>"1552374852025417"</f>
        <v>1552374852025417</v>
      </c>
      <c r="C4797" t="s">
        <v>40</v>
      </c>
      <c r="D4797">
        <v>4.9575670000000001</v>
      </c>
      <c r="E4797">
        <v>0.53277200000000002</v>
      </c>
      <c r="F4797" t="s">
        <v>61</v>
      </c>
      <c r="G4797">
        <v>-384.53530000000001</v>
      </c>
      <c r="H4797" s="1">
        <v>-2.8325579999999999E-6</v>
      </c>
      <c r="I4797">
        <v>18.212900000000001</v>
      </c>
      <c r="J4797">
        <v>-395.46769999999998</v>
      </c>
      <c r="K4797">
        <v>1.1146419999999999</v>
      </c>
      <c r="L4797">
        <v>18.355830000000001</v>
      </c>
      <c r="M4797">
        <v>0.99275869999999999</v>
      </c>
      <c r="N4797">
        <v>0</v>
      </c>
      <c r="O4797">
        <v>-0.11959599999999999</v>
      </c>
      <c r="P4797">
        <v>0.99744710000000003</v>
      </c>
      <c r="Q4797">
        <v>2.366795E-2</v>
      </c>
      <c r="R4797">
        <v>6.7373760000000005E-2</v>
      </c>
      <c r="S4797">
        <v>3.0171199999999998</v>
      </c>
      <c r="T4797">
        <v>-0.30106339999999998</v>
      </c>
      <c r="U4797">
        <v>-4.4769290000000003E-2</v>
      </c>
      <c r="V4797">
        <v>-0.18657760000000001</v>
      </c>
      <c r="W4797">
        <v>3.2584920000000003E-2</v>
      </c>
      <c r="X4797">
        <v>0.98189970000000004</v>
      </c>
      <c r="Y4797">
        <v>-0.10375379999999999</v>
      </c>
      <c r="Z4797">
        <v>1.7043740000000002E-2</v>
      </c>
      <c r="AA4797">
        <v>0.99445689999999998</v>
      </c>
      <c r="AB4797">
        <v>25</v>
      </c>
      <c r="AC4797">
        <v>10.9323999999999</v>
      </c>
      <c r="AD4797">
        <v>-1.1146448325579901</v>
      </c>
      <c r="AE4797">
        <v>-0.142929999999996</v>
      </c>
      <c r="AF4797">
        <v>-1.1536595825915199</v>
      </c>
      <c r="AG4797">
        <v>-1.1146448325579901</v>
      </c>
      <c r="AH4797">
        <v>10.759191992984601</v>
      </c>
      <c r="AI4797">
        <v>95.881228604037005</v>
      </c>
      <c r="AJ4797">
        <v>96.120184038050695</v>
      </c>
      <c r="AK4797">
        <v>10.878123729630801</v>
      </c>
      <c r="AL4797">
        <v>88.132691063260495</v>
      </c>
      <c r="AM4797">
        <v>100.75890518867</v>
      </c>
      <c r="AN4797">
        <v>0.99999999934662798</v>
      </c>
    </row>
    <row r="4798" spans="1:40" x14ac:dyDescent="0.25">
      <c r="A4798" t="str">
        <f>"20190312151412054"</f>
        <v>20190312151412054</v>
      </c>
      <c r="B4798" t="str">
        <f>"1552374852045913"</f>
        <v>1552374852045913</v>
      </c>
      <c r="C4798" t="s">
        <v>40</v>
      </c>
      <c r="D4798">
        <v>4.9948819999999996</v>
      </c>
      <c r="E4798">
        <v>0.53359380000000001</v>
      </c>
      <c r="F4798" t="s">
        <v>61</v>
      </c>
      <c r="G4798">
        <v>-384.53120000000001</v>
      </c>
      <c r="H4798" s="1">
        <v>-2.8366079999999999E-6</v>
      </c>
      <c r="I4798">
        <v>18.20111</v>
      </c>
      <c r="J4798">
        <v>-395.22140000000002</v>
      </c>
      <c r="K4798">
        <v>1.1145430000000001</v>
      </c>
      <c r="L4798">
        <v>18.333829999999999</v>
      </c>
      <c r="M4798">
        <v>0.99355570000000004</v>
      </c>
      <c r="N4798">
        <v>0</v>
      </c>
      <c r="O4798">
        <v>-0.1127913</v>
      </c>
      <c r="P4798">
        <v>0.99722759999999999</v>
      </c>
      <c r="Q4798">
        <v>2.4589610000000001E-2</v>
      </c>
      <c r="R4798">
        <v>7.0232879999999998E-2</v>
      </c>
      <c r="S4798">
        <v>3.0179140000000002</v>
      </c>
      <c r="T4798">
        <v>-0.30758390000000002</v>
      </c>
      <c r="U4798">
        <v>-4.2694089999999997E-2</v>
      </c>
      <c r="V4798">
        <v>-0.18266279999999999</v>
      </c>
      <c r="W4798">
        <v>3.3523299999999999E-2</v>
      </c>
      <c r="X4798">
        <v>0.98260389999999997</v>
      </c>
      <c r="Y4798">
        <v>-9.7644300000000003E-2</v>
      </c>
      <c r="Z4798">
        <v>1.6408220000000001E-2</v>
      </c>
      <c r="AA4798">
        <v>0.99508609999999997</v>
      </c>
      <c r="AB4798">
        <v>25</v>
      </c>
      <c r="AC4798">
        <v>10.690200000000001</v>
      </c>
      <c r="AD4798">
        <v>-1.1145458366079899</v>
      </c>
      <c r="AE4798">
        <v>-0.13271999999999901</v>
      </c>
      <c r="AF4798">
        <v>-1.0624175148566499</v>
      </c>
      <c r="AG4798">
        <v>-1.1145458366079899</v>
      </c>
      <c r="AH4798">
        <v>10.522583218362101</v>
      </c>
      <c r="AI4798">
        <v>96.015832949758604</v>
      </c>
      <c r="AJ4798">
        <v>95.765357300774696</v>
      </c>
      <c r="AK4798">
        <v>10.634646255759</v>
      </c>
      <c r="AL4798">
        <v>88.078896390591694</v>
      </c>
      <c r="AM4798">
        <v>100.53088583378801</v>
      </c>
      <c r="AN4798">
        <v>0.99999996722096895</v>
      </c>
    </row>
    <row r="4799" spans="1:40" x14ac:dyDescent="0.25">
      <c r="A4799" t="str">
        <f>"20190312151412077"</f>
        <v>20190312151412077</v>
      </c>
      <c r="B4799" t="str">
        <f>"1552374852065436"</f>
        <v>1552374852065436</v>
      </c>
      <c r="C4799" t="s">
        <v>40</v>
      </c>
      <c r="D4799">
        <v>5.0871919999999999</v>
      </c>
      <c r="E4799">
        <v>0.53446549999999904</v>
      </c>
      <c r="F4799" t="s">
        <v>61</v>
      </c>
      <c r="G4799">
        <v>-384.35239999999999</v>
      </c>
      <c r="H4799" s="1">
        <v>-2.9235160000000001E-6</v>
      </c>
      <c r="I4799">
        <v>18.18759</v>
      </c>
      <c r="J4799">
        <v>-394.97019999999998</v>
      </c>
      <c r="K4799">
        <v>1.1144369999999999</v>
      </c>
      <c r="L4799">
        <v>18.312930000000001</v>
      </c>
      <c r="M4799">
        <v>0.9942995</v>
      </c>
      <c r="N4799">
        <v>0</v>
      </c>
      <c r="O4799">
        <v>-0.1060413</v>
      </c>
      <c r="P4799">
        <v>0.99693390000000004</v>
      </c>
      <c r="Q4799">
        <v>2.593699E-2</v>
      </c>
      <c r="R4799">
        <v>7.3826130000000004E-2</v>
      </c>
      <c r="S4799">
        <v>3.0188290000000002</v>
      </c>
      <c r="T4799">
        <v>-0.30956299999999998</v>
      </c>
      <c r="U4799">
        <v>-4.0618899999999999E-2</v>
      </c>
      <c r="V4799">
        <v>-0.1795311</v>
      </c>
      <c r="W4799">
        <v>3.4887210000000002E-2</v>
      </c>
      <c r="X4799">
        <v>0.98313349999999999</v>
      </c>
      <c r="Y4799">
        <v>-9.1625700000000004E-2</v>
      </c>
      <c r="Z4799">
        <v>1.551369E-2</v>
      </c>
      <c r="AA4799">
        <v>0.99567260000000002</v>
      </c>
      <c r="AB4799">
        <v>25</v>
      </c>
      <c r="AC4799">
        <v>10.6177999999999</v>
      </c>
      <c r="AD4799">
        <v>-1.1144399235160001</v>
      </c>
      <c r="AE4799">
        <v>-0.12533999999999701</v>
      </c>
      <c r="AF4799">
        <v>-0.99045196652046497</v>
      </c>
      <c r="AG4799">
        <v>-1.1144399235160001</v>
      </c>
      <c r="AH4799">
        <v>10.4560454112626</v>
      </c>
      <c r="AI4799">
        <v>96.056895496578093</v>
      </c>
      <c r="AJ4799">
        <v>95.411213329880894</v>
      </c>
      <c r="AK4799">
        <v>10.561811259603999</v>
      </c>
      <c r="AL4799">
        <v>88.000704417262597</v>
      </c>
      <c r="AM4799">
        <v>100.348817972101</v>
      </c>
      <c r="AN4799">
        <v>1.0000000060555201</v>
      </c>
    </row>
    <row r="4800" spans="1:40" x14ac:dyDescent="0.25">
      <c r="A4800" t="str">
        <f>"20190312151412099"</f>
        <v>20190312151412099</v>
      </c>
      <c r="B4800" t="str">
        <f>"1552374852095553"</f>
        <v>1552374852095553</v>
      </c>
      <c r="C4800" t="s">
        <v>40</v>
      </c>
      <c r="D4800">
        <v>4.9501710000000001</v>
      </c>
      <c r="E4800">
        <v>0.53486369999999905</v>
      </c>
      <c r="F4800" t="s">
        <v>61</v>
      </c>
      <c r="G4800">
        <v>-384.14019999999999</v>
      </c>
      <c r="H4800" s="1">
        <v>-3.025075E-6</v>
      </c>
      <c r="I4800">
        <v>18.180620000000001</v>
      </c>
      <c r="J4800">
        <v>-394.72989999999999</v>
      </c>
      <c r="K4800">
        <v>1.1143160000000001</v>
      </c>
      <c r="L4800">
        <v>18.294309999999999</v>
      </c>
      <c r="M4800">
        <v>0.99494819999999995</v>
      </c>
      <c r="N4800">
        <v>0</v>
      </c>
      <c r="O4800">
        <v>-9.9780129999999995E-2</v>
      </c>
      <c r="P4800">
        <v>0.99672510000000003</v>
      </c>
      <c r="Q4800">
        <v>2.6883939999999999E-2</v>
      </c>
      <c r="R4800">
        <v>7.6266070000000005E-2</v>
      </c>
      <c r="S4800">
        <v>3.0200809999999998</v>
      </c>
      <c r="T4800">
        <v>-0.310776</v>
      </c>
      <c r="U4800">
        <v>-3.6895749999999998E-2</v>
      </c>
      <c r="V4800">
        <v>-0.17574279999999901</v>
      </c>
      <c r="W4800">
        <v>3.587079E-2</v>
      </c>
      <c r="X4800">
        <v>0.98378239999999995</v>
      </c>
      <c r="Y4800">
        <v>-8.6641159999999995E-2</v>
      </c>
      <c r="Z4800">
        <v>1.467243E-2</v>
      </c>
      <c r="AA4800">
        <v>0.99613149999999995</v>
      </c>
      <c r="AB4800">
        <v>25</v>
      </c>
      <c r="AC4800">
        <v>10.589699999999899</v>
      </c>
      <c r="AD4800">
        <v>-1.1143190250749999</v>
      </c>
      <c r="AE4800">
        <v>-0.113689999999998</v>
      </c>
      <c r="AF4800">
        <v>-0.93325116700656296</v>
      </c>
      <c r="AG4800">
        <v>-1.1143190250749999</v>
      </c>
      <c r="AH4800">
        <v>10.432686217520301</v>
      </c>
      <c r="AI4800">
        <v>96.072602570117297</v>
      </c>
      <c r="AJ4800">
        <v>95.111761718405603</v>
      </c>
      <c r="AK4800">
        <v>10.533451777247601</v>
      </c>
      <c r="AL4800">
        <v>87.944314175343393</v>
      </c>
      <c r="AM4800">
        <v>100.12847408982699</v>
      </c>
      <c r="AN4800">
        <v>1.00000002793841</v>
      </c>
    </row>
    <row r="4801" spans="1:40" x14ac:dyDescent="0.25">
      <c r="A4801" t="str">
        <f>"20190312151412120"</f>
        <v>20190312151412120</v>
      </c>
      <c r="B4801" t="str">
        <f>"1552374852115075"</f>
        <v>1552374852115075</v>
      </c>
      <c r="C4801" t="s">
        <v>40</v>
      </c>
      <c r="D4801">
        <v>4.9779900000000001</v>
      </c>
      <c r="E4801">
        <v>0.53521669999999999</v>
      </c>
      <c r="F4801" t="s">
        <v>61</v>
      </c>
      <c r="G4801">
        <v>-383.66969999999998</v>
      </c>
      <c r="H4801" s="1">
        <v>-3.248803E-6</v>
      </c>
      <c r="I4801">
        <v>18.173069999999999</v>
      </c>
      <c r="J4801">
        <v>-394.4796</v>
      </c>
      <c r="K4801">
        <v>1.114166</v>
      </c>
      <c r="L4801">
        <v>18.276309999999999</v>
      </c>
      <c r="M4801">
        <v>0.99556120000000004</v>
      </c>
      <c r="N4801">
        <v>0</v>
      </c>
      <c r="O4801">
        <v>-9.3474080000000001E-2</v>
      </c>
      <c r="P4801">
        <v>0.99656940000000005</v>
      </c>
      <c r="Q4801">
        <v>2.7258569999999999E-2</v>
      </c>
      <c r="R4801">
        <v>7.8146640000000003E-2</v>
      </c>
      <c r="S4801">
        <v>3.0205989999999998</v>
      </c>
      <c r="T4801">
        <v>-0.30432700000000001</v>
      </c>
      <c r="U4801">
        <v>-3.311157E-2</v>
      </c>
      <c r="V4801">
        <v>-0.17135230000000001</v>
      </c>
      <c r="W4801">
        <v>3.6300140000000002E-2</v>
      </c>
      <c r="X4801">
        <v>0.98454079999999999</v>
      </c>
      <c r="Y4801">
        <v>-8.1675479999999995E-2</v>
      </c>
      <c r="Z4801">
        <v>1.3486450000000001E-2</v>
      </c>
      <c r="AA4801">
        <v>0.99656769999999995</v>
      </c>
      <c r="AB4801">
        <v>25</v>
      </c>
      <c r="AC4801">
        <v>10.809900000000001</v>
      </c>
      <c r="AD4801">
        <v>-1.1141692488029999</v>
      </c>
      <c r="AE4801">
        <v>-0.103239999999999</v>
      </c>
      <c r="AF4801">
        <v>-0.89817767729355902</v>
      </c>
      <c r="AG4801">
        <v>-1.1141692488029999</v>
      </c>
      <c r="AH4801">
        <v>10.6589930572763</v>
      </c>
      <c r="AI4801">
        <v>95.946452556073098</v>
      </c>
      <c r="AJ4801">
        <v>94.816637350498596</v>
      </c>
      <c r="AK4801">
        <v>10.754637569441</v>
      </c>
      <c r="AL4801">
        <v>87.919698036154003</v>
      </c>
      <c r="AM4801">
        <v>99.873026553131993</v>
      </c>
      <c r="AN4801">
        <v>0.99999994887197297</v>
      </c>
    </row>
    <row r="4802" spans="1:40" x14ac:dyDescent="0.25">
      <c r="A4802" t="str">
        <f>"20190312151412144"</f>
        <v>20190312151412144</v>
      </c>
      <c r="B4802" t="str">
        <f>"1552374852135568"</f>
        <v>1552374852135568</v>
      </c>
      <c r="C4802" t="s">
        <v>40</v>
      </c>
      <c r="D4802">
        <v>4.9795809999999996</v>
      </c>
      <c r="E4802">
        <v>0.53547409999999995</v>
      </c>
      <c r="F4802" t="s">
        <v>61</v>
      </c>
      <c r="G4802">
        <v>-383.31450000000001</v>
      </c>
      <c r="H4802" s="1">
        <v>-3.4181360000000001E-6</v>
      </c>
      <c r="I4802">
        <v>18.16498</v>
      </c>
      <c r="J4802">
        <v>-394.21390000000002</v>
      </c>
      <c r="K4802">
        <v>1.1139939999999999</v>
      </c>
      <c r="L4802">
        <v>18.258610000000001</v>
      </c>
      <c r="M4802">
        <v>0.99614420000000004</v>
      </c>
      <c r="N4802">
        <v>0</v>
      </c>
      <c r="O4802">
        <v>-8.7048169999999994E-2</v>
      </c>
      <c r="P4802">
        <v>0.99639520000000004</v>
      </c>
      <c r="Q4802">
        <v>2.7585229999999999E-2</v>
      </c>
      <c r="R4802">
        <v>8.0224089999999998E-2</v>
      </c>
      <c r="S4802">
        <v>3.0209350000000001</v>
      </c>
      <c r="T4802">
        <v>-0.30146210000000001</v>
      </c>
      <c r="U4802">
        <v>-3.0120850000000001E-2</v>
      </c>
      <c r="V4802">
        <v>-0.16703489999999999</v>
      </c>
      <c r="W4802">
        <v>3.668946E-2</v>
      </c>
      <c r="X4802">
        <v>0.98526809999999998</v>
      </c>
      <c r="Y4802">
        <v>-7.6306390000000002E-2</v>
      </c>
      <c r="Z4802">
        <v>1.245403E-2</v>
      </c>
      <c r="AA4802">
        <v>0.99700670000000002</v>
      </c>
      <c r="AB4802">
        <v>25</v>
      </c>
      <c r="AC4802">
        <v>10.8994</v>
      </c>
      <c r="AD4802">
        <v>-1.113997418136</v>
      </c>
      <c r="AE4802">
        <v>-9.3630000000001004E-2</v>
      </c>
      <c r="AF4802">
        <v>-0.84671054514306898</v>
      </c>
      <c r="AG4802">
        <v>-1.113997418136</v>
      </c>
      <c r="AH4802">
        <v>10.7538431049202</v>
      </c>
      <c r="AI4802">
        <v>95.896092678027301</v>
      </c>
      <c r="AJ4802">
        <v>94.501931331955802</v>
      </c>
      <c r="AK4802">
        <v>10.8444940186304</v>
      </c>
      <c r="AL4802">
        <v>87.897376883408398</v>
      </c>
      <c r="AM4802">
        <v>99.622006268502204</v>
      </c>
      <c r="AN4802">
        <v>1.0000000015853501</v>
      </c>
    </row>
    <row r="4803" spans="1:40" x14ac:dyDescent="0.25">
      <c r="A4803" t="str">
        <f>"20190312151412168"</f>
        <v>20190312151412168</v>
      </c>
      <c r="B4803" t="str">
        <f>"1552374852164849"</f>
        <v>1552374852164849</v>
      </c>
      <c r="C4803" t="s">
        <v>40</v>
      </c>
      <c r="D4803">
        <v>4.993601</v>
      </c>
      <c r="E4803">
        <v>0.54533109999999996</v>
      </c>
      <c r="F4803" t="s">
        <v>61</v>
      </c>
      <c r="G4803">
        <v>-382.9692</v>
      </c>
      <c r="H4803" s="1">
        <v>-3.5819559999999998E-6</v>
      </c>
      <c r="I4803">
        <v>18.161829999999998</v>
      </c>
      <c r="J4803">
        <v>-393.95229999999998</v>
      </c>
      <c r="K4803">
        <v>1.113801</v>
      </c>
      <c r="L4803">
        <v>18.24258</v>
      </c>
      <c r="M4803">
        <v>0.99665139999999997</v>
      </c>
      <c r="N4803">
        <v>0</v>
      </c>
      <c r="O4803">
        <v>-8.1040559999999998E-2</v>
      </c>
      <c r="P4803">
        <v>0.99626630000000005</v>
      </c>
      <c r="Q4803">
        <v>2.8070500000000002E-2</v>
      </c>
      <c r="R4803">
        <v>8.1641519999999995E-2</v>
      </c>
      <c r="S4803">
        <v>3.021271</v>
      </c>
      <c r="T4803">
        <v>-0.29931210000000003</v>
      </c>
      <c r="U4803">
        <v>-2.600098E-2</v>
      </c>
      <c r="V4803">
        <v>-0.1624796</v>
      </c>
      <c r="W4803">
        <v>3.7247929999999999E-2</v>
      </c>
      <c r="X4803">
        <v>0.98600860000000001</v>
      </c>
      <c r="Y4803">
        <v>-7.1718050000000005E-2</v>
      </c>
      <c r="Z4803">
        <v>1.1545720000000001E-2</v>
      </c>
      <c r="AA4803">
        <v>0.99735810000000003</v>
      </c>
      <c r="AB4803">
        <v>25</v>
      </c>
      <c r="AC4803">
        <v>10.983099999999901</v>
      </c>
      <c r="AD4803">
        <v>-1.1138045819560001</v>
      </c>
      <c r="AE4803">
        <v>-8.0750000000001806E-2</v>
      </c>
      <c r="AF4803">
        <v>-0.80140360809759703</v>
      </c>
      <c r="AG4803">
        <v>-1.1138045819560001</v>
      </c>
      <c r="AH4803">
        <v>10.842019704525899</v>
      </c>
      <c r="AI4803">
        <v>95.849592923212597</v>
      </c>
      <c r="AJ4803">
        <v>94.227412787825003</v>
      </c>
      <c r="AK4803">
        <v>10.928503999321499</v>
      </c>
      <c r="AL4803">
        <v>87.8653570048305</v>
      </c>
      <c r="AM4803">
        <v>99.357402353555202</v>
      </c>
      <c r="AN4803">
        <v>0.99999999398970196</v>
      </c>
    </row>
    <row r="4804" spans="1:40" x14ac:dyDescent="0.25">
      <c r="A4804" t="str">
        <f>"20190312151412190"</f>
        <v>20190312151412190</v>
      </c>
      <c r="B4804" t="str">
        <f>"1552374852185345"</f>
        <v>1552374852185345</v>
      </c>
      <c r="C4804" t="s">
        <v>40</v>
      </c>
      <c r="D4804">
        <v>4.8958589999999997</v>
      </c>
      <c r="E4804">
        <v>0.54467019999999899</v>
      </c>
      <c r="F4804" t="s">
        <v>41</v>
      </c>
      <c r="G4804">
        <v>-393.0401</v>
      </c>
      <c r="H4804">
        <v>1.008707</v>
      </c>
      <c r="I4804">
        <v>18.212499999999999</v>
      </c>
      <c r="J4804">
        <v>-393.71280000000002</v>
      </c>
      <c r="K4804">
        <v>1.1136079999999999</v>
      </c>
      <c r="L4804">
        <v>18.228999999999999</v>
      </c>
      <c r="M4804">
        <v>0.99706260000000002</v>
      </c>
      <c r="N4804">
        <v>0</v>
      </c>
      <c r="O4804">
        <v>-7.5821029999999998E-2</v>
      </c>
      <c r="P4804">
        <v>0.99621769999999998</v>
      </c>
      <c r="Q4804">
        <v>2.8540800000000002E-2</v>
      </c>
      <c r="R4804">
        <v>8.2071759999999994E-2</v>
      </c>
      <c r="S4804">
        <v>3.029175</v>
      </c>
      <c r="T4804">
        <v>-0.3494563</v>
      </c>
      <c r="U4804">
        <v>-9.8785399999999995E-2</v>
      </c>
      <c r="V4804">
        <v>-0.1577259</v>
      </c>
      <c r="W4804">
        <v>3.7794000000000001E-2</v>
      </c>
      <c r="X4804">
        <v>0.98675939999999995</v>
      </c>
      <c r="Y4804">
        <v>-4.2502289999999998E-2</v>
      </c>
      <c r="Z4804">
        <v>1.1150159999999999E-2</v>
      </c>
      <c r="AA4804">
        <v>0.99903419999999998</v>
      </c>
      <c r="AB4804">
        <v>25</v>
      </c>
      <c r="AC4804">
        <v>0.67270000000001995</v>
      </c>
      <c r="AD4804">
        <v>-0.104900999999999</v>
      </c>
      <c r="AE4804">
        <v>-1.6500000000000601E-2</v>
      </c>
      <c r="AF4804">
        <v>-3.3735437956899803E-2</v>
      </c>
      <c r="AG4804">
        <v>-0.104900999999999</v>
      </c>
      <c r="AH4804">
        <v>0.65607018572869802</v>
      </c>
      <c r="AI4804">
        <v>99.072510133353703</v>
      </c>
      <c r="AJ4804">
        <v>92.943583453535993</v>
      </c>
      <c r="AK4804">
        <v>0.66525963967253599</v>
      </c>
      <c r="AL4804">
        <v>87.834047420112398</v>
      </c>
      <c r="AM4804">
        <v>99.081467146453306</v>
      </c>
      <c r="AN4804">
        <v>0.99999997972758403</v>
      </c>
    </row>
    <row r="4805" spans="1:40" x14ac:dyDescent="0.25">
      <c r="A4805" t="str">
        <f>"20190312151412212"</f>
        <v>20190312151412212</v>
      </c>
      <c r="B4805" t="str">
        <f>"1552374852204864"</f>
        <v>1552374852204864</v>
      </c>
      <c r="C4805" t="s">
        <v>40</v>
      </c>
      <c r="D4805">
        <v>4.928159</v>
      </c>
      <c r="E4805">
        <v>0.54525249999999903</v>
      </c>
      <c r="F4805" t="s">
        <v>41</v>
      </c>
      <c r="G4805">
        <v>-392.81459999999998</v>
      </c>
      <c r="H4805">
        <v>1.0089939999999999</v>
      </c>
      <c r="I4805">
        <v>18.20149</v>
      </c>
      <c r="J4805">
        <v>-393.45800000000003</v>
      </c>
      <c r="K4805">
        <v>1.113421</v>
      </c>
      <c r="L4805">
        <v>18.21564</v>
      </c>
      <c r="M4805">
        <v>0.99745200000000001</v>
      </c>
      <c r="N4805">
        <v>0</v>
      </c>
      <c r="O4805">
        <v>-7.0520180000000002E-2</v>
      </c>
      <c r="P4805">
        <v>0.99617529999999999</v>
      </c>
      <c r="Q4805">
        <v>2.7436189999999999E-2</v>
      </c>
      <c r="R4805">
        <v>8.2957719999999999E-2</v>
      </c>
      <c r="S4805">
        <v>3.0291139999999999</v>
      </c>
      <c r="T4805">
        <v>-0.35298170000000001</v>
      </c>
      <c r="U4805">
        <v>-9.2376710000000001E-2</v>
      </c>
      <c r="V4805">
        <v>-0.15333079999999999</v>
      </c>
      <c r="W4805">
        <v>3.6757600000000001E-2</v>
      </c>
      <c r="X4805">
        <v>0.98749100000000001</v>
      </c>
      <c r="Y4805">
        <v>-3.9343540000000003E-2</v>
      </c>
      <c r="Z4805">
        <v>1.046535E-2</v>
      </c>
      <c r="AA4805">
        <v>0.99917100000000003</v>
      </c>
      <c r="AB4805">
        <v>25</v>
      </c>
      <c r="AC4805">
        <v>0.64340000000004205</v>
      </c>
      <c r="AD4805">
        <v>-0.10442700000000001</v>
      </c>
      <c r="AE4805">
        <v>-1.41500000000007E-2</v>
      </c>
      <c r="AF4805">
        <v>-3.0458578397277999E-2</v>
      </c>
      <c r="AG4805">
        <v>-0.10442700000000001</v>
      </c>
      <c r="AH4805">
        <v>0.62630517794009799</v>
      </c>
      <c r="AI4805">
        <v>99.455159695055002</v>
      </c>
      <c r="AJ4805">
        <v>92.784224357772203</v>
      </c>
      <c r="AK4805">
        <v>0.63568144478312505</v>
      </c>
      <c r="AL4805">
        <v>87.893470037129404</v>
      </c>
      <c r="AM4805">
        <v>98.826013355567099</v>
      </c>
      <c r="AN4805">
        <v>0.99999996523369905</v>
      </c>
    </row>
    <row r="4806" spans="1:40" x14ac:dyDescent="0.25">
      <c r="A4806" t="str">
        <f>"20190312151412233"</f>
        <v>20190312151412233</v>
      </c>
      <c r="B4806" t="str">
        <f>"1552374852225361"</f>
        <v>1552374852225361</v>
      </c>
      <c r="C4806" t="s">
        <v>40</v>
      </c>
      <c r="D4806">
        <v>4.922364</v>
      </c>
      <c r="E4806">
        <v>0.54570479999999999</v>
      </c>
      <c r="F4806" t="s">
        <v>41</v>
      </c>
      <c r="G4806">
        <v>-392.58850000000001</v>
      </c>
      <c r="H4806">
        <v>1.01051</v>
      </c>
      <c r="I4806">
        <v>18.188330000000001</v>
      </c>
      <c r="J4806">
        <v>-393.21620000000001</v>
      </c>
      <c r="K4806">
        <v>1.113254</v>
      </c>
      <c r="L4806">
        <v>18.203949999999999</v>
      </c>
      <c r="M4806">
        <v>0.99777939999999998</v>
      </c>
      <c r="N4806">
        <v>0</v>
      </c>
      <c r="O4806">
        <v>-6.5733890000000003E-2</v>
      </c>
      <c r="P4806">
        <v>0.99614340000000001</v>
      </c>
      <c r="Q4806">
        <v>2.6868929999999999E-2</v>
      </c>
      <c r="R4806">
        <v>8.3526000000000003E-2</v>
      </c>
      <c r="S4806">
        <v>3.0292659999999998</v>
      </c>
      <c r="T4806">
        <v>-0.3587399</v>
      </c>
      <c r="U4806">
        <v>-9.4543459999999996E-2</v>
      </c>
      <c r="V4806">
        <v>-0.149136299999999</v>
      </c>
      <c r="W4806">
        <v>3.6252479999999997E-2</v>
      </c>
      <c r="X4806">
        <v>0.98815180000000002</v>
      </c>
      <c r="Y4806">
        <v>-3.3883730000000001E-2</v>
      </c>
      <c r="Z4806">
        <v>9.7486629999999994E-3</v>
      </c>
      <c r="AA4806">
        <v>0.99937830000000005</v>
      </c>
      <c r="AB4806">
        <v>25</v>
      </c>
      <c r="AC4806">
        <v>0.62770000000000403</v>
      </c>
      <c r="AD4806">
        <v>-0.102744</v>
      </c>
      <c r="AE4806">
        <v>-1.5619999999998401E-2</v>
      </c>
      <c r="AF4806">
        <v>-2.5007731215501601E-2</v>
      </c>
      <c r="AG4806">
        <v>-0.102744</v>
      </c>
      <c r="AH4806">
        <v>0.61100891559839898</v>
      </c>
      <c r="AI4806">
        <v>99.537415902847201</v>
      </c>
      <c r="AJ4806">
        <v>92.343727150790997</v>
      </c>
      <c r="AK4806">
        <v>0.62009161508383404</v>
      </c>
      <c r="AL4806">
        <v>87.922430510521295</v>
      </c>
      <c r="AM4806">
        <v>98.582561994895499</v>
      </c>
      <c r="AN4806">
        <v>0.99999992906353696</v>
      </c>
    </row>
    <row r="4807" spans="1:40" x14ac:dyDescent="0.25">
      <c r="A4807" t="str">
        <f>"20190312151412255"</f>
        <v>20190312151412255</v>
      </c>
      <c r="B4807" t="str">
        <f>"1552374852245857"</f>
        <v>1552374852245857</v>
      </c>
      <c r="C4807" t="s">
        <v>40</v>
      </c>
      <c r="D4807">
        <v>4.9243680000000003</v>
      </c>
      <c r="E4807">
        <v>0.54601560000000005</v>
      </c>
      <c r="F4807" t="s">
        <v>41</v>
      </c>
      <c r="G4807">
        <v>-392.36219999999997</v>
      </c>
      <c r="H4807">
        <v>1.01132</v>
      </c>
      <c r="I4807">
        <v>18.17662</v>
      </c>
      <c r="J4807">
        <v>-392.96460000000002</v>
      </c>
      <c r="K4807">
        <v>1.1130819999999999</v>
      </c>
      <c r="L4807">
        <v>18.192720000000001</v>
      </c>
      <c r="M4807">
        <v>0.99807869999999999</v>
      </c>
      <c r="N4807">
        <v>0</v>
      </c>
      <c r="O4807">
        <v>-6.1025309999999999E-2</v>
      </c>
      <c r="P4807">
        <v>0.99609270000000005</v>
      </c>
      <c r="Q4807">
        <v>2.6904999999999998E-2</v>
      </c>
      <c r="R4807">
        <v>8.4116590000000005E-2</v>
      </c>
      <c r="S4807">
        <v>3.02948</v>
      </c>
      <c r="T4807">
        <v>-0.36165370000000002</v>
      </c>
      <c r="U4807">
        <v>-9.6801760000000001E-2</v>
      </c>
      <c r="V4807">
        <v>-0.14504220000000001</v>
      </c>
      <c r="W4807">
        <v>3.6350170000000001E-2</v>
      </c>
      <c r="X4807">
        <v>0.98875749999999996</v>
      </c>
      <c r="Y4807">
        <v>-2.8486020000000001E-2</v>
      </c>
      <c r="Z4807">
        <v>8.9466029999999992E-3</v>
      </c>
      <c r="AA4807">
        <v>0.99955419999999995</v>
      </c>
      <c r="AB4807">
        <v>25</v>
      </c>
      <c r="AC4807">
        <v>0.60240000000004501</v>
      </c>
      <c r="AD4807">
        <v>-0.10176199999999901</v>
      </c>
      <c r="AE4807">
        <v>-1.6100000000001499E-2</v>
      </c>
      <c r="AF4807">
        <v>-2.0120021726513799E-2</v>
      </c>
      <c r="AG4807">
        <v>-0.10176199999999901</v>
      </c>
      <c r="AH4807">
        <v>0.585561714224623</v>
      </c>
      <c r="AI4807">
        <v>99.853000207072</v>
      </c>
      <c r="AJ4807">
        <v>91.967920631391493</v>
      </c>
      <c r="AK4807">
        <v>0.59467877134126301</v>
      </c>
      <c r="AL4807">
        <v>87.916829708756197</v>
      </c>
      <c r="AM4807">
        <v>98.345277608592497</v>
      </c>
      <c r="AN4807">
        <v>0.99999998422305902</v>
      </c>
    </row>
    <row r="4808" spans="1:40" x14ac:dyDescent="0.25">
      <c r="A4808" t="str">
        <f>"20190312151412278"</f>
        <v>20190312151412278</v>
      </c>
      <c r="B4808" t="str">
        <f>"1552374852275136"</f>
        <v>1552374852275136</v>
      </c>
      <c r="C4808" t="s">
        <v>40</v>
      </c>
      <c r="D4808">
        <v>4.884099</v>
      </c>
      <c r="E4808">
        <v>0.54626390000000002</v>
      </c>
      <c r="F4808" t="s">
        <v>41</v>
      </c>
      <c r="G4808">
        <v>-392.13459999999998</v>
      </c>
      <c r="H4808">
        <v>1.0140340000000001</v>
      </c>
      <c r="I4808">
        <v>18.165579999999999</v>
      </c>
      <c r="J4808">
        <v>-392.71230000000003</v>
      </c>
      <c r="K4808">
        <v>1.1129009999999999</v>
      </c>
      <c r="L4808">
        <v>18.182369999999999</v>
      </c>
      <c r="M4808">
        <v>0.99834049999999996</v>
      </c>
      <c r="N4808">
        <v>0</v>
      </c>
      <c r="O4808">
        <v>-5.6589970000000003E-2</v>
      </c>
      <c r="P4808">
        <v>0.99608390000000002</v>
      </c>
      <c r="Q4808">
        <v>2.6282300000000001E-2</v>
      </c>
      <c r="R4808">
        <v>8.4419179999999996E-2</v>
      </c>
      <c r="S4808">
        <v>3.0298159999999998</v>
      </c>
      <c r="T4808">
        <v>-0.36178389999999999</v>
      </c>
      <c r="U4808">
        <v>-9.8266599999999996E-2</v>
      </c>
      <c r="V4808">
        <v>-0.14092689999999999</v>
      </c>
      <c r="W4808">
        <v>3.5792640000000001E-2</v>
      </c>
      <c r="X4808">
        <v>0.98937280000000005</v>
      </c>
      <c r="Y4808">
        <v>-2.363053E-2</v>
      </c>
      <c r="Z4808">
        <v>8.1332330000000001E-3</v>
      </c>
      <c r="AA4808">
        <v>0.99968769999999996</v>
      </c>
      <c r="AB4808">
        <v>26</v>
      </c>
      <c r="AC4808">
        <v>0.57770000000004895</v>
      </c>
      <c r="AD4808">
        <v>-9.8866999999999802E-2</v>
      </c>
      <c r="AE4808">
        <v>-1.6790000000003798E-2</v>
      </c>
      <c r="AF4808">
        <v>-1.54778539177027E-2</v>
      </c>
      <c r="AG4808">
        <v>-9.8866999999999802E-2</v>
      </c>
      <c r="AH4808">
        <v>0.56129858114228104</v>
      </c>
      <c r="AI4808">
        <v>99.985877038055307</v>
      </c>
      <c r="AJ4808">
        <v>91.579535498338501</v>
      </c>
      <c r="AK4808">
        <v>0.57014940572032102</v>
      </c>
      <c r="AL4808">
        <v>87.948794702975604</v>
      </c>
      <c r="AM4808">
        <v>98.106714706356101</v>
      </c>
      <c r="AN4808">
        <v>1.0000000208008</v>
      </c>
    </row>
    <row r="4809" spans="1:40" x14ac:dyDescent="0.25">
      <c r="A4809" t="str">
        <f>"20190312151412301"</f>
        <v>20190312151412301</v>
      </c>
      <c r="B4809" t="str">
        <f>"1552374852295634"</f>
        <v>1552374852295634</v>
      </c>
      <c r="C4809" t="s">
        <v>40</v>
      </c>
      <c r="D4809">
        <v>4.7568339999999996</v>
      </c>
      <c r="E4809">
        <v>0.54619329999999999</v>
      </c>
      <c r="F4809" t="s">
        <v>41</v>
      </c>
      <c r="G4809">
        <v>-391.90690000000001</v>
      </c>
      <c r="H4809">
        <v>1.016043</v>
      </c>
      <c r="I4809">
        <v>18.155639999999998</v>
      </c>
      <c r="J4809">
        <v>-392.44200000000001</v>
      </c>
      <c r="K4809">
        <v>1.11269</v>
      </c>
      <c r="L4809">
        <v>18.172180000000001</v>
      </c>
      <c r="M4809">
        <v>0.99858270000000005</v>
      </c>
      <c r="N4809">
        <v>0</v>
      </c>
      <c r="O4809">
        <v>-5.214912E-2</v>
      </c>
      <c r="P4809">
        <v>0.996166</v>
      </c>
      <c r="Q4809">
        <v>2.4928970000000002E-2</v>
      </c>
      <c r="R4809">
        <v>8.385745E-2</v>
      </c>
      <c r="S4809">
        <v>3.0298769999999999</v>
      </c>
      <c r="T4809">
        <v>-0.36457299999999998</v>
      </c>
      <c r="U4809">
        <v>-9.9975590000000003E-2</v>
      </c>
      <c r="V4809">
        <v>-0.1359399</v>
      </c>
      <c r="W4809">
        <v>3.4517409999999998E-2</v>
      </c>
      <c r="X4809">
        <v>0.99011559999999998</v>
      </c>
      <c r="Y4809">
        <v>-1.868005E-2</v>
      </c>
      <c r="Z4809">
        <v>7.36705E-3</v>
      </c>
      <c r="AA4809">
        <v>0.99979839999999998</v>
      </c>
      <c r="AB4809">
        <v>26</v>
      </c>
      <c r="AC4809">
        <v>0.53509999999994295</v>
      </c>
      <c r="AD4809">
        <v>-9.66469999999999E-2</v>
      </c>
      <c r="AE4809">
        <v>-1.6539999999999101E-2</v>
      </c>
      <c r="AF4809">
        <v>-1.10296184202778E-2</v>
      </c>
      <c r="AG4809">
        <v>-9.66469999999999E-2</v>
      </c>
      <c r="AH4809">
        <v>0.51834136058107005</v>
      </c>
      <c r="AI4809">
        <v>100.55943105380901</v>
      </c>
      <c r="AJ4809">
        <v>91.218994431930398</v>
      </c>
      <c r="AK4809">
        <v>0.52738985691851503</v>
      </c>
      <c r="AL4809">
        <v>88.021905163155395</v>
      </c>
      <c r="AM4809">
        <v>97.817660886246102</v>
      </c>
      <c r="AN4809">
        <v>1.0000000046842299</v>
      </c>
    </row>
    <row r="4810" spans="1:40" x14ac:dyDescent="0.25">
      <c r="A4810" t="str">
        <f>"20190312151412322"</f>
        <v>20190312151412322</v>
      </c>
      <c r="B4810" t="str">
        <f>"1552374852315153"</f>
        <v>1552374852315153</v>
      </c>
      <c r="C4810" t="s">
        <v>40</v>
      </c>
      <c r="D4810">
        <v>4.911924</v>
      </c>
      <c r="E4810">
        <v>0.54660819999999999</v>
      </c>
      <c r="F4810" t="s">
        <v>41</v>
      </c>
      <c r="G4810">
        <v>-391.678</v>
      </c>
      <c r="H4810">
        <v>1.0194749999999999</v>
      </c>
      <c r="I4810">
        <v>18.146360000000001</v>
      </c>
      <c r="J4810">
        <v>-392.20339999999999</v>
      </c>
      <c r="K4810">
        <v>1.112501</v>
      </c>
      <c r="L4810">
        <v>18.163879999999999</v>
      </c>
      <c r="M4810">
        <v>0.99876679999999995</v>
      </c>
      <c r="N4810">
        <v>0</v>
      </c>
      <c r="O4810">
        <v>-4.849999E-2</v>
      </c>
      <c r="P4810">
        <v>0.99631080000000005</v>
      </c>
      <c r="Q4810">
        <v>2.445638E-2</v>
      </c>
      <c r="R4810">
        <v>8.2258919999999999E-2</v>
      </c>
      <c r="S4810">
        <v>3.0293580000000002</v>
      </c>
      <c r="T4810">
        <v>-0.36994919999999998</v>
      </c>
      <c r="U4810">
        <v>-0.10150149999999999</v>
      </c>
      <c r="V4810">
        <v>-0.13071099999999999</v>
      </c>
      <c r="W4810">
        <v>3.4121390000000001E-2</v>
      </c>
      <c r="X4810">
        <v>0.99083319999999997</v>
      </c>
      <c r="Y4810">
        <v>-1.4560210000000001E-2</v>
      </c>
      <c r="Z4810">
        <v>6.7822430000000003E-3</v>
      </c>
      <c r="AA4810">
        <v>0.99987099999999995</v>
      </c>
      <c r="AB4810">
        <v>26</v>
      </c>
      <c r="AC4810">
        <v>0.52539999999993303</v>
      </c>
      <c r="AD4810">
        <v>-9.3025999999999998E-2</v>
      </c>
      <c r="AE4810">
        <v>-1.7519999999997499E-2</v>
      </c>
      <c r="AF4810">
        <v>-7.7415277308971802E-3</v>
      </c>
      <c r="AG4810">
        <v>-9.3025999999999998E-2</v>
      </c>
      <c r="AH4810">
        <v>0.50967128131716499</v>
      </c>
      <c r="AI4810">
        <v>100.342685626856</v>
      </c>
      <c r="AJ4810">
        <v>90.8702133618727</v>
      </c>
      <c r="AK4810">
        <v>0.51814918983540703</v>
      </c>
      <c r="AL4810">
        <v>88.0446088665704</v>
      </c>
      <c r="AM4810">
        <v>97.515081270243698</v>
      </c>
      <c r="AN4810">
        <v>1.0000000324993801</v>
      </c>
    </row>
    <row r="4811" spans="1:40" x14ac:dyDescent="0.25">
      <c r="A4811" t="str">
        <f>"20190312151412345"</f>
        <v>20190312151412345</v>
      </c>
      <c r="B4811" t="str">
        <f>"1552374852335649"</f>
        <v>1552374852335649</v>
      </c>
      <c r="C4811" t="s">
        <v>40</v>
      </c>
      <c r="D4811">
        <v>4.8543669999999999</v>
      </c>
      <c r="E4811">
        <v>0.54674440000000002</v>
      </c>
      <c r="F4811" t="s">
        <v>41</v>
      </c>
      <c r="G4811">
        <v>-391.4502</v>
      </c>
      <c r="H4811">
        <v>1.0203340000000001</v>
      </c>
      <c r="I4811">
        <v>18.136399999999998</v>
      </c>
      <c r="J4811">
        <v>-391.94510000000002</v>
      </c>
      <c r="K4811">
        <v>1.1122970000000001</v>
      </c>
      <c r="L4811">
        <v>18.155519999999999</v>
      </c>
      <c r="M4811">
        <v>0.99893869999999896</v>
      </c>
      <c r="N4811">
        <v>0</v>
      </c>
      <c r="O4811">
        <v>-4.4829130000000002E-2</v>
      </c>
      <c r="P4811">
        <v>0.99641519999999995</v>
      </c>
      <c r="Q4811">
        <v>2.4483890000000001E-2</v>
      </c>
      <c r="R4811">
        <v>8.0979079999999995E-2</v>
      </c>
      <c r="S4811">
        <v>3.0292659999999998</v>
      </c>
      <c r="T4811">
        <v>-0.37079139999999999</v>
      </c>
      <c r="U4811">
        <v>-0.1099854</v>
      </c>
      <c r="V4811">
        <v>-0.12577639999999901</v>
      </c>
      <c r="W4811">
        <v>3.4222889999999999E-2</v>
      </c>
      <c r="X4811">
        <v>0.99146809999999996</v>
      </c>
      <c r="Y4811">
        <v>-8.1602700000000007E-3</v>
      </c>
      <c r="Z4811">
        <v>5.9602639999999998E-3</v>
      </c>
      <c r="AA4811">
        <v>0.99994890000000003</v>
      </c>
      <c r="AB4811">
        <v>26</v>
      </c>
      <c r="AC4811">
        <v>0.49490000000002898</v>
      </c>
      <c r="AD4811">
        <v>-9.1962999999999795E-2</v>
      </c>
      <c r="AE4811">
        <v>-1.9120000000004401E-2</v>
      </c>
      <c r="AF4811">
        <v>-2.9835343974071202E-3</v>
      </c>
      <c r="AG4811">
        <v>-9.1962999999999795E-2</v>
      </c>
      <c r="AH4811">
        <v>0.478753079545297</v>
      </c>
      <c r="AI4811">
        <v>100.873214064237</v>
      </c>
      <c r="AJ4811">
        <v>90.357056118090398</v>
      </c>
      <c r="AK4811">
        <v>0.48751472390134598</v>
      </c>
      <c r="AL4811">
        <v>88.038789787074194</v>
      </c>
      <c r="AM4811">
        <v>97.229852122000295</v>
      </c>
      <c r="AN4811">
        <v>0.99999995115725904</v>
      </c>
    </row>
    <row r="4812" spans="1:40" x14ac:dyDescent="0.25">
      <c r="A4812" t="str">
        <f>"20190312151412370"</f>
        <v>20190312151412370</v>
      </c>
      <c r="B4812" t="str">
        <f>"1552374852364929"</f>
        <v>1552374852364929</v>
      </c>
      <c r="C4812" t="s">
        <v>40</v>
      </c>
      <c r="D4812">
        <v>4.785393</v>
      </c>
      <c r="E4812">
        <v>0.54657319999999998</v>
      </c>
      <c r="F4812" t="s">
        <v>41</v>
      </c>
      <c r="G4812">
        <v>-391.22050000000002</v>
      </c>
      <c r="H4812">
        <v>1.0239959999999999</v>
      </c>
      <c r="I4812">
        <v>18.127420000000001</v>
      </c>
      <c r="J4812">
        <v>-391.66219999999998</v>
      </c>
      <c r="K4812">
        <v>1.112085</v>
      </c>
      <c r="L4812">
        <v>18.147130000000001</v>
      </c>
      <c r="M4812">
        <v>0.99909619999999999</v>
      </c>
      <c r="N4812">
        <v>0</v>
      </c>
      <c r="O4812">
        <v>-4.1178600000000003E-2</v>
      </c>
      <c r="P4812">
        <v>0.9965463</v>
      </c>
      <c r="Q4812">
        <v>2.5476180000000001E-2</v>
      </c>
      <c r="R4812">
        <v>7.903781E-2</v>
      </c>
      <c r="S4812">
        <v>3.0292659999999998</v>
      </c>
      <c r="T4812">
        <v>-0.36961339999999998</v>
      </c>
      <c r="U4812">
        <v>-0.115509</v>
      </c>
      <c r="V4812">
        <v>-0.12020459999999999</v>
      </c>
      <c r="W4812">
        <v>3.5291320000000001E-2</v>
      </c>
      <c r="X4812">
        <v>0.99212160000000005</v>
      </c>
      <c r="Y4812">
        <v>-2.7548669999999998E-3</v>
      </c>
      <c r="Z4812">
        <v>5.1696320000000004E-3</v>
      </c>
      <c r="AA4812">
        <v>0.99998279999999995</v>
      </c>
      <c r="AB4812">
        <v>26</v>
      </c>
      <c r="AC4812">
        <v>0.44169999999996801</v>
      </c>
      <c r="AD4812">
        <v>-8.8089000000000001E-2</v>
      </c>
      <c r="AE4812">
        <v>-1.97099999999963E-2</v>
      </c>
      <c r="AF4812">
        <v>1.4462736606180499E-3</v>
      </c>
      <c r="AG4812">
        <v>-8.8089000000000001E-2</v>
      </c>
      <c r="AH4812">
        <v>0.42525684766171701</v>
      </c>
      <c r="AI4812">
        <v>101.702846203344</v>
      </c>
      <c r="AJ4812">
        <v>89.805141157050301</v>
      </c>
      <c r="AK4812">
        <v>0.434286944440749</v>
      </c>
      <c r="AL4812">
        <v>87.977536231285299</v>
      </c>
      <c r="AM4812">
        <v>96.908235464226607</v>
      </c>
      <c r="AN4812">
        <v>0.99999994615752896</v>
      </c>
    </row>
    <row r="4813" spans="1:40" x14ac:dyDescent="0.25">
      <c r="A4813" t="str">
        <f>"20190312151412390"</f>
        <v>20190312151412390</v>
      </c>
      <c r="B4813" t="str">
        <f>"1552374852385425"</f>
        <v>1552374852385425</v>
      </c>
      <c r="C4813" t="s">
        <v>40</v>
      </c>
      <c r="D4813">
        <v>5.1347129999999996</v>
      </c>
      <c r="E4813">
        <v>0.5469735</v>
      </c>
      <c r="F4813" t="s">
        <v>41</v>
      </c>
      <c r="G4813">
        <v>-390.77289999999999</v>
      </c>
      <c r="H4813">
        <v>1.004829</v>
      </c>
      <c r="I4813">
        <v>18.1114</v>
      </c>
      <c r="J4813">
        <v>-391.42090000000002</v>
      </c>
      <c r="K4813">
        <v>1.111931</v>
      </c>
      <c r="L4813">
        <v>18.140470000000001</v>
      </c>
      <c r="M4813">
        <v>0.99921040000000005</v>
      </c>
      <c r="N4813">
        <v>0</v>
      </c>
      <c r="O4813">
        <v>-3.8309309999999999E-2</v>
      </c>
      <c r="P4813">
        <v>0.99669989999999997</v>
      </c>
      <c r="Q4813">
        <v>2.7013289999999999E-2</v>
      </c>
      <c r="R4813">
        <v>7.6547560000000001E-2</v>
      </c>
      <c r="S4813">
        <v>3.0292970000000001</v>
      </c>
      <c r="T4813">
        <v>-0.36564600000000003</v>
      </c>
      <c r="U4813">
        <v>-0.1202087</v>
      </c>
      <c r="V4813">
        <v>-0.1148651</v>
      </c>
      <c r="W4813">
        <v>3.6889110000000003E-2</v>
      </c>
      <c r="X4813">
        <v>0.99269589999999996</v>
      </c>
      <c r="Y4813">
        <v>1.606229E-3</v>
      </c>
      <c r="Z4813">
        <v>4.50753E-3</v>
      </c>
      <c r="AA4813">
        <v>0.99998860000000001</v>
      </c>
      <c r="AB4813">
        <v>26</v>
      </c>
      <c r="AC4813">
        <v>0.648000000000024</v>
      </c>
      <c r="AD4813">
        <v>-0.107101999999999</v>
      </c>
      <c r="AE4813">
        <v>-2.90700000000008E-2</v>
      </c>
      <c r="AF4813">
        <v>4.1107761008949599E-3</v>
      </c>
      <c r="AG4813">
        <v>-0.107101999999999</v>
      </c>
      <c r="AH4813">
        <v>0.63142354747342</v>
      </c>
      <c r="AI4813">
        <v>99.626677470850495</v>
      </c>
      <c r="AJ4813">
        <v>89.626990797967196</v>
      </c>
      <c r="AK4813">
        <v>0.64045564498103202</v>
      </c>
      <c r="AL4813">
        <v>87.885929973165204</v>
      </c>
      <c r="AM4813">
        <v>96.600356852171601</v>
      </c>
      <c r="AN4813">
        <v>0.99999997375570504</v>
      </c>
    </row>
    <row r="4814" spans="1:40" x14ac:dyDescent="0.25">
      <c r="A4814" t="str">
        <f>"20190312151412412"</f>
        <v>20190312151412412</v>
      </c>
      <c r="B4814" t="str">
        <f>"1552374852405452"</f>
        <v>1552374852405452</v>
      </c>
      <c r="C4814" t="s">
        <v>40</v>
      </c>
      <c r="D4814">
        <v>4.7071809999999896</v>
      </c>
      <c r="E4814">
        <v>0.5469214</v>
      </c>
      <c r="F4814" t="s">
        <v>41</v>
      </c>
      <c r="G4814">
        <v>-390.5428</v>
      </c>
      <c r="H4814">
        <v>1.007369</v>
      </c>
      <c r="I4814">
        <v>18.102329999999998</v>
      </c>
      <c r="J4814">
        <v>-391.1841</v>
      </c>
      <c r="K4814">
        <v>1.1117969999999999</v>
      </c>
      <c r="L4814">
        <v>18.134370000000001</v>
      </c>
      <c r="M4814">
        <v>0.99930819999999998</v>
      </c>
      <c r="N4814">
        <v>0</v>
      </c>
      <c r="O4814">
        <v>-3.5677239999999999E-2</v>
      </c>
      <c r="P4814">
        <v>0.99682850000000001</v>
      </c>
      <c r="Q4814">
        <v>2.946822E-2</v>
      </c>
      <c r="R4814">
        <v>7.3923660000000002E-2</v>
      </c>
      <c r="S4814">
        <v>3.0297550000000002</v>
      </c>
      <c r="T4814">
        <v>-0.36090729999999999</v>
      </c>
      <c r="U4814">
        <v>-0.13085939999999999</v>
      </c>
      <c r="V4814">
        <v>-0.10963100000000001</v>
      </c>
      <c r="W4814">
        <v>3.9394020000000002E-2</v>
      </c>
      <c r="X4814">
        <v>0.99319139999999995</v>
      </c>
      <c r="Y4814">
        <v>7.6751959999999996E-3</v>
      </c>
      <c r="Z4814">
        <v>3.7764119999999998E-3</v>
      </c>
      <c r="AA4814">
        <v>0.99996339999999995</v>
      </c>
      <c r="AB4814">
        <v>26</v>
      </c>
      <c r="AC4814">
        <v>0.64130000000000098</v>
      </c>
      <c r="AD4814">
        <v>-0.10442799999999899</v>
      </c>
      <c r="AE4814">
        <v>-3.2040000000001997E-2</v>
      </c>
      <c r="AF4814">
        <v>8.9030375105977593E-3</v>
      </c>
      <c r="AG4814">
        <v>-0.10442799999999899</v>
      </c>
      <c r="AH4814">
        <v>0.62549050170565501</v>
      </c>
      <c r="AI4814">
        <v>99.477384335221402</v>
      </c>
      <c r="AJ4814">
        <v>89.1845247399214</v>
      </c>
      <c r="AK4814">
        <v>0.63421040592606703</v>
      </c>
      <c r="AL4814">
        <v>87.742304712567403</v>
      </c>
      <c r="AM4814">
        <v>96.298954081405796</v>
      </c>
      <c r="AN4814">
        <v>1.0000000010033601</v>
      </c>
    </row>
    <row r="4815" spans="1:40" x14ac:dyDescent="0.25">
      <c r="A4815" t="str">
        <f>"20190312151412434"</f>
        <v>20190312151412434</v>
      </c>
      <c r="B4815" t="str">
        <f>"1552374852425948"</f>
        <v>1552374852425948</v>
      </c>
      <c r="C4815" t="s">
        <v>40</v>
      </c>
      <c r="D4815">
        <v>4.8313329999999999</v>
      </c>
      <c r="E4815">
        <v>0.54587739999999996</v>
      </c>
      <c r="F4815" t="s">
        <v>41</v>
      </c>
      <c r="G4815">
        <v>-390.31220000000002</v>
      </c>
      <c r="H4815">
        <v>1.0102230000000001</v>
      </c>
      <c r="I4815">
        <v>18.09403</v>
      </c>
      <c r="J4815">
        <v>-390.92660000000001</v>
      </c>
      <c r="K4815">
        <v>1.111675</v>
      </c>
      <c r="L4815">
        <v>18.128270000000001</v>
      </c>
      <c r="M4815">
        <v>0.99940010000000001</v>
      </c>
      <c r="N4815">
        <v>0</v>
      </c>
      <c r="O4815">
        <v>-3.3009740000000003E-2</v>
      </c>
      <c r="P4815">
        <v>0.9969943</v>
      </c>
      <c r="Q4815">
        <v>3.081153E-2</v>
      </c>
      <c r="R4815">
        <v>7.1085759999999998E-2</v>
      </c>
      <c r="S4815">
        <v>3.030243</v>
      </c>
      <c r="T4815">
        <v>-0.353373299999999</v>
      </c>
      <c r="U4815">
        <v>-0.13833619999999999</v>
      </c>
      <c r="V4815">
        <v>-0.10414130000000001</v>
      </c>
      <c r="W4815">
        <v>4.0782890000000002E-2</v>
      </c>
      <c r="X4815">
        <v>0.993726</v>
      </c>
      <c r="Y4815">
        <v>1.2739260000000001E-2</v>
      </c>
      <c r="Z4815">
        <v>3.0935310000000001E-3</v>
      </c>
      <c r="AA4815">
        <v>0.99991410000000003</v>
      </c>
      <c r="AB4815">
        <v>26</v>
      </c>
      <c r="AC4815">
        <v>0.61439999999998895</v>
      </c>
      <c r="AD4815">
        <v>-0.101452</v>
      </c>
      <c r="AE4815">
        <v>-3.4240000000000402E-2</v>
      </c>
      <c r="AF4815">
        <v>1.35701836007938E-2</v>
      </c>
      <c r="AG4815">
        <v>-0.101452</v>
      </c>
      <c r="AH4815">
        <v>0.59891606188402302</v>
      </c>
      <c r="AI4815">
        <v>99.611801833942906</v>
      </c>
      <c r="AJ4815">
        <v>88.702019724654704</v>
      </c>
      <c r="AK4815">
        <v>0.60759946294382605</v>
      </c>
      <c r="AL4815">
        <v>87.6626643149432</v>
      </c>
      <c r="AM4815">
        <v>95.982690946929495</v>
      </c>
      <c r="AN4815">
        <v>1.00000000877922</v>
      </c>
    </row>
    <row r="4816" spans="1:40" x14ac:dyDescent="0.25">
      <c r="A4816" t="str">
        <f>"20190312151412456"</f>
        <v>20190312151412456</v>
      </c>
      <c r="B4816" t="str">
        <f>"1552374852445472"</f>
        <v>1552374852445472</v>
      </c>
      <c r="C4816" t="s">
        <v>40</v>
      </c>
      <c r="D4816">
        <v>4.8659140000000001</v>
      </c>
      <c r="E4816">
        <v>0.54554269999999905</v>
      </c>
      <c r="F4816" t="s">
        <v>41</v>
      </c>
      <c r="G4816">
        <v>-390.07209999999998</v>
      </c>
      <c r="H4816">
        <v>1.031401</v>
      </c>
      <c r="I4816">
        <v>18.088460000000001</v>
      </c>
      <c r="J4816">
        <v>-390.66719999999998</v>
      </c>
      <c r="K4816">
        <v>1.111558</v>
      </c>
      <c r="L4816">
        <v>18.122589999999999</v>
      </c>
      <c r="M4816">
        <v>0.99947949999999997</v>
      </c>
      <c r="N4816">
        <v>0</v>
      </c>
      <c r="O4816">
        <v>-3.0514360000000001E-2</v>
      </c>
      <c r="P4816">
        <v>0.99716680000000002</v>
      </c>
      <c r="Q4816">
        <v>3.1579240000000001E-2</v>
      </c>
      <c r="R4816">
        <v>6.8274699999999994E-2</v>
      </c>
      <c r="S4816">
        <v>3.0278320000000001</v>
      </c>
      <c r="T4816">
        <v>-0.28453270000000003</v>
      </c>
      <c r="U4816">
        <v>-0.1403809</v>
      </c>
      <c r="V4816">
        <v>-9.8846500000000004E-2</v>
      </c>
      <c r="W4816">
        <v>4.1591870000000003E-2</v>
      </c>
      <c r="X4816">
        <v>0.99423309999999998</v>
      </c>
      <c r="Y4816">
        <v>1.5873200000000001E-2</v>
      </c>
      <c r="Z4816">
        <v>2.115212E-3</v>
      </c>
      <c r="AA4816">
        <v>0.99987179999999998</v>
      </c>
      <c r="AB4816">
        <v>26</v>
      </c>
      <c r="AC4816">
        <v>0.59510000000000196</v>
      </c>
      <c r="AD4816">
        <v>-8.0157000000000006E-2</v>
      </c>
      <c r="AE4816">
        <v>-3.4129999999997503E-2</v>
      </c>
      <c r="AF4816">
        <v>1.5670637720433499E-2</v>
      </c>
      <c r="AG4816">
        <v>-8.0157000000000006E-2</v>
      </c>
      <c r="AH4816">
        <v>0.58528057650717003</v>
      </c>
      <c r="AI4816">
        <v>97.795658338905994</v>
      </c>
      <c r="AJ4816">
        <v>88.4662963719761</v>
      </c>
      <c r="AK4816">
        <v>0.59095183117757599</v>
      </c>
      <c r="AL4816">
        <v>87.616273754124293</v>
      </c>
      <c r="AM4816">
        <v>95.677679891074305</v>
      </c>
      <c r="AN4816">
        <v>0.99999998567397796</v>
      </c>
    </row>
    <row r="4817" spans="1:40" x14ac:dyDescent="0.25">
      <c r="A4817" t="str">
        <f>"20190312151412478"</f>
        <v>20190312151412478</v>
      </c>
      <c r="B4817" t="str">
        <f>"1552374852474749"</f>
        <v>1552374852474749</v>
      </c>
      <c r="C4817" t="s">
        <v>40</v>
      </c>
      <c r="D4817">
        <v>4.8091920000000004</v>
      </c>
      <c r="E4817">
        <v>0.54556640000000001</v>
      </c>
      <c r="F4817" t="s">
        <v>41</v>
      </c>
      <c r="G4817">
        <v>-389.84100000000001</v>
      </c>
      <c r="H4817">
        <v>1.0337379999999901</v>
      </c>
      <c r="I4817">
        <v>18.082319999999999</v>
      </c>
      <c r="J4817">
        <v>-390.4169</v>
      </c>
      <c r="K4817">
        <v>1.11144</v>
      </c>
      <c r="L4817">
        <v>18.117519999999999</v>
      </c>
      <c r="M4817">
        <v>0.99954529999999997</v>
      </c>
      <c r="N4817">
        <v>0</v>
      </c>
      <c r="O4817">
        <v>-2.827816E-2</v>
      </c>
      <c r="P4817">
        <v>0.99751809999999996</v>
      </c>
      <c r="Q4817">
        <v>3.2261039999999998E-2</v>
      </c>
      <c r="R4817">
        <v>6.2584819999999999E-2</v>
      </c>
      <c r="S4817">
        <v>3.0275880000000002</v>
      </c>
      <c r="T4817">
        <v>-0.28537689999999999</v>
      </c>
      <c r="U4817">
        <v>-0.1459656</v>
      </c>
      <c r="V4817">
        <v>-9.0934310000000004E-2</v>
      </c>
      <c r="W4817">
        <v>4.2324599999999997E-2</v>
      </c>
      <c r="X4817">
        <v>0.99495710000000004</v>
      </c>
      <c r="Y4817">
        <v>1.9926650000000001E-2</v>
      </c>
      <c r="Z4817">
        <v>1.720952E-3</v>
      </c>
      <c r="AA4817">
        <v>0.99980000000000002</v>
      </c>
      <c r="AB4817">
        <v>26</v>
      </c>
      <c r="AC4817">
        <v>0.57589999999998998</v>
      </c>
      <c r="AD4817">
        <v>-7.7702000000000104E-2</v>
      </c>
      <c r="AE4817">
        <v>-3.51999999999996E-2</v>
      </c>
      <c r="AF4817">
        <v>1.8562972104975699E-2</v>
      </c>
      <c r="AG4817">
        <v>-7.7702000000000104E-2</v>
      </c>
      <c r="AH4817">
        <v>0.56639279458863101</v>
      </c>
      <c r="AI4817">
        <v>97.807361707210404</v>
      </c>
      <c r="AJ4817">
        <v>88.122858549551793</v>
      </c>
      <c r="AK4817">
        <v>0.57199911057561104</v>
      </c>
      <c r="AL4817">
        <v>87.574254509450398</v>
      </c>
      <c r="AM4817">
        <v>95.222051790560897</v>
      </c>
      <c r="AN4817">
        <v>1.0000000256703701</v>
      </c>
    </row>
    <row r="4818" spans="1:40" x14ac:dyDescent="0.25">
      <c r="A4818" t="str">
        <f>"20190312151412511"</f>
        <v>20190312151412511</v>
      </c>
      <c r="B4818" t="str">
        <f>"1552374852505005"</f>
        <v>1552374852505005</v>
      </c>
      <c r="C4818" t="s">
        <v>40</v>
      </c>
      <c r="D4818">
        <v>4.9269059999999998</v>
      </c>
      <c r="E4818">
        <v>0.54629380000000005</v>
      </c>
      <c r="F4818" t="s">
        <v>41</v>
      </c>
      <c r="G4818">
        <v>-389.61149999999998</v>
      </c>
      <c r="H4818">
        <v>1.032286</v>
      </c>
      <c r="I4818">
        <v>18.074300000000001</v>
      </c>
      <c r="J4818">
        <v>-390.03199999999998</v>
      </c>
      <c r="K4818">
        <v>1.1112519999999999</v>
      </c>
      <c r="L4818">
        <v>18.110499999999998</v>
      </c>
      <c r="M4818">
        <v>0.99962890000000004</v>
      </c>
      <c r="N4818">
        <v>0</v>
      </c>
      <c r="O4818">
        <v>-2.5161059999999999E-2</v>
      </c>
      <c r="P4818">
        <v>0.99775610000000003</v>
      </c>
      <c r="Q4818">
        <v>3.4255870000000001E-2</v>
      </c>
      <c r="R4818">
        <v>5.7527780000000001E-2</v>
      </c>
      <c r="S4818">
        <v>3.0272830000000002</v>
      </c>
      <c r="T4818">
        <v>-0.2975004</v>
      </c>
      <c r="U4818">
        <v>-0.16244510000000001</v>
      </c>
      <c r="V4818">
        <v>-8.276849E-2</v>
      </c>
      <c r="W4818">
        <v>4.4376409999999998E-2</v>
      </c>
      <c r="X4818">
        <v>0.99558029999999997</v>
      </c>
      <c r="Y4818">
        <v>2.8424339999999999E-2</v>
      </c>
      <c r="Z4818">
        <v>1.072153E-3</v>
      </c>
      <c r="AA4818">
        <v>0.99959529999999996</v>
      </c>
      <c r="AB4818">
        <v>26</v>
      </c>
      <c r="AC4818">
        <v>0.42050000000000398</v>
      </c>
      <c r="AD4818">
        <v>-7.8965999999999995E-2</v>
      </c>
      <c r="AE4818">
        <v>-3.6199999999997297E-2</v>
      </c>
      <c r="AF4818">
        <v>2.47416322321777E-2</v>
      </c>
      <c r="AG4818">
        <v>-7.8965999999999995E-2</v>
      </c>
      <c r="AH4818">
        <v>0.40702930326887299</v>
      </c>
      <c r="AI4818">
        <v>100.95957822267501</v>
      </c>
      <c r="AJ4818">
        <v>86.521505967236195</v>
      </c>
      <c r="AK4818">
        <v>0.41535602949885803</v>
      </c>
      <c r="AL4818">
        <v>87.456583782292796</v>
      </c>
      <c r="AM4818">
        <v>94.752408896049005</v>
      </c>
      <c r="AN4818">
        <v>1.00000001122472</v>
      </c>
    </row>
    <row r="4819" spans="1:40" x14ac:dyDescent="0.25">
      <c r="A4819" t="str">
        <f>"20190312151412534"</f>
        <v>20190312151412534</v>
      </c>
      <c r="B4819" t="str">
        <f>"1552374852525501"</f>
        <v>1552374852525501</v>
      </c>
      <c r="C4819" t="s">
        <v>40</v>
      </c>
      <c r="D4819">
        <v>4.9305079999999997</v>
      </c>
      <c r="E4819">
        <v>0.54671349999999996</v>
      </c>
      <c r="F4819" t="s">
        <v>41</v>
      </c>
      <c r="G4819">
        <v>-389.1515</v>
      </c>
      <c r="H4819">
        <v>1.0294430000000001</v>
      </c>
      <c r="I4819">
        <v>18.05697</v>
      </c>
      <c r="J4819">
        <v>-389.76830000000001</v>
      </c>
      <c r="K4819">
        <v>1.111137</v>
      </c>
      <c r="L4819">
        <v>18.106079999999999</v>
      </c>
      <c r="M4819">
        <v>0.9996758</v>
      </c>
      <c r="N4819">
        <v>0</v>
      </c>
      <c r="O4819">
        <v>-2.3235720000000001E-2</v>
      </c>
      <c r="P4819">
        <v>0.99787490000000001</v>
      </c>
      <c r="Q4819">
        <v>3.5700580000000003E-2</v>
      </c>
      <c r="R4819">
        <v>5.451454E-2</v>
      </c>
      <c r="S4819">
        <v>3.0269780000000002</v>
      </c>
      <c r="T4819">
        <v>-0.28136529999999998</v>
      </c>
      <c r="U4819">
        <v>-0.18347169999999999</v>
      </c>
      <c r="V4819">
        <v>-7.7831280000000003E-2</v>
      </c>
      <c r="W4819">
        <v>4.585405E-2</v>
      </c>
      <c r="X4819">
        <v>0.99591149999999995</v>
      </c>
      <c r="Y4819">
        <v>3.7230289999999999E-2</v>
      </c>
      <c r="Z4819">
        <v>4.277738E-4</v>
      </c>
      <c r="AA4819">
        <v>0.99930660000000004</v>
      </c>
      <c r="AB4819">
        <v>26</v>
      </c>
      <c r="AC4819">
        <v>0.61680000000001201</v>
      </c>
      <c r="AD4819">
        <v>-8.1693999999999906E-2</v>
      </c>
      <c r="AE4819">
        <v>-4.91099999999988E-2</v>
      </c>
      <c r="AF4819">
        <v>3.4168544738602001E-2</v>
      </c>
      <c r="AG4819">
        <v>-8.1693999999999906E-2</v>
      </c>
      <c r="AH4819">
        <v>0.60719008809149999</v>
      </c>
      <c r="AI4819">
        <v>97.650846487107501</v>
      </c>
      <c r="AJ4819">
        <v>86.779178579893397</v>
      </c>
      <c r="AK4819">
        <v>0.61361323499588705</v>
      </c>
      <c r="AL4819">
        <v>87.371834941689599</v>
      </c>
      <c r="AM4819">
        <v>94.468628295912495</v>
      </c>
      <c r="AN4819">
        <v>1.00000000894004</v>
      </c>
    </row>
    <row r="4820" spans="1:40" x14ac:dyDescent="0.25">
      <c r="A4820" t="str">
        <f>"20190312151412557"</f>
        <v>20190312151412557</v>
      </c>
      <c r="B4820" t="str">
        <f>"1552374852545020"</f>
        <v>1552374852545020</v>
      </c>
      <c r="C4820" t="s">
        <v>40</v>
      </c>
      <c r="D4820">
        <v>4.9346220000000001</v>
      </c>
      <c r="E4820">
        <v>0.54643459999999999</v>
      </c>
      <c r="F4820" t="s">
        <v>41</v>
      </c>
      <c r="G4820">
        <v>-388.91730000000001</v>
      </c>
      <c r="H4820">
        <v>1.035577</v>
      </c>
      <c r="I4820">
        <v>18.05039</v>
      </c>
      <c r="J4820">
        <v>-389.50850000000003</v>
      </c>
      <c r="K4820">
        <v>1.111032</v>
      </c>
      <c r="L4820">
        <v>18.10202</v>
      </c>
      <c r="M4820">
        <v>0.99971489999999996</v>
      </c>
      <c r="N4820">
        <v>0</v>
      </c>
      <c r="O4820">
        <v>-2.1480619999999999E-2</v>
      </c>
      <c r="P4820">
        <v>0.99801390000000001</v>
      </c>
      <c r="Q4820">
        <v>3.6865769999999999E-2</v>
      </c>
      <c r="R4820">
        <v>5.1083650000000001E-2</v>
      </c>
      <c r="S4820">
        <v>3.0267330000000001</v>
      </c>
      <c r="T4820">
        <v>-0.26897659999999901</v>
      </c>
      <c r="U4820">
        <v>-0.19613649999999999</v>
      </c>
      <c r="V4820">
        <v>-7.2646600000000006E-2</v>
      </c>
      <c r="W4820">
        <v>4.7049140000000003E-2</v>
      </c>
      <c r="X4820">
        <v>0.99624740000000001</v>
      </c>
      <c r="Y4820">
        <v>4.3129059999999997E-2</v>
      </c>
      <c r="Z4820" s="1">
        <v>-7.7706059999999995E-6</v>
      </c>
      <c r="AA4820">
        <v>0.99906950000000005</v>
      </c>
      <c r="AB4820">
        <v>26</v>
      </c>
      <c r="AC4820">
        <v>0.59120000000001405</v>
      </c>
      <c r="AD4820">
        <v>-7.5454999999999994E-2</v>
      </c>
      <c r="AE4820">
        <v>-5.1629999999999399E-2</v>
      </c>
      <c r="AF4820">
        <v>3.8298905840270701E-2</v>
      </c>
      <c r="AG4820">
        <v>-7.5454999999999994E-2</v>
      </c>
      <c r="AH4820">
        <v>0.58275180586721098</v>
      </c>
      <c r="AI4820">
        <v>97.361933168084207</v>
      </c>
      <c r="AJ4820">
        <v>86.239883793193599</v>
      </c>
      <c r="AK4820">
        <v>0.58886325276337104</v>
      </c>
      <c r="AL4820">
        <v>87.303287349942195</v>
      </c>
      <c r="AM4820">
        <v>94.170640207093399</v>
      </c>
      <c r="AN4820">
        <v>1.0000000160365199</v>
      </c>
    </row>
    <row r="4821" spans="1:40" x14ac:dyDescent="0.25">
      <c r="A4821" t="str">
        <f>"20190312151412581"</f>
        <v>20190312151412581</v>
      </c>
      <c r="B4821" t="str">
        <f>"1552374852575277"</f>
        <v>1552374852575277</v>
      </c>
      <c r="C4821" t="s">
        <v>40</v>
      </c>
      <c r="D4821">
        <v>4.9209259999999997</v>
      </c>
      <c r="E4821">
        <v>0.54612069999999902</v>
      </c>
      <c r="F4821" t="s">
        <v>41</v>
      </c>
      <c r="G4821">
        <v>-388.68349999999998</v>
      </c>
      <c r="H4821">
        <v>1.0400160000000001</v>
      </c>
      <c r="I4821">
        <v>18.04626</v>
      </c>
      <c r="J4821">
        <v>-389.23700000000002</v>
      </c>
      <c r="K4821">
        <v>1.11094</v>
      </c>
      <c r="L4821">
        <v>18.098109999999998</v>
      </c>
      <c r="M4821">
        <v>0.99974969999999996</v>
      </c>
      <c r="N4821">
        <v>0</v>
      </c>
      <c r="O4821">
        <v>-1.9807870000000002E-2</v>
      </c>
      <c r="P4821">
        <v>0.99809939999999997</v>
      </c>
      <c r="Q4821">
        <v>3.8575320000000003E-2</v>
      </c>
      <c r="R4821">
        <v>4.8060539999999999E-2</v>
      </c>
      <c r="S4821">
        <v>3.026062</v>
      </c>
      <c r="T4821">
        <v>-0.26042749999999998</v>
      </c>
      <c r="U4821">
        <v>-0.20452880000000001</v>
      </c>
      <c r="V4821">
        <v>-6.7950490000000002E-2</v>
      </c>
      <c r="W4821">
        <v>4.8783310000000003E-2</v>
      </c>
      <c r="X4821">
        <v>0.99649529999999997</v>
      </c>
      <c r="Y4821">
        <v>4.7556099999999997E-2</v>
      </c>
      <c r="Z4821">
        <v>-3.4093809999999997E-4</v>
      </c>
      <c r="AA4821">
        <v>0.99886850000000005</v>
      </c>
      <c r="AB4821">
        <v>26</v>
      </c>
      <c r="AC4821">
        <v>0.553499999999985</v>
      </c>
      <c r="AD4821">
        <v>-7.0923999999999904E-2</v>
      </c>
      <c r="AE4821">
        <v>-5.18500000000017E-2</v>
      </c>
      <c r="AF4821">
        <v>4.0220927549145899E-2</v>
      </c>
      <c r="AG4821">
        <v>-7.0923999999999904E-2</v>
      </c>
      <c r="AH4821">
        <v>0.545539107957276</v>
      </c>
      <c r="AI4821">
        <v>97.387488214654297</v>
      </c>
      <c r="AJ4821">
        <v>85.783386646789694</v>
      </c>
      <c r="AK4821">
        <v>0.55159845458425105</v>
      </c>
      <c r="AL4821">
        <v>87.203812359814194</v>
      </c>
      <c r="AM4821">
        <v>93.900930338442805</v>
      </c>
      <c r="AN4821">
        <v>0.999999981673942</v>
      </c>
    </row>
    <row r="4822" spans="1:40" x14ac:dyDescent="0.25">
      <c r="A4822" t="str">
        <f>"20190312151412601"</f>
        <v>20190312151412601</v>
      </c>
      <c r="B4822" t="str">
        <f>"1552374852594797"</f>
        <v>1552374852594797</v>
      </c>
      <c r="C4822" t="s">
        <v>40</v>
      </c>
      <c r="D4822">
        <v>4.9166919999999896</v>
      </c>
      <c r="E4822">
        <v>0.54592390000000002</v>
      </c>
      <c r="F4822" t="s">
        <v>41</v>
      </c>
      <c r="G4822">
        <v>-388.44850000000002</v>
      </c>
      <c r="H4822">
        <v>1.0456479999999999</v>
      </c>
      <c r="I4822">
        <v>18.042719999999999</v>
      </c>
      <c r="J4822">
        <v>-388.99779999999998</v>
      </c>
      <c r="K4822">
        <v>1.1108629999999999</v>
      </c>
      <c r="L4822">
        <v>18.094909999999999</v>
      </c>
      <c r="M4822">
        <v>0.99977530000000003</v>
      </c>
      <c r="N4822">
        <v>0</v>
      </c>
      <c r="O4822">
        <v>-1.8471609999999999E-2</v>
      </c>
      <c r="P4822">
        <v>0.99823170000000006</v>
      </c>
      <c r="Q4822">
        <v>3.9504930000000001E-2</v>
      </c>
      <c r="R4822">
        <v>4.4418739999999998E-2</v>
      </c>
      <c r="S4822">
        <v>3.0256349999999999</v>
      </c>
      <c r="T4822">
        <v>-0.25069059999999999</v>
      </c>
      <c r="U4822">
        <v>-0.2115784</v>
      </c>
      <c r="V4822">
        <v>-6.297171E-2</v>
      </c>
      <c r="W4822">
        <v>4.9734880000000002E-2</v>
      </c>
      <c r="X4822">
        <v>0.99677530000000003</v>
      </c>
      <c r="Y4822">
        <v>5.1207129999999997E-2</v>
      </c>
      <c r="Z4822">
        <v>-5.8942360000000004E-4</v>
      </c>
      <c r="AA4822">
        <v>0.99868789999999996</v>
      </c>
      <c r="AB4822">
        <v>26</v>
      </c>
      <c r="AC4822">
        <v>0.54929999999995904</v>
      </c>
      <c r="AD4822">
        <v>-6.5214999999999995E-2</v>
      </c>
      <c r="AE4822">
        <v>-5.2189999999999501E-2</v>
      </c>
      <c r="AF4822">
        <v>4.1454995619745201E-2</v>
      </c>
      <c r="AG4822">
        <v>-6.5214999999999995E-2</v>
      </c>
      <c r="AH4822">
        <v>0.54259077370616204</v>
      </c>
      <c r="AI4822">
        <v>96.833883098577104</v>
      </c>
      <c r="AJ4822">
        <v>85.630978303170195</v>
      </c>
      <c r="AK4822">
        <v>0.54806592723675596</v>
      </c>
      <c r="AL4822">
        <v>87.149225187438702</v>
      </c>
      <c r="AM4822">
        <v>93.614881559316999</v>
      </c>
      <c r="AN4822">
        <v>0.999999996619514</v>
      </c>
    </row>
    <row r="4823" spans="1:40" x14ac:dyDescent="0.25">
      <c r="A4823" t="str">
        <f>"20190312151412623"</f>
        <v>20190312151412623</v>
      </c>
      <c r="B4823" t="str">
        <f>"1552374852615292"</f>
        <v>1552374852615292</v>
      </c>
      <c r="C4823" t="s">
        <v>40</v>
      </c>
      <c r="D4823">
        <v>4.9111390000000004</v>
      </c>
      <c r="E4823">
        <v>0.54552049999999996</v>
      </c>
      <c r="F4823" t="s">
        <v>41</v>
      </c>
      <c r="G4823">
        <v>-388.21510000000001</v>
      </c>
      <c r="H4823">
        <v>1.047336</v>
      </c>
      <c r="I4823">
        <v>18.037420000000001</v>
      </c>
      <c r="J4823">
        <v>-388.74250000000001</v>
      </c>
      <c r="K4823">
        <v>1.1107769999999999</v>
      </c>
      <c r="L4823">
        <v>18.091709999999999</v>
      </c>
      <c r="M4823">
        <v>0.99979850000000003</v>
      </c>
      <c r="N4823">
        <v>0</v>
      </c>
      <c r="O4823">
        <v>-1.7168659999999999E-2</v>
      </c>
      <c r="P4823">
        <v>0.99832430000000005</v>
      </c>
      <c r="Q4823">
        <v>4.0635909999999997E-2</v>
      </c>
      <c r="R4823">
        <v>4.1200689999999998E-2</v>
      </c>
      <c r="S4823">
        <v>3.0248719999999998</v>
      </c>
      <c r="T4823">
        <v>-0.2456623</v>
      </c>
      <c r="U4823">
        <v>-0.2213135</v>
      </c>
      <c r="V4823">
        <v>-5.844854E-2</v>
      </c>
      <c r="W4823">
        <v>5.0885449999999999E-2</v>
      </c>
      <c r="X4823">
        <v>0.99699269999999995</v>
      </c>
      <c r="Y4823">
        <v>5.5708779999999999E-2</v>
      </c>
      <c r="Z4823">
        <v>-8.6544910000000005E-4</v>
      </c>
      <c r="AA4823">
        <v>0.99844670000000002</v>
      </c>
      <c r="AB4823">
        <v>26</v>
      </c>
      <c r="AC4823">
        <v>0.52739999999999998</v>
      </c>
      <c r="AD4823">
        <v>-6.3440999999999997E-2</v>
      </c>
      <c r="AE4823">
        <v>-5.4289999999998097E-2</v>
      </c>
      <c r="AF4823">
        <v>4.4588340655329801E-2</v>
      </c>
      <c r="AG4823">
        <v>-6.3440999999999997E-2</v>
      </c>
      <c r="AH4823">
        <v>0.52079761917298195</v>
      </c>
      <c r="AI4823">
        <v>96.920201586275496</v>
      </c>
      <c r="AJ4823">
        <v>85.106527181283994</v>
      </c>
      <c r="AK4823">
        <v>0.52653873621951297</v>
      </c>
      <c r="AL4823">
        <v>87.0832188075007</v>
      </c>
      <c r="AM4823">
        <v>93.355115864217794</v>
      </c>
      <c r="AN4823">
        <v>1.0000000023515601</v>
      </c>
    </row>
    <row r="4824" spans="1:40" x14ac:dyDescent="0.25">
      <c r="A4824" t="str">
        <f>"20190312151412646"</f>
        <v>20190312151412646</v>
      </c>
      <c r="B4824" t="str">
        <f>"1552374852634812"</f>
        <v>1552374852634812</v>
      </c>
      <c r="C4824" t="s">
        <v>40</v>
      </c>
      <c r="D4824">
        <v>4.9250309999999997</v>
      </c>
      <c r="E4824">
        <v>0.54519839999999997</v>
      </c>
      <c r="F4824" t="s">
        <v>41</v>
      </c>
      <c r="G4824">
        <v>-387.9803</v>
      </c>
      <c r="H4824">
        <v>1.0500430000000001</v>
      </c>
      <c r="I4824">
        <v>18.033799999999999</v>
      </c>
      <c r="J4824">
        <v>-388.47919999999999</v>
      </c>
      <c r="K4824">
        <v>1.110706</v>
      </c>
      <c r="L4824">
        <v>18.088619999999999</v>
      </c>
      <c r="M4824">
        <v>0.99981889999999995</v>
      </c>
      <c r="N4824">
        <v>0</v>
      </c>
      <c r="O4824">
        <v>-1.5936140000000001E-2</v>
      </c>
      <c r="P4824">
        <v>0.99840620000000002</v>
      </c>
      <c r="Q4824">
        <v>4.1932959999999998E-2</v>
      </c>
      <c r="R4824">
        <v>3.7772439999999997E-2</v>
      </c>
      <c r="S4824">
        <v>3.0242309999999999</v>
      </c>
      <c r="T4824">
        <v>-0.24115249999999999</v>
      </c>
      <c r="U4824">
        <v>-0.228241</v>
      </c>
      <c r="V4824">
        <v>-5.378484E-2</v>
      </c>
      <c r="W4824">
        <v>5.2200249999999997E-2</v>
      </c>
      <c r="X4824">
        <v>0.99718720000000005</v>
      </c>
      <c r="Y4824">
        <v>5.921879E-2</v>
      </c>
      <c r="Z4824">
        <v>-1.0872029999999999E-3</v>
      </c>
      <c r="AA4824">
        <v>0.99824449999999998</v>
      </c>
      <c r="AB4824">
        <v>26</v>
      </c>
      <c r="AC4824">
        <v>0.49889999999999102</v>
      </c>
      <c r="AD4824">
        <v>-6.0662999999999898E-2</v>
      </c>
      <c r="AE4824">
        <v>-5.4820000000002901E-2</v>
      </c>
      <c r="AF4824">
        <v>4.6187335171882303E-2</v>
      </c>
      <c r="AG4824">
        <v>-6.0662999999999898E-2</v>
      </c>
      <c r="AH4824">
        <v>0.49251534715465201</v>
      </c>
      <c r="AI4824">
        <v>96.9913722011526</v>
      </c>
      <c r="AJ4824">
        <v>84.6425580242732</v>
      </c>
      <c r="AK4824">
        <v>0.49838201881904498</v>
      </c>
      <c r="AL4824">
        <v>87.0077860182747</v>
      </c>
      <c r="AM4824">
        <v>93.087345300285705</v>
      </c>
      <c r="AN4824">
        <v>0.99999999347886404</v>
      </c>
    </row>
    <row r="4825" spans="1:40" x14ac:dyDescent="0.25">
      <c r="A4825" t="str">
        <f>"20190312151412667"</f>
        <v>20190312151412667</v>
      </c>
      <c r="B4825" t="str">
        <f>"1552374852655308"</f>
        <v>1552374852655308</v>
      </c>
      <c r="C4825" t="s">
        <v>40</v>
      </c>
      <c r="D4825">
        <v>4.887518</v>
      </c>
      <c r="E4825">
        <v>0.54477189999999998</v>
      </c>
      <c r="F4825" t="s">
        <v>41</v>
      </c>
      <c r="G4825">
        <v>-387.52350000000001</v>
      </c>
      <c r="H4825">
        <v>1.0362100000000001</v>
      </c>
      <c r="I4825">
        <v>18.013750000000002</v>
      </c>
      <c r="J4825">
        <v>-388.22590000000002</v>
      </c>
      <c r="K4825">
        <v>1.1106510000000001</v>
      </c>
      <c r="L4825">
        <v>18.085850000000001</v>
      </c>
      <c r="M4825">
        <v>0.99983580000000005</v>
      </c>
      <c r="N4825">
        <v>0</v>
      </c>
      <c r="O4825">
        <v>-1.4839740000000001E-2</v>
      </c>
      <c r="P4825">
        <v>0.99847859999999999</v>
      </c>
      <c r="Q4825">
        <v>4.3015079999999997E-2</v>
      </c>
      <c r="R4825">
        <v>3.4500129999999997E-2</v>
      </c>
      <c r="S4825">
        <v>3.0236510000000001</v>
      </c>
      <c r="T4825">
        <v>-0.23577149999999999</v>
      </c>
      <c r="U4825">
        <v>-0.23632810000000001</v>
      </c>
      <c r="V4825">
        <v>-4.9414020000000003E-2</v>
      </c>
      <c r="W4825">
        <v>5.3302589999999997E-2</v>
      </c>
      <c r="X4825">
        <v>0.99735499999999999</v>
      </c>
      <c r="Y4825">
        <v>6.2973039999999994E-2</v>
      </c>
      <c r="Z4825">
        <v>-1.29425E-3</v>
      </c>
      <c r="AA4825">
        <v>0.99801439999999997</v>
      </c>
      <c r="AB4825">
        <v>26</v>
      </c>
      <c r="AC4825">
        <v>0.70240000000001102</v>
      </c>
      <c r="AD4825">
        <v>-7.4440999999999896E-2</v>
      </c>
      <c r="AE4825">
        <v>-7.2099999999998901E-2</v>
      </c>
      <c r="AF4825">
        <v>6.0990166626287798E-2</v>
      </c>
      <c r="AG4825">
        <v>-7.4440999999999896E-2</v>
      </c>
      <c r="AH4825">
        <v>0.69566049280589004</v>
      </c>
      <c r="AI4825">
        <v>96.084681124508805</v>
      </c>
      <c r="AJ4825">
        <v>84.989557579352194</v>
      </c>
      <c r="AK4825">
        <v>0.70228540078591695</v>
      </c>
      <c r="AL4825">
        <v>86.944538402436294</v>
      </c>
      <c r="AM4825">
        <v>92.836403881849606</v>
      </c>
      <c r="AN4825">
        <v>0.99999995374913297</v>
      </c>
    </row>
    <row r="4826" spans="1:40" x14ac:dyDescent="0.25">
      <c r="A4826" t="str">
        <f>"20190312151412690"</f>
        <v>20190312151412690</v>
      </c>
      <c r="B4826" t="str">
        <f>"1552374852685565"</f>
        <v>1552374852685565</v>
      </c>
      <c r="C4826" t="s">
        <v>40</v>
      </c>
      <c r="D4826">
        <v>5.3016819999999996</v>
      </c>
      <c r="E4826">
        <v>0.54436969999999996</v>
      </c>
      <c r="F4826" t="s">
        <v>41</v>
      </c>
      <c r="G4826">
        <v>-387.28910000000002</v>
      </c>
      <c r="H4826">
        <v>1.038708</v>
      </c>
      <c r="I4826">
        <v>18.01042</v>
      </c>
      <c r="J4826">
        <v>-387.959</v>
      </c>
      <c r="K4826">
        <v>1.110616</v>
      </c>
      <c r="L4826">
        <v>18.083159999999999</v>
      </c>
      <c r="M4826">
        <v>0.99985139999999995</v>
      </c>
      <c r="N4826">
        <v>0</v>
      </c>
      <c r="O4826">
        <v>-1.374569E-2</v>
      </c>
      <c r="P4826">
        <v>0.99852099999999999</v>
      </c>
      <c r="Q4826">
        <v>4.4453600000000003E-2</v>
      </c>
      <c r="R4826">
        <v>3.1302700000000003E-2</v>
      </c>
      <c r="S4826">
        <v>3.02298</v>
      </c>
      <c r="T4826">
        <v>-0.2322246</v>
      </c>
      <c r="U4826">
        <v>-0.24301149999999999</v>
      </c>
      <c r="V4826">
        <v>-4.512174E-2</v>
      </c>
      <c r="W4826">
        <v>5.476197E-2</v>
      </c>
      <c r="X4826">
        <v>0.99747940000000002</v>
      </c>
      <c r="Y4826">
        <v>6.6266039999999998E-2</v>
      </c>
      <c r="Z4826">
        <v>-1.4848680000000001E-3</v>
      </c>
      <c r="AA4826">
        <v>0.99780089999999999</v>
      </c>
      <c r="AB4826">
        <v>26</v>
      </c>
      <c r="AC4826">
        <v>0.66989999999998395</v>
      </c>
      <c r="AD4826">
        <v>-7.1908E-2</v>
      </c>
      <c r="AE4826">
        <v>-7.27399999999995E-2</v>
      </c>
      <c r="AF4826">
        <v>6.2809126421988604E-2</v>
      </c>
      <c r="AG4826">
        <v>-7.1908E-2</v>
      </c>
      <c r="AH4826">
        <v>0.66328321110533295</v>
      </c>
      <c r="AI4826">
        <v>96.160053403186296</v>
      </c>
      <c r="AJ4826">
        <v>84.590547767599304</v>
      </c>
      <c r="AK4826">
        <v>0.67011966465706296</v>
      </c>
      <c r="AL4826">
        <v>86.860799892544605</v>
      </c>
      <c r="AM4826">
        <v>92.590052513776399</v>
      </c>
      <c r="AN4826">
        <v>0.99999999910163395</v>
      </c>
    </row>
    <row r="4827" spans="1:40" x14ac:dyDescent="0.25">
      <c r="A4827" t="str">
        <f>"20190312151412711"</f>
        <v>20190312151412711</v>
      </c>
      <c r="B4827" t="str">
        <f>"1552374852705085"</f>
        <v>1552374852705085</v>
      </c>
      <c r="C4827" t="s">
        <v>40</v>
      </c>
      <c r="D4827">
        <v>4.8852969999999996</v>
      </c>
      <c r="E4827">
        <v>0.53599849999999905</v>
      </c>
      <c r="F4827" t="s">
        <v>41</v>
      </c>
      <c r="G4827">
        <v>-387.0539</v>
      </c>
      <c r="H4827">
        <v>1.0424209999999901</v>
      </c>
      <c r="I4827">
        <v>18.007999999999999</v>
      </c>
      <c r="J4827">
        <v>-387.70479999999998</v>
      </c>
      <c r="K4827">
        <v>1.110595</v>
      </c>
      <c r="L4827">
        <v>18.080780000000001</v>
      </c>
      <c r="M4827">
        <v>0.9998648</v>
      </c>
      <c r="N4827">
        <v>0</v>
      </c>
      <c r="O4827">
        <v>-1.274131E-2</v>
      </c>
      <c r="P4827">
        <v>0.99853020000000003</v>
      </c>
      <c r="Q4827">
        <v>4.6341130000000001E-2</v>
      </c>
      <c r="R4827">
        <v>2.811201E-2</v>
      </c>
      <c r="S4827">
        <v>3.0224299999999999</v>
      </c>
      <c r="T4827">
        <v>-0.22783059999999999</v>
      </c>
      <c r="U4827">
        <v>-0.24981690000000001</v>
      </c>
      <c r="V4827">
        <v>-4.0929029999999998E-2</v>
      </c>
      <c r="W4827">
        <v>5.6667299999999997E-2</v>
      </c>
      <c r="X4827">
        <v>0.99755380000000005</v>
      </c>
      <c r="Y4827">
        <v>6.9508120000000007E-2</v>
      </c>
      <c r="Z4827">
        <v>-1.6542550000000001E-3</v>
      </c>
      <c r="AA4827">
        <v>0.99758000000000002</v>
      </c>
      <c r="AB4827">
        <v>26</v>
      </c>
      <c r="AC4827">
        <v>0.65089999999997805</v>
      </c>
      <c r="AD4827">
        <v>-6.8174000000000096E-2</v>
      </c>
      <c r="AE4827">
        <v>-7.2779999999997999E-2</v>
      </c>
      <c r="AF4827">
        <v>6.3789194342987798E-2</v>
      </c>
      <c r="AG4827">
        <v>-6.8174000000000096E-2</v>
      </c>
      <c r="AH4827">
        <v>0.64478849485974898</v>
      </c>
      <c r="AI4827">
        <v>96.006399134394698</v>
      </c>
      <c r="AJ4827">
        <v>84.350089128490296</v>
      </c>
      <c r="AK4827">
        <v>0.65151282312355696</v>
      </c>
      <c r="AL4827">
        <v>86.751462603633996</v>
      </c>
      <c r="AM4827">
        <v>92.349493436349704</v>
      </c>
      <c r="AN4827">
        <v>0.99999997614023495</v>
      </c>
    </row>
    <row r="4828" spans="1:40" x14ac:dyDescent="0.25">
      <c r="A4828" t="str">
        <f>"20190312151412735"</f>
        <v>20190312151412735</v>
      </c>
      <c r="B4828" t="str">
        <f>"1552374852725584"</f>
        <v>1552374852725584</v>
      </c>
      <c r="C4828" t="s">
        <v>40</v>
      </c>
      <c r="D4828">
        <v>4.9243230000000002</v>
      </c>
      <c r="E4828">
        <v>0.53593859999999904</v>
      </c>
      <c r="F4828" t="s">
        <v>41</v>
      </c>
      <c r="G4828">
        <v>-386.81369999999998</v>
      </c>
      <c r="H4828">
        <v>1.0507489999999999</v>
      </c>
      <c r="I4828">
        <v>18.023540000000001</v>
      </c>
      <c r="J4828">
        <v>-387.44040000000001</v>
      </c>
      <c r="K4828">
        <v>1.1106009999999999</v>
      </c>
      <c r="L4828">
        <v>18.078579999999999</v>
      </c>
      <c r="M4828">
        <v>0.99987700000000002</v>
      </c>
      <c r="N4828">
        <v>0</v>
      </c>
      <c r="O4828">
        <v>-1.1718299999999999E-2</v>
      </c>
      <c r="P4828">
        <v>0.99852399999999997</v>
      </c>
      <c r="Q4828">
        <v>4.811029E-2</v>
      </c>
      <c r="R4828">
        <v>2.52029E-2</v>
      </c>
      <c r="S4828">
        <v>3.0192869999999998</v>
      </c>
      <c r="T4828">
        <v>-0.20282349999999999</v>
      </c>
      <c r="U4828">
        <v>-0.19342039999999999</v>
      </c>
      <c r="V4828">
        <v>-3.700063E-2</v>
      </c>
      <c r="W4828">
        <v>5.8453909999999998E-2</v>
      </c>
      <c r="X4828">
        <v>0.99760420000000005</v>
      </c>
      <c r="Y4828">
        <v>5.2140499999999999E-2</v>
      </c>
      <c r="Z4828">
        <v>-9.6208209999999999E-4</v>
      </c>
      <c r="AA4828">
        <v>0.99863930000000001</v>
      </c>
      <c r="AB4828">
        <v>26</v>
      </c>
      <c r="AC4828">
        <v>0.62670000000002701</v>
      </c>
      <c r="AD4828">
        <v>-5.9852000000000002E-2</v>
      </c>
      <c r="AE4828">
        <v>-5.5039999999998201E-2</v>
      </c>
      <c r="AF4828">
        <v>4.7264170443850902E-2</v>
      </c>
      <c r="AG4828">
        <v>-5.9852000000000002E-2</v>
      </c>
      <c r="AH4828">
        <v>0.62167513654631901</v>
      </c>
      <c r="AI4828">
        <v>95.483495214198996</v>
      </c>
      <c r="AJ4828">
        <v>85.652330688902197</v>
      </c>
      <c r="AK4828">
        <v>0.626335484474279</v>
      </c>
      <c r="AL4828">
        <v>86.648927530096998</v>
      </c>
      <c r="AM4828">
        <v>92.124097549995497</v>
      </c>
      <c r="AN4828">
        <v>1.0000000230361601</v>
      </c>
    </row>
    <row r="4829" spans="1:40" x14ac:dyDescent="0.25">
      <c r="A4829" t="str">
        <f>"20190312151412757"</f>
        <v>20190312151412757</v>
      </c>
      <c r="B4829" t="str">
        <f>"1552374852755837"</f>
        <v>1552374852755837</v>
      </c>
      <c r="C4829" t="s">
        <v>40</v>
      </c>
      <c r="D4829">
        <v>4.8952980000000004</v>
      </c>
      <c r="E4829">
        <v>0.53556179999999998</v>
      </c>
      <c r="F4829" t="s">
        <v>41</v>
      </c>
      <c r="G4829">
        <v>-386.58089999999999</v>
      </c>
      <c r="H4829">
        <v>1.0496030000000001</v>
      </c>
      <c r="I4829">
        <v>18.02092</v>
      </c>
      <c r="J4829">
        <v>-387.16840000000002</v>
      </c>
      <c r="K4829">
        <v>1.110611</v>
      </c>
      <c r="L4829">
        <v>18.07657</v>
      </c>
      <c r="M4829">
        <v>0.99988869999999996</v>
      </c>
      <c r="N4829">
        <v>0</v>
      </c>
      <c r="O4829">
        <v>-1.067066E-2</v>
      </c>
      <c r="P4829">
        <v>0.99848460000000006</v>
      </c>
      <c r="Q4829">
        <v>5.0424620000000003E-2</v>
      </c>
      <c r="R4829">
        <v>2.2048580000000002E-2</v>
      </c>
      <c r="S4829">
        <v>3.0198360000000002</v>
      </c>
      <c r="T4829">
        <v>-0.21440909999999999</v>
      </c>
      <c r="U4829">
        <v>-0.2014465</v>
      </c>
      <c r="V4829">
        <v>-3.2804369999999999E-2</v>
      </c>
      <c r="W4829">
        <v>6.0791489999999997E-2</v>
      </c>
      <c r="X4829">
        <v>0.99761129999999998</v>
      </c>
      <c r="Y4829">
        <v>5.579539E-2</v>
      </c>
      <c r="Z4829">
        <v>-1.2202719999999999E-3</v>
      </c>
      <c r="AA4829">
        <v>0.99844149999999998</v>
      </c>
      <c r="AB4829">
        <v>26</v>
      </c>
      <c r="AC4829">
        <v>0.587500000000034</v>
      </c>
      <c r="AD4829">
        <v>-6.1007999999999903E-2</v>
      </c>
      <c r="AE4829">
        <v>-5.5649999999999901E-2</v>
      </c>
      <c r="AF4829">
        <v>4.8855333529382497E-2</v>
      </c>
      <c r="AG4829">
        <v>-6.1007999999999903E-2</v>
      </c>
      <c r="AH4829">
        <v>0.58184193312431198</v>
      </c>
      <c r="AI4829">
        <v>95.964936101339305</v>
      </c>
      <c r="AJ4829">
        <v>85.200322558391505</v>
      </c>
      <c r="AK4829">
        <v>0.58706801549744103</v>
      </c>
      <c r="AL4829">
        <v>86.514755325193605</v>
      </c>
      <c r="AM4829">
        <v>91.883373760088602</v>
      </c>
      <c r="AN4829">
        <v>1.0000000189175999</v>
      </c>
    </row>
    <row r="4830" spans="1:40" x14ac:dyDescent="0.25">
      <c r="A4830" t="str">
        <f>"20190312151412781"</f>
        <v>20190312151412781</v>
      </c>
      <c r="B4830" t="str">
        <f>"1552374852775357"</f>
        <v>1552374852775357</v>
      </c>
      <c r="C4830" t="s">
        <v>40</v>
      </c>
      <c r="D4830">
        <v>4.9348169999999998</v>
      </c>
      <c r="E4830">
        <v>0.53530999999999995</v>
      </c>
      <c r="F4830" t="s">
        <v>41</v>
      </c>
      <c r="G4830">
        <v>-386.34559999999999</v>
      </c>
      <c r="H4830">
        <v>1.05094</v>
      </c>
      <c r="I4830">
        <v>18.019860000000001</v>
      </c>
      <c r="J4830">
        <v>-386.89890000000003</v>
      </c>
      <c r="K4830">
        <v>1.1106290000000001</v>
      </c>
      <c r="L4830">
        <v>18.074860000000001</v>
      </c>
      <c r="M4830">
        <v>0.99989890000000003</v>
      </c>
      <c r="N4830">
        <v>0</v>
      </c>
      <c r="O4830">
        <v>-9.6247680000000006E-3</v>
      </c>
      <c r="P4830">
        <v>0.99844440000000001</v>
      </c>
      <c r="Q4830">
        <v>5.2263410000000003E-2</v>
      </c>
      <c r="R4830">
        <v>1.942516E-2</v>
      </c>
      <c r="S4830">
        <v>3.020203</v>
      </c>
      <c r="T4830">
        <v>-0.2191052</v>
      </c>
      <c r="U4830">
        <v>-0.20761109999999999</v>
      </c>
      <c r="V4830">
        <v>-2.9140300000000001E-2</v>
      </c>
      <c r="W4830">
        <v>6.2654260000000003E-2</v>
      </c>
      <c r="X4830">
        <v>0.99760979999999999</v>
      </c>
      <c r="Y4830">
        <v>5.884441E-2</v>
      </c>
      <c r="Z4830">
        <v>-1.432694E-3</v>
      </c>
      <c r="AA4830">
        <v>0.99826619999999999</v>
      </c>
      <c r="AB4830">
        <v>26</v>
      </c>
      <c r="AC4830">
        <v>0.55330000000003499</v>
      </c>
      <c r="AD4830">
        <v>-5.9689000000000103E-2</v>
      </c>
      <c r="AE4830">
        <v>-5.4999999999999702E-2</v>
      </c>
      <c r="AF4830">
        <v>4.9105888146340898E-2</v>
      </c>
      <c r="AG4830">
        <v>-5.9689000000000103E-2</v>
      </c>
      <c r="AH4830">
        <v>0.547494523462285</v>
      </c>
      <c r="AI4830">
        <v>96.197249940533197</v>
      </c>
      <c r="AJ4830">
        <v>84.874740259569606</v>
      </c>
      <c r="AK4830">
        <v>0.55292351929795402</v>
      </c>
      <c r="AL4830">
        <v>86.407822545900203</v>
      </c>
      <c r="AM4830">
        <v>91.673140731572502</v>
      </c>
      <c r="AN4830">
        <v>1.0000000132181299</v>
      </c>
    </row>
    <row r="4831" spans="1:40" x14ac:dyDescent="0.25">
      <c r="A4831" t="str">
        <f>"20190312151412801"</f>
        <v>20190312151412801</v>
      </c>
      <c r="B4831" t="str">
        <f>"1552374852795853"</f>
        <v>1552374852795853</v>
      </c>
      <c r="C4831" t="s">
        <v>40</v>
      </c>
      <c r="D4831">
        <v>4.9260710000000003</v>
      </c>
      <c r="E4831">
        <v>0.53505100000000005</v>
      </c>
      <c r="F4831" t="s">
        <v>41</v>
      </c>
      <c r="G4831">
        <v>-386.10919999999999</v>
      </c>
      <c r="H4831">
        <v>1.0534330000000001</v>
      </c>
      <c r="I4831">
        <v>18.018750000000001</v>
      </c>
      <c r="J4831">
        <v>-386.65410000000003</v>
      </c>
      <c r="K4831">
        <v>1.1106450000000001</v>
      </c>
      <c r="L4831">
        <v>18.073519999999998</v>
      </c>
      <c r="M4831">
        <v>0.99990769999999995</v>
      </c>
      <c r="N4831">
        <v>0</v>
      </c>
      <c r="O4831">
        <v>-8.6632489999999996E-3</v>
      </c>
      <c r="P4831">
        <v>0.99841930000000001</v>
      </c>
      <c r="Q4831">
        <v>5.3611319999999997E-2</v>
      </c>
      <c r="R4831">
        <v>1.687516E-2</v>
      </c>
      <c r="S4831">
        <v>3.0202939999999998</v>
      </c>
      <c r="T4831">
        <v>-0.21879889999999999</v>
      </c>
      <c r="U4831">
        <v>-0.213562</v>
      </c>
      <c r="V4831">
        <v>-2.5633429999999999E-2</v>
      </c>
      <c r="W4831">
        <v>6.4023849999999993E-2</v>
      </c>
      <c r="X4831">
        <v>0.99761909999999998</v>
      </c>
      <c r="Y4831">
        <v>6.1749720000000001E-2</v>
      </c>
      <c r="Z4831">
        <v>-1.604992E-3</v>
      </c>
      <c r="AA4831">
        <v>0.99809040000000004</v>
      </c>
      <c r="AB4831">
        <v>26</v>
      </c>
      <c r="AC4831">
        <v>0.54490000000004102</v>
      </c>
      <c r="AD4831">
        <v>-5.7211999999999999E-2</v>
      </c>
      <c r="AE4831">
        <v>-5.4770000000001297E-2</v>
      </c>
      <c r="AF4831">
        <v>4.9506775716276603E-2</v>
      </c>
      <c r="AG4831">
        <v>-5.7211999999999999E-2</v>
      </c>
      <c r="AH4831">
        <v>0.53946644658980902</v>
      </c>
      <c r="AI4831">
        <v>96.028612591451207</v>
      </c>
      <c r="AJ4831">
        <v>84.756659087575699</v>
      </c>
      <c r="AK4831">
        <v>0.54474597821558701</v>
      </c>
      <c r="AL4831">
        <v>86.329192872812797</v>
      </c>
      <c r="AM4831">
        <v>91.4718686380657</v>
      </c>
      <c r="AN4831">
        <v>0.99999999739359802</v>
      </c>
    </row>
    <row r="4832" spans="1:40" x14ac:dyDescent="0.25">
      <c r="A4832" t="str">
        <f>"20190312151412824"</f>
        <v>20190312151412824</v>
      </c>
      <c r="B4832" t="str">
        <f>"1552374852815376"</f>
        <v>1552374852815376</v>
      </c>
      <c r="C4832" t="s">
        <v>40</v>
      </c>
      <c r="D4832">
        <v>4.8531009999999997</v>
      </c>
      <c r="E4832">
        <v>0.53529309999999997</v>
      </c>
      <c r="F4832" t="s">
        <v>41</v>
      </c>
      <c r="G4832">
        <v>-385.87380000000002</v>
      </c>
      <c r="H4832">
        <v>1.054529</v>
      </c>
      <c r="I4832">
        <v>18.016749999999998</v>
      </c>
      <c r="J4832">
        <v>-386.39249999999998</v>
      </c>
      <c r="K4832">
        <v>1.1106590000000001</v>
      </c>
      <c r="L4832">
        <v>18.072389999999999</v>
      </c>
      <c r="M4832">
        <v>0.99991589999999997</v>
      </c>
      <c r="N4832">
        <v>0</v>
      </c>
      <c r="O4832">
        <v>-7.6241219999999997E-3</v>
      </c>
      <c r="P4832">
        <v>0.99838170000000004</v>
      </c>
      <c r="Q4832">
        <v>5.5138010000000001E-2</v>
      </c>
      <c r="R4832">
        <v>1.3915240000000001E-2</v>
      </c>
      <c r="S4832">
        <v>3.0201419999999999</v>
      </c>
      <c r="T4832">
        <v>-0.217254</v>
      </c>
      <c r="U4832">
        <v>-0.2191467</v>
      </c>
      <c r="V4832">
        <v>-2.1639909999999998E-2</v>
      </c>
      <c r="W4832">
        <v>6.5572679999999994E-2</v>
      </c>
      <c r="X4832">
        <v>0.99761310000000003</v>
      </c>
      <c r="Y4832">
        <v>6.4618330000000002E-2</v>
      </c>
      <c r="Z4832">
        <v>-1.7711210000000001E-3</v>
      </c>
      <c r="AA4832">
        <v>0.99790849999999998</v>
      </c>
      <c r="AB4832">
        <v>26</v>
      </c>
      <c r="AC4832">
        <v>0.51869999999996697</v>
      </c>
      <c r="AD4832">
        <v>-5.6129999999999999E-2</v>
      </c>
      <c r="AE4832">
        <v>-5.56400000000003E-2</v>
      </c>
      <c r="AF4832">
        <v>5.1092049979816902E-2</v>
      </c>
      <c r="AG4832">
        <v>-5.6129999999999999E-2</v>
      </c>
      <c r="AH4832">
        <v>0.51316830011014403</v>
      </c>
      <c r="AI4832">
        <v>96.211689778624105</v>
      </c>
      <c r="AJ4832">
        <v>84.314256380706297</v>
      </c>
      <c r="AK4832">
        <v>0.51875107586305302</v>
      </c>
      <c r="AL4832">
        <v>86.240264481493597</v>
      </c>
      <c r="AM4832">
        <v>91.242647175576295</v>
      </c>
      <c r="AN4832">
        <v>0.99999997967940002</v>
      </c>
    </row>
    <row r="4833" spans="1:40" x14ac:dyDescent="0.25">
      <c r="A4833" t="str">
        <f>"20190312151412848"</f>
        <v>20190312151412848</v>
      </c>
      <c r="B4833" t="str">
        <f>"1552374852845629"</f>
        <v>1552374852845629</v>
      </c>
      <c r="C4833" t="s">
        <v>40</v>
      </c>
      <c r="D4833">
        <v>4.8432079999999997</v>
      </c>
      <c r="E4833">
        <v>0.53528199999999904</v>
      </c>
      <c r="F4833" t="s">
        <v>62</v>
      </c>
      <c r="G4833">
        <v>-370.18349999999998</v>
      </c>
      <c r="H4833" s="1">
        <v>-5.1135509999999998E-6</v>
      </c>
      <c r="I4833">
        <v>16.838470000000001</v>
      </c>
      <c r="J4833">
        <v>-386.11320000000001</v>
      </c>
      <c r="K4833">
        <v>1.110673</v>
      </c>
      <c r="L4833">
        <v>18.0715</v>
      </c>
      <c r="M4833">
        <v>0.99992380000000003</v>
      </c>
      <c r="N4833">
        <v>0</v>
      </c>
      <c r="O4833">
        <v>-6.5047730000000002E-3</v>
      </c>
      <c r="P4833">
        <v>0.99829009999999996</v>
      </c>
      <c r="Q4833">
        <v>5.7453589999999999E-2</v>
      </c>
      <c r="R4833">
        <v>1.078077E-2</v>
      </c>
      <c r="S4833">
        <v>3.0194700000000001</v>
      </c>
      <c r="T4833">
        <v>-0.206898</v>
      </c>
      <c r="U4833">
        <v>-0.22985839999999999</v>
      </c>
      <c r="V4833">
        <v>-1.7392339999999999E-2</v>
      </c>
      <c r="W4833">
        <v>6.7910659999999998E-2</v>
      </c>
      <c r="X4833">
        <v>0.99753979999999998</v>
      </c>
      <c r="Y4833">
        <v>6.92715E-2</v>
      </c>
      <c r="Z4833">
        <v>-1.9225480000000001E-3</v>
      </c>
      <c r="AA4833">
        <v>0.99759600000000004</v>
      </c>
      <c r="AB4833">
        <v>26</v>
      </c>
      <c r="AC4833">
        <v>15.9297</v>
      </c>
      <c r="AD4833">
        <v>-1.110678113551</v>
      </c>
      <c r="AE4833">
        <v>-1.2330299999999901</v>
      </c>
      <c r="AF4833">
        <v>1.12394770880975</v>
      </c>
      <c r="AG4833">
        <v>-1.110678113551</v>
      </c>
      <c r="AH4833">
        <v>15.860737824397299</v>
      </c>
      <c r="AI4833">
        <v>93.995718617300199</v>
      </c>
      <c r="AJ4833">
        <v>85.9465952433723</v>
      </c>
      <c r="AK4833">
        <v>15.939255586705601</v>
      </c>
      <c r="AL4833">
        <v>86.106008796228295</v>
      </c>
      <c r="AM4833">
        <v>90.998864126537597</v>
      </c>
      <c r="AN4833">
        <v>1.0000000019081701</v>
      </c>
    </row>
    <row r="4834" spans="1:40" x14ac:dyDescent="0.25">
      <c r="A4834" t="str">
        <f>"20190312151412870"</f>
        <v>20190312151412870</v>
      </c>
      <c r="B4834" t="str">
        <f>"1552374852865149"</f>
        <v>1552374852865149</v>
      </c>
      <c r="C4834" t="s">
        <v>40</v>
      </c>
      <c r="D4834">
        <v>4.8782540000000001</v>
      </c>
      <c r="E4834">
        <v>0.53516660000000005</v>
      </c>
      <c r="F4834" t="s">
        <v>41</v>
      </c>
      <c r="G4834">
        <v>-385.1739</v>
      </c>
      <c r="H4834">
        <v>1.0494920000000001</v>
      </c>
      <c r="I4834">
        <v>17.996979999999901</v>
      </c>
      <c r="J4834">
        <v>-385.86090000000002</v>
      </c>
      <c r="K4834">
        <v>1.110695</v>
      </c>
      <c r="L4834">
        <v>18.07095</v>
      </c>
      <c r="M4834">
        <v>0.99992970000000003</v>
      </c>
      <c r="N4834">
        <v>0</v>
      </c>
      <c r="O4834">
        <v>-5.4885400000000001E-3</v>
      </c>
      <c r="P4834">
        <v>0.9981795</v>
      </c>
      <c r="Q4834">
        <v>5.9854230000000001E-2</v>
      </c>
      <c r="R4834">
        <v>7.438549E-3</v>
      </c>
      <c r="S4834">
        <v>3.0190429999999999</v>
      </c>
      <c r="T4834">
        <v>-0.196654</v>
      </c>
      <c r="U4834">
        <v>-0.23886109999999999</v>
      </c>
      <c r="V4834">
        <v>-1.3040049999999999E-2</v>
      </c>
      <c r="W4834">
        <v>7.0331459999999998E-2</v>
      </c>
      <c r="X4834">
        <v>0.99743839999999995</v>
      </c>
      <c r="Y4834">
        <v>7.3256050000000003E-2</v>
      </c>
      <c r="Z4834">
        <v>-2.023062E-3</v>
      </c>
      <c r="AA4834">
        <v>0.99731110000000001</v>
      </c>
      <c r="AB4834">
        <v>26</v>
      </c>
      <c r="AC4834">
        <v>0.68700000000001105</v>
      </c>
      <c r="AD4834">
        <v>-6.1202999999999903E-2</v>
      </c>
      <c r="AE4834">
        <v>-7.39700000000027E-2</v>
      </c>
      <c r="AF4834">
        <v>6.96515919963379E-2</v>
      </c>
      <c r="AG4834">
        <v>-6.1202999999999903E-2</v>
      </c>
      <c r="AH4834">
        <v>0.68204461233122604</v>
      </c>
      <c r="AI4834">
        <v>95.101289812633695</v>
      </c>
      <c r="AJ4834">
        <v>84.169068419357302</v>
      </c>
      <c r="AK4834">
        <v>0.68831824375551498</v>
      </c>
      <c r="AL4834">
        <v>85.966974436603394</v>
      </c>
      <c r="AM4834">
        <v>90.749015946848004</v>
      </c>
      <c r="AN4834">
        <v>0.99999995948214604</v>
      </c>
    </row>
    <row r="4835" spans="1:40" x14ac:dyDescent="0.25">
      <c r="A4835" t="str">
        <f>"20190312151412893"</f>
        <v>20190312151412893</v>
      </c>
      <c r="B4835" t="str">
        <f>"1552374852885645"</f>
        <v>1552374852885645</v>
      </c>
      <c r="C4835" t="s">
        <v>40</v>
      </c>
      <c r="D4835">
        <v>5.1579560000000004</v>
      </c>
      <c r="E4835">
        <v>0.53570569999999995</v>
      </c>
      <c r="F4835" t="s">
        <v>41</v>
      </c>
      <c r="G4835">
        <v>-384.9357</v>
      </c>
      <c r="H4835">
        <v>1.052689</v>
      </c>
      <c r="I4835">
        <v>17.994969999999999</v>
      </c>
      <c r="J4835">
        <v>-385.58510000000001</v>
      </c>
      <c r="K4835">
        <v>1.1107119999999999</v>
      </c>
      <c r="L4835">
        <v>18.070650000000001</v>
      </c>
      <c r="M4835">
        <v>0.99993509999999997</v>
      </c>
      <c r="N4835">
        <v>0</v>
      </c>
      <c r="O4835">
        <v>-4.375393E-3</v>
      </c>
      <c r="P4835">
        <v>0.99803410000000004</v>
      </c>
      <c r="Q4835">
        <v>6.25724E-2</v>
      </c>
      <c r="R4835">
        <v>3.6018209999999998E-3</v>
      </c>
      <c r="S4835">
        <v>3.0186769999999998</v>
      </c>
      <c r="T4835">
        <v>-0.18923139999999999</v>
      </c>
      <c r="U4835">
        <v>-0.24783330000000001</v>
      </c>
      <c r="V4835">
        <v>-8.0976139999999995E-3</v>
      </c>
      <c r="W4835">
        <v>7.3070019999999999E-2</v>
      </c>
      <c r="X4835">
        <v>0.99729389999999996</v>
      </c>
      <c r="Y4835">
        <v>7.7320700000000006E-2</v>
      </c>
      <c r="Z4835">
        <v>-2.1435120000000002E-3</v>
      </c>
      <c r="AA4835">
        <v>0.997004</v>
      </c>
      <c r="AB4835">
        <v>26</v>
      </c>
      <c r="AC4835">
        <v>0.64940000000001397</v>
      </c>
      <c r="AD4835">
        <v>-5.8023000000000102E-2</v>
      </c>
      <c r="AE4835">
        <v>-7.5679999999998401E-2</v>
      </c>
      <c r="AF4835">
        <v>7.2268535958389002E-2</v>
      </c>
      <c r="AG4835">
        <v>-5.8023000000000102E-2</v>
      </c>
      <c r="AH4835">
        <v>0.64464755220020498</v>
      </c>
      <c r="AI4835">
        <v>95.111333493448498</v>
      </c>
      <c r="AJ4835">
        <v>83.603534953690001</v>
      </c>
      <c r="AK4835">
        <v>0.65127557637015998</v>
      </c>
      <c r="AL4835">
        <v>85.809661563400297</v>
      </c>
      <c r="AM4835">
        <v>90.465207809666694</v>
      </c>
      <c r="AN4835">
        <v>0.99999996107625</v>
      </c>
    </row>
    <row r="4836" spans="1:40" x14ac:dyDescent="0.25">
      <c r="A4836" t="str">
        <f>"20190312151412914"</f>
        <v>20190312151412914</v>
      </c>
      <c r="B4836" t="str">
        <f>"1552374852905164"</f>
        <v>1552374852905164</v>
      </c>
      <c r="C4836" t="s">
        <v>40</v>
      </c>
      <c r="D4836">
        <v>4.5448639999999996</v>
      </c>
      <c r="E4836">
        <v>0.53739579999999998</v>
      </c>
      <c r="F4836" t="s">
        <v>63</v>
      </c>
      <c r="G4836">
        <v>-367.29309999999998</v>
      </c>
      <c r="H4836" s="1">
        <v>-1.8760300000000001E-6</v>
      </c>
      <c r="I4836">
        <v>16.47401</v>
      </c>
      <c r="J4836">
        <v>-385.33109999999999</v>
      </c>
      <c r="K4836">
        <v>1.1107320000000001</v>
      </c>
      <c r="L4836">
        <v>18.070679999999999</v>
      </c>
      <c r="M4836">
        <v>0.99993880000000002</v>
      </c>
      <c r="N4836">
        <v>0</v>
      </c>
      <c r="O4836">
        <v>-3.3504580000000002E-3</v>
      </c>
      <c r="P4836">
        <v>0.99781730000000002</v>
      </c>
      <c r="Q4836">
        <v>6.6038639999999996E-2</v>
      </c>
      <c r="R4836">
        <v>1.446505E-4</v>
      </c>
      <c r="S4836">
        <v>3.0183409999999999</v>
      </c>
      <c r="T4836">
        <v>-0.1832772</v>
      </c>
      <c r="U4836">
        <v>-0.26345829999999998</v>
      </c>
      <c r="V4836">
        <v>-3.6240809999999999E-3</v>
      </c>
      <c r="W4836">
        <v>7.6552590000000004E-2</v>
      </c>
      <c r="X4836">
        <v>0.99705900000000003</v>
      </c>
      <c r="Y4836">
        <v>8.3470279999999994E-2</v>
      </c>
      <c r="Z4836">
        <v>-2.3242089999999998E-3</v>
      </c>
      <c r="AA4836">
        <v>0.99650760000000005</v>
      </c>
      <c r="AB4836">
        <v>26</v>
      </c>
      <c r="AC4836">
        <v>18.038</v>
      </c>
      <c r="AD4836">
        <v>-1.1107338760299901</v>
      </c>
      <c r="AE4836">
        <v>-1.59666999999999</v>
      </c>
      <c r="AF4836">
        <v>1.53046404736669</v>
      </c>
      <c r="AG4836">
        <v>-1.1107338760299901</v>
      </c>
      <c r="AH4836">
        <v>17.975618900870401</v>
      </c>
      <c r="AI4836">
        <v>93.523161228348997</v>
      </c>
      <c r="AJ4836">
        <v>85.133510476941794</v>
      </c>
      <c r="AK4836">
        <v>18.074814655010201</v>
      </c>
      <c r="AL4836">
        <v>85.609564510882606</v>
      </c>
      <c r="AM4836">
        <v>90.208256112712206</v>
      </c>
      <c r="AN4836">
        <v>1.0000000412398999</v>
      </c>
    </row>
    <row r="4837" spans="1:40" x14ac:dyDescent="0.25">
      <c r="A4837" t="str">
        <f>"20190312151412958"</f>
        <v>20190312151412958</v>
      </c>
      <c r="B4837" t="str">
        <f>"1552374852954940"</f>
        <v>1552374852954940</v>
      </c>
      <c r="C4837" t="s">
        <v>40</v>
      </c>
      <c r="D4837">
        <v>4.9217430000000002</v>
      </c>
      <c r="E4837">
        <v>0.4924867</v>
      </c>
      <c r="F4837" t="s">
        <v>41</v>
      </c>
      <c r="G4837">
        <v>-384.50869999999998</v>
      </c>
      <c r="H4837">
        <v>0.96745360000000002</v>
      </c>
      <c r="I4837">
        <v>17.995799999999999</v>
      </c>
      <c r="J4837">
        <v>-384.81310000000002</v>
      </c>
      <c r="K4837">
        <v>1.1107549999999999</v>
      </c>
      <c r="L4837">
        <v>18.071470000000001</v>
      </c>
      <c r="M4837">
        <v>0.99994340000000004</v>
      </c>
      <c r="N4837">
        <v>0</v>
      </c>
      <c r="O4837">
        <v>-1.2756289999999999E-3</v>
      </c>
      <c r="P4837">
        <v>0.99738570000000004</v>
      </c>
      <c r="Q4837">
        <v>7.2075260000000002E-2</v>
      </c>
      <c r="R4837">
        <v>-5.1913200000000001E-3</v>
      </c>
      <c r="S4837">
        <v>3.0416259999999999</v>
      </c>
      <c r="T4837">
        <v>-0.52983139999999995</v>
      </c>
      <c r="U4837">
        <v>-0.27722170000000002</v>
      </c>
      <c r="V4837">
        <v>3.7720779999999999E-3</v>
      </c>
      <c r="W4837">
        <v>8.2617720000000006E-2</v>
      </c>
      <c r="X4837">
        <v>0.99657419999999997</v>
      </c>
      <c r="Y4837">
        <v>8.8197719999999993E-2</v>
      </c>
      <c r="Z4837">
        <v>-7.3888000000000001E-3</v>
      </c>
      <c r="AA4837">
        <v>0.99607559999999995</v>
      </c>
      <c r="AB4837">
        <v>26</v>
      </c>
      <c r="AC4837">
        <v>0.30440000000004303</v>
      </c>
      <c r="AD4837">
        <v>-0.143301399999999</v>
      </c>
      <c r="AE4837">
        <v>-7.5670000000002305E-2</v>
      </c>
      <c r="AF4837">
        <v>6.22819340514797E-2</v>
      </c>
      <c r="AG4837">
        <v>-0.143301399999999</v>
      </c>
      <c r="AH4837">
        <v>0.25191565614007499</v>
      </c>
      <c r="AI4837">
        <v>118.90835871377099</v>
      </c>
      <c r="AJ4837">
        <v>76.113049953918406</v>
      </c>
      <c r="AK4837">
        <v>0.29643857434490101</v>
      </c>
      <c r="AL4837">
        <v>85.260951781628293</v>
      </c>
      <c r="AM4837">
        <v>89.783133942964199</v>
      </c>
      <c r="AN4837">
        <v>1.00000002616803</v>
      </c>
    </row>
    <row r="4838" spans="1:40" x14ac:dyDescent="0.25">
      <c r="A4838" t="str">
        <f>"20190312151412994"</f>
        <v>20190312151412994</v>
      </c>
      <c r="B4838" t="str">
        <f>"1552374852985197"</f>
        <v>1552374852985197</v>
      </c>
      <c r="C4838" t="s">
        <v>40</v>
      </c>
      <c r="D4838">
        <v>4.8819749999999997</v>
      </c>
      <c r="E4838">
        <v>0.48779050000000002</v>
      </c>
      <c r="F4838" t="s">
        <v>42</v>
      </c>
      <c r="G4838">
        <v>-348.61829999999998</v>
      </c>
      <c r="H4838" s="1">
        <v>-7.3596149999999896E-7</v>
      </c>
      <c r="I4838">
        <v>18.709250000000001</v>
      </c>
      <c r="J4838">
        <v>-384.39400000000001</v>
      </c>
      <c r="K4838">
        <v>1.1107370000000001</v>
      </c>
      <c r="L4838">
        <v>18.072849999999999</v>
      </c>
      <c r="M4838">
        <v>0.99994419999999995</v>
      </c>
      <c r="N4838">
        <v>0</v>
      </c>
      <c r="O4838">
        <v>3.4171780000000001E-4</v>
      </c>
      <c r="P4838">
        <v>0.99719979999999997</v>
      </c>
      <c r="Q4838">
        <v>7.4344389999999996E-2</v>
      </c>
      <c r="R4838">
        <v>-8.0959589999999998E-3</v>
      </c>
      <c r="S4838">
        <v>3.0148619999999999</v>
      </c>
      <c r="T4838">
        <v>-9.2520829999999998E-2</v>
      </c>
      <c r="U4838">
        <v>5.3131100000000001E-2</v>
      </c>
      <c r="V4838">
        <v>8.2905119999999999E-3</v>
      </c>
      <c r="W4838">
        <v>8.4888530000000004E-2</v>
      </c>
      <c r="X4838">
        <v>0.99635600000000002</v>
      </c>
      <c r="Y4838">
        <v>-1.7270669999999998E-2</v>
      </c>
      <c r="Z4838">
        <v>2.5443649999999998E-4</v>
      </c>
      <c r="AA4838">
        <v>0.99985080000000004</v>
      </c>
      <c r="AB4838">
        <v>26</v>
      </c>
      <c r="AC4838">
        <v>35.775700000000001</v>
      </c>
      <c r="AD4838">
        <v>-1.1107377359615001</v>
      </c>
      <c r="AE4838">
        <v>0.63640000000000096</v>
      </c>
      <c r="AF4838">
        <v>-0.62357319531823197</v>
      </c>
      <c r="AG4838">
        <v>-1.1107377359615001</v>
      </c>
      <c r="AH4838">
        <v>35.741473910583899</v>
      </c>
      <c r="AI4838">
        <v>91.779737305306696</v>
      </c>
      <c r="AJ4838">
        <v>90.999524752970402</v>
      </c>
      <c r="AK4838">
        <v>35.7641655732236</v>
      </c>
      <c r="AL4838">
        <v>85.130385238553899</v>
      </c>
      <c r="AM4838">
        <v>89.523262382734998</v>
      </c>
      <c r="AN4838">
        <v>1.0000000369253901</v>
      </c>
    </row>
    <row r="4839" spans="1:40" x14ac:dyDescent="0.25">
      <c r="A4839" t="str">
        <f>"20190312151413014"</f>
        <v>20190312151413014</v>
      </c>
      <c r="B4839" t="str">
        <f>"1552374853005693"</f>
        <v>1552374853005693</v>
      </c>
      <c r="C4839" t="s">
        <v>40</v>
      </c>
      <c r="D4839">
        <v>4.8861540000000003</v>
      </c>
      <c r="E4839">
        <v>0.48710720000000002</v>
      </c>
      <c r="F4839" t="s">
        <v>42</v>
      </c>
      <c r="G4839">
        <v>-353.05059999999997</v>
      </c>
      <c r="H4839" s="1">
        <v>-3.0848999999999999E-6</v>
      </c>
      <c r="I4839">
        <v>18.93225</v>
      </c>
      <c r="J4839">
        <v>-384.14940000000001</v>
      </c>
      <c r="K4839">
        <v>1.1107100000000001</v>
      </c>
      <c r="L4839">
        <v>18.07394</v>
      </c>
      <c r="M4839">
        <v>0.99994369999999999</v>
      </c>
      <c r="N4839">
        <v>0</v>
      </c>
      <c r="O4839">
        <v>1.240908E-3</v>
      </c>
      <c r="P4839">
        <v>0.99709709999999996</v>
      </c>
      <c r="Q4839">
        <v>7.5638529999999995E-2</v>
      </c>
      <c r="R4839">
        <v>-8.7582739999999999E-3</v>
      </c>
      <c r="S4839">
        <v>3.0170590000000002</v>
      </c>
      <c r="T4839">
        <v>-0.1069181</v>
      </c>
      <c r="U4839">
        <v>8.2733150000000005E-2</v>
      </c>
      <c r="V4839">
        <v>9.8522039999999998E-3</v>
      </c>
      <c r="W4839">
        <v>8.6171269999999994E-2</v>
      </c>
      <c r="X4839">
        <v>0.99623159999999999</v>
      </c>
      <c r="Y4839">
        <v>-2.6155319999999999E-2</v>
      </c>
      <c r="Z4839">
        <v>4.1925650000000002E-4</v>
      </c>
      <c r="AA4839">
        <v>0.99965780000000004</v>
      </c>
      <c r="AB4839">
        <v>26</v>
      </c>
      <c r="AC4839">
        <v>31.098800000000001</v>
      </c>
      <c r="AD4839">
        <v>-1.1107130849</v>
      </c>
      <c r="AE4839">
        <v>0.85830999999999902</v>
      </c>
      <c r="AF4839">
        <v>-0.81867293717308898</v>
      </c>
      <c r="AG4839">
        <v>-1.1107130849</v>
      </c>
      <c r="AH4839">
        <v>31.060250715150101</v>
      </c>
      <c r="AI4839">
        <v>92.047311228734998</v>
      </c>
      <c r="AJ4839">
        <v>91.509828324724793</v>
      </c>
      <c r="AK4839">
        <v>31.090884249615801</v>
      </c>
      <c r="AL4839">
        <v>85.056619044796093</v>
      </c>
      <c r="AM4839">
        <v>89.433393493533501</v>
      </c>
      <c r="AN4839">
        <v>0.99999997726781498</v>
      </c>
    </row>
    <row r="4840" spans="1:40" x14ac:dyDescent="0.25">
      <c r="A4840" t="str">
        <f>"20190312151413035"</f>
        <v>20190312151413035</v>
      </c>
      <c r="B4840" t="str">
        <f>"1552374853025226"</f>
        <v>1552374853025226</v>
      </c>
      <c r="C4840" t="s">
        <v>40</v>
      </c>
      <c r="D4840">
        <v>4.88178</v>
      </c>
      <c r="E4840">
        <v>0.48566480000000001</v>
      </c>
      <c r="F4840" t="s">
        <v>42</v>
      </c>
      <c r="G4840">
        <v>-357.64280000000002</v>
      </c>
      <c r="H4840" s="1">
        <v>-1.1326669999999999E-6</v>
      </c>
      <c r="I4840">
        <v>18.83184</v>
      </c>
      <c r="J4840">
        <v>-383.89490000000001</v>
      </c>
      <c r="K4840">
        <v>1.110673</v>
      </c>
      <c r="L4840">
        <v>18.075289999999999</v>
      </c>
      <c r="M4840">
        <v>0.99994240000000001</v>
      </c>
      <c r="N4840">
        <v>0</v>
      </c>
      <c r="O4840">
        <v>2.131614E-3</v>
      </c>
      <c r="P4840">
        <v>0.99710270000000001</v>
      </c>
      <c r="Q4840">
        <v>7.5686130000000004E-2</v>
      </c>
      <c r="R4840">
        <v>-7.6164509999999998E-3</v>
      </c>
      <c r="S4840">
        <v>3.019104</v>
      </c>
      <c r="T4840">
        <v>-0.1265106</v>
      </c>
      <c r="U4840">
        <v>8.6334229999999998E-2</v>
      </c>
      <c r="V4840">
        <v>9.6058340000000006E-3</v>
      </c>
      <c r="W4840">
        <v>8.6202609999999999E-2</v>
      </c>
      <c r="X4840">
        <v>0.99623130000000004</v>
      </c>
      <c r="Y4840">
        <v>-2.643206E-2</v>
      </c>
      <c r="Z4840">
        <v>4.6417160000000003E-4</v>
      </c>
      <c r="AA4840">
        <v>0.9996505</v>
      </c>
      <c r="AB4840">
        <v>27</v>
      </c>
      <c r="AC4840">
        <v>26.252099999999899</v>
      </c>
      <c r="AD4840">
        <v>-1.110674132667</v>
      </c>
      <c r="AE4840">
        <v>0.75654999999999994</v>
      </c>
      <c r="AF4840">
        <v>-0.69933509231003299</v>
      </c>
      <c r="AG4840">
        <v>-1.110674132667</v>
      </c>
      <c r="AH4840">
        <v>26.206782742922901</v>
      </c>
      <c r="AI4840">
        <v>92.425947347126197</v>
      </c>
      <c r="AJ4840">
        <v>91.528590618214906</v>
      </c>
      <c r="AK4840">
        <v>26.239628967176198</v>
      </c>
      <c r="AL4840">
        <v>85.054816714655104</v>
      </c>
      <c r="AM4840">
        <v>89.447561332896299</v>
      </c>
      <c r="AN4840">
        <v>0.99999998255866795</v>
      </c>
    </row>
    <row r="4841" spans="1:40" x14ac:dyDescent="0.25">
      <c r="A4841" t="str">
        <f>"20190312151413058"</f>
        <v>20190312151413058</v>
      </c>
      <c r="B4841" t="str">
        <f>"1552374853055469"</f>
        <v>1552374853055469</v>
      </c>
      <c r="C4841" t="s">
        <v>40</v>
      </c>
      <c r="D4841">
        <v>4.8667439999999997</v>
      </c>
      <c r="E4841">
        <v>0.48396610000000001</v>
      </c>
      <c r="F4841" t="s">
        <v>63</v>
      </c>
      <c r="G4841">
        <v>-361.09739999999999</v>
      </c>
      <c r="H4841" s="1">
        <v>-4.346101E-6</v>
      </c>
      <c r="I4841">
        <v>18.842040000000001</v>
      </c>
      <c r="J4841">
        <v>-383.6311</v>
      </c>
      <c r="K4841">
        <v>1.1106180000000001</v>
      </c>
      <c r="L4841">
        <v>18.076809999999998</v>
      </c>
      <c r="M4841">
        <v>0.99994039999999995</v>
      </c>
      <c r="N4841">
        <v>0</v>
      </c>
      <c r="O4841">
        <v>2.9863390000000002E-3</v>
      </c>
      <c r="P4841">
        <v>0.99707570000000001</v>
      </c>
      <c r="Q4841">
        <v>7.607643E-2</v>
      </c>
      <c r="R4841">
        <v>-7.2402090000000001E-3</v>
      </c>
      <c r="S4841">
        <v>3.0206300000000001</v>
      </c>
      <c r="T4841">
        <v>-0.14716290000000001</v>
      </c>
      <c r="U4841">
        <v>0.101593</v>
      </c>
      <c r="V4841">
        <v>1.009087E-2</v>
      </c>
      <c r="W4841">
        <v>8.6569370000000007E-2</v>
      </c>
      <c r="X4841">
        <v>0.99619469999999999</v>
      </c>
      <c r="Y4841">
        <v>-3.0596379999999999E-2</v>
      </c>
      <c r="Z4841">
        <v>5.992937E-4</v>
      </c>
      <c r="AA4841">
        <v>0.99953159999999996</v>
      </c>
      <c r="AB4841">
        <v>27</v>
      </c>
      <c r="AC4841">
        <v>22.5337</v>
      </c>
      <c r="AD4841">
        <v>-1.1106223461010001</v>
      </c>
      <c r="AE4841">
        <v>0.76522999999999897</v>
      </c>
      <c r="AF4841">
        <v>-0.69624023330029405</v>
      </c>
      <c r="AG4841">
        <v>-1.1106223461010001</v>
      </c>
      <c r="AH4841">
        <v>22.481335549529401</v>
      </c>
      <c r="AI4841">
        <v>92.826872138056302</v>
      </c>
      <c r="AJ4841">
        <v>91.773866169621002</v>
      </c>
      <c r="AK4841">
        <v>22.519517769007798</v>
      </c>
      <c r="AL4841">
        <v>85.033724056035396</v>
      </c>
      <c r="AM4841">
        <v>89.419647093444695</v>
      </c>
      <c r="AN4841">
        <v>0.99999998089382103</v>
      </c>
    </row>
    <row r="4842" spans="1:40" x14ac:dyDescent="0.25">
      <c r="A4842" t="str">
        <f>"20190312151413080"</f>
        <v>20190312151413080</v>
      </c>
      <c r="B4842" t="str">
        <f>"1552374853074989"</f>
        <v>1552374853074989</v>
      </c>
      <c r="C4842" t="s">
        <v>40</v>
      </c>
      <c r="D4842">
        <v>4.8619719999999997</v>
      </c>
      <c r="E4842">
        <v>0.48315570000000002</v>
      </c>
      <c r="F4842" t="s">
        <v>63</v>
      </c>
      <c r="G4842">
        <v>-363.52330000000001</v>
      </c>
      <c r="H4842" s="1">
        <v>-3.197803E-6</v>
      </c>
      <c r="I4842">
        <v>18.850770000000001</v>
      </c>
      <c r="J4842">
        <v>-383.363</v>
      </c>
      <c r="K4842">
        <v>1.110544</v>
      </c>
      <c r="L4842">
        <v>18.078520000000001</v>
      </c>
      <c r="M4842">
        <v>0.99993799999999999</v>
      </c>
      <c r="N4842">
        <v>0</v>
      </c>
      <c r="O4842">
        <v>3.7689249999999998E-3</v>
      </c>
      <c r="P4842">
        <v>0.99710279999999996</v>
      </c>
      <c r="Q4842">
        <v>7.5831579999999996E-2</v>
      </c>
      <c r="R4842">
        <v>-5.977843E-3</v>
      </c>
      <c r="S4842">
        <v>3.0223689999999999</v>
      </c>
      <c r="T4842">
        <v>-0.1669358</v>
      </c>
      <c r="U4842">
        <v>0.11633300000000001</v>
      </c>
      <c r="V4842">
        <v>9.6214430000000004E-3</v>
      </c>
      <c r="W4842">
        <v>8.6289089999999999E-2</v>
      </c>
      <c r="X4842">
        <v>0.99622370000000005</v>
      </c>
      <c r="Y4842">
        <v>-3.4648569999999997E-2</v>
      </c>
      <c r="Z4842">
        <v>7.4785529999999995E-4</v>
      </c>
      <c r="AA4842">
        <v>0.99939929999999999</v>
      </c>
      <c r="AB4842">
        <v>27</v>
      </c>
      <c r="AC4842">
        <v>19.839700000000001</v>
      </c>
      <c r="AD4842">
        <v>-1.1105471978029999</v>
      </c>
      <c r="AE4842">
        <v>0.77224999999999899</v>
      </c>
      <c r="AF4842">
        <v>-0.69529079988630904</v>
      </c>
      <c r="AG4842">
        <v>-1.1105471978029999</v>
      </c>
      <c r="AH4842">
        <v>19.780584777763998</v>
      </c>
      <c r="AI4842">
        <v>93.2114212298887</v>
      </c>
      <c r="AJ4842">
        <v>92.013127226349198</v>
      </c>
      <c r="AK4842">
        <v>19.8239319643017</v>
      </c>
      <c r="AL4842">
        <v>85.049843428788094</v>
      </c>
      <c r="AM4842">
        <v>89.446659482418099</v>
      </c>
      <c r="AN4842">
        <v>1.00000001983006</v>
      </c>
    </row>
    <row r="4843" spans="1:40" x14ac:dyDescent="0.25">
      <c r="A4843" t="str">
        <f>"20190312151413103"</f>
        <v>20190312151413103</v>
      </c>
      <c r="B4843" t="str">
        <f>"1552374853095485"</f>
        <v>1552374853095485</v>
      </c>
      <c r="C4843" t="s">
        <v>40</v>
      </c>
      <c r="D4843">
        <v>4.8117640000000002</v>
      </c>
      <c r="E4843">
        <v>0.48237079999999999</v>
      </c>
      <c r="F4843" t="s">
        <v>63</v>
      </c>
      <c r="G4843">
        <v>-364.42110000000002</v>
      </c>
      <c r="H4843" s="1">
        <v>-2.769918E-6</v>
      </c>
      <c r="I4843">
        <v>18.87039</v>
      </c>
      <c r="J4843">
        <v>-383.09559999999999</v>
      </c>
      <c r="K4843">
        <v>1.110471</v>
      </c>
      <c r="L4843">
        <v>18.080349999999999</v>
      </c>
      <c r="M4843">
        <v>0.99993569999999998</v>
      </c>
      <c r="N4843">
        <v>0</v>
      </c>
      <c r="O4843">
        <v>4.4556800000000001E-3</v>
      </c>
      <c r="P4843">
        <v>0.99709530000000002</v>
      </c>
      <c r="Q4843">
        <v>7.6031059999999998E-2</v>
      </c>
      <c r="R4843">
        <v>-4.5307309999999996E-3</v>
      </c>
      <c r="S4843">
        <v>3.0229189999999999</v>
      </c>
      <c r="T4843">
        <v>-0.17723120000000001</v>
      </c>
      <c r="U4843">
        <v>0.12637329999999999</v>
      </c>
      <c r="V4843">
        <v>8.872418E-3</v>
      </c>
      <c r="W4843">
        <v>8.6442519999999995E-2</v>
      </c>
      <c r="X4843">
        <v>0.99621729999999997</v>
      </c>
      <c r="Y4843">
        <v>-3.7259899999999999E-2</v>
      </c>
      <c r="Z4843">
        <v>8.299437E-4</v>
      </c>
      <c r="AA4843">
        <v>0.9993052</v>
      </c>
      <c r="AB4843">
        <v>27</v>
      </c>
      <c r="AC4843">
        <v>18.674499999999899</v>
      </c>
      <c r="AD4843">
        <v>-1.1104737699179901</v>
      </c>
      <c r="AE4843">
        <v>0.79004000000000096</v>
      </c>
      <c r="AF4843">
        <v>-0.70433392431151298</v>
      </c>
      <c r="AG4843">
        <v>-1.1104737699179901</v>
      </c>
      <c r="AH4843">
        <v>18.612139052226901</v>
      </c>
      <c r="AI4843">
        <v>93.412008438870998</v>
      </c>
      <c r="AJ4843">
        <v>92.167193880038297</v>
      </c>
      <c r="AK4843">
        <v>18.6585358045599</v>
      </c>
      <c r="AL4843">
        <v>85.041019314100296</v>
      </c>
      <c r="AM4843">
        <v>89.489731140486398</v>
      </c>
      <c r="AN4843">
        <v>0.999999968942203</v>
      </c>
    </row>
    <row r="4844" spans="1:40" x14ac:dyDescent="0.25">
      <c r="A4844" t="str">
        <f>"20190312151413126"</f>
        <v>20190312151413126</v>
      </c>
      <c r="B4844" t="str">
        <f>"1552374853115005"</f>
        <v>1552374853115005</v>
      </c>
      <c r="C4844" t="s">
        <v>40</v>
      </c>
      <c r="D4844">
        <v>4.8400460000000001</v>
      </c>
      <c r="E4844">
        <v>0.48147220000000002</v>
      </c>
      <c r="F4844" t="s">
        <v>63</v>
      </c>
      <c r="G4844">
        <v>-365.02910000000003</v>
      </c>
      <c r="H4844" s="1">
        <v>-2.4779270000000001E-6</v>
      </c>
      <c r="I4844">
        <v>18.896190000000001</v>
      </c>
      <c r="J4844">
        <v>-382.82749999999999</v>
      </c>
      <c r="K4844">
        <v>1.1103959999999999</v>
      </c>
      <c r="L4844">
        <v>18.082239999999999</v>
      </c>
      <c r="M4844">
        <v>0.99993330000000002</v>
      </c>
      <c r="N4844">
        <v>0</v>
      </c>
      <c r="O4844">
        <v>5.0462609999999998E-3</v>
      </c>
      <c r="P4844">
        <v>0.9970561</v>
      </c>
      <c r="Q4844">
        <v>7.662447E-2</v>
      </c>
      <c r="R4844">
        <v>-2.7925039999999999E-3</v>
      </c>
      <c r="S4844">
        <v>3.0235289999999999</v>
      </c>
      <c r="T4844">
        <v>-0.18584419999999999</v>
      </c>
      <c r="U4844">
        <v>0.13653560000000001</v>
      </c>
      <c r="V4844">
        <v>7.7371439999999996E-3</v>
      </c>
      <c r="W4844">
        <v>8.6985030000000005E-2</v>
      </c>
      <c r="X4844">
        <v>0.99617960000000005</v>
      </c>
      <c r="Y4844">
        <v>-4.0003940000000002E-2</v>
      </c>
      <c r="Z4844">
        <v>9.1792719999999998E-4</v>
      </c>
      <c r="AA4844">
        <v>0.99919910000000001</v>
      </c>
      <c r="AB4844">
        <v>27</v>
      </c>
      <c r="AC4844">
        <v>17.798399999999901</v>
      </c>
      <c r="AD4844">
        <v>-1.110398477927</v>
      </c>
      <c r="AE4844">
        <v>0.81395000000000195</v>
      </c>
      <c r="AF4844">
        <v>-0.72131775841332402</v>
      </c>
      <c r="AG4844">
        <v>-1.110398477927</v>
      </c>
      <c r="AH4844">
        <v>17.733402981225399</v>
      </c>
      <c r="AI4844">
        <v>93.580014088685701</v>
      </c>
      <c r="AJ4844">
        <v>92.329259258343896</v>
      </c>
      <c r="AK4844">
        <v>17.782768777187599</v>
      </c>
      <c r="AL4844">
        <v>85.009818544507397</v>
      </c>
      <c r="AM4844">
        <v>89.555003150937793</v>
      </c>
      <c r="AN4844">
        <v>1.0000000271487599</v>
      </c>
    </row>
    <row r="4845" spans="1:40" x14ac:dyDescent="0.25">
      <c r="A4845" t="str">
        <f>"20190312151413148"</f>
        <v>20190312151413148</v>
      </c>
      <c r="B4845" t="str">
        <f>"1552374853135504"</f>
        <v>1552374853135504</v>
      </c>
      <c r="C4845" t="s">
        <v>40</v>
      </c>
      <c r="D4845">
        <v>4.8499850000000002</v>
      </c>
      <c r="E4845">
        <v>0.48069719999999999</v>
      </c>
      <c r="F4845" t="s">
        <v>63</v>
      </c>
      <c r="G4845">
        <v>-365.24979999999999</v>
      </c>
      <c r="H4845" s="1">
        <v>-2.364808E-6</v>
      </c>
      <c r="I4845">
        <v>18.945979999999999</v>
      </c>
      <c r="J4845">
        <v>-382.56790000000001</v>
      </c>
      <c r="K4845">
        <v>1.1103270000000001</v>
      </c>
      <c r="L4845">
        <v>18.084140000000001</v>
      </c>
      <c r="M4845">
        <v>0.99993140000000003</v>
      </c>
      <c r="N4845">
        <v>0</v>
      </c>
      <c r="O4845">
        <v>5.5217159999999899E-3</v>
      </c>
      <c r="P4845">
        <v>0.99700750000000005</v>
      </c>
      <c r="Q4845">
        <v>7.7304419999999999E-2</v>
      </c>
      <c r="R4845">
        <v>-6.7800659999999997E-4</v>
      </c>
      <c r="S4845">
        <v>3.0239259999999999</v>
      </c>
      <c r="T4845">
        <v>-0.19102420000000001</v>
      </c>
      <c r="U4845">
        <v>0.1485901</v>
      </c>
      <c r="V4845">
        <v>6.1093379999999997E-3</v>
      </c>
      <c r="W4845">
        <v>8.7617260000000002E-2</v>
      </c>
      <c r="X4845">
        <v>0.99613549999999995</v>
      </c>
      <c r="Y4845">
        <v>-4.3487329999999998E-2</v>
      </c>
      <c r="Z4845">
        <v>1.0231140000000001E-3</v>
      </c>
      <c r="AA4845">
        <v>0.99905350000000004</v>
      </c>
      <c r="AB4845">
        <v>27</v>
      </c>
      <c r="AC4845">
        <v>17.318100000000001</v>
      </c>
      <c r="AD4845">
        <v>-1.1103293648079999</v>
      </c>
      <c r="AE4845">
        <v>0.86184000000000005</v>
      </c>
      <c r="AF4845">
        <v>-0.763067227507636</v>
      </c>
      <c r="AG4845">
        <v>-1.1103293648079999</v>
      </c>
      <c r="AH4845">
        <v>17.251855103555901</v>
      </c>
      <c r="AI4845">
        <v>93.678890334939993</v>
      </c>
      <c r="AJ4845">
        <v>92.532600314771003</v>
      </c>
      <c r="AK4845">
        <v>17.304381162183802</v>
      </c>
      <c r="AL4845">
        <v>84.973455569824296</v>
      </c>
      <c r="AM4845">
        <v>89.648607148017803</v>
      </c>
      <c r="AN4845">
        <v>1.0000000213104701</v>
      </c>
    </row>
    <row r="4846" spans="1:40" x14ac:dyDescent="0.25">
      <c r="A4846" t="str">
        <f>"20190312151413172"</f>
        <v>20190312151413172</v>
      </c>
      <c r="B4846" t="str">
        <f>"1552374853165757"</f>
        <v>1552374853165757</v>
      </c>
      <c r="C4846" t="s">
        <v>40</v>
      </c>
      <c r="D4846">
        <v>4.8696510000000002</v>
      </c>
      <c r="E4846">
        <v>0.48022160000000003</v>
      </c>
      <c r="F4846" t="s">
        <v>63</v>
      </c>
      <c r="G4846">
        <v>-365.27589999999998</v>
      </c>
      <c r="H4846" s="1">
        <v>-2.3421960000000001E-6</v>
      </c>
      <c r="I4846">
        <v>19.003920000000001</v>
      </c>
      <c r="J4846">
        <v>-382.2808</v>
      </c>
      <c r="K4846">
        <v>1.1102639999999999</v>
      </c>
      <c r="L4846">
        <v>18.086269999999999</v>
      </c>
      <c r="M4846">
        <v>0.99992919999999996</v>
      </c>
      <c r="N4846">
        <v>0</v>
      </c>
      <c r="O4846">
        <v>5.9655369999999999E-3</v>
      </c>
      <c r="P4846">
        <v>0.99699550000000003</v>
      </c>
      <c r="Q4846">
        <v>7.7448039999999996E-2</v>
      </c>
      <c r="R4846">
        <v>1.396631E-3</v>
      </c>
      <c r="S4846">
        <v>3.0241389999999999</v>
      </c>
      <c r="T4846">
        <v>-0.19418179999999999</v>
      </c>
      <c r="U4846">
        <v>0.16085820000000001</v>
      </c>
      <c r="V4846">
        <v>4.4897950000000004E-3</v>
      </c>
      <c r="W4846">
        <v>8.7713219999999995E-2</v>
      </c>
      <c r="X4846">
        <v>0.99613569999999996</v>
      </c>
      <c r="Y4846">
        <v>-4.7073509999999999E-2</v>
      </c>
      <c r="Z4846">
        <v>1.1263009999999999E-3</v>
      </c>
      <c r="AA4846">
        <v>0.99889079999999997</v>
      </c>
      <c r="AB4846">
        <v>27</v>
      </c>
      <c r="AC4846">
        <v>17.004899999999999</v>
      </c>
      <c r="AD4846">
        <v>-1.110266342196</v>
      </c>
      <c r="AE4846">
        <v>0.91764999999999797</v>
      </c>
      <c r="AF4846">
        <v>-0.81273039545611103</v>
      </c>
      <c r="AG4846">
        <v>-1.110266342196</v>
      </c>
      <c r="AH4846">
        <v>16.938076109912501</v>
      </c>
      <c r="AI4846">
        <v>93.745992814959607</v>
      </c>
      <c r="AJ4846">
        <v>92.747084967999498</v>
      </c>
      <c r="AK4846">
        <v>16.993870787772298</v>
      </c>
      <c r="AL4846">
        <v>84.967936362216307</v>
      </c>
      <c r="AM4846">
        <v>89.741757511133002</v>
      </c>
      <c r="AN4846">
        <v>1.00000005001819</v>
      </c>
    </row>
    <row r="4847" spans="1:40" x14ac:dyDescent="0.25">
      <c r="A4847" t="str">
        <f>"20190312151413194"</f>
        <v>20190312151413194</v>
      </c>
      <c r="B4847" t="str">
        <f>"1552374853185278"</f>
        <v>1552374853185278</v>
      </c>
      <c r="C4847" t="s">
        <v>40</v>
      </c>
      <c r="D4847">
        <v>4.7966939999999996</v>
      </c>
      <c r="E4847">
        <v>0.45983249999999998</v>
      </c>
      <c r="F4847" t="s">
        <v>63</v>
      </c>
      <c r="G4847">
        <v>-365.44459999999998</v>
      </c>
      <c r="H4847" s="1">
        <v>-2.256541E-6</v>
      </c>
      <c r="I4847">
        <v>19.03715</v>
      </c>
      <c r="J4847">
        <v>-382.0181</v>
      </c>
      <c r="K4847">
        <v>1.110217</v>
      </c>
      <c r="L4847">
        <v>18.088259999999998</v>
      </c>
      <c r="M4847">
        <v>0.99992760000000003</v>
      </c>
      <c r="N4847">
        <v>0</v>
      </c>
      <c r="O4847">
        <v>6.3089299999999999E-3</v>
      </c>
      <c r="P4847">
        <v>0.99695270000000002</v>
      </c>
      <c r="Q4847">
        <v>7.7934890000000007E-2</v>
      </c>
      <c r="R4847">
        <v>3.441071E-3</v>
      </c>
      <c r="S4847">
        <v>3.024292</v>
      </c>
      <c r="T4847">
        <v>-0.199438</v>
      </c>
      <c r="U4847">
        <v>0.17080689999999901</v>
      </c>
      <c r="V4847">
        <v>2.7961890000000001E-3</v>
      </c>
      <c r="W4847">
        <v>8.8154490000000002E-2</v>
      </c>
      <c r="X4847">
        <v>0.99610290000000001</v>
      </c>
      <c r="Y4847">
        <v>-4.9993530000000001E-2</v>
      </c>
      <c r="Z4847">
        <v>1.230061E-3</v>
      </c>
      <c r="AA4847">
        <v>0.99874879999999999</v>
      </c>
      <c r="AB4847">
        <v>27</v>
      </c>
      <c r="AC4847">
        <v>16.573499999999999</v>
      </c>
      <c r="AD4847">
        <v>-1.1102192565410001</v>
      </c>
      <c r="AE4847">
        <v>0.94888999999999801</v>
      </c>
      <c r="AF4847">
        <v>-0.840545084113412</v>
      </c>
      <c r="AG4847">
        <v>-1.1102192565410001</v>
      </c>
      <c r="AH4847">
        <v>16.5053338549404</v>
      </c>
      <c r="AI4847">
        <v>93.843196866544403</v>
      </c>
      <c r="AJ4847">
        <v>92.915307141318095</v>
      </c>
      <c r="AK4847">
        <v>16.563971398763801</v>
      </c>
      <c r="AL4847">
        <v>84.942554933309296</v>
      </c>
      <c r="AM4847">
        <v>89.839163797629098</v>
      </c>
      <c r="AN4847">
        <v>1.0000000100842401</v>
      </c>
    </row>
    <row r="4848" spans="1:40" x14ac:dyDescent="0.25">
      <c r="A4848" t="str">
        <f>"20190312151413214"</f>
        <v>20190312151413214</v>
      </c>
      <c r="B4848" t="str">
        <f>"1552374853205776"</f>
        <v>1552374853205776</v>
      </c>
      <c r="C4848" t="s">
        <v>40</v>
      </c>
      <c r="D4848">
        <v>4.7324830000000002</v>
      </c>
      <c r="E4848">
        <v>0.45077679999999998</v>
      </c>
      <c r="F4848" t="s">
        <v>62</v>
      </c>
      <c r="G4848">
        <v>-370.62939999999998</v>
      </c>
      <c r="H4848" s="1">
        <v>-4.4534740000000003E-6</v>
      </c>
      <c r="I4848">
        <v>19.371459999999999</v>
      </c>
      <c r="J4848">
        <v>-381.76350000000002</v>
      </c>
      <c r="K4848">
        <v>1.110179</v>
      </c>
      <c r="L4848">
        <v>18.09027</v>
      </c>
      <c r="M4848">
        <v>0.99992630000000005</v>
      </c>
      <c r="N4848">
        <v>0</v>
      </c>
      <c r="O4848">
        <v>6.5936060000000001E-3</v>
      </c>
      <c r="P4848">
        <v>0.99691249999999998</v>
      </c>
      <c r="Q4848">
        <v>7.8325999999999896E-2</v>
      </c>
      <c r="R4848">
        <v>5.5277919999999897E-3</v>
      </c>
      <c r="S4848">
        <v>3.0310969999999999</v>
      </c>
      <c r="T4848">
        <v>-0.2954832</v>
      </c>
      <c r="U4848">
        <v>0.3415222</v>
      </c>
      <c r="V4848">
        <v>9.9999659999999995E-4</v>
      </c>
      <c r="W4848">
        <v>8.8499320000000006E-2</v>
      </c>
      <c r="X4848">
        <v>0.99607570000000001</v>
      </c>
      <c r="Y4848">
        <v>-0.1049491</v>
      </c>
      <c r="Z4848">
        <v>4.4481340000000003E-3</v>
      </c>
      <c r="AA4848">
        <v>0.99446769999999995</v>
      </c>
      <c r="AB4848">
        <v>27</v>
      </c>
      <c r="AC4848">
        <v>11.1341</v>
      </c>
      <c r="AD4848">
        <v>-1.110183453474</v>
      </c>
      <c r="AE4848">
        <v>1.2811899999999901</v>
      </c>
      <c r="AF4848">
        <v>-1.1960089792155799</v>
      </c>
      <c r="AG4848">
        <v>-1.110183453474</v>
      </c>
      <c r="AH4848">
        <v>11.034037813950199</v>
      </c>
      <c r="AI4848">
        <v>95.7122117188852</v>
      </c>
      <c r="AJ4848">
        <v>96.186291267802503</v>
      </c>
      <c r="AK4848">
        <v>11.1540546555239</v>
      </c>
      <c r="AL4848">
        <v>84.922719876042194</v>
      </c>
      <c r="AM4848">
        <v>89.942478703718706</v>
      </c>
      <c r="AN4848">
        <v>0.99999996488207499</v>
      </c>
    </row>
    <row r="4849" spans="1:40" x14ac:dyDescent="0.25">
      <c r="A4849" t="str">
        <f>"20190312151413237"</f>
        <v>20190312151413237</v>
      </c>
      <c r="B4849" t="str">
        <f>"1552374853235053"</f>
        <v>1552374853235053</v>
      </c>
      <c r="C4849" t="s">
        <v>40</v>
      </c>
      <c r="D4849">
        <v>4.7847970000000002</v>
      </c>
      <c r="E4849">
        <v>0.4470536</v>
      </c>
      <c r="F4849" t="s">
        <v>62</v>
      </c>
      <c r="G4849">
        <v>-371.58600000000001</v>
      </c>
      <c r="H4849" s="1">
        <v>-3.9781729999999998E-6</v>
      </c>
      <c r="I4849">
        <v>19.501619999999999</v>
      </c>
      <c r="J4849">
        <v>-381.48500000000001</v>
      </c>
      <c r="K4849">
        <v>1.1101490000000001</v>
      </c>
      <c r="L4849">
        <v>18.092469999999999</v>
      </c>
      <c r="M4849">
        <v>0.99992479999999995</v>
      </c>
      <c r="N4849">
        <v>0</v>
      </c>
      <c r="O4849">
        <v>6.864841E-3</v>
      </c>
      <c r="P4849">
        <v>0.99683580000000005</v>
      </c>
      <c r="Q4849">
        <v>7.9178440000000003E-2</v>
      </c>
      <c r="R4849">
        <v>7.0238929999999998E-3</v>
      </c>
      <c r="S4849">
        <v>3.032959</v>
      </c>
      <c r="T4849">
        <v>-0.330843099999999</v>
      </c>
      <c r="U4849">
        <v>0.4205933</v>
      </c>
      <c r="V4849">
        <v>-2.2066920000000001E-4</v>
      </c>
      <c r="W4849">
        <v>8.9297719999999997E-2</v>
      </c>
      <c r="X4849">
        <v>0.99600489999999997</v>
      </c>
      <c r="Y4849">
        <v>-0.12984080000000001</v>
      </c>
      <c r="Z4849">
        <v>6.2843760000000004E-3</v>
      </c>
      <c r="AA4849">
        <v>0.99151489999999998</v>
      </c>
      <c r="AB4849">
        <v>27</v>
      </c>
      <c r="AC4849">
        <v>9.8989999999999991</v>
      </c>
      <c r="AD4849">
        <v>-1.110152978173</v>
      </c>
      <c r="AE4849">
        <v>1.4091499999999999</v>
      </c>
      <c r="AF4849">
        <v>-1.3248265989658301</v>
      </c>
      <c r="AG4849">
        <v>-1.110152978173</v>
      </c>
      <c r="AH4849">
        <v>9.7877832204649007</v>
      </c>
      <c r="AI4849">
        <v>96.412979671954403</v>
      </c>
      <c r="AJ4849">
        <v>97.708429673995099</v>
      </c>
      <c r="AK4849">
        <v>9.93923063033996</v>
      </c>
      <c r="AL4849">
        <v>84.8767929881475</v>
      </c>
      <c r="AM4849">
        <v>90.012694127932093</v>
      </c>
      <c r="AN4849">
        <v>0.99999994615804999</v>
      </c>
    </row>
    <row r="4850" spans="1:40" x14ac:dyDescent="0.25">
      <c r="A4850" t="str">
        <f>"20190312151413260"</f>
        <v>20190312151413260</v>
      </c>
      <c r="B4850" t="str">
        <f>"1552374853255550"</f>
        <v>1552374853255550</v>
      </c>
      <c r="C4850" t="s">
        <v>40</v>
      </c>
      <c r="D4850">
        <v>4.7737689999999997</v>
      </c>
      <c r="E4850">
        <v>0.44594099999999998</v>
      </c>
      <c r="F4850" t="s">
        <v>62</v>
      </c>
      <c r="G4850">
        <v>-371.75940000000003</v>
      </c>
      <c r="H4850" s="1">
        <v>-3.8875100000000003E-6</v>
      </c>
      <c r="I4850">
        <v>19.55077</v>
      </c>
      <c r="J4850">
        <v>-381.2208</v>
      </c>
      <c r="K4850">
        <v>1.110007</v>
      </c>
      <c r="L4850">
        <v>18.094570000000001</v>
      </c>
      <c r="M4850">
        <v>0.99992789999999998</v>
      </c>
      <c r="N4850">
        <v>0</v>
      </c>
      <c r="O4850">
        <v>7.1032559999999996E-3</v>
      </c>
      <c r="P4850">
        <v>0.99677340000000003</v>
      </c>
      <c r="Q4850">
        <v>7.9914789999999999E-2</v>
      </c>
      <c r="R4850">
        <v>7.5409479999999996E-3</v>
      </c>
      <c r="S4850">
        <v>3.0337830000000001</v>
      </c>
      <c r="T4850">
        <v>-0.34629559999999998</v>
      </c>
      <c r="U4850">
        <v>0.45489499999999999</v>
      </c>
      <c r="V4850">
        <v>-4.9611830000000003E-4</v>
      </c>
      <c r="W4850">
        <v>8.9563190000000001E-2</v>
      </c>
      <c r="X4850">
        <v>0.99598100000000001</v>
      </c>
      <c r="Y4850">
        <v>-0.14041029999999999</v>
      </c>
      <c r="Z4850">
        <v>7.1400930000000001E-3</v>
      </c>
      <c r="AA4850">
        <v>0.99006769999999999</v>
      </c>
      <c r="AB4850">
        <v>27</v>
      </c>
      <c r="AC4850">
        <v>9.4613999999999692</v>
      </c>
      <c r="AD4850">
        <v>-1.1100108875100001</v>
      </c>
      <c r="AE4850">
        <v>1.4561999999999899</v>
      </c>
      <c r="AF4850">
        <v>-1.3705259961093199</v>
      </c>
      <c r="AG4850">
        <v>-1.1100108875100001</v>
      </c>
      <c r="AH4850">
        <v>9.3458462312968003</v>
      </c>
      <c r="AI4850">
        <v>96.702298287859605</v>
      </c>
      <c r="AJ4850">
        <v>98.342702573352</v>
      </c>
      <c r="AK4850">
        <v>9.5107995171513693</v>
      </c>
      <c r="AL4850">
        <v>84.861521668203693</v>
      </c>
      <c r="AM4850">
        <v>90.028540185383207</v>
      </c>
      <c r="AN4850">
        <v>0.999999981748671</v>
      </c>
    </row>
    <row r="4851" spans="1:40" x14ac:dyDescent="0.25">
      <c r="A4851" t="str">
        <f>"20190312151413281"</f>
        <v>20190312151413281</v>
      </c>
      <c r="B4851" t="str">
        <f>"1552374853275069"</f>
        <v>1552374853275069</v>
      </c>
      <c r="C4851" t="s">
        <v>40</v>
      </c>
      <c r="D4851">
        <v>4.7322790000000001</v>
      </c>
      <c r="E4851">
        <v>0.44576349999999998</v>
      </c>
      <c r="F4851" t="s">
        <v>62</v>
      </c>
      <c r="G4851">
        <v>-371.55829999999997</v>
      </c>
      <c r="H4851" s="1">
        <v>-3.977965E-6</v>
      </c>
      <c r="I4851">
        <v>19.57676</v>
      </c>
      <c r="J4851">
        <v>-380.95580000000001</v>
      </c>
      <c r="K4851">
        <v>1.109955</v>
      </c>
      <c r="L4851">
        <v>18.09674</v>
      </c>
      <c r="M4851">
        <v>0.99992530000000002</v>
      </c>
      <c r="N4851">
        <v>0</v>
      </c>
      <c r="O4851">
        <v>7.3227250000000004E-3</v>
      </c>
      <c r="P4851">
        <v>0.99677119999999997</v>
      </c>
      <c r="Q4851">
        <v>7.9869019999999999E-2</v>
      </c>
      <c r="R4851">
        <v>8.2816809999999904E-3</v>
      </c>
      <c r="S4851">
        <v>3.0341490000000002</v>
      </c>
      <c r="T4851">
        <v>-0.34855629999999999</v>
      </c>
      <c r="U4851">
        <v>0.46542359999999999</v>
      </c>
      <c r="V4851">
        <v>-1.014725E-3</v>
      </c>
      <c r="W4851">
        <v>8.963206E-2</v>
      </c>
      <c r="X4851">
        <v>0.99597440000000004</v>
      </c>
      <c r="Y4851">
        <v>-0.1435043</v>
      </c>
      <c r="Z4851">
        <v>7.3348509999999999E-3</v>
      </c>
      <c r="AA4851">
        <v>0.98962249999999996</v>
      </c>
      <c r="AB4851">
        <v>27</v>
      </c>
      <c r="AC4851">
        <v>9.3975000000000293</v>
      </c>
      <c r="AD4851">
        <v>-1.1099589779649901</v>
      </c>
      <c r="AE4851">
        <v>1.4800199999999899</v>
      </c>
      <c r="AF4851">
        <v>-1.39220978587637</v>
      </c>
      <c r="AG4851">
        <v>-1.1099589779649901</v>
      </c>
      <c r="AH4851">
        <v>9.2817355589393298</v>
      </c>
      <c r="AI4851">
        <v>96.744605420420797</v>
      </c>
      <c r="AJ4851">
        <v>98.530460445354393</v>
      </c>
      <c r="AK4851">
        <v>9.4509720138583493</v>
      </c>
      <c r="AL4851">
        <v>84.857559716008097</v>
      </c>
      <c r="AM4851">
        <v>90.058374431862902</v>
      </c>
      <c r="AN4851">
        <v>0.99999997065101398</v>
      </c>
    </row>
    <row r="4852" spans="1:40" x14ac:dyDescent="0.25">
      <c r="A4852" t="str">
        <f>"20190312151413304"</f>
        <v>20190312151413304</v>
      </c>
      <c r="B4852" t="str">
        <f>"1552374853295569"</f>
        <v>1552374853295569</v>
      </c>
      <c r="C4852" t="s">
        <v>40</v>
      </c>
      <c r="D4852">
        <v>4.793253</v>
      </c>
      <c r="E4852">
        <v>0.44540479999999999</v>
      </c>
      <c r="F4852" t="s">
        <v>62</v>
      </c>
      <c r="G4852">
        <v>-371.33730000000003</v>
      </c>
      <c r="H4852" s="1">
        <v>-4.0814990000000004E-6</v>
      </c>
      <c r="I4852">
        <v>19.581779999999998</v>
      </c>
      <c r="J4852">
        <v>-380.6848</v>
      </c>
      <c r="K4852">
        <v>1.109998</v>
      </c>
      <c r="L4852">
        <v>18.098970000000001</v>
      </c>
      <c r="M4852">
        <v>0.99991640000000004</v>
      </c>
      <c r="N4852">
        <v>0</v>
      </c>
      <c r="O4852">
        <v>7.5381609999999998E-3</v>
      </c>
      <c r="P4852">
        <v>0.99680639999999998</v>
      </c>
      <c r="Q4852">
        <v>7.9376569999999994E-2</v>
      </c>
      <c r="R4852">
        <v>8.7447989999999993E-3</v>
      </c>
      <c r="S4852">
        <v>3.0338750000000001</v>
      </c>
      <c r="T4852">
        <v>-0.35010540000000001</v>
      </c>
      <c r="U4852">
        <v>0.46841430000000001</v>
      </c>
      <c r="V4852">
        <v>-1.2611829999999999E-3</v>
      </c>
      <c r="W4852">
        <v>8.9843389999999995E-2</v>
      </c>
      <c r="X4852">
        <v>0.99595509999999998</v>
      </c>
      <c r="Y4852">
        <v>-0.14424629999999999</v>
      </c>
      <c r="Z4852">
        <v>7.385137E-3</v>
      </c>
      <c r="AA4852">
        <v>0.98951429999999996</v>
      </c>
      <c r="AB4852">
        <v>27</v>
      </c>
      <c r="AC4852">
        <v>9.3474999999999593</v>
      </c>
      <c r="AD4852">
        <v>-1.1100020814989999</v>
      </c>
      <c r="AE4852">
        <v>1.48280999999999</v>
      </c>
      <c r="AF4852">
        <v>-1.39313828087488</v>
      </c>
      <c r="AG4852">
        <v>-1.1100020814989999</v>
      </c>
      <c r="AH4852">
        <v>9.2314335100371601</v>
      </c>
      <c r="AI4852">
        <v>96.780369135474402</v>
      </c>
      <c r="AJ4852">
        <v>98.581888081418697</v>
      </c>
      <c r="AK4852">
        <v>9.4017181164300094</v>
      </c>
      <c r="AL4852">
        <v>84.845402465680394</v>
      </c>
      <c r="AM4852">
        <v>90.0725538977307</v>
      </c>
      <c r="AN4852">
        <v>0.99999999326263</v>
      </c>
    </row>
    <row r="4853" spans="1:40" x14ac:dyDescent="0.25">
      <c r="A4853" t="str">
        <f>"20190312151413327"</f>
        <v>20190312151413327</v>
      </c>
      <c r="B4853" t="str">
        <f>"1552374853315085"</f>
        <v>1552374853315085</v>
      </c>
      <c r="C4853" t="s">
        <v>40</v>
      </c>
      <c r="D4853">
        <v>4.7612839999999998</v>
      </c>
      <c r="E4853">
        <v>0.44521470000000002</v>
      </c>
      <c r="F4853" t="s">
        <v>62</v>
      </c>
      <c r="G4853">
        <v>-371.25189999999998</v>
      </c>
      <c r="H4853" s="1">
        <v>-4.124443E-6</v>
      </c>
      <c r="I4853">
        <v>19.567499999999999</v>
      </c>
      <c r="J4853">
        <v>-380.41430000000003</v>
      </c>
      <c r="K4853">
        <v>1.1098920000000001</v>
      </c>
      <c r="L4853">
        <v>18.10126</v>
      </c>
      <c r="M4853">
        <v>0.99991220000000003</v>
      </c>
      <c r="N4853">
        <v>0</v>
      </c>
      <c r="O4853">
        <v>7.7616419999999896E-3</v>
      </c>
      <c r="P4853">
        <v>0.99684329999999999</v>
      </c>
      <c r="Q4853">
        <v>7.8868019999999997E-2</v>
      </c>
      <c r="R4853">
        <v>9.127273E-3</v>
      </c>
      <c r="S4853">
        <v>3.0339049999999999</v>
      </c>
      <c r="T4853">
        <v>-0.35700670000000001</v>
      </c>
      <c r="U4853">
        <v>0.47232059999999998</v>
      </c>
      <c r="V4853">
        <v>-1.4203130000000001E-3</v>
      </c>
      <c r="W4853">
        <v>8.9565569999999997E-2</v>
      </c>
      <c r="X4853">
        <v>0.99597990000000003</v>
      </c>
      <c r="Y4853">
        <v>-0.14522760000000001</v>
      </c>
      <c r="Z4853">
        <v>7.5600919999999896E-3</v>
      </c>
      <c r="AA4853">
        <v>0.98936939999999995</v>
      </c>
      <c r="AB4853">
        <v>27</v>
      </c>
      <c r="AC4853">
        <v>9.1624000000000407</v>
      </c>
      <c r="AD4853">
        <v>-1.1098961244429999</v>
      </c>
      <c r="AE4853">
        <v>1.46623999999999</v>
      </c>
      <c r="AF4853">
        <v>-1.3753979243137</v>
      </c>
      <c r="AG4853">
        <v>-1.1098961244429999</v>
      </c>
      <c r="AH4853">
        <v>9.0441063283525693</v>
      </c>
      <c r="AI4853">
        <v>96.917625053550395</v>
      </c>
      <c r="AJ4853">
        <v>98.647098369594204</v>
      </c>
      <c r="AK4853">
        <v>9.2151748836257603</v>
      </c>
      <c r="AL4853">
        <v>84.861384770287401</v>
      </c>
      <c r="AM4853">
        <v>90.081706353033894</v>
      </c>
      <c r="AN4853">
        <v>0.99999998491122599</v>
      </c>
    </row>
    <row r="4854" spans="1:40" x14ac:dyDescent="0.25">
      <c r="A4854" t="str">
        <f>"20190312151413349"</f>
        <v>20190312151413349</v>
      </c>
      <c r="B4854" t="str">
        <f>"1552374853345342"</f>
        <v>1552374853345342</v>
      </c>
      <c r="C4854" t="s">
        <v>40</v>
      </c>
      <c r="D4854">
        <v>4.7873539999999997</v>
      </c>
      <c r="E4854">
        <v>0.44516820000000001</v>
      </c>
      <c r="F4854" t="s">
        <v>62</v>
      </c>
      <c r="G4854">
        <v>-371.00549999999998</v>
      </c>
      <c r="H4854" s="1">
        <v>-4.2398219999999998E-6</v>
      </c>
      <c r="I4854">
        <v>19.573499999999999</v>
      </c>
      <c r="J4854">
        <v>-380.14499999999998</v>
      </c>
      <c r="K4854">
        <v>1.10972</v>
      </c>
      <c r="L4854">
        <v>18.10361</v>
      </c>
      <c r="M4854">
        <v>0.99991260000000004</v>
      </c>
      <c r="N4854">
        <v>0</v>
      </c>
      <c r="O4854">
        <v>7.9831620000000002E-3</v>
      </c>
      <c r="P4854">
        <v>0.99686370000000002</v>
      </c>
      <c r="Q4854">
        <v>7.8526139999999994E-2</v>
      </c>
      <c r="R4854">
        <v>9.8309550000000006E-3</v>
      </c>
      <c r="S4854">
        <v>3.0335079999999999</v>
      </c>
      <c r="T4854">
        <v>-0.3578442</v>
      </c>
      <c r="U4854">
        <v>0.47467039999999999</v>
      </c>
      <c r="V4854">
        <v>-1.9029229999999999E-3</v>
      </c>
      <c r="W4854">
        <v>8.9035059999999999E-2</v>
      </c>
      <c r="X4854">
        <v>0.99602670000000004</v>
      </c>
      <c r="Y4854">
        <v>-0.1457697</v>
      </c>
      <c r="Z4854">
        <v>7.5840319999999897E-3</v>
      </c>
      <c r="AA4854">
        <v>0.98928950000000004</v>
      </c>
      <c r="AB4854">
        <v>27</v>
      </c>
      <c r="AC4854">
        <v>9.1394999999999893</v>
      </c>
      <c r="AD4854">
        <v>-1.109724239822</v>
      </c>
      <c r="AE4854">
        <v>1.4698899999999899</v>
      </c>
      <c r="AF4854">
        <v>-1.3770865302486399</v>
      </c>
      <c r="AG4854">
        <v>-1.109724239822</v>
      </c>
      <c r="AH4854">
        <v>9.0212963843150398</v>
      </c>
      <c r="AI4854">
        <v>96.933297807317999</v>
      </c>
      <c r="AJ4854">
        <v>98.679111159121206</v>
      </c>
      <c r="AK4854">
        <v>9.1930214648882593</v>
      </c>
      <c r="AL4854">
        <v>84.891902887595606</v>
      </c>
      <c r="AM4854">
        <v>90.109464258321395</v>
      </c>
      <c r="AN4854">
        <v>1.00000002506901</v>
      </c>
    </row>
    <row r="4855" spans="1:40" x14ac:dyDescent="0.25">
      <c r="A4855" t="str">
        <f>"20190312151413371"</f>
        <v>20190312151413371</v>
      </c>
      <c r="B4855" t="str">
        <f>"1552374853365837"</f>
        <v>1552374853365837</v>
      </c>
      <c r="C4855" t="s">
        <v>40</v>
      </c>
      <c r="D4855">
        <v>4.7889989999999996</v>
      </c>
      <c r="E4855">
        <v>0.44514520000000002</v>
      </c>
      <c r="F4855" t="s">
        <v>62</v>
      </c>
      <c r="G4855">
        <v>-370.84050000000002</v>
      </c>
      <c r="H4855" s="1">
        <v>-4.3190519999999901E-6</v>
      </c>
      <c r="I4855">
        <v>19.566700000000001</v>
      </c>
      <c r="J4855">
        <v>-379.87479999999999</v>
      </c>
      <c r="K4855">
        <v>1.10959599999999</v>
      </c>
      <c r="L4855">
        <v>18.10605</v>
      </c>
      <c r="M4855">
        <v>0.99991240000000003</v>
      </c>
      <c r="N4855">
        <v>0</v>
      </c>
      <c r="O4855">
        <v>8.207031E-3</v>
      </c>
      <c r="P4855">
        <v>0.99687060000000005</v>
      </c>
      <c r="Q4855">
        <v>7.8409019999999996E-2</v>
      </c>
      <c r="R4855">
        <v>1.007018E-2</v>
      </c>
      <c r="S4855">
        <v>3.0332340000000002</v>
      </c>
      <c r="T4855">
        <v>-0.36176409999999998</v>
      </c>
      <c r="U4855">
        <v>0.47695920000000003</v>
      </c>
      <c r="V4855">
        <v>-1.9205450000000001E-3</v>
      </c>
      <c r="W4855">
        <v>8.8754369999999999E-2</v>
      </c>
      <c r="X4855">
        <v>0.99605169999999998</v>
      </c>
      <c r="Y4855">
        <v>-0.14626810000000001</v>
      </c>
      <c r="Z4855">
        <v>7.6697780000000004E-3</v>
      </c>
      <c r="AA4855">
        <v>0.98921530000000002</v>
      </c>
      <c r="AB4855">
        <v>27</v>
      </c>
      <c r="AC4855">
        <v>9.0342999999999698</v>
      </c>
      <c r="AD4855">
        <v>-1.1096003190520001</v>
      </c>
      <c r="AE4855">
        <v>1.46065</v>
      </c>
      <c r="AF4855">
        <v>-1.3663655153226699</v>
      </c>
      <c r="AG4855">
        <v>-1.1096003190520001</v>
      </c>
      <c r="AH4855">
        <v>8.9149284001902895</v>
      </c>
      <c r="AI4855">
        <v>97.013784837247002</v>
      </c>
      <c r="AJ4855">
        <v>98.7137510480229</v>
      </c>
      <c r="AK4855">
        <v>9.0870300962428097</v>
      </c>
      <c r="AL4855">
        <v>84.908049074486399</v>
      </c>
      <c r="AM4855">
        <v>90.110475175633596</v>
      </c>
      <c r="AN4855">
        <v>1.00000000788004</v>
      </c>
    </row>
    <row r="4856" spans="1:40" x14ac:dyDescent="0.25">
      <c r="A4856" t="str">
        <f>"20190312151413395"</f>
        <v>20190312151413395</v>
      </c>
      <c r="B4856" t="str">
        <f>"1552374853385357"</f>
        <v>1552374853385357</v>
      </c>
      <c r="C4856" t="s">
        <v>40</v>
      </c>
      <c r="D4856">
        <v>4.7897150000000002</v>
      </c>
      <c r="E4856">
        <v>0.44515290000000002</v>
      </c>
      <c r="F4856" t="s">
        <v>62</v>
      </c>
      <c r="G4856">
        <v>-370.61680000000001</v>
      </c>
      <c r="H4856" s="1">
        <v>-4.4252600000000004E-6</v>
      </c>
      <c r="I4856">
        <v>19.56399</v>
      </c>
      <c r="J4856">
        <v>-379.58629999999999</v>
      </c>
      <c r="K4856">
        <v>1.1095410000000001</v>
      </c>
      <c r="L4856">
        <v>18.108699999999999</v>
      </c>
      <c r="M4856">
        <v>0.99991129999999995</v>
      </c>
      <c r="N4856">
        <v>0</v>
      </c>
      <c r="O4856">
        <v>8.4523940000000002E-3</v>
      </c>
      <c r="P4856">
        <v>0.99687680000000001</v>
      </c>
      <c r="Q4856">
        <v>7.8273380000000004E-2</v>
      </c>
      <c r="R4856">
        <v>1.0490370000000001E-2</v>
      </c>
      <c r="S4856">
        <v>3.0331730000000001</v>
      </c>
      <c r="T4856">
        <v>-0.36353590000000002</v>
      </c>
      <c r="U4856">
        <v>0.47766110000000001</v>
      </c>
      <c r="V4856">
        <v>-2.0963179999999998E-3</v>
      </c>
      <c r="W4856">
        <v>8.8535420000000004E-2</v>
      </c>
      <c r="X4856">
        <v>0.99607080000000003</v>
      </c>
      <c r="Y4856">
        <v>-0.1462444</v>
      </c>
      <c r="Z4856">
        <v>7.67657699999999E-3</v>
      </c>
      <c r="AA4856">
        <v>0.98921870000000001</v>
      </c>
      <c r="AB4856">
        <v>27</v>
      </c>
      <c r="AC4856">
        <v>8.9694999999999805</v>
      </c>
      <c r="AD4856">
        <v>-1.1095454252600001</v>
      </c>
      <c r="AE4856">
        <v>1.45529</v>
      </c>
      <c r="AF4856">
        <v>-1.3591556392149899</v>
      </c>
      <c r="AG4856">
        <v>-1.1095454252600001</v>
      </c>
      <c r="AH4856">
        <v>8.84953693939263</v>
      </c>
      <c r="AI4856">
        <v>97.064410454706504</v>
      </c>
      <c r="AJ4856">
        <v>98.731541531963501</v>
      </c>
      <c r="AK4856">
        <v>9.0217902405232202</v>
      </c>
      <c r="AL4856">
        <v>84.920643408283993</v>
      </c>
      <c r="AM4856">
        <v>90.120583794428597</v>
      </c>
      <c r="AN4856">
        <v>0.99999997687818598</v>
      </c>
    </row>
    <row r="4857" spans="1:40" x14ac:dyDescent="0.25">
      <c r="A4857" t="str">
        <f>"20190312151413415"</f>
        <v>20190312151413415</v>
      </c>
      <c r="B4857" t="str">
        <f>"1552374853405853"</f>
        <v>1552374853405853</v>
      </c>
      <c r="C4857" t="s">
        <v>40</v>
      </c>
      <c r="D4857">
        <v>4.791112</v>
      </c>
      <c r="E4857">
        <v>0.44516470000000002</v>
      </c>
      <c r="F4857" t="s">
        <v>62</v>
      </c>
      <c r="G4857">
        <v>-370.34649999999999</v>
      </c>
      <c r="H4857" s="1">
        <v>-4.5524160000000003E-6</v>
      </c>
      <c r="I4857">
        <v>19.567419999999998</v>
      </c>
      <c r="J4857">
        <v>-379.33249999999998</v>
      </c>
      <c r="K4857">
        <v>1.1095200000000001</v>
      </c>
      <c r="L4857">
        <v>18.111080000000001</v>
      </c>
      <c r="M4857">
        <v>0.99991019999999997</v>
      </c>
      <c r="N4857">
        <v>0</v>
      </c>
      <c r="O4857">
        <v>8.6748820000000001E-3</v>
      </c>
      <c r="P4857">
        <v>0.99688929999999998</v>
      </c>
      <c r="Q4857">
        <v>7.8007469999999995E-2</v>
      </c>
      <c r="R4857">
        <v>1.1251290000000001E-2</v>
      </c>
      <c r="S4857">
        <v>3.032959</v>
      </c>
      <c r="T4857">
        <v>-0.36420730000000001</v>
      </c>
      <c r="U4857">
        <v>0.47882079999999999</v>
      </c>
      <c r="V4857">
        <v>-2.6354830000000001E-3</v>
      </c>
      <c r="W4857">
        <v>8.8191069999999996E-2</v>
      </c>
      <c r="X4857">
        <v>0.99610010000000004</v>
      </c>
      <c r="Y4857">
        <v>-0.1464009</v>
      </c>
      <c r="Z4857">
        <v>7.6738169999999899E-3</v>
      </c>
      <c r="AA4857">
        <v>0.98919559999999995</v>
      </c>
      <c r="AB4857">
        <v>27</v>
      </c>
      <c r="AC4857">
        <v>8.98599999999999</v>
      </c>
      <c r="AD4857">
        <v>-1.109524552416</v>
      </c>
      <c r="AE4857">
        <v>1.45634</v>
      </c>
      <c r="AF4857">
        <v>-1.3581528859801399</v>
      </c>
      <c r="AG4857">
        <v>-1.109524552416</v>
      </c>
      <c r="AH4857">
        <v>8.86658046840415</v>
      </c>
      <c r="AI4857">
        <v>97.051263703656005</v>
      </c>
      <c r="AJ4857">
        <v>98.708684375043504</v>
      </c>
      <c r="AK4857">
        <v>9.0383556688590208</v>
      </c>
      <c r="AL4857">
        <v>84.940450857869294</v>
      </c>
      <c r="AM4857">
        <v>90.151592897670099</v>
      </c>
      <c r="AN4857">
        <v>1.0000000099091899</v>
      </c>
    </row>
    <row r="4858" spans="1:40" x14ac:dyDescent="0.25">
      <c r="A4858" t="str">
        <f>"20190312151413438"</f>
        <v>20190312151413438</v>
      </c>
      <c r="B4858" t="str">
        <f>"1552374853435133"</f>
        <v>1552374853435133</v>
      </c>
      <c r="C4858" t="s">
        <v>40</v>
      </c>
      <c r="D4858">
        <v>4.766813</v>
      </c>
      <c r="E4858">
        <v>0.44522669999999998</v>
      </c>
      <c r="F4858" t="s">
        <v>62</v>
      </c>
      <c r="G4858">
        <v>-370.12369999999999</v>
      </c>
      <c r="H4858" s="1">
        <v>-4.6570590000000002E-6</v>
      </c>
      <c r="I4858">
        <v>19.57132</v>
      </c>
      <c r="J4858">
        <v>-379.05959999999999</v>
      </c>
      <c r="K4858">
        <v>1.1095120000000001</v>
      </c>
      <c r="L4858">
        <v>18.113710000000001</v>
      </c>
      <c r="M4858">
        <v>0.99990919999999905</v>
      </c>
      <c r="N4858">
        <v>0</v>
      </c>
      <c r="O4858">
        <v>8.9173169999999993E-3</v>
      </c>
      <c r="P4858">
        <v>0.99690460000000003</v>
      </c>
      <c r="Q4858">
        <v>7.7762159999999997E-2</v>
      </c>
      <c r="R4858">
        <v>1.1586900000000001E-2</v>
      </c>
      <c r="S4858">
        <v>3.0325319999999998</v>
      </c>
      <c r="T4858">
        <v>-0.36537419999999998</v>
      </c>
      <c r="U4858">
        <v>0.4808655</v>
      </c>
      <c r="V4858">
        <v>-2.7291389999999998E-3</v>
      </c>
      <c r="W4858">
        <v>8.7835300000000005E-2</v>
      </c>
      <c r="X4858">
        <v>0.99613130000000005</v>
      </c>
      <c r="Y4858">
        <v>-0.1468257</v>
      </c>
      <c r="Z4858">
        <v>7.6953169999999897E-3</v>
      </c>
      <c r="AA4858">
        <v>0.98913249999999997</v>
      </c>
      <c r="AB4858">
        <v>27</v>
      </c>
      <c r="AC4858">
        <v>8.9359000000000002</v>
      </c>
      <c r="AD4858">
        <v>-1.109516657059</v>
      </c>
      <c r="AE4858">
        <v>1.4576099999999901</v>
      </c>
      <c r="AF4858">
        <v>-1.3574783085401401</v>
      </c>
      <c r="AG4858">
        <v>-1.109516657059</v>
      </c>
      <c r="AH4858">
        <v>8.8161501461802203</v>
      </c>
      <c r="AI4858">
        <v>97.090296950249297</v>
      </c>
      <c r="AJ4858">
        <v>98.753447350823805</v>
      </c>
      <c r="AK4858">
        <v>8.98878623455035</v>
      </c>
      <c r="AL4858">
        <v>84.960914478666595</v>
      </c>
      <c r="AM4858">
        <v>90.156975044519299</v>
      </c>
      <c r="AN4858">
        <v>1.0000000274827301</v>
      </c>
    </row>
    <row r="4859" spans="1:40" x14ac:dyDescent="0.25">
      <c r="A4859" t="str">
        <f>"20190312151413461"</f>
        <v>20190312151413461</v>
      </c>
      <c r="B4859" t="str">
        <f>"1552374853455630"</f>
        <v>1552374853455630</v>
      </c>
      <c r="C4859" t="s">
        <v>40</v>
      </c>
      <c r="D4859">
        <v>4.7162739999999896</v>
      </c>
      <c r="E4859">
        <v>0.44523119999999999</v>
      </c>
      <c r="F4859" t="s">
        <v>63</v>
      </c>
      <c r="G4859">
        <v>-369.82819999999998</v>
      </c>
      <c r="H4859" s="1">
        <v>-8.81866199999999E-8</v>
      </c>
      <c r="I4859">
        <v>19.57957</v>
      </c>
      <c r="J4859">
        <v>-378.77710000000002</v>
      </c>
      <c r="K4859">
        <v>1.109521</v>
      </c>
      <c r="L4859">
        <v>18.116489999999999</v>
      </c>
      <c r="M4859">
        <v>0.99990800000000002</v>
      </c>
      <c r="N4859">
        <v>0</v>
      </c>
      <c r="O4859">
        <v>9.1683049999999999E-3</v>
      </c>
      <c r="P4859">
        <v>0.99694289999999997</v>
      </c>
      <c r="Q4859">
        <v>7.7249289999999998E-2</v>
      </c>
      <c r="R4859">
        <v>1.171372E-2</v>
      </c>
      <c r="S4859">
        <v>3.0321660000000001</v>
      </c>
      <c r="T4859">
        <v>-0.36442950000000002</v>
      </c>
      <c r="U4859">
        <v>0.48147580000000001</v>
      </c>
      <c r="V4859">
        <v>-2.6057860000000001E-3</v>
      </c>
      <c r="W4859">
        <v>8.7205909999999998E-2</v>
      </c>
      <c r="X4859">
        <v>0.99618689999999999</v>
      </c>
      <c r="Y4859">
        <v>-0.14679690000000001</v>
      </c>
      <c r="Z4859">
        <v>7.644779E-3</v>
      </c>
      <c r="AA4859">
        <v>0.98913709999999999</v>
      </c>
      <c r="AB4859">
        <v>27</v>
      </c>
      <c r="AC4859">
        <v>8.9489000000000303</v>
      </c>
      <c r="AD4859">
        <v>-1.10952108818662</v>
      </c>
      <c r="AE4859">
        <v>1.4630799999999999</v>
      </c>
      <c r="AF4859">
        <v>-1.3605974879451299</v>
      </c>
      <c r="AG4859">
        <v>-1.10952108818662</v>
      </c>
      <c r="AH4859">
        <v>8.8297408749900992</v>
      </c>
      <c r="AI4859">
        <v>97.0793997993799</v>
      </c>
      <c r="AJ4859">
        <v>98.759954068058804</v>
      </c>
      <c r="AK4859">
        <v>9.0025877662372302</v>
      </c>
      <c r="AL4859">
        <v>84.997114643662798</v>
      </c>
      <c r="AM4859">
        <v>90.149871675285894</v>
      </c>
      <c r="AN4859">
        <v>1.0000000002956</v>
      </c>
    </row>
    <row r="4860" spans="1:40" x14ac:dyDescent="0.25">
      <c r="A4860" t="str">
        <f>"20190312151413483"</f>
        <v>20190312151413483</v>
      </c>
      <c r="B4860" t="str">
        <f>"1552374853475149"</f>
        <v>1552374853475149</v>
      </c>
      <c r="C4860" t="s">
        <v>40</v>
      </c>
      <c r="D4860">
        <v>4.7206929999999998</v>
      </c>
      <c r="E4860">
        <v>0.44524370000000002</v>
      </c>
      <c r="F4860" t="s">
        <v>63</v>
      </c>
      <c r="G4860">
        <v>-369.55419999999998</v>
      </c>
      <c r="H4860" s="1">
        <v>-2.1740290000000001E-7</v>
      </c>
      <c r="I4860">
        <v>19.581060000000001</v>
      </c>
      <c r="J4860">
        <v>-378.5059</v>
      </c>
      <c r="K4860">
        <v>1.10955</v>
      </c>
      <c r="L4860">
        <v>18.119260000000001</v>
      </c>
      <c r="M4860">
        <v>0.99990699999999999</v>
      </c>
      <c r="N4860">
        <v>0</v>
      </c>
      <c r="O4860">
        <v>9.4080599999999993E-3</v>
      </c>
      <c r="P4860">
        <v>0.99694130000000003</v>
      </c>
      <c r="Q4860">
        <v>7.7215779999999998E-2</v>
      </c>
      <c r="R4860">
        <v>1.208715E-2</v>
      </c>
      <c r="S4860">
        <v>3.0317989999999999</v>
      </c>
      <c r="T4860">
        <v>-0.36472789999999999</v>
      </c>
      <c r="U4860">
        <v>0.48144530000000002</v>
      </c>
      <c r="V4860">
        <v>-2.7402490000000002E-3</v>
      </c>
      <c r="W4860">
        <v>8.7071469999999998E-2</v>
      </c>
      <c r="X4860">
        <v>0.99619829999999998</v>
      </c>
      <c r="Y4860">
        <v>-0.14657010000000001</v>
      </c>
      <c r="Z4860">
        <v>7.609846E-3</v>
      </c>
      <c r="AA4860">
        <v>0.98917100000000002</v>
      </c>
      <c r="AB4860">
        <v>27</v>
      </c>
      <c r="AC4860">
        <v>8.9517000000000095</v>
      </c>
      <c r="AD4860">
        <v>-1.1095502174028999</v>
      </c>
      <c r="AE4860">
        <v>1.4618</v>
      </c>
      <c r="AF4860">
        <v>-1.3572035962834801</v>
      </c>
      <c r="AG4860">
        <v>-1.1095502174028999</v>
      </c>
      <c r="AH4860">
        <v>8.8328801684340394</v>
      </c>
      <c r="AI4860">
        <v>97.077555420970498</v>
      </c>
      <c r="AJ4860">
        <v>98.7353829946383</v>
      </c>
      <c r="AK4860">
        <v>9.0051582638296299</v>
      </c>
      <c r="AL4860">
        <v>85.004846905769497</v>
      </c>
      <c r="AM4860">
        <v>90.157603467633606</v>
      </c>
      <c r="AN4860">
        <v>1.0000000013877099</v>
      </c>
    </row>
    <row r="4861" spans="1:40" x14ac:dyDescent="0.25">
      <c r="A4861" t="str">
        <f>"20190312151413505"</f>
        <v>20190312151413505</v>
      </c>
      <c r="B4861" t="str">
        <f>"1552374853495645"</f>
        <v>1552374853495645</v>
      </c>
      <c r="C4861" t="s">
        <v>40</v>
      </c>
      <c r="D4861">
        <v>4.7177959999999999</v>
      </c>
      <c r="E4861">
        <v>0.44531589999999999</v>
      </c>
      <c r="F4861" t="s">
        <v>63</v>
      </c>
      <c r="G4861">
        <v>-369.3152</v>
      </c>
      <c r="H4861" s="1">
        <v>-3.303309E-7</v>
      </c>
      <c r="I4861">
        <v>19.58136</v>
      </c>
      <c r="J4861">
        <v>-378.24169999999998</v>
      </c>
      <c r="K4861">
        <v>1.109583</v>
      </c>
      <c r="L4861">
        <v>18.121980000000001</v>
      </c>
      <c r="M4861">
        <v>0.9999055</v>
      </c>
      <c r="N4861">
        <v>0</v>
      </c>
      <c r="O4861">
        <v>9.6410709999999993E-3</v>
      </c>
      <c r="P4861">
        <v>0.99693540000000003</v>
      </c>
      <c r="Q4861">
        <v>7.7291579999999999E-2</v>
      </c>
      <c r="R4861">
        <v>1.208238E-2</v>
      </c>
      <c r="S4861">
        <v>3.0317080000000001</v>
      </c>
      <c r="T4861">
        <v>-0.36600690000000002</v>
      </c>
      <c r="U4861">
        <v>0.4822998</v>
      </c>
      <c r="V4861">
        <v>-2.5036889999999999E-3</v>
      </c>
      <c r="W4861">
        <v>8.7059600000000001E-2</v>
      </c>
      <c r="X4861">
        <v>0.99619999999999997</v>
      </c>
      <c r="Y4861">
        <v>-0.14661070000000001</v>
      </c>
      <c r="Z4861">
        <v>7.6109899999999998E-3</v>
      </c>
      <c r="AA4861">
        <v>0.98916499999999996</v>
      </c>
      <c r="AB4861">
        <v>27</v>
      </c>
      <c r="AC4861">
        <v>8.9264999999999706</v>
      </c>
      <c r="AD4861">
        <v>-1.1095833303309</v>
      </c>
      <c r="AE4861">
        <v>1.4593799999999999</v>
      </c>
      <c r="AF4861">
        <v>-1.35288768016122</v>
      </c>
      <c r="AG4861">
        <v>-1.1095833303309</v>
      </c>
      <c r="AH4861">
        <v>8.8076117803527492</v>
      </c>
      <c r="AI4861">
        <v>97.097915142050596</v>
      </c>
      <c r="AJ4861">
        <v>98.732629018390995</v>
      </c>
      <c r="AK4861">
        <v>8.9797274744553803</v>
      </c>
      <c r="AL4861">
        <v>85.005529798514004</v>
      </c>
      <c r="AM4861">
        <v>90.143997702153101</v>
      </c>
      <c r="AN4861">
        <v>1.00000004120538</v>
      </c>
    </row>
    <row r="4862" spans="1:40" x14ac:dyDescent="0.25">
      <c r="A4862" t="str">
        <f>"20190312151413527"</f>
        <v>20190312151413527</v>
      </c>
      <c r="B4862" t="str">
        <f>"1552374853525902"</f>
        <v>1552374853525902</v>
      </c>
      <c r="C4862" t="s">
        <v>40</v>
      </c>
      <c r="D4862">
        <v>4.707592</v>
      </c>
      <c r="E4862">
        <v>0.44539869999999998</v>
      </c>
      <c r="F4862" t="s">
        <v>63</v>
      </c>
      <c r="G4862">
        <v>-369.07170000000002</v>
      </c>
      <c r="H4862" s="1">
        <v>-4.4609079999999998E-7</v>
      </c>
      <c r="I4862">
        <v>19.57779</v>
      </c>
      <c r="J4862">
        <v>-377.96179999999998</v>
      </c>
      <c r="K4862">
        <v>1.109623</v>
      </c>
      <c r="L4862">
        <v>18.124939999999999</v>
      </c>
      <c r="M4862">
        <v>0.99990389999999996</v>
      </c>
      <c r="N4862">
        <v>0</v>
      </c>
      <c r="O4862">
        <v>9.8880659999999992E-3</v>
      </c>
      <c r="P4862">
        <v>0.99693600000000004</v>
      </c>
      <c r="Q4862">
        <v>7.7271199999999998E-2</v>
      </c>
      <c r="R4862">
        <v>1.216824E-2</v>
      </c>
      <c r="S4862">
        <v>3.0318299999999998</v>
      </c>
      <c r="T4862">
        <v>-0.36685410000000002</v>
      </c>
      <c r="U4862">
        <v>0.48132320000000001</v>
      </c>
      <c r="V4862">
        <v>-2.3431519999999998E-3</v>
      </c>
      <c r="W4862">
        <v>8.6955099999999994E-2</v>
      </c>
      <c r="X4862">
        <v>0.99620949999999997</v>
      </c>
      <c r="Y4862">
        <v>-0.14605079999999901</v>
      </c>
      <c r="Z4862">
        <v>7.5652369999999998E-3</v>
      </c>
      <c r="AA4862">
        <v>0.98924820000000002</v>
      </c>
      <c r="AB4862">
        <v>27</v>
      </c>
      <c r="AC4862">
        <v>8.8900999999999595</v>
      </c>
      <c r="AD4862">
        <v>-1.1096234460908001</v>
      </c>
      <c r="AE4862">
        <v>1.45285</v>
      </c>
      <c r="AF4862">
        <v>-1.3444683674198099</v>
      </c>
      <c r="AG4862">
        <v>-1.1096234460908001</v>
      </c>
      <c r="AH4862">
        <v>8.7709442600158596</v>
      </c>
      <c r="AI4862">
        <v>97.1278749892641</v>
      </c>
      <c r="AJ4862">
        <v>98.714841744068096</v>
      </c>
      <c r="AK4862">
        <v>8.9425009139173195</v>
      </c>
      <c r="AL4862">
        <v>85.011539913019305</v>
      </c>
      <c r="AM4862">
        <v>90.134763293048806</v>
      </c>
      <c r="AN4862">
        <v>1.0000000238337701</v>
      </c>
    </row>
    <row r="4863" spans="1:40" x14ac:dyDescent="0.25">
      <c r="A4863" t="str">
        <f>"20190312151413550"</f>
        <v>20190312151413550</v>
      </c>
      <c r="B4863" t="str">
        <f>"1552374853545421"</f>
        <v>1552374853545421</v>
      </c>
      <c r="C4863" t="s">
        <v>40</v>
      </c>
      <c r="D4863">
        <v>4.6989239999999999</v>
      </c>
      <c r="E4863">
        <v>0.44538240000000001</v>
      </c>
      <c r="F4863" t="s">
        <v>63</v>
      </c>
      <c r="G4863">
        <v>-368.7971</v>
      </c>
      <c r="H4863" s="1">
        <v>-5.7564249999999995E-7</v>
      </c>
      <c r="I4863">
        <v>19.579070000000002</v>
      </c>
      <c r="J4863">
        <v>-377.68290000000002</v>
      </c>
      <c r="K4863">
        <v>1.1096600000000001</v>
      </c>
      <c r="L4863">
        <v>18.12799</v>
      </c>
      <c r="M4863">
        <v>0.99990219999999996</v>
      </c>
      <c r="N4863">
        <v>0</v>
      </c>
      <c r="O4863">
        <v>1.013316E-2</v>
      </c>
      <c r="P4863">
        <v>0.99691450000000004</v>
      </c>
      <c r="Q4863">
        <v>7.752183E-2</v>
      </c>
      <c r="R4863">
        <v>1.2323219999999999E-2</v>
      </c>
      <c r="S4863">
        <v>3.0317989999999999</v>
      </c>
      <c r="T4863">
        <v>-0.36708089999999999</v>
      </c>
      <c r="U4863">
        <v>0.48104859999999999</v>
      </c>
      <c r="V4863">
        <v>-2.254762E-3</v>
      </c>
      <c r="W4863">
        <v>8.7130849999999996E-2</v>
      </c>
      <c r="X4863">
        <v>0.99619429999999998</v>
      </c>
      <c r="Y4863">
        <v>-0.1457253</v>
      </c>
      <c r="Z4863">
        <v>7.5211219999999999E-3</v>
      </c>
      <c r="AA4863">
        <v>0.98929650000000002</v>
      </c>
      <c r="AB4863">
        <v>28</v>
      </c>
      <c r="AC4863">
        <v>8.8858000000000104</v>
      </c>
      <c r="AD4863">
        <v>-1.1096605756425</v>
      </c>
      <c r="AE4863">
        <v>1.4510799999999999</v>
      </c>
      <c r="AF4863">
        <v>-1.3405964408667299</v>
      </c>
      <c r="AG4863">
        <v>-1.1096605756425</v>
      </c>
      <c r="AH4863">
        <v>8.7668797145031707</v>
      </c>
      <c r="AI4863">
        <v>97.1317730860073</v>
      </c>
      <c r="AJ4863">
        <v>98.694095013059297</v>
      </c>
      <c r="AK4863">
        <v>8.9379374208464295</v>
      </c>
      <c r="AL4863">
        <v>85.001431576402993</v>
      </c>
      <c r="AM4863">
        <v>90.129681655277594</v>
      </c>
      <c r="AN4863">
        <v>0.999999976162944</v>
      </c>
    </row>
    <row r="4864" spans="1:40" x14ac:dyDescent="0.25">
      <c r="A4864" t="str">
        <f>"20190312151413572"</f>
        <v>20190312151413572</v>
      </c>
      <c r="B4864" t="str">
        <f>"1552374853564941"</f>
        <v>1552374853564941</v>
      </c>
      <c r="C4864" t="s">
        <v>40</v>
      </c>
      <c r="D4864">
        <v>4.7031320000000001</v>
      </c>
      <c r="E4864">
        <v>0.445405</v>
      </c>
      <c r="F4864" t="s">
        <v>63</v>
      </c>
      <c r="G4864">
        <v>-368.50659999999999</v>
      </c>
      <c r="H4864" s="1">
        <v>-7.1169619999999998E-7</v>
      </c>
      <c r="I4864">
        <v>19.586259999999999</v>
      </c>
      <c r="J4864">
        <v>-377.40539999999999</v>
      </c>
      <c r="K4864">
        <v>1.1096980000000001</v>
      </c>
      <c r="L4864">
        <v>18.131070000000001</v>
      </c>
      <c r="M4864">
        <v>0.99990029999999996</v>
      </c>
      <c r="N4864">
        <v>0</v>
      </c>
      <c r="O4864">
        <v>1.037714E-2</v>
      </c>
      <c r="P4864">
        <v>0.99691580000000002</v>
      </c>
      <c r="Q4864">
        <v>7.7461020000000005E-2</v>
      </c>
      <c r="R4864">
        <v>1.259944E-2</v>
      </c>
      <c r="S4864">
        <v>3.0318299999999998</v>
      </c>
      <c r="T4864">
        <v>-0.36663220000000002</v>
      </c>
      <c r="U4864">
        <v>0.4818115</v>
      </c>
      <c r="V4864">
        <v>-2.2875629999999998E-3</v>
      </c>
      <c r="W4864">
        <v>8.7004499999999999E-2</v>
      </c>
      <c r="X4864">
        <v>0.99620529999999996</v>
      </c>
      <c r="Y4864">
        <v>-0.14572929999999901</v>
      </c>
      <c r="Z4864">
        <v>7.4828159999999998E-3</v>
      </c>
      <c r="AA4864">
        <v>0.98929619999999996</v>
      </c>
      <c r="AB4864">
        <v>28</v>
      </c>
      <c r="AC4864">
        <v>8.8987999999999907</v>
      </c>
      <c r="AD4864">
        <v>-1.1096987116961901</v>
      </c>
      <c r="AE4864">
        <v>1.45518999999999</v>
      </c>
      <c r="AF4864">
        <v>-1.3424313869183799</v>
      </c>
      <c r="AG4864">
        <v>-1.1096987116961901</v>
      </c>
      <c r="AH4864">
        <v>8.7804372482900899</v>
      </c>
      <c r="AI4864">
        <v>97.121145104078494</v>
      </c>
      <c r="AJ4864">
        <v>98.692576058294804</v>
      </c>
      <c r="AK4864">
        <v>8.9515155996336109</v>
      </c>
      <c r="AL4864">
        <v>85.008698653773706</v>
      </c>
      <c r="AM4864">
        <v>90.131566731177401</v>
      </c>
      <c r="AN4864">
        <v>1.0000000078564</v>
      </c>
    </row>
    <row r="4865" spans="1:40" x14ac:dyDescent="0.25">
      <c r="A4865" t="str">
        <f>"20190312151413606"</f>
        <v>20190312151413606</v>
      </c>
      <c r="B4865" t="str">
        <f>"1552374853595197"</f>
        <v>1552374853595197</v>
      </c>
      <c r="C4865" t="s">
        <v>40</v>
      </c>
      <c r="D4865">
        <v>4.7333749999999997</v>
      </c>
      <c r="E4865">
        <v>0.44533980000000001</v>
      </c>
      <c r="F4865" t="s">
        <v>63</v>
      </c>
      <c r="G4865">
        <v>-368.23410000000001</v>
      </c>
      <c r="H4865" s="1">
        <v>-8.3974540000000003E-7</v>
      </c>
      <c r="I4865">
        <v>19.590599999999998</v>
      </c>
      <c r="J4865">
        <v>-376.98869999999999</v>
      </c>
      <c r="K4865">
        <v>1.1097490000000001</v>
      </c>
      <c r="L4865">
        <v>18.1358</v>
      </c>
      <c r="M4865">
        <v>0.99989740000000005</v>
      </c>
      <c r="N4865">
        <v>0</v>
      </c>
      <c r="O4865">
        <v>1.0742959999999999E-2</v>
      </c>
      <c r="P4865">
        <v>0.99692619999999998</v>
      </c>
      <c r="Q4865">
        <v>7.745022E-2</v>
      </c>
      <c r="R4865">
        <v>1.182508E-2</v>
      </c>
      <c r="S4865">
        <v>3.0316160000000001</v>
      </c>
      <c r="T4865">
        <v>-0.36681570000000002</v>
      </c>
      <c r="U4865">
        <v>0.4824524</v>
      </c>
      <c r="V4865">
        <v>-1.14893E-3</v>
      </c>
      <c r="W4865">
        <v>8.6911399999999903E-2</v>
      </c>
      <c r="X4865">
        <v>0.99621539999999997</v>
      </c>
      <c r="Y4865">
        <v>-0.14558479999999999</v>
      </c>
      <c r="Z4865">
        <v>7.4344609999999998E-3</v>
      </c>
      <c r="AA4865">
        <v>0.98931780000000002</v>
      </c>
      <c r="AB4865">
        <v>28</v>
      </c>
      <c r="AC4865">
        <v>8.7545999999999804</v>
      </c>
      <c r="AD4865">
        <v>-1.1097498397454</v>
      </c>
      <c r="AE4865">
        <v>1.4547999999999901</v>
      </c>
      <c r="AF4865">
        <v>-1.3397127024403499</v>
      </c>
      <c r="AG4865">
        <v>-1.1097498397454</v>
      </c>
      <c r="AH4865">
        <v>8.6347052914402003</v>
      </c>
      <c r="AI4865">
        <v>97.237955805259205</v>
      </c>
      <c r="AJ4865">
        <v>98.819372893117801</v>
      </c>
      <c r="AK4865">
        <v>8.8082069856424496</v>
      </c>
      <c r="AL4865">
        <v>85.014053221241994</v>
      </c>
      <c r="AM4865">
        <v>90.066078892948099</v>
      </c>
      <c r="AN4865">
        <v>1.0000000173436301</v>
      </c>
    </row>
    <row r="4866" spans="1:40" x14ac:dyDescent="0.25">
      <c r="A4866" t="str">
        <f>"20190312151413628"</f>
        <v>20190312151413628</v>
      </c>
      <c r="B4866" t="str">
        <f>"1552374853625455"</f>
        <v>1552374853625455</v>
      </c>
      <c r="C4866" t="s">
        <v>40</v>
      </c>
      <c r="D4866">
        <v>4.7240099999999998</v>
      </c>
      <c r="E4866">
        <v>0.4452855</v>
      </c>
      <c r="F4866" t="s">
        <v>63</v>
      </c>
      <c r="G4866">
        <v>-367.85849999999999</v>
      </c>
      <c r="H4866" s="1">
        <v>-1.018543E-6</v>
      </c>
      <c r="I4866">
        <v>19.583639999999999</v>
      </c>
      <c r="J4866">
        <v>-376.72019999999998</v>
      </c>
      <c r="K4866">
        <v>1.1097809999999999</v>
      </c>
      <c r="L4866">
        <v>18.138919999999999</v>
      </c>
      <c r="M4866">
        <v>0.99989510000000004</v>
      </c>
      <c r="N4866">
        <v>0</v>
      </c>
      <c r="O4866">
        <v>1.097855E-2</v>
      </c>
      <c r="P4866">
        <v>0.99698920000000002</v>
      </c>
      <c r="Q4866">
        <v>7.6813370000000006E-2</v>
      </c>
      <c r="R4866">
        <v>1.059797E-2</v>
      </c>
      <c r="S4866">
        <v>3.0321959999999999</v>
      </c>
      <c r="T4866">
        <v>-0.36855389999999999</v>
      </c>
      <c r="U4866">
        <v>0.48083500000000001</v>
      </c>
      <c r="V4866">
        <v>3.14097E-4</v>
      </c>
      <c r="W4866">
        <v>8.623161E-2</v>
      </c>
      <c r="X4866">
        <v>0.99627509999999997</v>
      </c>
      <c r="Y4866">
        <v>-0.14480609999999999</v>
      </c>
      <c r="Z4866">
        <v>7.3931400000000003E-3</v>
      </c>
      <c r="AA4866">
        <v>0.98943250000000005</v>
      </c>
      <c r="AB4866">
        <v>28</v>
      </c>
      <c r="AC4866">
        <v>8.8616999999999795</v>
      </c>
      <c r="AD4866">
        <v>-1.1097820185429901</v>
      </c>
      <c r="AE4866">
        <v>1.44471999999999</v>
      </c>
      <c r="AF4866">
        <v>-1.3270658686299699</v>
      </c>
      <c r="AG4866">
        <v>-1.1097820185429901</v>
      </c>
      <c r="AH4866">
        <v>8.7434504658196595</v>
      </c>
      <c r="AI4866">
        <v>97.152659565789506</v>
      </c>
      <c r="AJ4866">
        <v>98.630385399605402</v>
      </c>
      <c r="AK4866">
        <v>8.9129482213578495</v>
      </c>
      <c r="AL4866">
        <v>85.053149172235607</v>
      </c>
      <c r="AM4866">
        <v>89.981936282597502</v>
      </c>
      <c r="AN4866">
        <v>1.0000000320500599</v>
      </c>
    </row>
    <row r="4867" spans="1:40" x14ac:dyDescent="0.25">
      <c r="A4867" t="str">
        <f>"20190312151413650"</f>
        <v>20190312151413650</v>
      </c>
      <c r="B4867" t="str">
        <f>"1552374853645951"</f>
        <v>1552374853645951</v>
      </c>
      <c r="C4867" t="s">
        <v>40</v>
      </c>
      <c r="D4867">
        <v>4.7179219999999997</v>
      </c>
      <c r="E4867">
        <v>0.44530999999999998</v>
      </c>
      <c r="F4867" t="s">
        <v>63</v>
      </c>
      <c r="G4867">
        <v>-367.66410000000002</v>
      </c>
      <c r="H4867" s="1">
        <v>-1.1136509999999999E-6</v>
      </c>
      <c r="I4867">
        <v>19.56549</v>
      </c>
      <c r="J4867">
        <v>-376.44409999999999</v>
      </c>
      <c r="K4867">
        <v>1.1098030000000001</v>
      </c>
      <c r="L4867">
        <v>18.142209999999999</v>
      </c>
      <c r="M4867">
        <v>0.99989280000000003</v>
      </c>
      <c r="N4867">
        <v>0</v>
      </c>
      <c r="O4867">
        <v>1.1220849999999999E-2</v>
      </c>
      <c r="P4867">
        <v>0.99705909999999998</v>
      </c>
      <c r="Q4867">
        <v>7.6024320000000006E-2</v>
      </c>
      <c r="R4867">
        <v>9.6744110000000008E-3</v>
      </c>
      <c r="S4867">
        <v>3.032654</v>
      </c>
      <c r="T4867">
        <v>-0.3716351</v>
      </c>
      <c r="U4867">
        <v>0.47772219999999999</v>
      </c>
      <c r="V4867">
        <v>1.4801390000000001E-3</v>
      </c>
      <c r="W4867">
        <v>8.5404480000000005E-2</v>
      </c>
      <c r="X4867">
        <v>0.99634529999999999</v>
      </c>
      <c r="Y4867">
        <v>-0.14354729999999999</v>
      </c>
      <c r="Z4867">
        <v>7.3482139999999996E-3</v>
      </c>
      <c r="AA4867">
        <v>0.98961619999999995</v>
      </c>
      <c r="AB4867">
        <v>28</v>
      </c>
      <c r="AC4867">
        <v>8.7799999999999692</v>
      </c>
      <c r="AD4867">
        <v>-1.109804113651</v>
      </c>
      <c r="AE4867">
        <v>1.4232799999999901</v>
      </c>
      <c r="AF4867">
        <v>-1.3043604123911301</v>
      </c>
      <c r="AG4867">
        <v>-1.109804113651</v>
      </c>
      <c r="AH4867">
        <v>8.6605884748470405</v>
      </c>
      <c r="AI4867">
        <v>97.221752661317595</v>
      </c>
      <c r="AJ4867">
        <v>98.564873912737198</v>
      </c>
      <c r="AK4867">
        <v>8.8282962108633001</v>
      </c>
      <c r="AL4867">
        <v>85.100715732898195</v>
      </c>
      <c r="AM4867">
        <v>89.914883268474796</v>
      </c>
      <c r="AN4867">
        <v>1.0000000364238</v>
      </c>
    </row>
    <row r="4868" spans="1:40" x14ac:dyDescent="0.25">
      <c r="A4868" t="str">
        <f>"20190312151413672"</f>
        <v>20190312151413672</v>
      </c>
      <c r="B4868" t="str">
        <f>"1552374853665470"</f>
        <v>1552374853665470</v>
      </c>
      <c r="C4868" t="s">
        <v>40</v>
      </c>
      <c r="D4868">
        <v>4.7365209999999998</v>
      </c>
      <c r="E4868">
        <v>0.44520870000000001</v>
      </c>
      <c r="F4868" t="s">
        <v>63</v>
      </c>
      <c r="G4868">
        <v>-367.4529</v>
      </c>
      <c r="H4868" s="1">
        <v>-1.216265E-6</v>
      </c>
      <c r="I4868">
        <v>19.549710000000001</v>
      </c>
      <c r="J4868">
        <v>-376.16629999999998</v>
      </c>
      <c r="K4868">
        <v>1.1098250000000001</v>
      </c>
      <c r="L4868">
        <v>18.145569999999999</v>
      </c>
      <c r="M4868">
        <v>0.99989039999999996</v>
      </c>
      <c r="N4868">
        <v>0</v>
      </c>
      <c r="O4868">
        <v>1.1464190000000001E-2</v>
      </c>
      <c r="P4868">
        <v>0.99707619999999997</v>
      </c>
      <c r="Q4868">
        <v>7.5940250000000001E-2</v>
      </c>
      <c r="R4868">
        <v>8.5156759999999998E-3</v>
      </c>
      <c r="S4868">
        <v>3.0327760000000001</v>
      </c>
      <c r="T4868">
        <v>-0.3743455</v>
      </c>
      <c r="U4868">
        <v>0.47476200000000002</v>
      </c>
      <c r="V4868">
        <v>2.8815640000000001E-3</v>
      </c>
      <c r="W4868">
        <v>8.528761E-2</v>
      </c>
      <c r="X4868">
        <v>0.99635220000000002</v>
      </c>
      <c r="Y4868">
        <v>-0.14235400000000001</v>
      </c>
      <c r="Z4868">
        <v>7.2990149999999998E-3</v>
      </c>
      <c r="AA4868">
        <v>0.98978889999999997</v>
      </c>
      <c r="AB4868">
        <v>28</v>
      </c>
      <c r="AC4868">
        <v>8.7133999999999698</v>
      </c>
      <c r="AD4868">
        <v>-1.1098262162649899</v>
      </c>
      <c r="AE4868">
        <v>1.40413999999999</v>
      </c>
      <c r="AF4868">
        <v>-1.2838503709170499</v>
      </c>
      <c r="AG4868">
        <v>-1.1098262162649899</v>
      </c>
      <c r="AH4868">
        <v>8.5930477673475796</v>
      </c>
      <c r="AI4868">
        <v>97.279323077400804</v>
      </c>
      <c r="AJ4868">
        <v>98.497461467108295</v>
      </c>
      <c r="AK4868">
        <v>8.7590214029382398</v>
      </c>
      <c r="AL4868">
        <v>85.107436199381695</v>
      </c>
      <c r="AM4868">
        <v>89.834294544360304</v>
      </c>
      <c r="AN4868">
        <v>0.99999999313771903</v>
      </c>
    </row>
    <row r="4869" spans="1:40" x14ac:dyDescent="0.25">
      <c r="A4869" t="str">
        <f>"20190312151413694"</f>
        <v>20190312151413694</v>
      </c>
      <c r="B4869" t="str">
        <f>"1552374853685968"</f>
        <v>1552374853685968</v>
      </c>
      <c r="C4869" t="s">
        <v>40</v>
      </c>
      <c r="D4869">
        <v>4.7375559999999997</v>
      </c>
      <c r="E4869">
        <v>0.44514429999999999</v>
      </c>
      <c r="F4869" t="s">
        <v>63</v>
      </c>
      <c r="G4869">
        <v>-367.24299999999999</v>
      </c>
      <c r="H4869" s="1">
        <v>-1.3182440000000001E-6</v>
      </c>
      <c r="I4869">
        <v>19.534109999999998</v>
      </c>
      <c r="J4869">
        <v>-375.88740000000001</v>
      </c>
      <c r="K4869">
        <v>1.1098509999999999</v>
      </c>
      <c r="L4869">
        <v>18.14902</v>
      </c>
      <c r="M4869">
        <v>0.99988790000000005</v>
      </c>
      <c r="N4869">
        <v>0</v>
      </c>
      <c r="O4869">
        <v>1.1708390000000001E-2</v>
      </c>
      <c r="P4869">
        <v>0.99706740000000005</v>
      </c>
      <c r="Q4869">
        <v>7.6180730000000002E-2</v>
      </c>
      <c r="R4869">
        <v>7.3175030000000004E-3</v>
      </c>
      <c r="S4869">
        <v>3.0335079999999999</v>
      </c>
      <c r="T4869">
        <v>-0.37729380000000001</v>
      </c>
      <c r="U4869">
        <v>0.47204590000000002</v>
      </c>
      <c r="V4869">
        <v>4.3228149999999998E-3</v>
      </c>
      <c r="W4869">
        <v>8.5501869999999994E-2</v>
      </c>
      <c r="X4869">
        <v>0.99632869999999996</v>
      </c>
      <c r="Y4869">
        <v>-0.1412061</v>
      </c>
      <c r="Z4869">
        <v>7.2540669999999899E-3</v>
      </c>
      <c r="AA4869">
        <v>0.98995359999999999</v>
      </c>
      <c r="AB4869">
        <v>28</v>
      </c>
      <c r="AC4869">
        <v>8.6443999999999601</v>
      </c>
      <c r="AD4869">
        <v>-1.1098523182440001</v>
      </c>
      <c r="AE4869">
        <v>1.3850899999999999</v>
      </c>
      <c r="AF4869">
        <v>-1.2634729587778699</v>
      </c>
      <c r="AG4869">
        <v>-1.1098523182440001</v>
      </c>
      <c r="AH4869">
        <v>8.5230486623210702</v>
      </c>
      <c r="AI4869">
        <v>97.339859266586203</v>
      </c>
      <c r="AJ4869">
        <v>98.432225378330202</v>
      </c>
      <c r="AK4869">
        <v>8.68737558680224</v>
      </c>
      <c r="AL4869">
        <v>85.095115364144903</v>
      </c>
      <c r="AM4869">
        <v>89.751409850010006</v>
      </c>
      <c r="AN4869">
        <v>1.00000006747335</v>
      </c>
    </row>
    <row r="4870" spans="1:40" x14ac:dyDescent="0.25">
      <c r="A4870" t="str">
        <f>"20190312151413717"</f>
        <v>20190312151413717</v>
      </c>
      <c r="B4870" t="str">
        <f>"1552374853705485"</f>
        <v>1552374853705485</v>
      </c>
      <c r="C4870" t="s">
        <v>40</v>
      </c>
      <c r="D4870">
        <v>4.8936789999999997</v>
      </c>
      <c r="E4870">
        <v>0.44512279999999999</v>
      </c>
      <c r="F4870" t="s">
        <v>63</v>
      </c>
      <c r="G4870">
        <v>-366.94450000000001</v>
      </c>
      <c r="H4870" s="1">
        <v>-1.459685E-6</v>
      </c>
      <c r="I4870">
        <v>19.532240000000002</v>
      </c>
      <c r="J4870">
        <v>-375.61110000000002</v>
      </c>
      <c r="K4870">
        <v>1.10988</v>
      </c>
      <c r="L4870">
        <v>18.152529999999999</v>
      </c>
      <c r="M4870">
        <v>0.99988509999999997</v>
      </c>
      <c r="N4870">
        <v>0</v>
      </c>
      <c r="O4870">
        <v>1.1950469999999999E-2</v>
      </c>
      <c r="P4870">
        <v>0.99704530000000002</v>
      </c>
      <c r="Q4870">
        <v>7.6571379999999994E-2</v>
      </c>
      <c r="R4870">
        <v>6.1423419999999899E-3</v>
      </c>
      <c r="S4870">
        <v>3.034119</v>
      </c>
      <c r="T4870">
        <v>-0.37654959999999998</v>
      </c>
      <c r="U4870">
        <v>0.46929929999999997</v>
      </c>
      <c r="V4870">
        <v>5.7388339999999999E-3</v>
      </c>
      <c r="W4870">
        <v>8.5875300000000002E-2</v>
      </c>
      <c r="X4870">
        <v>0.99628939999999999</v>
      </c>
      <c r="Y4870">
        <v>-0.14007530000000001</v>
      </c>
      <c r="Z4870">
        <v>7.1397020000000004E-3</v>
      </c>
      <c r="AA4870">
        <v>0.99011510000000003</v>
      </c>
      <c r="AB4870">
        <v>28</v>
      </c>
      <c r="AC4870">
        <v>8.6666000000000096</v>
      </c>
      <c r="AD4870">
        <v>-1.109881459685</v>
      </c>
      <c r="AE4870">
        <v>1.37970999999999</v>
      </c>
      <c r="AF4870">
        <v>-1.2559480484485099</v>
      </c>
      <c r="AG4870">
        <v>-1.109881459685</v>
      </c>
      <c r="AH4870">
        <v>8.5457796645244297</v>
      </c>
      <c r="AI4870">
        <v>97.322071783446702</v>
      </c>
      <c r="AJ4870">
        <v>98.360739268273505</v>
      </c>
      <c r="AK4870">
        <v>8.7085930223861894</v>
      </c>
      <c r="AL4870">
        <v>85.073640256438694</v>
      </c>
      <c r="AM4870">
        <v>89.669968052505695</v>
      </c>
      <c r="AN4870">
        <v>1.0000000349590601</v>
      </c>
    </row>
    <row r="4871" spans="1:40" x14ac:dyDescent="0.25">
      <c r="A4871" t="str">
        <f>"20190312151413739"</f>
        <v>20190312151413739</v>
      </c>
      <c r="B4871" t="str">
        <f>"1552374853735742"</f>
        <v>1552374853735742</v>
      </c>
      <c r="C4871" t="s">
        <v>40</v>
      </c>
      <c r="D4871">
        <v>4.856033</v>
      </c>
      <c r="E4871">
        <v>0.44694640000000002</v>
      </c>
      <c r="F4871" t="s">
        <v>63</v>
      </c>
      <c r="G4871">
        <v>-366.6429</v>
      </c>
      <c r="H4871" s="1">
        <v>-1.6029060000000001E-6</v>
      </c>
      <c r="I4871">
        <v>19.528590000000001</v>
      </c>
      <c r="J4871">
        <v>-375.3295</v>
      </c>
      <c r="K4871">
        <v>1.1098889999999999</v>
      </c>
      <c r="L4871">
        <v>18.156130000000001</v>
      </c>
      <c r="M4871">
        <v>0.99988220000000005</v>
      </c>
      <c r="N4871">
        <v>0</v>
      </c>
      <c r="O4871">
        <v>1.219716E-2</v>
      </c>
      <c r="P4871">
        <v>0.99705080000000001</v>
      </c>
      <c r="Q4871">
        <v>7.6611280000000004E-2</v>
      </c>
      <c r="R4871">
        <v>4.5088630000000001E-3</v>
      </c>
      <c r="S4871">
        <v>3.0348820000000001</v>
      </c>
      <c r="T4871">
        <v>-0.3755888</v>
      </c>
      <c r="U4871">
        <v>0.46566770000000002</v>
      </c>
      <c r="V4871">
        <v>7.6180190000000002E-3</v>
      </c>
      <c r="W4871">
        <v>8.5905229999999999E-2</v>
      </c>
      <c r="X4871">
        <v>0.9962742</v>
      </c>
      <c r="Y4871">
        <v>-0.13865350000000001</v>
      </c>
      <c r="Z4871">
        <v>7.0031290000000003E-3</v>
      </c>
      <c r="AA4871">
        <v>0.99031619999999998</v>
      </c>
      <c r="AB4871">
        <v>28</v>
      </c>
      <c r="AC4871">
        <v>8.6865999999999897</v>
      </c>
      <c r="AD4871">
        <v>-1.1098906029059901</v>
      </c>
      <c r="AE4871">
        <v>1.37246</v>
      </c>
      <c r="AF4871">
        <v>-1.2465468512660001</v>
      </c>
      <c r="AG4871">
        <v>-1.1098906029059901</v>
      </c>
      <c r="AH4871">
        <v>8.5662540765497397</v>
      </c>
      <c r="AI4871">
        <v>97.306318925401001</v>
      </c>
      <c r="AJ4871">
        <v>98.279470768823501</v>
      </c>
      <c r="AK4871">
        <v>8.7273389476303294</v>
      </c>
      <c r="AL4871">
        <v>85.071918920632498</v>
      </c>
      <c r="AM4871">
        <v>89.561895881295001</v>
      </c>
      <c r="AN4871">
        <v>1.0000000121702299</v>
      </c>
    </row>
    <row r="4872" spans="1:40" x14ac:dyDescent="0.25">
      <c r="A4872" t="str">
        <f>"20190312151413762"</f>
        <v>20190312151413762</v>
      </c>
      <c r="B4872" t="str">
        <f>"1552374853755262"</f>
        <v>1552374853755262</v>
      </c>
      <c r="C4872" t="s">
        <v>40</v>
      </c>
      <c r="D4872">
        <v>4.8297919999999896</v>
      </c>
      <c r="E4872">
        <v>0.54237139999999995</v>
      </c>
      <c r="F4872" t="s">
        <v>63</v>
      </c>
      <c r="G4872">
        <v>-366.34320000000002</v>
      </c>
      <c r="H4872" s="1">
        <v>-1.7542930000000001E-6</v>
      </c>
      <c r="I4872">
        <v>19.4739</v>
      </c>
      <c r="J4872">
        <v>-375.04910000000001</v>
      </c>
      <c r="K4872">
        <v>1.109907</v>
      </c>
      <c r="L4872">
        <v>18.159790000000001</v>
      </c>
      <c r="M4872">
        <v>0.99987919999999997</v>
      </c>
      <c r="N4872">
        <v>0</v>
      </c>
      <c r="O4872">
        <v>1.244265E-2</v>
      </c>
      <c r="P4872">
        <v>0.99708960000000002</v>
      </c>
      <c r="Q4872">
        <v>7.6180300000000006E-2</v>
      </c>
      <c r="R4872">
        <v>3.007432E-3</v>
      </c>
      <c r="S4872">
        <v>3.0356749999999999</v>
      </c>
      <c r="T4872">
        <v>-0.37493379999999998</v>
      </c>
      <c r="U4872">
        <v>0.4451599</v>
      </c>
      <c r="V4872">
        <v>9.3645499999999993E-3</v>
      </c>
      <c r="W4872">
        <v>8.5467210000000002E-2</v>
      </c>
      <c r="X4872">
        <v>0.99629699999999999</v>
      </c>
      <c r="Y4872">
        <v>-0.1318802</v>
      </c>
      <c r="Z4872">
        <v>6.5481089999999999E-3</v>
      </c>
      <c r="AA4872">
        <v>0.99124400000000001</v>
      </c>
      <c r="AB4872">
        <v>28</v>
      </c>
      <c r="AC4872">
        <v>8.7058999999999802</v>
      </c>
      <c r="AD4872">
        <v>-1.109908754293</v>
      </c>
      <c r="AE4872">
        <v>1.3141099999999899</v>
      </c>
      <c r="AF4872">
        <v>-1.1868188402633899</v>
      </c>
      <c r="AG4872">
        <v>-1.109908754293</v>
      </c>
      <c r="AH4872">
        <v>8.5851473935453697</v>
      </c>
      <c r="AI4872">
        <v>97.297834156247404</v>
      </c>
      <c r="AJ4872">
        <v>97.870737307205701</v>
      </c>
      <c r="AK4872">
        <v>8.73757358603401</v>
      </c>
      <c r="AL4872">
        <v>85.097108325406793</v>
      </c>
      <c r="AM4872">
        <v>89.461472440566894</v>
      </c>
      <c r="AN4872">
        <v>1.00000002549544</v>
      </c>
    </row>
    <row r="4873" spans="1:40" x14ac:dyDescent="0.25">
      <c r="A4873" t="str">
        <f>"20190312151413786"</f>
        <v>20190312151413786</v>
      </c>
      <c r="B4873" t="str">
        <f>"1552374853775757"</f>
        <v>1552374853775757</v>
      </c>
      <c r="C4873" t="s">
        <v>40</v>
      </c>
      <c r="D4873">
        <v>4.8025399999999996</v>
      </c>
      <c r="E4873">
        <v>0.54387909999999995</v>
      </c>
      <c r="F4873" t="s">
        <v>42</v>
      </c>
      <c r="G4873">
        <v>-358.93389999999999</v>
      </c>
      <c r="H4873" s="1">
        <v>-1.193897E-6</v>
      </c>
      <c r="I4873">
        <v>16.44032</v>
      </c>
      <c r="J4873">
        <v>-374.74450000000002</v>
      </c>
      <c r="K4873">
        <v>1.1099289999999999</v>
      </c>
      <c r="L4873">
        <v>18.16385</v>
      </c>
      <c r="M4873">
        <v>0.99987590000000004</v>
      </c>
      <c r="N4873">
        <v>0</v>
      </c>
      <c r="O4873">
        <v>1.270953E-2</v>
      </c>
      <c r="P4873">
        <v>0.99707970000000001</v>
      </c>
      <c r="Q4873">
        <v>7.6358850000000006E-2</v>
      </c>
      <c r="R4873">
        <v>1.154144E-3</v>
      </c>
      <c r="S4873">
        <v>3.0256349999999999</v>
      </c>
      <c r="T4873">
        <v>-0.20838570000000001</v>
      </c>
      <c r="U4873">
        <v>-0.32281490000000002</v>
      </c>
      <c r="V4873">
        <v>1.148367E-2</v>
      </c>
      <c r="W4873">
        <v>8.5640620000000001E-2</v>
      </c>
      <c r="X4873">
        <v>0.99625989999999998</v>
      </c>
      <c r="Y4873">
        <v>0.1184137</v>
      </c>
      <c r="Z4873">
        <v>-4.933481E-3</v>
      </c>
      <c r="AA4873">
        <v>0.9929521</v>
      </c>
      <c r="AB4873">
        <v>28</v>
      </c>
      <c r="AC4873">
        <v>15.810600000000001</v>
      </c>
      <c r="AD4873">
        <v>-1.1099301938969901</v>
      </c>
      <c r="AE4873">
        <v>-1.72353</v>
      </c>
      <c r="AF4873">
        <v>1.91501788844999</v>
      </c>
      <c r="AG4873">
        <v>-1.1099301938969901</v>
      </c>
      <c r="AH4873">
        <v>15.7108983966419</v>
      </c>
      <c r="AI4873">
        <v>94.011477190627701</v>
      </c>
      <c r="AJ4873">
        <v>83.050439544591299</v>
      </c>
      <c r="AK4873">
        <v>15.866050768165699</v>
      </c>
      <c r="AL4873">
        <v>85.087135924066402</v>
      </c>
      <c r="AM4873">
        <v>89.339593326938001</v>
      </c>
      <c r="AN4873">
        <v>0.99999998940933099</v>
      </c>
    </row>
    <row r="4874" spans="1:40" x14ac:dyDescent="0.25">
      <c r="A4874" t="str">
        <f>"20190312151413807"</f>
        <v>20190312151413807</v>
      </c>
      <c r="B4874" t="str">
        <f>"1552374853795278"</f>
        <v>1552374853795278</v>
      </c>
      <c r="C4874" t="s">
        <v>40</v>
      </c>
      <c r="D4874">
        <v>4.7400250000000002</v>
      </c>
      <c r="E4874">
        <v>0.54426790000000003</v>
      </c>
      <c r="F4874" t="s">
        <v>41</v>
      </c>
      <c r="G4874">
        <v>-373.76350000000002</v>
      </c>
      <c r="H4874">
        <v>1.044551</v>
      </c>
      <c r="I4874">
        <v>18.053370000000001</v>
      </c>
      <c r="J4874">
        <v>-374.47179999999997</v>
      </c>
      <c r="K4874">
        <v>1.109947</v>
      </c>
      <c r="L4874">
        <v>18.1676</v>
      </c>
      <c r="M4874">
        <v>0.99987289999999995</v>
      </c>
      <c r="N4874">
        <v>0</v>
      </c>
      <c r="O4874">
        <v>1.294788E-2</v>
      </c>
      <c r="P4874">
        <v>0.9970618</v>
      </c>
      <c r="Q4874">
        <v>7.6603320000000003E-2</v>
      </c>
      <c r="R4874" s="1">
        <v>8.3490970000000002E-5</v>
      </c>
      <c r="S4874">
        <v>3.0246279999999999</v>
      </c>
      <c r="T4874">
        <v>-0.20156260000000001</v>
      </c>
      <c r="U4874">
        <v>-0.34036250000000001</v>
      </c>
      <c r="V4874">
        <v>1.2791139999999999E-2</v>
      </c>
      <c r="W4874">
        <v>8.5887660000000005E-2</v>
      </c>
      <c r="X4874">
        <v>0.99622270000000002</v>
      </c>
      <c r="Y4874">
        <v>0.12438150000000001</v>
      </c>
      <c r="Z4874">
        <v>-4.9862209999999999E-3</v>
      </c>
      <c r="AA4874">
        <v>0.99222200000000005</v>
      </c>
      <c r="AB4874">
        <v>28</v>
      </c>
      <c r="AC4874">
        <v>0.70829999999995097</v>
      </c>
      <c r="AD4874">
        <v>-6.5395999999999996E-2</v>
      </c>
      <c r="AE4874">
        <v>-0.114229999999999</v>
      </c>
      <c r="AF4874">
        <v>0.12237506455715599</v>
      </c>
      <c r="AG4874">
        <v>-6.5395999999999996E-2</v>
      </c>
      <c r="AH4874">
        <v>0.70093785743082704</v>
      </c>
      <c r="AI4874">
        <v>95.251168613010904</v>
      </c>
      <c r="AJ4874">
        <v>80.096682250390003</v>
      </c>
      <c r="AK4874">
        <v>0.71453913344273001</v>
      </c>
      <c r="AL4874">
        <v>85.072929211164194</v>
      </c>
      <c r="AM4874">
        <v>89.264383287058095</v>
      </c>
      <c r="AN4874">
        <v>0.99999998569903203</v>
      </c>
    </row>
    <row r="4875" spans="1:40" x14ac:dyDescent="0.25">
      <c r="A4875" t="str">
        <f>"20190312151413829"</f>
        <v>20190312151413829</v>
      </c>
      <c r="B4875" t="str">
        <f>"1552374853825535"</f>
        <v>1552374853825535</v>
      </c>
      <c r="C4875" t="s">
        <v>40</v>
      </c>
      <c r="D4875">
        <v>4.8141059999999998</v>
      </c>
      <c r="E4875">
        <v>0.5444502</v>
      </c>
      <c r="F4875" t="s">
        <v>41</v>
      </c>
      <c r="G4875">
        <v>-373.5095</v>
      </c>
      <c r="H4875">
        <v>1.0464359999999999</v>
      </c>
      <c r="I4875">
        <v>18.057089999999999</v>
      </c>
      <c r="J4875">
        <v>-374.20159999999998</v>
      </c>
      <c r="K4875">
        <v>1.109961</v>
      </c>
      <c r="L4875">
        <v>18.171330000000001</v>
      </c>
      <c r="M4875">
        <v>0.99986960000000003</v>
      </c>
      <c r="N4875">
        <v>0</v>
      </c>
      <c r="O4875">
        <v>1.3184359999999999E-2</v>
      </c>
      <c r="P4875">
        <v>0.9970369</v>
      </c>
      <c r="Q4875">
        <v>7.6921310000000007E-2</v>
      </c>
      <c r="R4875">
        <v>-6.1571320000000001E-4</v>
      </c>
      <c r="S4875">
        <v>3.0241699999999998</v>
      </c>
      <c r="T4875">
        <v>-0.19964370000000001</v>
      </c>
      <c r="U4875">
        <v>-0.34686280000000003</v>
      </c>
      <c r="V4875">
        <v>1.3725630000000001E-2</v>
      </c>
      <c r="W4875">
        <v>8.621355E-2</v>
      </c>
      <c r="X4875">
        <v>0.99618209999999996</v>
      </c>
      <c r="Y4875">
        <v>0.1267382</v>
      </c>
      <c r="Z4875">
        <v>-5.0320019999999998E-3</v>
      </c>
      <c r="AA4875">
        <v>0.99192349999999996</v>
      </c>
      <c r="AB4875">
        <v>28</v>
      </c>
      <c r="AC4875">
        <v>0.69209999999998195</v>
      </c>
      <c r="AD4875">
        <v>-6.3524999999999804E-2</v>
      </c>
      <c r="AE4875">
        <v>-0.114239999999998</v>
      </c>
      <c r="AF4875">
        <v>0.122351929597225</v>
      </c>
      <c r="AG4875">
        <v>-6.3524999999999804E-2</v>
      </c>
      <c r="AH4875">
        <v>0.68491645693751402</v>
      </c>
      <c r="AI4875">
        <v>95.216822126931902</v>
      </c>
      <c r="AJ4875">
        <v>79.871646298130699</v>
      </c>
      <c r="AK4875">
        <v>0.69865297056908104</v>
      </c>
      <c r="AL4875">
        <v>85.054187507882204</v>
      </c>
      <c r="AM4875">
        <v>89.210615296945605</v>
      </c>
      <c r="AN4875">
        <v>0.99999997274145402</v>
      </c>
    </row>
    <row r="4876" spans="1:40" x14ac:dyDescent="0.25">
      <c r="A4876" t="str">
        <f>"20190312151413851"</f>
        <v>20190312151413851</v>
      </c>
      <c r="B4876" t="str">
        <f>"1552374853845053"</f>
        <v>1552374853845053</v>
      </c>
      <c r="C4876" t="s">
        <v>40</v>
      </c>
      <c r="D4876">
        <v>4.8187009999999999</v>
      </c>
      <c r="E4876">
        <v>0.54442400000000002</v>
      </c>
      <c r="F4876" t="s">
        <v>42</v>
      </c>
      <c r="G4876">
        <v>-356.8098</v>
      </c>
      <c r="H4876" s="1">
        <v>-1.9927180000000001E-6</v>
      </c>
      <c r="I4876">
        <v>16.15466</v>
      </c>
      <c r="J4876">
        <v>-373.91719999999998</v>
      </c>
      <c r="K4876">
        <v>1.1099699999999999</v>
      </c>
      <c r="L4876">
        <v>18.175319999999999</v>
      </c>
      <c r="M4876">
        <v>0.99986640000000004</v>
      </c>
      <c r="N4876">
        <v>0</v>
      </c>
      <c r="O4876">
        <v>1.3432980000000001E-2</v>
      </c>
      <c r="P4876">
        <v>0.99698620000000004</v>
      </c>
      <c r="Q4876">
        <v>7.757443E-2</v>
      </c>
      <c r="R4876">
        <v>-8.6495439999999995E-4</v>
      </c>
      <c r="S4876">
        <v>3.02359</v>
      </c>
      <c r="T4876">
        <v>-0.19296920000000001</v>
      </c>
      <c r="U4876">
        <v>-0.35058590000000001</v>
      </c>
      <c r="V4876">
        <v>1.4221869999999999E-2</v>
      </c>
      <c r="W4876">
        <v>8.6876239999999993E-2</v>
      </c>
      <c r="X4876">
        <v>0.99611760000000005</v>
      </c>
      <c r="Y4876">
        <v>0.1282278</v>
      </c>
      <c r="Z4876">
        <v>-4.9278339999999999E-3</v>
      </c>
      <c r="AA4876">
        <v>0.99173250000000002</v>
      </c>
      <c r="AB4876">
        <v>28</v>
      </c>
      <c r="AC4876">
        <v>17.107399999999899</v>
      </c>
      <c r="AD4876">
        <v>-1.1099719927180001</v>
      </c>
      <c r="AE4876">
        <v>-2.0206599999999999</v>
      </c>
      <c r="AF4876">
        <v>2.2409868144589602</v>
      </c>
      <c r="AG4876">
        <v>-1.1099719927180001</v>
      </c>
      <c r="AH4876">
        <v>17.008097046501199</v>
      </c>
      <c r="AI4876">
        <v>93.702000792389896</v>
      </c>
      <c r="AJ4876">
        <v>82.493945762011705</v>
      </c>
      <c r="AK4876">
        <v>17.190969282457601</v>
      </c>
      <c r="AL4876">
        <v>85.016075342053199</v>
      </c>
      <c r="AM4876">
        <v>89.182026532161203</v>
      </c>
      <c r="AN4876">
        <v>1.0000000078462901</v>
      </c>
    </row>
    <row r="4877" spans="1:40" x14ac:dyDescent="0.25">
      <c r="A4877" t="str">
        <f>"20190312151413875"</f>
        <v>20190312151413875</v>
      </c>
      <c r="B4877" t="str">
        <f>"1552374853865550"</f>
        <v>1552374853865550</v>
      </c>
      <c r="C4877" t="s">
        <v>40</v>
      </c>
      <c r="D4877">
        <v>4.7522440000000001</v>
      </c>
      <c r="E4877">
        <v>0.54458569999999995</v>
      </c>
      <c r="F4877" t="s">
        <v>42</v>
      </c>
      <c r="G4877">
        <v>-356.62709999999998</v>
      </c>
      <c r="H4877" s="1">
        <v>-2.0511070000000001E-6</v>
      </c>
      <c r="I4877">
        <v>16.168890000000001</v>
      </c>
      <c r="J4877">
        <v>-373.62169999999998</v>
      </c>
      <c r="K4877">
        <v>1.109974</v>
      </c>
      <c r="L4877">
        <v>18.179569999999998</v>
      </c>
      <c r="M4877">
        <v>0.99986280000000005</v>
      </c>
      <c r="N4877">
        <v>0</v>
      </c>
      <c r="O4877">
        <v>1.369126E-2</v>
      </c>
      <c r="P4877">
        <v>0.99697259999999999</v>
      </c>
      <c r="Q4877">
        <v>7.7742409999999998E-2</v>
      </c>
      <c r="R4877">
        <v>-1.415106E-3</v>
      </c>
      <c r="S4877">
        <v>3.0238649999999998</v>
      </c>
      <c r="T4877">
        <v>-0.19412370000000001</v>
      </c>
      <c r="U4877">
        <v>-0.35089110000000001</v>
      </c>
      <c r="V4877">
        <v>1.5028949999999999E-2</v>
      </c>
      <c r="W4877">
        <v>8.7054359999999997E-2</v>
      </c>
      <c r="X4877">
        <v>0.99609020000000004</v>
      </c>
      <c r="Y4877">
        <v>0.12856789999999901</v>
      </c>
      <c r="Z4877">
        <v>-4.9841640000000001E-3</v>
      </c>
      <c r="AA4877">
        <v>0.99168820000000002</v>
      </c>
      <c r="AB4877">
        <v>28</v>
      </c>
      <c r="AC4877">
        <v>16.994599999999899</v>
      </c>
      <c r="AD4877">
        <v>-1.109976051107</v>
      </c>
      <c r="AE4877">
        <v>-2.0106799999999998</v>
      </c>
      <c r="AF4877">
        <v>2.2337816970345301</v>
      </c>
      <c r="AG4877">
        <v>-1.109976051107</v>
      </c>
      <c r="AH4877">
        <v>16.8944029675427</v>
      </c>
      <c r="AI4877">
        <v>93.7266358385329</v>
      </c>
      <c r="AJ4877">
        <v>82.468028371763296</v>
      </c>
      <c r="AK4877">
        <v>17.0775489791057</v>
      </c>
      <c r="AL4877">
        <v>85.005831010026398</v>
      </c>
      <c r="AM4877">
        <v>89.135590257983694</v>
      </c>
      <c r="AN4877">
        <v>1.00000000873457</v>
      </c>
    </row>
    <row r="4878" spans="1:40" x14ac:dyDescent="0.25">
      <c r="A4878" t="str">
        <f>"20190312151413897"</f>
        <v>20190312151413897</v>
      </c>
      <c r="B4878" t="str">
        <f>"1552374853885070"</f>
        <v>1552374853885070</v>
      </c>
      <c r="C4878" t="s">
        <v>40</v>
      </c>
      <c r="D4878">
        <v>4.7547889999999997</v>
      </c>
      <c r="E4878">
        <v>0.54464559999999995</v>
      </c>
      <c r="F4878" t="s">
        <v>42</v>
      </c>
      <c r="G4878">
        <v>-356.35930000000002</v>
      </c>
      <c r="H4878" s="1">
        <v>-2.157298E-6</v>
      </c>
      <c r="I4878">
        <v>16.159549999999999</v>
      </c>
      <c r="J4878">
        <v>-373.3442</v>
      </c>
      <c r="K4878">
        <v>1.109982</v>
      </c>
      <c r="L4878">
        <v>18.183620000000001</v>
      </c>
      <c r="M4878">
        <v>0.99985930000000001</v>
      </c>
      <c r="N4878">
        <v>0</v>
      </c>
      <c r="O4878">
        <v>1.393381E-2</v>
      </c>
      <c r="P4878">
        <v>0.99693379999999998</v>
      </c>
      <c r="Q4878">
        <v>7.8225859999999994E-2</v>
      </c>
      <c r="R4878">
        <v>-2.0160690000000001E-3</v>
      </c>
      <c r="S4878">
        <v>3.0237729999999998</v>
      </c>
      <c r="T4878">
        <v>-0.1944294</v>
      </c>
      <c r="U4878">
        <v>-0.35382079999999999</v>
      </c>
      <c r="V4878">
        <v>1.587069E-2</v>
      </c>
      <c r="W4878">
        <v>8.7547910000000007E-2</v>
      </c>
      <c r="X4878">
        <v>0.99603379999999997</v>
      </c>
      <c r="Y4878">
        <v>0.12975599999999901</v>
      </c>
      <c r="Z4878">
        <v>-5.0454330000000002E-3</v>
      </c>
      <c r="AA4878">
        <v>0.99153309999999995</v>
      </c>
      <c r="AB4878">
        <v>28</v>
      </c>
      <c r="AC4878">
        <v>16.9848999999999</v>
      </c>
      <c r="AD4878">
        <v>-1.109984157298</v>
      </c>
      <c r="AE4878">
        <v>-2.02407</v>
      </c>
      <c r="AF4878">
        <v>2.25106896546556</v>
      </c>
      <c r="AG4878">
        <v>-1.109984157298</v>
      </c>
      <c r="AH4878">
        <v>16.8839487060193</v>
      </c>
      <c r="AI4878">
        <v>93.728427530795898</v>
      </c>
      <c r="AJ4878">
        <v>82.4057707277113</v>
      </c>
      <c r="AK4878">
        <v>17.069478616062799</v>
      </c>
      <c r="AL4878">
        <v>84.977443865109194</v>
      </c>
      <c r="AM4878">
        <v>89.087132775005799</v>
      </c>
      <c r="AN4878">
        <v>0.99999992304443897</v>
      </c>
    </row>
    <row r="4879" spans="1:40" x14ac:dyDescent="0.25">
      <c r="A4879" t="str">
        <f>"20190312151413919"</f>
        <v>20190312151413919</v>
      </c>
      <c r="B4879" t="str">
        <f>"1552374853915130"</f>
        <v>1552374853915130</v>
      </c>
      <c r="C4879" t="s">
        <v>40</v>
      </c>
      <c r="D4879">
        <v>4.7291949999999998</v>
      </c>
      <c r="E4879">
        <v>0.54500380000000004</v>
      </c>
      <c r="F4879" t="s">
        <v>42</v>
      </c>
      <c r="G4879">
        <v>-356.12920000000003</v>
      </c>
      <c r="H4879" s="1">
        <v>-2.2562839999999999E-6</v>
      </c>
      <c r="I4879">
        <v>16.158059999999999</v>
      </c>
      <c r="J4879">
        <v>-373.06670000000003</v>
      </c>
      <c r="K4879">
        <v>1.10999</v>
      </c>
      <c r="L4879">
        <v>18.187740000000002</v>
      </c>
      <c r="M4879">
        <v>0.99985579999999996</v>
      </c>
      <c r="N4879">
        <v>0</v>
      </c>
      <c r="O4879">
        <v>1.4176360000000001E-2</v>
      </c>
      <c r="P4879">
        <v>0.99687969999999904</v>
      </c>
      <c r="Q4879">
        <v>7.8886310000000001E-2</v>
      </c>
      <c r="R4879">
        <v>-2.8177810000000001E-3</v>
      </c>
      <c r="S4879">
        <v>3.0238040000000002</v>
      </c>
      <c r="T4879">
        <v>-0.19496769999999999</v>
      </c>
      <c r="U4879">
        <v>-0.35577389999999998</v>
      </c>
      <c r="V4879">
        <v>1.6912989999999999E-2</v>
      </c>
      <c r="W4879">
        <v>8.8218610000000003E-2</v>
      </c>
      <c r="X4879">
        <v>0.9959576</v>
      </c>
      <c r="Y4879">
        <v>0.13062309999999999</v>
      </c>
      <c r="Z4879">
        <v>-5.1025410000000004E-3</v>
      </c>
      <c r="AA4879">
        <v>0.99141900000000005</v>
      </c>
      <c r="AB4879">
        <v>28</v>
      </c>
      <c r="AC4879">
        <v>16.9375</v>
      </c>
      <c r="AD4879">
        <v>-1.1099922562839999</v>
      </c>
      <c r="AE4879">
        <v>-2.0296799999999902</v>
      </c>
      <c r="AF4879">
        <v>2.2600296847851702</v>
      </c>
      <c r="AG4879">
        <v>-1.1099922562839999</v>
      </c>
      <c r="AH4879">
        <v>16.835740831016899</v>
      </c>
      <c r="AI4879">
        <v>93.738652689888895</v>
      </c>
      <c r="AJ4879">
        <v>82.354322474409202</v>
      </c>
      <c r="AK4879">
        <v>17.022984060213702</v>
      </c>
      <c r="AL4879">
        <v>84.938866995240005</v>
      </c>
      <c r="AM4879">
        <v>89.027117406914698</v>
      </c>
      <c r="AN4879">
        <v>1.0000000566894101</v>
      </c>
    </row>
    <row r="4880" spans="1:40" x14ac:dyDescent="0.25">
      <c r="A4880" t="str">
        <f>"20190312151413940"</f>
        <v>20190312151413940</v>
      </c>
      <c r="B4880" t="str">
        <f>"1552374853935626"</f>
        <v>1552374853935626</v>
      </c>
      <c r="C4880" t="s">
        <v>40</v>
      </c>
      <c r="D4880">
        <v>4.6749749999999999</v>
      </c>
      <c r="E4880">
        <v>0.54528920000000003</v>
      </c>
      <c r="F4880" t="s">
        <v>42</v>
      </c>
      <c r="G4880">
        <v>-356.44810000000001</v>
      </c>
      <c r="H4880" s="1">
        <v>-2.1110849999999998E-6</v>
      </c>
      <c r="I4880">
        <v>16.205369999999998</v>
      </c>
      <c r="J4880">
        <v>-372.78930000000003</v>
      </c>
      <c r="K4880">
        <v>1.1099969999999999</v>
      </c>
      <c r="L4880">
        <v>18.191929999999999</v>
      </c>
      <c r="M4880">
        <v>0.99985230000000003</v>
      </c>
      <c r="N4880">
        <v>0</v>
      </c>
      <c r="O4880">
        <v>1.4418490000000001E-2</v>
      </c>
      <c r="P4880">
        <v>0.99685060000000003</v>
      </c>
      <c r="Q4880">
        <v>7.9190880000000005E-2</v>
      </c>
      <c r="R4880">
        <v>-4.2444010000000001E-3</v>
      </c>
      <c r="S4880">
        <v>3.0243530000000001</v>
      </c>
      <c r="T4880">
        <v>-0.20200290000000001</v>
      </c>
      <c r="U4880">
        <v>-0.36074830000000002</v>
      </c>
      <c r="V4880">
        <v>1.8580099999999999E-2</v>
      </c>
      <c r="W4880">
        <v>8.8533009999999995E-2</v>
      </c>
      <c r="X4880">
        <v>0.99589989999999995</v>
      </c>
      <c r="Y4880">
        <v>0.13242409999999999</v>
      </c>
      <c r="Z4880">
        <v>-5.3607739999999996E-3</v>
      </c>
      <c r="AA4880">
        <v>0.99117860000000002</v>
      </c>
      <c r="AB4880">
        <v>28</v>
      </c>
      <c r="AC4880">
        <v>16.341200000000001</v>
      </c>
      <c r="AD4880">
        <v>-1.1099991110849901</v>
      </c>
      <c r="AE4880">
        <v>-1.9865599999999899</v>
      </c>
      <c r="AF4880">
        <v>2.21192203981103</v>
      </c>
      <c r="AG4880">
        <v>-1.1099991110849901</v>
      </c>
      <c r="AH4880">
        <v>16.2370301445998</v>
      </c>
      <c r="AI4880">
        <v>93.875100124084497</v>
      </c>
      <c r="AJ4880">
        <v>82.242519426597497</v>
      </c>
      <c r="AK4880">
        <v>16.424550071568301</v>
      </c>
      <c r="AL4880">
        <v>84.920781961743899</v>
      </c>
      <c r="AM4880">
        <v>88.931179905429303</v>
      </c>
      <c r="AN4880">
        <v>0.99999996239783895</v>
      </c>
    </row>
    <row r="4881" spans="1:40" x14ac:dyDescent="0.25">
      <c r="A4881" t="str">
        <f>"20190312151413963"</f>
        <v>20190312151413963</v>
      </c>
      <c r="B4881" t="str">
        <f>"1552374853955145"</f>
        <v>1552374853955145</v>
      </c>
      <c r="C4881" t="s">
        <v>40</v>
      </c>
      <c r="D4881">
        <v>4.7013059999999998</v>
      </c>
      <c r="E4881">
        <v>0.54550929999999997</v>
      </c>
      <c r="F4881" t="s">
        <v>42</v>
      </c>
      <c r="G4881">
        <v>-356.59989999999999</v>
      </c>
      <c r="H4881" s="1">
        <v>-2.0448139999999999E-6</v>
      </c>
      <c r="I4881">
        <v>16.227439999999898</v>
      </c>
      <c r="J4881">
        <v>-372.49799999999999</v>
      </c>
      <c r="K4881">
        <v>1.109999</v>
      </c>
      <c r="L4881">
        <v>18.196380000000001</v>
      </c>
      <c r="M4881">
        <v>0.99984839999999997</v>
      </c>
      <c r="N4881">
        <v>0</v>
      </c>
      <c r="O4881">
        <v>1.467331E-2</v>
      </c>
      <c r="P4881">
        <v>0.99676679999999995</v>
      </c>
      <c r="Q4881">
        <v>8.0150369999999999E-2</v>
      </c>
      <c r="R4881">
        <v>-5.6668830000000002E-3</v>
      </c>
      <c r="S4881">
        <v>3.024384</v>
      </c>
      <c r="T4881">
        <v>-0.20736109999999999</v>
      </c>
      <c r="U4881">
        <v>-0.36697390000000002</v>
      </c>
      <c r="V4881">
        <v>2.025474E-2</v>
      </c>
      <c r="W4881">
        <v>8.9502399999999899E-2</v>
      </c>
      <c r="X4881">
        <v>0.99578060000000002</v>
      </c>
      <c r="Y4881">
        <v>0.13466339999999999</v>
      </c>
      <c r="Z4881">
        <v>-5.5957159999999997E-3</v>
      </c>
      <c r="AA4881">
        <v>0.99087559999999997</v>
      </c>
      <c r="AB4881">
        <v>28</v>
      </c>
      <c r="AC4881">
        <v>15.898099999999999</v>
      </c>
      <c r="AD4881">
        <v>-1.1100010448140001</v>
      </c>
      <c r="AE4881">
        <v>-1.9689399999999999</v>
      </c>
      <c r="AF4881">
        <v>2.1914943064575101</v>
      </c>
      <c r="AG4881">
        <v>-1.1100010448140001</v>
      </c>
      <c r="AH4881">
        <v>15.791677871889799</v>
      </c>
      <c r="AI4881">
        <v>93.982678945766693</v>
      </c>
      <c r="AJ4881">
        <v>82.099224270903207</v>
      </c>
      <c r="AK4881">
        <v>15.981609419087301</v>
      </c>
      <c r="AL4881">
        <v>84.865018656220897</v>
      </c>
      <c r="AM4881">
        <v>88.834732161436307</v>
      </c>
      <c r="AN4881">
        <v>0.99999996871729302</v>
      </c>
    </row>
    <row r="4882" spans="1:40" x14ac:dyDescent="0.25">
      <c r="A4882" t="str">
        <f>"20190312151413999"</f>
        <v>20190312151413999</v>
      </c>
      <c r="B4882" t="str">
        <f>"1552374853995162"</f>
        <v>1552374853995162</v>
      </c>
      <c r="C4882" t="s">
        <v>40</v>
      </c>
      <c r="D4882">
        <v>4.6547499999999999</v>
      </c>
      <c r="E4882">
        <v>0.54589929999999998</v>
      </c>
      <c r="F4882" t="s">
        <v>42</v>
      </c>
      <c r="G4882">
        <v>-356.5471</v>
      </c>
      <c r="H4882" s="1">
        <v>-2.0639260000000001E-6</v>
      </c>
      <c r="I4882">
        <v>16.231960000000001</v>
      </c>
      <c r="J4882">
        <v>-372.0496</v>
      </c>
      <c r="K4882">
        <v>1.110006</v>
      </c>
      <c r="L4882">
        <v>18.20337</v>
      </c>
      <c r="M4882">
        <v>0.99984249999999997</v>
      </c>
      <c r="N4882">
        <v>0</v>
      </c>
      <c r="O4882">
        <v>1.506479E-2</v>
      </c>
      <c r="P4882">
        <v>0.99661730000000004</v>
      </c>
      <c r="Q4882">
        <v>8.1717629999999999E-2</v>
      </c>
      <c r="R4882">
        <v>-8.7400889999999995E-3</v>
      </c>
      <c r="S4882">
        <v>3.0245359999999999</v>
      </c>
      <c r="T4882">
        <v>-0.2104732</v>
      </c>
      <c r="U4882">
        <v>-0.37246699999999999</v>
      </c>
      <c r="V4882">
        <v>2.3714720000000002E-2</v>
      </c>
      <c r="W4882">
        <v>9.1083780000000003E-2</v>
      </c>
      <c r="X4882">
        <v>0.99556080000000002</v>
      </c>
      <c r="Y4882">
        <v>0.136801799999999</v>
      </c>
      <c r="Z4882">
        <v>-5.7797519999999896E-3</v>
      </c>
      <c r="AA4882">
        <v>0.99058159999999895</v>
      </c>
      <c r="AB4882">
        <v>28</v>
      </c>
      <c r="AC4882">
        <v>15.5024999999999</v>
      </c>
      <c r="AD4882">
        <v>-1.1100080639259999</v>
      </c>
      <c r="AE4882">
        <v>-1.9714099999999899</v>
      </c>
      <c r="AF4882">
        <v>2.1936708560684401</v>
      </c>
      <c r="AG4882">
        <v>-1.1100080639259999</v>
      </c>
      <c r="AH4882">
        <v>15.393377158164601</v>
      </c>
      <c r="AI4882">
        <v>94.0833160280188</v>
      </c>
      <c r="AJ4882">
        <v>81.889534066757506</v>
      </c>
      <c r="AK4882">
        <v>15.588469137803299</v>
      </c>
      <c r="AL4882">
        <v>84.774040651429701</v>
      </c>
      <c r="AM4882">
        <v>88.6354460082472</v>
      </c>
      <c r="AN4882">
        <v>0.99999997471020297</v>
      </c>
    </row>
    <row r="4883" spans="1:40" x14ac:dyDescent="0.25">
      <c r="A4883" t="str">
        <f>"20190312151414020"</f>
        <v>20190312151414020</v>
      </c>
      <c r="B4883" t="str">
        <f>"1552374854015232"</f>
        <v>1552374854015232</v>
      </c>
      <c r="C4883" t="s">
        <v>40</v>
      </c>
      <c r="D4883">
        <v>4.6449040000000004</v>
      </c>
      <c r="E4883">
        <v>0.5460062</v>
      </c>
      <c r="F4883" t="s">
        <v>42</v>
      </c>
      <c r="G4883">
        <v>-356.28190000000001</v>
      </c>
      <c r="H4883" s="1">
        <v>-2.183831E-6</v>
      </c>
      <c r="I4883">
        <v>16.197220000000002</v>
      </c>
      <c r="J4883">
        <v>-371.77620000000002</v>
      </c>
      <c r="K4883">
        <v>1.1100110000000001</v>
      </c>
      <c r="L4883">
        <v>18.207730000000002</v>
      </c>
      <c r="M4883">
        <v>0.99983880000000003</v>
      </c>
      <c r="N4883">
        <v>0</v>
      </c>
      <c r="O4883">
        <v>1.5303519999999999E-2</v>
      </c>
      <c r="P4883">
        <v>0.99652929999999995</v>
      </c>
      <c r="Q4883">
        <v>8.2533110000000007E-2</v>
      </c>
      <c r="R4883">
        <v>-1.085563E-2</v>
      </c>
      <c r="S4883">
        <v>3.0242610000000001</v>
      </c>
      <c r="T4883">
        <v>-0.21290110000000001</v>
      </c>
      <c r="U4883">
        <v>-0.38476559999999999</v>
      </c>
      <c r="V4883">
        <v>2.6066010000000001E-2</v>
      </c>
      <c r="W4883">
        <v>9.1907619999999995E-2</v>
      </c>
      <c r="X4883">
        <v>0.99542629999999999</v>
      </c>
      <c r="Y4883">
        <v>0.14099519999999999</v>
      </c>
      <c r="Z4883">
        <v>-6.0088859999999997E-3</v>
      </c>
      <c r="AA4883">
        <v>0.98999199999999998</v>
      </c>
      <c r="AB4883">
        <v>29</v>
      </c>
      <c r="AC4883">
        <v>15.494300000000001</v>
      </c>
      <c r="AD4883">
        <v>-1.1100131838309999</v>
      </c>
      <c r="AE4883">
        <v>-2.0105099999999898</v>
      </c>
      <c r="AF4883">
        <v>2.2361159262417698</v>
      </c>
      <c r="AG4883">
        <v>-1.1100131838309999</v>
      </c>
      <c r="AH4883">
        <v>15.3840677997045</v>
      </c>
      <c r="AI4883">
        <v>94.084164006681405</v>
      </c>
      <c r="AJ4883">
        <v>81.729821179677302</v>
      </c>
      <c r="AK4883">
        <v>15.5853099349925</v>
      </c>
      <c r="AL4883">
        <v>84.726639311819596</v>
      </c>
      <c r="AM4883">
        <v>88.500008341474896</v>
      </c>
      <c r="AN4883">
        <v>0.99999998311153704</v>
      </c>
    </row>
    <row r="4884" spans="1:40" x14ac:dyDescent="0.25">
      <c r="A4884" t="str">
        <f>"20190312151414041"</f>
        <v>20190312151414041</v>
      </c>
      <c r="B4884" t="str">
        <f>"1552374854035727"</f>
        <v>1552374854035727</v>
      </c>
      <c r="C4884" t="s">
        <v>40</v>
      </c>
      <c r="D4884">
        <v>4.6504070000000004</v>
      </c>
      <c r="E4884">
        <v>0.54611430000000005</v>
      </c>
      <c r="F4884" t="s">
        <v>42</v>
      </c>
      <c r="G4884">
        <v>-356.08339999999998</v>
      </c>
      <c r="H4884" s="1">
        <v>-2.2730749999999998E-6</v>
      </c>
      <c r="I4884">
        <v>16.174139999999898</v>
      </c>
      <c r="J4884">
        <v>-371.50049999999999</v>
      </c>
      <c r="K4884">
        <v>1.1100110000000001</v>
      </c>
      <c r="L4884">
        <v>18.21219</v>
      </c>
      <c r="M4884">
        <v>0.99983500000000003</v>
      </c>
      <c r="N4884">
        <v>0</v>
      </c>
      <c r="O4884">
        <v>1.554433E-2</v>
      </c>
      <c r="P4884">
        <v>0.99645419999999996</v>
      </c>
      <c r="Q4884">
        <v>8.2915409999999995E-2</v>
      </c>
      <c r="R4884">
        <v>-1.427868E-2</v>
      </c>
      <c r="S4884">
        <v>3.0239259999999999</v>
      </c>
      <c r="T4884">
        <v>-0.2138939</v>
      </c>
      <c r="U4884">
        <v>-0.39184570000000002</v>
      </c>
      <c r="V4884">
        <v>2.9727369999999999E-2</v>
      </c>
      <c r="W4884">
        <v>9.2301720000000004E-2</v>
      </c>
      <c r="X4884">
        <v>0.99528720000000004</v>
      </c>
      <c r="Y4884">
        <v>0.143516899999999</v>
      </c>
      <c r="Z4884">
        <v>-6.1422650000000001E-3</v>
      </c>
      <c r="AA4884">
        <v>0.98962879999999998</v>
      </c>
      <c r="AB4884">
        <v>29</v>
      </c>
      <c r="AC4884">
        <v>15.4171</v>
      </c>
      <c r="AD4884">
        <v>-1.1100132730750001</v>
      </c>
      <c r="AE4884">
        <v>-2.0380500000000001</v>
      </c>
      <c r="AF4884">
        <v>2.2659184170645901</v>
      </c>
      <c r="AG4884">
        <v>-1.1100132730750001</v>
      </c>
      <c r="AH4884">
        <v>15.3055767694301</v>
      </c>
      <c r="AI4884">
        <v>94.103455995951705</v>
      </c>
      <c r="AJ4884">
        <v>81.578798326206297</v>
      </c>
      <c r="AK4884">
        <v>15.5121628403042</v>
      </c>
      <c r="AL4884">
        <v>84.703962569430303</v>
      </c>
      <c r="AM4884">
        <v>88.289190683545897</v>
      </c>
      <c r="AN4884">
        <v>0.99999996726295703</v>
      </c>
    </row>
    <row r="4885" spans="1:40" x14ac:dyDescent="0.25">
      <c r="A4885" t="str">
        <f>"20190312151414064"</f>
        <v>20190312151414064</v>
      </c>
      <c r="B4885" t="str">
        <f>"1552374854055247"</f>
        <v>1552374854055247</v>
      </c>
      <c r="C4885" t="s">
        <v>40</v>
      </c>
      <c r="D4885">
        <v>4.6645510000000003</v>
      </c>
      <c r="E4885">
        <v>0.54612399999999905</v>
      </c>
      <c r="F4885" t="s">
        <v>42</v>
      </c>
      <c r="G4885">
        <v>-355.9837</v>
      </c>
      <c r="H4885" s="1">
        <v>-2.3209480000000001E-6</v>
      </c>
      <c r="I4885">
        <v>16.145420000000001</v>
      </c>
      <c r="J4885">
        <v>-371.21280000000002</v>
      </c>
      <c r="K4885">
        <v>1.1100099999999999</v>
      </c>
      <c r="L4885">
        <v>18.21686</v>
      </c>
      <c r="M4885">
        <v>0.99983080000000002</v>
      </c>
      <c r="N4885">
        <v>0</v>
      </c>
      <c r="O4885">
        <v>1.579531E-2</v>
      </c>
      <c r="P4885">
        <v>0.9963883</v>
      </c>
      <c r="Q4885">
        <v>8.2933859999999998E-2</v>
      </c>
      <c r="R4885">
        <v>-1.8235330000000001E-2</v>
      </c>
      <c r="S4885">
        <v>3.022888</v>
      </c>
      <c r="T4885">
        <v>-0.21624589999999999</v>
      </c>
      <c r="U4885">
        <v>-0.40261839999999999</v>
      </c>
      <c r="V4885">
        <v>3.3932320000000002E-2</v>
      </c>
      <c r="W4885">
        <v>9.2336860000000007E-2</v>
      </c>
      <c r="X4885">
        <v>0.99514950000000002</v>
      </c>
      <c r="Y4885">
        <v>0.14725569999999999</v>
      </c>
      <c r="Z4885">
        <v>-6.3611609999999997E-3</v>
      </c>
      <c r="AA4885">
        <v>0.98907800000000001</v>
      </c>
      <c r="AB4885">
        <v>29</v>
      </c>
      <c r="AC4885">
        <v>15.229100000000001</v>
      </c>
      <c r="AD4885">
        <v>-1.110012320948</v>
      </c>
      <c r="AE4885">
        <v>-2.0714399999999902</v>
      </c>
      <c r="AF4885">
        <v>2.2997449112921999</v>
      </c>
      <c r="AG4885">
        <v>-1.110012320948</v>
      </c>
      <c r="AH4885">
        <v>15.115634838919799</v>
      </c>
      <c r="AI4885">
        <v>94.152346819921505</v>
      </c>
      <c r="AJ4885">
        <v>81.349163828253296</v>
      </c>
      <c r="AK4885">
        <v>15.329819652991301</v>
      </c>
      <c r="AL4885">
        <v>84.701940802024197</v>
      </c>
      <c r="AM4885">
        <v>88.047101685446805</v>
      </c>
      <c r="AN4885">
        <v>1.00000001270274</v>
      </c>
    </row>
    <row r="4886" spans="1:40" x14ac:dyDescent="0.25">
      <c r="A4886" t="str">
        <f>"20190312151414084"</f>
        <v>20190312151414084</v>
      </c>
      <c r="B4886" t="str">
        <f>"1552374854075746"</f>
        <v>1552374854075746</v>
      </c>
      <c r="C4886" t="s">
        <v>40</v>
      </c>
      <c r="D4886">
        <v>4.6348909999999997</v>
      </c>
      <c r="E4886">
        <v>0.54602309999999998</v>
      </c>
      <c r="F4886" t="s">
        <v>42</v>
      </c>
      <c r="G4886">
        <v>-355.9101</v>
      </c>
      <c r="H4886" s="1">
        <v>-2.3573069999999998E-6</v>
      </c>
      <c r="I4886">
        <v>16.118500000000001</v>
      </c>
      <c r="J4886">
        <v>-370.93790000000001</v>
      </c>
      <c r="K4886">
        <v>1.110009</v>
      </c>
      <c r="L4886">
        <v>18.221440000000001</v>
      </c>
      <c r="M4886">
        <v>0.99982689999999996</v>
      </c>
      <c r="N4886">
        <v>0</v>
      </c>
      <c r="O4886">
        <v>1.6035029999999999E-2</v>
      </c>
      <c r="P4886">
        <v>0.99638930000000003</v>
      </c>
      <c r="Q4886">
        <v>8.1967559999999995E-2</v>
      </c>
      <c r="R4886">
        <v>-2.213855E-2</v>
      </c>
      <c r="S4886">
        <v>3.0215450000000001</v>
      </c>
      <c r="T4886">
        <v>-0.21917329999999999</v>
      </c>
      <c r="U4886">
        <v>-0.41430660000000002</v>
      </c>
      <c r="V4886">
        <v>3.8074200000000002E-2</v>
      </c>
      <c r="W4886">
        <v>9.1388639999999993E-2</v>
      </c>
      <c r="X4886">
        <v>0.9950871</v>
      </c>
      <c r="Y4886">
        <v>0.15128420000000001</v>
      </c>
      <c r="Z4886">
        <v>-6.6107700000000002E-3</v>
      </c>
      <c r="AA4886">
        <v>0.98846820000000002</v>
      </c>
      <c r="AB4886">
        <v>29</v>
      </c>
      <c r="AC4886">
        <v>15.027799999999999</v>
      </c>
      <c r="AD4886">
        <v>-1.1100113573070001</v>
      </c>
      <c r="AE4886">
        <v>-2.1029399999999998</v>
      </c>
      <c r="AF4886">
        <v>2.33117723091152</v>
      </c>
      <c r="AG4886">
        <v>-1.1100113573070001</v>
      </c>
      <c r="AH4886">
        <v>14.9123482793898</v>
      </c>
      <c r="AI4886">
        <v>94.206105190798894</v>
      </c>
      <c r="AJ4886">
        <v>81.115129675159807</v>
      </c>
      <c r="AK4886">
        <v>15.134220947940801</v>
      </c>
      <c r="AL4886">
        <v>84.756500081244099</v>
      </c>
      <c r="AM4886">
        <v>87.808807551587705</v>
      </c>
      <c r="AN4886">
        <v>0.99999993240654705</v>
      </c>
    </row>
    <row r="4887" spans="1:40" x14ac:dyDescent="0.25">
      <c r="A4887" t="str">
        <f>"20190312151414108"</f>
        <v>20190312151414108</v>
      </c>
      <c r="B4887" t="str">
        <f>"1552374854105701"</f>
        <v>1552374854105701</v>
      </c>
      <c r="C4887" t="s">
        <v>40</v>
      </c>
      <c r="D4887">
        <v>4.674302</v>
      </c>
      <c r="E4887">
        <v>0.54595939999999998</v>
      </c>
      <c r="F4887" t="s">
        <v>42</v>
      </c>
      <c r="G4887">
        <v>-356.03590000000003</v>
      </c>
      <c r="H4887" s="1">
        <v>-2.302677E-6</v>
      </c>
      <c r="I4887">
        <v>16.122150000000001</v>
      </c>
      <c r="J4887">
        <v>-370.6413</v>
      </c>
      <c r="K4887">
        <v>1.109999</v>
      </c>
      <c r="L4887">
        <v>18.226469999999999</v>
      </c>
      <c r="M4887">
        <v>0.99982269999999895</v>
      </c>
      <c r="N4887">
        <v>0</v>
      </c>
      <c r="O4887">
        <v>1.6293519999999999E-2</v>
      </c>
      <c r="P4887">
        <v>0.99639610000000001</v>
      </c>
      <c r="Q4887">
        <v>8.0650689999999997E-2</v>
      </c>
      <c r="R4887">
        <v>-2.6286250000000001E-2</v>
      </c>
      <c r="S4887">
        <v>3.0199579999999999</v>
      </c>
      <c r="T4887">
        <v>-0.2249497</v>
      </c>
      <c r="U4887">
        <v>-0.42541499999999999</v>
      </c>
      <c r="V4887">
        <v>4.247898E-2</v>
      </c>
      <c r="W4887">
        <v>9.0089849999999999E-2</v>
      </c>
      <c r="X4887">
        <v>0.99502729999999995</v>
      </c>
      <c r="Y4887">
        <v>0.1551411</v>
      </c>
      <c r="Z4887">
        <v>-6.9482469999999899E-3</v>
      </c>
      <c r="AA4887">
        <v>0.98786790000000002</v>
      </c>
      <c r="AB4887">
        <v>29</v>
      </c>
      <c r="AC4887">
        <v>14.6053999999999</v>
      </c>
      <c r="AD4887">
        <v>-1.1100013026769999</v>
      </c>
      <c r="AE4887">
        <v>-2.10432</v>
      </c>
      <c r="AF4887">
        <v>2.3288469577695299</v>
      </c>
      <c r="AG4887">
        <v>-1.1100013026769999</v>
      </c>
      <c r="AH4887">
        <v>14.4871976777213</v>
      </c>
      <c r="AI4887">
        <v>94.326087184085296</v>
      </c>
      <c r="AJ4887">
        <v>80.8677133804444</v>
      </c>
      <c r="AK4887">
        <v>14.715112218329599</v>
      </c>
      <c r="AL4887">
        <v>84.831223814152494</v>
      </c>
      <c r="AM4887">
        <v>87.555454732883405</v>
      </c>
      <c r="AN4887">
        <v>0.99999998628007603</v>
      </c>
    </row>
    <row r="4888" spans="1:40" x14ac:dyDescent="0.25">
      <c r="A4888" t="str">
        <f>"20190312151414130"</f>
        <v>20190312151414130</v>
      </c>
      <c r="B4888" t="str">
        <f>"1552374854125221"</f>
        <v>1552374854125221</v>
      </c>
      <c r="C4888" t="s">
        <v>40</v>
      </c>
      <c r="D4888">
        <v>4.6844739999999998</v>
      </c>
      <c r="E4888">
        <v>0.54596109999999998</v>
      </c>
      <c r="F4888" t="s">
        <v>42</v>
      </c>
      <c r="G4888">
        <v>-356.22629999999998</v>
      </c>
      <c r="H4888" s="1">
        <v>-2.218507E-6</v>
      </c>
      <c r="I4888">
        <v>16.136099999999999</v>
      </c>
      <c r="J4888">
        <v>-370.35919999999999</v>
      </c>
      <c r="K4888">
        <v>1.109999</v>
      </c>
      <c r="L4888">
        <v>18.23132</v>
      </c>
      <c r="M4888">
        <v>0.99981830000000005</v>
      </c>
      <c r="N4888">
        <v>0</v>
      </c>
      <c r="O4888">
        <v>1.65392E-2</v>
      </c>
      <c r="P4888">
        <v>0.99641250000000003</v>
      </c>
      <c r="Q4888">
        <v>7.9644019999999996E-2</v>
      </c>
      <c r="R4888">
        <v>-2.861547E-2</v>
      </c>
      <c r="S4888">
        <v>3.0181269999999998</v>
      </c>
      <c r="T4888">
        <v>-0.232406</v>
      </c>
      <c r="U4888">
        <v>-0.4376526</v>
      </c>
      <c r="V4888">
        <v>4.505352E-2</v>
      </c>
      <c r="W4888">
        <v>8.9099170000000005E-2</v>
      </c>
      <c r="X4888">
        <v>0.99500330000000003</v>
      </c>
      <c r="Y4888">
        <v>0.15934589999999901</v>
      </c>
      <c r="Z4888">
        <v>-7.3597840000000003E-3</v>
      </c>
      <c r="AA4888">
        <v>0.98719539999999995</v>
      </c>
      <c r="AB4888">
        <v>29</v>
      </c>
      <c r="AC4888">
        <v>14.132899999999999</v>
      </c>
      <c r="AD4888">
        <v>-1.1100012185070001</v>
      </c>
      <c r="AE4888">
        <v>-2.0952199999999999</v>
      </c>
      <c r="AF4888">
        <v>2.3147193114860398</v>
      </c>
      <c r="AG4888">
        <v>-1.1100012185070001</v>
      </c>
      <c r="AH4888">
        <v>14.0117383191747</v>
      </c>
      <c r="AI4888">
        <v>94.469154659310405</v>
      </c>
      <c r="AJ4888">
        <v>80.619538861249794</v>
      </c>
      <c r="AK4888">
        <v>14.244958368527501</v>
      </c>
      <c r="AL4888">
        <v>84.888214994708093</v>
      </c>
      <c r="AM4888">
        <v>87.407431158267102</v>
      </c>
      <c r="AN4888">
        <v>1.00000002438498</v>
      </c>
    </row>
    <row r="4889" spans="1:40" x14ac:dyDescent="0.25">
      <c r="A4889" t="str">
        <f>"20190312151414152"</f>
        <v>20190312151414152</v>
      </c>
      <c r="B4889" t="str">
        <f>"1552374854145717"</f>
        <v>1552374854145717</v>
      </c>
      <c r="C4889" t="s">
        <v>40</v>
      </c>
      <c r="D4889">
        <v>4.5939430000000003</v>
      </c>
      <c r="E4889">
        <v>0.54595070000000001</v>
      </c>
      <c r="F4889" t="s">
        <v>41</v>
      </c>
      <c r="G4889">
        <v>-369.41609999999997</v>
      </c>
      <c r="H4889">
        <v>1.035809</v>
      </c>
      <c r="I4889">
        <v>18.09207</v>
      </c>
      <c r="J4889">
        <v>-370.0693</v>
      </c>
      <c r="K4889">
        <v>1.1100049999999999</v>
      </c>
      <c r="L4889">
        <v>18.236360000000001</v>
      </c>
      <c r="M4889">
        <v>0.99981410000000004</v>
      </c>
      <c r="N4889">
        <v>0</v>
      </c>
      <c r="O4889">
        <v>1.6790240000000001E-2</v>
      </c>
      <c r="P4889">
        <v>0.99633609999999995</v>
      </c>
      <c r="Q4889">
        <v>7.9069029999999998E-2</v>
      </c>
      <c r="R4889">
        <v>-3.2599889999999999E-2</v>
      </c>
      <c r="S4889">
        <v>3.0169980000000001</v>
      </c>
      <c r="T4889">
        <v>-0.23741519999999999</v>
      </c>
      <c r="U4889">
        <v>-0.4448242</v>
      </c>
      <c r="V4889">
        <v>4.9286280000000002E-2</v>
      </c>
      <c r="W4889">
        <v>8.8539220000000002E-2</v>
      </c>
      <c r="X4889">
        <v>0.99485259999999998</v>
      </c>
      <c r="Y4889">
        <v>0.16191229999999901</v>
      </c>
      <c r="Z4889">
        <v>-7.6393519999999899E-3</v>
      </c>
      <c r="AA4889">
        <v>0.98677559999999997</v>
      </c>
      <c r="AB4889">
        <v>29</v>
      </c>
      <c r="AC4889">
        <v>0.65320000000002598</v>
      </c>
      <c r="AD4889">
        <v>-7.4195999999999901E-2</v>
      </c>
      <c r="AE4889">
        <v>-0.144290000000001</v>
      </c>
      <c r="AF4889">
        <v>0.153351002648866</v>
      </c>
      <c r="AG4889">
        <v>-7.4195999999999901E-2</v>
      </c>
      <c r="AH4889">
        <v>0.64277765161967004</v>
      </c>
      <c r="AI4889">
        <v>96.406289406700793</v>
      </c>
      <c r="AJ4889">
        <v>76.581464063226605</v>
      </c>
      <c r="AK4889">
        <v>0.66496968791901401</v>
      </c>
      <c r="AL4889">
        <v>84.920425011409904</v>
      </c>
      <c r="AM4889">
        <v>87.1638120442352</v>
      </c>
      <c r="AN4889">
        <v>1.0000000133006</v>
      </c>
    </row>
    <row r="4890" spans="1:40" x14ac:dyDescent="0.25">
      <c r="A4890" t="str">
        <f>"20190312151414175"</f>
        <v>20190312151414175</v>
      </c>
      <c r="B4890" t="str">
        <f>"1552374854165241"</f>
        <v>1552374854165241</v>
      </c>
      <c r="C4890" t="s">
        <v>40</v>
      </c>
      <c r="D4890">
        <v>4.6745519999999896</v>
      </c>
      <c r="E4890">
        <v>0.54584259999999996</v>
      </c>
      <c r="F4890" t="s">
        <v>42</v>
      </c>
      <c r="G4890">
        <v>-356.08929999999998</v>
      </c>
      <c r="H4890" s="1">
        <v>-2.2806190000000001E-6</v>
      </c>
      <c r="I4890">
        <v>16.11731</v>
      </c>
      <c r="J4890">
        <v>-369.77319999999997</v>
      </c>
      <c r="K4890">
        <v>1.1100030000000001</v>
      </c>
      <c r="L4890">
        <v>18.241579999999999</v>
      </c>
      <c r="M4890">
        <v>0.99980959999999997</v>
      </c>
      <c r="N4890">
        <v>0</v>
      </c>
      <c r="O4890">
        <v>1.7043530000000001E-2</v>
      </c>
      <c r="P4890">
        <v>0.99616689999999997</v>
      </c>
      <c r="Q4890">
        <v>7.9070870000000001E-2</v>
      </c>
      <c r="R4890">
        <v>-3.741005E-2</v>
      </c>
      <c r="S4890">
        <v>3.0150760000000001</v>
      </c>
      <c r="T4890">
        <v>-0.2393972</v>
      </c>
      <c r="U4890">
        <v>-0.45700069999999998</v>
      </c>
      <c r="V4890">
        <v>5.4345350000000001E-2</v>
      </c>
      <c r="W4890">
        <v>8.855441E-2</v>
      </c>
      <c r="X4890">
        <v>0.99458769999999996</v>
      </c>
      <c r="Y4890">
        <v>0.16612639999999901</v>
      </c>
      <c r="Z4890">
        <v>-7.8915770000000003E-3</v>
      </c>
      <c r="AA4890">
        <v>0.98607290000000003</v>
      </c>
      <c r="AB4890">
        <v>29</v>
      </c>
      <c r="AC4890">
        <v>13.6838999999999</v>
      </c>
      <c r="AD4890">
        <v>-1.1100052806189999</v>
      </c>
      <c r="AE4890">
        <v>-2.1242699999999899</v>
      </c>
      <c r="AF4890">
        <v>2.3421450979092899</v>
      </c>
      <c r="AG4890">
        <v>-1.1100052806189999</v>
      </c>
      <c r="AH4890">
        <v>13.558588535716</v>
      </c>
      <c r="AI4890">
        <v>94.612207409563695</v>
      </c>
      <c r="AJ4890">
        <v>80.199301615335102</v>
      </c>
      <c r="AK4890">
        <v>13.8040964377793</v>
      </c>
      <c r="AL4890">
        <v>84.9195511723549</v>
      </c>
      <c r="AM4890">
        <v>86.872406658964806</v>
      </c>
      <c r="AN4890">
        <v>0.99999999679417995</v>
      </c>
    </row>
    <row r="4891" spans="1:40" x14ac:dyDescent="0.25">
      <c r="A4891" t="str">
        <f>"20190312151414198"</f>
        <v>20190312151414198</v>
      </c>
      <c r="B4891" t="str">
        <f>"1552374854195492"</f>
        <v>1552374854195492</v>
      </c>
      <c r="C4891" t="s">
        <v>40</v>
      </c>
      <c r="D4891">
        <v>4.7780760000000004</v>
      </c>
      <c r="E4891">
        <v>0.57099519999999904</v>
      </c>
      <c r="F4891" t="s">
        <v>42</v>
      </c>
      <c r="G4891">
        <v>-355.91730000000001</v>
      </c>
      <c r="H4891" s="1">
        <v>-2.3614759999999999E-6</v>
      </c>
      <c r="I4891">
        <v>16.077470000000002</v>
      </c>
      <c r="J4891">
        <v>-369.47309999999999</v>
      </c>
      <c r="K4891">
        <v>1.110001</v>
      </c>
      <c r="L4891">
        <v>18.246949999999998</v>
      </c>
      <c r="M4891">
        <v>0.9998051</v>
      </c>
      <c r="N4891">
        <v>0</v>
      </c>
      <c r="O4891">
        <v>1.729346E-2</v>
      </c>
      <c r="P4891">
        <v>0.99593989999999999</v>
      </c>
      <c r="Q4891">
        <v>7.928963E-2</v>
      </c>
      <c r="R4891">
        <v>-4.262676E-2</v>
      </c>
      <c r="S4891">
        <v>3.0130620000000001</v>
      </c>
      <c r="T4891">
        <v>-0.2413787</v>
      </c>
      <c r="U4891">
        <v>-0.47058109999999997</v>
      </c>
      <c r="V4891">
        <v>5.9806829999999998E-2</v>
      </c>
      <c r="W4891">
        <v>8.8788580000000006E-2</v>
      </c>
      <c r="X4891">
        <v>0.99425330000000001</v>
      </c>
      <c r="Y4891">
        <v>0.1707851</v>
      </c>
      <c r="Z4891">
        <v>-8.1643210000000004E-3</v>
      </c>
      <c r="AA4891">
        <v>0.98527450000000005</v>
      </c>
      <c r="AB4891">
        <v>29</v>
      </c>
      <c r="AC4891">
        <v>13.5557999999999</v>
      </c>
      <c r="AD4891">
        <v>-1.1100033614759901</v>
      </c>
      <c r="AE4891">
        <v>-2.1694799999999899</v>
      </c>
      <c r="AF4891">
        <v>2.3879813192153199</v>
      </c>
      <c r="AG4891">
        <v>-1.1100033614759901</v>
      </c>
      <c r="AH4891">
        <v>13.428463923735899</v>
      </c>
      <c r="AI4891">
        <v>94.652687749723299</v>
      </c>
      <c r="AJ4891">
        <v>79.916511604415106</v>
      </c>
      <c r="AK4891">
        <v>13.684232006016501</v>
      </c>
      <c r="AL4891">
        <v>84.9060809043864</v>
      </c>
      <c r="AM4891">
        <v>86.557662972467298</v>
      </c>
      <c r="AN4891">
        <v>0.99999994670697601</v>
      </c>
    </row>
    <row r="4892" spans="1:40" x14ac:dyDescent="0.25">
      <c r="A4892" t="str">
        <f>"20190312151414219"</f>
        <v>20190312151414219</v>
      </c>
      <c r="B4892" t="str">
        <f>"1552374854215013"</f>
        <v>1552374854215013</v>
      </c>
      <c r="C4892" t="s">
        <v>40</v>
      </c>
      <c r="D4892">
        <v>4.8030160000000004</v>
      </c>
      <c r="E4892">
        <v>0.57202319999999995</v>
      </c>
      <c r="F4892" t="s">
        <v>42</v>
      </c>
      <c r="G4892">
        <v>-358.41269999999997</v>
      </c>
      <c r="H4892" s="1">
        <v>-1.56212E-6</v>
      </c>
      <c r="I4892">
        <v>15.72296</v>
      </c>
      <c r="J4892">
        <v>-369.19349999999997</v>
      </c>
      <c r="K4892">
        <v>1.1099969999999999</v>
      </c>
      <c r="L4892">
        <v>18.25198</v>
      </c>
      <c r="M4892">
        <v>0.9998011</v>
      </c>
      <c r="N4892">
        <v>0</v>
      </c>
      <c r="O4892">
        <v>1.7515909999999999E-2</v>
      </c>
      <c r="P4892">
        <v>0.9957165</v>
      </c>
      <c r="Q4892">
        <v>7.9218209999999997E-2</v>
      </c>
      <c r="R4892">
        <v>-4.7679480000000003E-2</v>
      </c>
      <c r="S4892">
        <v>3.0068969999999999</v>
      </c>
      <c r="T4892">
        <v>-0.3017687</v>
      </c>
      <c r="U4892">
        <v>-0.68615719999999902</v>
      </c>
      <c r="V4892">
        <v>6.5077570000000001E-2</v>
      </c>
      <c r="W4892">
        <v>8.873346E-2</v>
      </c>
      <c r="X4892">
        <v>0.99392720000000001</v>
      </c>
      <c r="Y4892">
        <v>0.23829629999999999</v>
      </c>
      <c r="Z4892">
        <v>-1.35096E-2</v>
      </c>
      <c r="AA4892">
        <v>0.97109849999999998</v>
      </c>
      <c r="AB4892">
        <v>29</v>
      </c>
      <c r="AC4892">
        <v>10.780799999999999</v>
      </c>
      <c r="AD4892">
        <v>-1.1099985621199999</v>
      </c>
      <c r="AE4892">
        <v>-2.5290199999999898</v>
      </c>
      <c r="AF4892">
        <v>2.69044262582397</v>
      </c>
      <c r="AG4892">
        <v>-1.1099985621199999</v>
      </c>
      <c r="AH4892">
        <v>10.628055534143</v>
      </c>
      <c r="AI4892">
        <v>95.7813086072711</v>
      </c>
      <c r="AJ4892">
        <v>75.794269155967001</v>
      </c>
      <c r="AK4892">
        <v>11.019353101139201</v>
      </c>
      <c r="AL4892">
        <v>84.909251824324002</v>
      </c>
      <c r="AM4892">
        <v>86.253895158838404</v>
      </c>
      <c r="AN4892">
        <v>0.99999999797025796</v>
      </c>
    </row>
    <row r="4893" spans="1:40" x14ac:dyDescent="0.25">
      <c r="A4893" t="str">
        <f>"20190312151414241"</f>
        <v>20190312151414241</v>
      </c>
      <c r="B4893" t="str">
        <f>"1552374854235509"</f>
        <v>1552374854235509</v>
      </c>
      <c r="C4893" t="s">
        <v>40</v>
      </c>
      <c r="D4893">
        <v>4.3963609999999997</v>
      </c>
      <c r="E4893">
        <v>0.57186219999999999</v>
      </c>
      <c r="F4893" t="s">
        <v>42</v>
      </c>
      <c r="G4893">
        <v>-358.1891</v>
      </c>
      <c r="H4893" s="1">
        <v>-1.657032E-6</v>
      </c>
      <c r="I4893">
        <v>15.652189999999999</v>
      </c>
      <c r="J4893">
        <v>-368.9117</v>
      </c>
      <c r="K4893">
        <v>1.1099870000000001</v>
      </c>
      <c r="L4893">
        <v>18.257110000000001</v>
      </c>
      <c r="M4893">
        <v>0.9997973</v>
      </c>
      <c r="N4893">
        <v>0</v>
      </c>
      <c r="O4893">
        <v>1.7725399999999999E-2</v>
      </c>
      <c r="P4893">
        <v>0.99545950000000005</v>
      </c>
      <c r="Q4893">
        <v>7.8869990000000001E-2</v>
      </c>
      <c r="R4893">
        <v>-5.3293500000000001E-2</v>
      </c>
      <c r="S4893">
        <v>3.0030209999999999</v>
      </c>
      <c r="T4893">
        <v>-0.30291069999999998</v>
      </c>
      <c r="U4893">
        <v>-0.70944209999999996</v>
      </c>
      <c r="V4893">
        <v>7.0896829999999994E-2</v>
      </c>
      <c r="W4893">
        <v>8.8402419999999995E-2</v>
      </c>
      <c r="X4893">
        <v>0.99355859999999996</v>
      </c>
      <c r="Y4893">
        <v>0.245861</v>
      </c>
      <c r="Z4893">
        <v>-1.396206E-2</v>
      </c>
      <c r="AA4893">
        <v>0.96920450000000002</v>
      </c>
      <c r="AB4893">
        <v>29</v>
      </c>
      <c r="AC4893">
        <v>10.7226</v>
      </c>
      <c r="AD4893">
        <v>-1.1099886570319999</v>
      </c>
      <c r="AE4893">
        <v>-2.6049199999999999</v>
      </c>
      <c r="AF4893">
        <v>2.7665869330472201</v>
      </c>
      <c r="AG4893">
        <v>-1.1099886570319999</v>
      </c>
      <c r="AH4893">
        <v>10.5678053295526</v>
      </c>
      <c r="AI4893">
        <v>95.801947159584202</v>
      </c>
      <c r="AJ4893">
        <v>75.329551403308599</v>
      </c>
      <c r="AK4893">
        <v>10.980190688697901</v>
      </c>
      <c r="AL4893">
        <v>84.928293963861506</v>
      </c>
      <c r="AM4893">
        <v>85.918493632952504</v>
      </c>
      <c r="AN4893">
        <v>1.0000000199999299</v>
      </c>
    </row>
    <row r="4894" spans="1:40" x14ac:dyDescent="0.25">
      <c r="A4894" t="str">
        <f>"20190312151414265"</f>
        <v>20190312151414265</v>
      </c>
      <c r="B4894" t="str">
        <f>"1552374854255029"</f>
        <v>1552374854255029</v>
      </c>
      <c r="C4894" t="s">
        <v>40</v>
      </c>
      <c r="D4894">
        <v>4.8008899999999999</v>
      </c>
      <c r="E4894">
        <v>0.57155149999999999</v>
      </c>
      <c r="F4894" t="s">
        <v>42</v>
      </c>
      <c r="G4894">
        <v>-357.04820000000001</v>
      </c>
      <c r="H4894" s="1">
        <v>-2.1162709999999998E-6</v>
      </c>
      <c r="I4894">
        <v>15.385490000000001</v>
      </c>
      <c r="J4894">
        <v>-368.6028</v>
      </c>
      <c r="K4894">
        <v>1.1099749999999999</v>
      </c>
      <c r="L4894">
        <v>18.262820000000001</v>
      </c>
      <c r="M4894">
        <v>0.9997933</v>
      </c>
      <c r="N4894">
        <v>0</v>
      </c>
      <c r="O4894">
        <v>1.7932790000000001E-2</v>
      </c>
      <c r="P4894">
        <v>0.99513580000000001</v>
      </c>
      <c r="Q4894">
        <v>7.8799980000000006E-2</v>
      </c>
      <c r="R4894">
        <v>-5.912369E-2</v>
      </c>
      <c r="S4894">
        <v>2.9970699999999999</v>
      </c>
      <c r="T4894">
        <v>-0.2804159</v>
      </c>
      <c r="U4894">
        <v>-0.72543329999999995</v>
      </c>
      <c r="V4894">
        <v>7.6929849999999994E-2</v>
      </c>
      <c r="W4894">
        <v>8.8348750000000004E-2</v>
      </c>
      <c r="X4894">
        <v>0.99311450000000001</v>
      </c>
      <c r="Y4894">
        <v>0.25153350000000002</v>
      </c>
      <c r="Z4894">
        <v>-1.322686E-2</v>
      </c>
      <c r="AA4894">
        <v>0.96775820000000001</v>
      </c>
      <c r="AB4894">
        <v>29</v>
      </c>
      <c r="AC4894">
        <v>11.554599999999899</v>
      </c>
      <c r="AD4894">
        <v>-1.1099771162709999</v>
      </c>
      <c r="AE4894">
        <v>-2.8773300000000002</v>
      </c>
      <c r="AF4894">
        <v>3.0575150584356798</v>
      </c>
      <c r="AG4894">
        <v>-1.1099771162709999</v>
      </c>
      <c r="AH4894">
        <v>11.402063914554001</v>
      </c>
      <c r="AI4894">
        <v>95.371550543569498</v>
      </c>
      <c r="AJ4894">
        <v>74.989023839629695</v>
      </c>
      <c r="AK4894">
        <v>11.856960362705999</v>
      </c>
      <c r="AL4894">
        <v>84.931381294497598</v>
      </c>
      <c r="AM4894">
        <v>85.570529874512204</v>
      </c>
      <c r="AN4894">
        <v>1.00000005677891</v>
      </c>
    </row>
    <row r="4895" spans="1:40" x14ac:dyDescent="0.25">
      <c r="A4895" t="str">
        <f>"20190312151414287"</f>
        <v>20190312151414287</v>
      </c>
      <c r="B4895" t="str">
        <f>"1552374854275529"</f>
        <v>1552374854275529</v>
      </c>
      <c r="C4895" t="s">
        <v>40</v>
      </c>
      <c r="D4895">
        <v>4.8280839999999996</v>
      </c>
      <c r="E4895">
        <v>0.57094069999999997</v>
      </c>
      <c r="F4895" t="s">
        <v>42</v>
      </c>
      <c r="G4895">
        <v>-355.58929999999998</v>
      </c>
      <c r="H4895" s="1">
        <v>-2.704512E-6</v>
      </c>
      <c r="I4895">
        <v>15.040609999999999</v>
      </c>
      <c r="J4895">
        <v>-368.32679999999999</v>
      </c>
      <c r="K4895">
        <v>1.109953</v>
      </c>
      <c r="L4895">
        <v>18.267910000000001</v>
      </c>
      <c r="M4895">
        <v>0.99979019999999996</v>
      </c>
      <c r="N4895">
        <v>0</v>
      </c>
      <c r="O4895">
        <v>1.8092899999999999E-2</v>
      </c>
      <c r="P4895">
        <v>0.99477099999999996</v>
      </c>
      <c r="Q4895">
        <v>7.8643080000000004E-2</v>
      </c>
      <c r="R4895">
        <v>-6.5161730000000001E-2</v>
      </c>
      <c r="S4895">
        <v>2.9909059999999998</v>
      </c>
      <c r="T4895">
        <v>-0.25510559999999999</v>
      </c>
      <c r="U4895">
        <v>-0.74053959999999996</v>
      </c>
      <c r="V4895">
        <v>8.3123290000000002E-2</v>
      </c>
      <c r="W4895">
        <v>8.8202929999999999E-2</v>
      </c>
      <c r="X4895">
        <v>0.99262819999999996</v>
      </c>
      <c r="Y4895">
        <v>0.25692169999999998</v>
      </c>
      <c r="Z4895">
        <v>-1.2293699999999999E-2</v>
      </c>
      <c r="AA4895">
        <v>0.96635400000000005</v>
      </c>
      <c r="AB4895">
        <v>29</v>
      </c>
      <c r="AC4895">
        <v>12.737500000000001</v>
      </c>
      <c r="AD4895">
        <v>-1.1099557045120001</v>
      </c>
      <c r="AE4895">
        <v>-3.2273000000000001</v>
      </c>
      <c r="AF4895">
        <v>3.4327464360815698</v>
      </c>
      <c r="AG4895">
        <v>-1.1099557045120001</v>
      </c>
      <c r="AH4895">
        <v>12.5872055703437</v>
      </c>
      <c r="AI4895">
        <v>94.862690174040296</v>
      </c>
      <c r="AJ4895">
        <v>74.745422802048907</v>
      </c>
      <c r="AK4895">
        <v>13.0940251195155</v>
      </c>
      <c r="AL4895">
        <v>84.939768574628602</v>
      </c>
      <c r="AM4895">
        <v>85.213184845839507</v>
      </c>
      <c r="AN4895">
        <v>0.99999999081812396</v>
      </c>
    </row>
    <row r="4896" spans="1:40" x14ac:dyDescent="0.25">
      <c r="A4896" t="str">
        <f>"20190312151414309"</f>
        <v>20190312151414309</v>
      </c>
      <c r="B4896" t="str">
        <f>"1552374854305781"</f>
        <v>1552374854305781</v>
      </c>
      <c r="C4896" t="s">
        <v>40</v>
      </c>
      <c r="D4896">
        <v>4.8559479999999997</v>
      </c>
      <c r="E4896">
        <v>0.56983200000000001</v>
      </c>
      <c r="F4896" t="s">
        <v>42</v>
      </c>
      <c r="G4896">
        <v>-354.39260000000002</v>
      </c>
      <c r="H4896" s="1">
        <v>-3.251494E-6</v>
      </c>
      <c r="I4896">
        <v>14.74755</v>
      </c>
      <c r="J4896">
        <v>-368.03129999999999</v>
      </c>
      <c r="K4896">
        <v>1.1099239999999999</v>
      </c>
      <c r="L4896">
        <v>18.27338</v>
      </c>
      <c r="M4896">
        <v>0.99978739999999999</v>
      </c>
      <c r="N4896">
        <v>0</v>
      </c>
      <c r="O4896">
        <v>1.8234819999999999E-2</v>
      </c>
      <c r="P4896">
        <v>0.99437359999999997</v>
      </c>
      <c r="Q4896">
        <v>7.8607780000000002E-2</v>
      </c>
      <c r="R4896">
        <v>-7.1008730000000006E-2</v>
      </c>
      <c r="S4896">
        <v>2.9851380000000001</v>
      </c>
      <c r="T4896">
        <v>-0.23778650000000001</v>
      </c>
      <c r="U4896">
        <v>-0.7541504</v>
      </c>
      <c r="V4896">
        <v>8.9107569999999997E-2</v>
      </c>
      <c r="W4896">
        <v>8.818347E-2</v>
      </c>
      <c r="X4896">
        <v>0.99211059999999995</v>
      </c>
      <c r="Y4896">
        <v>0.26174409999999998</v>
      </c>
      <c r="Z4896">
        <v>-1.1676840000000001E-2</v>
      </c>
      <c r="AA4896">
        <v>0.96506670000000006</v>
      </c>
      <c r="AB4896">
        <v>29</v>
      </c>
      <c r="AC4896">
        <v>13.638699999999901</v>
      </c>
      <c r="AD4896">
        <v>-1.109927251494</v>
      </c>
      <c r="AE4896">
        <v>-3.5258299999999898</v>
      </c>
      <c r="AF4896">
        <v>3.75067053501586</v>
      </c>
      <c r="AG4896">
        <v>-1.109927251494</v>
      </c>
      <c r="AH4896">
        <v>13.4884010677851</v>
      </c>
      <c r="AI4896">
        <v>94.532906055058504</v>
      </c>
      <c r="AJ4896">
        <v>74.460540230895504</v>
      </c>
      <c r="AK4896">
        <v>14.044088839482299</v>
      </c>
      <c r="AL4896">
        <v>84.940887771144304</v>
      </c>
      <c r="AM4896">
        <v>84.867683914210104</v>
      </c>
      <c r="AN4896">
        <v>0.99999996302245198</v>
      </c>
    </row>
    <row r="4897" spans="1:40" x14ac:dyDescent="0.25">
      <c r="A4897" t="str">
        <f>"20190312151414331"</f>
        <v>20190312151414331</v>
      </c>
      <c r="B4897" t="str">
        <f>"1552374854325302"</f>
        <v>1552374854325302</v>
      </c>
      <c r="C4897" t="s">
        <v>40</v>
      </c>
      <c r="D4897">
        <v>4.8835199999999999</v>
      </c>
      <c r="E4897">
        <v>0.56953889999999996</v>
      </c>
      <c r="F4897" t="s">
        <v>42</v>
      </c>
      <c r="G4897">
        <v>-353.25630000000001</v>
      </c>
      <c r="H4897" s="1">
        <v>-3.784748E-6</v>
      </c>
      <c r="I4897">
        <v>14.48939</v>
      </c>
      <c r="J4897">
        <v>-367.7423</v>
      </c>
      <c r="K4897">
        <v>1.1099049999999999</v>
      </c>
      <c r="L4897">
        <v>18.278780000000001</v>
      </c>
      <c r="M4897">
        <v>0.99978520000000004</v>
      </c>
      <c r="N4897">
        <v>0</v>
      </c>
      <c r="O4897">
        <v>1.8349089999999998E-2</v>
      </c>
      <c r="P4897">
        <v>0.99393390000000004</v>
      </c>
      <c r="Q4897">
        <v>7.8678499999999998E-2</v>
      </c>
      <c r="R4897">
        <v>-7.6846830000000005E-2</v>
      </c>
      <c r="S4897">
        <v>2.9801329999999999</v>
      </c>
      <c r="T4897">
        <v>-0.22387290000000001</v>
      </c>
      <c r="U4897">
        <v>-0.76321410000000001</v>
      </c>
      <c r="V4897">
        <v>9.5054529999999998E-2</v>
      </c>
      <c r="W4897">
        <v>8.8270379999999996E-2</v>
      </c>
      <c r="X4897">
        <v>0.99155079999999995</v>
      </c>
      <c r="Y4897">
        <v>0.26507809999999998</v>
      </c>
      <c r="Z4897">
        <v>-1.1140809999999999E-2</v>
      </c>
      <c r="AA4897">
        <v>0.96416259999999998</v>
      </c>
      <c r="AB4897">
        <v>29</v>
      </c>
      <c r="AC4897">
        <v>14.485999999999899</v>
      </c>
      <c r="AD4897">
        <v>-1.10990878474799</v>
      </c>
      <c r="AE4897">
        <v>-3.7893899999999898</v>
      </c>
      <c r="AF4897">
        <v>4.0324129438959897</v>
      </c>
      <c r="AG4897">
        <v>-1.10990878474799</v>
      </c>
      <c r="AH4897">
        <v>14.3352600885557</v>
      </c>
      <c r="AI4897">
        <v>94.262516044967498</v>
      </c>
      <c r="AJ4897">
        <v>74.289061936058403</v>
      </c>
      <c r="AK4897">
        <v>14.9329144331272</v>
      </c>
      <c r="AL4897">
        <v>84.935888920225494</v>
      </c>
      <c r="AM4897">
        <v>84.524101859854298</v>
      </c>
      <c r="AN4897">
        <v>1.0000000063197501</v>
      </c>
    </row>
    <row r="4898" spans="1:40" x14ac:dyDescent="0.25">
      <c r="A4898" t="str">
        <f>"20190312151414353"</f>
        <v>20190312151414353</v>
      </c>
      <c r="B4898" t="str">
        <f>"1552374854345801"</f>
        <v>1552374854345801</v>
      </c>
      <c r="C4898" t="s">
        <v>40</v>
      </c>
      <c r="D4898">
        <v>4.8781470000000002</v>
      </c>
      <c r="E4898">
        <v>0.56891269999999905</v>
      </c>
      <c r="F4898" t="s">
        <v>42</v>
      </c>
      <c r="G4898">
        <v>-353.33370000000002</v>
      </c>
      <c r="H4898" s="1">
        <v>-3.7479830000000001E-6</v>
      </c>
      <c r="I4898">
        <v>14.50939</v>
      </c>
      <c r="J4898">
        <v>-367.4554</v>
      </c>
      <c r="K4898">
        <v>1.109896</v>
      </c>
      <c r="L4898">
        <v>18.284120000000001</v>
      </c>
      <c r="M4898">
        <v>0.99978319999999998</v>
      </c>
      <c r="N4898">
        <v>0</v>
      </c>
      <c r="O4898">
        <v>1.8437930000000002E-2</v>
      </c>
      <c r="P4898">
        <v>0.99350309999999997</v>
      </c>
      <c r="Q4898">
        <v>7.8803289999999998E-2</v>
      </c>
      <c r="R4898">
        <v>-8.2108500000000001E-2</v>
      </c>
      <c r="S4898">
        <v>2.9762569999999999</v>
      </c>
      <c r="T4898">
        <v>-0.229265</v>
      </c>
      <c r="U4898">
        <v>-0.77859500000000004</v>
      </c>
      <c r="V4898">
        <v>0.1003995</v>
      </c>
      <c r="W4898">
        <v>8.8410020000000006E-2</v>
      </c>
      <c r="X4898">
        <v>0.99101139999999999</v>
      </c>
      <c r="Y4898">
        <v>0.27007979999999998</v>
      </c>
      <c r="Z4898">
        <v>-1.1611430000000001E-2</v>
      </c>
      <c r="AA4898">
        <v>0.96276799999999996</v>
      </c>
      <c r="AB4898">
        <v>29</v>
      </c>
      <c r="AC4898">
        <v>14.121699999999899</v>
      </c>
      <c r="AD4898">
        <v>-1.109899747983</v>
      </c>
      <c r="AE4898">
        <v>-3.7747299999999999</v>
      </c>
      <c r="AF4898">
        <v>4.01134873410395</v>
      </c>
      <c r="AG4898">
        <v>-1.109899747983</v>
      </c>
      <c r="AH4898">
        <v>13.96916131031</v>
      </c>
      <c r="AI4898">
        <v>94.367049418285404</v>
      </c>
      <c r="AJ4898">
        <v>73.978186622425198</v>
      </c>
      <c r="AK4898">
        <v>14.576016734026901</v>
      </c>
      <c r="AL4898">
        <v>84.927856667366797</v>
      </c>
      <c r="AM4898">
        <v>84.215094484243807</v>
      </c>
      <c r="AN4898">
        <v>0.99999999308330501</v>
      </c>
    </row>
    <row r="4899" spans="1:40" x14ac:dyDescent="0.25">
      <c r="A4899" t="str">
        <f>"20190312151414366"</f>
        <v>20190312151414366</v>
      </c>
      <c r="B4899" t="str">
        <f>"1552374854355558"</f>
        <v>1552374854355558</v>
      </c>
      <c r="C4899" t="s">
        <v>40</v>
      </c>
      <c r="D4899">
        <v>4.9074280000000003</v>
      </c>
      <c r="E4899">
        <v>0.56875310000000001</v>
      </c>
      <c r="F4899" t="s">
        <v>42</v>
      </c>
      <c r="G4899">
        <v>-353.68849999999998</v>
      </c>
      <c r="H4899" s="1">
        <v>-3.5747529999999998E-6</v>
      </c>
      <c r="I4899">
        <v>14.62785</v>
      </c>
      <c r="J4899">
        <v>-367.28949999999998</v>
      </c>
      <c r="K4899">
        <v>1.1098889999999999</v>
      </c>
      <c r="L4899">
        <v>18.287230000000001</v>
      </c>
      <c r="M4899">
        <v>0.99978239999999996</v>
      </c>
      <c r="N4899">
        <v>0</v>
      </c>
      <c r="O4899">
        <v>1.8480179999999999E-2</v>
      </c>
      <c r="P4899">
        <v>0.99324670000000004</v>
      </c>
      <c r="Q4899">
        <v>7.9022819999999994E-2</v>
      </c>
      <c r="R4899">
        <v>-8.4952639999999996E-2</v>
      </c>
      <c r="S4899">
        <v>2.9733890000000001</v>
      </c>
      <c r="T4899">
        <v>-0.23971899999999999</v>
      </c>
      <c r="U4899">
        <v>-0.78967290000000001</v>
      </c>
      <c r="V4899">
        <v>0.1032822</v>
      </c>
      <c r="W4899">
        <v>8.8637530000000006E-2</v>
      </c>
      <c r="X4899">
        <v>0.99069479999999999</v>
      </c>
      <c r="Y4899">
        <v>0.27361360000000001</v>
      </c>
      <c r="Z4899">
        <v>-1.228812E-2</v>
      </c>
      <c r="AA4899">
        <v>0.96176119999999998</v>
      </c>
      <c r="AB4899">
        <v>29</v>
      </c>
      <c r="AC4899">
        <v>13.601000000000001</v>
      </c>
      <c r="AD4899">
        <v>-1.109892574753</v>
      </c>
      <c r="AE4899">
        <v>-3.6593799999999899</v>
      </c>
      <c r="AF4899">
        <v>3.8859850690693301</v>
      </c>
      <c r="AG4899">
        <v>-1.109892574753</v>
      </c>
      <c r="AH4899">
        <v>13.447543261043799</v>
      </c>
      <c r="AI4899">
        <v>94.533538934997395</v>
      </c>
      <c r="AJ4899">
        <v>73.8821018209334</v>
      </c>
      <c r="AK4899">
        <v>14.0416936742747</v>
      </c>
      <c r="AL4899">
        <v>84.914769990839801</v>
      </c>
      <c r="AM4899">
        <v>84.048283884798096</v>
      </c>
      <c r="AN4899">
        <v>1.00000000565419</v>
      </c>
    </row>
    <row r="4900" spans="1:40" x14ac:dyDescent="0.25">
      <c r="A4900" t="str">
        <f>"20190312151414387"</f>
        <v>20190312151414387</v>
      </c>
      <c r="B4900" t="str">
        <f>"1552374854385814"</f>
        <v>1552374854385814</v>
      </c>
      <c r="C4900" t="s">
        <v>40</v>
      </c>
      <c r="D4900">
        <v>4.9527419999999998</v>
      </c>
      <c r="E4900">
        <v>0.56770240000000005</v>
      </c>
      <c r="F4900" t="s">
        <v>42</v>
      </c>
      <c r="G4900">
        <v>-353.81950000000001</v>
      </c>
      <c r="H4900" s="1">
        <v>-3.5104100000000002E-6</v>
      </c>
      <c r="I4900">
        <v>14.673780000000001</v>
      </c>
      <c r="J4900">
        <v>-367.005</v>
      </c>
      <c r="K4900">
        <v>1.109882</v>
      </c>
      <c r="L4900">
        <v>18.292539999999999</v>
      </c>
      <c r="M4900">
        <v>0.99978129999999998</v>
      </c>
      <c r="N4900">
        <v>0</v>
      </c>
      <c r="O4900">
        <v>1.8527499999999999E-2</v>
      </c>
      <c r="P4900">
        <v>0.99273069999999997</v>
      </c>
      <c r="Q4900">
        <v>7.9711359999999995E-2</v>
      </c>
      <c r="R4900">
        <v>-9.0177110000000005E-2</v>
      </c>
      <c r="S4900">
        <v>2.9717410000000002</v>
      </c>
      <c r="T4900">
        <v>-0.24486459999999999</v>
      </c>
      <c r="U4900">
        <v>-0.79718020000000001</v>
      </c>
      <c r="V4900">
        <v>0.108547</v>
      </c>
      <c r="W4900">
        <v>8.9337120000000006E-2</v>
      </c>
      <c r="X4900">
        <v>0.99006890000000003</v>
      </c>
      <c r="Y4900">
        <v>0.27601209999999998</v>
      </c>
      <c r="Z4900">
        <v>-1.2654530000000001E-2</v>
      </c>
      <c r="AA4900">
        <v>0.9610708</v>
      </c>
      <c r="AB4900">
        <v>29</v>
      </c>
      <c r="AC4900">
        <v>13.1854999999999</v>
      </c>
      <c r="AD4900">
        <v>-1.1098855104100001</v>
      </c>
      <c r="AE4900">
        <v>-3.61876</v>
      </c>
      <c r="AF4900">
        <v>3.83716129431473</v>
      </c>
      <c r="AG4900">
        <v>-1.1098855104100001</v>
      </c>
      <c r="AH4900">
        <v>13.030328993703</v>
      </c>
      <c r="AI4900">
        <v>94.671144540848701</v>
      </c>
      <c r="AJ4900">
        <v>73.591393628583205</v>
      </c>
      <c r="AK4900">
        <v>13.628834371616</v>
      </c>
      <c r="AL4900">
        <v>84.874526749589094</v>
      </c>
      <c r="AM4900">
        <v>83.743319740923297</v>
      </c>
      <c r="AN4900">
        <v>0.99999999948305196</v>
      </c>
    </row>
    <row r="4901" spans="1:40" x14ac:dyDescent="0.25">
      <c r="A4901" t="str">
        <f>"20190312151414411"</f>
        <v>20190312151414411</v>
      </c>
      <c r="B4901" t="str">
        <f>"1552374854405334"</f>
        <v>1552374854405334</v>
      </c>
      <c r="C4901" t="s">
        <v>40</v>
      </c>
      <c r="D4901">
        <v>4.9710219999999996</v>
      </c>
      <c r="E4901">
        <v>0.56708559999999997</v>
      </c>
      <c r="F4901" t="s">
        <v>42</v>
      </c>
      <c r="G4901">
        <v>-354.08569999999997</v>
      </c>
      <c r="H4901" s="1">
        <v>-3.3753460000000001E-6</v>
      </c>
      <c r="I4901">
        <v>14.7915799999999</v>
      </c>
      <c r="J4901">
        <v>-366.70150000000001</v>
      </c>
      <c r="K4901">
        <v>1.1098680000000001</v>
      </c>
      <c r="L4901">
        <v>18.298190000000002</v>
      </c>
      <c r="M4901">
        <v>0.99978069999999997</v>
      </c>
      <c r="N4901">
        <v>0</v>
      </c>
      <c r="O4901">
        <v>1.8555200000000001E-2</v>
      </c>
      <c r="P4901">
        <v>0.99225339999999995</v>
      </c>
      <c r="Q4901">
        <v>8.0317159999999999E-2</v>
      </c>
      <c r="R4901">
        <v>-9.4776920000000001E-2</v>
      </c>
      <c r="S4901">
        <v>2.9693299999999998</v>
      </c>
      <c r="T4901">
        <v>-0.25509130000000002</v>
      </c>
      <c r="U4901">
        <v>-0.80462650000000002</v>
      </c>
      <c r="V4901">
        <v>0.11316859999999999</v>
      </c>
      <c r="W4901">
        <v>8.9953569999999997E-2</v>
      </c>
      <c r="X4901">
        <v>0.98949549999999997</v>
      </c>
      <c r="Y4901">
        <v>0.27839140000000001</v>
      </c>
      <c r="Z4901">
        <v>-1.32899E-2</v>
      </c>
      <c r="AA4901">
        <v>0.9603758</v>
      </c>
      <c r="AB4901">
        <v>29</v>
      </c>
      <c r="AC4901">
        <v>12.6158</v>
      </c>
      <c r="AD4901">
        <v>-1.1098713753460001</v>
      </c>
      <c r="AE4901">
        <v>-3.5066099999999998</v>
      </c>
      <c r="AF4901">
        <v>3.7134268889314401</v>
      </c>
      <c r="AG4901">
        <v>-1.1098713753460001</v>
      </c>
      <c r="AH4901">
        <v>12.4590470317028</v>
      </c>
      <c r="AI4901">
        <v>94.879528315302295</v>
      </c>
      <c r="AJ4901">
        <v>73.403278867075301</v>
      </c>
      <c r="AK4901">
        <v>13.0479579500944</v>
      </c>
      <c r="AL4901">
        <v>84.839064300317304</v>
      </c>
      <c r="AM4901">
        <v>83.475431359374696</v>
      </c>
      <c r="AN4901">
        <v>1.00000006065097</v>
      </c>
    </row>
    <row r="4902" spans="1:40" x14ac:dyDescent="0.25">
      <c r="A4902" t="str">
        <f>"20190312151414431"</f>
        <v>20190312151414431</v>
      </c>
      <c r="B4902" t="str">
        <f>"1552374854425830"</f>
        <v>1552374854425830</v>
      </c>
      <c r="C4902" t="s">
        <v>40</v>
      </c>
      <c r="D4902">
        <v>4.9438519999999997</v>
      </c>
      <c r="E4902">
        <v>0.56650610000000001</v>
      </c>
      <c r="F4902" t="s">
        <v>42</v>
      </c>
      <c r="G4902">
        <v>-353.98559999999998</v>
      </c>
      <c r="H4902" s="1">
        <v>-3.4147620000000001E-6</v>
      </c>
      <c r="I4902">
        <v>14.81146</v>
      </c>
      <c r="J4902">
        <v>-366.42059999999998</v>
      </c>
      <c r="K4902">
        <v>1.109861</v>
      </c>
      <c r="L4902">
        <v>18.30341</v>
      </c>
      <c r="M4902">
        <v>0.99978020000000001</v>
      </c>
      <c r="N4902">
        <v>0</v>
      </c>
      <c r="O4902">
        <v>1.8567529999999999E-2</v>
      </c>
      <c r="P4902">
        <v>0.9917357</v>
      </c>
      <c r="Q4902">
        <v>8.1538009999999994E-2</v>
      </c>
      <c r="R4902">
        <v>-9.905543E-2</v>
      </c>
      <c r="S4902">
        <v>2.966675</v>
      </c>
      <c r="T4902">
        <v>-0.25893709999999998</v>
      </c>
      <c r="U4902">
        <v>-0.813446</v>
      </c>
      <c r="V4902">
        <v>0.1174519</v>
      </c>
      <c r="W4902">
        <v>9.1182550000000001E-2</v>
      </c>
      <c r="X4902">
        <v>0.98888359999999997</v>
      </c>
      <c r="Y4902">
        <v>0.2812345</v>
      </c>
      <c r="Z4902">
        <v>-1.3618669999999999E-2</v>
      </c>
      <c r="AA4902">
        <v>0.95954249999999996</v>
      </c>
      <c r="AB4902">
        <v>29</v>
      </c>
      <c r="AC4902">
        <v>12.435</v>
      </c>
      <c r="AD4902">
        <v>-1.109864414762</v>
      </c>
      <c r="AE4902">
        <v>-3.4919499999999899</v>
      </c>
      <c r="AF4902">
        <v>3.6949630116691798</v>
      </c>
      <c r="AG4902">
        <v>-1.109864414762</v>
      </c>
      <c r="AH4902">
        <v>12.277361697858399</v>
      </c>
      <c r="AI4902">
        <v>94.9474157232751</v>
      </c>
      <c r="AJ4902">
        <v>73.250442698896805</v>
      </c>
      <c r="AK4902">
        <v>12.8692719660748</v>
      </c>
      <c r="AL4902">
        <v>84.768357981344096</v>
      </c>
      <c r="AM4902">
        <v>83.226584656361496</v>
      </c>
      <c r="AN4902">
        <v>0.99999999029353603</v>
      </c>
    </row>
    <row r="4903" spans="1:40" x14ac:dyDescent="0.25">
      <c r="A4903" t="str">
        <f>"20190312151414455"</f>
        <v>20190312151414455</v>
      </c>
      <c r="B4903" t="str">
        <f>"1552374854445353"</f>
        <v>1552374854445353</v>
      </c>
      <c r="C4903" t="s">
        <v>40</v>
      </c>
      <c r="D4903">
        <v>5.0214119999999998</v>
      </c>
      <c r="E4903">
        <v>0.5673279</v>
      </c>
      <c r="F4903" t="s">
        <v>42</v>
      </c>
      <c r="G4903">
        <v>-353.86450000000002</v>
      </c>
      <c r="H4903" s="1">
        <v>-3.4650050000000002E-6</v>
      </c>
      <c r="I4903">
        <v>14.821009999999999</v>
      </c>
      <c r="J4903">
        <v>-366.12310000000002</v>
      </c>
      <c r="K4903">
        <v>1.1098619999999999</v>
      </c>
      <c r="L4903">
        <v>18.30893</v>
      </c>
      <c r="M4903">
        <v>0.99978</v>
      </c>
      <c r="N4903">
        <v>0</v>
      </c>
      <c r="O4903">
        <v>1.8569820000000001E-2</v>
      </c>
      <c r="P4903">
        <v>0.99126599999999998</v>
      </c>
      <c r="Q4903">
        <v>8.2774340000000002E-2</v>
      </c>
      <c r="R4903">
        <v>-0.10266690000000001</v>
      </c>
      <c r="S4903">
        <v>2.9643860000000002</v>
      </c>
      <c r="T4903">
        <v>-0.26202920000000002</v>
      </c>
      <c r="U4903">
        <v>-0.82214359999999997</v>
      </c>
      <c r="V4903">
        <v>0.12105870000000001</v>
      </c>
      <c r="W4903">
        <v>9.2427060000000005E-2</v>
      </c>
      <c r="X4903">
        <v>0.98833300000000002</v>
      </c>
      <c r="Y4903">
        <v>0.2840046</v>
      </c>
      <c r="Z4903">
        <v>-1.3905819999999999E-2</v>
      </c>
      <c r="AA4903">
        <v>0.95872210000000002</v>
      </c>
      <c r="AB4903">
        <v>29</v>
      </c>
      <c r="AC4903">
        <v>12.258599999999999</v>
      </c>
      <c r="AD4903">
        <v>-1.1098654650049999</v>
      </c>
      <c r="AE4903">
        <v>-3.4879199999999901</v>
      </c>
      <c r="AF4903">
        <v>3.6870101076182098</v>
      </c>
      <c r="AG4903">
        <v>-1.1098654650049999</v>
      </c>
      <c r="AH4903">
        <v>12.0999568532756</v>
      </c>
      <c r="AI4903">
        <v>95.014390135068197</v>
      </c>
      <c r="AJ4903">
        <v>73.053357229496598</v>
      </c>
      <c r="AK4903">
        <v>12.6978266146306</v>
      </c>
      <c r="AL4903">
        <v>84.696750696833504</v>
      </c>
      <c r="AM4903">
        <v>83.016753204769003</v>
      </c>
      <c r="AN4903">
        <v>1.0000000445774599</v>
      </c>
    </row>
    <row r="4904" spans="1:40" x14ac:dyDescent="0.25">
      <c r="A4904" t="str">
        <f>"20190312151414476"</f>
        <v>20190312151414476</v>
      </c>
      <c r="B4904" t="str">
        <f>"1552374854465845"</f>
        <v>1552374854465845</v>
      </c>
      <c r="C4904" t="s">
        <v>40</v>
      </c>
      <c r="D4904">
        <v>5.0195610000000004</v>
      </c>
      <c r="E4904">
        <v>0.56832629999999995</v>
      </c>
      <c r="F4904" t="s">
        <v>42</v>
      </c>
      <c r="G4904">
        <v>-353.17619999999999</v>
      </c>
      <c r="H4904" s="1">
        <v>-3.7932529999999999E-6</v>
      </c>
      <c r="I4904">
        <v>14.635149999999999</v>
      </c>
      <c r="J4904">
        <v>-365.84289999999999</v>
      </c>
      <c r="K4904">
        <v>1.109861</v>
      </c>
      <c r="L4904">
        <v>18.314119999999999</v>
      </c>
      <c r="M4904">
        <v>0.99977990000000005</v>
      </c>
      <c r="N4904">
        <v>0</v>
      </c>
      <c r="O4904">
        <v>1.8558720000000001E-2</v>
      </c>
      <c r="P4904">
        <v>0.99060539999999997</v>
      </c>
      <c r="Q4904">
        <v>8.4883620000000007E-2</v>
      </c>
      <c r="R4904">
        <v>-0.1072183</v>
      </c>
      <c r="S4904">
        <v>2.9606629999999998</v>
      </c>
      <c r="T4904">
        <v>-0.25380049999999998</v>
      </c>
      <c r="U4904">
        <v>-0.8400879</v>
      </c>
      <c r="V4904">
        <v>0.12558830000000001</v>
      </c>
      <c r="W4904">
        <v>9.4541120000000006E-2</v>
      </c>
      <c r="X4904">
        <v>0.98756750000000004</v>
      </c>
      <c r="Y4904">
        <v>0.28973330000000003</v>
      </c>
      <c r="Z4904">
        <v>-1.371561E-2</v>
      </c>
      <c r="AA4904">
        <v>0.95700909999999995</v>
      </c>
      <c r="AB4904">
        <v>29</v>
      </c>
      <c r="AC4904">
        <v>12.666699999999899</v>
      </c>
      <c r="AD4904">
        <v>-1.1098647932529999</v>
      </c>
      <c r="AE4904">
        <v>-3.6789700000000001</v>
      </c>
      <c r="AF4904">
        <v>3.88591258589486</v>
      </c>
      <c r="AG4904">
        <v>-1.1098647932529999</v>
      </c>
      <c r="AH4904">
        <v>12.5076821134813</v>
      </c>
      <c r="AI4904">
        <v>94.843626357368805</v>
      </c>
      <c r="AJ4904">
        <v>72.740917186042594</v>
      </c>
      <c r="AK4904">
        <v>13.1443610851353</v>
      </c>
      <c r="AL4904">
        <v>84.575090977560706</v>
      </c>
      <c r="AM4904">
        <v>82.752635103178804</v>
      </c>
      <c r="AN4904">
        <v>1.00000000576199</v>
      </c>
    </row>
    <row r="4905" spans="1:40" x14ac:dyDescent="0.25">
      <c r="A4905" t="str">
        <f>"20190312151414500"</f>
        <v>20190312151414500</v>
      </c>
      <c r="B4905" t="str">
        <f>"1552374854495125"</f>
        <v>1552374854495125</v>
      </c>
      <c r="C4905" t="s">
        <v>40</v>
      </c>
      <c r="D4905">
        <v>4.9584460000000004</v>
      </c>
      <c r="E4905">
        <v>0.5696909</v>
      </c>
      <c r="F4905" t="s">
        <v>42</v>
      </c>
      <c r="G4905">
        <v>-352.42320000000001</v>
      </c>
      <c r="H4905" s="1">
        <v>-4.1575340000000001E-6</v>
      </c>
      <c r="I4905">
        <v>14.40249</v>
      </c>
      <c r="J4905">
        <v>-365.53199999999998</v>
      </c>
      <c r="K4905">
        <v>1.10985</v>
      </c>
      <c r="L4905">
        <v>18.31982</v>
      </c>
      <c r="M4905">
        <v>0.99978069999999997</v>
      </c>
      <c r="N4905">
        <v>0</v>
      </c>
      <c r="O4905">
        <v>1.852024E-2</v>
      </c>
      <c r="P4905">
        <v>0.98996660000000003</v>
      </c>
      <c r="Q4905">
        <v>8.5953769999999999E-2</v>
      </c>
      <c r="R4905">
        <v>-0.11215269999999999</v>
      </c>
      <c r="S4905">
        <v>2.9561769999999998</v>
      </c>
      <c r="T4905">
        <v>-0.24448929999999999</v>
      </c>
      <c r="U4905">
        <v>-0.86166379999999998</v>
      </c>
      <c r="V4905">
        <v>0.13047609999999901</v>
      </c>
      <c r="W4905">
        <v>9.5612939999999993E-2</v>
      </c>
      <c r="X4905">
        <v>0.9868304</v>
      </c>
      <c r="Y4905">
        <v>0.29657420000000001</v>
      </c>
      <c r="Z4905">
        <v>-1.349386E-2</v>
      </c>
      <c r="AA4905">
        <v>0.9549145</v>
      </c>
      <c r="AB4905">
        <v>29</v>
      </c>
      <c r="AC4905">
        <v>13.108799999999899</v>
      </c>
      <c r="AD4905">
        <v>-1.109854157534</v>
      </c>
      <c r="AE4905">
        <v>-3.9173300000000002</v>
      </c>
      <c r="AF4905">
        <v>4.1322555152474196</v>
      </c>
      <c r="AG4905">
        <v>-1.109854157534</v>
      </c>
      <c r="AH4905">
        <v>12.9487887108957</v>
      </c>
      <c r="AI4905">
        <v>94.668074918621997</v>
      </c>
      <c r="AJ4905">
        <v>72.300924035597504</v>
      </c>
      <c r="AK4905">
        <v>13.6373912818291</v>
      </c>
      <c r="AL4905">
        <v>84.513400953804094</v>
      </c>
      <c r="AM4905">
        <v>82.468190073781997</v>
      </c>
      <c r="AN4905">
        <v>1.0000000426654001</v>
      </c>
    </row>
    <row r="4906" spans="1:40" x14ac:dyDescent="0.25">
      <c r="A4906" t="str">
        <f>"20190312151414511"</f>
        <v>20190312151414511</v>
      </c>
      <c r="B4906" t="str">
        <f>"1552374854504885"</f>
        <v>1552374854504885</v>
      </c>
      <c r="C4906" t="s">
        <v>40</v>
      </c>
      <c r="D4906">
        <v>4.98942</v>
      </c>
      <c r="E4906">
        <v>0.57006349999999995</v>
      </c>
      <c r="F4906" t="s">
        <v>42</v>
      </c>
      <c r="G4906">
        <v>-351.72890000000001</v>
      </c>
      <c r="H4906" s="1">
        <v>-4.4963800000000001E-6</v>
      </c>
      <c r="I4906">
        <v>14.171569999999999</v>
      </c>
      <c r="J4906">
        <v>-365.36829999999998</v>
      </c>
      <c r="K4906">
        <v>1.109831</v>
      </c>
      <c r="L4906">
        <v>18.322849999999999</v>
      </c>
      <c r="M4906">
        <v>0.99978120000000004</v>
      </c>
      <c r="N4906">
        <v>0</v>
      </c>
      <c r="O4906">
        <v>1.848381E-2</v>
      </c>
      <c r="P4906">
        <v>0.98972550000000004</v>
      </c>
      <c r="Q4906">
        <v>8.5829730000000007E-2</v>
      </c>
      <c r="R4906">
        <v>-0.1143549</v>
      </c>
      <c r="S4906">
        <v>2.9505620000000001</v>
      </c>
      <c r="T4906">
        <v>-0.23724400000000001</v>
      </c>
      <c r="U4906">
        <v>-0.88671880000000003</v>
      </c>
      <c r="V4906">
        <v>0.13264020000000001</v>
      </c>
      <c r="W4906">
        <v>9.5489519999999994E-2</v>
      </c>
      <c r="X4906">
        <v>0.98655380000000004</v>
      </c>
      <c r="Y4906">
        <v>0.30450539999999998</v>
      </c>
      <c r="Z4906">
        <v>-1.341231E-2</v>
      </c>
      <c r="AA4906">
        <v>0.95241620000000005</v>
      </c>
      <c r="AB4906">
        <v>30</v>
      </c>
      <c r="AC4906">
        <v>13.639399999999901</v>
      </c>
      <c r="AD4906">
        <v>-1.1098354963799999</v>
      </c>
      <c r="AE4906">
        <v>-4.1512799999999901</v>
      </c>
      <c r="AF4906">
        <v>4.3761725650589698</v>
      </c>
      <c r="AG4906">
        <v>-1.1098354963799999</v>
      </c>
      <c r="AH4906">
        <v>13.4786577345556</v>
      </c>
      <c r="AI4906">
        <v>94.478026933356503</v>
      </c>
      <c r="AJ4906">
        <v>72.012723072883702</v>
      </c>
      <c r="AK4906">
        <v>14.214669727907699</v>
      </c>
      <c r="AL4906">
        <v>84.520504864294594</v>
      </c>
      <c r="AM4906">
        <v>82.342614842317502</v>
      </c>
      <c r="AN4906">
        <v>1.0000000356901499</v>
      </c>
    </row>
    <row r="4907" spans="1:40" x14ac:dyDescent="0.25">
      <c r="A4907" t="str">
        <f>"20190312151414532"</f>
        <v>20190312151414532</v>
      </c>
      <c r="B4907" t="str">
        <f>"1552374854525382"</f>
        <v>1552374854525382</v>
      </c>
      <c r="C4907" t="s">
        <v>40</v>
      </c>
      <c r="D4907">
        <v>4.9503820000000003</v>
      </c>
      <c r="E4907">
        <v>0.57062239999999997</v>
      </c>
      <c r="F4907" t="s">
        <v>42</v>
      </c>
      <c r="G4907">
        <v>-351.48610000000002</v>
      </c>
      <c r="H4907" s="1">
        <v>-4.6127269999999996E-6</v>
      </c>
      <c r="I4907">
        <v>14.10281</v>
      </c>
      <c r="J4907">
        <v>-365.09809999999999</v>
      </c>
      <c r="K4907">
        <v>1.109796</v>
      </c>
      <c r="L4907">
        <v>18.327760000000001</v>
      </c>
      <c r="M4907">
        <v>0.99978270000000002</v>
      </c>
      <c r="N4907">
        <v>0</v>
      </c>
      <c r="O4907">
        <v>1.8394529999999999E-2</v>
      </c>
      <c r="P4907">
        <v>0.98933090000000001</v>
      </c>
      <c r="Q4907">
        <v>8.5289210000000004E-2</v>
      </c>
      <c r="R4907">
        <v>-0.11811190000000001</v>
      </c>
      <c r="S4907">
        <v>2.948029</v>
      </c>
      <c r="T4907">
        <v>-0.23568449999999999</v>
      </c>
      <c r="U4907">
        <v>-0.89614869999999902</v>
      </c>
      <c r="V4907">
        <v>0.13630780000000001</v>
      </c>
      <c r="W4907">
        <v>9.4945559999999998E-2</v>
      </c>
      <c r="X4907">
        <v>0.98610629999999999</v>
      </c>
      <c r="Y4907">
        <v>0.30743939999999997</v>
      </c>
      <c r="Z4907">
        <v>-1.343688E-2</v>
      </c>
      <c r="AA4907">
        <v>0.95147280000000001</v>
      </c>
      <c r="AB4907">
        <v>30</v>
      </c>
      <c r="AC4907">
        <v>13.611999999999901</v>
      </c>
      <c r="AD4907">
        <v>-1.1098006127269999</v>
      </c>
      <c r="AE4907">
        <v>-4.2249499999999998</v>
      </c>
      <c r="AF4907">
        <v>4.44766642034398</v>
      </c>
      <c r="AG4907">
        <v>-1.1098006127269999</v>
      </c>
      <c r="AH4907">
        <v>13.450424480129501</v>
      </c>
      <c r="AI4907">
        <v>94.4793247287367</v>
      </c>
      <c r="AJ4907">
        <v>71.702442818250304</v>
      </c>
      <c r="AK4907">
        <v>14.2101130425599</v>
      </c>
      <c r="AL4907">
        <v>84.551813835156096</v>
      </c>
      <c r="AM4907">
        <v>82.129973151887498</v>
      </c>
      <c r="AN4907">
        <v>1.00000005530212</v>
      </c>
    </row>
    <row r="4908" spans="1:40" x14ac:dyDescent="0.25">
      <c r="A4908" t="str">
        <f>"20190312151414554"</f>
        <v>20190312151414554</v>
      </c>
      <c r="B4908" t="str">
        <f>"1552374854544901"</f>
        <v>1552374854544901</v>
      </c>
      <c r="C4908" t="s">
        <v>40</v>
      </c>
      <c r="D4908">
        <v>5.1217860000000002</v>
      </c>
      <c r="E4908">
        <v>0.57104500000000002</v>
      </c>
      <c r="F4908" t="s">
        <v>42</v>
      </c>
      <c r="G4908">
        <v>-351.19060000000002</v>
      </c>
      <c r="H4908" s="1">
        <v>-4.7542470000000004E-6</v>
      </c>
      <c r="I4908">
        <v>14.01979</v>
      </c>
      <c r="J4908">
        <v>-364.80529999999999</v>
      </c>
      <c r="K4908">
        <v>1.1097509999999999</v>
      </c>
      <c r="L4908">
        <v>18.333010000000002</v>
      </c>
      <c r="M4908">
        <v>0.99978520000000004</v>
      </c>
      <c r="N4908">
        <v>0</v>
      </c>
      <c r="O4908">
        <v>1.8250700000000002E-2</v>
      </c>
      <c r="P4908">
        <v>0.98896530000000005</v>
      </c>
      <c r="Q4908">
        <v>8.4785410000000005E-2</v>
      </c>
      <c r="R4908">
        <v>-0.12148870000000001</v>
      </c>
      <c r="S4908">
        <v>2.943756</v>
      </c>
      <c r="T4908">
        <v>-0.23490739999999999</v>
      </c>
      <c r="U4908">
        <v>-0.9118347</v>
      </c>
      <c r="V4908">
        <v>0.13954420000000001</v>
      </c>
      <c r="W4908">
        <v>9.4437160000000006E-2</v>
      </c>
      <c r="X4908">
        <v>0.98570230000000003</v>
      </c>
      <c r="Y4908">
        <v>0.31230750000000002</v>
      </c>
      <c r="Z4908">
        <v>-1.357935E-2</v>
      </c>
      <c r="AA4908">
        <v>0.94988399999999995</v>
      </c>
      <c r="AB4908">
        <v>30</v>
      </c>
      <c r="AC4908">
        <v>13.6146999999999</v>
      </c>
      <c r="AD4908">
        <v>-1.109755754247</v>
      </c>
      <c r="AE4908">
        <v>-4.3132200000000003</v>
      </c>
      <c r="AF4908">
        <v>4.53361681638596</v>
      </c>
      <c r="AG4908">
        <v>-1.109755754247</v>
      </c>
      <c r="AH4908">
        <v>13.452481420202</v>
      </c>
      <c r="AI4908">
        <v>94.469978504369294</v>
      </c>
      <c r="AJ4908">
        <v>71.375684117973904</v>
      </c>
      <c r="AK4908">
        <v>14.2391887280414</v>
      </c>
      <c r="AL4908">
        <v>84.581074144796702</v>
      </c>
      <c r="AM4908">
        <v>81.942278957033395</v>
      </c>
      <c r="AN4908">
        <v>0.99999999258389705</v>
      </c>
    </row>
    <row r="4909" spans="1:40" x14ac:dyDescent="0.25">
      <c r="A4909" t="str">
        <f>"20190312151414577"</f>
        <v>20190312151414577</v>
      </c>
      <c r="B4909" t="str">
        <f>"1552374854565401"</f>
        <v>1552374854565401</v>
      </c>
      <c r="C4909" t="s">
        <v>40</v>
      </c>
      <c r="D4909">
        <v>4.9581400000000002</v>
      </c>
      <c r="E4909">
        <v>0.57139980000000001</v>
      </c>
      <c r="F4909" t="s">
        <v>42</v>
      </c>
      <c r="G4909">
        <v>-350.89479999999998</v>
      </c>
      <c r="H4909" s="1">
        <v>-4.8930060000000002E-6</v>
      </c>
      <c r="I4909">
        <v>13.95269</v>
      </c>
      <c r="J4909">
        <v>-364.50470000000001</v>
      </c>
      <c r="K4909">
        <v>1.109712</v>
      </c>
      <c r="L4909">
        <v>18.338290000000001</v>
      </c>
      <c r="M4909">
        <v>0.99978880000000003</v>
      </c>
      <c r="N4909">
        <v>0</v>
      </c>
      <c r="O4909">
        <v>1.8048229999999998E-2</v>
      </c>
      <c r="P4909">
        <v>0.98875979999999997</v>
      </c>
      <c r="Q4909">
        <v>8.3397540000000006E-2</v>
      </c>
      <c r="R4909">
        <v>-0.12409340000000001</v>
      </c>
      <c r="S4909">
        <v>2.9398499999999999</v>
      </c>
      <c r="T4909">
        <v>-0.23453640000000001</v>
      </c>
      <c r="U4909">
        <v>-0.92572019999999999</v>
      </c>
      <c r="V4909">
        <v>0.1419551</v>
      </c>
      <c r="W4909">
        <v>9.3048560000000002E-2</v>
      </c>
      <c r="X4909">
        <v>0.98549010000000004</v>
      </c>
      <c r="Y4909">
        <v>0.31654660000000001</v>
      </c>
      <c r="Z4909">
        <v>-1.371493E-2</v>
      </c>
      <c r="AA4909">
        <v>0.94847780000000004</v>
      </c>
      <c r="AB4909">
        <v>30</v>
      </c>
      <c r="AC4909">
        <v>13.6099</v>
      </c>
      <c r="AD4909">
        <v>-1.109716893006</v>
      </c>
      <c r="AE4909">
        <v>-4.3856000000000002</v>
      </c>
      <c r="AF4909">
        <v>4.6028095297764704</v>
      </c>
      <c r="AG4909">
        <v>-1.109716893006</v>
      </c>
      <c r="AH4909">
        <v>13.4475328812466</v>
      </c>
      <c r="AI4909">
        <v>94.464320602400207</v>
      </c>
      <c r="AJ4909">
        <v>71.104996248818594</v>
      </c>
      <c r="AK4909">
        <v>14.256699047894401</v>
      </c>
      <c r="AL4909">
        <v>84.660987071142301</v>
      </c>
      <c r="AM4909">
        <v>81.803200579545006</v>
      </c>
      <c r="AN4909">
        <v>1.0000000110660401</v>
      </c>
    </row>
    <row r="4910" spans="1:40" x14ac:dyDescent="0.25">
      <c r="A4910" t="str">
        <f>"20190312151414590"</f>
        <v>20190312151414590</v>
      </c>
      <c r="B4910" t="str">
        <f>"1552374854584917"</f>
        <v>1552374854584917</v>
      </c>
      <c r="C4910" t="s">
        <v>40</v>
      </c>
      <c r="D4910">
        <v>4.9404120000000002</v>
      </c>
      <c r="E4910">
        <v>0.57710019999999995</v>
      </c>
      <c r="F4910" t="s">
        <v>42</v>
      </c>
      <c r="G4910">
        <v>-350.73329999999999</v>
      </c>
      <c r="H4910" s="1">
        <v>-4.963422E-6</v>
      </c>
      <c r="I4910">
        <v>13.94638</v>
      </c>
      <c r="J4910">
        <v>-364.32839999999999</v>
      </c>
      <c r="K4910">
        <v>1.1096820000000001</v>
      </c>
      <c r="L4910">
        <v>18.341339999999999</v>
      </c>
      <c r="M4910">
        <v>0.99979130000000005</v>
      </c>
      <c r="N4910">
        <v>0</v>
      </c>
      <c r="O4910">
        <v>1.7902640000000001E-2</v>
      </c>
      <c r="P4910">
        <v>0.98867910000000003</v>
      </c>
      <c r="Q4910">
        <v>8.2947220000000002E-2</v>
      </c>
      <c r="R4910">
        <v>-0.1250357</v>
      </c>
      <c r="S4910">
        <v>2.9365540000000001</v>
      </c>
      <c r="T4910">
        <v>-0.23663129999999999</v>
      </c>
      <c r="U4910">
        <v>-0.93649289999999996</v>
      </c>
      <c r="V4910">
        <v>0.142758</v>
      </c>
      <c r="W4910">
        <v>9.2598929999999996E-2</v>
      </c>
      <c r="X4910">
        <v>0.98541650000000003</v>
      </c>
      <c r="Y4910">
        <v>0.31984570000000001</v>
      </c>
      <c r="Z4910">
        <v>-1.396245E-2</v>
      </c>
      <c r="AA4910">
        <v>0.94736679999999995</v>
      </c>
      <c r="AB4910">
        <v>30</v>
      </c>
      <c r="AC4910">
        <v>13.5951</v>
      </c>
      <c r="AD4910">
        <v>-1.1096869634219999</v>
      </c>
      <c r="AE4910">
        <v>-4.3949599999999904</v>
      </c>
      <c r="AF4910">
        <v>4.6098485263612297</v>
      </c>
      <c r="AG4910">
        <v>-1.1096869634219999</v>
      </c>
      <c r="AH4910">
        <v>13.4332054854662</v>
      </c>
      <c r="AI4910">
        <v>94.467729302626793</v>
      </c>
      <c r="AJ4910">
        <v>71.059411105655201</v>
      </c>
      <c r="AK4910">
        <v>14.245459564631201</v>
      </c>
      <c r="AL4910">
        <v>84.686860852764298</v>
      </c>
      <c r="AM4910">
        <v>81.756867451050098</v>
      </c>
      <c r="AN4910">
        <v>1.00000004343669</v>
      </c>
    </row>
    <row r="4911" spans="1:40" x14ac:dyDescent="0.25">
      <c r="A4911" t="str">
        <f>"20190312151414612"</f>
        <v>20190312151414612</v>
      </c>
      <c r="B4911" t="str">
        <f>"1552374854605413"</f>
        <v>1552374854605413</v>
      </c>
      <c r="C4911" t="s">
        <v>40</v>
      </c>
      <c r="D4911">
        <v>4.9398279999999897</v>
      </c>
      <c r="E4911">
        <v>0.57813530000000002</v>
      </c>
      <c r="F4911" t="s">
        <v>42</v>
      </c>
      <c r="G4911">
        <v>-355.23489999999998</v>
      </c>
      <c r="H4911" s="1">
        <v>-2.7929430000000001E-6</v>
      </c>
      <c r="I4911">
        <v>15.295579999999999</v>
      </c>
      <c r="J4911">
        <v>-364.03989999999999</v>
      </c>
      <c r="K4911">
        <v>1.109639</v>
      </c>
      <c r="L4911">
        <v>18.34619</v>
      </c>
      <c r="M4911">
        <v>0.99979620000000002</v>
      </c>
      <c r="N4911">
        <v>0</v>
      </c>
      <c r="O4911">
        <v>1.761296E-2</v>
      </c>
      <c r="P4911">
        <v>0.9885138</v>
      </c>
      <c r="Q4911">
        <v>8.2119789999999998E-2</v>
      </c>
      <c r="R4911">
        <v>-0.1268745</v>
      </c>
      <c r="S4911">
        <v>2.939972</v>
      </c>
      <c r="T4911">
        <v>-0.35876659999999999</v>
      </c>
      <c r="U4911">
        <v>-0.98468020000000001</v>
      </c>
      <c r="V4911">
        <v>0.14431739999999901</v>
      </c>
      <c r="W4911">
        <v>9.1771820000000004E-2</v>
      </c>
      <c r="X4911">
        <v>0.98526670000000005</v>
      </c>
      <c r="Y4911">
        <v>0.33190579999999997</v>
      </c>
      <c r="Z4911">
        <v>-2.1732479999999998E-2</v>
      </c>
      <c r="AA4911">
        <v>0.94306219999999996</v>
      </c>
      <c r="AB4911">
        <v>30</v>
      </c>
      <c r="AC4911">
        <v>8.8049999999999997</v>
      </c>
      <c r="AD4911">
        <v>-1.109641792943</v>
      </c>
      <c r="AE4911">
        <v>-3.0506099999999998</v>
      </c>
      <c r="AF4911">
        <v>3.160411934037</v>
      </c>
      <c r="AG4911">
        <v>-1.109641792943</v>
      </c>
      <c r="AH4911">
        <v>8.6275627736926399</v>
      </c>
      <c r="AI4911">
        <v>96.886154727386995</v>
      </c>
      <c r="AJ4911">
        <v>69.881422969284998</v>
      </c>
      <c r="AK4911">
        <v>9.2549634205358302</v>
      </c>
      <c r="AL4911">
        <v>84.734453320029402</v>
      </c>
      <c r="AM4911">
        <v>81.666832953918998</v>
      </c>
      <c r="AN4911">
        <v>1.00000002450888</v>
      </c>
    </row>
    <row r="4912" spans="1:40" x14ac:dyDescent="0.25">
      <c r="A4912" t="str">
        <f>"20190312151414633"</f>
        <v>20190312151414633</v>
      </c>
      <c r="B4912" t="str">
        <f>"1552374854624933"</f>
        <v>1552374854624933</v>
      </c>
      <c r="C4912" t="s">
        <v>40</v>
      </c>
      <c r="D4912">
        <v>5.0161910000000001</v>
      </c>
      <c r="E4912">
        <v>0.57732359999999905</v>
      </c>
      <c r="F4912" t="s">
        <v>42</v>
      </c>
      <c r="G4912">
        <v>-355.0598</v>
      </c>
      <c r="H4912" s="1">
        <v>-2.8684130000000001E-6</v>
      </c>
      <c r="I4912">
        <v>15.293419999999999</v>
      </c>
      <c r="J4912">
        <v>-363.75709999999998</v>
      </c>
      <c r="K4912">
        <v>1.1095969999999999</v>
      </c>
      <c r="L4912">
        <v>18.350829999999998</v>
      </c>
      <c r="M4912">
        <v>0.99980210000000003</v>
      </c>
      <c r="N4912">
        <v>0</v>
      </c>
      <c r="O4912">
        <v>1.7272590000000001E-2</v>
      </c>
      <c r="P4912">
        <v>0.98818539999999999</v>
      </c>
      <c r="Q4912">
        <v>8.1976560000000004E-2</v>
      </c>
      <c r="R4912">
        <v>-0.129498</v>
      </c>
      <c r="S4912">
        <v>2.9368590000000001</v>
      </c>
      <c r="T4912">
        <v>-0.3628981</v>
      </c>
      <c r="U4912">
        <v>-0.99835209999999996</v>
      </c>
      <c r="V4912">
        <v>0.14660879999999901</v>
      </c>
      <c r="W4912">
        <v>9.1625109999999996E-2</v>
      </c>
      <c r="X4912">
        <v>0.98494199999999998</v>
      </c>
      <c r="Y4912">
        <v>0.33574579999999998</v>
      </c>
      <c r="Z4912">
        <v>-2.2176339999999999E-2</v>
      </c>
      <c r="AA4912">
        <v>0.94169159999999996</v>
      </c>
      <c r="AB4912">
        <v>30</v>
      </c>
      <c r="AC4912">
        <v>8.6972999999999807</v>
      </c>
      <c r="AD4912">
        <v>-1.109599868413</v>
      </c>
      <c r="AE4912">
        <v>-3.0574099999999902</v>
      </c>
      <c r="AF4912">
        <v>3.1613888637523302</v>
      </c>
      <c r="AG4912">
        <v>-1.109599868413</v>
      </c>
      <c r="AH4912">
        <v>8.5197695005307992</v>
      </c>
      <c r="AI4912">
        <v>96.961532330701004</v>
      </c>
      <c r="AJ4912">
        <v>69.641869119420306</v>
      </c>
      <c r="AK4912">
        <v>9.1548928862119503</v>
      </c>
      <c r="AL4912">
        <v>84.742894736683894</v>
      </c>
      <c r="AM4912">
        <v>81.533675045306595</v>
      </c>
      <c r="AN4912">
        <v>1.00000002219197</v>
      </c>
    </row>
    <row r="4913" spans="1:40" x14ac:dyDescent="0.25">
      <c r="A4913" t="str">
        <f>"20190312151414655"</f>
        <v>20190312151414655</v>
      </c>
      <c r="B4913" t="str">
        <f>"1552374854645433"</f>
        <v>1552374854645433</v>
      </c>
      <c r="C4913" t="s">
        <v>40</v>
      </c>
      <c r="D4913">
        <v>4.9988330000000003</v>
      </c>
      <c r="E4913">
        <v>0.57712030000000003</v>
      </c>
      <c r="F4913" t="s">
        <v>42</v>
      </c>
      <c r="G4913">
        <v>-354.74869999999999</v>
      </c>
      <c r="H4913" s="1">
        <v>-3.0040419999999998E-6</v>
      </c>
      <c r="I4913">
        <v>15.28143</v>
      </c>
      <c r="J4913">
        <v>-363.46820000000002</v>
      </c>
      <c r="K4913">
        <v>1.109561</v>
      </c>
      <c r="L4913">
        <v>18.355409999999999</v>
      </c>
      <c r="M4913">
        <v>0.99980860000000005</v>
      </c>
      <c r="N4913">
        <v>0</v>
      </c>
      <c r="O4913">
        <v>1.6871480000000001E-2</v>
      </c>
      <c r="P4913">
        <v>0.9880352</v>
      </c>
      <c r="Q4913">
        <v>8.2507079999999997E-2</v>
      </c>
      <c r="R4913">
        <v>-0.13030330000000001</v>
      </c>
      <c r="S4913">
        <v>2.9348139999999998</v>
      </c>
      <c r="T4913">
        <v>-0.36149160000000002</v>
      </c>
      <c r="U4913">
        <v>-0.99993900000000002</v>
      </c>
      <c r="V4913">
        <v>0.14702570000000001</v>
      </c>
      <c r="W4913">
        <v>9.2155479999999998E-2</v>
      </c>
      <c r="X4913">
        <v>0.98483030000000005</v>
      </c>
      <c r="Y4913">
        <v>0.33604119999999998</v>
      </c>
      <c r="Z4913">
        <v>-2.2073289999999999E-2</v>
      </c>
      <c r="AA4913">
        <v>0.9415886</v>
      </c>
      <c r="AB4913">
        <v>30</v>
      </c>
      <c r="AC4913">
        <v>8.7195000000000302</v>
      </c>
      <c r="AD4913">
        <v>-1.1095640040420001</v>
      </c>
      <c r="AE4913">
        <v>-3.0739800000000002</v>
      </c>
      <c r="AF4913">
        <v>3.1749327830645599</v>
      </c>
      <c r="AG4913">
        <v>-1.1095640040420001</v>
      </c>
      <c r="AH4913">
        <v>8.5433460733318594</v>
      </c>
      <c r="AI4913">
        <v>96.941027368435996</v>
      </c>
      <c r="AJ4913">
        <v>69.613605797051306</v>
      </c>
      <c r="AK4913">
        <v>9.1815081868263206</v>
      </c>
      <c r="AL4913">
        <v>84.712377301235094</v>
      </c>
      <c r="AM4913">
        <v>81.509001489777603</v>
      </c>
      <c r="AN4913">
        <v>0.99999995437630396</v>
      </c>
    </row>
    <row r="4914" spans="1:40" x14ac:dyDescent="0.25">
      <c r="A4914" t="str">
        <f>"20190312151414677"</f>
        <v>20190312151414677</v>
      </c>
      <c r="B4914" t="str">
        <f>"1552374854664949"</f>
        <v>1552374854664949</v>
      </c>
      <c r="C4914" t="s">
        <v>40</v>
      </c>
      <c r="D4914">
        <v>4.9642920000000004</v>
      </c>
      <c r="E4914">
        <v>0.57676740000000004</v>
      </c>
      <c r="F4914" t="s">
        <v>42</v>
      </c>
      <c r="G4914">
        <v>-354.62389999999999</v>
      </c>
      <c r="H4914" s="1">
        <v>-3.0471870000000001E-6</v>
      </c>
      <c r="I4914">
        <v>15.33982</v>
      </c>
      <c r="J4914">
        <v>-363.16899999999998</v>
      </c>
      <c r="K4914">
        <v>1.1095139999999999</v>
      </c>
      <c r="L4914">
        <v>18.360019999999999</v>
      </c>
      <c r="M4914">
        <v>0.99981620000000004</v>
      </c>
      <c r="N4914">
        <v>0</v>
      </c>
      <c r="O4914">
        <v>1.6400080000000001E-2</v>
      </c>
      <c r="P4914">
        <v>0.98782959999999997</v>
      </c>
      <c r="Q4914">
        <v>8.3013530000000002E-2</v>
      </c>
      <c r="R4914">
        <v>-0.13153599999999999</v>
      </c>
      <c r="S4914">
        <v>2.9350890000000001</v>
      </c>
      <c r="T4914">
        <v>-0.36822260000000001</v>
      </c>
      <c r="U4914">
        <v>-1.000732</v>
      </c>
      <c r="V4914">
        <v>0.14780009999999999</v>
      </c>
      <c r="W4914">
        <v>9.2660179999999995E-2</v>
      </c>
      <c r="X4914">
        <v>0.98466710000000002</v>
      </c>
      <c r="Y4914">
        <v>0.3357155</v>
      </c>
      <c r="Z4914">
        <v>-2.2401279999999999E-2</v>
      </c>
      <c r="AA4914">
        <v>0.94169709999999995</v>
      </c>
      <c r="AB4914">
        <v>30</v>
      </c>
      <c r="AC4914">
        <v>8.5451000000000406</v>
      </c>
      <c r="AD4914">
        <v>-1.1095170471869999</v>
      </c>
      <c r="AE4914">
        <v>-3.0202</v>
      </c>
      <c r="AF4914">
        <v>3.1132825890666398</v>
      </c>
      <c r="AG4914">
        <v>-1.1095170471869999</v>
      </c>
      <c r="AH4914">
        <v>8.3689915531657899</v>
      </c>
      <c r="AI4914">
        <v>97.083020714544404</v>
      </c>
      <c r="AJ4914">
        <v>69.594692323688193</v>
      </c>
      <c r="AK4914">
        <v>8.9979762265936394</v>
      </c>
      <c r="AL4914">
        <v>84.683336305164104</v>
      </c>
      <c r="AM4914">
        <v>81.463541728151199</v>
      </c>
      <c r="AN4914">
        <v>1.00000003817002</v>
      </c>
    </row>
    <row r="4915" spans="1:40" x14ac:dyDescent="0.25">
      <c r="A4915" t="str">
        <f>"20190312151414700"</f>
        <v>20190312151414700</v>
      </c>
      <c r="B4915" t="str">
        <f>"1552374854695206"</f>
        <v>1552374854695206</v>
      </c>
      <c r="C4915" t="s">
        <v>40</v>
      </c>
      <c r="D4915">
        <v>4.9560420000000001</v>
      </c>
      <c r="E4915">
        <v>0.57675279999999995</v>
      </c>
      <c r="F4915" t="s">
        <v>42</v>
      </c>
      <c r="G4915">
        <v>-354.291</v>
      </c>
      <c r="H4915" s="1">
        <v>-3.191835E-6</v>
      </c>
      <c r="I4915">
        <v>15.32949</v>
      </c>
      <c r="J4915">
        <v>-362.87150000000003</v>
      </c>
      <c r="K4915">
        <v>1.1094729999999999</v>
      </c>
      <c r="L4915">
        <v>18.364350000000002</v>
      </c>
      <c r="M4915">
        <v>0.99982459999999995</v>
      </c>
      <c r="N4915">
        <v>0</v>
      </c>
      <c r="O4915">
        <v>1.587539E-2</v>
      </c>
      <c r="P4915">
        <v>0.98759830000000004</v>
      </c>
      <c r="Q4915">
        <v>8.3547979999999994E-2</v>
      </c>
      <c r="R4915">
        <v>-0.13292579999999901</v>
      </c>
      <c r="S4915">
        <v>2.934418</v>
      </c>
      <c r="T4915">
        <v>-0.36672759999999999</v>
      </c>
      <c r="U4915">
        <v>-1.0016480000000001</v>
      </c>
      <c r="V4915">
        <v>0.1486797</v>
      </c>
      <c r="W4915">
        <v>9.3190029999999993E-2</v>
      </c>
      <c r="X4915">
        <v>0.98448460000000004</v>
      </c>
      <c r="Y4915">
        <v>0.3355745</v>
      </c>
      <c r="Z4915">
        <v>-2.224253E-2</v>
      </c>
      <c r="AA4915">
        <v>0.94175109999999995</v>
      </c>
      <c r="AB4915">
        <v>30</v>
      </c>
      <c r="AC4915">
        <v>8.5805000000000202</v>
      </c>
      <c r="AD4915">
        <v>-1.109476191835</v>
      </c>
      <c r="AE4915">
        <v>-3.0348600000000001</v>
      </c>
      <c r="AF4915">
        <v>3.1242761174642499</v>
      </c>
      <c r="AG4915">
        <v>-1.109476191835</v>
      </c>
      <c r="AH4915">
        <v>8.4063182973075996</v>
      </c>
      <c r="AI4915">
        <v>97.052414700769503</v>
      </c>
      <c r="AJ4915">
        <v>69.612009993877706</v>
      </c>
      <c r="AK4915">
        <v>9.0364941207336997</v>
      </c>
      <c r="AL4915">
        <v>84.652845904447403</v>
      </c>
      <c r="AM4915">
        <v>81.411925913493505</v>
      </c>
      <c r="AN4915">
        <v>0.99999998126032497</v>
      </c>
    </row>
    <row r="4916" spans="1:40" x14ac:dyDescent="0.25">
      <c r="A4916" t="str">
        <f>"20190312151414721"</f>
        <v>20190312151414721</v>
      </c>
      <c r="B4916" t="str">
        <f>"1552374854715702"</f>
        <v>1552374854715702</v>
      </c>
      <c r="C4916" t="s">
        <v>40</v>
      </c>
      <c r="D4916">
        <v>4.9633390000000004</v>
      </c>
      <c r="E4916">
        <v>0.57736580000000004</v>
      </c>
      <c r="F4916" t="s">
        <v>42</v>
      </c>
      <c r="G4916">
        <v>-348.2697</v>
      </c>
      <c r="H4916" s="1">
        <v>-2.2453649999999998E-6</v>
      </c>
      <c r="I4916">
        <v>13.33799</v>
      </c>
      <c r="J4916">
        <v>-362.57069999999999</v>
      </c>
      <c r="K4916">
        <v>1.109434</v>
      </c>
      <c r="L4916">
        <v>18.368590000000001</v>
      </c>
      <c r="M4916">
        <v>0.99983379999999999</v>
      </c>
      <c r="N4916">
        <v>0</v>
      </c>
      <c r="O4916">
        <v>1.528555E-2</v>
      </c>
      <c r="P4916">
        <v>0.98732399999999998</v>
      </c>
      <c r="Q4916">
        <v>8.4432590000000002E-2</v>
      </c>
      <c r="R4916">
        <v>-0.1343984</v>
      </c>
      <c r="S4916">
        <v>2.9211429999999998</v>
      </c>
      <c r="T4916">
        <v>-0.22195409999999999</v>
      </c>
      <c r="U4916">
        <v>-1.0055240000000001</v>
      </c>
      <c r="V4916">
        <v>0.1495784</v>
      </c>
      <c r="W4916">
        <v>9.4067349999999994E-2</v>
      </c>
      <c r="X4916">
        <v>0.98426499999999995</v>
      </c>
      <c r="Y4916">
        <v>0.33898109999999998</v>
      </c>
      <c r="Z4916">
        <v>-1.3629399999999899E-2</v>
      </c>
      <c r="AA4916">
        <v>0.94069449999999999</v>
      </c>
      <c r="AB4916">
        <v>30</v>
      </c>
      <c r="AC4916">
        <v>14.300999999999901</v>
      </c>
      <c r="AD4916">
        <v>-1.109436245365</v>
      </c>
      <c r="AE4916">
        <v>-5.0305999999999997</v>
      </c>
      <c r="AF4916">
        <v>5.2206619877545304</v>
      </c>
      <c r="AG4916">
        <v>-1.109436245365</v>
      </c>
      <c r="AH4916">
        <v>14.146666167439999</v>
      </c>
      <c r="AI4916">
        <v>94.207883803865798</v>
      </c>
      <c r="AJ4916">
        <v>69.744006500987098</v>
      </c>
      <c r="AK4916">
        <v>15.119997487629</v>
      </c>
      <c r="AL4916">
        <v>84.602357359614601</v>
      </c>
      <c r="AM4916">
        <v>81.358897515658498</v>
      </c>
      <c r="AN4916">
        <v>0.99999997715378997</v>
      </c>
    </row>
    <row r="4917" spans="1:40" x14ac:dyDescent="0.25">
      <c r="A4917" t="str">
        <f>"20190312151414744"</f>
        <v>20190312151414744</v>
      </c>
      <c r="B4917" t="str">
        <f>"1552374854735221"</f>
        <v>1552374854735221</v>
      </c>
      <c r="C4917" t="s">
        <v>40</v>
      </c>
      <c r="D4917">
        <v>4.9571139999999998</v>
      </c>
      <c r="E4917">
        <v>0.57772299999999999</v>
      </c>
      <c r="F4917" t="s">
        <v>42</v>
      </c>
      <c r="G4917">
        <v>-347.5949</v>
      </c>
      <c r="H4917" s="1">
        <v>-2.5216659999999998E-6</v>
      </c>
      <c r="I4917">
        <v>13.16259</v>
      </c>
      <c r="J4917">
        <v>-362.26479999999998</v>
      </c>
      <c r="K4917">
        <v>1.109389</v>
      </c>
      <c r="L4917">
        <v>18.372620000000001</v>
      </c>
      <c r="M4917">
        <v>0.99984340000000005</v>
      </c>
      <c r="N4917">
        <v>0</v>
      </c>
      <c r="O4917">
        <v>1.462222E-2</v>
      </c>
      <c r="P4917">
        <v>0.98700500000000002</v>
      </c>
      <c r="Q4917">
        <v>8.5536440000000005E-2</v>
      </c>
      <c r="R4917">
        <v>-0.13603270000000001</v>
      </c>
      <c r="S4917">
        <v>2.9189150000000001</v>
      </c>
      <c r="T4917">
        <v>-0.21623899999999999</v>
      </c>
      <c r="U4917">
        <v>-1.0146790000000001</v>
      </c>
      <c r="V4917">
        <v>0.15056749999999999</v>
      </c>
      <c r="W4917">
        <v>9.5161540000000003E-2</v>
      </c>
      <c r="X4917">
        <v>0.98400900000000002</v>
      </c>
      <c r="Y4917">
        <v>0.34125440000000001</v>
      </c>
      <c r="Z4917">
        <v>-1.331628E-2</v>
      </c>
      <c r="AA4917">
        <v>0.93987659999999995</v>
      </c>
      <c r="AB4917">
        <v>30</v>
      </c>
      <c r="AC4917">
        <v>14.669899999999901</v>
      </c>
      <c r="AD4917">
        <v>-1.109391521666</v>
      </c>
      <c r="AE4917">
        <v>-5.2100299999999997</v>
      </c>
      <c r="AF4917">
        <v>5.3965841469897198</v>
      </c>
      <c r="AG4917">
        <v>-1.109391521666</v>
      </c>
      <c r="AH4917">
        <v>14.518415325755599</v>
      </c>
      <c r="AI4917">
        <v>94.096797958891798</v>
      </c>
      <c r="AJ4917">
        <v>69.609590493635807</v>
      </c>
      <c r="AK4917">
        <v>15.528626905654599</v>
      </c>
      <c r="AL4917">
        <v>84.539382512522593</v>
      </c>
      <c r="AM4917">
        <v>81.300400318512999</v>
      </c>
      <c r="AN4917">
        <v>1.00000000141621</v>
      </c>
    </row>
    <row r="4918" spans="1:40" x14ac:dyDescent="0.25">
      <c r="A4918" t="str">
        <f>"20190312151414766"</f>
        <v>20190312151414766</v>
      </c>
      <c r="B4918" t="str">
        <f>"1552374854755718"</f>
        <v>1552374854755718</v>
      </c>
      <c r="C4918" t="s">
        <v>40</v>
      </c>
      <c r="D4918">
        <v>4.9493039999999997</v>
      </c>
      <c r="E4918">
        <v>0.57769749999999997</v>
      </c>
      <c r="F4918" t="s">
        <v>42</v>
      </c>
      <c r="G4918">
        <v>-346.74869999999999</v>
      </c>
      <c r="H4918" s="1">
        <v>-2.8706009999999999E-6</v>
      </c>
      <c r="I4918">
        <v>12.93346</v>
      </c>
      <c r="J4918">
        <v>-361.97399999999999</v>
      </c>
      <c r="K4918">
        <v>1.1093309999999901</v>
      </c>
      <c r="L4918">
        <v>18.376159999999999</v>
      </c>
      <c r="M4918">
        <v>0.9998534</v>
      </c>
      <c r="N4918">
        <v>0</v>
      </c>
      <c r="O4918">
        <v>1.3922149999999999E-2</v>
      </c>
      <c r="P4918">
        <v>0.98662969999999905</v>
      </c>
      <c r="Q4918">
        <v>8.5939059999999998E-2</v>
      </c>
      <c r="R4918">
        <v>-0.13847860000000001</v>
      </c>
      <c r="S4918">
        <v>2.916687</v>
      </c>
      <c r="T4918">
        <v>-0.2085419</v>
      </c>
      <c r="U4918">
        <v>-1.0224299999999999</v>
      </c>
      <c r="V4918">
        <v>0.15233160000000001</v>
      </c>
      <c r="W4918">
        <v>9.5549330000000002E-2</v>
      </c>
      <c r="X4918">
        <v>0.98369989999999996</v>
      </c>
      <c r="Y4918">
        <v>0.34310279999999999</v>
      </c>
      <c r="Z4918">
        <v>-1.286269E-2</v>
      </c>
      <c r="AA4918">
        <v>0.93920979999999998</v>
      </c>
      <c r="AB4918">
        <v>30</v>
      </c>
      <c r="AC4918">
        <v>15.225300000000001</v>
      </c>
      <c r="AD4918">
        <v>-1.1093338706010001</v>
      </c>
      <c r="AE4918">
        <v>-5.4427000000000003</v>
      </c>
      <c r="AF4918">
        <v>5.6276612500465601</v>
      </c>
      <c r="AG4918">
        <v>-1.1093338706010001</v>
      </c>
      <c r="AH4918">
        <v>15.0770752784157</v>
      </c>
      <c r="AI4918">
        <v>93.943283311696405</v>
      </c>
      <c r="AJ4918">
        <v>69.531434519898497</v>
      </c>
      <c r="AK4918">
        <v>16.131317110910398</v>
      </c>
      <c r="AL4918">
        <v>84.517062297705095</v>
      </c>
      <c r="AM4918">
        <v>81.197337392050798</v>
      </c>
      <c r="AN4918">
        <v>1.000000042041</v>
      </c>
    </row>
    <row r="4919" spans="1:40" x14ac:dyDescent="0.25">
      <c r="A4919" t="str">
        <f>"20190312151414788"</f>
        <v>20190312151414788</v>
      </c>
      <c r="B4919" t="str">
        <f>"1552374854784998"</f>
        <v>1552374854784998</v>
      </c>
      <c r="C4919" t="s">
        <v>40</v>
      </c>
      <c r="D4919">
        <v>4.843585</v>
      </c>
      <c r="E4919">
        <v>0.57935389999999998</v>
      </c>
      <c r="F4919" t="s">
        <v>42</v>
      </c>
      <c r="G4919">
        <v>-346.15289999999999</v>
      </c>
      <c r="H4919" s="1">
        <v>-3.1126099999999902E-6</v>
      </c>
      <c r="I4919">
        <v>12.78595</v>
      </c>
      <c r="J4919">
        <v>-361.67309999999998</v>
      </c>
      <c r="K4919">
        <v>1.109275</v>
      </c>
      <c r="L4919">
        <v>18.379549999999998</v>
      </c>
      <c r="M4919">
        <v>0.99986419999999998</v>
      </c>
      <c r="N4919">
        <v>0</v>
      </c>
      <c r="O4919">
        <v>1.312492E-2</v>
      </c>
      <c r="P4919">
        <v>0.98631729999999995</v>
      </c>
      <c r="Q4919">
        <v>8.5979799999999995E-2</v>
      </c>
      <c r="R4919">
        <v>-0.1406618</v>
      </c>
      <c r="S4919">
        <v>2.9139710000000001</v>
      </c>
      <c r="T4919">
        <v>-0.2043198</v>
      </c>
      <c r="U4919">
        <v>-1.0296019999999999</v>
      </c>
      <c r="V4919">
        <v>0.15373899999999999</v>
      </c>
      <c r="W4919">
        <v>9.5574489999999998E-2</v>
      </c>
      <c r="X4919">
        <v>0.98347839999999997</v>
      </c>
      <c r="Y4919">
        <v>0.34471360000000001</v>
      </c>
      <c r="Z4919">
        <v>-1.260944E-2</v>
      </c>
      <c r="AA4919">
        <v>0.93862319999999999</v>
      </c>
      <c r="AB4919">
        <v>30</v>
      </c>
      <c r="AC4919">
        <v>15.5201999999999</v>
      </c>
      <c r="AD4919">
        <v>-1.10927811261</v>
      </c>
      <c r="AE4919">
        <v>-5.5935999999999897</v>
      </c>
      <c r="AF4919">
        <v>5.7707392818417498</v>
      </c>
      <c r="AG4919">
        <v>-1.10927811261</v>
      </c>
      <c r="AH4919">
        <v>15.375926997173</v>
      </c>
      <c r="AI4919">
        <v>93.864087168522403</v>
      </c>
      <c r="AJ4919">
        <v>69.428384079952394</v>
      </c>
      <c r="AK4919">
        <v>16.460591144078101</v>
      </c>
      <c r="AL4919">
        <v>84.515613674925604</v>
      </c>
      <c r="AM4919">
        <v>81.1153315671244</v>
      </c>
      <c r="AN4919">
        <v>0.99999996326315899</v>
      </c>
    </row>
    <row r="4920" spans="1:40" x14ac:dyDescent="0.25">
      <c r="A4920" t="str">
        <f>"20190312151414813"</f>
        <v>20190312151414813</v>
      </c>
      <c r="B4920" t="str">
        <f>"1552374854805494"</f>
        <v>1552374854805494</v>
      </c>
      <c r="C4920" t="s">
        <v>40</v>
      </c>
      <c r="D4920">
        <v>4.8341699999999896</v>
      </c>
      <c r="E4920">
        <v>0.57882900000000004</v>
      </c>
      <c r="F4920" t="s">
        <v>42</v>
      </c>
      <c r="G4920">
        <v>-352.62990000000002</v>
      </c>
      <c r="H4920" s="1">
        <v>-3.9393709999999998E-6</v>
      </c>
      <c r="I4920">
        <v>15.132529999999999</v>
      </c>
      <c r="J4920">
        <v>-361.3501</v>
      </c>
      <c r="K4920">
        <v>1.1092249999999999</v>
      </c>
      <c r="L4920">
        <v>18.382809999999999</v>
      </c>
      <c r="M4920">
        <v>0.99987570000000003</v>
      </c>
      <c r="N4920">
        <v>0</v>
      </c>
      <c r="O4920">
        <v>1.22039E-2</v>
      </c>
      <c r="P4920">
        <v>0.98594930000000003</v>
      </c>
      <c r="Q4920">
        <v>8.5886699999999996E-2</v>
      </c>
      <c r="R4920">
        <v>-0.14327409999999999</v>
      </c>
      <c r="S4920">
        <v>2.9231569999999998</v>
      </c>
      <c r="T4920">
        <v>-0.35857050000000001</v>
      </c>
      <c r="U4920">
        <v>-1.049561</v>
      </c>
      <c r="V4920">
        <v>0.15545300000000001</v>
      </c>
      <c r="W4920">
        <v>9.5465330000000001E-2</v>
      </c>
      <c r="X4920">
        <v>0.98321959999999997</v>
      </c>
      <c r="Y4920">
        <v>0.347001</v>
      </c>
      <c r="Z4920">
        <v>-2.2014659999999998E-2</v>
      </c>
      <c r="AA4920">
        <v>0.9376063</v>
      </c>
      <c r="AB4920">
        <v>30</v>
      </c>
      <c r="AC4920">
        <v>8.72019999999997</v>
      </c>
      <c r="AD4920">
        <v>-1.109228939371</v>
      </c>
      <c r="AE4920">
        <v>-3.2502800000000001</v>
      </c>
      <c r="AF4920">
        <v>3.3094473362567798</v>
      </c>
      <c r="AG4920">
        <v>-1.109228939371</v>
      </c>
      <c r="AH4920">
        <v>8.5582972666662407</v>
      </c>
      <c r="AI4920">
        <v>96.892766782930707</v>
      </c>
      <c r="AJ4920">
        <v>68.858782917751199</v>
      </c>
      <c r="AK4920">
        <v>9.2426880622480194</v>
      </c>
      <c r="AL4920">
        <v>84.521897140947303</v>
      </c>
      <c r="AM4920">
        <v>81.015559058298606</v>
      </c>
      <c r="AN4920">
        <v>1.0000000231325801</v>
      </c>
    </row>
    <row r="4921" spans="1:40" x14ac:dyDescent="0.25">
      <c r="A4921" t="str">
        <f>"20190312151414834"</f>
        <v>20190312151414834</v>
      </c>
      <c r="B4921" t="str">
        <f>"1552374854825014"</f>
        <v>1552374854825014</v>
      </c>
      <c r="C4921" t="s">
        <v>40</v>
      </c>
      <c r="D4921">
        <v>4.74057</v>
      </c>
      <c r="E4921">
        <v>0.57972500000000005</v>
      </c>
      <c r="F4921" t="s">
        <v>42</v>
      </c>
      <c r="G4921">
        <v>-352.51499999999999</v>
      </c>
      <c r="H4921" s="1">
        <v>-3.9776669999999998E-6</v>
      </c>
      <c r="I4921">
        <v>15.194509999999999</v>
      </c>
      <c r="J4921">
        <v>-361.0564</v>
      </c>
      <c r="K4921">
        <v>1.1091789999999999</v>
      </c>
      <c r="L4921">
        <v>18.3855</v>
      </c>
      <c r="M4921">
        <v>0.99988600000000005</v>
      </c>
      <c r="N4921">
        <v>0</v>
      </c>
      <c r="O4921">
        <v>1.130811E-2</v>
      </c>
      <c r="P4921">
        <v>0.98562289999999997</v>
      </c>
      <c r="Q4921">
        <v>8.5712730000000001E-2</v>
      </c>
      <c r="R4921">
        <v>-0.1456056</v>
      </c>
      <c r="S4921">
        <v>2.9215089999999999</v>
      </c>
      <c r="T4921">
        <v>-0.36679279999999997</v>
      </c>
      <c r="U4921">
        <v>-1.05426</v>
      </c>
      <c r="V4921">
        <v>0.15690970000000001</v>
      </c>
      <c r="W4921">
        <v>9.5277360000000005E-2</v>
      </c>
      <c r="X4921">
        <v>0.98300639999999995</v>
      </c>
      <c r="Y4921">
        <v>0.34755599999999998</v>
      </c>
      <c r="Z4921">
        <v>-2.2446819999999999E-2</v>
      </c>
      <c r="AA4921">
        <v>0.93739050000000002</v>
      </c>
      <c r="AB4921">
        <v>30</v>
      </c>
      <c r="AC4921">
        <v>8.5414000000000101</v>
      </c>
      <c r="AD4921">
        <v>-1.1091829776669999</v>
      </c>
      <c r="AE4921">
        <v>-3.1909900000000002</v>
      </c>
      <c r="AF4921">
        <v>3.2394401831569399</v>
      </c>
      <c r="AG4921">
        <v>-1.1091829776669999</v>
      </c>
      <c r="AH4921">
        <v>8.3807484445595701</v>
      </c>
      <c r="AI4921">
        <v>97.0374317636591</v>
      </c>
      <c r="AJ4921">
        <v>68.866812078043196</v>
      </c>
      <c r="AK4921">
        <v>9.0532427377810798</v>
      </c>
      <c r="AL4921">
        <v>84.532716250154607</v>
      </c>
      <c r="AM4921">
        <v>80.9308271807881</v>
      </c>
      <c r="AN4921">
        <v>1.0000000058617999</v>
      </c>
    </row>
    <row r="4922" spans="1:40" x14ac:dyDescent="0.25">
      <c r="A4922" t="str">
        <f>"20190312151414856"</f>
        <v>20190312151414856</v>
      </c>
      <c r="B4922" t="str">
        <f>"1552374854845510"</f>
        <v>1552374854845510</v>
      </c>
      <c r="C4922" t="s">
        <v>40</v>
      </c>
      <c r="D4922">
        <v>4.7382479999999996</v>
      </c>
      <c r="E4922">
        <v>0.58034469999999905</v>
      </c>
      <c r="F4922" t="s">
        <v>42</v>
      </c>
      <c r="G4922">
        <v>-352.3888</v>
      </c>
      <c r="H4922" s="1">
        <v>-4.0289810000000004E-6</v>
      </c>
      <c r="I4922">
        <v>15.210570000000001</v>
      </c>
      <c r="J4922">
        <v>-360.76420000000002</v>
      </c>
      <c r="K4922">
        <v>1.1091359999999999</v>
      </c>
      <c r="L4922">
        <v>18.387820000000001</v>
      </c>
      <c r="M4922">
        <v>0.99989640000000002</v>
      </c>
      <c r="N4922">
        <v>0</v>
      </c>
      <c r="O4922">
        <v>1.0358269999999999E-2</v>
      </c>
      <c r="P4922">
        <v>0.98525669999999999</v>
      </c>
      <c r="Q4922">
        <v>8.6022810000000005E-2</v>
      </c>
      <c r="R4922">
        <v>-0.14788419999999999</v>
      </c>
      <c r="S4922">
        <v>2.918304</v>
      </c>
      <c r="T4922">
        <v>-0.37345089999999997</v>
      </c>
      <c r="U4922">
        <v>-1.0689390000000001</v>
      </c>
      <c r="V4922">
        <v>0.15826089999999901</v>
      </c>
      <c r="W4922">
        <v>9.5573080000000005E-2</v>
      </c>
      <c r="X4922">
        <v>0.982761</v>
      </c>
      <c r="Y4922">
        <v>0.3510472</v>
      </c>
      <c r="Z4922">
        <v>-2.295405E-2</v>
      </c>
      <c r="AA4922">
        <v>0.93607640000000003</v>
      </c>
      <c r="AB4922">
        <v>30</v>
      </c>
      <c r="AC4922">
        <v>8.3754000000000097</v>
      </c>
      <c r="AD4922">
        <v>-1.1091400289810001</v>
      </c>
      <c r="AE4922">
        <v>-3.1772499999999999</v>
      </c>
      <c r="AF4922">
        <v>3.2145562440639801</v>
      </c>
      <c r="AG4922">
        <v>-1.1091400289810001</v>
      </c>
      <c r="AH4922">
        <v>8.2160777115259496</v>
      </c>
      <c r="AI4922">
        <v>97.165436941247194</v>
      </c>
      <c r="AJ4922">
        <v>68.631982402099595</v>
      </c>
      <c r="AK4922">
        <v>8.8919905764666805</v>
      </c>
      <c r="AL4922">
        <v>84.515694785865193</v>
      </c>
      <c r="AM4922">
        <v>80.851798864933301</v>
      </c>
      <c r="AN4922">
        <v>0.99999995460524704</v>
      </c>
    </row>
    <row r="4923" spans="1:40" x14ac:dyDescent="0.25">
      <c r="A4923" t="str">
        <f>"20190312151414879"</f>
        <v>20190312151414879</v>
      </c>
      <c r="B4923" t="str">
        <f>"1552374854874790"</f>
        <v>1552374854874790</v>
      </c>
      <c r="C4923" t="s">
        <v>40</v>
      </c>
      <c r="D4923">
        <v>4.6609990000000003</v>
      </c>
      <c r="E4923">
        <v>0.58104060000000002</v>
      </c>
      <c r="F4923" t="s">
        <v>42</v>
      </c>
      <c r="G4923">
        <v>-352.14089999999999</v>
      </c>
      <c r="H4923" s="1">
        <v>-4.1389649999999998E-6</v>
      </c>
      <c r="I4923">
        <v>15.1901299999999</v>
      </c>
      <c r="J4923">
        <v>-360.45139999999998</v>
      </c>
      <c r="K4923">
        <v>1.109086</v>
      </c>
      <c r="L4923">
        <v>18.39001</v>
      </c>
      <c r="M4923">
        <v>0.99990670000000004</v>
      </c>
      <c r="N4923">
        <v>0</v>
      </c>
      <c r="O4923">
        <v>9.2803499999999997E-3</v>
      </c>
      <c r="P4923">
        <v>0.98487559999999996</v>
      </c>
      <c r="Q4923">
        <v>8.6354890000000004E-2</v>
      </c>
      <c r="R4923">
        <v>-0.1502096</v>
      </c>
      <c r="S4923">
        <v>2.9154049999999998</v>
      </c>
      <c r="T4923">
        <v>-0.37498100000000001</v>
      </c>
      <c r="U4923">
        <v>-1.0810550000000001</v>
      </c>
      <c r="V4923">
        <v>0.1595345</v>
      </c>
      <c r="W4923">
        <v>9.5889189999999999E-2</v>
      </c>
      <c r="X4923">
        <v>0.98252430000000002</v>
      </c>
      <c r="Y4923">
        <v>0.35372930000000002</v>
      </c>
      <c r="Z4923">
        <v>-2.3085419999999999E-2</v>
      </c>
      <c r="AA4923">
        <v>0.93506290000000003</v>
      </c>
      <c r="AB4923">
        <v>30</v>
      </c>
      <c r="AC4923">
        <v>8.3104999999999905</v>
      </c>
      <c r="AD4923">
        <v>-1.1090901389650001</v>
      </c>
      <c r="AE4923">
        <v>-3.1998799999999998</v>
      </c>
      <c r="AF4923">
        <v>3.2268191329951801</v>
      </c>
      <c r="AG4923">
        <v>-1.1090901389650001</v>
      </c>
      <c r="AH4923">
        <v>8.1539681672663402</v>
      </c>
      <c r="AI4923">
        <v>97.208216105370695</v>
      </c>
      <c r="AJ4923">
        <v>68.409508723627397</v>
      </c>
      <c r="AK4923">
        <v>8.8390972121708202</v>
      </c>
      <c r="AL4923">
        <v>84.497499681790501</v>
      </c>
      <c r="AM4923">
        <v>80.777255426582499</v>
      </c>
      <c r="AN4923">
        <v>0.99999999676979701</v>
      </c>
    </row>
    <row r="4924" spans="1:40" x14ac:dyDescent="0.25">
      <c r="A4924" t="str">
        <f>"20190312151414901"</f>
        <v>20190312151414901</v>
      </c>
      <c r="B4924" t="str">
        <f>"1552374854895286"</f>
        <v>1552374854895286</v>
      </c>
      <c r="C4924" t="s">
        <v>40</v>
      </c>
      <c r="D4924">
        <v>4.594258</v>
      </c>
      <c r="E4924">
        <v>0.58135369999999997</v>
      </c>
      <c r="F4924" t="s">
        <v>42</v>
      </c>
      <c r="G4924">
        <v>-351.68029999999999</v>
      </c>
      <c r="H4924" s="1">
        <v>-4.35357899999999E-6</v>
      </c>
      <c r="I4924">
        <v>15.094010000000001</v>
      </c>
      <c r="J4924">
        <v>-360.16129999999998</v>
      </c>
      <c r="K4924">
        <v>1.10903</v>
      </c>
      <c r="L4924">
        <v>18.391629999999999</v>
      </c>
      <c r="M4924">
        <v>0.99991600000000003</v>
      </c>
      <c r="N4924">
        <v>0</v>
      </c>
      <c r="O4924">
        <v>8.2289479999999998E-3</v>
      </c>
      <c r="P4924">
        <v>0.9845237</v>
      </c>
      <c r="Q4924">
        <v>8.6248340000000007E-2</v>
      </c>
      <c r="R4924">
        <v>-0.15256</v>
      </c>
      <c r="S4924">
        <v>2.9114990000000001</v>
      </c>
      <c r="T4924">
        <v>-0.36815379999999998</v>
      </c>
      <c r="U4924">
        <v>-1.094055</v>
      </c>
      <c r="V4924">
        <v>0.16085820000000001</v>
      </c>
      <c r="W4924">
        <v>9.5767199999999997E-2</v>
      </c>
      <c r="X4924">
        <v>0.98232039999999998</v>
      </c>
      <c r="Y4924">
        <v>0.3568963</v>
      </c>
      <c r="Z4924">
        <v>-2.2744219999999999E-2</v>
      </c>
      <c r="AA4924">
        <v>0.93386709999999995</v>
      </c>
      <c r="AB4924">
        <v>30</v>
      </c>
      <c r="AC4924">
        <v>8.4809999999999892</v>
      </c>
      <c r="AD4924">
        <v>-1.1090343535789999</v>
      </c>
      <c r="AE4924">
        <v>-3.29761999999999</v>
      </c>
      <c r="AF4924">
        <v>3.31801489502344</v>
      </c>
      <c r="AG4924">
        <v>-1.1090343535789999</v>
      </c>
      <c r="AH4924">
        <v>8.3298418939657797</v>
      </c>
      <c r="AI4924">
        <v>97.051014451721997</v>
      </c>
      <c r="AJ4924">
        <v>68.281189608884006</v>
      </c>
      <c r="AK4924">
        <v>9.0346801835750199</v>
      </c>
      <c r="AL4924">
        <v>84.504521762264005</v>
      </c>
      <c r="AM4924">
        <v>80.700166693983903</v>
      </c>
      <c r="AN4924">
        <v>1.0000000426796101</v>
      </c>
    </row>
    <row r="4925" spans="1:40" x14ac:dyDescent="0.25">
      <c r="A4925" t="str">
        <f>"20190312151414924"</f>
        <v>20190312151414924</v>
      </c>
      <c r="B4925" t="str">
        <f>"1552374854915782"</f>
        <v>1552374854915782</v>
      </c>
      <c r="C4925" t="s">
        <v>40</v>
      </c>
      <c r="D4925">
        <v>4.538011</v>
      </c>
      <c r="E4925">
        <v>0.5814298</v>
      </c>
      <c r="F4925" t="s">
        <v>42</v>
      </c>
      <c r="G4925">
        <v>-351.35480000000001</v>
      </c>
      <c r="H4925" s="1">
        <v>-4.5013929999999998E-6</v>
      </c>
      <c r="I4925">
        <v>15.048109999999999</v>
      </c>
      <c r="J4925">
        <v>-359.8467</v>
      </c>
      <c r="K4925">
        <v>1.1089819999999999</v>
      </c>
      <c r="L4925">
        <v>18.39301</v>
      </c>
      <c r="M4925">
        <v>0.99992479999999995</v>
      </c>
      <c r="N4925">
        <v>0</v>
      </c>
      <c r="O4925">
        <v>7.042408E-3</v>
      </c>
      <c r="P4925">
        <v>0.98417600000000005</v>
      </c>
      <c r="Q4925">
        <v>8.6035390000000003E-2</v>
      </c>
      <c r="R4925">
        <v>-0.15490570000000001</v>
      </c>
      <c r="S4925">
        <v>2.9081419999999998</v>
      </c>
      <c r="T4925">
        <v>-0.36623319999999998</v>
      </c>
      <c r="U4925">
        <v>-1.104095</v>
      </c>
      <c r="V4925">
        <v>0.16204470000000001</v>
      </c>
      <c r="W4925">
        <v>9.5539369999999998E-2</v>
      </c>
      <c r="X4925">
        <v>0.98214749999999995</v>
      </c>
      <c r="Y4925">
        <v>0.35898289999999999</v>
      </c>
      <c r="Z4925">
        <v>-2.2620000000000001E-2</v>
      </c>
      <c r="AA4925">
        <v>0.93306999999999995</v>
      </c>
      <c r="AB4925">
        <v>30</v>
      </c>
      <c r="AC4925">
        <v>8.4918999999999798</v>
      </c>
      <c r="AD4925">
        <v>-1.10898650139299</v>
      </c>
      <c r="AE4925">
        <v>-3.3448999999999902</v>
      </c>
      <c r="AF4925">
        <v>3.35508898162308</v>
      </c>
      <c r="AG4925">
        <v>-1.10898650139299</v>
      </c>
      <c r="AH4925">
        <v>8.3449276263164993</v>
      </c>
      <c r="AI4925">
        <v>97.029153723685198</v>
      </c>
      <c r="AJ4925">
        <v>68.097342665094899</v>
      </c>
      <c r="AK4925">
        <v>9.0622453190884595</v>
      </c>
      <c r="AL4925">
        <v>84.517635266543493</v>
      </c>
      <c r="AM4925">
        <v>80.631162228671599</v>
      </c>
      <c r="AN4925">
        <v>0.99999998388716804</v>
      </c>
    </row>
    <row r="4926" spans="1:40" x14ac:dyDescent="0.25">
      <c r="A4926" t="str">
        <f>"20190312151414945"</f>
        <v>20190312151414945</v>
      </c>
      <c r="B4926" t="str">
        <f>"1552374854935305"</f>
        <v>1552374854935305</v>
      </c>
      <c r="C4926" t="s">
        <v>40</v>
      </c>
      <c r="D4926">
        <v>4.499485</v>
      </c>
      <c r="E4926">
        <v>0.58180949999999998</v>
      </c>
      <c r="F4926" t="s">
        <v>42</v>
      </c>
      <c r="G4926">
        <v>-351.12479999999999</v>
      </c>
      <c r="H4926" s="1">
        <v>-4.5987319999999997E-6</v>
      </c>
      <c r="I4926">
        <v>15.055580000000001</v>
      </c>
      <c r="J4926">
        <v>-359.56209999999999</v>
      </c>
      <c r="K4926">
        <v>1.1089500000000001</v>
      </c>
      <c r="L4926">
        <v>18.393889999999999</v>
      </c>
      <c r="M4926">
        <v>0.99993209999999999</v>
      </c>
      <c r="N4926">
        <v>0</v>
      </c>
      <c r="O4926">
        <v>5.9302819999999899E-3</v>
      </c>
      <c r="P4926">
        <v>0.98370749999999996</v>
      </c>
      <c r="Q4926">
        <v>8.6665660000000005E-2</v>
      </c>
      <c r="R4926">
        <v>-0.15750739999999999</v>
      </c>
      <c r="S4926">
        <v>2.9055789999999999</v>
      </c>
      <c r="T4926">
        <v>-0.3694421</v>
      </c>
      <c r="U4926">
        <v>-1.1117859999999999</v>
      </c>
      <c r="V4926">
        <v>0.16356039999999999</v>
      </c>
      <c r="W4926">
        <v>9.6154500000000004E-2</v>
      </c>
      <c r="X4926">
        <v>0.98183620000000005</v>
      </c>
      <c r="Y4926">
        <v>0.36032779999999998</v>
      </c>
      <c r="Z4926">
        <v>-2.277127E-2</v>
      </c>
      <c r="AA4926">
        <v>0.93254780000000004</v>
      </c>
      <c r="AB4926">
        <v>30</v>
      </c>
      <c r="AC4926">
        <v>8.4372999999999898</v>
      </c>
      <c r="AD4926">
        <v>-1.108954598732</v>
      </c>
      <c r="AE4926">
        <v>-3.3383099999999999</v>
      </c>
      <c r="AF4926">
        <v>3.33842406524629</v>
      </c>
      <c r="AG4926">
        <v>-1.108954598732</v>
      </c>
      <c r="AH4926">
        <v>8.2934756659481295</v>
      </c>
      <c r="AI4926">
        <v>97.070945033805003</v>
      </c>
      <c r="AJ4926">
        <v>68.073430543918406</v>
      </c>
      <c r="AK4926">
        <v>9.0086954751028401</v>
      </c>
      <c r="AL4926">
        <v>84.482228033339098</v>
      </c>
      <c r="AM4926">
        <v>80.542161464010803</v>
      </c>
      <c r="AN4926">
        <v>1.00000000797442</v>
      </c>
    </row>
    <row r="4927" spans="1:40" x14ac:dyDescent="0.25">
      <c r="A4927" t="str">
        <f>"20190312151414967"</f>
        <v>20190312151414967</v>
      </c>
      <c r="B4927" t="str">
        <f>"1552374854965558"</f>
        <v>1552374854965558</v>
      </c>
      <c r="C4927" t="s">
        <v>40</v>
      </c>
      <c r="D4927">
        <v>4.4481449999999896</v>
      </c>
      <c r="E4927">
        <v>0.58247249999999995</v>
      </c>
      <c r="F4927" t="s">
        <v>42</v>
      </c>
      <c r="G4927">
        <v>-350.65989999999999</v>
      </c>
      <c r="H4927" s="1">
        <v>-4.8169270000000001E-6</v>
      </c>
      <c r="I4927">
        <v>14.94965</v>
      </c>
      <c r="J4927">
        <v>-359.25720000000001</v>
      </c>
      <c r="K4927">
        <v>1.108919</v>
      </c>
      <c r="L4927">
        <v>18.394439999999999</v>
      </c>
      <c r="M4927">
        <v>0.99993849999999995</v>
      </c>
      <c r="N4927">
        <v>0</v>
      </c>
      <c r="O4927">
        <v>4.7081509999999998E-3</v>
      </c>
      <c r="P4927">
        <v>0.98323159999999998</v>
      </c>
      <c r="Q4927">
        <v>8.7577100000000005E-2</v>
      </c>
      <c r="R4927">
        <v>-0.15995680000000001</v>
      </c>
      <c r="S4927">
        <v>2.9017940000000002</v>
      </c>
      <c r="T4927">
        <v>-0.36148269999999999</v>
      </c>
      <c r="U4927">
        <v>-1.122681</v>
      </c>
      <c r="V4927">
        <v>0.164815299999999</v>
      </c>
      <c r="W4927">
        <v>9.705387E-2</v>
      </c>
      <c r="X4927">
        <v>0.98153780000000002</v>
      </c>
      <c r="Y4927">
        <v>0.36274240000000002</v>
      </c>
      <c r="Z4927">
        <v>-2.229484E-2</v>
      </c>
      <c r="AA4927">
        <v>0.93162270000000003</v>
      </c>
      <c r="AB4927">
        <v>30</v>
      </c>
      <c r="AC4927">
        <v>8.5973000000000095</v>
      </c>
      <c r="AD4927">
        <v>-1.1089238169269999</v>
      </c>
      <c r="AE4927">
        <v>-3.4447899999999998</v>
      </c>
      <c r="AF4927">
        <v>3.4359744016462002</v>
      </c>
      <c r="AG4927">
        <v>-1.1089238169269999</v>
      </c>
      <c r="AH4927">
        <v>8.4597100594282306</v>
      </c>
      <c r="AI4927">
        <v>96.9245401297336</v>
      </c>
      <c r="AJ4927">
        <v>67.895102553624994</v>
      </c>
      <c r="AK4927">
        <v>9.1979522944026595</v>
      </c>
      <c r="AL4927">
        <v>84.430455708054197</v>
      </c>
      <c r="AM4927">
        <v>80.468079175325201</v>
      </c>
      <c r="AN4927">
        <v>0.99999999481245305</v>
      </c>
    </row>
    <row r="4928" spans="1:40" x14ac:dyDescent="0.25">
      <c r="A4928" t="str">
        <f>"20190312151414990"</f>
        <v>20190312151414990</v>
      </c>
      <c r="B4928" t="str">
        <f>"1552374854985078"</f>
        <v>1552374854985078</v>
      </c>
      <c r="C4928" t="s">
        <v>40</v>
      </c>
      <c r="D4928">
        <v>4.4137659999999999</v>
      </c>
      <c r="E4928">
        <v>0.58301979999999998</v>
      </c>
      <c r="F4928" t="s">
        <v>42</v>
      </c>
      <c r="G4928">
        <v>-350.16590000000002</v>
      </c>
      <c r="H4928" s="1">
        <v>-5.0495279999999996E-6</v>
      </c>
      <c r="I4928">
        <v>14.83325</v>
      </c>
      <c r="J4928">
        <v>-358.9427</v>
      </c>
      <c r="K4928">
        <v>1.1089</v>
      </c>
      <c r="L4928">
        <v>18.394590000000001</v>
      </c>
      <c r="M4928">
        <v>0.99994369999999999</v>
      </c>
      <c r="N4928">
        <v>0</v>
      </c>
      <c r="O4928">
        <v>3.4258230000000001E-3</v>
      </c>
      <c r="P4928">
        <v>0.98276810000000003</v>
      </c>
      <c r="Q4928">
        <v>8.7735350000000004E-2</v>
      </c>
      <c r="R4928">
        <v>-0.162696799999999</v>
      </c>
      <c r="S4928">
        <v>2.8980100000000002</v>
      </c>
      <c r="T4928">
        <v>-0.35348829999999998</v>
      </c>
      <c r="U4928">
        <v>-1.135162</v>
      </c>
      <c r="V4928">
        <v>0.16629929999999901</v>
      </c>
      <c r="W4928">
        <v>9.7202910000000003E-2</v>
      </c>
      <c r="X4928">
        <v>0.9812727</v>
      </c>
      <c r="Y4928">
        <v>0.36553720000000001</v>
      </c>
      <c r="Z4928">
        <v>-2.1828589999999998E-2</v>
      </c>
      <c r="AA4928">
        <v>0.9305407</v>
      </c>
      <c r="AB4928">
        <v>30</v>
      </c>
      <c r="AC4928">
        <v>8.7767999999999802</v>
      </c>
      <c r="AD4928">
        <v>-1.108905049528</v>
      </c>
      <c r="AE4928">
        <v>-3.56134</v>
      </c>
      <c r="AF4928">
        <v>3.5428291125825599</v>
      </c>
      <c r="AG4928">
        <v>-1.108905049528</v>
      </c>
      <c r="AH4928">
        <v>8.6460416560802695</v>
      </c>
      <c r="AI4928">
        <v>96.768136874128302</v>
      </c>
      <c r="AJ4928">
        <v>67.717990254065</v>
      </c>
      <c r="AK4928">
        <v>9.4093222310911706</v>
      </c>
      <c r="AL4928">
        <v>84.4218757360388</v>
      </c>
      <c r="AM4928">
        <v>80.381299921122306</v>
      </c>
      <c r="AN4928">
        <v>0.99999998732912299</v>
      </c>
    </row>
    <row r="4929" spans="1:40" x14ac:dyDescent="0.25">
      <c r="A4929" t="str">
        <f>"20190312151415013"</f>
        <v>20190312151415013</v>
      </c>
      <c r="B4929" t="str">
        <f>"1552374855005574"</f>
        <v>1552374855005574</v>
      </c>
      <c r="C4929" t="s">
        <v>40</v>
      </c>
      <c r="D4929">
        <v>4.425332</v>
      </c>
      <c r="E4929">
        <v>0.58355819999999903</v>
      </c>
      <c r="F4929" t="s">
        <v>42</v>
      </c>
      <c r="G4929">
        <v>-349.75970000000001</v>
      </c>
      <c r="H4929" s="1">
        <v>-1.362114E-6</v>
      </c>
      <c r="I4929">
        <v>14.75187</v>
      </c>
      <c r="J4929">
        <v>-358.63709999999998</v>
      </c>
      <c r="K4929">
        <v>1.1088800000000001</v>
      </c>
      <c r="L4929">
        <v>18.39432</v>
      </c>
      <c r="M4929">
        <v>0.99994700000000003</v>
      </c>
      <c r="N4929">
        <v>0</v>
      </c>
      <c r="O4929">
        <v>2.1676909999999998E-3</v>
      </c>
      <c r="P4929">
        <v>0.98222830000000005</v>
      </c>
      <c r="Q4929">
        <v>8.76855E-2</v>
      </c>
      <c r="R4929">
        <v>-0.1659487</v>
      </c>
      <c r="S4929">
        <v>2.8937379999999999</v>
      </c>
      <c r="T4929">
        <v>-0.34943400000000002</v>
      </c>
      <c r="U4929">
        <v>-1.147858</v>
      </c>
      <c r="V4929">
        <v>0.16831779999999999</v>
      </c>
      <c r="W4929">
        <v>9.7144049999999996E-2</v>
      </c>
      <c r="X4929">
        <v>0.98093430000000004</v>
      </c>
      <c r="Y4929">
        <v>0.36840689999999998</v>
      </c>
      <c r="Z4929">
        <v>-2.1613179999999999E-2</v>
      </c>
      <c r="AA4929">
        <v>0.92941339999999995</v>
      </c>
      <c r="AB4929">
        <v>30</v>
      </c>
      <c r="AC4929">
        <v>8.8773999999999607</v>
      </c>
      <c r="AD4929">
        <v>-1.1088813621139999</v>
      </c>
      <c r="AE4929">
        <v>-3.64244999999999</v>
      </c>
      <c r="AF4929">
        <v>3.6134305803395099</v>
      </c>
      <c r="AG4929">
        <v>-1.1088813621139999</v>
      </c>
      <c r="AH4929">
        <v>8.7525971133270897</v>
      </c>
      <c r="AI4929">
        <v>96.679179317644</v>
      </c>
      <c r="AJ4929">
        <v>67.567159770197094</v>
      </c>
      <c r="AK4929">
        <v>9.5338583303087798</v>
      </c>
      <c r="AL4929">
        <v>84.425264130429895</v>
      </c>
      <c r="AM4929">
        <v>80.263477222455705</v>
      </c>
      <c r="AN4929">
        <v>0.99999997458186596</v>
      </c>
    </row>
    <row r="4930" spans="1:40" x14ac:dyDescent="0.25">
      <c r="A4930" t="str">
        <f>"20190312151415035"</f>
        <v>20190312151415035</v>
      </c>
      <c r="B4930" t="str">
        <f>"1552374855025094"</f>
        <v>1552374855025094</v>
      </c>
      <c r="C4930" t="s">
        <v>40</v>
      </c>
      <c r="D4930">
        <v>4.412318</v>
      </c>
      <c r="E4930">
        <v>0.584099699999999</v>
      </c>
      <c r="F4930" t="s">
        <v>42</v>
      </c>
      <c r="G4930">
        <v>-349.3999</v>
      </c>
      <c r="H4930" s="1">
        <v>-1.503741E-6</v>
      </c>
      <c r="I4930">
        <v>14.679830000000001</v>
      </c>
      <c r="J4930">
        <v>-358.33460000000002</v>
      </c>
      <c r="K4930">
        <v>1.108862</v>
      </c>
      <c r="L4930">
        <v>18.39368</v>
      </c>
      <c r="M4930">
        <v>0.99994890000000003</v>
      </c>
      <c r="N4930">
        <v>0</v>
      </c>
      <c r="O4930">
        <v>9.1762219999999995E-4</v>
      </c>
      <c r="P4930">
        <v>0.981711</v>
      </c>
      <c r="Q4930">
        <v>8.6765679999999998E-2</v>
      </c>
      <c r="R4930">
        <v>-0.169456299999999</v>
      </c>
      <c r="S4930">
        <v>2.8889469999999999</v>
      </c>
      <c r="T4930">
        <v>-0.3468039</v>
      </c>
      <c r="U4930">
        <v>-1.1616820000000001</v>
      </c>
      <c r="V4930">
        <v>0.17059750000000001</v>
      </c>
      <c r="W4930">
        <v>9.6216220000000005E-2</v>
      </c>
      <c r="X4930">
        <v>0.9806319</v>
      </c>
      <c r="Y4930">
        <v>0.3716274</v>
      </c>
      <c r="Z4930">
        <v>-2.150767E-2</v>
      </c>
      <c r="AA4930">
        <v>0.92813279999999998</v>
      </c>
      <c r="AB4930">
        <v>30</v>
      </c>
      <c r="AC4930">
        <v>8.9347000000000101</v>
      </c>
      <c r="AD4930">
        <v>-1.108863503741</v>
      </c>
      <c r="AE4930">
        <v>-3.7138499999999999</v>
      </c>
      <c r="AF4930">
        <v>3.6737977203872201</v>
      </c>
      <c r="AG4930">
        <v>-1.108863503741</v>
      </c>
      <c r="AH4930">
        <v>8.8155096861446491</v>
      </c>
      <c r="AI4930">
        <v>96.622763742147797</v>
      </c>
      <c r="AJ4930">
        <v>67.376431993662493</v>
      </c>
      <c r="AK4930">
        <v>9.6145503788144495</v>
      </c>
      <c r="AL4930">
        <v>84.478675196958307</v>
      </c>
      <c r="AM4930">
        <v>80.131197452016906</v>
      </c>
      <c r="AN4930">
        <v>0.99999999564747399</v>
      </c>
    </row>
    <row r="4931" spans="1:40" x14ac:dyDescent="0.25">
      <c r="A4931" t="str">
        <f>"20190312151415056"</f>
        <v>20190312151415056</v>
      </c>
      <c r="B4931" t="str">
        <f>"1552374855045590"</f>
        <v>1552374855045590</v>
      </c>
      <c r="C4931" t="s">
        <v>40</v>
      </c>
      <c r="D4931">
        <v>4.3962339999999998</v>
      </c>
      <c r="E4931">
        <v>0.58462259999999999</v>
      </c>
      <c r="F4931" t="s">
        <v>42</v>
      </c>
      <c r="G4931">
        <v>-349.17959999999999</v>
      </c>
      <c r="H4931" s="1">
        <v>-1.5839800000000001E-6</v>
      </c>
      <c r="I4931">
        <v>14.65996</v>
      </c>
      <c r="J4931">
        <v>-358.04059999999998</v>
      </c>
      <c r="K4931">
        <v>1.1088469999999999</v>
      </c>
      <c r="L4931">
        <v>18.392700000000001</v>
      </c>
      <c r="M4931">
        <v>0.99994930000000004</v>
      </c>
      <c r="N4931">
        <v>0</v>
      </c>
      <c r="O4931">
        <v>-2.9764780000000001E-4</v>
      </c>
      <c r="P4931">
        <v>0.98123459999999996</v>
      </c>
      <c r="Q4931">
        <v>8.5763980000000004E-2</v>
      </c>
      <c r="R4931">
        <v>-0.17269479999999901</v>
      </c>
      <c r="S4931">
        <v>2.8837280000000001</v>
      </c>
      <c r="T4931">
        <v>-0.34928049999999999</v>
      </c>
      <c r="U4931">
        <v>-1.176056</v>
      </c>
      <c r="V4931">
        <v>0.17264209999999999</v>
      </c>
      <c r="W4931">
        <v>9.5209009999999997E-2</v>
      </c>
      <c r="X4931">
        <v>0.98037240000000003</v>
      </c>
      <c r="Y4931">
        <v>0.37500359999999999</v>
      </c>
      <c r="Z4931">
        <v>-2.173193E-2</v>
      </c>
      <c r="AA4931">
        <v>0.92676860000000005</v>
      </c>
      <c r="AB4931">
        <v>30</v>
      </c>
      <c r="AC4931">
        <v>8.86099999999999</v>
      </c>
      <c r="AD4931">
        <v>-1.10884858398</v>
      </c>
      <c r="AE4931">
        <v>-3.7327400000000002</v>
      </c>
      <c r="AF4931">
        <v>3.6811449556345899</v>
      </c>
      <c r="AG4931">
        <v>-1.10884858398</v>
      </c>
      <c r="AH4931">
        <v>8.7457962241458809</v>
      </c>
      <c r="AI4931">
        <v>96.665188251140194</v>
      </c>
      <c r="AJ4931">
        <v>67.173555602195606</v>
      </c>
      <c r="AK4931">
        <v>9.5534980484047196</v>
      </c>
      <c r="AL4931">
        <v>84.536650523302896</v>
      </c>
      <c r="AM4931">
        <v>80.012697249603505</v>
      </c>
      <c r="AN4931">
        <v>1.0000000464796699</v>
      </c>
    </row>
    <row r="4932" spans="1:40" x14ac:dyDescent="0.25">
      <c r="A4932" t="str">
        <f>"20190312151415079"</f>
        <v>20190312151415079</v>
      </c>
      <c r="B4932" t="str">
        <f>"1552374855075847"</f>
        <v>1552374855075847</v>
      </c>
      <c r="C4932" t="s">
        <v>40</v>
      </c>
      <c r="D4932">
        <v>4.4148860000000001</v>
      </c>
      <c r="E4932">
        <v>0.58536679999999996</v>
      </c>
      <c r="F4932" t="s">
        <v>42</v>
      </c>
      <c r="G4932">
        <v>-348.99849999999998</v>
      </c>
      <c r="H4932" s="1">
        <v>-1.646362E-6</v>
      </c>
      <c r="I4932">
        <v>14.65714</v>
      </c>
      <c r="J4932">
        <v>-357.73059999999998</v>
      </c>
      <c r="K4932">
        <v>1.108833</v>
      </c>
      <c r="L4932">
        <v>18.391300000000001</v>
      </c>
      <c r="M4932">
        <v>0.99994799999999995</v>
      </c>
      <c r="N4932">
        <v>0</v>
      </c>
      <c r="O4932">
        <v>-1.5773479999999999E-3</v>
      </c>
      <c r="P4932">
        <v>0.98080219999999996</v>
      </c>
      <c r="Q4932">
        <v>8.4659410000000004E-2</v>
      </c>
      <c r="R4932">
        <v>-0.17566999999999999</v>
      </c>
      <c r="S4932">
        <v>2.8789060000000002</v>
      </c>
      <c r="T4932">
        <v>-0.35304419999999997</v>
      </c>
      <c r="U4932">
        <v>-1.1893309999999999</v>
      </c>
      <c r="V4932">
        <v>0.1743605</v>
      </c>
      <c r="W4932">
        <v>9.4103909999999999E-2</v>
      </c>
      <c r="X4932">
        <v>0.98017489999999996</v>
      </c>
      <c r="Y4932">
        <v>0.37795210000000001</v>
      </c>
      <c r="Z4932">
        <v>-2.2002910000000001E-2</v>
      </c>
      <c r="AA4932">
        <v>0.92556369999999999</v>
      </c>
      <c r="AB4932">
        <v>30</v>
      </c>
      <c r="AC4932">
        <v>8.7321000000000009</v>
      </c>
      <c r="AD4932">
        <v>-1.108834646362</v>
      </c>
      <c r="AE4932">
        <v>-3.7341600000000001</v>
      </c>
      <c r="AF4932">
        <v>3.6703470782423699</v>
      </c>
      <c r="AG4932">
        <v>-1.108834646362</v>
      </c>
      <c r="AH4932">
        <v>8.6204656807718703</v>
      </c>
      <c r="AI4932">
        <v>96.749422986837999</v>
      </c>
      <c r="AJ4932">
        <v>66.937086048036704</v>
      </c>
      <c r="AK4932">
        <v>9.4346908005032493</v>
      </c>
      <c r="AL4932">
        <v>84.600253319857501</v>
      </c>
      <c r="AM4932">
        <v>79.913328649749701</v>
      </c>
      <c r="AN4932">
        <v>0.99999998221377295</v>
      </c>
    </row>
    <row r="4933" spans="1:40" x14ac:dyDescent="0.25">
      <c r="A4933" t="str">
        <f>"20190312151415101"</f>
        <v>20190312151415101</v>
      </c>
      <c r="B4933" t="str">
        <f>"1552374855095366"</f>
        <v>1552374855095366</v>
      </c>
      <c r="C4933" t="s">
        <v>40</v>
      </c>
      <c r="D4933">
        <v>4.4424710000000003</v>
      </c>
      <c r="E4933">
        <v>0.5858563</v>
      </c>
      <c r="F4933" t="s">
        <v>42</v>
      </c>
      <c r="G4933">
        <v>-348.80500000000001</v>
      </c>
      <c r="H4933" s="1">
        <v>-1.7136209999999999E-6</v>
      </c>
      <c r="I4933">
        <v>14.651899999999999</v>
      </c>
      <c r="J4933">
        <v>-357.42649999999998</v>
      </c>
      <c r="K4933">
        <v>1.108822</v>
      </c>
      <c r="L4933">
        <v>18.389530000000001</v>
      </c>
      <c r="M4933">
        <v>0.99994519999999998</v>
      </c>
      <c r="N4933">
        <v>0</v>
      </c>
      <c r="O4933">
        <v>-2.8294040000000002E-3</v>
      </c>
      <c r="P4933">
        <v>0.9804427</v>
      </c>
      <c r="Q4933">
        <v>8.3212729999999999E-2</v>
      </c>
      <c r="R4933">
        <v>-0.17834729999999999</v>
      </c>
      <c r="S4933">
        <v>2.8738709999999998</v>
      </c>
      <c r="T4933">
        <v>-0.35702149999999999</v>
      </c>
      <c r="U4933">
        <v>-1.2039789999999999</v>
      </c>
      <c r="V4933">
        <v>0.17580779999999999</v>
      </c>
      <c r="W4933">
        <v>9.2662540000000002E-2</v>
      </c>
      <c r="X4933">
        <v>0.98005370000000003</v>
      </c>
      <c r="Y4933">
        <v>0.38131429999999999</v>
      </c>
      <c r="Z4933">
        <v>-2.2315169999999999E-2</v>
      </c>
      <c r="AA4933">
        <v>0.92417609999999994</v>
      </c>
      <c r="AB4933">
        <v>31</v>
      </c>
      <c r="AC4933">
        <v>8.6214999999999602</v>
      </c>
      <c r="AD4933">
        <v>-1.108823713621</v>
      </c>
      <c r="AE4933">
        <v>-3.7376299999999998</v>
      </c>
      <c r="AF4933">
        <v>3.6622272857643199</v>
      </c>
      <c r="AG4933">
        <v>-1.108823713621</v>
      </c>
      <c r="AH4933">
        <v>8.5134994314923897</v>
      </c>
      <c r="AI4933">
        <v>96.822606963628601</v>
      </c>
      <c r="AJ4933">
        <v>66.724215996865695</v>
      </c>
      <c r="AK4933">
        <v>9.3338668991209701</v>
      </c>
      <c r="AL4933">
        <v>84.683200255998003</v>
      </c>
      <c r="AM4933">
        <v>79.830111884777097</v>
      </c>
      <c r="AN4933">
        <v>0.99999999187189004</v>
      </c>
    </row>
    <row r="4934" spans="1:40" x14ac:dyDescent="0.25">
      <c r="A4934" t="str">
        <f>"20190312151415123"</f>
        <v>20190312151415123</v>
      </c>
      <c r="B4934" t="str">
        <f>"1552374855115865"</f>
        <v>1552374855115865</v>
      </c>
      <c r="C4934" t="s">
        <v>40</v>
      </c>
      <c r="D4934">
        <v>4.4264960000000002</v>
      </c>
      <c r="E4934">
        <v>0.58617399999999997</v>
      </c>
      <c r="F4934" t="s">
        <v>42</v>
      </c>
      <c r="G4934">
        <v>-348.60199999999998</v>
      </c>
      <c r="H4934" s="1">
        <v>-1.7833989999999999E-6</v>
      </c>
      <c r="I4934">
        <v>14.64931</v>
      </c>
      <c r="J4934">
        <v>-357.12419999999997</v>
      </c>
      <c r="K4934">
        <v>1.108814</v>
      </c>
      <c r="L4934">
        <v>18.38739</v>
      </c>
      <c r="M4934">
        <v>0.99994059999999996</v>
      </c>
      <c r="N4934">
        <v>0</v>
      </c>
      <c r="O4934">
        <v>-4.0720419999999997E-3</v>
      </c>
      <c r="P4934">
        <v>0.98008200000000001</v>
      </c>
      <c r="Q4934">
        <v>8.1983669999999995E-2</v>
      </c>
      <c r="R4934">
        <v>-0.1808804</v>
      </c>
      <c r="S4934">
        <v>2.8692319999999998</v>
      </c>
      <c r="T4934">
        <v>-0.36052240000000002</v>
      </c>
      <c r="U4934">
        <v>-1.216064</v>
      </c>
      <c r="V4934">
        <v>0.177121</v>
      </c>
      <c r="W4934">
        <v>9.1441330000000001E-2</v>
      </c>
      <c r="X4934">
        <v>0.97993200000000003</v>
      </c>
      <c r="Y4934">
        <v>0.38394220000000001</v>
      </c>
      <c r="Z4934">
        <v>-2.2556940000000001E-2</v>
      </c>
      <c r="AA4934">
        <v>0.92308159999999895</v>
      </c>
      <c r="AB4934">
        <v>31</v>
      </c>
      <c r="AC4934">
        <v>8.5221999999999891</v>
      </c>
      <c r="AD4934">
        <v>-1.108815783399</v>
      </c>
      <c r="AE4934">
        <v>-3.7380800000000001</v>
      </c>
      <c r="AF4934">
        <v>3.6515042327576599</v>
      </c>
      <c r="AG4934">
        <v>-1.108815783399</v>
      </c>
      <c r="AH4934">
        <v>8.4178439790053101</v>
      </c>
      <c r="AI4934">
        <v>96.890358384777798</v>
      </c>
      <c r="AJ4934">
        <v>66.5496964814796</v>
      </c>
      <c r="AK4934">
        <v>9.2424592429849497</v>
      </c>
      <c r="AL4934">
        <v>84.753469065357095</v>
      </c>
      <c r="AM4934">
        <v>79.754505248562694</v>
      </c>
      <c r="AN4934">
        <v>1.00000004504858</v>
      </c>
    </row>
    <row r="4935" spans="1:40" x14ac:dyDescent="0.25">
      <c r="A4935" t="str">
        <f>"20190312151415146"</f>
        <v>20190312151415146</v>
      </c>
      <c r="B4935" t="str">
        <f>"1552374855135386"</f>
        <v>1552374855135386</v>
      </c>
      <c r="C4935" t="s">
        <v>40</v>
      </c>
      <c r="D4935">
        <v>4.4502610000000002</v>
      </c>
      <c r="E4935">
        <v>0.58649719999999905</v>
      </c>
      <c r="F4935" t="s">
        <v>42</v>
      </c>
      <c r="G4935">
        <v>-348.40960000000001</v>
      </c>
      <c r="H4935" s="1">
        <v>-1.8468630000000001E-6</v>
      </c>
      <c r="I4935">
        <v>14.656750000000001</v>
      </c>
      <c r="J4935">
        <v>-356.82060000000001</v>
      </c>
      <c r="K4935">
        <v>1.1088100000000001</v>
      </c>
      <c r="L4935">
        <v>18.384920000000001</v>
      </c>
      <c r="M4935">
        <v>0.99993469999999995</v>
      </c>
      <c r="N4935">
        <v>0</v>
      </c>
      <c r="O4935">
        <v>-5.3183659999999997E-3</v>
      </c>
      <c r="P4935">
        <v>0.97982060000000004</v>
      </c>
      <c r="Q4935">
        <v>8.1802899999999998E-2</v>
      </c>
      <c r="R4935">
        <v>-0.18237310000000001</v>
      </c>
      <c r="S4935">
        <v>2.8651119999999999</v>
      </c>
      <c r="T4935">
        <v>-0.36454750000000002</v>
      </c>
      <c r="U4935">
        <v>-1.2265010000000001</v>
      </c>
      <c r="V4935">
        <v>0.17739289999999999</v>
      </c>
      <c r="W4935">
        <v>9.1270889999999993E-2</v>
      </c>
      <c r="X4935">
        <v>0.97989870000000001</v>
      </c>
      <c r="Y4935">
        <v>0.38604949999999999</v>
      </c>
      <c r="Z4935">
        <v>-2.2798209999999999E-2</v>
      </c>
      <c r="AA4935">
        <v>0.92219629999999997</v>
      </c>
      <c r="AB4935">
        <v>31</v>
      </c>
      <c r="AC4935">
        <v>8.4109999999999996</v>
      </c>
      <c r="AD4935">
        <v>-1.1088118468629999</v>
      </c>
      <c r="AE4935">
        <v>-3.72817</v>
      </c>
      <c r="AF4935">
        <v>3.6306467547455101</v>
      </c>
      <c r="AG4935">
        <v>-1.1088118468629999</v>
      </c>
      <c r="AH4935">
        <v>8.3100062824558592</v>
      </c>
      <c r="AI4935">
        <v>96.970988907123001</v>
      </c>
      <c r="AJ4935">
        <v>66.399454150211795</v>
      </c>
      <c r="AK4935">
        <v>9.1360420305482197</v>
      </c>
      <c r="AL4935">
        <v>84.7632755353481</v>
      </c>
      <c r="AM4935">
        <v>79.738769896730204</v>
      </c>
      <c r="AN4935">
        <v>1.0000000392967401</v>
      </c>
    </row>
    <row r="4936" spans="1:40" x14ac:dyDescent="0.25">
      <c r="A4936" t="str">
        <f>"20190312151415167"</f>
        <v>20190312151415167</v>
      </c>
      <c r="B4936" t="str">
        <f>"1552374855165640"</f>
        <v>1552374855165640</v>
      </c>
      <c r="C4936" t="s">
        <v>40</v>
      </c>
      <c r="D4936">
        <v>4.4450949999999896</v>
      </c>
      <c r="E4936">
        <v>0.58699690000000004</v>
      </c>
      <c r="F4936" t="s">
        <v>42</v>
      </c>
      <c r="G4936">
        <v>-348.149</v>
      </c>
      <c r="H4936" s="1">
        <v>-1.93811E-6</v>
      </c>
      <c r="I4936">
        <v>14.64716</v>
      </c>
      <c r="J4936">
        <v>-356.51609999999999</v>
      </c>
      <c r="K4936">
        <v>1.108806</v>
      </c>
      <c r="L4936">
        <v>18.381989999999998</v>
      </c>
      <c r="M4936">
        <v>0.99992720000000002</v>
      </c>
      <c r="N4936">
        <v>0</v>
      </c>
      <c r="O4936">
        <v>-6.5670609999999999E-3</v>
      </c>
      <c r="P4936">
        <v>0.97949410000000003</v>
      </c>
      <c r="Q4936">
        <v>8.1373630000000002E-2</v>
      </c>
      <c r="R4936">
        <v>-0.18430820000000001</v>
      </c>
      <c r="S4936">
        <v>2.8626710000000002</v>
      </c>
      <c r="T4936">
        <v>-0.36604239999999999</v>
      </c>
      <c r="U4936">
        <v>-1.233887</v>
      </c>
      <c r="V4936">
        <v>0.1781047</v>
      </c>
      <c r="W4936">
        <v>9.0850630000000002E-2</v>
      </c>
      <c r="X4936">
        <v>0.97980860000000003</v>
      </c>
      <c r="Y4936">
        <v>0.38717040000000003</v>
      </c>
      <c r="Z4936">
        <v>-2.281393E-2</v>
      </c>
      <c r="AA4936">
        <v>0.92172589999999999</v>
      </c>
      <c r="AB4936">
        <v>31</v>
      </c>
      <c r="AC4936">
        <v>8.36709999999999</v>
      </c>
      <c r="AD4936">
        <v>-1.10880793811</v>
      </c>
      <c r="AE4936">
        <v>-3.7348299999999899</v>
      </c>
      <c r="AF4936">
        <v>3.6266908119119599</v>
      </c>
      <c r="AG4936">
        <v>-1.10880793811</v>
      </c>
      <c r="AH4936">
        <v>8.2703384038071697</v>
      </c>
      <c r="AI4936">
        <v>96.999950502101996</v>
      </c>
      <c r="AJ4936">
        <v>66.321692447607205</v>
      </c>
      <c r="AK4936">
        <v>9.0983975843172509</v>
      </c>
      <c r="AL4936">
        <v>84.787454947432394</v>
      </c>
      <c r="AM4936">
        <v>79.697548980867595</v>
      </c>
      <c r="AN4936">
        <v>1.00000000688372</v>
      </c>
    </row>
    <row r="4937" spans="1:40" x14ac:dyDescent="0.25">
      <c r="A4937" t="str">
        <f>"20190312151415179"</f>
        <v>20190312151415179</v>
      </c>
      <c r="B4937" t="str">
        <f>"1552374855175398"</f>
        <v>1552374855175398</v>
      </c>
      <c r="C4937" t="s">
        <v>40</v>
      </c>
      <c r="D4937">
        <v>4.4619650000000002</v>
      </c>
      <c r="E4937">
        <v>0.58716789999999996</v>
      </c>
      <c r="F4937" t="s">
        <v>42</v>
      </c>
      <c r="G4937">
        <v>-347.9194</v>
      </c>
      <c r="H4937" s="1">
        <v>-2.0176949999999998E-6</v>
      </c>
      <c r="I4937">
        <v>14.641730000000001</v>
      </c>
      <c r="J4937">
        <v>-356.35649999999998</v>
      </c>
      <c r="K4937">
        <v>1.10880499999999</v>
      </c>
      <c r="L4937">
        <v>18.380279999999999</v>
      </c>
      <c r="M4937">
        <v>0.99992250000000005</v>
      </c>
      <c r="N4937">
        <v>0</v>
      </c>
      <c r="O4937">
        <v>-7.2210879999999996E-3</v>
      </c>
      <c r="P4937">
        <v>0.97930010000000001</v>
      </c>
      <c r="Q4937">
        <v>8.1434909999999999E-2</v>
      </c>
      <c r="R4937">
        <v>-0.18531049999999999</v>
      </c>
      <c r="S4937">
        <v>2.8593440000000001</v>
      </c>
      <c r="T4937">
        <v>-0.36880059999999998</v>
      </c>
      <c r="U4937">
        <v>-1.244019</v>
      </c>
      <c r="V4937">
        <v>0.17846699999999999</v>
      </c>
      <c r="W4937">
        <v>9.0916629999999998E-2</v>
      </c>
      <c r="X4937">
        <v>0.97973659999999996</v>
      </c>
      <c r="Y4937">
        <v>0.38965300000000003</v>
      </c>
      <c r="Z4937">
        <v>-2.30659E-2</v>
      </c>
      <c r="AA4937">
        <v>0.92067279999999996</v>
      </c>
      <c r="AB4937">
        <v>31</v>
      </c>
      <c r="AC4937">
        <v>8.4370999999999796</v>
      </c>
      <c r="AD4937">
        <v>-1.10880701769499</v>
      </c>
      <c r="AE4937">
        <v>-3.73855</v>
      </c>
      <c r="AF4937">
        <v>3.62518844624657</v>
      </c>
      <c r="AG4937">
        <v>-1.10880701769499</v>
      </c>
      <c r="AH4937">
        <v>8.3434259344329398</v>
      </c>
      <c r="AI4937">
        <v>96.949365426369596</v>
      </c>
      <c r="AJ4937">
        <v>66.515227731269704</v>
      </c>
      <c r="AK4937">
        <v>9.1642894212621595</v>
      </c>
      <c r="AL4937">
        <v>84.783657960499895</v>
      </c>
      <c r="AM4937">
        <v>79.676299608174006</v>
      </c>
      <c r="AN4937">
        <v>1.00000005453955</v>
      </c>
    </row>
    <row r="4938" spans="1:40" x14ac:dyDescent="0.25">
      <c r="A4938" t="str">
        <f>"20190312151415190"</f>
        <v>20190312151415190</v>
      </c>
      <c r="B4938" t="str">
        <f>"1552374855185158"</f>
        <v>1552374855185158</v>
      </c>
      <c r="C4938" t="s">
        <v>40</v>
      </c>
      <c r="D4938">
        <v>4.4782019999999996</v>
      </c>
      <c r="E4938">
        <v>0.58735800000000005</v>
      </c>
      <c r="F4938" t="s">
        <v>42</v>
      </c>
      <c r="G4938">
        <v>-347.7724</v>
      </c>
      <c r="H4938" s="1">
        <v>-2.0709890000000001E-6</v>
      </c>
      <c r="I4938">
        <v>14.62946</v>
      </c>
      <c r="J4938">
        <v>-356.20830000000001</v>
      </c>
      <c r="K4938">
        <v>1.1088020000000001</v>
      </c>
      <c r="L4938">
        <v>18.378630000000001</v>
      </c>
      <c r="M4938">
        <v>0.99991790000000003</v>
      </c>
      <c r="N4938">
        <v>0</v>
      </c>
      <c r="O4938">
        <v>-7.8288569999999998E-3</v>
      </c>
      <c r="P4938">
        <v>0.9791183</v>
      </c>
      <c r="Q4938">
        <v>8.1399289999999999E-2</v>
      </c>
      <c r="R4938">
        <v>-0.1862838</v>
      </c>
      <c r="S4938">
        <v>2.8578190000000001</v>
      </c>
      <c r="T4938">
        <v>-0.36914180000000002</v>
      </c>
      <c r="U4938">
        <v>-1.248688</v>
      </c>
      <c r="V4938">
        <v>0.17884610000000001</v>
      </c>
      <c r="W4938">
        <v>9.0884820000000005E-2</v>
      </c>
      <c r="X4938">
        <v>0.97967029999999999</v>
      </c>
      <c r="Y4938">
        <v>0.3905303</v>
      </c>
      <c r="Z4938">
        <v>-2.3070420000000001E-2</v>
      </c>
      <c r="AA4938">
        <v>0.92030100000000004</v>
      </c>
      <c r="AB4938">
        <v>31</v>
      </c>
      <c r="AC4938">
        <v>8.4359000000000002</v>
      </c>
      <c r="AD4938">
        <v>-1.1088040709889999</v>
      </c>
      <c r="AE4938">
        <v>-3.7491699999999901</v>
      </c>
      <c r="AF4938">
        <v>3.6306305099040799</v>
      </c>
      <c r="AG4938">
        <v>-1.1088040709889999</v>
      </c>
      <c r="AH4938">
        <v>8.3446101498966403</v>
      </c>
      <c r="AI4938">
        <v>96.946885056375805</v>
      </c>
      <c r="AJ4938">
        <v>66.486773445652204</v>
      </c>
      <c r="AK4938">
        <v>9.1675210892065202</v>
      </c>
      <c r="AL4938">
        <v>84.785487503269295</v>
      </c>
      <c r="AM4938">
        <v>79.654158016199602</v>
      </c>
      <c r="AN4938">
        <v>0.99999993734686399</v>
      </c>
    </row>
    <row r="4939" spans="1:40" x14ac:dyDescent="0.25">
      <c r="A4939" t="str">
        <f>"20190312151415201"</f>
        <v>20190312151415201</v>
      </c>
      <c r="B4939" t="str">
        <f>"1552374855195894"</f>
        <v>1552374855195894</v>
      </c>
      <c r="C4939" t="s">
        <v>40</v>
      </c>
      <c r="D4939">
        <v>4.4708649999999999</v>
      </c>
      <c r="E4939">
        <v>0.58756049999999904</v>
      </c>
      <c r="F4939" t="s">
        <v>42</v>
      </c>
      <c r="G4939">
        <v>-347.62279999999998</v>
      </c>
      <c r="H4939" s="1">
        <v>-2.1267049999999998E-6</v>
      </c>
      <c r="I4939">
        <v>14.611370000000001</v>
      </c>
      <c r="J4939">
        <v>-356.04570000000001</v>
      </c>
      <c r="K4939">
        <v>1.1088</v>
      </c>
      <c r="L4939">
        <v>18.37668</v>
      </c>
      <c r="M4939">
        <v>0.99991240000000003</v>
      </c>
      <c r="N4939">
        <v>0</v>
      </c>
      <c r="O4939">
        <v>-8.4952789999999997E-3</v>
      </c>
      <c r="P4939">
        <v>0.9789776</v>
      </c>
      <c r="Q4939">
        <v>8.0835710000000005E-2</v>
      </c>
      <c r="R4939">
        <v>-0.18726590000000001</v>
      </c>
      <c r="S4939">
        <v>2.8562319999999999</v>
      </c>
      <c r="T4939">
        <v>-0.36887730000000002</v>
      </c>
      <c r="U4939">
        <v>-1.2532650000000001</v>
      </c>
      <c r="V4939">
        <v>0.17917449999999999</v>
      </c>
      <c r="W4939">
        <v>9.0326359999999994E-2</v>
      </c>
      <c r="X4939">
        <v>0.97966200000000003</v>
      </c>
      <c r="Y4939">
        <v>0.39134479999999999</v>
      </c>
      <c r="Z4939">
        <v>-2.3026830000000002E-2</v>
      </c>
      <c r="AA4939">
        <v>0.919956</v>
      </c>
      <c r="AB4939">
        <v>31</v>
      </c>
      <c r="AC4939">
        <v>8.4229000000000198</v>
      </c>
      <c r="AD4939">
        <v>-1.1088021267049999</v>
      </c>
      <c r="AE4939">
        <v>-3.7653099999999999</v>
      </c>
      <c r="AF4939">
        <v>3.6410276019847299</v>
      </c>
      <c r="AG4939">
        <v>-1.1088021267049999</v>
      </c>
      <c r="AH4939">
        <v>8.3342126751434105</v>
      </c>
      <c r="AI4939">
        <v>96.950939029410705</v>
      </c>
      <c r="AJ4939">
        <v>66.400579518500393</v>
      </c>
      <c r="AK4939">
        <v>9.1621845140294607</v>
      </c>
      <c r="AL4939">
        <v>84.817617352105003</v>
      </c>
      <c r="AM4939">
        <v>79.635486266896706</v>
      </c>
      <c r="AN4939">
        <v>0.99999999350254898</v>
      </c>
    </row>
    <row r="4940" spans="1:40" x14ac:dyDescent="0.25">
      <c r="A4940" t="str">
        <f>"20190312151415225"</f>
        <v>20190312151415225</v>
      </c>
      <c r="B4940" t="str">
        <f>"1552374855215413"</f>
        <v>1552374855215413</v>
      </c>
      <c r="C4940" t="s">
        <v>40</v>
      </c>
      <c r="D4940">
        <v>4.4921610000000003</v>
      </c>
      <c r="E4940">
        <v>0.59713019999999895</v>
      </c>
      <c r="F4940" t="s">
        <v>42</v>
      </c>
      <c r="G4940">
        <v>-347.5052</v>
      </c>
      <c r="H4940" s="1">
        <v>-2.1663279999999998E-6</v>
      </c>
      <c r="I4940">
        <v>14.61286</v>
      </c>
      <c r="J4940">
        <v>-355.7328</v>
      </c>
      <c r="K4940">
        <v>1.1087940000000001</v>
      </c>
      <c r="L4940">
        <v>18.372710000000001</v>
      </c>
      <c r="M4940">
        <v>0.99990060000000003</v>
      </c>
      <c r="N4940">
        <v>0</v>
      </c>
      <c r="O4940">
        <v>-9.7784310000000006E-3</v>
      </c>
      <c r="P4940">
        <v>0.97861909999999996</v>
      </c>
      <c r="Q4940">
        <v>7.9644329999999999E-2</v>
      </c>
      <c r="R4940">
        <v>-0.189635</v>
      </c>
      <c r="S4940">
        <v>2.8544010000000002</v>
      </c>
      <c r="T4940">
        <v>-0.37058099999999999</v>
      </c>
      <c r="U4940">
        <v>-1.2579039999999999</v>
      </c>
      <c r="V4940">
        <v>0.18028620000000001</v>
      </c>
      <c r="W4940">
        <v>8.9145719999999998E-2</v>
      </c>
      <c r="X4940">
        <v>0.97956620000000005</v>
      </c>
      <c r="Y4940">
        <v>0.39161699999999999</v>
      </c>
      <c r="Z4940">
        <v>-2.2997090000000001E-2</v>
      </c>
      <c r="AA4940">
        <v>0.91984089999999996</v>
      </c>
      <c r="AB4940">
        <v>31</v>
      </c>
      <c r="AC4940">
        <v>8.22759999999999</v>
      </c>
      <c r="AD4940">
        <v>-1.1087961663279999</v>
      </c>
      <c r="AE4940">
        <v>-3.7598500000000001</v>
      </c>
      <c r="AF4940">
        <v>3.6247540001845802</v>
      </c>
      <c r="AG4940">
        <v>-1.1087961663279999</v>
      </c>
      <c r="AH4940">
        <v>8.1416520648383308</v>
      </c>
      <c r="AI4940">
        <v>97.092002406014203</v>
      </c>
      <c r="AJ4940">
        <v>66.0008401282346</v>
      </c>
      <c r="AK4940">
        <v>8.9808000114246003</v>
      </c>
      <c r="AL4940">
        <v>84.885537130043105</v>
      </c>
      <c r="AM4940">
        <v>79.571587934311594</v>
      </c>
      <c r="AN4940">
        <v>1.0000000067435899</v>
      </c>
    </row>
    <row r="4941" spans="1:40" x14ac:dyDescent="0.25">
      <c r="A4941" t="str">
        <f>"20190312151415247"</f>
        <v>20190312151415247</v>
      </c>
      <c r="B4941" t="str">
        <f>"1552374855245671"</f>
        <v>1552374855245671</v>
      </c>
      <c r="C4941" t="s">
        <v>40</v>
      </c>
      <c r="D4941">
        <v>4.5039569999999998</v>
      </c>
      <c r="E4941">
        <v>0.59655269999999905</v>
      </c>
      <c r="F4941" t="s">
        <v>42</v>
      </c>
      <c r="G4941">
        <v>-348.12209999999999</v>
      </c>
      <c r="H4941" s="1">
        <v>-1.9120960000000002E-6</v>
      </c>
      <c r="I4941">
        <v>14.7793799999999</v>
      </c>
      <c r="J4941">
        <v>-355.42259999999999</v>
      </c>
      <c r="K4941">
        <v>1.108789</v>
      </c>
      <c r="L4941">
        <v>18.368379999999998</v>
      </c>
      <c r="M4941">
        <v>0.99988699999999997</v>
      </c>
      <c r="N4941">
        <v>0</v>
      </c>
      <c r="O4941">
        <v>-1.104933E-2</v>
      </c>
      <c r="P4941">
        <v>0.97838899999999995</v>
      </c>
      <c r="Q4941">
        <v>7.8150059999999993E-2</v>
      </c>
      <c r="R4941">
        <v>-0.19143550000000001</v>
      </c>
      <c r="S4941">
        <v>2.8394170000000001</v>
      </c>
      <c r="T4941">
        <v>-0.41367159999999897</v>
      </c>
      <c r="U4941">
        <v>-1.340576</v>
      </c>
      <c r="V4941">
        <v>0.18083920000000001</v>
      </c>
      <c r="W4941">
        <v>8.7669040000000004E-2</v>
      </c>
      <c r="X4941">
        <v>0.97959750000000001</v>
      </c>
      <c r="Y4941">
        <v>0.41344789999999998</v>
      </c>
      <c r="Z4941">
        <v>-2.6953270000000001E-2</v>
      </c>
      <c r="AA4941">
        <v>0.91012879999999996</v>
      </c>
      <c r="AB4941">
        <v>31</v>
      </c>
      <c r="AC4941">
        <v>7.3004999999999898</v>
      </c>
      <c r="AD4941">
        <v>-1.108790912096</v>
      </c>
      <c r="AE4941">
        <v>-3.589</v>
      </c>
      <c r="AF4941">
        <v>3.44412821622636</v>
      </c>
      <c r="AG4941">
        <v>-1.108790912096</v>
      </c>
      <c r="AH4941">
        <v>7.2058467161984403</v>
      </c>
      <c r="AI4941">
        <v>97.903902977791304</v>
      </c>
      <c r="AJ4941">
        <v>64.453925419745204</v>
      </c>
      <c r="AK4941">
        <v>8.0632290897568506</v>
      </c>
      <c r="AL4941">
        <v>84.970477072317095</v>
      </c>
      <c r="AM4941">
        <v>79.540632156458898</v>
      </c>
      <c r="AN4941">
        <v>0.99999996941870495</v>
      </c>
    </row>
    <row r="4942" spans="1:40" x14ac:dyDescent="0.25">
      <c r="A4942" t="str">
        <f>"20190312151415259"</f>
        <v>20190312151415259</v>
      </c>
      <c r="B4942" t="str">
        <f>"1552374855255431"</f>
        <v>1552374855255431</v>
      </c>
      <c r="C4942" t="s">
        <v>40</v>
      </c>
      <c r="D4942">
        <v>4.5084330000000001</v>
      </c>
      <c r="E4942">
        <v>0.59629160000000003</v>
      </c>
      <c r="F4942" t="s">
        <v>42</v>
      </c>
      <c r="G4942">
        <v>-347.79250000000002</v>
      </c>
      <c r="H4942" s="1">
        <v>-2.0296320000000001E-6</v>
      </c>
      <c r="I4942">
        <v>14.75909</v>
      </c>
      <c r="J4942">
        <v>-355.2491</v>
      </c>
      <c r="K4942">
        <v>1.108789</v>
      </c>
      <c r="L4942">
        <v>18.36572</v>
      </c>
      <c r="M4942">
        <v>0.99987899999999996</v>
      </c>
      <c r="N4942">
        <v>0</v>
      </c>
      <c r="O4942">
        <v>-1.176025E-2</v>
      </c>
      <c r="P4942">
        <v>0.97824560000000005</v>
      </c>
      <c r="Q4942">
        <v>7.7388600000000002E-2</v>
      </c>
      <c r="R4942">
        <v>-0.19247590000000001</v>
      </c>
      <c r="S4942">
        <v>2.8366389999999999</v>
      </c>
      <c r="T4942">
        <v>-0.41221619999999998</v>
      </c>
      <c r="U4942">
        <v>-1.3417969999999999</v>
      </c>
      <c r="V4942">
        <v>0.18118229999999999</v>
      </c>
      <c r="W4942">
        <v>8.6917090000000002E-2</v>
      </c>
      <c r="X4942">
        <v>0.9796011</v>
      </c>
      <c r="Y4942">
        <v>0.41349079999999999</v>
      </c>
      <c r="Z4942">
        <v>-2.6785960000000001E-2</v>
      </c>
      <c r="AA4942">
        <v>0.91011419999999998</v>
      </c>
      <c r="AB4942">
        <v>31</v>
      </c>
      <c r="AC4942">
        <v>7.4565999999999804</v>
      </c>
      <c r="AD4942">
        <v>-1.108791029632</v>
      </c>
      <c r="AE4942">
        <v>-3.60663</v>
      </c>
      <c r="AF4942">
        <v>3.4567422179161702</v>
      </c>
      <c r="AG4942">
        <v>-1.108791029632</v>
      </c>
      <c r="AH4942">
        <v>7.3664990351624802</v>
      </c>
      <c r="AI4942">
        <v>97.759427793891405</v>
      </c>
      <c r="AJ4942">
        <v>64.861602516737705</v>
      </c>
      <c r="AK4942">
        <v>8.2124169611367197</v>
      </c>
      <c r="AL4942">
        <v>85.013725686942095</v>
      </c>
      <c r="AM4942">
        <v>79.521264765778596</v>
      </c>
      <c r="AN4942">
        <v>0.99999996074428299</v>
      </c>
    </row>
    <row r="4943" spans="1:40" x14ac:dyDescent="0.25">
      <c r="A4943" t="str">
        <f>"20190312151415272"</f>
        <v>20190312151415272</v>
      </c>
      <c r="B4943" t="str">
        <f>"1552374855265190"</f>
        <v>1552374855265190</v>
      </c>
      <c r="C4943" t="s">
        <v>40</v>
      </c>
      <c r="D4943">
        <v>4.5516319999999997</v>
      </c>
      <c r="E4943">
        <v>0.59631460000000003</v>
      </c>
      <c r="F4943" t="s">
        <v>42</v>
      </c>
      <c r="G4943">
        <v>-347.53539999999998</v>
      </c>
      <c r="H4943" s="1">
        <v>-2.1297449999999999E-6</v>
      </c>
      <c r="I4943">
        <v>14.71175</v>
      </c>
      <c r="J4943">
        <v>-355.07769999999999</v>
      </c>
      <c r="K4943">
        <v>1.108781</v>
      </c>
      <c r="L4943">
        <v>18.363009999999999</v>
      </c>
      <c r="M4943">
        <v>0.99987020000000004</v>
      </c>
      <c r="N4943">
        <v>0</v>
      </c>
      <c r="O4943">
        <v>-1.2462340000000001E-2</v>
      </c>
      <c r="P4943">
        <v>0.97802500000000003</v>
      </c>
      <c r="Q4943">
        <v>7.6870590000000003E-2</v>
      </c>
      <c r="R4943">
        <v>-0.1937992</v>
      </c>
      <c r="S4943">
        <v>2.8347470000000001</v>
      </c>
      <c r="T4943">
        <v>-0.4074718</v>
      </c>
      <c r="U4943">
        <v>-1.342773</v>
      </c>
      <c r="V4943">
        <v>0.18181890000000001</v>
      </c>
      <c r="W4943">
        <v>8.6406430000000006E-2</v>
      </c>
      <c r="X4943">
        <v>0.97952839999999997</v>
      </c>
      <c r="Y4943">
        <v>0.4134254</v>
      </c>
      <c r="Z4943">
        <v>-2.639468E-2</v>
      </c>
      <c r="AA4943">
        <v>0.91015539999999995</v>
      </c>
      <c r="AB4943">
        <v>31</v>
      </c>
      <c r="AC4943">
        <v>7.5423000000000098</v>
      </c>
      <c r="AD4943">
        <v>-1.1087831297449999</v>
      </c>
      <c r="AE4943">
        <v>-3.65125999999999</v>
      </c>
      <c r="AF4943">
        <v>3.4957716736608702</v>
      </c>
      <c r="AG4943">
        <v>-1.1087831297449999</v>
      </c>
      <c r="AH4943">
        <v>7.45666603302314</v>
      </c>
      <c r="AI4943">
        <v>97.667950295680498</v>
      </c>
      <c r="AJ4943">
        <v>64.882270684341194</v>
      </c>
      <c r="AK4943">
        <v>8.3097345295272795</v>
      </c>
      <c r="AL4943">
        <v>85.043095212927298</v>
      </c>
      <c r="AM4943">
        <v>79.484503523146302</v>
      </c>
      <c r="AN4943">
        <v>1.0000000349745499</v>
      </c>
    </row>
    <row r="4944" spans="1:40" x14ac:dyDescent="0.25">
      <c r="A4944" t="str">
        <f>"20190312151415284"</f>
        <v>20190312151415284</v>
      </c>
      <c r="B4944" t="str">
        <f>"1552374855275927"</f>
        <v>1552374855275927</v>
      </c>
      <c r="C4944" t="s">
        <v>40</v>
      </c>
      <c r="D4944">
        <v>4.6344529999999997</v>
      </c>
      <c r="E4944">
        <v>0.59627600000000003</v>
      </c>
      <c r="F4944" t="s">
        <v>42</v>
      </c>
      <c r="G4944">
        <v>-347.40519999999998</v>
      </c>
      <c r="H4944" s="1">
        <v>-2.1734109999999999E-6</v>
      </c>
      <c r="I4944">
        <v>14.714119999999999</v>
      </c>
      <c r="J4944">
        <v>-354.90539999999999</v>
      </c>
      <c r="K4944">
        <v>1.1087800000000001</v>
      </c>
      <c r="L4944">
        <v>18.360230000000001</v>
      </c>
      <c r="M4944">
        <v>0.99986109999999995</v>
      </c>
      <c r="N4944">
        <v>0</v>
      </c>
      <c r="O4944">
        <v>-1.316849E-2</v>
      </c>
      <c r="P4944">
        <v>0.97776830000000003</v>
      </c>
      <c r="Q4944">
        <v>7.6763070000000003E-2</v>
      </c>
      <c r="R4944">
        <v>-0.19513179999999999</v>
      </c>
      <c r="S4944">
        <v>2.8326419999999999</v>
      </c>
      <c r="T4944">
        <v>-0.409354</v>
      </c>
      <c r="U4944">
        <v>-1.3471070000000001</v>
      </c>
      <c r="V4944">
        <v>0.1824624</v>
      </c>
      <c r="W4944">
        <v>8.6305699999999999E-2</v>
      </c>
      <c r="X4944">
        <v>0.9794176</v>
      </c>
      <c r="Y4944">
        <v>0.41414840000000003</v>
      </c>
      <c r="Z4944">
        <v>-2.6478120000000001E-2</v>
      </c>
      <c r="AA4944">
        <v>0.90982410000000002</v>
      </c>
      <c r="AB4944">
        <v>31</v>
      </c>
      <c r="AC4944">
        <v>7.5002000000000004</v>
      </c>
      <c r="AD4944">
        <v>-1.1087821734109999</v>
      </c>
      <c r="AE4944">
        <v>-3.64610999999999</v>
      </c>
      <c r="AF4944">
        <v>3.4854100849704701</v>
      </c>
      <c r="AG4944">
        <v>-1.1087821734109999</v>
      </c>
      <c r="AH4944">
        <v>7.4164636044677303</v>
      </c>
      <c r="AI4944">
        <v>97.7056596741932</v>
      </c>
      <c r="AJ4944">
        <v>64.828549787579703</v>
      </c>
      <c r="AK4944">
        <v>8.2693055188983298</v>
      </c>
      <c r="AL4944">
        <v>85.048888174335303</v>
      </c>
      <c r="AM4944">
        <v>79.446954199479507</v>
      </c>
      <c r="AN4944">
        <v>1.000000018228</v>
      </c>
    </row>
    <row r="4945" spans="1:40" x14ac:dyDescent="0.25">
      <c r="A4945" t="str">
        <f>"20190312151415302"</f>
        <v>20190312151415302</v>
      </c>
      <c r="B4945" t="str">
        <f>"1552374855295450"</f>
        <v>1552374855295450</v>
      </c>
      <c r="C4945" t="s">
        <v>40</v>
      </c>
      <c r="D4945">
        <v>4.6341539999999997</v>
      </c>
      <c r="E4945">
        <v>0.59642079999999997</v>
      </c>
      <c r="F4945" t="s">
        <v>42</v>
      </c>
      <c r="G4945">
        <v>-347.31079999999997</v>
      </c>
      <c r="H4945" s="1">
        <v>-2.1994449999999998E-6</v>
      </c>
      <c r="I4945">
        <v>14.73705</v>
      </c>
      <c r="J4945">
        <v>-354.65879999999999</v>
      </c>
      <c r="K4945">
        <v>1.108773</v>
      </c>
      <c r="L4945">
        <v>18.355930000000001</v>
      </c>
      <c r="M4945">
        <v>0.99984729999999999</v>
      </c>
      <c r="N4945">
        <v>0</v>
      </c>
      <c r="O4945">
        <v>-1.417852E-2</v>
      </c>
      <c r="P4945">
        <v>0.9773792</v>
      </c>
      <c r="Q4945">
        <v>7.6468399999999895E-2</v>
      </c>
      <c r="R4945">
        <v>-0.19718849999999999</v>
      </c>
      <c r="S4945">
        <v>2.8311160000000002</v>
      </c>
      <c r="T4945">
        <v>-0.41333150000000002</v>
      </c>
      <c r="U4945">
        <v>-1.350616</v>
      </c>
      <c r="V4945">
        <v>0.18353359999999999</v>
      </c>
      <c r="W4945">
        <v>8.6019239999999997E-2</v>
      </c>
      <c r="X4945">
        <v>0.97924259999999996</v>
      </c>
      <c r="Y4945">
        <v>0.4142807</v>
      </c>
      <c r="Z4945">
        <v>-2.6609379999999998E-2</v>
      </c>
      <c r="AA4945">
        <v>0.90976009999999996</v>
      </c>
      <c r="AB4945">
        <v>31</v>
      </c>
      <c r="AC4945">
        <v>7.3480000000000096</v>
      </c>
      <c r="AD4945">
        <v>-1.1087751994449999</v>
      </c>
      <c r="AE4945">
        <v>-3.6188799999999901</v>
      </c>
      <c r="AF4945">
        <v>3.4510873953900099</v>
      </c>
      <c r="AG4945">
        <v>-1.1087751994449999</v>
      </c>
      <c r="AH4945">
        <v>7.2654385087668203</v>
      </c>
      <c r="AI4945">
        <v>97.848685626665798</v>
      </c>
      <c r="AJ4945">
        <v>64.592255486339994</v>
      </c>
      <c r="AK4945">
        <v>8.1194817185702099</v>
      </c>
      <c r="AL4945">
        <v>85.065362203992393</v>
      </c>
      <c r="AM4945">
        <v>79.384549398177001</v>
      </c>
      <c r="AN4945">
        <v>0.99999998081694796</v>
      </c>
    </row>
    <row r="4946" spans="1:40" x14ac:dyDescent="0.25">
      <c r="A4946" t="str">
        <f>"20190312151415314"</f>
        <v>20190312151415314</v>
      </c>
      <c r="B4946" t="str">
        <f>"1552374855305206"</f>
        <v>1552374855305206</v>
      </c>
      <c r="C4946" t="s">
        <v>40</v>
      </c>
      <c r="D4946">
        <v>4.717066</v>
      </c>
      <c r="E4946">
        <v>0.57331759999999998</v>
      </c>
      <c r="F4946" t="s">
        <v>42</v>
      </c>
      <c r="G4946">
        <v>-347.00940000000003</v>
      </c>
      <c r="H4946" s="1">
        <v>-2.3164800000000001E-6</v>
      </c>
      <c r="I4946">
        <v>14.68263</v>
      </c>
      <c r="J4946">
        <v>-354.48390000000001</v>
      </c>
      <c r="K4946">
        <v>1.108773</v>
      </c>
      <c r="L4946">
        <v>18.352720000000001</v>
      </c>
      <c r="M4946">
        <v>0.99983659999999996</v>
      </c>
      <c r="N4946">
        <v>0</v>
      </c>
      <c r="O4946">
        <v>-1.4896349999999999E-2</v>
      </c>
      <c r="P4946">
        <v>0.97717670000000001</v>
      </c>
      <c r="Q4946">
        <v>7.6707299999999895E-2</v>
      </c>
      <c r="R4946">
        <v>-0.19809689999999999</v>
      </c>
      <c r="S4946">
        <v>2.8275760000000001</v>
      </c>
      <c r="T4946">
        <v>-0.4098542</v>
      </c>
      <c r="U4946">
        <v>-1.357788</v>
      </c>
      <c r="V4946">
        <v>0.18374209999999999</v>
      </c>
      <c r="W4946">
        <v>8.6265330000000001E-2</v>
      </c>
      <c r="X4946">
        <v>0.97918190000000005</v>
      </c>
      <c r="Y4946">
        <v>0.41599350000000002</v>
      </c>
      <c r="Z4946">
        <v>-2.6422649999999999E-2</v>
      </c>
      <c r="AA4946">
        <v>0.9089836</v>
      </c>
      <c r="AB4946">
        <v>31</v>
      </c>
      <c r="AC4946">
        <v>7.4744999999999697</v>
      </c>
      <c r="AD4946">
        <v>-1.1087753164799901</v>
      </c>
      <c r="AE4946">
        <v>-3.6700900000000001</v>
      </c>
      <c r="AF4946">
        <v>3.4963427077087301</v>
      </c>
      <c r="AG4946">
        <v>-1.1087753164799901</v>
      </c>
      <c r="AH4946">
        <v>7.3971895317311196</v>
      </c>
      <c r="AI4946">
        <v>97.717498017787406</v>
      </c>
      <c r="AJ4946">
        <v>64.701853522122093</v>
      </c>
      <c r="AK4946">
        <v>8.2566462925655202</v>
      </c>
      <c r="AL4946">
        <v>85.051209921575506</v>
      </c>
      <c r="AM4946">
        <v>79.3721206690918</v>
      </c>
      <c r="AN4946">
        <v>1.00000002988001</v>
      </c>
    </row>
    <row r="4947" spans="1:40" x14ac:dyDescent="0.25">
      <c r="A4947" t="str">
        <f>"20190312151415335"</f>
        <v>20190312151415335</v>
      </c>
      <c r="B4947" t="str">
        <f>"1552374855325705"</f>
        <v>1552374855325705</v>
      </c>
      <c r="C4947" t="s">
        <v>40</v>
      </c>
      <c r="D4947">
        <v>4.5111869999999996</v>
      </c>
      <c r="E4947">
        <v>0.55606730000000004</v>
      </c>
      <c r="F4947" t="s">
        <v>42</v>
      </c>
      <c r="G4947">
        <v>-345.43699999999899</v>
      </c>
      <c r="H4947" s="1">
        <v>-2.8677909999999998E-6</v>
      </c>
      <c r="I4947">
        <v>14.62167</v>
      </c>
      <c r="J4947">
        <v>-354.20479999999998</v>
      </c>
      <c r="K4947">
        <v>1.1087769999999999</v>
      </c>
      <c r="L4947">
        <v>18.34741</v>
      </c>
      <c r="M4947">
        <v>0.99981880000000001</v>
      </c>
      <c r="N4947">
        <v>0</v>
      </c>
      <c r="O4947">
        <v>-1.6044340000000001E-2</v>
      </c>
      <c r="P4947">
        <v>0.97687979999999996</v>
      </c>
      <c r="Q4947">
        <v>7.7430730000000003E-2</v>
      </c>
      <c r="R4947">
        <v>-0.1992749</v>
      </c>
      <c r="S4947">
        <v>2.8585820000000002</v>
      </c>
      <c r="T4947">
        <v>-0.35034599999999999</v>
      </c>
      <c r="U4947">
        <v>-1.1788940000000001</v>
      </c>
      <c r="V4947">
        <v>0.1838023</v>
      </c>
      <c r="W4947">
        <v>8.7000209999999994E-2</v>
      </c>
      <c r="X4947">
        <v>0.97910549999999996</v>
      </c>
      <c r="Y4947">
        <v>0.36415019999999998</v>
      </c>
      <c r="Z4947">
        <v>-1.9486659999999999E-2</v>
      </c>
      <c r="AA4947">
        <v>0.93113639999999998</v>
      </c>
      <c r="AB4947">
        <v>31</v>
      </c>
      <c r="AC4947">
        <v>8.7678000000000207</v>
      </c>
      <c r="AD4947">
        <v>-1.1087798677909999</v>
      </c>
      <c r="AE4947">
        <v>-3.7257399999999898</v>
      </c>
      <c r="AF4947">
        <v>3.5366709305130999</v>
      </c>
      <c r="AG4947">
        <v>-1.1087798677909999</v>
      </c>
      <c r="AH4947">
        <v>8.7084844858569195</v>
      </c>
      <c r="AI4947">
        <v>96.727794089558202</v>
      </c>
      <c r="AJ4947">
        <v>67.8970513679851</v>
      </c>
      <c r="AK4947">
        <v>9.4644141977391101</v>
      </c>
      <c r="AL4947">
        <v>85.008945104152701</v>
      </c>
      <c r="AM4947">
        <v>79.367907334121497</v>
      </c>
      <c r="AN4947">
        <v>0.99999995107779005</v>
      </c>
    </row>
    <row r="4948" spans="1:40" x14ac:dyDescent="0.25">
      <c r="A4948" t="str">
        <f>"20190312151415348"</f>
        <v>20190312151415348</v>
      </c>
      <c r="B4948" t="str">
        <f>"1552374855335463"</f>
        <v>1552374855335463</v>
      </c>
      <c r="C4948" t="s">
        <v>40</v>
      </c>
      <c r="D4948">
        <v>4.5445489999999999</v>
      </c>
      <c r="E4948">
        <v>0.55131269999999999</v>
      </c>
      <c r="F4948" t="s">
        <v>42</v>
      </c>
      <c r="G4948">
        <v>-343.83699999999999</v>
      </c>
      <c r="H4948" s="1">
        <v>-3.5195619999999999E-6</v>
      </c>
      <c r="I4948">
        <v>14.58004</v>
      </c>
      <c r="J4948">
        <v>-354.02910000000003</v>
      </c>
      <c r="K4948">
        <v>1.108776</v>
      </c>
      <c r="L4948">
        <v>18.343900000000001</v>
      </c>
      <c r="M4948">
        <v>0.99980670000000005</v>
      </c>
      <c r="N4948">
        <v>0</v>
      </c>
      <c r="O4948">
        <v>-1.677054E-2</v>
      </c>
      <c r="P4948">
        <v>0.97673149999999997</v>
      </c>
      <c r="Q4948">
        <v>7.7606320000000006E-2</v>
      </c>
      <c r="R4948">
        <v>-0.1999331</v>
      </c>
      <c r="S4948">
        <v>2.8818359999999998</v>
      </c>
      <c r="T4948">
        <v>-0.30819540000000001</v>
      </c>
      <c r="U4948">
        <v>-1.04715</v>
      </c>
      <c r="V4948">
        <v>0.1837521</v>
      </c>
      <c r="W4948">
        <v>8.7182629999999997E-2</v>
      </c>
      <c r="X4948">
        <v>0.97909869999999999</v>
      </c>
      <c r="Y4948">
        <v>0.32415769999999999</v>
      </c>
      <c r="Z4948">
        <v>-1.5020459999999999E-2</v>
      </c>
      <c r="AA4948">
        <v>0.94588380000000005</v>
      </c>
      <c r="AB4948">
        <v>31</v>
      </c>
      <c r="AC4948">
        <v>10.1921</v>
      </c>
      <c r="AD4948">
        <v>-1.108779519562</v>
      </c>
      <c r="AE4948">
        <v>-3.7638600000000002</v>
      </c>
      <c r="AF4948">
        <v>3.5553670189565598</v>
      </c>
      <c r="AG4948">
        <v>-1.108779519562</v>
      </c>
      <c r="AH4948">
        <v>10.148103765078099</v>
      </c>
      <c r="AI4948">
        <v>95.887222369049297</v>
      </c>
      <c r="AJ4948">
        <v>70.692196959613099</v>
      </c>
      <c r="AK4948">
        <v>10.809904564300099</v>
      </c>
      <c r="AL4948">
        <v>84.998453360811197</v>
      </c>
      <c r="AM4948">
        <v>79.370672849518499</v>
      </c>
      <c r="AN4948">
        <v>0.999999954784907</v>
      </c>
    </row>
    <row r="4949" spans="1:40" x14ac:dyDescent="0.25">
      <c r="A4949" t="str">
        <f>"20190312151415359"</f>
        <v>20190312151415359</v>
      </c>
      <c r="B4949" t="str">
        <f>"1552374855355959"</f>
        <v>1552374855355959</v>
      </c>
      <c r="C4949" t="s">
        <v>40</v>
      </c>
      <c r="D4949">
        <v>4.5434349999999997</v>
      </c>
      <c r="E4949">
        <v>0.54635719999999899</v>
      </c>
      <c r="F4949" t="s">
        <v>42</v>
      </c>
      <c r="G4949">
        <v>-342.6746</v>
      </c>
      <c r="H4949" s="1">
        <v>-4.0563100000000003E-6</v>
      </c>
      <c r="I4949">
        <v>14.36529</v>
      </c>
      <c r="J4949">
        <v>-353.85770000000002</v>
      </c>
      <c r="K4949">
        <v>1.108771</v>
      </c>
      <c r="L4949">
        <v>18.340330000000002</v>
      </c>
      <c r="M4949">
        <v>0.99979450000000003</v>
      </c>
      <c r="N4949">
        <v>0</v>
      </c>
      <c r="O4949">
        <v>-1.7482560000000001E-2</v>
      </c>
      <c r="P4949">
        <v>0.97658659999999997</v>
      </c>
      <c r="Q4949">
        <v>7.7861830000000007E-2</v>
      </c>
      <c r="R4949">
        <v>-0.20054040000000001</v>
      </c>
      <c r="S4949">
        <v>2.8867799999999999</v>
      </c>
      <c r="T4949">
        <v>-0.28189730000000002</v>
      </c>
      <c r="U4949">
        <v>-1.0115050000000001</v>
      </c>
      <c r="V4949">
        <v>0.18366589999999999</v>
      </c>
      <c r="W4949">
        <v>8.7444359999999999E-2</v>
      </c>
      <c r="X4949">
        <v>0.97909159999999995</v>
      </c>
      <c r="Y4949">
        <v>0.31287979999999999</v>
      </c>
      <c r="Z4949">
        <v>-1.314915E-2</v>
      </c>
      <c r="AA4949">
        <v>0.94970169999999998</v>
      </c>
      <c r="AB4949">
        <v>31</v>
      </c>
      <c r="AC4949">
        <v>11.1831</v>
      </c>
      <c r="AD4949">
        <v>-1.1087750563099901</v>
      </c>
      <c r="AE4949">
        <v>-3.9750399999999901</v>
      </c>
      <c r="AF4949">
        <v>3.7462177115179398</v>
      </c>
      <c r="AG4949">
        <v>-1.1087750563099901</v>
      </c>
      <c r="AH4949">
        <v>11.1535454039026</v>
      </c>
      <c r="AI4949">
        <v>95.383457970668999</v>
      </c>
      <c r="AJ4949">
        <v>71.433991849257197</v>
      </c>
      <c r="AK4949">
        <v>11.8179991684085</v>
      </c>
      <c r="AL4949">
        <v>84.983400172857898</v>
      </c>
      <c r="AM4949">
        <v>79.375470340586105</v>
      </c>
      <c r="AN4949">
        <v>1.00000002005458</v>
      </c>
    </row>
    <row r="4950" spans="1:40" x14ac:dyDescent="0.25">
      <c r="A4950" t="str">
        <f>"20190312151415372"</f>
        <v>20190312151415372</v>
      </c>
      <c r="B4950" t="str">
        <f>"1552374855365718"</f>
        <v>1552374855365718</v>
      </c>
      <c r="C4950" t="s">
        <v>40</v>
      </c>
      <c r="D4950">
        <v>4.554449</v>
      </c>
      <c r="E4950">
        <v>0.54484469999999996</v>
      </c>
      <c r="F4950" t="s">
        <v>42</v>
      </c>
      <c r="G4950">
        <v>-341.38729999999998</v>
      </c>
      <c r="H4950" s="1">
        <v>-4.6485210000000004E-6</v>
      </c>
      <c r="I4950">
        <v>14.139900000000001</v>
      </c>
      <c r="J4950">
        <v>-353.69279999999998</v>
      </c>
      <c r="K4950">
        <v>1.108771</v>
      </c>
      <c r="L4950">
        <v>18.336760000000002</v>
      </c>
      <c r="M4950">
        <v>0.99978210000000001</v>
      </c>
      <c r="N4950">
        <v>0</v>
      </c>
      <c r="O4950">
        <v>-1.8171469999999999E-2</v>
      </c>
      <c r="P4950">
        <v>0.97642490000000004</v>
      </c>
      <c r="Q4950">
        <v>7.7812909999999999E-2</v>
      </c>
      <c r="R4950">
        <v>-0.201345</v>
      </c>
      <c r="S4950">
        <v>2.892334</v>
      </c>
      <c r="T4950">
        <v>-0.25716529999999999</v>
      </c>
      <c r="U4950">
        <v>-0.97421259999999998</v>
      </c>
      <c r="V4950">
        <v>0.18379889999999999</v>
      </c>
      <c r="W4950">
        <v>8.739972E-2</v>
      </c>
      <c r="X4950">
        <v>0.97907060000000001</v>
      </c>
      <c r="Y4950">
        <v>0.30093009999999998</v>
      </c>
      <c r="Z4950">
        <v>-1.1427E-2</v>
      </c>
      <c r="AA4950">
        <v>0.95357780000000003</v>
      </c>
      <c r="AB4950">
        <v>31</v>
      </c>
      <c r="AC4950">
        <v>12.305499999999901</v>
      </c>
      <c r="AD4950">
        <v>-1.1087756485210001</v>
      </c>
      <c r="AE4950">
        <v>-4.19686</v>
      </c>
      <c r="AF4950">
        <v>3.9438632815405898</v>
      </c>
      <c r="AG4950">
        <v>-1.1087756485210001</v>
      </c>
      <c r="AH4950">
        <v>12.290350076342101</v>
      </c>
      <c r="AI4950">
        <v>94.909702603621298</v>
      </c>
      <c r="AJ4950">
        <v>72.209029467788</v>
      </c>
      <c r="AK4950">
        <v>12.9551590504046</v>
      </c>
      <c r="AL4950">
        <v>84.985967551689001</v>
      </c>
      <c r="AM4950">
        <v>79.367729179477394</v>
      </c>
      <c r="AN4950">
        <v>0.999999993240824</v>
      </c>
    </row>
    <row r="4951" spans="1:40" x14ac:dyDescent="0.25">
      <c r="A4951" t="str">
        <f>"20190312151415384"</f>
        <v>20190312151415384</v>
      </c>
      <c r="B4951" t="str">
        <f>"1552374855375478"</f>
        <v>1552374855375478</v>
      </c>
      <c r="C4951" t="s">
        <v>40</v>
      </c>
      <c r="D4951">
        <v>4.5366669999999996</v>
      </c>
      <c r="E4951">
        <v>0.54367200000000004</v>
      </c>
      <c r="F4951" t="s">
        <v>42</v>
      </c>
      <c r="G4951">
        <v>-340.95800000000003</v>
      </c>
      <c r="H4951" s="1">
        <v>-4.8414680000000001E-6</v>
      </c>
      <c r="I4951">
        <v>14.09052</v>
      </c>
      <c r="J4951">
        <v>-353.52260000000001</v>
      </c>
      <c r="K4951">
        <v>1.1087659999999999</v>
      </c>
      <c r="L4951">
        <v>18.33304</v>
      </c>
      <c r="M4951">
        <v>0.99976880000000001</v>
      </c>
      <c r="N4951">
        <v>0</v>
      </c>
      <c r="O4951">
        <v>-1.8885550000000001E-2</v>
      </c>
      <c r="P4951">
        <v>0.97637459999999998</v>
      </c>
      <c r="Q4951">
        <v>7.7785999999999994E-2</v>
      </c>
      <c r="R4951">
        <v>-0.20159959999999999</v>
      </c>
      <c r="S4951">
        <v>2.8935240000000002</v>
      </c>
      <c r="T4951">
        <v>-0.2519286</v>
      </c>
      <c r="U4951">
        <v>-0.96478269999999999</v>
      </c>
      <c r="V4951">
        <v>0.18335589999999999</v>
      </c>
      <c r="W4951">
        <v>8.7379289999999998E-2</v>
      </c>
      <c r="X4951">
        <v>0.97915549999999996</v>
      </c>
      <c r="Y4951">
        <v>0.29738870000000001</v>
      </c>
      <c r="Z4951">
        <v>-1.09862E-2</v>
      </c>
      <c r="AA4951">
        <v>0.95469329999999997</v>
      </c>
      <c r="AB4951">
        <v>31</v>
      </c>
      <c r="AC4951">
        <v>12.564599999999899</v>
      </c>
      <c r="AD4951">
        <v>-1.108770841468</v>
      </c>
      <c r="AE4951">
        <v>-4.2425199999999901</v>
      </c>
      <c r="AF4951">
        <v>3.9766632477269601</v>
      </c>
      <c r="AG4951">
        <v>-1.108770841468</v>
      </c>
      <c r="AH4951">
        <v>12.554724045032501</v>
      </c>
      <c r="AI4951">
        <v>94.812526275593498</v>
      </c>
      <c r="AJ4951">
        <v>72.424590934193304</v>
      </c>
      <c r="AK4951">
        <v>13.216062924019001</v>
      </c>
      <c r="AL4951">
        <v>84.987142683085594</v>
      </c>
      <c r="AM4951">
        <v>79.393672178206998</v>
      </c>
      <c r="AN4951">
        <v>1.00000000978298</v>
      </c>
    </row>
    <row r="4952" spans="1:40" x14ac:dyDescent="0.25">
      <c r="A4952" t="str">
        <f>"20190312151415402"</f>
        <v>20190312151415402</v>
      </c>
      <c r="B4952" t="str">
        <f>"1552374855395975"</f>
        <v>1552374855395975</v>
      </c>
      <c r="C4952" t="s">
        <v>40</v>
      </c>
      <c r="D4952">
        <v>4.5563219999999998</v>
      </c>
      <c r="E4952">
        <v>0.54199119999999901</v>
      </c>
      <c r="F4952" t="s">
        <v>42</v>
      </c>
      <c r="G4952">
        <v>-340.63920000000002</v>
      </c>
      <c r="H4952" s="1">
        <v>-4.9807700000000003E-6</v>
      </c>
      <c r="I4952">
        <v>14.0763</v>
      </c>
      <c r="J4952">
        <v>-353.26440000000002</v>
      </c>
      <c r="K4952">
        <v>1.1087549999999999</v>
      </c>
      <c r="L4952">
        <v>18.327030000000001</v>
      </c>
      <c r="M4952">
        <v>0.99974719999999995</v>
      </c>
      <c r="N4952">
        <v>0</v>
      </c>
      <c r="O4952">
        <v>-1.998612E-2</v>
      </c>
      <c r="P4952">
        <v>0.97619500000000003</v>
      </c>
      <c r="Q4952">
        <v>7.7748410000000004E-2</v>
      </c>
      <c r="R4952">
        <v>-0.20248079999999999</v>
      </c>
      <c r="S4952">
        <v>2.8949579999999999</v>
      </c>
      <c r="T4952">
        <v>-0.2491437</v>
      </c>
      <c r="U4952">
        <v>-0.9564819</v>
      </c>
      <c r="V4952">
        <v>0.18316470000000001</v>
      </c>
      <c r="W4952">
        <v>8.7346510000000002E-2</v>
      </c>
      <c r="X4952">
        <v>0.97919420000000001</v>
      </c>
      <c r="Y4952">
        <v>0.29376439999999998</v>
      </c>
      <c r="Z4952">
        <v>-1.0621220000000001E-2</v>
      </c>
      <c r="AA4952">
        <v>0.95581879999999997</v>
      </c>
      <c r="AB4952">
        <v>31</v>
      </c>
      <c r="AC4952">
        <v>12.6252</v>
      </c>
      <c r="AD4952">
        <v>-1.1087599807699999</v>
      </c>
      <c r="AE4952">
        <v>-4.2507299999999999</v>
      </c>
      <c r="AF4952">
        <v>3.9700370795373101</v>
      </c>
      <c r="AG4952">
        <v>-1.1087599807699999</v>
      </c>
      <c r="AH4952">
        <v>12.620214063893499</v>
      </c>
      <c r="AI4952">
        <v>94.790589972886295</v>
      </c>
      <c r="AJ4952">
        <v>72.537590665007698</v>
      </c>
      <c r="AK4952">
        <v>13.276307699294801</v>
      </c>
      <c r="AL4952">
        <v>84.989028001802694</v>
      </c>
      <c r="AM4952">
        <v>79.404890969193801</v>
      </c>
      <c r="AN4952">
        <v>1.0000000007244501</v>
      </c>
    </row>
    <row r="4953" spans="1:40" x14ac:dyDescent="0.25">
      <c r="A4953" t="str">
        <f>"20190312151415416"</f>
        <v>20190312151415416</v>
      </c>
      <c r="B4953" t="str">
        <f>"1552374855405735"</f>
        <v>1552374855405735</v>
      </c>
      <c r="C4953" t="s">
        <v>40</v>
      </c>
      <c r="D4953">
        <v>4.573779</v>
      </c>
      <c r="E4953">
        <v>0.54148289999999999</v>
      </c>
      <c r="F4953" t="s">
        <v>42</v>
      </c>
      <c r="G4953">
        <v>-340.1936</v>
      </c>
      <c r="H4953" s="1">
        <v>-5.1752729999999997E-6</v>
      </c>
      <c r="I4953">
        <v>14.057370000000001</v>
      </c>
      <c r="J4953">
        <v>-353.08620000000002</v>
      </c>
      <c r="K4953">
        <v>1.1087419999999999</v>
      </c>
      <c r="L4953">
        <v>18.32272</v>
      </c>
      <c r="M4953">
        <v>0.9997315</v>
      </c>
      <c r="N4953">
        <v>0</v>
      </c>
      <c r="O4953">
        <v>-2.0760979999999998E-2</v>
      </c>
      <c r="P4953">
        <v>0.97604619999999997</v>
      </c>
      <c r="Q4953">
        <v>7.7746109999999993E-2</v>
      </c>
      <c r="R4953">
        <v>-0.2031984</v>
      </c>
      <c r="S4953">
        <v>2.8964840000000001</v>
      </c>
      <c r="T4953">
        <v>-0.24570069999999999</v>
      </c>
      <c r="U4953">
        <v>-0.94613650000000005</v>
      </c>
      <c r="V4953">
        <v>0.1831285</v>
      </c>
      <c r="W4953">
        <v>8.7344619999999998E-2</v>
      </c>
      <c r="X4953">
        <v>0.97920110000000005</v>
      </c>
      <c r="Y4953">
        <v>0.28982970000000002</v>
      </c>
      <c r="Z4953">
        <v>-1.024912E-2</v>
      </c>
      <c r="AA4953">
        <v>0.95702339999999997</v>
      </c>
      <c r="AB4953">
        <v>31</v>
      </c>
      <c r="AC4953">
        <v>12.8926</v>
      </c>
      <c r="AD4953">
        <v>-1.108747175273</v>
      </c>
      <c r="AE4953">
        <v>-4.2653499999999998</v>
      </c>
      <c r="AF4953">
        <v>3.9702868691175102</v>
      </c>
      <c r="AG4953">
        <v>-1.108747175273</v>
      </c>
      <c r="AH4953">
        <v>12.892435563377401</v>
      </c>
      <c r="AI4953">
        <v>94.6986224173572</v>
      </c>
      <c r="AJ4953">
        <v>72.883535291957998</v>
      </c>
      <c r="AK4953">
        <v>13.5354125492207</v>
      </c>
      <c r="AL4953">
        <v>84.989136512743002</v>
      </c>
      <c r="AM4953">
        <v>79.407010505995999</v>
      </c>
      <c r="AN4953">
        <v>0.99999996219820098</v>
      </c>
    </row>
    <row r="4954" spans="1:40" x14ac:dyDescent="0.25">
      <c r="A4954" t="str">
        <f>"20190312151415437"</f>
        <v>20190312151415437</v>
      </c>
      <c r="B4954" t="str">
        <f>"1552374855425254"</f>
        <v>1552374855425254</v>
      </c>
      <c r="C4954" t="s">
        <v>40</v>
      </c>
      <c r="D4954">
        <v>4.6028710000000004</v>
      </c>
      <c r="E4954">
        <v>0.54060390000000003</v>
      </c>
      <c r="F4954" t="s">
        <v>42</v>
      </c>
      <c r="G4954">
        <v>-339.9425</v>
      </c>
      <c r="H4954" s="1">
        <v>-1.4900149999999999E-6</v>
      </c>
      <c r="I4954">
        <v>14.037430000000001</v>
      </c>
      <c r="J4954">
        <v>-352.79109999999997</v>
      </c>
      <c r="K4954">
        <v>1.108714</v>
      </c>
      <c r="L4954">
        <v>18.315249999999999</v>
      </c>
      <c r="M4954">
        <v>0.99970329999999996</v>
      </c>
      <c r="N4954">
        <v>0</v>
      </c>
      <c r="O4954">
        <v>-2.2067750000000001E-2</v>
      </c>
      <c r="P4954">
        <v>0.97579249999999995</v>
      </c>
      <c r="Q4954">
        <v>7.7753569999999994E-2</v>
      </c>
      <c r="R4954">
        <v>-0.2044107</v>
      </c>
      <c r="S4954">
        <v>2.8964840000000001</v>
      </c>
      <c r="T4954">
        <v>-0.2443351</v>
      </c>
      <c r="U4954">
        <v>-0.94433590000000001</v>
      </c>
      <c r="V4954">
        <v>0.1830706</v>
      </c>
      <c r="W4954">
        <v>8.7350300000000006E-2</v>
      </c>
      <c r="X4954">
        <v>0.97921139999999995</v>
      </c>
      <c r="Y4954">
        <v>0.28806019999999999</v>
      </c>
      <c r="Z4954">
        <v>-1.0013579999999999E-2</v>
      </c>
      <c r="AA4954">
        <v>0.95755990000000002</v>
      </c>
      <c r="AB4954">
        <v>31</v>
      </c>
      <c r="AC4954">
        <v>12.8485999999999</v>
      </c>
      <c r="AD4954">
        <v>-1.108715490015</v>
      </c>
      <c r="AE4954">
        <v>-4.2778199999999904</v>
      </c>
      <c r="AF4954">
        <v>3.9666347661134198</v>
      </c>
      <c r="AG4954">
        <v>-1.108715490015</v>
      </c>
      <c r="AH4954">
        <v>12.8537183183515</v>
      </c>
      <c r="AI4954">
        <v>94.711727843752101</v>
      </c>
      <c r="AJ4954">
        <v>72.849866534666802</v>
      </c>
      <c r="AK4954">
        <v>13.4974633177151</v>
      </c>
      <c r="AL4954">
        <v>84.988809726070002</v>
      </c>
      <c r="AM4954">
        <v>79.410392811363394</v>
      </c>
      <c r="AN4954">
        <v>0.99999994269220305</v>
      </c>
    </row>
    <row r="4955" spans="1:40" x14ac:dyDescent="0.25">
      <c r="A4955" t="str">
        <f>"20190312151415458"</f>
        <v>20190312151415458</v>
      </c>
      <c r="B4955" t="str">
        <f>"1552374855455510"</f>
        <v>1552374855455510</v>
      </c>
      <c r="C4955" t="s">
        <v>40</v>
      </c>
      <c r="D4955">
        <v>4.5981620000000003</v>
      </c>
      <c r="E4955">
        <v>0.53968240000000001</v>
      </c>
      <c r="F4955" t="s">
        <v>42</v>
      </c>
      <c r="G4955">
        <v>-339.55290000000002</v>
      </c>
      <c r="H4955" s="1">
        <v>-1.628725E-6</v>
      </c>
      <c r="I4955">
        <v>14.01441</v>
      </c>
      <c r="J4955">
        <v>-352.49259999999998</v>
      </c>
      <c r="K4955">
        <v>1.108681</v>
      </c>
      <c r="L4955">
        <v>18.307279999999999</v>
      </c>
      <c r="M4955">
        <v>0.99967229999999996</v>
      </c>
      <c r="N4955">
        <v>0</v>
      </c>
      <c r="O4955">
        <v>-2.3427409999999999E-2</v>
      </c>
      <c r="P4955">
        <v>0.97560290000000005</v>
      </c>
      <c r="Q4955">
        <v>7.7719819999999995E-2</v>
      </c>
      <c r="R4955">
        <v>-0.20532629999999999</v>
      </c>
      <c r="S4955">
        <v>2.8966370000000001</v>
      </c>
      <c r="T4955">
        <v>-0.24259629999999999</v>
      </c>
      <c r="U4955">
        <v>-0.94103999999999999</v>
      </c>
      <c r="V4955">
        <v>0.1826642</v>
      </c>
      <c r="W4955">
        <v>8.7314219999999998E-2</v>
      </c>
      <c r="X4955">
        <v>0.97929049999999995</v>
      </c>
      <c r="Y4955">
        <v>0.285780599999999</v>
      </c>
      <c r="Z4955">
        <v>-9.7402089999999997E-3</v>
      </c>
      <c r="AA4955">
        <v>0.95824560000000003</v>
      </c>
      <c r="AB4955">
        <v>31</v>
      </c>
      <c r="AC4955">
        <v>12.939699999999901</v>
      </c>
      <c r="AD4955">
        <v>-1.108682628725</v>
      </c>
      <c r="AE4955">
        <v>-4.29286999999999</v>
      </c>
      <c r="AF4955">
        <v>3.9623278210991599</v>
      </c>
      <c r="AG4955">
        <v>-1.108682628725</v>
      </c>
      <c r="AH4955">
        <v>12.951075101447</v>
      </c>
      <c r="AI4955">
        <v>94.679796423358297</v>
      </c>
      <c r="AJ4955">
        <v>72.9887256933104</v>
      </c>
      <c r="AK4955">
        <v>13.5889501145752</v>
      </c>
      <c r="AL4955">
        <v>84.990884838852494</v>
      </c>
      <c r="AM4955">
        <v>79.434205064953602</v>
      </c>
      <c r="AN4955">
        <v>0.99999993318304603</v>
      </c>
    </row>
    <row r="4956" spans="1:40" x14ac:dyDescent="0.25">
      <c r="A4956" t="str">
        <f>"20190312151415481"</f>
        <v>20190312151415481</v>
      </c>
      <c r="B4956" t="str">
        <f>"1552374855476007"</f>
        <v>1552374855476007</v>
      </c>
      <c r="C4956" t="s">
        <v>40</v>
      </c>
      <c r="D4956">
        <v>4.6616350000000004</v>
      </c>
      <c r="E4956">
        <v>0.5392536</v>
      </c>
      <c r="F4956" t="s">
        <v>42</v>
      </c>
      <c r="G4956">
        <v>-339.1671</v>
      </c>
      <c r="H4956" s="1">
        <v>-1.7639200000000001E-6</v>
      </c>
      <c r="I4956">
        <v>13.99967</v>
      </c>
      <c r="J4956">
        <v>-352.17739999999998</v>
      </c>
      <c r="K4956">
        <v>1.108644</v>
      </c>
      <c r="L4956">
        <v>18.298400000000001</v>
      </c>
      <c r="M4956">
        <v>0.99963639999999998</v>
      </c>
      <c r="N4956">
        <v>0</v>
      </c>
      <c r="O4956">
        <v>-2.4905989999999999E-2</v>
      </c>
      <c r="P4956">
        <v>0.97523990000000005</v>
      </c>
      <c r="Q4956">
        <v>7.7914440000000001E-2</v>
      </c>
      <c r="R4956">
        <v>-0.20696970000000001</v>
      </c>
      <c r="S4956">
        <v>2.8971559999999998</v>
      </c>
      <c r="T4956">
        <v>-0.24104490000000001</v>
      </c>
      <c r="U4956">
        <v>-0.93652340000000001</v>
      </c>
      <c r="V4956">
        <v>0.1828746</v>
      </c>
      <c r="W4956">
        <v>8.7500910000000001E-2</v>
      </c>
      <c r="X4956">
        <v>0.97923459999999996</v>
      </c>
      <c r="Y4956">
        <v>0.28298390000000001</v>
      </c>
      <c r="Z4956">
        <v>-9.4459260000000003E-3</v>
      </c>
      <c r="AA4956">
        <v>0.95907810000000004</v>
      </c>
      <c r="AB4956">
        <v>31</v>
      </c>
      <c r="AC4956">
        <v>13.0102999999999</v>
      </c>
      <c r="AD4956">
        <v>-1.10864576392</v>
      </c>
      <c r="AE4956">
        <v>-4.2987299999999902</v>
      </c>
      <c r="AF4956">
        <v>3.9475021531530898</v>
      </c>
      <c r="AG4956">
        <v>-1.10864576392</v>
      </c>
      <c r="AH4956">
        <v>13.028044811623699</v>
      </c>
      <c r="AI4956">
        <v>94.655918849633494</v>
      </c>
      <c r="AJ4956">
        <v>73.143173027168302</v>
      </c>
      <c r="AK4956">
        <v>13.658031347624</v>
      </c>
      <c r="AL4956">
        <v>84.980147353305497</v>
      </c>
      <c r="AM4956">
        <v>79.421719249368095</v>
      </c>
      <c r="AN4956">
        <v>0.99999996520657297</v>
      </c>
    </row>
    <row r="4957" spans="1:40" x14ac:dyDescent="0.25">
      <c r="A4957" t="str">
        <f>"20190312151415493"</f>
        <v>20190312151415493</v>
      </c>
      <c r="B4957" t="str">
        <f>"1552374855485767"</f>
        <v>1552374855485767</v>
      </c>
      <c r="C4957" t="s">
        <v>40</v>
      </c>
      <c r="D4957">
        <v>4.6460730000000003</v>
      </c>
      <c r="E4957">
        <v>0.53902299999999903</v>
      </c>
      <c r="F4957" t="s">
        <v>42</v>
      </c>
      <c r="G4957">
        <v>-338.8039</v>
      </c>
      <c r="H4957" s="1">
        <v>-1.8959459999999999E-6</v>
      </c>
      <c r="I4957">
        <v>13.96808</v>
      </c>
      <c r="J4957">
        <v>-352.0102</v>
      </c>
      <c r="K4957">
        <v>1.108625</v>
      </c>
      <c r="L4957">
        <v>18.29346</v>
      </c>
      <c r="M4957">
        <v>0.99961599999999995</v>
      </c>
      <c r="N4957">
        <v>0</v>
      </c>
      <c r="O4957">
        <v>-2.571327E-2</v>
      </c>
      <c r="P4957">
        <v>0.97502319999999998</v>
      </c>
      <c r="Q4957">
        <v>7.7786939999999999E-2</v>
      </c>
      <c r="R4957">
        <v>-0.20803679999999999</v>
      </c>
      <c r="S4957">
        <v>2.8963320000000001</v>
      </c>
      <c r="T4957">
        <v>-0.24010090000000001</v>
      </c>
      <c r="U4957">
        <v>-0.93780520000000001</v>
      </c>
      <c r="V4957">
        <v>0.18315909999999999</v>
      </c>
      <c r="W4957">
        <v>8.7367890000000004E-2</v>
      </c>
      <c r="X4957">
        <v>0.97919330000000004</v>
      </c>
      <c r="Y4957">
        <v>0.28268290000000001</v>
      </c>
      <c r="Z4957">
        <v>-9.3338169999999995E-3</v>
      </c>
      <c r="AA4957">
        <v>0.95916800000000002</v>
      </c>
      <c r="AB4957">
        <v>31</v>
      </c>
      <c r="AC4957">
        <v>13.206300000000001</v>
      </c>
      <c r="AD4957">
        <v>-1.1086268959459999</v>
      </c>
      <c r="AE4957">
        <v>-4.32538</v>
      </c>
      <c r="AF4957">
        <v>3.95915695910743</v>
      </c>
      <c r="AG4957">
        <v>-1.1086268959459999</v>
      </c>
      <c r="AH4957">
        <v>13.2289647988559</v>
      </c>
      <c r="AI4957">
        <v>94.590124599812199</v>
      </c>
      <c r="AJ4957">
        <v>73.338640328621494</v>
      </c>
      <c r="AK4957">
        <v>13.853139971523801</v>
      </c>
      <c r="AL4957">
        <v>84.987798119613402</v>
      </c>
      <c r="AM4957">
        <v>79.405198048195501</v>
      </c>
      <c r="AN4957">
        <v>0.99999996144037495</v>
      </c>
    </row>
    <row r="4958" spans="1:40" x14ac:dyDescent="0.25">
      <c r="A4958" t="str">
        <f>"20190312151415506"</f>
        <v>20190312151415506</v>
      </c>
      <c r="B4958" t="str">
        <f>"1552374855495526"</f>
        <v>1552374855495526</v>
      </c>
      <c r="C4958" t="s">
        <v>40</v>
      </c>
      <c r="D4958">
        <v>4.6692929999999997</v>
      </c>
      <c r="E4958">
        <v>0.53885660000000002</v>
      </c>
      <c r="F4958" t="s">
        <v>42</v>
      </c>
      <c r="G4958">
        <v>-338.69529999999997</v>
      </c>
      <c r="H4958" s="1">
        <v>-1.9308100000000001E-6</v>
      </c>
      <c r="I4958">
        <v>13.9759799999999</v>
      </c>
      <c r="J4958">
        <v>-351.8349</v>
      </c>
      <c r="K4958">
        <v>1.108603</v>
      </c>
      <c r="L4958">
        <v>18.288180000000001</v>
      </c>
      <c r="M4958">
        <v>0.99959350000000002</v>
      </c>
      <c r="N4958">
        <v>0</v>
      </c>
      <c r="O4958">
        <v>-2.6568370000000001E-2</v>
      </c>
      <c r="P4958">
        <v>0.97480230000000001</v>
      </c>
      <c r="Q4958">
        <v>7.782319E-2</v>
      </c>
      <c r="R4958">
        <v>-0.20905550000000001</v>
      </c>
      <c r="S4958">
        <v>2.8957820000000001</v>
      </c>
      <c r="T4958">
        <v>-0.2411085</v>
      </c>
      <c r="U4958">
        <v>-0.93896480000000004</v>
      </c>
      <c r="V4958">
        <v>0.18334990000000001</v>
      </c>
      <c r="W4958">
        <v>8.7398279999999995E-2</v>
      </c>
      <c r="X4958">
        <v>0.97915490000000005</v>
      </c>
      <c r="Y4958">
        <v>0.28226069999999998</v>
      </c>
      <c r="Z4958">
        <v>-9.2877319999999999E-3</v>
      </c>
      <c r="AA4958">
        <v>0.95929279999999995</v>
      </c>
      <c r="AB4958">
        <v>31</v>
      </c>
      <c r="AC4958">
        <v>13.1396</v>
      </c>
      <c r="AD4958">
        <v>-1.1086049308100001</v>
      </c>
      <c r="AE4958">
        <v>-4.3121999999999998</v>
      </c>
      <c r="AF4958">
        <v>3.9362653187540002</v>
      </c>
      <c r="AG4958">
        <v>-1.1086049308100001</v>
      </c>
      <c r="AH4958">
        <v>13.1649327858361</v>
      </c>
      <c r="AI4958">
        <v>94.6126201993183</v>
      </c>
      <c r="AJ4958">
        <v>73.353533246845103</v>
      </c>
      <c r="AK4958">
        <v>13.7854504753318</v>
      </c>
      <c r="AL4958">
        <v>84.986050316456996</v>
      </c>
      <c r="AM4958">
        <v>79.394005025653499</v>
      </c>
      <c r="AN4958">
        <v>0.99999998168548898</v>
      </c>
    </row>
    <row r="4959" spans="1:40" x14ac:dyDescent="0.25">
      <c r="A4959" t="str">
        <f>"20190312151415517"</f>
        <v>20190312151415517</v>
      </c>
      <c r="B4959" t="str">
        <f>"1552374855505286"</f>
        <v>1552374855505286</v>
      </c>
      <c r="C4959" t="s">
        <v>40</v>
      </c>
      <c r="D4959">
        <v>4.6599279999999998</v>
      </c>
      <c r="E4959">
        <v>0.53866859999999905</v>
      </c>
      <c r="F4959" t="s">
        <v>42</v>
      </c>
      <c r="G4959">
        <v>-338.51179999999999</v>
      </c>
      <c r="H4959" s="1">
        <v>-1.9976749999999999E-6</v>
      </c>
      <c r="I4959">
        <v>13.959350000000001</v>
      </c>
      <c r="J4959">
        <v>-351.66800000000001</v>
      </c>
      <c r="K4959">
        <v>1.108584</v>
      </c>
      <c r="L4959">
        <v>18.282900000000001</v>
      </c>
      <c r="M4959">
        <v>0.99957079999999998</v>
      </c>
      <c r="N4959">
        <v>0</v>
      </c>
      <c r="O4959">
        <v>-2.7405929999999998E-2</v>
      </c>
      <c r="P4959">
        <v>0.97466640000000004</v>
      </c>
      <c r="Q4959">
        <v>7.7589720000000001E-2</v>
      </c>
      <c r="R4959">
        <v>-0.2097754</v>
      </c>
      <c r="S4959">
        <v>2.8950499999999999</v>
      </c>
      <c r="T4959">
        <v>-0.240894</v>
      </c>
      <c r="U4959">
        <v>-0.94061280000000003</v>
      </c>
      <c r="V4959">
        <v>0.18325569999999999</v>
      </c>
      <c r="W4959">
        <v>8.7160790000000002E-2</v>
      </c>
      <c r="X4959">
        <v>0.97919369999999994</v>
      </c>
      <c r="Y4959">
        <v>0.28202690000000002</v>
      </c>
      <c r="Z4959">
        <v>-9.2037869999999997E-3</v>
      </c>
      <c r="AA4959">
        <v>0.95936239999999995</v>
      </c>
      <c r="AB4959">
        <v>31</v>
      </c>
      <c r="AC4959">
        <v>13.1562</v>
      </c>
      <c r="AD4959">
        <v>-1.1085859976749901</v>
      </c>
      <c r="AE4959">
        <v>-4.32355</v>
      </c>
      <c r="AF4959">
        <v>3.9361250179237599</v>
      </c>
      <c r="AG4959">
        <v>-1.1085859976749901</v>
      </c>
      <c r="AH4959">
        <v>13.1852608332392</v>
      </c>
      <c r="AI4959">
        <v>94.606054311341396</v>
      </c>
      <c r="AJ4959">
        <v>73.378340325622403</v>
      </c>
      <c r="AK4959">
        <v>13.804823298815499</v>
      </c>
      <c r="AL4959">
        <v>84.999709601292906</v>
      </c>
      <c r="AM4959">
        <v>79.399741078363206</v>
      </c>
      <c r="AN4959">
        <v>0.99999997850780098</v>
      </c>
    </row>
    <row r="4960" spans="1:40" x14ac:dyDescent="0.25">
      <c r="A4960" t="str">
        <f>"20190312151415536"</f>
        <v>20190312151415536</v>
      </c>
      <c r="B4960" t="str">
        <f>"1552374855525782"</f>
        <v>1552374855525782</v>
      </c>
      <c r="C4960" t="s">
        <v>40</v>
      </c>
      <c r="D4960">
        <v>4.6930630000000004</v>
      </c>
      <c r="E4960">
        <v>0.53841289999999997</v>
      </c>
      <c r="F4960" t="s">
        <v>42</v>
      </c>
      <c r="G4960">
        <v>-338.30220000000003</v>
      </c>
      <c r="H4960" s="1">
        <v>-2.0753840000000001E-6</v>
      </c>
      <c r="I4960">
        <v>13.935280000000001</v>
      </c>
      <c r="J4960">
        <v>-351.40120000000002</v>
      </c>
      <c r="K4960">
        <v>1.1085510000000001</v>
      </c>
      <c r="L4960">
        <v>18.274229999999999</v>
      </c>
      <c r="M4960">
        <v>0.99953259999999999</v>
      </c>
      <c r="N4960">
        <v>0</v>
      </c>
      <c r="O4960">
        <v>-2.876298E-2</v>
      </c>
      <c r="P4960">
        <v>0.9743271</v>
      </c>
      <c r="Q4960">
        <v>7.8002769999999999E-2</v>
      </c>
      <c r="R4960">
        <v>-0.21119299999999999</v>
      </c>
      <c r="S4960">
        <v>2.8943789999999998</v>
      </c>
      <c r="T4960">
        <v>-0.24006640000000001</v>
      </c>
      <c r="U4960">
        <v>-0.94146730000000001</v>
      </c>
      <c r="V4960">
        <v>0.1833601</v>
      </c>
      <c r="W4960">
        <v>8.7567389999999995E-2</v>
      </c>
      <c r="X4960">
        <v>0.97913790000000001</v>
      </c>
      <c r="Y4960">
        <v>0.28105849999999999</v>
      </c>
      <c r="Z4960">
        <v>-9.025511E-3</v>
      </c>
      <c r="AA4960">
        <v>0.95964819999999995</v>
      </c>
      <c r="AB4960">
        <v>31</v>
      </c>
      <c r="AC4960">
        <v>13.098999999999901</v>
      </c>
      <c r="AD4960">
        <v>-1.1085530753840001</v>
      </c>
      <c r="AE4960">
        <v>-4.3389499999999996</v>
      </c>
      <c r="AF4960">
        <v>3.9349721878835902</v>
      </c>
      <c r="AG4960">
        <v>-1.1085530753840001</v>
      </c>
      <c r="AH4960">
        <v>13.1336244978156</v>
      </c>
      <c r="AI4960">
        <v>94.622576221793295</v>
      </c>
      <c r="AJ4960">
        <v>73.321230460190506</v>
      </c>
      <c r="AK4960">
        <v>13.755180423752501</v>
      </c>
      <c r="AL4960">
        <v>84.976323831011001</v>
      </c>
      <c r="AM4960">
        <v>79.393248412383002</v>
      </c>
      <c r="AN4960">
        <v>1.0000000006399099</v>
      </c>
    </row>
    <row r="4961" spans="1:40" x14ac:dyDescent="0.25">
      <c r="A4961" t="str">
        <f>"20190312151415559"</f>
        <v>20190312151415559</v>
      </c>
      <c r="B4961" t="str">
        <f>"1552374855556039"</f>
        <v>1552374855556039</v>
      </c>
      <c r="C4961" t="s">
        <v>40</v>
      </c>
      <c r="D4961">
        <v>4.7632810000000001</v>
      </c>
      <c r="E4961">
        <v>0.51713909999999996</v>
      </c>
      <c r="F4961" t="s">
        <v>42</v>
      </c>
      <c r="G4961">
        <v>-338.00650000000002</v>
      </c>
      <c r="H4961" s="1">
        <v>-2.1839859999999998E-6</v>
      </c>
      <c r="I4961">
        <v>13.905419999999999</v>
      </c>
      <c r="J4961">
        <v>-351.08390000000003</v>
      </c>
      <c r="K4961">
        <v>1.1085199999999999</v>
      </c>
      <c r="L4961">
        <v>18.263400000000001</v>
      </c>
      <c r="M4961">
        <v>0.99948349999999997</v>
      </c>
      <c r="N4961">
        <v>0</v>
      </c>
      <c r="O4961">
        <v>-3.0413720000000002E-2</v>
      </c>
      <c r="P4961">
        <v>0.97392920000000005</v>
      </c>
      <c r="Q4961">
        <v>7.8163239999999995E-2</v>
      </c>
      <c r="R4961">
        <v>-0.2129605</v>
      </c>
      <c r="S4961">
        <v>2.8936160000000002</v>
      </c>
      <c r="T4961">
        <v>-0.23947570000000001</v>
      </c>
      <c r="U4961">
        <v>-0.94375609999999999</v>
      </c>
      <c r="V4961">
        <v>0.18352840000000001</v>
      </c>
      <c r="W4961">
        <v>8.7726529999999997E-2</v>
      </c>
      <c r="X4961">
        <v>0.97909210000000002</v>
      </c>
      <c r="Y4961">
        <v>0.28024579999999999</v>
      </c>
      <c r="Z4961">
        <v>-8.8392269999999998E-3</v>
      </c>
      <c r="AA4961">
        <v>0.95988759999999995</v>
      </c>
      <c r="AB4961">
        <v>31</v>
      </c>
      <c r="AC4961">
        <v>13.077400000000001</v>
      </c>
      <c r="AD4961">
        <v>-1.108522183986</v>
      </c>
      <c r="AE4961">
        <v>-4.3579800000000004</v>
      </c>
      <c r="AF4961">
        <v>3.93277618706774</v>
      </c>
      <c r="AG4961">
        <v>-1.108522183986</v>
      </c>
      <c r="AH4961">
        <v>13.1190565951811</v>
      </c>
      <c r="AI4961">
        <v>94.627349182102705</v>
      </c>
      <c r="AJ4961">
        <v>73.312539543956902</v>
      </c>
      <c r="AK4961">
        <v>13.740640302312</v>
      </c>
      <c r="AL4961">
        <v>84.967170445884605</v>
      </c>
      <c r="AM4961">
        <v>79.383248721772006</v>
      </c>
      <c r="AN4961">
        <v>0.999999978977405</v>
      </c>
    </row>
    <row r="4962" spans="1:40" x14ac:dyDescent="0.25">
      <c r="A4962" t="str">
        <f>"20190312151415571"</f>
        <v>20190312151415571</v>
      </c>
      <c r="B4962" t="str">
        <f>"1552374855565799"</f>
        <v>1552374855565799</v>
      </c>
      <c r="C4962" t="s">
        <v>40</v>
      </c>
      <c r="D4962">
        <v>4.760853</v>
      </c>
      <c r="E4962">
        <v>0.51387529999999904</v>
      </c>
      <c r="F4962" t="s">
        <v>42</v>
      </c>
      <c r="G4962">
        <v>-338.99709999999999</v>
      </c>
      <c r="H4962" s="1">
        <v>-1.5475809999999999E-6</v>
      </c>
      <c r="I4962">
        <v>15.030189999999999</v>
      </c>
      <c r="J4962">
        <v>-350.91849999999999</v>
      </c>
      <c r="K4962">
        <v>1.108503</v>
      </c>
      <c r="L4962">
        <v>18.257539999999999</v>
      </c>
      <c r="M4962">
        <v>0.99945649999999997</v>
      </c>
      <c r="N4962">
        <v>0</v>
      </c>
      <c r="O4962">
        <v>-3.1288320000000001E-2</v>
      </c>
      <c r="P4962">
        <v>0.97376529999999994</v>
      </c>
      <c r="Q4962">
        <v>7.7910300000000002E-2</v>
      </c>
      <c r="R4962">
        <v>-0.21380170000000001</v>
      </c>
      <c r="S4962">
        <v>2.93045</v>
      </c>
      <c r="T4962">
        <v>-0.268762</v>
      </c>
      <c r="U4962">
        <v>-0.78387450000000003</v>
      </c>
      <c r="V4962">
        <v>0.1835194</v>
      </c>
      <c r="W4962">
        <v>8.7475230000000001E-2</v>
      </c>
      <c r="X4962">
        <v>0.97911630000000005</v>
      </c>
      <c r="Y4962">
        <v>0.22728770000000001</v>
      </c>
      <c r="Z4962">
        <v>-7.4109509999999998E-3</v>
      </c>
      <c r="AA4962">
        <v>0.97379950000000004</v>
      </c>
      <c r="AB4962">
        <v>31</v>
      </c>
      <c r="AC4962">
        <v>11.9214</v>
      </c>
      <c r="AD4962">
        <v>-1.108504547581</v>
      </c>
      <c r="AE4962">
        <v>-3.2273499999999902</v>
      </c>
      <c r="AF4962">
        <v>2.8299517752999002</v>
      </c>
      <c r="AG4962">
        <v>-1.108504547581</v>
      </c>
      <c r="AH4962">
        <v>11.920518219770001</v>
      </c>
      <c r="AI4962">
        <v>95.169853319869404</v>
      </c>
      <c r="AJ4962">
        <v>76.645110914196906</v>
      </c>
      <c r="AK4962">
        <v>12.301876442657001</v>
      </c>
      <c r="AL4962">
        <v>84.981624585207896</v>
      </c>
      <c r="AM4962">
        <v>79.384013947422702</v>
      </c>
      <c r="AN4962">
        <v>1.0000000074827999</v>
      </c>
    </row>
    <row r="4963" spans="1:40" x14ac:dyDescent="0.25">
      <c r="A4963" t="str">
        <f>"20190312151415583"</f>
        <v>20190312151415583</v>
      </c>
      <c r="B4963" t="str">
        <f>"1552374855575559"</f>
        <v>1552374855575559</v>
      </c>
      <c r="C4963" t="s">
        <v>40</v>
      </c>
      <c r="D4963">
        <v>4.7898040000000002</v>
      </c>
      <c r="E4963">
        <v>0.51284479999999999</v>
      </c>
      <c r="F4963" t="s">
        <v>42</v>
      </c>
      <c r="G4963">
        <v>-338.28930000000003</v>
      </c>
      <c r="H4963" s="1">
        <v>-1.8008960000000001E-6</v>
      </c>
      <c r="I4963">
        <v>14.983409999999999</v>
      </c>
      <c r="J4963">
        <v>-350.74419999999998</v>
      </c>
      <c r="K4963">
        <v>1.108487</v>
      </c>
      <c r="L4963">
        <v>18.25122</v>
      </c>
      <c r="M4963">
        <v>0.99942690000000001</v>
      </c>
      <c r="N4963">
        <v>0</v>
      </c>
      <c r="O4963">
        <v>-3.2216679999999998E-2</v>
      </c>
      <c r="P4963">
        <v>0.97358860000000003</v>
      </c>
      <c r="Q4963">
        <v>7.7876940000000006E-2</v>
      </c>
      <c r="R4963">
        <v>-0.21461769999999999</v>
      </c>
      <c r="S4963">
        <v>2.9344480000000002</v>
      </c>
      <c r="T4963">
        <v>-0.25756689999999999</v>
      </c>
      <c r="U4963">
        <v>-0.76074219999999904</v>
      </c>
      <c r="V4963">
        <v>0.1834335</v>
      </c>
      <c r="W4963">
        <v>8.7443899999999894E-2</v>
      </c>
      <c r="X4963">
        <v>0.97913519999999998</v>
      </c>
      <c r="Y4963">
        <v>0.2189604</v>
      </c>
      <c r="Z4963">
        <v>-6.6622840000000001E-3</v>
      </c>
      <c r="AA4963">
        <v>0.97571099999999999</v>
      </c>
      <c r="AB4963">
        <v>31</v>
      </c>
      <c r="AC4963">
        <v>12.454899999999901</v>
      </c>
      <c r="AD4963">
        <v>-1.1084888008959899</v>
      </c>
      <c r="AE4963">
        <v>-3.2678099999999901</v>
      </c>
      <c r="AF4963">
        <v>2.84376155134649</v>
      </c>
      <c r="AG4963">
        <v>-1.1084888008959899</v>
      </c>
      <c r="AH4963">
        <v>12.461368000816201</v>
      </c>
      <c r="AI4963">
        <v>94.956544079257796</v>
      </c>
      <c r="AJ4963">
        <v>77.1448865816525</v>
      </c>
      <c r="AK4963">
        <v>12.829708478153201</v>
      </c>
      <c r="AL4963">
        <v>84.983426590880896</v>
      </c>
      <c r="AM4963">
        <v>79.389070279465898</v>
      </c>
      <c r="AN4963">
        <v>1.0000000122242401</v>
      </c>
    </row>
    <row r="4964" spans="1:40" x14ac:dyDescent="0.25">
      <c r="A4964" t="str">
        <f>"20190312151415596"</f>
        <v>20190312151415596</v>
      </c>
      <c r="B4964" t="str">
        <f>"1552374855585318"</f>
        <v>1552374855585318</v>
      </c>
      <c r="C4964" t="s">
        <v>40</v>
      </c>
      <c r="D4964">
        <v>4.7757290000000001</v>
      </c>
      <c r="E4964">
        <v>0.51225559999999903</v>
      </c>
      <c r="F4964" t="s">
        <v>42</v>
      </c>
      <c r="G4964">
        <v>-338.33229999999998</v>
      </c>
      <c r="H4964" s="1">
        <v>-1.766471E-6</v>
      </c>
      <c r="I4964">
        <v>15.057869999999999</v>
      </c>
      <c r="J4964">
        <v>-350.5752</v>
      </c>
      <c r="K4964">
        <v>1.108473</v>
      </c>
      <c r="L4964">
        <v>18.244900000000001</v>
      </c>
      <c r="M4964">
        <v>0.99939719999999999</v>
      </c>
      <c r="N4964">
        <v>0</v>
      </c>
      <c r="O4964">
        <v>-3.3126389999999999E-2</v>
      </c>
      <c r="P4964">
        <v>0.97335669999999996</v>
      </c>
      <c r="Q4964">
        <v>7.7790689999999996E-2</v>
      </c>
      <c r="R4964">
        <v>-0.21569830000000001</v>
      </c>
      <c r="S4964">
        <v>2.9358219999999999</v>
      </c>
      <c r="T4964">
        <v>-0.2621928</v>
      </c>
      <c r="U4964">
        <v>-0.75531009999999998</v>
      </c>
      <c r="V4964">
        <v>0.18363170000000001</v>
      </c>
      <c r="W4964">
        <v>8.7358859999999997E-2</v>
      </c>
      <c r="X4964">
        <v>0.97910569999999997</v>
      </c>
      <c r="Y4964">
        <v>0.21625759999999999</v>
      </c>
      <c r="Z4964">
        <v>-6.5818099999999996E-3</v>
      </c>
      <c r="AA4964">
        <v>0.97631420000000002</v>
      </c>
      <c r="AB4964">
        <v>31</v>
      </c>
      <c r="AC4964">
        <v>12.242900000000001</v>
      </c>
      <c r="AD4964">
        <v>-1.108474766471</v>
      </c>
      <c r="AE4964">
        <v>-3.18703</v>
      </c>
      <c r="AF4964">
        <v>2.7585178006835802</v>
      </c>
      <c r="AG4964">
        <v>-1.108474766471</v>
      </c>
      <c r="AH4964">
        <v>12.247731227843101</v>
      </c>
      <c r="AI4964">
        <v>95.045719302569196</v>
      </c>
      <c r="AJ4964">
        <v>77.307246405906298</v>
      </c>
      <c r="AK4964">
        <v>12.603374825580399</v>
      </c>
      <c r="AL4964">
        <v>84.988318040410505</v>
      </c>
      <c r="AM4964">
        <v>79.377553174839406</v>
      </c>
      <c r="AN4964">
        <v>1.0000000717189299</v>
      </c>
    </row>
    <row r="4965" spans="1:40" x14ac:dyDescent="0.25">
      <c r="A4965" t="str">
        <f>"20190312151415614"</f>
        <v>20190312151415614</v>
      </c>
      <c r="B4965" t="str">
        <f>"1552374855605815"</f>
        <v>1552374855605815</v>
      </c>
      <c r="C4965" t="s">
        <v>40</v>
      </c>
      <c r="D4965">
        <v>4.7976359999999998</v>
      </c>
      <c r="E4965">
        <v>0.51167719999999906</v>
      </c>
      <c r="F4965" t="s">
        <v>42</v>
      </c>
      <c r="G4965">
        <v>-338.2174</v>
      </c>
      <c r="H4965" s="1">
        <v>-1.802005E-6</v>
      </c>
      <c r="I4965">
        <v>15.07124</v>
      </c>
      <c r="J4965">
        <v>-350.31180000000001</v>
      </c>
      <c r="K4965">
        <v>1.108455</v>
      </c>
      <c r="L4965">
        <v>18.234739999999999</v>
      </c>
      <c r="M4965">
        <v>0.99934860000000003</v>
      </c>
      <c r="N4965">
        <v>0</v>
      </c>
      <c r="O4965">
        <v>-3.4551770000000002E-2</v>
      </c>
      <c r="P4965">
        <v>0.9730877</v>
      </c>
      <c r="Q4965">
        <v>7.7683009999999997E-2</v>
      </c>
      <c r="R4965">
        <v>-0.2169469</v>
      </c>
      <c r="S4965">
        <v>2.936035</v>
      </c>
      <c r="T4965">
        <v>-0.26335799999999998</v>
      </c>
      <c r="U4965">
        <v>-0.75399780000000005</v>
      </c>
      <c r="V4965">
        <v>0.1834944</v>
      </c>
      <c r="W4965">
        <v>8.7256719999999996E-2</v>
      </c>
      <c r="X4965">
        <v>0.97914049999999997</v>
      </c>
      <c r="Y4965">
        <v>0.21444460000000001</v>
      </c>
      <c r="Z4965">
        <v>-6.4057180000000003E-3</v>
      </c>
      <c r="AA4965">
        <v>0.97671509999999995</v>
      </c>
      <c r="AB4965">
        <v>31</v>
      </c>
      <c r="AC4965">
        <v>12.0944</v>
      </c>
      <c r="AD4965">
        <v>-1.1084568020050001</v>
      </c>
      <c r="AE4965">
        <v>-3.1634999999999902</v>
      </c>
      <c r="AF4965">
        <v>2.7223027971373601</v>
      </c>
      <c r="AG4965">
        <v>-1.1084568020050001</v>
      </c>
      <c r="AH4965">
        <v>12.101348541772699</v>
      </c>
      <c r="AI4965">
        <v>95.106643085678101</v>
      </c>
      <c r="AJ4965">
        <v>77.321872602779905</v>
      </c>
      <c r="AK4965">
        <v>12.4532022199383</v>
      </c>
      <c r="AL4965">
        <v>84.994192426258195</v>
      </c>
      <c r="AM4965">
        <v>79.385683632845897</v>
      </c>
      <c r="AN4965">
        <v>1.00000002437838</v>
      </c>
    </row>
    <row r="4966" spans="1:40" x14ac:dyDescent="0.25">
      <c r="A4966" t="str">
        <f>"20190312151415627"</f>
        <v>20190312151415627</v>
      </c>
      <c r="B4966" t="str">
        <f>"1552374855615574"</f>
        <v>1552374855615574</v>
      </c>
      <c r="C4966" t="s">
        <v>40</v>
      </c>
      <c r="D4966">
        <v>4.7496850000000004</v>
      </c>
      <c r="E4966">
        <v>0.51148769999999999</v>
      </c>
      <c r="F4966" t="s">
        <v>42</v>
      </c>
      <c r="G4966">
        <v>-338.185</v>
      </c>
      <c r="H4966" s="1">
        <v>-1.7992399999999999E-6</v>
      </c>
      <c r="I4966">
        <v>15.12304</v>
      </c>
      <c r="J4966">
        <v>-350.14580000000001</v>
      </c>
      <c r="K4966">
        <v>1.1084449999999999</v>
      </c>
      <c r="L4966">
        <v>18.228210000000001</v>
      </c>
      <c r="M4966">
        <v>0.99931700000000001</v>
      </c>
      <c r="N4966">
        <v>0</v>
      </c>
      <c r="O4966">
        <v>-3.5454020000000003E-2</v>
      </c>
      <c r="P4966">
        <v>0.97289099999999995</v>
      </c>
      <c r="Q4966">
        <v>7.7558180000000004E-2</v>
      </c>
      <c r="R4966">
        <v>-0.2178715</v>
      </c>
      <c r="S4966">
        <v>2.9363709999999998</v>
      </c>
      <c r="T4966">
        <v>-0.26840160000000002</v>
      </c>
      <c r="U4966">
        <v>-0.75344849999999997</v>
      </c>
      <c r="V4966">
        <v>0.18354229999999999</v>
      </c>
      <c r="W4966">
        <v>8.713514E-2</v>
      </c>
      <c r="X4966">
        <v>0.97914230000000002</v>
      </c>
      <c r="Y4966">
        <v>0.21334629999999999</v>
      </c>
      <c r="Z4966">
        <v>-6.3972559999999996E-3</v>
      </c>
      <c r="AA4966">
        <v>0.97695569999999998</v>
      </c>
      <c r="AB4966">
        <v>31</v>
      </c>
      <c r="AC4966">
        <v>11.960800000000001</v>
      </c>
      <c r="AD4966">
        <v>-1.10844679924</v>
      </c>
      <c r="AE4966">
        <v>-3.1051700000000002</v>
      </c>
      <c r="AF4966">
        <v>2.65775173522302</v>
      </c>
      <c r="AG4966">
        <v>-1.10844679924</v>
      </c>
      <c r="AH4966">
        <v>11.967088489227001</v>
      </c>
      <c r="AI4966">
        <v>95.166719699800097</v>
      </c>
      <c r="AJ4966">
        <v>77.478498212796197</v>
      </c>
      <c r="AK4966">
        <v>12.308676025544599</v>
      </c>
      <c r="AL4966">
        <v>85.001184838671804</v>
      </c>
      <c r="AM4966">
        <v>79.382994894615805</v>
      </c>
      <c r="AN4966">
        <v>0.99999997608069902</v>
      </c>
    </row>
    <row r="4967" spans="1:40" x14ac:dyDescent="0.25">
      <c r="A4967" t="str">
        <f>"20190312151415649"</f>
        <v>20190312151415649</v>
      </c>
      <c r="B4967" t="str">
        <f>"1552374855645830"</f>
        <v>1552374855645830</v>
      </c>
      <c r="C4967" t="s">
        <v>40</v>
      </c>
      <c r="D4967">
        <v>5.1596989999999998</v>
      </c>
      <c r="E4967">
        <v>0.51151289999999905</v>
      </c>
      <c r="F4967" t="s">
        <v>42</v>
      </c>
      <c r="G4967">
        <v>-338.15249999999997</v>
      </c>
      <c r="H4967" s="1">
        <v>-1.8045400000000001E-6</v>
      </c>
      <c r="I4967">
        <v>15.144690000000001</v>
      </c>
      <c r="J4967">
        <v>-349.82069999999999</v>
      </c>
      <c r="K4967">
        <v>1.1084270000000001</v>
      </c>
      <c r="L4967">
        <v>18.21481</v>
      </c>
      <c r="M4967">
        <v>0.99925229999999998</v>
      </c>
      <c r="N4967">
        <v>0</v>
      </c>
      <c r="O4967">
        <v>-3.722897E-2</v>
      </c>
      <c r="P4967">
        <v>0.97257990000000005</v>
      </c>
      <c r="Q4967">
        <v>7.7089690000000002E-2</v>
      </c>
      <c r="R4967">
        <v>-0.2194208</v>
      </c>
      <c r="S4967">
        <v>2.936188</v>
      </c>
      <c r="T4967">
        <v>-0.27136850000000001</v>
      </c>
      <c r="U4967">
        <v>-0.75488279999999996</v>
      </c>
      <c r="V4967">
        <v>0.1833622</v>
      </c>
      <c r="W4967">
        <v>8.6676240000000002E-2</v>
      </c>
      <c r="X4967">
        <v>0.9792168</v>
      </c>
      <c r="Y4967">
        <v>0.21207029999999999</v>
      </c>
      <c r="Z4967">
        <v>-6.2491419999999897E-3</v>
      </c>
      <c r="AA4967">
        <v>0.97723439999999995</v>
      </c>
      <c r="AB4967">
        <v>31</v>
      </c>
      <c r="AC4967">
        <v>11.668200000000001</v>
      </c>
      <c r="AD4967">
        <v>-1.1084288045399999</v>
      </c>
      <c r="AE4967">
        <v>-3.0701200000000002</v>
      </c>
      <c r="AF4967">
        <v>2.6115317228761898</v>
      </c>
      <c r="AG4967">
        <v>-1.1084288045399999</v>
      </c>
      <c r="AH4967">
        <v>11.675870971592801</v>
      </c>
      <c r="AI4967">
        <v>95.293011330907404</v>
      </c>
      <c r="AJ4967">
        <v>77.392216925479701</v>
      </c>
      <c r="AK4967">
        <v>12.015601329089</v>
      </c>
      <c r="AL4967">
        <v>85.027577869223805</v>
      </c>
      <c r="AM4967">
        <v>79.393964944622297</v>
      </c>
      <c r="AN4967">
        <v>1.0000000041857999</v>
      </c>
    </row>
    <row r="4968" spans="1:40" x14ac:dyDescent="0.25">
      <c r="A4968" t="str">
        <f>"20190312151415671"</f>
        <v>20190312151415671</v>
      </c>
      <c r="B4968" t="str">
        <f>"1552374855665351"</f>
        <v>1552374855665351</v>
      </c>
      <c r="C4968" t="s">
        <v>40</v>
      </c>
      <c r="D4968">
        <v>4.8238190000000003</v>
      </c>
      <c r="E4968">
        <v>0.51143249999999996</v>
      </c>
      <c r="F4968" t="s">
        <v>42</v>
      </c>
      <c r="G4968">
        <v>-337.81150000000002</v>
      </c>
      <c r="H4968" s="1">
        <v>-1.9311099999999999E-6</v>
      </c>
      <c r="I4968">
        <v>15.105130000000001</v>
      </c>
      <c r="J4968">
        <v>-349.52550000000002</v>
      </c>
      <c r="K4968">
        <v>1.10842</v>
      </c>
      <c r="L4968">
        <v>18.202179999999998</v>
      </c>
      <c r="M4968">
        <v>0.99919069999999999</v>
      </c>
      <c r="N4968">
        <v>0</v>
      </c>
      <c r="O4968">
        <v>-3.8844209999999997E-2</v>
      </c>
      <c r="P4968">
        <v>0.97226619999999997</v>
      </c>
      <c r="Q4968">
        <v>7.7264669999999994E-2</v>
      </c>
      <c r="R4968">
        <v>-0.22074650000000001</v>
      </c>
      <c r="S4968">
        <v>2.9346619999999999</v>
      </c>
      <c r="T4968">
        <v>-0.2708642</v>
      </c>
      <c r="U4968">
        <v>-0.75988769999999894</v>
      </c>
      <c r="V4968">
        <v>0.1831169</v>
      </c>
      <c r="W4968">
        <v>8.6860090000000001E-2</v>
      </c>
      <c r="X4968">
        <v>0.97924639999999996</v>
      </c>
      <c r="Y4968">
        <v>0.21218409999999999</v>
      </c>
      <c r="Z4968">
        <v>-6.0986449999999998E-3</v>
      </c>
      <c r="AA4968">
        <v>0.97721069999999999</v>
      </c>
      <c r="AB4968">
        <v>31</v>
      </c>
      <c r="AC4968">
        <v>11.714</v>
      </c>
      <c r="AD4968">
        <v>-1.1084219311100001</v>
      </c>
      <c r="AE4968">
        <v>-3.0970499999999901</v>
      </c>
      <c r="AF4968">
        <v>2.6177593005189999</v>
      </c>
      <c r="AG4968">
        <v>-1.1084219311100001</v>
      </c>
      <c r="AH4968">
        <v>11.7273252352177</v>
      </c>
      <c r="AI4968">
        <v>95.270388745445103</v>
      </c>
      <c r="AJ4968">
        <v>77.416791903245397</v>
      </c>
      <c r="AK4968">
        <v>12.0669557099292</v>
      </c>
      <c r="AL4968">
        <v>85.017004106430406</v>
      </c>
      <c r="AM4968">
        <v>79.408145232331094</v>
      </c>
      <c r="AN4968">
        <v>0.99999999310668897</v>
      </c>
    </row>
    <row r="4969" spans="1:40" x14ac:dyDescent="0.25">
      <c r="A4969" t="str">
        <f>"20190312151415681"</f>
        <v>20190312151415681</v>
      </c>
      <c r="B4969" t="str">
        <f>"1552374855675110"</f>
        <v>1552374855675110</v>
      </c>
      <c r="C4969" t="s">
        <v>40</v>
      </c>
      <c r="D4969">
        <v>4.7828229999999996</v>
      </c>
      <c r="E4969">
        <v>0.51148970000000005</v>
      </c>
      <c r="F4969" t="s">
        <v>42</v>
      </c>
      <c r="G4969">
        <v>-337.45400000000001</v>
      </c>
      <c r="H4969" s="1">
        <v>-2.064741E-6</v>
      </c>
      <c r="I4969">
        <v>15.060169999999999</v>
      </c>
      <c r="J4969">
        <v>-349.36149999999998</v>
      </c>
      <c r="K4969">
        <v>1.1084160000000001</v>
      </c>
      <c r="L4969">
        <v>18.194980000000001</v>
      </c>
      <c r="M4969">
        <v>0.99915529999999997</v>
      </c>
      <c r="N4969">
        <v>0</v>
      </c>
      <c r="O4969">
        <v>-3.9741829999999999E-2</v>
      </c>
      <c r="P4969">
        <v>0.97210600000000003</v>
      </c>
      <c r="Q4969">
        <v>7.7133740000000006E-2</v>
      </c>
      <c r="R4969">
        <v>-0.2214962</v>
      </c>
      <c r="S4969">
        <v>2.933624</v>
      </c>
      <c r="T4969">
        <v>-0.26936850000000001</v>
      </c>
      <c r="U4969">
        <v>-0.76354979999999995</v>
      </c>
      <c r="V4969">
        <v>0.1829925</v>
      </c>
      <c r="W4969">
        <v>8.673467E-2</v>
      </c>
      <c r="X4969">
        <v>0.97928079999999995</v>
      </c>
      <c r="Y4969">
        <v>0.2125426</v>
      </c>
      <c r="Z4969">
        <v>-6.0017550000000001E-3</v>
      </c>
      <c r="AA4969">
        <v>0.97713340000000004</v>
      </c>
      <c r="AB4969">
        <v>31</v>
      </c>
      <c r="AC4969">
        <v>11.907499999999899</v>
      </c>
      <c r="AD4969">
        <v>-1.108418064741</v>
      </c>
      <c r="AE4969">
        <v>-3.1348099999999901</v>
      </c>
      <c r="AF4969">
        <v>2.63770726987575</v>
      </c>
      <c r="AG4969">
        <v>-1.108418064741</v>
      </c>
      <c r="AH4969">
        <v>11.9260411153465</v>
      </c>
      <c r="AI4969">
        <v>95.185270449289803</v>
      </c>
      <c r="AJ4969">
        <v>77.528542501501803</v>
      </c>
      <c r="AK4969">
        <v>12.2644423816468</v>
      </c>
      <c r="AL4969">
        <v>85.024217508441694</v>
      </c>
      <c r="AM4969">
        <v>79.415541545017405</v>
      </c>
      <c r="AN4969">
        <v>1.0000000216424401</v>
      </c>
    </row>
    <row r="4970" spans="1:40" x14ac:dyDescent="0.25">
      <c r="A4970" t="str">
        <f>"20190312151415694"</f>
        <v>20190312151415694</v>
      </c>
      <c r="B4970" t="str">
        <f>"1552374855685847"</f>
        <v>1552374855685847</v>
      </c>
      <c r="C4970" t="s">
        <v>40</v>
      </c>
      <c r="D4970">
        <v>4.7989319999999998</v>
      </c>
      <c r="E4970">
        <v>0.51138969999999995</v>
      </c>
      <c r="F4970" t="s">
        <v>42</v>
      </c>
      <c r="G4970">
        <v>-337.4074</v>
      </c>
      <c r="H4970" s="1">
        <v>-2.07776E-6</v>
      </c>
      <c r="I4970">
        <v>15.07081</v>
      </c>
      <c r="J4970">
        <v>-349.19810000000001</v>
      </c>
      <c r="K4970">
        <v>1.108414</v>
      </c>
      <c r="L4970">
        <v>18.18759</v>
      </c>
      <c r="M4970">
        <v>0.99911939999999999</v>
      </c>
      <c r="N4970">
        <v>0</v>
      </c>
      <c r="O4970">
        <v>-4.063609E-2</v>
      </c>
      <c r="P4970">
        <v>0.97197009999999995</v>
      </c>
      <c r="Q4970">
        <v>7.6862730000000004E-2</v>
      </c>
      <c r="R4970">
        <v>-0.2221862</v>
      </c>
      <c r="S4970">
        <v>2.933014</v>
      </c>
      <c r="T4970">
        <v>-0.27195619999999998</v>
      </c>
      <c r="U4970">
        <v>-0.76651000000000002</v>
      </c>
      <c r="V4970">
        <v>0.18280969999999999</v>
      </c>
      <c r="W4970">
        <v>8.6469119999999997E-2</v>
      </c>
      <c r="X4970">
        <v>0.97933840000000005</v>
      </c>
      <c r="Y4970">
        <v>0.21263119999999999</v>
      </c>
      <c r="Z4970">
        <v>-5.9825590000000001E-3</v>
      </c>
      <c r="AA4970">
        <v>0.97711420000000004</v>
      </c>
      <c r="AB4970">
        <v>31</v>
      </c>
      <c r="AC4970">
        <v>11.790699999999999</v>
      </c>
      <c r="AD4970">
        <v>-1.1084160777600001</v>
      </c>
      <c r="AE4970">
        <v>-3.1167799999999999</v>
      </c>
      <c r="AF4970">
        <v>2.6134633710182502</v>
      </c>
      <c r="AG4970">
        <v>-1.1084160777600001</v>
      </c>
      <c r="AH4970">
        <v>11.8100666479954</v>
      </c>
      <c r="AI4970">
        <v>95.235767880037102</v>
      </c>
      <c r="AJ4970">
        <v>77.522037735865496</v>
      </c>
      <c r="AK4970">
        <v>12.146458381898199</v>
      </c>
      <c r="AL4970">
        <v>85.039489664878005</v>
      </c>
      <c r="AM4970">
        <v>79.426484194773295</v>
      </c>
      <c r="AN4970">
        <v>0.99999999842111198</v>
      </c>
    </row>
    <row r="4971" spans="1:40" x14ac:dyDescent="0.25">
      <c r="A4971" t="str">
        <f>"20190312151415706"</f>
        <v>20190312151415706</v>
      </c>
      <c r="B4971" t="str">
        <f>"1552374855695607"</f>
        <v>1552374855695607</v>
      </c>
      <c r="C4971" t="s">
        <v>40</v>
      </c>
      <c r="D4971">
        <v>4.8242029999999998</v>
      </c>
      <c r="E4971">
        <v>0.5114687</v>
      </c>
      <c r="F4971" t="s">
        <v>42</v>
      </c>
      <c r="G4971">
        <v>-337.24189999999999</v>
      </c>
      <c r="H4971" s="1">
        <v>-2.137775E-6</v>
      </c>
      <c r="I4971">
        <v>15.056979999999999</v>
      </c>
      <c r="J4971">
        <v>-349.03160000000003</v>
      </c>
      <c r="K4971">
        <v>1.108409</v>
      </c>
      <c r="L4971">
        <v>18.180019999999999</v>
      </c>
      <c r="M4971">
        <v>0.99908169999999996</v>
      </c>
      <c r="N4971">
        <v>0</v>
      </c>
      <c r="O4971">
        <v>-4.1546680000000002E-2</v>
      </c>
      <c r="P4971">
        <v>0.97184539999999997</v>
      </c>
      <c r="Q4971">
        <v>7.6776339999999998E-2</v>
      </c>
      <c r="R4971">
        <v>-0.22275990000000001</v>
      </c>
      <c r="S4971">
        <v>2.9324949999999999</v>
      </c>
      <c r="T4971">
        <v>-0.2718604</v>
      </c>
      <c r="U4971">
        <v>-0.76782229999999996</v>
      </c>
      <c r="V4971">
        <v>0.1824953</v>
      </c>
      <c r="W4971">
        <v>8.6388850000000003E-2</v>
      </c>
      <c r="X4971">
        <v>0.97940419999999995</v>
      </c>
      <c r="Y4971">
        <v>0.212198</v>
      </c>
      <c r="Z4971">
        <v>-5.8788669999999899E-3</v>
      </c>
      <c r="AA4971">
        <v>0.97720899999999999</v>
      </c>
      <c r="AB4971">
        <v>31</v>
      </c>
      <c r="AC4971">
        <v>11.7897</v>
      </c>
      <c r="AD4971">
        <v>-1.1084111377750001</v>
      </c>
      <c r="AE4971">
        <v>-3.12304</v>
      </c>
      <c r="AF4971">
        <v>2.6089453334863602</v>
      </c>
      <c r="AG4971">
        <v>-1.1084111377750001</v>
      </c>
      <c r="AH4971">
        <v>11.8117216531023</v>
      </c>
      <c r="AI4971">
        <v>95.235468913418103</v>
      </c>
      <c r="AJ4971">
        <v>77.544626084001194</v>
      </c>
      <c r="AK4971">
        <v>12.1470959251102</v>
      </c>
      <c r="AL4971">
        <v>85.044106464285804</v>
      </c>
      <c r="AM4971">
        <v>79.444952958065599</v>
      </c>
      <c r="AN4971">
        <v>1.0000000774520199</v>
      </c>
    </row>
    <row r="4972" spans="1:40" x14ac:dyDescent="0.25">
      <c r="A4972" t="str">
        <f>"20190312151415727"</f>
        <v>20190312151415727</v>
      </c>
      <c r="B4972" t="str">
        <f>"1552374855715126"</f>
        <v>1552374855715126</v>
      </c>
      <c r="C4972" t="s">
        <v>40</v>
      </c>
      <c r="D4972">
        <v>4.8215560000000002</v>
      </c>
      <c r="E4972">
        <v>0.51143809999999901</v>
      </c>
      <c r="F4972" t="s">
        <v>42</v>
      </c>
      <c r="G4972">
        <v>-337.12560000000002</v>
      </c>
      <c r="H4972" s="1">
        <v>-2.1788190000000001E-6</v>
      </c>
      <c r="I4972">
        <v>15.051450000000001</v>
      </c>
      <c r="J4972">
        <v>-348.73259999999999</v>
      </c>
      <c r="K4972">
        <v>1.108403</v>
      </c>
      <c r="L4972">
        <v>18.16592</v>
      </c>
      <c r="M4972">
        <v>0.99901249999999997</v>
      </c>
      <c r="N4972">
        <v>0</v>
      </c>
      <c r="O4972">
        <v>-4.3180669999999997E-2</v>
      </c>
      <c r="P4972">
        <v>0.9716593</v>
      </c>
      <c r="Q4972">
        <v>7.6369519999999996E-2</v>
      </c>
      <c r="R4972">
        <v>-0.22371070000000001</v>
      </c>
      <c r="S4972">
        <v>2.931854</v>
      </c>
      <c r="T4972">
        <v>-0.27294469999999998</v>
      </c>
      <c r="U4972">
        <v>-0.77038569999999995</v>
      </c>
      <c r="V4972">
        <v>0.18184919999999999</v>
      </c>
      <c r="W4972">
        <v>8.5993120000000006E-2</v>
      </c>
      <c r="X4972">
        <v>0.97955910000000002</v>
      </c>
      <c r="Y4972">
        <v>0.2114558</v>
      </c>
      <c r="Z4972">
        <v>-5.7201619999999896E-3</v>
      </c>
      <c r="AA4972">
        <v>0.97737079999999998</v>
      </c>
      <c r="AB4972">
        <v>31</v>
      </c>
      <c r="AC4972">
        <v>11.6069999999999</v>
      </c>
      <c r="AD4972">
        <v>-1.1084051788189999</v>
      </c>
      <c r="AE4972">
        <v>-3.1144699999999901</v>
      </c>
      <c r="AF4972">
        <v>2.5883211373888702</v>
      </c>
      <c r="AG4972">
        <v>-1.1084051788189999</v>
      </c>
      <c r="AH4972">
        <v>11.631717123907601</v>
      </c>
      <c r="AI4972">
        <v>95.314163314704402</v>
      </c>
      <c r="AJ4972">
        <v>77.454787221201997</v>
      </c>
      <c r="AK4972">
        <v>11.9676568968738</v>
      </c>
      <c r="AL4972">
        <v>85.066864377779197</v>
      </c>
      <c r="AM4972">
        <v>79.483112480854501</v>
      </c>
      <c r="AN4972">
        <v>0.99999998931039202</v>
      </c>
    </row>
    <row r="4973" spans="1:40" x14ac:dyDescent="0.25">
      <c r="A4973" t="str">
        <f>"20190312151415739"</f>
        <v>20190312151415739</v>
      </c>
      <c r="B4973" t="str">
        <f>"1552374855735623"</f>
        <v>1552374855735623</v>
      </c>
      <c r="C4973" t="s">
        <v>40</v>
      </c>
      <c r="D4973">
        <v>5.1375710000000003</v>
      </c>
      <c r="E4973">
        <v>0.51153979999999999</v>
      </c>
      <c r="F4973" t="s">
        <v>42</v>
      </c>
      <c r="G4973">
        <v>-337.07420000000002</v>
      </c>
      <c r="H4973" s="1">
        <v>-2.1860619999999999E-6</v>
      </c>
      <c r="I4973">
        <v>15.089980000000001</v>
      </c>
      <c r="J4973">
        <v>-348.55459999999999</v>
      </c>
      <c r="K4973">
        <v>1.108398</v>
      </c>
      <c r="L4973">
        <v>18.157260000000001</v>
      </c>
      <c r="M4973">
        <v>0.99896989999999997</v>
      </c>
      <c r="N4973">
        <v>0</v>
      </c>
      <c r="O4973">
        <v>-4.4152289999999997E-2</v>
      </c>
      <c r="P4973">
        <v>0.97153959999999995</v>
      </c>
      <c r="Q4973">
        <v>7.5876849999999996E-2</v>
      </c>
      <c r="R4973">
        <v>-0.22439619999999999</v>
      </c>
      <c r="S4973">
        <v>2.9313349999999998</v>
      </c>
      <c r="T4973">
        <v>-0.27869119999999997</v>
      </c>
      <c r="U4973">
        <v>-0.77337650000000002</v>
      </c>
      <c r="V4973">
        <v>0.18158460000000001</v>
      </c>
      <c r="W4973">
        <v>8.5507120000000006E-2</v>
      </c>
      <c r="X4973">
        <v>0.97965069999999999</v>
      </c>
      <c r="Y4973">
        <v>0.2114557</v>
      </c>
      <c r="Z4973">
        <v>-5.750041E-3</v>
      </c>
      <c r="AA4973">
        <v>0.97737070000000004</v>
      </c>
      <c r="AB4973">
        <v>31</v>
      </c>
      <c r="AC4973">
        <v>11.4803999999999</v>
      </c>
      <c r="AD4973">
        <v>-1.1084001860619901</v>
      </c>
      <c r="AE4973">
        <v>-3.0672799999999998</v>
      </c>
      <c r="AF4973">
        <v>2.53531670787735</v>
      </c>
      <c r="AG4973">
        <v>-1.1084001860619901</v>
      </c>
      <c r="AH4973">
        <v>11.504545029395</v>
      </c>
      <c r="AI4973">
        <v>95.374962337421195</v>
      </c>
      <c r="AJ4973">
        <v>77.572076743838394</v>
      </c>
      <c r="AK4973">
        <v>11.8326217768963</v>
      </c>
      <c r="AL4973">
        <v>85.094812948192896</v>
      </c>
      <c r="AM4973">
        <v>79.499034526578598</v>
      </c>
      <c r="AN4973">
        <v>0.99999996426917104</v>
      </c>
    </row>
    <row r="4974" spans="1:40" x14ac:dyDescent="0.25">
      <c r="A4974" t="str">
        <f>"20190312151415751"</f>
        <v>20190312151415751</v>
      </c>
      <c r="B4974" t="str">
        <f>"1552374855745384"</f>
        <v>1552374855745384</v>
      </c>
      <c r="C4974" t="s">
        <v>40</v>
      </c>
      <c r="D4974">
        <v>4.8242690000000001</v>
      </c>
      <c r="E4974">
        <v>0.51161859999999904</v>
      </c>
      <c r="F4974" t="s">
        <v>42</v>
      </c>
      <c r="G4974">
        <v>-336.90879999999999</v>
      </c>
      <c r="H4974" s="1">
        <v>-2.2469349999999999E-6</v>
      </c>
      <c r="I4974">
        <v>15.07277</v>
      </c>
      <c r="J4974">
        <v>-348.392</v>
      </c>
      <c r="K4974">
        <v>1.108395</v>
      </c>
      <c r="L4974">
        <v>18.149260000000002</v>
      </c>
      <c r="M4974">
        <v>0.99893019999999999</v>
      </c>
      <c r="N4974">
        <v>0</v>
      </c>
      <c r="O4974">
        <v>-4.5039129999999997E-2</v>
      </c>
      <c r="P4974">
        <v>0.97150429999999999</v>
      </c>
      <c r="Q4974">
        <v>7.5749869999999997E-2</v>
      </c>
      <c r="R4974">
        <v>-0.22459109999999999</v>
      </c>
      <c r="S4974">
        <v>2.9304199999999998</v>
      </c>
      <c r="T4974">
        <v>-0.27890490000000001</v>
      </c>
      <c r="U4974">
        <v>-0.77612300000000001</v>
      </c>
      <c r="V4974">
        <v>0.1809104</v>
      </c>
      <c r="W4974">
        <v>8.5387850000000001E-2</v>
      </c>
      <c r="X4974">
        <v>0.97978589999999999</v>
      </c>
      <c r="Y4974">
        <v>0.21152180000000001</v>
      </c>
      <c r="Z4974">
        <v>-5.6760939999999996E-3</v>
      </c>
      <c r="AA4974">
        <v>0.97735680000000003</v>
      </c>
      <c r="AB4974">
        <v>31</v>
      </c>
      <c r="AC4974">
        <v>11.4832</v>
      </c>
      <c r="AD4974">
        <v>-1.1083972469350001</v>
      </c>
      <c r="AE4974">
        <v>-3.0764900000000002</v>
      </c>
      <c r="AF4974">
        <v>2.53411731766304</v>
      </c>
      <c r="AG4974">
        <v>-1.1083972469350001</v>
      </c>
      <c r="AH4974">
        <v>11.510061018960499</v>
      </c>
      <c r="AI4974">
        <v>95.372622816031495</v>
      </c>
      <c r="AJ4974">
        <v>77.583541948529401</v>
      </c>
      <c r="AK4974">
        <v>11.8377278097144</v>
      </c>
      <c r="AL4974">
        <v>85.101672042152103</v>
      </c>
      <c r="AM4974">
        <v>79.538572578240505</v>
      </c>
      <c r="AN4974">
        <v>1.0000000337972901</v>
      </c>
    </row>
    <row r="4975" spans="1:40" x14ac:dyDescent="0.25">
      <c r="A4975" t="str">
        <f>"20190312151415762"</f>
        <v>20190312151415762</v>
      </c>
      <c r="B4975" t="str">
        <f>"1552374855755142"</f>
        <v>1552374855755142</v>
      </c>
      <c r="C4975" t="s">
        <v>40</v>
      </c>
      <c r="D4975">
        <v>4.8387560000000001</v>
      </c>
      <c r="E4975">
        <v>0.51164940000000003</v>
      </c>
      <c r="F4975" t="s">
        <v>42</v>
      </c>
      <c r="G4975">
        <v>-336.6617</v>
      </c>
      <c r="H4975" s="1">
        <v>-2.3404760000000001E-6</v>
      </c>
      <c r="I4975">
        <v>15.03725</v>
      </c>
      <c r="J4975">
        <v>-348.21960000000001</v>
      </c>
      <c r="K4975">
        <v>1.1083879999999999</v>
      </c>
      <c r="L4975">
        <v>18.14059</v>
      </c>
      <c r="M4975">
        <v>0.99888739999999998</v>
      </c>
      <c r="N4975">
        <v>0</v>
      </c>
      <c r="O4975">
        <v>-4.5979859999999997E-2</v>
      </c>
      <c r="P4975">
        <v>0.97137229999999997</v>
      </c>
      <c r="Q4975">
        <v>7.5716279999999997E-2</v>
      </c>
      <c r="R4975">
        <v>-0.2251736</v>
      </c>
      <c r="S4975">
        <v>2.9299620000000002</v>
      </c>
      <c r="T4975">
        <v>-0.27685009999999999</v>
      </c>
      <c r="U4975">
        <v>-0.77728269999999899</v>
      </c>
      <c r="V4975">
        <v>0.18057509999999999</v>
      </c>
      <c r="W4975">
        <v>8.5359359999999995E-2</v>
      </c>
      <c r="X4975">
        <v>0.9798502</v>
      </c>
      <c r="Y4975">
        <v>0.21101690000000001</v>
      </c>
      <c r="Z4975">
        <v>-5.5247630000000002E-3</v>
      </c>
      <c r="AA4975">
        <v>0.97746679999999997</v>
      </c>
      <c r="AB4975">
        <v>31</v>
      </c>
      <c r="AC4975">
        <v>11.5579</v>
      </c>
      <c r="AD4975">
        <v>-1.1083903404759901</v>
      </c>
      <c r="AE4975">
        <v>-3.1033400000000002</v>
      </c>
      <c r="AF4975">
        <v>2.5467511756872701</v>
      </c>
      <c r="AG4975">
        <v>-1.1083903404759901</v>
      </c>
      <c r="AH4975">
        <v>11.5889615387664</v>
      </c>
      <c r="AI4975">
        <v>95.336678526257799</v>
      </c>
      <c r="AJ4975">
        <v>77.605882287645301</v>
      </c>
      <c r="AK4975">
        <v>11.917151515556601</v>
      </c>
      <c r="AL4975">
        <v>85.103310218244005</v>
      </c>
      <c r="AM4975">
        <v>79.5582051042187</v>
      </c>
      <c r="AN4975">
        <v>1.00000000075982</v>
      </c>
    </row>
    <row r="4976" spans="1:40" x14ac:dyDescent="0.25">
      <c r="A4976" t="str">
        <f>"20190312151415782"</f>
        <v>20190312151415782</v>
      </c>
      <c r="B4976" t="str">
        <f>"1552374855775642"</f>
        <v>1552374855775642</v>
      </c>
      <c r="C4976" t="s">
        <v>40</v>
      </c>
      <c r="D4976">
        <v>4.8323749999999999</v>
      </c>
      <c r="E4976">
        <v>0.51161329999999905</v>
      </c>
      <c r="F4976" t="s">
        <v>42</v>
      </c>
      <c r="G4976">
        <v>-336.42059999999998</v>
      </c>
      <c r="H4976" s="1">
        <v>-2.4319789999999998E-6</v>
      </c>
      <c r="I4976">
        <v>15.001720000000001</v>
      </c>
      <c r="J4976">
        <v>-347.95310000000001</v>
      </c>
      <c r="K4976">
        <v>1.1083860000000001</v>
      </c>
      <c r="L4976">
        <v>18.12689</v>
      </c>
      <c r="M4976">
        <v>0.99881940000000002</v>
      </c>
      <c r="N4976">
        <v>0</v>
      </c>
      <c r="O4976">
        <v>-4.7432250000000002E-2</v>
      </c>
      <c r="P4976">
        <v>0.97142609999999996</v>
      </c>
      <c r="Q4976">
        <v>7.506873E-2</v>
      </c>
      <c r="R4976">
        <v>-0.22515779999999999</v>
      </c>
      <c r="S4976">
        <v>2.92923</v>
      </c>
      <c r="T4976">
        <v>-0.275169</v>
      </c>
      <c r="U4976">
        <v>-0.77923580000000003</v>
      </c>
      <c r="V4976">
        <v>0.17912890000000001</v>
      </c>
      <c r="W4976">
        <v>8.4726029999999994E-2</v>
      </c>
      <c r="X4976">
        <v>0.98017049999999994</v>
      </c>
      <c r="Y4976">
        <v>0.2102822</v>
      </c>
      <c r="Z4976">
        <v>-5.3250669999999898E-3</v>
      </c>
      <c r="AA4976">
        <v>0.9776262</v>
      </c>
      <c r="AB4976">
        <v>31</v>
      </c>
      <c r="AC4976">
        <v>11.532500000000001</v>
      </c>
      <c r="AD4976">
        <v>-1.1083884319790001</v>
      </c>
      <c r="AE4976">
        <v>-3.12516999999999</v>
      </c>
      <c r="AF4976">
        <v>2.5526435588385401</v>
      </c>
      <c r="AG4976">
        <v>-1.1083884319790001</v>
      </c>
      <c r="AH4976">
        <v>11.568213342602499</v>
      </c>
      <c r="AI4976">
        <v>95.345177068025805</v>
      </c>
      <c r="AJ4976">
        <v>77.556509450012896</v>
      </c>
      <c r="AK4976">
        <v>11.8982382727272</v>
      </c>
      <c r="AL4976">
        <v>85.139728974559105</v>
      </c>
      <c r="AM4976">
        <v>79.643326172659698</v>
      </c>
      <c r="AN4976">
        <v>0.99999993602250803</v>
      </c>
    </row>
    <row r="4977" spans="1:40" x14ac:dyDescent="0.25">
      <c r="A4977" t="str">
        <f>"20190312151415794"</f>
        <v>20190312151415794</v>
      </c>
      <c r="B4977" t="str">
        <f>"1552374855785398"</f>
        <v>1552374855785398</v>
      </c>
      <c r="C4977" t="s">
        <v>40</v>
      </c>
      <c r="D4977">
        <v>4.8583100000000004</v>
      </c>
      <c r="E4977">
        <v>0.51171800000000001</v>
      </c>
      <c r="F4977" t="s">
        <v>42</v>
      </c>
      <c r="G4977">
        <v>-336.10289999999998</v>
      </c>
      <c r="H4977" s="1">
        <v>-2.546618E-6</v>
      </c>
      <c r="I4977">
        <v>14.97715</v>
      </c>
      <c r="J4977">
        <v>-347.78660000000002</v>
      </c>
      <c r="K4977">
        <v>1.108382</v>
      </c>
      <c r="L4977">
        <v>18.118069999999999</v>
      </c>
      <c r="M4977">
        <v>0.99877579999999999</v>
      </c>
      <c r="N4977">
        <v>0</v>
      </c>
      <c r="O4977">
        <v>-4.8338989999999998E-2</v>
      </c>
      <c r="P4977">
        <v>0.97136840000000002</v>
      </c>
      <c r="Q4977">
        <v>7.5012690000000007E-2</v>
      </c>
      <c r="R4977">
        <v>-0.22542619999999999</v>
      </c>
      <c r="S4977">
        <v>2.9290159999999998</v>
      </c>
      <c r="T4977">
        <v>-0.27396090000000001</v>
      </c>
      <c r="U4977">
        <v>-0.77850339999999996</v>
      </c>
      <c r="V4977">
        <v>0.1785091</v>
      </c>
      <c r="W4977">
        <v>8.4677089999999997E-2</v>
      </c>
      <c r="X4977">
        <v>0.98028780000000004</v>
      </c>
      <c r="Y4977">
        <v>0.20919789999999999</v>
      </c>
      <c r="Z4977">
        <v>-5.1697119999999999E-3</v>
      </c>
      <c r="AA4977">
        <v>0.9778597</v>
      </c>
      <c r="AB4977">
        <v>31</v>
      </c>
      <c r="AC4977">
        <v>11.6837</v>
      </c>
      <c r="AD4977">
        <v>-1.108384546618</v>
      </c>
      <c r="AE4977">
        <v>-3.1409199999999902</v>
      </c>
      <c r="AF4977">
        <v>2.5510276984776699</v>
      </c>
      <c r="AG4977">
        <v>-1.108384546618</v>
      </c>
      <c r="AH4977">
        <v>11.7234823920721</v>
      </c>
      <c r="AI4977">
        <v>95.278124890736706</v>
      </c>
      <c r="AJ4977">
        <v>77.723818639212595</v>
      </c>
      <c r="AK4977">
        <v>12.0489127318114</v>
      </c>
      <c r="AL4977">
        <v>85.142543160659201</v>
      </c>
      <c r="AM4977">
        <v>79.679598035841806</v>
      </c>
      <c r="AN4977">
        <v>0.99999993959125699</v>
      </c>
    </row>
    <row r="4978" spans="1:40" x14ac:dyDescent="0.25">
      <c r="A4978" t="str">
        <f>"20190312151415806"</f>
        <v>20190312151415806</v>
      </c>
      <c r="B4978" t="str">
        <f>"1552374855795158"</f>
        <v>1552374855795158</v>
      </c>
      <c r="C4978" t="s">
        <v>40</v>
      </c>
      <c r="D4978">
        <v>4.8240660000000002</v>
      </c>
      <c r="E4978">
        <v>0.51175320000000002</v>
      </c>
      <c r="F4978" t="s">
        <v>42</v>
      </c>
      <c r="G4978">
        <v>-335.83150000000001</v>
      </c>
      <c r="H4978" s="1">
        <v>-2.6506020000000001E-6</v>
      </c>
      <c r="I4978">
        <v>14.93341</v>
      </c>
      <c r="J4978">
        <v>-347.61410000000001</v>
      </c>
      <c r="K4978">
        <v>1.1083750000000001</v>
      </c>
      <c r="L4978">
        <v>18.108889999999999</v>
      </c>
      <c r="M4978">
        <v>0.99872989999999995</v>
      </c>
      <c r="N4978">
        <v>0</v>
      </c>
      <c r="O4978">
        <v>-4.9277439999999999E-2</v>
      </c>
      <c r="P4978">
        <v>0.97127430000000003</v>
      </c>
      <c r="Q4978">
        <v>7.4699299999999996E-2</v>
      </c>
      <c r="R4978">
        <v>-0.2259341</v>
      </c>
      <c r="S4978">
        <v>2.928375</v>
      </c>
      <c r="T4978">
        <v>-0.2714974</v>
      </c>
      <c r="U4978">
        <v>-0.78005979999999997</v>
      </c>
      <c r="V4978">
        <v>0.17809849999999999</v>
      </c>
      <c r="W4978">
        <v>8.4369680000000002E-2</v>
      </c>
      <c r="X4978">
        <v>0.98038910000000001</v>
      </c>
      <c r="Y4978">
        <v>0.2088344</v>
      </c>
      <c r="Z4978">
        <v>-5.0226419999999999E-3</v>
      </c>
      <c r="AA4978">
        <v>0.97793810000000003</v>
      </c>
      <c r="AB4978">
        <v>32</v>
      </c>
      <c r="AC4978">
        <v>11.7826</v>
      </c>
      <c r="AD4978">
        <v>-1.108377650602</v>
      </c>
      <c r="AE4978">
        <v>-3.1754799999999901</v>
      </c>
      <c r="AF4978">
        <v>2.5697733381063901</v>
      </c>
      <c r="AG4978">
        <v>-1.108377650602</v>
      </c>
      <c r="AH4978">
        <v>11.8272005344084</v>
      </c>
      <c r="AI4978">
        <v>95.232413467186504</v>
      </c>
      <c r="AJ4978">
        <v>77.741504612907207</v>
      </c>
      <c r="AK4978">
        <v>12.1538022242715</v>
      </c>
      <c r="AL4978">
        <v>85.160220263191405</v>
      </c>
      <c r="AM4978">
        <v>79.703869419783402</v>
      </c>
      <c r="AN4978">
        <v>1.00000005300217</v>
      </c>
    </row>
    <row r="4979" spans="1:40" x14ac:dyDescent="0.25">
      <c r="A4979" t="str">
        <f>"20190312151415827"</f>
        <v>20190312151415827</v>
      </c>
      <c r="B4979" t="str">
        <f>"1552374855815245"</f>
        <v>1552374855815245</v>
      </c>
      <c r="C4979" t="s">
        <v>40</v>
      </c>
      <c r="D4979">
        <v>4.8219339999999997</v>
      </c>
      <c r="E4979">
        <v>0.51183659999999997</v>
      </c>
      <c r="F4979" t="s">
        <v>42</v>
      </c>
      <c r="G4979">
        <v>-335.6617</v>
      </c>
      <c r="H4979" s="1">
        <v>-2.7126559999999999E-6</v>
      </c>
      <c r="I4979">
        <v>14.9173299999999</v>
      </c>
      <c r="J4979">
        <v>-347.31490000000002</v>
      </c>
      <c r="K4979">
        <v>1.108374</v>
      </c>
      <c r="L4979">
        <v>18.092469999999999</v>
      </c>
      <c r="M4979">
        <v>0.99864830000000004</v>
      </c>
      <c r="N4979">
        <v>0</v>
      </c>
      <c r="O4979">
        <v>-5.0901790000000002E-2</v>
      </c>
      <c r="P4979">
        <v>0.97114940000000005</v>
      </c>
      <c r="Q4979">
        <v>7.419721E-2</v>
      </c>
      <c r="R4979">
        <v>-0.22663610000000001</v>
      </c>
      <c r="S4979">
        <v>2.9277950000000001</v>
      </c>
      <c r="T4979">
        <v>-0.27150289999999999</v>
      </c>
      <c r="U4979">
        <v>-0.78176880000000004</v>
      </c>
      <c r="V4979">
        <v>0.1772078</v>
      </c>
      <c r="W4979">
        <v>8.3879339999999997E-2</v>
      </c>
      <c r="X4979">
        <v>0.98059249999999998</v>
      </c>
      <c r="Y4979">
        <v>0.2078354</v>
      </c>
      <c r="Z4979">
        <v>-4.8307920000000004E-3</v>
      </c>
      <c r="AA4979">
        <v>0.97815189999999996</v>
      </c>
      <c r="AB4979">
        <v>32</v>
      </c>
      <c r="AC4979">
        <v>11.6532</v>
      </c>
      <c r="AD4979">
        <v>-1.108376712656</v>
      </c>
      <c r="AE4979">
        <v>-3.1751399999999999</v>
      </c>
      <c r="AF4979">
        <v>2.55629443079521</v>
      </c>
      <c r="AG4979">
        <v>-1.108376712656</v>
      </c>
      <c r="AH4979">
        <v>11.7011810202722</v>
      </c>
      <c r="AI4979">
        <v>95.287143975215699</v>
      </c>
      <c r="AJ4979">
        <v>77.676516317907797</v>
      </c>
      <c r="AK4979">
        <v>12.0283322793832</v>
      </c>
      <c r="AL4979">
        <v>85.188414358661504</v>
      </c>
      <c r="AM4979">
        <v>79.756348915338407</v>
      </c>
      <c r="AN4979">
        <v>0.99999999955796204</v>
      </c>
    </row>
    <row r="4980" spans="1:40" x14ac:dyDescent="0.25">
      <c r="A4980" t="str">
        <f>"20190312151415840"</f>
        <v>20190312151415840</v>
      </c>
      <c r="B4980" t="str">
        <f>"1552374855835741"</f>
        <v>1552374855835741</v>
      </c>
      <c r="C4980" t="s">
        <v>40</v>
      </c>
      <c r="D4980">
        <v>4.8595179999999996</v>
      </c>
      <c r="E4980">
        <v>0.51195179999999996</v>
      </c>
      <c r="F4980" t="s">
        <v>42</v>
      </c>
      <c r="G4980">
        <v>-335.31779999999998</v>
      </c>
      <c r="H4980" s="1">
        <v>-2.840501E-6</v>
      </c>
      <c r="I4980">
        <v>14.876779999999901</v>
      </c>
      <c r="J4980">
        <v>-347.1293</v>
      </c>
      <c r="K4980">
        <v>1.108368</v>
      </c>
      <c r="L4980">
        <v>18.082000000000001</v>
      </c>
      <c r="M4980">
        <v>0.9985967</v>
      </c>
      <c r="N4980">
        <v>0</v>
      </c>
      <c r="O4980">
        <v>-5.1906349999999997E-2</v>
      </c>
      <c r="P4980">
        <v>0.97106740000000002</v>
      </c>
      <c r="Q4980">
        <v>7.4046089999999995E-2</v>
      </c>
      <c r="R4980">
        <v>-0.22703709999999999</v>
      </c>
      <c r="S4980">
        <v>2.9267270000000001</v>
      </c>
      <c r="T4980">
        <v>-0.2703912</v>
      </c>
      <c r="U4980">
        <v>-0.78445430000000005</v>
      </c>
      <c r="V4980">
        <v>0.17662459999999999</v>
      </c>
      <c r="W4980">
        <v>8.3735359999999995E-2</v>
      </c>
      <c r="X4980">
        <v>0.98070999999999997</v>
      </c>
      <c r="Y4980">
        <v>0.2077871</v>
      </c>
      <c r="Z4980">
        <v>-4.7194430000000002E-3</v>
      </c>
      <c r="AA4980">
        <v>0.97816270000000005</v>
      </c>
      <c r="AB4980">
        <v>32</v>
      </c>
      <c r="AC4980">
        <v>11.811500000000001</v>
      </c>
      <c r="AD4980">
        <v>-1.108370840501</v>
      </c>
      <c r="AE4980">
        <v>-3.2052200000000002</v>
      </c>
      <c r="AF4980">
        <v>2.5667216732564699</v>
      </c>
      <c r="AG4980">
        <v>-1.108370840501</v>
      </c>
      <c r="AH4980">
        <v>11.864646442404601</v>
      </c>
      <c r="AI4980">
        <v>95.2169717936181</v>
      </c>
      <c r="AJ4980">
        <v>77.793106228644305</v>
      </c>
      <c r="AK4980">
        <v>12.189601358178299</v>
      </c>
      <c r="AL4980">
        <v>85.196692844538305</v>
      </c>
      <c r="AM4980">
        <v>79.790548531957199</v>
      </c>
      <c r="AN4980">
        <v>0.99999998196974405</v>
      </c>
    </row>
    <row r="4981" spans="1:40" x14ac:dyDescent="0.25">
      <c r="A4981" t="str">
        <f>"20190312151415862"</f>
        <v>20190312151415862</v>
      </c>
      <c r="B4981" t="str">
        <f>"1552374855855261"</f>
        <v>1552374855855261</v>
      </c>
      <c r="C4981" t="s">
        <v>40</v>
      </c>
      <c r="D4981">
        <v>4.9040049999999997</v>
      </c>
      <c r="E4981">
        <v>0.51195590000000002</v>
      </c>
      <c r="F4981" t="s">
        <v>42</v>
      </c>
      <c r="G4981">
        <v>-335.07589999999999</v>
      </c>
      <c r="H4981" s="1">
        <v>-2.9416820000000001E-6</v>
      </c>
      <c r="I4981">
        <v>14.841620000000001</v>
      </c>
      <c r="J4981">
        <v>-346.82859999999999</v>
      </c>
      <c r="K4981">
        <v>1.108371</v>
      </c>
      <c r="L4981">
        <v>18.06476</v>
      </c>
      <c r="M4981">
        <v>0.99851089999999998</v>
      </c>
      <c r="N4981">
        <v>0</v>
      </c>
      <c r="O4981">
        <v>-5.352875E-2</v>
      </c>
      <c r="P4981">
        <v>0.97082729999999995</v>
      </c>
      <c r="Q4981">
        <v>7.3849300000000007E-2</v>
      </c>
      <c r="R4981">
        <v>-0.2281242</v>
      </c>
      <c r="S4981">
        <v>2.9259949999999999</v>
      </c>
      <c r="T4981">
        <v>-0.26905980000000002</v>
      </c>
      <c r="U4981">
        <v>-0.78659060000000003</v>
      </c>
      <c r="V4981">
        <v>0.176126799999999</v>
      </c>
      <c r="W4981">
        <v>8.3548629999999999E-2</v>
      </c>
      <c r="X4981">
        <v>0.98081549999999995</v>
      </c>
      <c r="Y4981">
        <v>0.20694100000000001</v>
      </c>
      <c r="Z4981">
        <v>-4.513225E-3</v>
      </c>
      <c r="AA4981">
        <v>0.97834299999999996</v>
      </c>
      <c r="AB4981">
        <v>32</v>
      </c>
      <c r="AC4981">
        <v>11.752700000000001</v>
      </c>
      <c r="AD4981">
        <v>-1.108373941682</v>
      </c>
      <c r="AE4981">
        <v>-3.2231399999999901</v>
      </c>
      <c r="AF4981">
        <v>2.5681330972857199</v>
      </c>
      <c r="AG4981">
        <v>-1.108373941682</v>
      </c>
      <c r="AH4981">
        <v>11.8106921282697</v>
      </c>
      <c r="AI4981">
        <v>95.239490718867302</v>
      </c>
      <c r="AJ4981">
        <v>77.732487103357698</v>
      </c>
      <c r="AK4981">
        <v>12.1373905329254</v>
      </c>
      <c r="AL4981">
        <v>85.207429558278093</v>
      </c>
      <c r="AM4981">
        <v>79.819792419075</v>
      </c>
      <c r="AN4981">
        <v>1.0000000341466799</v>
      </c>
    </row>
    <row r="4982" spans="1:40" x14ac:dyDescent="0.25">
      <c r="A4982" t="str">
        <f>"20190312151415884"</f>
        <v>20190312151415884</v>
      </c>
      <c r="B4982" t="str">
        <f>"1552374855875757"</f>
        <v>1552374855875757</v>
      </c>
      <c r="C4982" t="s">
        <v>40</v>
      </c>
      <c r="D4982">
        <v>4.8706180000000003</v>
      </c>
      <c r="E4982">
        <v>0.5011101</v>
      </c>
      <c r="F4982" t="s">
        <v>42</v>
      </c>
      <c r="G4982">
        <v>-334.76580000000001</v>
      </c>
      <c r="H4982" s="1">
        <v>-3.0808779999999998E-6</v>
      </c>
      <c r="I4982">
        <v>14.80686</v>
      </c>
      <c r="J4982">
        <v>-346.51220000000001</v>
      </c>
      <c r="K4982">
        <v>1.1083809999999901</v>
      </c>
      <c r="L4982">
        <v>18.046050000000001</v>
      </c>
      <c r="M4982">
        <v>0.99841860000000004</v>
      </c>
      <c r="N4982">
        <v>0</v>
      </c>
      <c r="O4982">
        <v>-5.5221069999999997E-2</v>
      </c>
      <c r="P4982">
        <v>0.97056439999999999</v>
      </c>
      <c r="Q4982">
        <v>7.3512880000000003E-2</v>
      </c>
      <c r="R4982">
        <v>-0.22934750000000001</v>
      </c>
      <c r="S4982">
        <v>2.924957</v>
      </c>
      <c r="T4982">
        <v>-0.26875529999999997</v>
      </c>
      <c r="U4982">
        <v>-0.78994750000000002</v>
      </c>
      <c r="V4982">
        <v>0.1756962</v>
      </c>
      <c r="W4982">
        <v>8.3227410000000002E-2</v>
      </c>
      <c r="X4982">
        <v>0.98092000000000001</v>
      </c>
      <c r="Y4982">
        <v>0.20642659999999999</v>
      </c>
      <c r="Z4982">
        <v>-4.3341409999999997E-3</v>
      </c>
      <c r="AA4982">
        <v>0.97845249999999995</v>
      </c>
      <c r="AB4982">
        <v>32</v>
      </c>
      <c r="AC4982">
        <v>11.7463999999999</v>
      </c>
      <c r="AD4982">
        <v>-1.1083840808780001</v>
      </c>
      <c r="AE4982">
        <v>-3.2391899999999998</v>
      </c>
      <c r="AF4982">
        <v>2.5643435565047401</v>
      </c>
      <c r="AG4982">
        <v>-1.1083840808780001</v>
      </c>
      <c r="AH4982">
        <v>11.809637564026</v>
      </c>
      <c r="AI4982">
        <v>95.240329614762899</v>
      </c>
      <c r="AJ4982">
        <v>77.748981208771198</v>
      </c>
      <c r="AK4982">
        <v>12.135563956412801</v>
      </c>
      <c r="AL4982">
        <v>85.225898275734593</v>
      </c>
      <c r="AM4982">
        <v>79.845222040354301</v>
      </c>
      <c r="AN4982">
        <v>1.00000000143487</v>
      </c>
    </row>
    <row r="4983" spans="1:40" x14ac:dyDescent="0.25">
      <c r="A4983" t="str">
        <f>"20190312151415906"</f>
        <v>20190312151415906</v>
      </c>
      <c r="B4983" t="str">
        <f>"1552374855895277"</f>
        <v>1552374855895277</v>
      </c>
      <c r="C4983" t="s">
        <v>40</v>
      </c>
      <c r="D4983">
        <v>4.8738210000000004</v>
      </c>
      <c r="E4983">
        <v>0.5010521</v>
      </c>
      <c r="F4983" t="s">
        <v>41</v>
      </c>
      <c r="G4983">
        <v>-345.78190000000001</v>
      </c>
      <c r="H4983">
        <v>1.025099</v>
      </c>
      <c r="I4983">
        <v>17.869769999999999</v>
      </c>
      <c r="J4983">
        <v>-346.20150000000001</v>
      </c>
      <c r="K4983">
        <v>1.108392</v>
      </c>
      <c r="L4983">
        <v>18.027190000000001</v>
      </c>
      <c r="M4983">
        <v>0.99832650000000001</v>
      </c>
      <c r="N4983">
        <v>0</v>
      </c>
      <c r="O4983">
        <v>-5.6859060000000003E-2</v>
      </c>
      <c r="P4983">
        <v>0.97026100000000004</v>
      </c>
      <c r="Q4983">
        <v>7.3348730000000001E-2</v>
      </c>
      <c r="R4983">
        <v>-0.230681</v>
      </c>
      <c r="S4983">
        <v>2.9483030000000001</v>
      </c>
      <c r="T4983">
        <v>-0.33625260000000001</v>
      </c>
      <c r="U4983">
        <v>-0.71145630000000004</v>
      </c>
      <c r="V4983">
        <v>0.17543029999999901</v>
      </c>
      <c r="W4983">
        <v>8.3083899999999905E-2</v>
      </c>
      <c r="X4983">
        <v>0.98097970000000001</v>
      </c>
      <c r="Y4983">
        <v>0.17818100000000001</v>
      </c>
      <c r="Z4983">
        <v>-3.6256880000000002E-3</v>
      </c>
      <c r="AA4983">
        <v>0.98399099999999995</v>
      </c>
      <c r="AB4983">
        <v>32</v>
      </c>
      <c r="AC4983">
        <v>0.41960000000000203</v>
      </c>
      <c r="AD4983">
        <v>-8.3293000000000006E-2</v>
      </c>
      <c r="AE4983">
        <v>-0.15741999999999801</v>
      </c>
      <c r="AF4983">
        <v>0.12885492209560101</v>
      </c>
      <c r="AG4983">
        <v>-8.3293000000000006E-2</v>
      </c>
      <c r="AH4983">
        <v>0.41358600096210801</v>
      </c>
      <c r="AI4983">
        <v>100.883802255445</v>
      </c>
      <c r="AJ4983">
        <v>72.695298891549001</v>
      </c>
      <c r="AK4983">
        <v>0.44112888704900299</v>
      </c>
      <c r="AL4983">
        <v>85.234149115855004</v>
      </c>
      <c r="AM4983">
        <v>79.860875527151705</v>
      </c>
      <c r="AN4983">
        <v>0.99999994820469296</v>
      </c>
    </row>
    <row r="4984" spans="1:40" x14ac:dyDescent="0.25">
      <c r="A4984" t="str">
        <f>"20190312151415928"</f>
        <v>20190312151415928</v>
      </c>
      <c r="B4984" t="str">
        <f>"1552374855915377"</f>
        <v>1552374855915377</v>
      </c>
      <c r="C4984" t="s">
        <v>40</v>
      </c>
      <c r="D4984">
        <v>4.8610139999999999</v>
      </c>
      <c r="E4984">
        <v>0.50131879999999995</v>
      </c>
      <c r="F4984" t="s">
        <v>41</v>
      </c>
      <c r="G4984">
        <v>-345.22980000000001</v>
      </c>
      <c r="H4984">
        <v>0.99831409999999998</v>
      </c>
      <c r="I4984">
        <v>17.791179999999901</v>
      </c>
      <c r="J4984">
        <v>-345.89569999999998</v>
      </c>
      <c r="K4984">
        <v>1.1084130000000001</v>
      </c>
      <c r="L4984">
        <v>18.008150000000001</v>
      </c>
      <c r="M4984">
        <v>0.99823530000000005</v>
      </c>
      <c r="N4984">
        <v>0</v>
      </c>
      <c r="O4984">
        <v>-5.8436490000000001E-2</v>
      </c>
      <c r="P4984">
        <v>0.96988949999999996</v>
      </c>
      <c r="Q4984">
        <v>7.3188500000000004E-2</v>
      </c>
      <c r="R4984">
        <v>-0.23228869999999999</v>
      </c>
      <c r="S4984">
        <v>2.9471440000000002</v>
      </c>
      <c r="T4984">
        <v>-0.33380140000000003</v>
      </c>
      <c r="U4984">
        <v>-0.71517940000000002</v>
      </c>
      <c r="V4984">
        <v>0.17550079999999901</v>
      </c>
      <c r="W4984">
        <v>8.2946099999999995E-2</v>
      </c>
      <c r="X4984">
        <v>0.98097880000000004</v>
      </c>
      <c r="Y4984">
        <v>0.1779105</v>
      </c>
      <c r="Z4984">
        <v>-3.4105099999999998E-3</v>
      </c>
      <c r="AA4984">
        <v>0.98404069999999999</v>
      </c>
      <c r="AB4984">
        <v>32</v>
      </c>
      <c r="AC4984">
        <v>0.66589999999996496</v>
      </c>
      <c r="AD4984">
        <v>-0.110098899999999</v>
      </c>
      <c r="AE4984">
        <v>-0.21697000000000299</v>
      </c>
      <c r="AF4984">
        <v>0.173398924407861</v>
      </c>
      <c r="AG4984">
        <v>-0.110098899999999</v>
      </c>
      <c r="AH4984">
        <v>0.66110365663539195</v>
      </c>
      <c r="AI4984">
        <v>99.151113156642595</v>
      </c>
      <c r="AJ4984">
        <v>75.303111574725307</v>
      </c>
      <c r="AK4984">
        <v>0.69227667849184404</v>
      </c>
      <c r="AL4984">
        <v>85.242072050288897</v>
      </c>
      <c r="AM4984">
        <v>79.856876397912401</v>
      </c>
      <c r="AN4984">
        <v>0.99999999617764501</v>
      </c>
    </row>
    <row r="4985" spans="1:40" x14ac:dyDescent="0.25">
      <c r="A4985" t="str">
        <f>"20190312151415939"</f>
        <v>20190312151415939</v>
      </c>
      <c r="B4985" t="str">
        <f>"1552374855935873"</f>
        <v>1552374855935873</v>
      </c>
      <c r="C4985" t="s">
        <v>40</v>
      </c>
      <c r="D4985">
        <v>4.9491579999999997</v>
      </c>
      <c r="E4985">
        <v>0.50148249999999905</v>
      </c>
      <c r="F4985" t="s">
        <v>41</v>
      </c>
      <c r="G4985">
        <v>-344.94540000000001</v>
      </c>
      <c r="H4985">
        <v>1.0002789999999999</v>
      </c>
      <c r="I4985">
        <v>17.775029999999902</v>
      </c>
      <c r="J4985">
        <v>-345.72390000000001</v>
      </c>
      <c r="K4985">
        <v>1.10843</v>
      </c>
      <c r="L4985">
        <v>17.997219999999999</v>
      </c>
      <c r="M4985">
        <v>0.99818379999999995</v>
      </c>
      <c r="N4985">
        <v>0</v>
      </c>
      <c r="O4985">
        <v>-5.9308899999999998E-2</v>
      </c>
      <c r="P4985">
        <v>0.96969899999999998</v>
      </c>
      <c r="Q4985">
        <v>7.3096229999999998E-2</v>
      </c>
      <c r="R4985">
        <v>-0.2331114</v>
      </c>
      <c r="S4985">
        <v>2.9454039999999999</v>
      </c>
      <c r="T4985">
        <v>-0.33516659999999998</v>
      </c>
      <c r="U4985">
        <v>-0.72228999999999999</v>
      </c>
      <c r="V4985">
        <v>0.1754725</v>
      </c>
      <c r="W4985">
        <v>8.2867209999999997E-2</v>
      </c>
      <c r="X4985">
        <v>0.98099049999999999</v>
      </c>
      <c r="Y4985">
        <v>0.17941570000000001</v>
      </c>
      <c r="Z4985">
        <v>-3.4125560000000002E-3</v>
      </c>
      <c r="AA4985">
        <v>0.98376739999999996</v>
      </c>
      <c r="AB4985">
        <v>32</v>
      </c>
      <c r="AC4985">
        <v>0.77850000000000796</v>
      </c>
      <c r="AD4985">
        <v>-0.108150999999999</v>
      </c>
      <c r="AE4985">
        <v>-0.222190000000004</v>
      </c>
      <c r="AF4985">
        <v>0.17254508301379101</v>
      </c>
      <c r="AG4985">
        <v>-0.108150999999999</v>
      </c>
      <c r="AH4985">
        <v>0.77645166836818902</v>
      </c>
      <c r="AI4985">
        <v>97.743129073567303</v>
      </c>
      <c r="AJ4985">
        <v>77.471173457884902</v>
      </c>
      <c r="AK4985">
        <v>0.80271142871207501</v>
      </c>
      <c r="AL4985">
        <v>85.246607589863302</v>
      </c>
      <c r="AM4985">
        <v>79.858596498180702</v>
      </c>
      <c r="AN4985">
        <v>0.99999996691984105</v>
      </c>
    </row>
    <row r="4986" spans="1:40" x14ac:dyDescent="0.25">
      <c r="A4986" t="str">
        <f>"20190312151415961"</f>
        <v>20190312151415961</v>
      </c>
      <c r="B4986" t="str">
        <f>"1552374855955392"</f>
        <v>1552374855955392</v>
      </c>
      <c r="C4986" t="s">
        <v>40</v>
      </c>
      <c r="D4986">
        <v>4.9974150000000002</v>
      </c>
      <c r="E4986">
        <v>0.50121479999999996</v>
      </c>
      <c r="F4986" t="s">
        <v>41</v>
      </c>
      <c r="G4986">
        <v>-344.9357</v>
      </c>
      <c r="H4986">
        <v>1.018699</v>
      </c>
      <c r="I4986">
        <v>17.802759999999999</v>
      </c>
      <c r="J4986">
        <v>-345.41820000000001</v>
      </c>
      <c r="K4986">
        <v>1.108455</v>
      </c>
      <c r="L4986">
        <v>17.97748</v>
      </c>
      <c r="M4986">
        <v>0.99809150000000002</v>
      </c>
      <c r="N4986">
        <v>0</v>
      </c>
      <c r="O4986">
        <v>-6.0837370000000002E-2</v>
      </c>
      <c r="P4986">
        <v>0.96936840000000002</v>
      </c>
      <c r="Q4986">
        <v>7.3001709999999997E-2</v>
      </c>
      <c r="R4986">
        <v>-0.23451159999999999</v>
      </c>
      <c r="S4986">
        <v>2.9443969999999999</v>
      </c>
      <c r="T4986">
        <v>-0.3352079</v>
      </c>
      <c r="U4986">
        <v>-0.72610469999999905</v>
      </c>
      <c r="V4986">
        <v>0.17538110000000001</v>
      </c>
      <c r="W4986">
        <v>8.2795930000000004E-2</v>
      </c>
      <c r="X4986">
        <v>0.98101289999999997</v>
      </c>
      <c r="Y4986">
        <v>0.17919939999999901</v>
      </c>
      <c r="Z4986">
        <v>-3.231481E-3</v>
      </c>
      <c r="AA4986">
        <v>0.9838074</v>
      </c>
      <c r="AB4986">
        <v>32</v>
      </c>
      <c r="AC4986">
        <v>0.48250000000001497</v>
      </c>
      <c r="AD4986">
        <v>-8.9755999999999905E-2</v>
      </c>
      <c r="AE4986">
        <v>-0.17471999999999999</v>
      </c>
      <c r="AF4986">
        <v>0.140735149482414</v>
      </c>
      <c r="AG4986">
        <v>-8.9755999999999905E-2</v>
      </c>
      <c r="AH4986">
        <v>0.47762433199193</v>
      </c>
      <c r="AI4986">
        <v>100.218364916189</v>
      </c>
      <c r="AJ4986">
        <v>73.582044015621094</v>
      </c>
      <c r="AK4986">
        <v>0.50595209688919696</v>
      </c>
      <c r="AL4986">
        <v>85.250705888416903</v>
      </c>
      <c r="AM4986">
        <v>79.863996035476404</v>
      </c>
      <c r="AN4986">
        <v>1.0000000031140901</v>
      </c>
    </row>
    <row r="4987" spans="1:40" x14ac:dyDescent="0.25">
      <c r="A4987" t="str">
        <f>"20190312151415972"</f>
        <v>20190312151415972</v>
      </c>
      <c r="B4987" t="str">
        <f>"1552374855965153"</f>
        <v>1552374855965153</v>
      </c>
      <c r="C4987" t="s">
        <v>40</v>
      </c>
      <c r="D4987">
        <v>4.8799939999999999</v>
      </c>
      <c r="E4987">
        <v>0.50126329999999997</v>
      </c>
      <c r="F4987" t="s">
        <v>41</v>
      </c>
      <c r="G4987">
        <v>-344.6506</v>
      </c>
      <c r="H4987">
        <v>1.0214730000000001</v>
      </c>
      <c r="I4987">
        <v>17.787510000000001</v>
      </c>
      <c r="J4987">
        <v>-345.25310000000002</v>
      </c>
      <c r="K4987">
        <v>1.108474</v>
      </c>
      <c r="L4987">
        <v>17.966639999999899</v>
      </c>
      <c r="M4987">
        <v>0.9980424</v>
      </c>
      <c r="N4987">
        <v>0</v>
      </c>
      <c r="O4987">
        <v>-6.1639020000000003E-2</v>
      </c>
      <c r="P4987">
        <v>0.96920629999999997</v>
      </c>
      <c r="Q4987">
        <v>7.2894979999999998E-2</v>
      </c>
      <c r="R4987">
        <v>-0.23521439999999999</v>
      </c>
      <c r="S4987">
        <v>2.9436650000000002</v>
      </c>
      <c r="T4987">
        <v>-0.33363379999999998</v>
      </c>
      <c r="U4987">
        <v>-0.72857669999999997</v>
      </c>
      <c r="V4987">
        <v>0.17529990000000001</v>
      </c>
      <c r="W4987">
        <v>8.2703739999999998E-2</v>
      </c>
      <c r="X4987">
        <v>0.9810352</v>
      </c>
      <c r="Y4987">
        <v>0.17925579999999999</v>
      </c>
      <c r="Z4987">
        <v>-3.131258E-3</v>
      </c>
      <c r="AA4987">
        <v>0.98379749999999999</v>
      </c>
      <c r="AB4987">
        <v>32</v>
      </c>
      <c r="AC4987">
        <v>0.60250000000002002</v>
      </c>
      <c r="AD4987">
        <v>-8.7001000000000106E-2</v>
      </c>
      <c r="AE4987">
        <v>-0.17912999999999701</v>
      </c>
      <c r="AF4987">
        <v>0.138987055748958</v>
      </c>
      <c r="AG4987">
        <v>-8.7001000000000106E-2</v>
      </c>
      <c r="AH4987">
        <v>0.60088454284808002</v>
      </c>
      <c r="AI4987">
        <v>98.029381883249997</v>
      </c>
      <c r="AJ4987">
        <v>76.976290613464798</v>
      </c>
      <c r="AK4987">
        <v>0.62285536804342501</v>
      </c>
      <c r="AL4987">
        <v>85.256006214234006</v>
      </c>
      <c r="AM4987">
        <v>79.868817213692907</v>
      </c>
      <c r="AN4987">
        <v>1.00000001359451</v>
      </c>
    </row>
    <row r="4988" spans="1:40" x14ac:dyDescent="0.25">
      <c r="A4988" t="str">
        <f>"20190312151415995"</f>
        <v>20190312151415995</v>
      </c>
      <c r="B4988" t="str">
        <f>"1552374855985649"</f>
        <v>1552374855985649</v>
      </c>
      <c r="C4988" t="s">
        <v>40</v>
      </c>
      <c r="D4988">
        <v>4.8820990000000002</v>
      </c>
      <c r="E4988">
        <v>0.50141349999999996</v>
      </c>
      <c r="F4988" t="s">
        <v>41</v>
      </c>
      <c r="G4988">
        <v>-344.37389999999999</v>
      </c>
      <c r="H4988">
        <v>1.0083869999999999</v>
      </c>
      <c r="I4988">
        <v>17.747729999999901</v>
      </c>
      <c r="J4988">
        <v>-344.94299999999998</v>
      </c>
      <c r="K4988">
        <v>1.1085160000000001</v>
      </c>
      <c r="L4988">
        <v>17.945979999999999</v>
      </c>
      <c r="M4988">
        <v>0.99795100000000003</v>
      </c>
      <c r="N4988">
        <v>0</v>
      </c>
      <c r="O4988">
        <v>-6.3099039999999995E-2</v>
      </c>
      <c r="P4988">
        <v>0.96883050000000004</v>
      </c>
      <c r="Q4988">
        <v>7.2766590000000006E-2</v>
      </c>
      <c r="R4988">
        <v>-0.2367966</v>
      </c>
      <c r="S4988">
        <v>2.9430540000000001</v>
      </c>
      <c r="T4988">
        <v>-0.33488020000000002</v>
      </c>
      <c r="U4988">
        <v>-0.7310181</v>
      </c>
      <c r="V4988">
        <v>0.17545769999999999</v>
      </c>
      <c r="W4988">
        <v>8.2603480000000007E-2</v>
      </c>
      <c r="X4988">
        <v>0.98101539999999998</v>
      </c>
      <c r="Y4988">
        <v>0.1786404</v>
      </c>
      <c r="Z4988">
        <v>-2.9465720000000002E-3</v>
      </c>
      <c r="AA4988">
        <v>0.98390999999999995</v>
      </c>
      <c r="AB4988">
        <v>32</v>
      </c>
      <c r="AC4988">
        <v>0.56910000000004801</v>
      </c>
      <c r="AD4988">
        <v>-0.100128999999999</v>
      </c>
      <c r="AE4988">
        <v>-0.19825000000000101</v>
      </c>
      <c r="AF4988">
        <v>0.157592742355608</v>
      </c>
      <c r="AG4988">
        <v>-0.100128999999999</v>
      </c>
      <c r="AH4988">
        <v>0.56488187948494595</v>
      </c>
      <c r="AI4988">
        <v>99.689061311900204</v>
      </c>
      <c r="AJ4988">
        <v>74.411773050980003</v>
      </c>
      <c r="AK4988">
        <v>0.59493934720659203</v>
      </c>
      <c r="AL4988">
        <v>85.261770239399794</v>
      </c>
      <c r="AM4988">
        <v>79.859686155480901</v>
      </c>
      <c r="AN4988">
        <v>0.99999997721727896</v>
      </c>
    </row>
    <row r="4989" spans="1:40" x14ac:dyDescent="0.25">
      <c r="A4989" t="str">
        <f>"20190312151416008"</f>
        <v>20190312151416008</v>
      </c>
      <c r="B4989" t="str">
        <f>"1552374855995409"</f>
        <v>1552374855995409</v>
      </c>
      <c r="C4989" t="s">
        <v>40</v>
      </c>
      <c r="D4989">
        <v>4.8733069999999996</v>
      </c>
      <c r="E4989">
        <v>0.50139020000000001</v>
      </c>
      <c r="F4989" t="s">
        <v>41</v>
      </c>
      <c r="G4989">
        <v>-344.08859999999999</v>
      </c>
      <c r="H4989">
        <v>1.0108809999999999</v>
      </c>
      <c r="I4989">
        <v>17.731770000000001</v>
      </c>
      <c r="J4989">
        <v>-344.75850000000003</v>
      </c>
      <c r="K4989">
        <v>1.1085449999999999</v>
      </c>
      <c r="L4989">
        <v>17.933499999999999</v>
      </c>
      <c r="M4989">
        <v>0.99789760000000005</v>
      </c>
      <c r="N4989">
        <v>0</v>
      </c>
      <c r="O4989">
        <v>-6.3938529999999993E-2</v>
      </c>
      <c r="P4989">
        <v>0.96863560000000004</v>
      </c>
      <c r="Q4989">
        <v>7.2456850000000003E-2</v>
      </c>
      <c r="R4989">
        <v>-0.2376875</v>
      </c>
      <c r="S4989">
        <v>2.9416500000000001</v>
      </c>
      <c r="T4989">
        <v>-0.33611210000000002</v>
      </c>
      <c r="U4989">
        <v>-0.73672490000000002</v>
      </c>
      <c r="V4989">
        <v>0.1755265</v>
      </c>
      <c r="W4989">
        <v>8.2312170000000004E-2</v>
      </c>
      <c r="X4989">
        <v>0.9810276</v>
      </c>
      <c r="Y4989">
        <v>0.17971280000000001</v>
      </c>
      <c r="Z4989">
        <v>-2.9246150000000002E-3</v>
      </c>
      <c r="AA4989">
        <v>0.9837148</v>
      </c>
      <c r="AB4989">
        <v>32</v>
      </c>
      <c r="AC4989">
        <v>0.66990000000004102</v>
      </c>
      <c r="AD4989">
        <v>-9.7664000000000195E-2</v>
      </c>
      <c r="AE4989">
        <v>-0.201729999999997</v>
      </c>
      <c r="AF4989">
        <v>0.155453002173811</v>
      </c>
      <c r="AG4989">
        <v>-9.7664000000000195E-2</v>
      </c>
      <c r="AH4989">
        <v>0.66840282240161097</v>
      </c>
      <c r="AI4989">
        <v>98.099780041467099</v>
      </c>
      <c r="AJ4989">
        <v>76.907254247385296</v>
      </c>
      <c r="AK4989">
        <v>0.69315671083478003</v>
      </c>
      <c r="AL4989">
        <v>85.278518209199206</v>
      </c>
      <c r="AM4989">
        <v>79.855916054416994</v>
      </c>
      <c r="AN4989">
        <v>0.99999999874705903</v>
      </c>
    </row>
    <row r="4990" spans="1:40" x14ac:dyDescent="0.25">
      <c r="A4990" t="str">
        <f>"20190312151416019"</f>
        <v>20190312151416019</v>
      </c>
      <c r="B4990" t="str">
        <f>"1552374856015883"</f>
        <v>1552374856015883</v>
      </c>
      <c r="C4990" t="s">
        <v>40</v>
      </c>
      <c r="D4990">
        <v>4.954275</v>
      </c>
      <c r="E4990">
        <v>0.50116470000000002</v>
      </c>
      <c r="F4990" t="s">
        <v>41</v>
      </c>
      <c r="G4990">
        <v>-343.81049999999999</v>
      </c>
      <c r="H4990">
        <v>0.9996872</v>
      </c>
      <c r="I4990">
        <v>17.69509</v>
      </c>
      <c r="J4990">
        <v>-344.59019999999998</v>
      </c>
      <c r="K4990">
        <v>1.108573</v>
      </c>
      <c r="L4990">
        <v>17.921970000000002</v>
      </c>
      <c r="M4990">
        <v>0.99784980000000001</v>
      </c>
      <c r="N4990">
        <v>0</v>
      </c>
      <c r="O4990">
        <v>-6.4677979999999996E-2</v>
      </c>
      <c r="P4990">
        <v>0.96846399999999999</v>
      </c>
      <c r="Q4990">
        <v>7.2269449999999999E-2</v>
      </c>
      <c r="R4990">
        <v>-0.2384425</v>
      </c>
      <c r="S4990">
        <v>2.941071</v>
      </c>
      <c r="T4990">
        <v>-0.33767370000000002</v>
      </c>
      <c r="U4990">
        <v>-0.73898319999999995</v>
      </c>
      <c r="V4990">
        <v>0.17555699999999999</v>
      </c>
      <c r="W4990">
        <v>8.2142039999999999E-2</v>
      </c>
      <c r="X4990">
        <v>0.98103640000000003</v>
      </c>
      <c r="Y4990">
        <v>0.17973800000000001</v>
      </c>
      <c r="Z4990">
        <v>-2.8569910000000001E-3</v>
      </c>
      <c r="AA4990">
        <v>0.98371030000000004</v>
      </c>
      <c r="AB4990">
        <v>32</v>
      </c>
      <c r="AC4990">
        <v>0.77969999999999096</v>
      </c>
      <c r="AD4990">
        <v>-0.1088858</v>
      </c>
      <c r="AE4990">
        <v>-0.226880000000001</v>
      </c>
      <c r="AF4990">
        <v>0.17286454259161199</v>
      </c>
      <c r="AG4990">
        <v>-0.1088858</v>
      </c>
      <c r="AH4990">
        <v>0.77874049823621105</v>
      </c>
      <c r="AI4990">
        <v>97.772857147284896</v>
      </c>
      <c r="AJ4990">
        <v>77.484437340275903</v>
      </c>
      <c r="AK4990">
        <v>0.80509318163814403</v>
      </c>
      <c r="AL4990">
        <v>85.2882990515442</v>
      </c>
      <c r="AM4990">
        <v>79.854279120965003</v>
      </c>
      <c r="AN4990">
        <v>0.99999999655465999</v>
      </c>
    </row>
    <row r="4991" spans="1:40" x14ac:dyDescent="0.25">
      <c r="A4991" t="str">
        <f>"20190312151416040"</f>
        <v>20190312151416040</v>
      </c>
      <c r="B4991" t="str">
        <f>"1552374856035405"</f>
        <v>1552374856035405</v>
      </c>
      <c r="C4991" t="s">
        <v>40</v>
      </c>
      <c r="D4991">
        <v>4.8348599999999999</v>
      </c>
      <c r="E4991">
        <v>0.50120589999999998</v>
      </c>
      <c r="F4991" t="s">
        <v>41</v>
      </c>
      <c r="G4991">
        <v>-343.80070000000001</v>
      </c>
      <c r="H4991">
        <v>1.0179260000000001</v>
      </c>
      <c r="I4991">
        <v>17.723299999999998</v>
      </c>
      <c r="J4991">
        <v>-344.31229999999999</v>
      </c>
      <c r="K4991">
        <v>1.1086199999999999</v>
      </c>
      <c r="L4991">
        <v>17.90277</v>
      </c>
      <c r="M4991">
        <v>0.99777269999999896</v>
      </c>
      <c r="N4991">
        <v>0</v>
      </c>
      <c r="O4991">
        <v>-6.5854700000000002E-2</v>
      </c>
      <c r="P4991">
        <v>0.96827830000000004</v>
      </c>
      <c r="Q4991">
        <v>7.1651519999999996E-2</v>
      </c>
      <c r="R4991">
        <v>-0.23938090000000001</v>
      </c>
      <c r="S4991">
        <v>2.940887</v>
      </c>
      <c r="T4991">
        <v>-0.33763589999999999</v>
      </c>
      <c r="U4991">
        <v>-0.73931880000000005</v>
      </c>
      <c r="V4991">
        <v>0.17533560000000001</v>
      </c>
      <c r="W4991">
        <v>8.1556069999999994E-2</v>
      </c>
      <c r="X4991">
        <v>0.98112489999999997</v>
      </c>
      <c r="Y4991">
        <v>0.1787117</v>
      </c>
      <c r="Z4991">
        <v>-2.667109E-3</v>
      </c>
      <c r="AA4991">
        <v>0.98389789999999999</v>
      </c>
      <c r="AB4991">
        <v>32</v>
      </c>
      <c r="AC4991">
        <v>0.51159999999998695</v>
      </c>
      <c r="AD4991">
        <v>-9.0693999999999997E-2</v>
      </c>
      <c r="AE4991">
        <v>-0.17947000000000199</v>
      </c>
      <c r="AF4991">
        <v>0.141429594094544</v>
      </c>
      <c r="AG4991">
        <v>-9.0693999999999997E-2</v>
      </c>
      <c r="AH4991">
        <v>0.50809106213591204</v>
      </c>
      <c r="AI4991">
        <v>99.757258248835399</v>
      </c>
      <c r="AJ4991">
        <v>74.445200047683898</v>
      </c>
      <c r="AK4991">
        <v>0.53514881962324001</v>
      </c>
      <c r="AL4991">
        <v>85.321985784811204</v>
      </c>
      <c r="AM4991">
        <v>79.867703978438996</v>
      </c>
      <c r="AN4991">
        <v>1.0000000172906001</v>
      </c>
    </row>
    <row r="4992" spans="1:40" x14ac:dyDescent="0.25">
      <c r="A4992" t="str">
        <f>"20190312151416062"</f>
        <v>20190312151416062</v>
      </c>
      <c r="B4992" t="str">
        <f>"1552374856055899"</f>
        <v>1552374856055899</v>
      </c>
      <c r="C4992" t="s">
        <v>40</v>
      </c>
      <c r="D4992">
        <v>4.847836</v>
      </c>
      <c r="E4992">
        <v>0.50104780000000004</v>
      </c>
      <c r="F4992" t="s">
        <v>41</v>
      </c>
      <c r="G4992">
        <v>-343.517</v>
      </c>
      <c r="H4992">
        <v>1.016805</v>
      </c>
      <c r="I4992">
        <v>17.70187</v>
      </c>
      <c r="J4992">
        <v>-343.98110000000003</v>
      </c>
      <c r="K4992">
        <v>1.10869</v>
      </c>
      <c r="L4992">
        <v>17.879519999999999</v>
      </c>
      <c r="M4992">
        <v>0.99768480000000004</v>
      </c>
      <c r="N4992">
        <v>0</v>
      </c>
      <c r="O4992">
        <v>-6.7173239999999995E-2</v>
      </c>
      <c r="P4992">
        <v>0.96804979999999996</v>
      </c>
      <c r="Q4992">
        <v>7.1376549999999997E-2</v>
      </c>
      <c r="R4992">
        <v>-0.24038689999999999</v>
      </c>
      <c r="S4992">
        <v>2.93988</v>
      </c>
      <c r="T4992">
        <v>-0.3394045</v>
      </c>
      <c r="U4992">
        <v>-0.74230959999999901</v>
      </c>
      <c r="V4992">
        <v>0.17504259999999999</v>
      </c>
      <c r="W4992">
        <v>8.1320820000000002E-2</v>
      </c>
      <c r="X4992">
        <v>0.98119670000000003</v>
      </c>
      <c r="Y4992">
        <v>0.17843489999999901</v>
      </c>
      <c r="Z4992">
        <v>-2.5173909999999999E-3</v>
      </c>
      <c r="AA4992">
        <v>0.9839485</v>
      </c>
      <c r="AB4992">
        <v>32</v>
      </c>
      <c r="AC4992">
        <v>0.46410000000002999</v>
      </c>
      <c r="AD4992">
        <v>-9.1884999999999994E-2</v>
      </c>
      <c r="AE4992">
        <v>-0.177649999999999</v>
      </c>
      <c r="AF4992">
        <v>0.141242924279431</v>
      </c>
      <c r="AG4992">
        <v>-9.1884999999999994E-2</v>
      </c>
      <c r="AH4992">
        <v>0.45928331130917999</v>
      </c>
      <c r="AI4992">
        <v>100.825613560923</v>
      </c>
      <c r="AJ4992">
        <v>72.905820524784801</v>
      </c>
      <c r="AK4992">
        <v>0.48921731053911999</v>
      </c>
      <c r="AL4992">
        <v>85.335509343803096</v>
      </c>
      <c r="AM4992">
        <v>79.885010858750604</v>
      </c>
      <c r="AN4992">
        <v>0.99999997583556099</v>
      </c>
    </row>
    <row r="4993" spans="1:40" x14ac:dyDescent="0.25">
      <c r="A4993" t="str">
        <f>"20190312151416084"</f>
        <v>20190312151416084</v>
      </c>
      <c r="B4993" t="str">
        <f>"1552374856075420"</f>
        <v>1552374856075420</v>
      </c>
      <c r="C4993" t="s">
        <v>40</v>
      </c>
      <c r="D4993">
        <v>4.888471</v>
      </c>
      <c r="E4993">
        <v>0.50106439999999997</v>
      </c>
      <c r="F4993" t="s">
        <v>41</v>
      </c>
      <c r="G4993">
        <v>-343.22980000000001</v>
      </c>
      <c r="H4993">
        <v>1.02173</v>
      </c>
      <c r="I4993">
        <v>17.689209999999999</v>
      </c>
      <c r="J4993">
        <v>-343.68099999999998</v>
      </c>
      <c r="K4993">
        <v>1.1087549999999999</v>
      </c>
      <c r="L4993">
        <v>17.858149999999998</v>
      </c>
      <c r="M4993">
        <v>0.99761</v>
      </c>
      <c r="N4993">
        <v>0</v>
      </c>
      <c r="O4993">
        <v>-6.827387E-2</v>
      </c>
      <c r="P4993">
        <v>0.96788479999999999</v>
      </c>
      <c r="Q4993">
        <v>7.0967550000000004E-2</v>
      </c>
      <c r="R4993">
        <v>-0.2411693</v>
      </c>
      <c r="S4993">
        <v>2.9393310000000001</v>
      </c>
      <c r="T4993">
        <v>-0.34021659999999998</v>
      </c>
      <c r="U4993">
        <v>-0.743927</v>
      </c>
      <c r="V4993">
        <v>0.17473649999999999</v>
      </c>
      <c r="W4993">
        <v>8.0949640000000003E-2</v>
      </c>
      <c r="X4993">
        <v>0.98128199999999999</v>
      </c>
      <c r="Y4993">
        <v>0.17790880000000001</v>
      </c>
      <c r="Z4993">
        <v>-2.3695330000000001E-3</v>
      </c>
      <c r="AA4993">
        <v>0.98404409999999998</v>
      </c>
      <c r="AB4993">
        <v>32</v>
      </c>
      <c r="AC4993">
        <v>0.45119999999997101</v>
      </c>
      <c r="AD4993">
        <v>-8.7024999999999894E-2</v>
      </c>
      <c r="AE4993">
        <v>-0.16893999999999901</v>
      </c>
      <c r="AF4993">
        <v>0.13338688648147801</v>
      </c>
      <c r="AG4993">
        <v>-8.7024999999999894E-2</v>
      </c>
      <c r="AH4993">
        <v>0.44709472900637698</v>
      </c>
      <c r="AI4993">
        <v>100.565488781616</v>
      </c>
      <c r="AJ4993">
        <v>73.387977470440902</v>
      </c>
      <c r="AK4993">
        <v>0.47461469511121201</v>
      </c>
      <c r="AL4993">
        <v>85.356846972924998</v>
      </c>
      <c r="AM4993">
        <v>79.903194513604902</v>
      </c>
      <c r="AN4993">
        <v>1.0000000260861801</v>
      </c>
    </row>
    <row r="4994" spans="1:40" x14ac:dyDescent="0.25">
      <c r="A4994" t="str">
        <f>"20190312151416094"</f>
        <v>20190312151416094</v>
      </c>
      <c r="B4994" t="str">
        <f>"1552374856085179"</f>
        <v>1552374856085179</v>
      </c>
      <c r="C4994" t="s">
        <v>40</v>
      </c>
      <c r="D4994">
        <v>4.8296150000000004</v>
      </c>
      <c r="E4994">
        <v>0.48610930000000002</v>
      </c>
      <c r="F4994" t="s">
        <v>41</v>
      </c>
      <c r="G4994">
        <v>-342.94439999999997</v>
      </c>
      <c r="H4994">
        <v>1.0231129999999999</v>
      </c>
      <c r="I4994">
        <v>17.670839999999998</v>
      </c>
      <c r="J4994">
        <v>-343.51389999999998</v>
      </c>
      <c r="K4994">
        <v>1.108797</v>
      </c>
      <c r="L4994">
        <v>17.846129999999999</v>
      </c>
      <c r="M4994">
        <v>0.99757119999999999</v>
      </c>
      <c r="N4994">
        <v>0</v>
      </c>
      <c r="O4994">
        <v>-6.8838250000000004E-2</v>
      </c>
      <c r="P4994">
        <v>0.96781989999999996</v>
      </c>
      <c r="Q4994">
        <v>7.0787119999999995E-2</v>
      </c>
      <c r="R4994">
        <v>-0.24148259999999999</v>
      </c>
      <c r="S4994">
        <v>2.9386899999999998</v>
      </c>
      <c r="T4994">
        <v>-0.34165879999999998</v>
      </c>
      <c r="U4994">
        <v>-0.74621579999999998</v>
      </c>
      <c r="V4994">
        <v>0.17448920000000001</v>
      </c>
      <c r="W4994">
        <v>8.0792320000000001E-2</v>
      </c>
      <c r="X4994">
        <v>0.98133899999999996</v>
      </c>
      <c r="Y4994">
        <v>0.17811959999999999</v>
      </c>
      <c r="Z4994">
        <v>-2.3278700000000001E-3</v>
      </c>
      <c r="AA4994">
        <v>0.98400609999999999</v>
      </c>
      <c r="AB4994">
        <v>32</v>
      </c>
      <c r="AC4994">
        <v>0.569500000000005</v>
      </c>
      <c r="AD4994">
        <v>-8.5684000000000093E-2</v>
      </c>
      <c r="AE4994">
        <v>-0.17529</v>
      </c>
      <c r="AF4994">
        <v>0.13292006043409799</v>
      </c>
      <c r="AG4994">
        <v>-8.5684000000000093E-2</v>
      </c>
      <c r="AH4994">
        <v>0.56846177266579601</v>
      </c>
      <c r="AI4994">
        <v>98.349727446235207</v>
      </c>
      <c r="AJ4994">
        <v>76.839313787699396</v>
      </c>
      <c r="AK4994">
        <v>0.59004938547899799</v>
      </c>
      <c r="AL4994">
        <v>85.365890506462094</v>
      </c>
      <c r="AM4994">
        <v>79.9177644931667</v>
      </c>
      <c r="AN4994">
        <v>1.0000000564042999</v>
      </c>
    </row>
    <row r="4995" spans="1:40" x14ac:dyDescent="0.25">
      <c r="A4995" t="str">
        <f>"20190312151416117"</f>
        <v>20190312151416117</v>
      </c>
      <c r="B4995" t="str">
        <f>"1552374856105675"</f>
        <v>1552374856105675</v>
      </c>
      <c r="C4995" t="s">
        <v>40</v>
      </c>
      <c r="D4995">
        <v>4.7691999999999997</v>
      </c>
      <c r="E4995">
        <v>0.47507929999999998</v>
      </c>
      <c r="F4995" t="s">
        <v>41</v>
      </c>
      <c r="G4995">
        <v>-342.66609999999997</v>
      </c>
      <c r="H4995">
        <v>1.0077929999999999</v>
      </c>
      <c r="I4995">
        <v>17.665610000000001</v>
      </c>
      <c r="J4995">
        <v>-343.20170000000002</v>
      </c>
      <c r="K4995">
        <v>1.1088720000000001</v>
      </c>
      <c r="L4995">
        <v>17.823519999999998</v>
      </c>
      <c r="M4995">
        <v>0.99750260000000002</v>
      </c>
      <c r="N4995">
        <v>0</v>
      </c>
      <c r="O4995">
        <v>-6.9824010000000006E-2</v>
      </c>
      <c r="P4995">
        <v>0.96777389999999996</v>
      </c>
      <c r="Q4995">
        <v>7.0482310000000006E-2</v>
      </c>
      <c r="R4995">
        <v>-0.241757</v>
      </c>
      <c r="S4995">
        <v>2.968048</v>
      </c>
      <c r="T4995">
        <v>-0.35368919999999998</v>
      </c>
      <c r="U4995">
        <v>-0.63143919999999998</v>
      </c>
      <c r="V4995">
        <v>0.17377870000000001</v>
      </c>
      <c r="W4995">
        <v>8.0531400000000003E-2</v>
      </c>
      <c r="X4995">
        <v>0.98148639999999998</v>
      </c>
      <c r="Y4995">
        <v>0.13881540000000001</v>
      </c>
      <c r="Z4995" s="1">
        <v>2.9377640000000001E-5</v>
      </c>
      <c r="AA4995">
        <v>0.99031829999999998</v>
      </c>
      <c r="AB4995">
        <v>32</v>
      </c>
      <c r="AC4995">
        <v>0.53560000000004404</v>
      </c>
      <c r="AD4995">
        <v>-0.101078999999999</v>
      </c>
      <c r="AE4995">
        <v>-0.15791000000000099</v>
      </c>
      <c r="AF4995">
        <v>0.116313407952295</v>
      </c>
      <c r="AG4995">
        <v>-0.101078999999999</v>
      </c>
      <c r="AH4995">
        <v>0.52801741399166102</v>
      </c>
      <c r="AI4995">
        <v>100.589159376886</v>
      </c>
      <c r="AJ4995">
        <v>77.577100936331604</v>
      </c>
      <c r="AK4995">
        <v>0.55004378242910601</v>
      </c>
      <c r="AL4995">
        <v>85.380888491643105</v>
      </c>
      <c r="AM4995">
        <v>79.959458389761295</v>
      </c>
      <c r="AN4995">
        <v>0.99999994817230298</v>
      </c>
    </row>
    <row r="4996" spans="1:40" x14ac:dyDescent="0.25">
      <c r="A4996" t="str">
        <f>"20190312151416129"</f>
        <v>20190312151416129</v>
      </c>
      <c r="B4996" t="str">
        <f>"1552374856125195"</f>
        <v>1552374856125195</v>
      </c>
      <c r="C4996" t="s">
        <v>40</v>
      </c>
      <c r="D4996">
        <v>4.7536899999999997</v>
      </c>
      <c r="E4996">
        <v>0.4702559</v>
      </c>
      <c r="F4996" t="s">
        <v>41</v>
      </c>
      <c r="G4996">
        <v>-342.38</v>
      </c>
      <c r="H4996">
        <v>1.006883</v>
      </c>
      <c r="I4996">
        <v>17.673029999999901</v>
      </c>
      <c r="J4996">
        <v>-343.03230000000002</v>
      </c>
      <c r="K4996">
        <v>1.108919</v>
      </c>
      <c r="L4996">
        <v>17.811160000000001</v>
      </c>
      <c r="M4996">
        <v>0.99746760000000001</v>
      </c>
      <c r="N4996">
        <v>0</v>
      </c>
      <c r="O4996">
        <v>-7.0319439999999997E-2</v>
      </c>
      <c r="P4996">
        <v>0.9677616</v>
      </c>
      <c r="Q4996">
        <v>7.0448159999999996E-2</v>
      </c>
      <c r="R4996">
        <v>-0.24181549999999999</v>
      </c>
      <c r="S4996">
        <v>2.9902950000000001</v>
      </c>
      <c r="T4996">
        <v>-0.37111230000000001</v>
      </c>
      <c r="U4996">
        <v>-0.54699709999999901</v>
      </c>
      <c r="V4996">
        <v>0.17334089999999999</v>
      </c>
      <c r="W4996">
        <v>8.0521889999999999E-2</v>
      </c>
      <c r="X4996">
        <v>0.98156460000000001</v>
      </c>
      <c r="Y4996">
        <v>0.11002290000000001</v>
      </c>
      <c r="Z4996">
        <v>1.8586200000000001E-3</v>
      </c>
      <c r="AA4996">
        <v>0.99392729999999996</v>
      </c>
      <c r="AB4996">
        <v>32</v>
      </c>
      <c r="AC4996">
        <v>0.65230000000002497</v>
      </c>
      <c r="AD4996">
        <v>-0.102036</v>
      </c>
      <c r="AE4996">
        <v>-0.138130000000003</v>
      </c>
      <c r="AF4996">
        <v>8.9812755768422195E-2</v>
      </c>
      <c r="AG4996">
        <v>-0.102036</v>
      </c>
      <c r="AH4996">
        <v>0.64528709455817901</v>
      </c>
      <c r="AI4996">
        <v>98.901088346084805</v>
      </c>
      <c r="AJ4996">
        <v>82.076326270099599</v>
      </c>
      <c r="AK4996">
        <v>0.65944909644191196</v>
      </c>
      <c r="AL4996">
        <v>85.381435172998295</v>
      </c>
      <c r="AM4996">
        <v>79.985022480601799</v>
      </c>
      <c r="AN4996">
        <v>0.99999995317756996</v>
      </c>
    </row>
    <row r="4997" spans="1:40" x14ac:dyDescent="0.25">
      <c r="A4997" t="str">
        <f>"20190312151416150"</f>
        <v>20190312151416150</v>
      </c>
      <c r="B4997" t="str">
        <f>"1552374856145691"</f>
        <v>1552374856145691</v>
      </c>
      <c r="C4997" t="s">
        <v>40</v>
      </c>
      <c r="D4997">
        <v>4.7210409999999996</v>
      </c>
      <c r="E4997">
        <v>0.46764539999999999</v>
      </c>
      <c r="F4997" t="s">
        <v>41</v>
      </c>
      <c r="G4997">
        <v>-342.10270000000003</v>
      </c>
      <c r="H4997">
        <v>0.9906585</v>
      </c>
      <c r="I4997">
        <v>17.653020000000001</v>
      </c>
      <c r="J4997">
        <v>-342.73070000000001</v>
      </c>
      <c r="K4997">
        <v>1.1090009999999999</v>
      </c>
      <c r="L4997">
        <v>17.78903</v>
      </c>
      <c r="M4997">
        <v>0.99741069999999998</v>
      </c>
      <c r="N4997">
        <v>0</v>
      </c>
      <c r="O4997">
        <v>-7.1122500000000005E-2</v>
      </c>
      <c r="P4997">
        <v>0.96777440000000003</v>
      </c>
      <c r="Q4997">
        <v>7.0228369999999998E-2</v>
      </c>
      <c r="R4997">
        <v>-0.24182880000000001</v>
      </c>
      <c r="S4997">
        <v>3.000305</v>
      </c>
      <c r="T4997">
        <v>-0.38166020000000001</v>
      </c>
      <c r="U4997">
        <v>-0.50985720000000001</v>
      </c>
      <c r="V4997">
        <v>0.17254610000000001</v>
      </c>
      <c r="W4997">
        <v>8.0344609999999997E-2</v>
      </c>
      <c r="X4997">
        <v>0.98171920000000001</v>
      </c>
      <c r="Y4997">
        <v>9.6786659999999997E-2</v>
      </c>
      <c r="Z4997">
        <v>2.8409389999999998E-3</v>
      </c>
      <c r="AA4997">
        <v>0.99530110000000005</v>
      </c>
      <c r="AB4997">
        <v>32</v>
      </c>
      <c r="AC4997">
        <v>0.62799999999998501</v>
      </c>
      <c r="AD4997">
        <v>-0.1183425</v>
      </c>
      <c r="AE4997">
        <v>-0.13600999999999799</v>
      </c>
      <c r="AF4997">
        <v>8.8012680189612905E-2</v>
      </c>
      <c r="AG4997">
        <v>-0.1183425</v>
      </c>
      <c r="AH4997">
        <v>0.61521533239619197</v>
      </c>
      <c r="AI4997">
        <v>100.781232925721</v>
      </c>
      <c r="AJ4997">
        <v>81.858509874092306</v>
      </c>
      <c r="AK4997">
        <v>0.63264609727379695</v>
      </c>
      <c r="AL4997">
        <v>85.391625803945104</v>
      </c>
      <c r="AM4997">
        <v>80.031558153917302</v>
      </c>
      <c r="AN4997">
        <v>1.0000000003149501</v>
      </c>
    </row>
    <row r="4998" spans="1:40" x14ac:dyDescent="0.25">
      <c r="A4998" t="str">
        <f>"20190312151416173"</f>
        <v>20190312151416173</v>
      </c>
      <c r="B4998" t="str">
        <f>"1552374856165211"</f>
        <v>1552374856165211</v>
      </c>
      <c r="C4998" t="s">
        <v>40</v>
      </c>
      <c r="D4998">
        <v>4.7269050000000004</v>
      </c>
      <c r="E4998">
        <v>0.4661226</v>
      </c>
      <c r="F4998" t="s">
        <v>41</v>
      </c>
      <c r="G4998">
        <v>-341.81650000000002</v>
      </c>
      <c r="H4998">
        <v>0.9911586</v>
      </c>
      <c r="I4998">
        <v>17.639900000000001</v>
      </c>
      <c r="J4998">
        <v>-342.3997</v>
      </c>
      <c r="K4998">
        <v>1.1090869999999999</v>
      </c>
      <c r="L4998">
        <v>17.764559999999999</v>
      </c>
      <c r="M4998">
        <v>0.99735510000000005</v>
      </c>
      <c r="N4998">
        <v>0</v>
      </c>
      <c r="O4998">
        <v>-7.1896740000000001E-2</v>
      </c>
      <c r="P4998">
        <v>0.96783589999999997</v>
      </c>
      <c r="Q4998">
        <v>6.9962689999999994E-2</v>
      </c>
      <c r="R4998">
        <v>-0.2416594</v>
      </c>
      <c r="S4998">
        <v>3.005646</v>
      </c>
      <c r="T4998">
        <v>-0.38739440000000003</v>
      </c>
      <c r="U4998">
        <v>-0.48956300000000003</v>
      </c>
      <c r="V4998">
        <v>0.17159260000000001</v>
      </c>
      <c r="W4998">
        <v>8.0124070000000006E-2</v>
      </c>
      <c r="X4998">
        <v>0.98190429999999995</v>
      </c>
      <c r="Y4998">
        <v>8.9240780000000006E-2</v>
      </c>
      <c r="Z4998">
        <v>3.459812E-3</v>
      </c>
      <c r="AA4998">
        <v>0.996004</v>
      </c>
      <c r="AB4998">
        <v>32</v>
      </c>
      <c r="AC4998">
        <v>0.58319999999997596</v>
      </c>
      <c r="AD4998">
        <v>-0.1179284</v>
      </c>
      <c r="AE4998">
        <v>-0.12465999999999799</v>
      </c>
      <c r="AF4998">
        <v>7.9303852513708306E-2</v>
      </c>
      <c r="AG4998">
        <v>-0.1179284</v>
      </c>
      <c r="AH4998">
        <v>0.56842707813259297</v>
      </c>
      <c r="AI4998">
        <v>101.611206439619</v>
      </c>
      <c r="AJ4998">
        <v>82.057670534000295</v>
      </c>
      <c r="AK4998">
        <v>0.58592282060390199</v>
      </c>
      <c r="AL4998">
        <v>85.404302548523702</v>
      </c>
      <c r="AM4998">
        <v>80.087380269215998</v>
      </c>
      <c r="AN4998">
        <v>0.99999997066330704</v>
      </c>
    </row>
    <row r="4999" spans="1:40" x14ac:dyDescent="0.25">
      <c r="A4999" t="str">
        <f>"20190312151416184"</f>
        <v>20190312151416184</v>
      </c>
      <c r="B4999" t="str">
        <f>"1552374856175947"</f>
        <v>1552374856175947</v>
      </c>
      <c r="C4999" t="s">
        <v>40</v>
      </c>
      <c r="D4999">
        <v>4.8026540000000004</v>
      </c>
      <c r="E4999">
        <v>0.46591110000000002</v>
      </c>
      <c r="F4999" t="s">
        <v>41</v>
      </c>
      <c r="G4999">
        <v>-341.5283</v>
      </c>
      <c r="H4999">
        <v>0.99543090000000001</v>
      </c>
      <c r="I4999">
        <v>17.62613</v>
      </c>
      <c r="J4999">
        <v>-342.23489999999998</v>
      </c>
      <c r="K4999">
        <v>1.109127</v>
      </c>
      <c r="L4999">
        <v>17.75235</v>
      </c>
      <c r="M4999">
        <v>0.99732940000000003</v>
      </c>
      <c r="N4999">
        <v>0</v>
      </c>
      <c r="O4999">
        <v>-7.2251579999999996E-2</v>
      </c>
      <c r="P4999">
        <v>0.96791320000000003</v>
      </c>
      <c r="Q4999">
        <v>6.9791240000000004E-2</v>
      </c>
      <c r="R4999">
        <v>-0.2413988</v>
      </c>
      <c r="S4999">
        <v>3.0089109999999999</v>
      </c>
      <c r="T4999">
        <v>-0.39247870000000001</v>
      </c>
      <c r="U4999">
        <v>-0.47708129999999999</v>
      </c>
      <c r="V4999">
        <v>0.17096889999999901</v>
      </c>
      <c r="W4999">
        <v>7.9975779999999996E-2</v>
      </c>
      <c r="X4999">
        <v>0.98202520000000004</v>
      </c>
      <c r="Y4999">
        <v>8.4722850000000002E-2</v>
      </c>
      <c r="Z4999">
        <v>3.8398099999999999E-3</v>
      </c>
      <c r="AA4999">
        <v>0.99639710000000004</v>
      </c>
      <c r="AB4999">
        <v>32</v>
      </c>
      <c r="AC4999">
        <v>0.70659999999998002</v>
      </c>
      <c r="AD4999">
        <v>-0.113696099999999</v>
      </c>
      <c r="AE4999">
        <v>-0.12622</v>
      </c>
      <c r="AF4999">
        <v>7.3002565247732298E-2</v>
      </c>
      <c r="AG4999">
        <v>-0.113696099999999</v>
      </c>
      <c r="AH4999">
        <v>0.69640039702074397</v>
      </c>
      <c r="AI4999">
        <v>99.222786880234096</v>
      </c>
      <c r="AJ4999">
        <v>84.015629859420201</v>
      </c>
      <c r="AK4999">
        <v>0.70938684133454899</v>
      </c>
      <c r="AL4999">
        <v>85.412826390997196</v>
      </c>
      <c r="AM4999">
        <v>80.123891590645997</v>
      </c>
      <c r="AN4999">
        <v>0.999999991794429</v>
      </c>
    </row>
    <row r="5000" spans="1:40" x14ac:dyDescent="0.25">
      <c r="A5000" t="str">
        <f>"20190312151416197"</f>
        <v>20190312151416197</v>
      </c>
      <c r="B5000" t="str">
        <f>"1552374856185707"</f>
        <v>1552374856185707</v>
      </c>
      <c r="C5000" t="s">
        <v>40</v>
      </c>
      <c r="D5000">
        <v>4.7198000000000002</v>
      </c>
      <c r="E5000">
        <v>0.46559600000000001</v>
      </c>
      <c r="F5000" t="s">
        <v>41</v>
      </c>
      <c r="G5000">
        <v>-341.517</v>
      </c>
      <c r="H5000">
        <v>1.016483</v>
      </c>
      <c r="I5000">
        <v>17.638929999999998</v>
      </c>
      <c r="J5000">
        <v>-342.06040000000002</v>
      </c>
      <c r="K5000">
        <v>1.1091719999999901</v>
      </c>
      <c r="L5000">
        <v>17.739350000000002</v>
      </c>
      <c r="M5000">
        <v>0.99730560000000001</v>
      </c>
      <c r="N5000">
        <v>0</v>
      </c>
      <c r="O5000">
        <v>-7.257885E-2</v>
      </c>
      <c r="P5000">
        <v>0.96795759999999997</v>
      </c>
      <c r="Q5000">
        <v>6.968386E-2</v>
      </c>
      <c r="R5000">
        <v>-0.24125170000000001</v>
      </c>
      <c r="S5000">
        <v>3.0092159999999999</v>
      </c>
      <c r="T5000">
        <v>-0.38824989999999998</v>
      </c>
      <c r="U5000">
        <v>-0.47424319999999998</v>
      </c>
      <c r="V5000">
        <v>0.17048769999999999</v>
      </c>
      <c r="W5000">
        <v>7.9891160000000003E-2</v>
      </c>
      <c r="X5000">
        <v>0.98211570000000004</v>
      </c>
      <c r="Y5000">
        <v>8.3478179999999999E-2</v>
      </c>
      <c r="Z5000">
        <v>3.9198239999999997E-3</v>
      </c>
      <c r="AA5000">
        <v>0.99650190000000005</v>
      </c>
      <c r="AB5000">
        <v>32</v>
      </c>
      <c r="AC5000">
        <v>0.54340000000001898</v>
      </c>
      <c r="AD5000">
        <v>-9.2688999999999799E-2</v>
      </c>
      <c r="AE5000">
        <v>-0.10042000000000301</v>
      </c>
      <c r="AF5000">
        <v>5.9052157371029597E-2</v>
      </c>
      <c r="AG5000">
        <v>-9.2688999999999799E-2</v>
      </c>
      <c r="AH5000">
        <v>0.53422553645248805</v>
      </c>
      <c r="AI5000">
        <v>99.784492171835694</v>
      </c>
      <c r="AJ5000">
        <v>83.692253574286298</v>
      </c>
      <c r="AK5000">
        <v>0.54541299196949999</v>
      </c>
      <c r="AL5000">
        <v>85.417690134991105</v>
      </c>
      <c r="AM5000">
        <v>80.152033069803295</v>
      </c>
      <c r="AN5000">
        <v>0.99999995074196102</v>
      </c>
    </row>
    <row r="5001" spans="1:40" x14ac:dyDescent="0.25">
      <c r="A5001" t="str">
        <f>"20190312151416210"</f>
        <v>20190312151416210</v>
      </c>
      <c r="B5001" t="str">
        <f>"1552374856205227"</f>
        <v>1552374856205227</v>
      </c>
      <c r="C5001" t="s">
        <v>40</v>
      </c>
      <c r="D5001">
        <v>4.7608709999999999</v>
      </c>
      <c r="E5001">
        <v>0.46468730000000003</v>
      </c>
      <c r="F5001" t="s">
        <v>41</v>
      </c>
      <c r="G5001">
        <v>-341.23790000000002</v>
      </c>
      <c r="H5001">
        <v>1.0040070000000001</v>
      </c>
      <c r="I5001">
        <v>17.610389999999999</v>
      </c>
      <c r="J5001">
        <v>-341.88220000000001</v>
      </c>
      <c r="K5001">
        <v>1.109218</v>
      </c>
      <c r="L5001">
        <v>17.726040000000001</v>
      </c>
      <c r="M5001">
        <v>0.99728289999999997</v>
      </c>
      <c r="N5001">
        <v>0</v>
      </c>
      <c r="O5001">
        <v>-7.2889629999999997E-2</v>
      </c>
      <c r="P5001">
        <v>0.96799299999999999</v>
      </c>
      <c r="Q5001">
        <v>6.9688059999999996E-2</v>
      </c>
      <c r="R5001">
        <v>-0.2411083</v>
      </c>
      <c r="S5001">
        <v>3.0095519999999998</v>
      </c>
      <c r="T5001">
        <v>-0.38479020000000003</v>
      </c>
      <c r="U5001">
        <v>-0.47119139999999998</v>
      </c>
      <c r="V5001">
        <v>0.17002629999999999</v>
      </c>
      <c r="W5001">
        <v>7.9919190000000001E-2</v>
      </c>
      <c r="X5001">
        <v>0.98219350000000005</v>
      </c>
      <c r="Y5001">
        <v>8.2178630000000003E-2</v>
      </c>
      <c r="Z5001">
        <v>4.0065279999999997E-3</v>
      </c>
      <c r="AA5001">
        <v>0.99660959999999998</v>
      </c>
      <c r="AB5001">
        <v>32</v>
      </c>
      <c r="AC5001">
        <v>0.64429999999998699</v>
      </c>
      <c r="AD5001">
        <v>-0.105211</v>
      </c>
      <c r="AE5001">
        <v>-0.115650000000002</v>
      </c>
      <c r="AF5001">
        <v>6.6654978523042197E-2</v>
      </c>
      <c r="AG5001">
        <v>-0.105211</v>
      </c>
      <c r="AH5001">
        <v>0.63462197959894695</v>
      </c>
      <c r="AI5001">
        <v>99.362600949659793</v>
      </c>
      <c r="AJ5001">
        <v>84.004150489731302</v>
      </c>
      <c r="AK5001">
        <v>0.64672814819906599</v>
      </c>
      <c r="AL5001">
        <v>85.4160794179422</v>
      </c>
      <c r="AM5001">
        <v>80.178928238551705</v>
      </c>
      <c r="AN5001">
        <v>1.0000000455320901</v>
      </c>
    </row>
    <row r="5002" spans="1:40" x14ac:dyDescent="0.25">
      <c r="A5002" t="str">
        <f>"20190312151416220"</f>
        <v>20190312151416220</v>
      </c>
      <c r="B5002" t="str">
        <f>"1552374856215963"</f>
        <v>1552374856215963</v>
      </c>
      <c r="C5002" t="s">
        <v>40</v>
      </c>
      <c r="D5002">
        <v>4.7232269999999996</v>
      </c>
      <c r="E5002">
        <v>0.46428999999999998</v>
      </c>
      <c r="F5002" t="s">
        <v>41</v>
      </c>
      <c r="G5002">
        <v>-340.95920000000001</v>
      </c>
      <c r="H5002">
        <v>0.99001470000000003</v>
      </c>
      <c r="I5002">
        <v>17.583749999999998</v>
      </c>
      <c r="J5002">
        <v>-341.71550000000002</v>
      </c>
      <c r="K5002">
        <v>1.10927</v>
      </c>
      <c r="L5002">
        <v>17.71359</v>
      </c>
      <c r="M5002">
        <v>0.99726440000000005</v>
      </c>
      <c r="N5002">
        <v>0</v>
      </c>
      <c r="O5002">
        <v>-7.3141399999999995E-2</v>
      </c>
      <c r="P5002">
        <v>0.96804299999999999</v>
      </c>
      <c r="Q5002">
        <v>6.9359320000000002E-2</v>
      </c>
      <c r="R5002">
        <v>-0.24100170000000001</v>
      </c>
      <c r="S5002">
        <v>3.0117189999999998</v>
      </c>
      <c r="T5002">
        <v>-0.38890150000000001</v>
      </c>
      <c r="U5002">
        <v>-0.46362300000000001</v>
      </c>
      <c r="V5002">
        <v>0.16965839999999999</v>
      </c>
      <c r="W5002">
        <v>7.9614530000000003E-2</v>
      </c>
      <c r="X5002">
        <v>0.98228179999999998</v>
      </c>
      <c r="Y5002">
        <v>7.9394599999999996E-2</v>
      </c>
      <c r="Z5002">
        <v>4.2571279999999998E-3</v>
      </c>
      <c r="AA5002">
        <v>0.9968342</v>
      </c>
      <c r="AB5002">
        <v>32</v>
      </c>
      <c r="AC5002">
        <v>0.75630000000000996</v>
      </c>
      <c r="AD5002">
        <v>-0.11925529999999999</v>
      </c>
      <c r="AE5002">
        <v>-0.12984000000000101</v>
      </c>
      <c r="AF5002">
        <v>7.2423041517562306E-2</v>
      </c>
      <c r="AG5002">
        <v>-0.11925529999999999</v>
      </c>
      <c r="AH5002">
        <v>0.74575975356256896</v>
      </c>
      <c r="AI5002">
        <v>99.043476930054794</v>
      </c>
      <c r="AJ5002">
        <v>84.453222731448903</v>
      </c>
      <c r="AK5002">
        <v>0.75869923787654303</v>
      </c>
      <c r="AL5002">
        <v>85.433590696519701</v>
      </c>
      <c r="AM5002">
        <v>80.200630295589207</v>
      </c>
      <c r="AN5002">
        <v>0.99999999034445997</v>
      </c>
    </row>
    <row r="5003" spans="1:40" x14ac:dyDescent="0.25">
      <c r="A5003" t="str">
        <f>"20190312151416232"</f>
        <v>20190312151416232</v>
      </c>
      <c r="B5003" t="str">
        <f>"1552374856225723"</f>
        <v>1552374856225723</v>
      </c>
      <c r="C5003" t="s">
        <v>40</v>
      </c>
      <c r="D5003">
        <v>4.7284980000000001</v>
      </c>
      <c r="E5003">
        <v>0.46411970000000002</v>
      </c>
      <c r="F5003" t="s">
        <v>41</v>
      </c>
      <c r="G5003">
        <v>-340.94850000000002</v>
      </c>
      <c r="H5003">
        <v>1.0098069999999999</v>
      </c>
      <c r="I5003">
        <v>17.59628</v>
      </c>
      <c r="J5003">
        <v>-341.54809999999998</v>
      </c>
      <c r="K5003">
        <v>1.109321</v>
      </c>
      <c r="L5003">
        <v>17.701049999999999</v>
      </c>
      <c r="M5003">
        <v>0.99724860000000004</v>
      </c>
      <c r="N5003">
        <v>0</v>
      </c>
      <c r="O5003">
        <v>-7.3359300000000002E-2</v>
      </c>
      <c r="P5003">
        <v>0.96808430000000001</v>
      </c>
      <c r="Q5003">
        <v>6.9406350000000006E-2</v>
      </c>
      <c r="R5003">
        <v>-0.2408238</v>
      </c>
      <c r="S5003">
        <v>3.0125120000000001</v>
      </c>
      <c r="T5003">
        <v>-0.39062269999999999</v>
      </c>
      <c r="U5003">
        <v>-0.4599915</v>
      </c>
      <c r="V5003">
        <v>0.16925319999999999</v>
      </c>
      <c r="W5003">
        <v>7.9685809999999996E-2</v>
      </c>
      <c r="X5003">
        <v>0.98234589999999999</v>
      </c>
      <c r="Y5003">
        <v>7.797606E-2</v>
      </c>
      <c r="Z5003">
        <v>4.3941090000000002E-3</v>
      </c>
      <c r="AA5003">
        <v>0.99694559999999999</v>
      </c>
      <c r="AB5003">
        <v>32</v>
      </c>
      <c r="AC5003">
        <v>0.59959999999995195</v>
      </c>
      <c r="AD5003">
        <v>-9.9514000000000102E-2</v>
      </c>
      <c r="AE5003">
        <v>-0.104769999999998</v>
      </c>
      <c r="AF5003">
        <v>5.8923955032456003E-2</v>
      </c>
      <c r="AG5003">
        <v>-9.9514000000000102E-2</v>
      </c>
      <c r="AH5003">
        <v>0.58990297530140201</v>
      </c>
      <c r="AI5003">
        <v>99.528845641327806</v>
      </c>
      <c r="AJ5003">
        <v>84.295786813218697</v>
      </c>
      <c r="AK5003">
        <v>0.601132754840488</v>
      </c>
      <c r="AL5003">
        <v>85.429493546188098</v>
      </c>
      <c r="AM5003">
        <v>80.224207874114995</v>
      </c>
      <c r="AN5003">
        <v>0.99999997063620205</v>
      </c>
    </row>
    <row r="5004" spans="1:40" x14ac:dyDescent="0.25">
      <c r="A5004" t="str">
        <f>"20190312151416245"</f>
        <v>20190312151416245</v>
      </c>
      <c r="B5004" t="str">
        <f>"1552374856235483"</f>
        <v>1552374856235483</v>
      </c>
      <c r="C5004" t="s">
        <v>40</v>
      </c>
      <c r="D5004">
        <v>4.7743129999999896</v>
      </c>
      <c r="E5004">
        <v>0.46382010000000001</v>
      </c>
      <c r="F5004" t="s">
        <v>41</v>
      </c>
      <c r="G5004">
        <v>-340.66989999999998</v>
      </c>
      <c r="H5004">
        <v>0.99572649999999996</v>
      </c>
      <c r="I5004">
        <v>17.56739</v>
      </c>
      <c r="J5004">
        <v>-341.37060000000002</v>
      </c>
      <c r="K5004">
        <v>1.10937</v>
      </c>
      <c r="L5004">
        <v>17.68777</v>
      </c>
      <c r="M5004">
        <v>0.99723300000000004</v>
      </c>
      <c r="N5004">
        <v>0</v>
      </c>
      <c r="O5004">
        <v>-7.3569860000000001E-2</v>
      </c>
      <c r="P5004">
        <v>0.96808640000000001</v>
      </c>
      <c r="Q5004">
        <v>6.9427580000000003E-2</v>
      </c>
      <c r="R5004">
        <v>-0.24080950000000001</v>
      </c>
      <c r="S5004">
        <v>3.0129090000000001</v>
      </c>
      <c r="T5004">
        <v>-0.38975179999999998</v>
      </c>
      <c r="U5004">
        <v>-0.45800780000000002</v>
      </c>
      <c r="V5004">
        <v>0.16902049999999999</v>
      </c>
      <c r="W5004">
        <v>7.9732410000000004E-2</v>
      </c>
      <c r="X5004">
        <v>0.98238219999999998</v>
      </c>
      <c r="Y5004">
        <v>7.7113299999999996E-2</v>
      </c>
      <c r="Z5004">
        <v>4.4661969999999999E-3</v>
      </c>
      <c r="AA5004">
        <v>0.99701229999999996</v>
      </c>
      <c r="AB5004">
        <v>32</v>
      </c>
      <c r="AC5004">
        <v>0.70070000000003996</v>
      </c>
      <c r="AD5004">
        <v>-0.11364349999999999</v>
      </c>
      <c r="AE5004">
        <v>-0.12038</v>
      </c>
      <c r="AF5004">
        <v>6.67938187682241E-2</v>
      </c>
      <c r="AG5004">
        <v>-0.11364349999999999</v>
      </c>
      <c r="AH5004">
        <v>0.69002751924472705</v>
      </c>
      <c r="AI5004">
        <v>99.309578499137004</v>
      </c>
      <c r="AJ5004">
        <v>84.471064490402796</v>
      </c>
      <c r="AK5004">
        <v>0.70250568441324701</v>
      </c>
      <c r="AL5004">
        <v>85.426815114076305</v>
      </c>
      <c r="AM5004">
        <v>80.237743241969895</v>
      </c>
      <c r="AN5004">
        <v>0.99999998675074797</v>
      </c>
    </row>
    <row r="5005" spans="1:40" x14ac:dyDescent="0.25">
      <c r="A5005" t="str">
        <f>"20190312151416264"</f>
        <v>20190312151416264</v>
      </c>
      <c r="B5005" t="str">
        <f>"1552374856255978"</f>
        <v>1552374856255978</v>
      </c>
      <c r="C5005" t="s">
        <v>40</v>
      </c>
      <c r="D5005">
        <v>4.7204420000000002</v>
      </c>
      <c r="E5005">
        <v>0.46329409999999999</v>
      </c>
      <c r="F5005" t="s">
        <v>41</v>
      </c>
      <c r="G5005">
        <v>-340.6583</v>
      </c>
      <c r="H5005">
        <v>1.017207</v>
      </c>
      <c r="I5005">
        <v>17.579929999999901</v>
      </c>
      <c r="J5005">
        <v>-341.10610000000003</v>
      </c>
      <c r="K5005">
        <v>1.109459</v>
      </c>
      <c r="L5005">
        <v>17.66797</v>
      </c>
      <c r="M5005">
        <v>0.99721599999999999</v>
      </c>
      <c r="N5005">
        <v>0</v>
      </c>
      <c r="O5005">
        <v>-7.3797329999999994E-2</v>
      </c>
      <c r="P5005">
        <v>0.96815949999999995</v>
      </c>
      <c r="Q5005">
        <v>6.9655709999999996E-2</v>
      </c>
      <c r="R5005">
        <v>-0.2404481</v>
      </c>
      <c r="S5005">
        <v>3.0135190000000001</v>
      </c>
      <c r="T5005">
        <v>-0.39000249999999997</v>
      </c>
      <c r="U5005">
        <v>-0.45556639999999998</v>
      </c>
      <c r="V5005">
        <v>0.16841439999999999</v>
      </c>
      <c r="W5005">
        <v>8.0004290000000006E-2</v>
      </c>
      <c r="X5005">
        <v>0.98246420000000001</v>
      </c>
      <c r="Y5005">
        <v>7.6076469999999993E-2</v>
      </c>
      <c r="Z5005">
        <v>4.5639540000000003E-3</v>
      </c>
      <c r="AA5005">
        <v>0.99709150000000002</v>
      </c>
      <c r="AB5005">
        <v>32</v>
      </c>
      <c r="AC5005">
        <v>0.44780000000002901</v>
      </c>
      <c r="AD5005">
        <v>-9.2252000000000001E-2</v>
      </c>
      <c r="AE5005">
        <v>-8.8040000000003005E-2</v>
      </c>
      <c r="AF5005">
        <v>5.2602183103009501E-2</v>
      </c>
      <c r="AG5005">
        <v>-9.2252000000000001E-2</v>
      </c>
      <c r="AH5005">
        <v>0.43528979002298002</v>
      </c>
      <c r="AI5005">
        <v>101.88181915081</v>
      </c>
      <c r="AJ5005">
        <v>83.1095571075507</v>
      </c>
      <c r="AK5005">
        <v>0.44805649472968501</v>
      </c>
      <c r="AL5005">
        <v>85.411187676827694</v>
      </c>
      <c r="AM5005">
        <v>80.272876619786501</v>
      </c>
      <c r="AN5005">
        <v>1.0000000004137</v>
      </c>
    </row>
    <row r="5006" spans="1:40" x14ac:dyDescent="0.25">
      <c r="A5006" t="str">
        <f>"20190312151416285"</f>
        <v>20190312151416285</v>
      </c>
      <c r="B5006" t="str">
        <f>"1552374856275499"</f>
        <v>1552374856275499</v>
      </c>
      <c r="C5006" t="s">
        <v>40</v>
      </c>
      <c r="D5006">
        <v>4.7282440000000001</v>
      </c>
      <c r="E5006">
        <v>0.46291729999999998</v>
      </c>
      <c r="F5006" t="s">
        <v>41</v>
      </c>
      <c r="G5006">
        <v>-340.37329999999997</v>
      </c>
      <c r="H5006">
        <v>1.0145759999999999</v>
      </c>
      <c r="I5006">
        <v>17.558239999999898</v>
      </c>
      <c r="J5006">
        <v>-340.80860000000001</v>
      </c>
      <c r="K5006">
        <v>1.109553</v>
      </c>
      <c r="L5006">
        <v>17.645720000000001</v>
      </c>
      <c r="M5006">
        <v>0.99720319999999996</v>
      </c>
      <c r="N5006">
        <v>0</v>
      </c>
      <c r="O5006">
        <v>-7.3970850000000005E-2</v>
      </c>
      <c r="P5006">
        <v>0.96812589999999998</v>
      </c>
      <c r="Q5006">
        <v>6.9705499999999906E-2</v>
      </c>
      <c r="R5006">
        <v>-0.24056959999999999</v>
      </c>
      <c r="S5006">
        <v>3.0149539999999999</v>
      </c>
      <c r="T5006">
        <v>-0.39038309999999998</v>
      </c>
      <c r="U5006">
        <v>-0.45016479999999998</v>
      </c>
      <c r="V5006">
        <v>0.1683491</v>
      </c>
      <c r="W5006">
        <v>8.0103140000000003E-2</v>
      </c>
      <c r="X5006">
        <v>0.98246739999999999</v>
      </c>
      <c r="Y5006">
        <v>7.4103169999999996E-2</v>
      </c>
      <c r="Z5006">
        <v>4.7156740000000004E-3</v>
      </c>
      <c r="AA5006">
        <v>0.9972394</v>
      </c>
      <c r="AB5006">
        <v>32</v>
      </c>
      <c r="AC5006">
        <v>0.43530000000003999</v>
      </c>
      <c r="AD5006">
        <v>-9.4977000000000006E-2</v>
      </c>
      <c r="AE5006">
        <v>-8.7480000000002806E-2</v>
      </c>
      <c r="AF5006">
        <v>5.2630702044998902E-2</v>
      </c>
      <c r="AG5006">
        <v>-9.4977000000000006E-2</v>
      </c>
      <c r="AH5006">
        <v>0.42130087499631003</v>
      </c>
      <c r="AI5006">
        <v>102.609396908417</v>
      </c>
      <c r="AJ5006">
        <v>82.879256242810996</v>
      </c>
      <c r="AK5006">
        <v>0.43506901590369101</v>
      </c>
      <c r="AL5006">
        <v>85.405506038060594</v>
      </c>
      <c r="AM5006">
        <v>80.276607211320595</v>
      </c>
      <c r="AN5006">
        <v>1.0000000622857099</v>
      </c>
    </row>
    <row r="5007" spans="1:40" x14ac:dyDescent="0.25">
      <c r="A5007" t="str">
        <f>"20190312151416296"</f>
        <v>20190312151416296</v>
      </c>
      <c r="B5007" t="str">
        <f>"1552374856285260"</f>
        <v>1552374856285260</v>
      </c>
      <c r="C5007" t="s">
        <v>40</v>
      </c>
      <c r="D5007">
        <v>4.8404480000000003</v>
      </c>
      <c r="E5007">
        <v>0.46288479999999999</v>
      </c>
      <c r="F5007" t="s">
        <v>41</v>
      </c>
      <c r="G5007">
        <v>-340.08600000000001</v>
      </c>
      <c r="H5007">
        <v>1.0160559999999901</v>
      </c>
      <c r="I5007">
        <v>17.538260000000001</v>
      </c>
      <c r="J5007">
        <v>-340.63279999999997</v>
      </c>
      <c r="K5007">
        <v>1.109602</v>
      </c>
      <c r="L5007">
        <v>17.6326</v>
      </c>
      <c r="M5007">
        <v>0.99719860000000005</v>
      </c>
      <c r="N5007">
        <v>0</v>
      </c>
      <c r="O5007">
        <v>-7.4030559999999995E-2</v>
      </c>
      <c r="P5007">
        <v>0.96815370000000001</v>
      </c>
      <c r="Q5007">
        <v>6.9406490000000001E-2</v>
      </c>
      <c r="R5007">
        <v>-0.24054420000000001</v>
      </c>
      <c r="S5007">
        <v>3.0157470000000002</v>
      </c>
      <c r="T5007">
        <v>-0.39021479999999997</v>
      </c>
      <c r="U5007">
        <v>-0.4472351</v>
      </c>
      <c r="V5007">
        <v>0.1682534</v>
      </c>
      <c r="W5007">
        <v>7.9830789999999999E-2</v>
      </c>
      <c r="X5007">
        <v>0.98250590000000004</v>
      </c>
      <c r="Y5007">
        <v>7.306617E-2</v>
      </c>
      <c r="Z5007">
        <v>4.7869269999999998E-3</v>
      </c>
      <c r="AA5007">
        <v>0.99731559999999997</v>
      </c>
      <c r="AB5007">
        <v>32</v>
      </c>
      <c r="AC5007">
        <v>0.54679999999996198</v>
      </c>
      <c r="AD5007">
        <v>-9.3546000000000101E-2</v>
      </c>
      <c r="AE5007">
        <v>-9.4339999999998897E-2</v>
      </c>
      <c r="AF5007">
        <v>5.2117586921471802E-2</v>
      </c>
      <c r="AG5007">
        <v>-9.3546000000000101E-2</v>
      </c>
      <c r="AH5007">
        <v>0.53702064194232701</v>
      </c>
      <c r="AI5007">
        <v>99.836150676954503</v>
      </c>
      <c r="AJ5007">
        <v>84.456832493947402</v>
      </c>
      <c r="AK5007">
        <v>0.54759315815180398</v>
      </c>
      <c r="AL5007">
        <v>85.421160402513706</v>
      </c>
      <c r="AM5007">
        <v>80.282402701994698</v>
      </c>
      <c r="AN5007">
        <v>1.00000000258919</v>
      </c>
    </row>
    <row r="5008" spans="1:40" x14ac:dyDescent="0.25">
      <c r="A5008" t="str">
        <f>"20190312151416308"</f>
        <v>20190312151416308</v>
      </c>
      <c r="B5008" t="str">
        <f>"1552374856305754"</f>
        <v>1552374856305754</v>
      </c>
      <c r="C5008" t="s">
        <v>40</v>
      </c>
      <c r="D5008">
        <v>4.7619170000000004</v>
      </c>
      <c r="E5008">
        <v>0.46261020000000003</v>
      </c>
      <c r="F5008" t="s">
        <v>41</v>
      </c>
      <c r="G5008">
        <v>-339.8064</v>
      </c>
      <c r="H5008">
        <v>1.0030239999999999</v>
      </c>
      <c r="I5008">
        <v>17.509869999999999</v>
      </c>
      <c r="J5008">
        <v>-340.47280000000001</v>
      </c>
      <c r="K5008">
        <v>1.1096410000000001</v>
      </c>
      <c r="L5008">
        <v>17.620639999999899</v>
      </c>
      <c r="M5008">
        <v>0.99719530000000001</v>
      </c>
      <c r="N5008">
        <v>0</v>
      </c>
      <c r="O5008">
        <v>-7.4074500000000001E-2</v>
      </c>
      <c r="P5008">
        <v>0.96815779999999996</v>
      </c>
      <c r="Q5008">
        <v>6.9563669999999994E-2</v>
      </c>
      <c r="R5008">
        <v>-0.24048259999999999</v>
      </c>
      <c r="S5008">
        <v>3.0155639999999999</v>
      </c>
      <c r="T5008">
        <v>-0.38891389999999998</v>
      </c>
      <c r="U5008">
        <v>-0.44680789999999998</v>
      </c>
      <c r="V5008">
        <v>0.1681404</v>
      </c>
      <c r="W5008">
        <v>8.0010940000000003E-2</v>
      </c>
      <c r="X5008">
        <v>0.98251060000000001</v>
      </c>
      <c r="Y5008">
        <v>7.289445E-2</v>
      </c>
      <c r="Z5008">
        <v>4.7879979999999999E-3</v>
      </c>
      <c r="AA5008">
        <v>0.9973282</v>
      </c>
      <c r="AB5008">
        <v>32</v>
      </c>
      <c r="AC5008">
        <v>0.66640000000000998</v>
      </c>
      <c r="AD5008">
        <v>-0.106616999999999</v>
      </c>
      <c r="AE5008">
        <v>-0.110769999999995</v>
      </c>
      <c r="AF5008">
        <v>5.9614666981647899E-2</v>
      </c>
      <c r="AG5008">
        <v>-0.106616999999999</v>
      </c>
      <c r="AH5008">
        <v>0.65642420264139201</v>
      </c>
      <c r="AI5008">
        <v>99.188304998547494</v>
      </c>
      <c r="AJ5008">
        <v>84.8107878436021</v>
      </c>
      <c r="AK5008">
        <v>0.66769291371237405</v>
      </c>
      <c r="AL5008">
        <v>85.410805487219307</v>
      </c>
      <c r="AM5008">
        <v>80.288850353204197</v>
      </c>
      <c r="AN5008">
        <v>1.0000000118721</v>
      </c>
    </row>
    <row r="5009" spans="1:40" x14ac:dyDescent="0.25">
      <c r="A5009" t="str">
        <f>"20190312151416330"</f>
        <v>20190312151416330</v>
      </c>
      <c r="B5009" t="str">
        <f>"1552374856325276"</f>
        <v>1552374856325276</v>
      </c>
      <c r="C5009" t="s">
        <v>40</v>
      </c>
      <c r="D5009">
        <v>4.7433129999999997</v>
      </c>
      <c r="E5009">
        <v>0.46240049999999999</v>
      </c>
      <c r="F5009" t="s">
        <v>41</v>
      </c>
      <c r="G5009">
        <v>-339.52780000000001</v>
      </c>
      <c r="H5009">
        <v>0.98742810000000003</v>
      </c>
      <c r="I5009">
        <v>17.481059999999999</v>
      </c>
      <c r="J5009">
        <v>-340.16199999999998</v>
      </c>
      <c r="K5009">
        <v>1.10971</v>
      </c>
      <c r="L5009">
        <v>17.597470000000001</v>
      </c>
      <c r="M5009">
        <v>0.9971932</v>
      </c>
      <c r="N5009">
        <v>0</v>
      </c>
      <c r="O5009">
        <v>-7.4099070000000003E-2</v>
      </c>
      <c r="P5009">
        <v>0.96812609999999999</v>
      </c>
      <c r="Q5009">
        <v>6.9385660000000002E-2</v>
      </c>
      <c r="R5009">
        <v>-0.24066129999999999</v>
      </c>
      <c r="S5009">
        <v>3.0162960000000001</v>
      </c>
      <c r="T5009">
        <v>-0.3900942</v>
      </c>
      <c r="U5009">
        <v>-0.44448850000000001</v>
      </c>
      <c r="V5009">
        <v>0.16828389999999999</v>
      </c>
      <c r="W5009">
        <v>7.9871189999999995E-2</v>
      </c>
      <c r="X5009">
        <v>0.98249739999999997</v>
      </c>
      <c r="Y5009">
        <v>7.2091000000000002E-2</v>
      </c>
      <c r="Z5009">
        <v>4.8562010000000001E-3</v>
      </c>
      <c r="AA5009">
        <v>0.9973862</v>
      </c>
      <c r="AB5009">
        <v>32</v>
      </c>
      <c r="AC5009">
        <v>0.63419999999996401</v>
      </c>
      <c r="AD5009">
        <v>-0.1222819</v>
      </c>
      <c r="AE5009">
        <v>-0.116410000000001</v>
      </c>
      <c r="AF5009">
        <v>6.6694918763206795E-2</v>
      </c>
      <c r="AG5009">
        <v>-0.1222819</v>
      </c>
      <c r="AH5009">
        <v>0.61882655083699101</v>
      </c>
      <c r="AI5009">
        <v>101.115056508644</v>
      </c>
      <c r="AJ5009">
        <v>83.848609575091302</v>
      </c>
      <c r="AK5009">
        <v>0.63430858048527705</v>
      </c>
      <c r="AL5009">
        <v>85.418838269640403</v>
      </c>
      <c r="AM5009">
        <v>80.280592266606803</v>
      </c>
      <c r="AN5009">
        <v>1.00000000949899</v>
      </c>
    </row>
    <row r="5010" spans="1:40" x14ac:dyDescent="0.25">
      <c r="A5010" t="str">
        <f>"20190312151416353"</f>
        <v>20190312151416353</v>
      </c>
      <c r="B5010" t="str">
        <f>"1552374856345771"</f>
        <v>1552374856345771</v>
      </c>
      <c r="C5010" t="s">
        <v>40</v>
      </c>
      <c r="D5010">
        <v>4.7644970000000004</v>
      </c>
      <c r="E5010">
        <v>0.46220670000000003</v>
      </c>
      <c r="F5010" t="s">
        <v>41</v>
      </c>
      <c r="G5010">
        <v>-339.23950000000002</v>
      </c>
      <c r="H5010">
        <v>0.98989389999999999</v>
      </c>
      <c r="I5010">
        <v>17.461410000000001</v>
      </c>
      <c r="J5010">
        <v>-339.827</v>
      </c>
      <c r="K5010">
        <v>1.1097600000000001</v>
      </c>
      <c r="L5010">
        <v>17.572569999999999</v>
      </c>
      <c r="M5010">
        <v>0.99719579999999997</v>
      </c>
      <c r="N5010">
        <v>0</v>
      </c>
      <c r="O5010">
        <v>-7.4064169999999999E-2</v>
      </c>
      <c r="P5010">
        <v>0.96810359999999995</v>
      </c>
      <c r="Q5010">
        <v>6.9335859999999999E-2</v>
      </c>
      <c r="R5010">
        <v>-0.24076629999999999</v>
      </c>
      <c r="S5010">
        <v>3.0165709999999999</v>
      </c>
      <c r="T5010">
        <v>-0.39185199999999998</v>
      </c>
      <c r="U5010">
        <v>-0.44369510000000001</v>
      </c>
      <c r="V5010">
        <v>0.16841389999999901</v>
      </c>
      <c r="W5010">
        <v>7.9855990000000002E-2</v>
      </c>
      <c r="X5010">
        <v>0.98247640000000003</v>
      </c>
      <c r="Y5010">
        <v>7.1857799999999999E-2</v>
      </c>
      <c r="Z5010">
        <v>4.8881159999999996E-3</v>
      </c>
      <c r="AA5010">
        <v>0.99740289999999998</v>
      </c>
      <c r="AB5010">
        <v>32</v>
      </c>
      <c r="AC5010">
        <v>0.58749999999997704</v>
      </c>
      <c r="AD5010">
        <v>-0.1198661</v>
      </c>
      <c r="AE5010">
        <v>-0.11116000000000099</v>
      </c>
      <c r="AF5010">
        <v>6.4737749341431602E-2</v>
      </c>
      <c r="AG5010">
        <v>-0.1198661</v>
      </c>
      <c r="AH5010">
        <v>0.57116543068290704</v>
      </c>
      <c r="AI5010">
        <v>101.778931357948</v>
      </c>
      <c r="AJ5010">
        <v>83.533506612974904</v>
      </c>
      <c r="AK5010">
        <v>0.58718719955921606</v>
      </c>
      <c r="AL5010">
        <v>85.419712136164605</v>
      </c>
      <c r="AM5010">
        <v>80.273023426326702</v>
      </c>
      <c r="AN5010">
        <v>1.00000004870452</v>
      </c>
    </row>
    <row r="5011" spans="1:40" x14ac:dyDescent="0.25">
      <c r="A5011" t="str">
        <f>"20190312151416366"</f>
        <v>20190312151416366</v>
      </c>
      <c r="B5011" t="str">
        <f>"1552374856355532"</f>
        <v>1552374856355532</v>
      </c>
      <c r="C5011" t="s">
        <v>40</v>
      </c>
      <c r="D5011">
        <v>4.8481699999999996</v>
      </c>
      <c r="E5011">
        <v>0.46238849999999998</v>
      </c>
      <c r="F5011" t="s">
        <v>41</v>
      </c>
      <c r="G5011">
        <v>-338.94920000000002</v>
      </c>
      <c r="H5011">
        <v>0.99551149999999999</v>
      </c>
      <c r="I5011">
        <v>17.443739999999998</v>
      </c>
      <c r="J5011">
        <v>-339.64109999999999</v>
      </c>
      <c r="K5011">
        <v>1.1097859999999999</v>
      </c>
      <c r="L5011">
        <v>17.558779999999999</v>
      </c>
      <c r="M5011">
        <v>0.99719840000000004</v>
      </c>
      <c r="N5011">
        <v>0</v>
      </c>
      <c r="O5011">
        <v>-7.4026410000000001E-2</v>
      </c>
      <c r="P5011">
        <v>0.96819820000000001</v>
      </c>
      <c r="Q5011">
        <v>6.8709430000000002E-2</v>
      </c>
      <c r="R5011">
        <v>-0.24056469999999999</v>
      </c>
      <c r="S5011">
        <v>3.0169069999999998</v>
      </c>
      <c r="T5011">
        <v>-0.39267560000000001</v>
      </c>
      <c r="U5011">
        <v>-0.44265749999999998</v>
      </c>
      <c r="V5011">
        <v>0.16823769999999999</v>
      </c>
      <c r="W5011">
        <v>7.924805E-2</v>
      </c>
      <c r="X5011">
        <v>0.98255570000000003</v>
      </c>
      <c r="Y5011">
        <v>7.1546109999999996E-2</v>
      </c>
      <c r="Z5011">
        <v>4.9131729999999998E-3</v>
      </c>
      <c r="AA5011">
        <v>0.99742520000000001</v>
      </c>
      <c r="AB5011">
        <v>32</v>
      </c>
      <c r="AC5011">
        <v>0.69189999999997498</v>
      </c>
      <c r="AD5011">
        <v>-0.1142745</v>
      </c>
      <c r="AE5011">
        <v>-0.11504</v>
      </c>
      <c r="AF5011">
        <v>6.1860462197608497E-2</v>
      </c>
      <c r="AG5011">
        <v>-0.1142745</v>
      </c>
      <c r="AH5011">
        <v>0.68045576278905995</v>
      </c>
      <c r="AI5011">
        <v>99.4947530953323</v>
      </c>
      <c r="AJ5011">
        <v>84.805500324420194</v>
      </c>
      <c r="AK5011">
        <v>0.69275206477237805</v>
      </c>
      <c r="AL5011">
        <v>85.454654782472502</v>
      </c>
      <c r="AM5011">
        <v>80.283775275276199</v>
      </c>
      <c r="AN5011">
        <v>0.99999994036628903</v>
      </c>
    </row>
    <row r="5012" spans="1:40" x14ac:dyDescent="0.25">
      <c r="A5012" t="str">
        <f>"20190312151416384"</f>
        <v>20190312151416384</v>
      </c>
      <c r="B5012" t="str">
        <f>"1552374856376027"</f>
        <v>1552374856376027</v>
      </c>
      <c r="C5012" t="s">
        <v>40</v>
      </c>
      <c r="D5012">
        <v>4.7406490000000003</v>
      </c>
      <c r="E5012">
        <v>0.46234160000000002</v>
      </c>
      <c r="F5012" t="s">
        <v>41</v>
      </c>
      <c r="G5012">
        <v>-338.66919999999999</v>
      </c>
      <c r="H5012">
        <v>0.98165040000000003</v>
      </c>
      <c r="I5012">
        <v>17.415689999999898</v>
      </c>
      <c r="J5012">
        <v>-339.36869999999999</v>
      </c>
      <c r="K5012">
        <v>1.109818</v>
      </c>
      <c r="L5012">
        <v>17.538599999999999</v>
      </c>
      <c r="M5012">
        <v>0.99720439999999999</v>
      </c>
      <c r="N5012">
        <v>0</v>
      </c>
      <c r="O5012">
        <v>-7.3944099999999999E-2</v>
      </c>
      <c r="P5012">
        <v>0.96828550000000002</v>
      </c>
      <c r="Q5012">
        <v>6.8117220000000006E-2</v>
      </c>
      <c r="R5012">
        <v>-0.24038080000000001</v>
      </c>
      <c r="S5012">
        <v>3.0165709999999999</v>
      </c>
      <c r="T5012">
        <v>-0.39764850000000002</v>
      </c>
      <c r="U5012">
        <v>-0.44351200000000002</v>
      </c>
      <c r="V5012">
        <v>0.16812260000000001</v>
      </c>
      <c r="W5012">
        <v>7.8679990000000005E-2</v>
      </c>
      <c r="X5012">
        <v>0.98262110000000003</v>
      </c>
      <c r="Y5012">
        <v>7.1917590000000003E-2</v>
      </c>
      <c r="Z5012">
        <v>4.9403420000000003E-3</v>
      </c>
      <c r="AA5012">
        <v>0.99739829999999996</v>
      </c>
      <c r="AB5012">
        <v>32</v>
      </c>
      <c r="AC5012">
        <v>0.69950000000000001</v>
      </c>
      <c r="AD5012">
        <v>-0.12816759999999899</v>
      </c>
      <c r="AE5012">
        <v>-0.12291000000000001</v>
      </c>
      <c r="AF5012">
        <v>6.86121137739064E-2</v>
      </c>
      <c r="AG5012">
        <v>-0.12816759999999899</v>
      </c>
      <c r="AH5012">
        <v>0.68438555509461796</v>
      </c>
      <c r="AI5012">
        <v>100.55542932151199</v>
      </c>
      <c r="AJ5012">
        <v>84.275021036300998</v>
      </c>
      <c r="AK5012">
        <v>0.69965573239161805</v>
      </c>
      <c r="AL5012">
        <v>85.487304388746693</v>
      </c>
      <c r="AM5012">
        <v>80.290930002793402</v>
      </c>
      <c r="AN5012">
        <v>0.99999998781118404</v>
      </c>
    </row>
    <row r="5013" spans="1:40" x14ac:dyDescent="0.25">
      <c r="A5013" t="str">
        <f>"20190312151416396"</f>
        <v>20190312151416396</v>
      </c>
      <c r="B5013" t="str">
        <f>"1552374856385787"</f>
        <v>1552374856385787</v>
      </c>
      <c r="C5013" t="s">
        <v>40</v>
      </c>
      <c r="D5013">
        <v>4.766718</v>
      </c>
      <c r="E5013">
        <v>0.46233089999999999</v>
      </c>
      <c r="F5013" t="s">
        <v>41</v>
      </c>
      <c r="G5013">
        <v>-338.65159999999997</v>
      </c>
      <c r="H5013">
        <v>1.014605</v>
      </c>
      <c r="I5013">
        <v>17.433199999999999</v>
      </c>
      <c r="J5013">
        <v>-339.202</v>
      </c>
      <c r="K5013">
        <v>1.1098349999999999</v>
      </c>
      <c r="L5013">
        <v>17.526309999999999</v>
      </c>
      <c r="M5013">
        <v>0.99720909999999996</v>
      </c>
      <c r="N5013">
        <v>0</v>
      </c>
      <c r="O5013">
        <v>-7.3882130000000004E-2</v>
      </c>
      <c r="P5013">
        <v>0.96832839999999998</v>
      </c>
      <c r="Q5013">
        <v>6.8083930000000001E-2</v>
      </c>
      <c r="R5013">
        <v>-0.2402193</v>
      </c>
      <c r="S5013">
        <v>3.0165709999999999</v>
      </c>
      <c r="T5013">
        <v>-0.40046920000000003</v>
      </c>
      <c r="U5013">
        <v>-0.44256590000000001</v>
      </c>
      <c r="V5013">
        <v>0.16801529999999901</v>
      </c>
      <c r="W5013">
        <v>7.8660030000000006E-2</v>
      </c>
      <c r="X5013">
        <v>0.98264099999999999</v>
      </c>
      <c r="Y5013">
        <v>7.1675169999999996E-2</v>
      </c>
      <c r="Z5013">
        <v>4.9830539999999998E-3</v>
      </c>
      <c r="AA5013">
        <v>0.99741559999999996</v>
      </c>
      <c r="AB5013">
        <v>32</v>
      </c>
      <c r="AC5013">
        <v>0.55040000000002398</v>
      </c>
      <c r="AD5013">
        <v>-9.5230000000000106E-2</v>
      </c>
      <c r="AE5013">
        <v>-9.3110000000002899E-2</v>
      </c>
      <c r="AF5013">
        <v>5.0712543850455399E-2</v>
      </c>
      <c r="AG5013">
        <v>-9.5230000000000106E-2</v>
      </c>
      <c r="AH5013">
        <v>0.54005786887297302</v>
      </c>
      <c r="AI5013">
        <v>99.957410470458299</v>
      </c>
      <c r="AJ5013">
        <v>84.635538858461402</v>
      </c>
      <c r="AK5013">
        <v>0.55072953138124103</v>
      </c>
      <c r="AL5013">
        <v>85.488451343297896</v>
      </c>
      <c r="AM5013">
        <v>80.297201502931898</v>
      </c>
      <c r="AN5013">
        <v>0.999999938117343</v>
      </c>
    </row>
    <row r="5014" spans="1:40" x14ac:dyDescent="0.25">
      <c r="A5014" t="str">
        <f>"20190312151416409"</f>
        <v>20190312151416409</v>
      </c>
      <c r="B5014" t="str">
        <f>"1552374856405308"</f>
        <v>1552374856405308</v>
      </c>
      <c r="C5014" t="s">
        <v>40</v>
      </c>
      <c r="D5014">
        <v>4.8333719999999998</v>
      </c>
      <c r="E5014">
        <v>0.46260190000000001</v>
      </c>
      <c r="F5014" t="s">
        <v>41</v>
      </c>
      <c r="G5014">
        <v>-338.37209999999999</v>
      </c>
      <c r="H5014">
        <v>0.99933079999999996</v>
      </c>
      <c r="I5014">
        <v>17.404419999999998</v>
      </c>
      <c r="J5014">
        <v>-339.02629999999999</v>
      </c>
      <c r="K5014">
        <v>1.1098589999999999</v>
      </c>
      <c r="L5014">
        <v>17.513339999999999</v>
      </c>
      <c r="M5014">
        <v>0.99721409999999999</v>
      </c>
      <c r="N5014">
        <v>0</v>
      </c>
      <c r="O5014">
        <v>-7.3814210000000005E-2</v>
      </c>
      <c r="P5014">
        <v>0.96839419999999998</v>
      </c>
      <c r="Q5014">
        <v>6.7773689999999998E-2</v>
      </c>
      <c r="R5014">
        <v>-0.240041</v>
      </c>
      <c r="S5014">
        <v>3.0167540000000002</v>
      </c>
      <c r="T5014">
        <v>-0.40169120000000003</v>
      </c>
      <c r="U5014">
        <v>-0.44198609999999999</v>
      </c>
      <c r="V5014">
        <v>0.1678964</v>
      </c>
      <c r="W5014">
        <v>7.8362929999999997E-2</v>
      </c>
      <c r="X5014">
        <v>0.98268509999999998</v>
      </c>
      <c r="Y5014">
        <v>7.1547369999999999E-2</v>
      </c>
      <c r="Z5014">
        <v>4.9974269999999996E-3</v>
      </c>
      <c r="AA5014">
        <v>0.99742470000000005</v>
      </c>
      <c r="AB5014">
        <v>32</v>
      </c>
      <c r="AC5014">
        <v>0.654200000000002</v>
      </c>
      <c r="AD5014">
        <v>-0.11052819999999899</v>
      </c>
      <c r="AE5014">
        <v>-0.10891999999999701</v>
      </c>
      <c r="AF5014">
        <v>5.8700398475990602E-2</v>
      </c>
      <c r="AG5014">
        <v>-0.11052819999999899</v>
      </c>
      <c r="AH5014">
        <v>0.64260719162816604</v>
      </c>
      <c r="AI5014">
        <v>99.719669618119596</v>
      </c>
      <c r="AJ5014">
        <v>84.780673302532307</v>
      </c>
      <c r="AK5014">
        <v>0.65468024447719397</v>
      </c>
      <c r="AL5014">
        <v>85.505526807270201</v>
      </c>
      <c r="AM5014">
        <v>80.304364398355105</v>
      </c>
      <c r="AN5014">
        <v>0.99999997784657702</v>
      </c>
    </row>
    <row r="5015" spans="1:40" x14ac:dyDescent="0.25">
      <c r="A5015" t="str">
        <f>"20190312151416420"</f>
        <v>20190312151416420</v>
      </c>
      <c r="B5015" t="str">
        <f>"1552374856416044"</f>
        <v>1552374856416044</v>
      </c>
      <c r="C5015" t="s">
        <v>40</v>
      </c>
      <c r="D5015">
        <v>4.7576349999999996</v>
      </c>
      <c r="E5015">
        <v>0.46262239999999999</v>
      </c>
      <c r="F5015" t="s">
        <v>41</v>
      </c>
      <c r="G5015">
        <v>-338.09230000000002</v>
      </c>
      <c r="H5015">
        <v>0.98449869999999995</v>
      </c>
      <c r="I5015">
        <v>17.375830000000001</v>
      </c>
      <c r="J5015">
        <v>-338.85160000000002</v>
      </c>
      <c r="K5015">
        <v>1.109874</v>
      </c>
      <c r="L5015">
        <v>17.50046</v>
      </c>
      <c r="M5015">
        <v>0.99721930000000003</v>
      </c>
      <c r="N5015">
        <v>0</v>
      </c>
      <c r="O5015">
        <v>-7.3740589999999995E-2</v>
      </c>
      <c r="P5015">
        <v>0.96846500000000002</v>
      </c>
      <c r="Q5015">
        <v>6.7672280000000001E-2</v>
      </c>
      <c r="R5015">
        <v>-0.23978389999999999</v>
      </c>
      <c r="S5015">
        <v>3.0162960000000001</v>
      </c>
      <c r="T5015">
        <v>-0.40480260000000001</v>
      </c>
      <c r="U5015">
        <v>-0.44348140000000003</v>
      </c>
      <c r="V5015">
        <v>0.16770389999999999</v>
      </c>
      <c r="W5015">
        <v>7.8274040000000003E-2</v>
      </c>
      <c r="X5015">
        <v>0.98272510000000002</v>
      </c>
      <c r="Y5015">
        <v>7.2121370000000004E-2</v>
      </c>
      <c r="Z5015">
        <v>4.9884480000000004E-3</v>
      </c>
      <c r="AA5015">
        <v>0.99738340000000003</v>
      </c>
      <c r="AB5015">
        <v>32</v>
      </c>
      <c r="AC5015">
        <v>0.75929999999999598</v>
      </c>
      <c r="AD5015">
        <v>-0.1253753</v>
      </c>
      <c r="AE5015">
        <v>-0.12462999999999901</v>
      </c>
      <c r="AF5015">
        <v>6.6529857466786704E-2</v>
      </c>
      <c r="AG5015">
        <v>-0.1253753</v>
      </c>
      <c r="AH5015">
        <v>0.74660167300317304</v>
      </c>
      <c r="AI5015">
        <v>99.495684586709203</v>
      </c>
      <c r="AJ5015">
        <v>84.907809079373294</v>
      </c>
      <c r="AK5015">
        <v>0.75997318762952304</v>
      </c>
      <c r="AL5015">
        <v>85.510635723391204</v>
      </c>
      <c r="AM5015">
        <v>80.315656918487406</v>
      </c>
      <c r="AN5015">
        <v>1.00000002279157</v>
      </c>
    </row>
    <row r="5016" spans="1:40" x14ac:dyDescent="0.25">
      <c r="A5016" t="str">
        <f>"20190312151416433"</f>
        <v>20190312151416433</v>
      </c>
      <c r="B5016" t="str">
        <f>"1552374856425805"</f>
        <v>1552374856425805</v>
      </c>
      <c r="C5016" t="s">
        <v>40</v>
      </c>
      <c r="D5016">
        <v>4.7570649999999999</v>
      </c>
      <c r="E5016">
        <v>0.4626537</v>
      </c>
      <c r="F5016" t="s">
        <v>41</v>
      </c>
      <c r="G5016">
        <v>-338.0806</v>
      </c>
      <c r="H5016">
        <v>1.0063899999999999</v>
      </c>
      <c r="I5016">
        <v>17.3871</v>
      </c>
      <c r="J5016">
        <v>-338.67720000000003</v>
      </c>
      <c r="K5016">
        <v>1.1098870000000001</v>
      </c>
      <c r="L5016">
        <v>17.48761</v>
      </c>
      <c r="M5016">
        <v>0.99722500000000003</v>
      </c>
      <c r="N5016">
        <v>0</v>
      </c>
      <c r="O5016">
        <v>-7.3664489999999999E-2</v>
      </c>
      <c r="P5016">
        <v>0.96858149999999998</v>
      </c>
      <c r="Q5016">
        <v>6.7551609999999998E-2</v>
      </c>
      <c r="R5016">
        <v>-0.23934759999999999</v>
      </c>
      <c r="S5016">
        <v>3.016327</v>
      </c>
      <c r="T5016">
        <v>-0.40486709999999998</v>
      </c>
      <c r="U5016">
        <v>-0.44284059999999997</v>
      </c>
      <c r="V5016">
        <v>0.1673327</v>
      </c>
      <c r="W5016">
        <v>7.8164230000000001E-2</v>
      </c>
      <c r="X5016">
        <v>0.98279709999999998</v>
      </c>
      <c r="Y5016">
        <v>7.19891E-2</v>
      </c>
      <c r="Z5016">
        <v>4.9880030000000004E-3</v>
      </c>
      <c r="AA5016">
        <v>0.99739299999999997</v>
      </c>
      <c r="AB5016">
        <v>32</v>
      </c>
      <c r="AC5016">
        <v>0.596600000000023</v>
      </c>
      <c r="AD5016">
        <v>-0.10349700000000001</v>
      </c>
      <c r="AE5016">
        <v>-0.100509999999999</v>
      </c>
      <c r="AF5016">
        <v>5.4685783220674598E-2</v>
      </c>
      <c r="AG5016">
        <v>-0.10349700000000001</v>
      </c>
      <c r="AH5016">
        <v>0.58525637754101001</v>
      </c>
      <c r="AI5016">
        <v>99.985912991270197</v>
      </c>
      <c r="AJ5016">
        <v>84.661837987910602</v>
      </c>
      <c r="AK5016">
        <v>0.59684771202366504</v>
      </c>
      <c r="AL5016">
        <v>85.516946648994207</v>
      </c>
      <c r="AM5016">
        <v>80.337382455961105</v>
      </c>
      <c r="AN5016">
        <v>1.00000000955459</v>
      </c>
    </row>
    <row r="5017" spans="1:40" x14ac:dyDescent="0.25">
      <c r="A5017" t="str">
        <f>"20190312151416453"</f>
        <v>20190312151416453</v>
      </c>
      <c r="B5017" t="str">
        <f>"1552374856445323"</f>
        <v>1552374856445323</v>
      </c>
      <c r="C5017" t="s">
        <v>40</v>
      </c>
      <c r="D5017">
        <v>4.7353630000000004</v>
      </c>
      <c r="E5017">
        <v>0.45547199999999999</v>
      </c>
      <c r="F5017" t="s">
        <v>41</v>
      </c>
      <c r="G5017">
        <v>-337.80020000000002</v>
      </c>
      <c r="H5017">
        <v>0.99220629999999999</v>
      </c>
      <c r="I5017">
        <v>17.35896</v>
      </c>
      <c r="J5017">
        <v>-338.3897</v>
      </c>
      <c r="K5017">
        <v>1.1099000000000001</v>
      </c>
      <c r="L5017">
        <v>17.466460000000001</v>
      </c>
      <c r="M5017">
        <v>0.99723439999999997</v>
      </c>
      <c r="N5017">
        <v>0</v>
      </c>
      <c r="O5017">
        <v>-7.3533769999999998E-2</v>
      </c>
      <c r="P5017">
        <v>0.96875699999999998</v>
      </c>
      <c r="Q5017">
        <v>6.7196599999999995E-2</v>
      </c>
      <c r="R5017">
        <v>-0.238735</v>
      </c>
      <c r="S5017">
        <v>3.016327</v>
      </c>
      <c r="T5017">
        <v>-0.4047441</v>
      </c>
      <c r="U5017">
        <v>-0.44174190000000002</v>
      </c>
      <c r="V5017">
        <v>0.1668345</v>
      </c>
      <c r="W5017">
        <v>7.7825749999999999E-2</v>
      </c>
      <c r="X5017">
        <v>0.98290869999999997</v>
      </c>
      <c r="Y5017">
        <v>7.1764990000000001E-2</v>
      </c>
      <c r="Z5017">
        <v>4.9842659999999898E-3</v>
      </c>
      <c r="AA5017">
        <v>0.99740910000000005</v>
      </c>
      <c r="AB5017">
        <v>32</v>
      </c>
      <c r="AC5017">
        <v>0.58949999999998604</v>
      </c>
      <c r="AD5017">
        <v>-0.1176937</v>
      </c>
      <c r="AE5017">
        <v>-0.107500000000001</v>
      </c>
      <c r="AF5017">
        <v>6.14862820103338E-2</v>
      </c>
      <c r="AG5017">
        <v>-0.1176937</v>
      </c>
      <c r="AH5017">
        <v>0.573678272809789</v>
      </c>
      <c r="AI5017">
        <v>101.529469469527</v>
      </c>
      <c r="AJ5017">
        <v>83.882447293207093</v>
      </c>
      <c r="AK5017">
        <v>0.58884559146618998</v>
      </c>
      <c r="AL5017">
        <v>85.536399586130202</v>
      </c>
      <c r="AM5017">
        <v>80.366684371138206</v>
      </c>
      <c r="AN5017">
        <v>1.0000000551444901</v>
      </c>
    </row>
    <row r="5018" spans="1:40" x14ac:dyDescent="0.25">
      <c r="A5018" t="str">
        <f>"20190312151416475"</f>
        <v>20190312151416475</v>
      </c>
      <c r="B5018" t="str">
        <f>"1552374856465819"</f>
        <v>1552374856465819</v>
      </c>
      <c r="C5018" t="s">
        <v>40</v>
      </c>
      <c r="D5018">
        <v>4.741161</v>
      </c>
      <c r="E5018">
        <v>0.45766810000000002</v>
      </c>
      <c r="F5018" t="s">
        <v>41</v>
      </c>
      <c r="G5018">
        <v>-337.52510000000001</v>
      </c>
      <c r="H5018">
        <v>0.96244620000000003</v>
      </c>
      <c r="I5018">
        <v>17.35615</v>
      </c>
      <c r="J5018">
        <v>-338.06659999999999</v>
      </c>
      <c r="K5018">
        <v>1.109912</v>
      </c>
      <c r="L5018">
        <v>17.442779999999999</v>
      </c>
      <c r="M5018">
        <v>0.99724559999999995</v>
      </c>
      <c r="N5018">
        <v>0</v>
      </c>
      <c r="O5018">
        <v>-7.3382230000000007E-2</v>
      </c>
      <c r="P5018">
        <v>0.96883960000000002</v>
      </c>
      <c r="Q5018">
        <v>6.6938600000000001E-2</v>
      </c>
      <c r="R5018">
        <v>-0.23847260000000001</v>
      </c>
      <c r="S5018">
        <v>3.0373839999999999</v>
      </c>
      <c r="T5018">
        <v>-0.51803859999999902</v>
      </c>
      <c r="U5018">
        <v>-0.38668819999999998</v>
      </c>
      <c r="V5018">
        <v>0.16671349999999999</v>
      </c>
      <c r="W5018">
        <v>7.7581399999999995E-2</v>
      </c>
      <c r="X5018">
        <v>0.9829485</v>
      </c>
      <c r="Y5018">
        <v>5.3432340000000002E-2</v>
      </c>
      <c r="Z5018">
        <v>7.8489930000000003E-3</v>
      </c>
      <c r="AA5018">
        <v>0.9985406</v>
      </c>
      <c r="AB5018">
        <v>32</v>
      </c>
      <c r="AC5018">
        <v>0.54149999999998499</v>
      </c>
      <c r="AD5018">
        <v>-0.14746580000000001</v>
      </c>
      <c r="AE5018">
        <v>-8.6629999999999499E-2</v>
      </c>
      <c r="AF5018">
        <v>4.3511237803048497E-2</v>
      </c>
      <c r="AG5018">
        <v>-0.14746580000000001</v>
      </c>
      <c r="AH5018">
        <v>0.50955074076692797</v>
      </c>
      <c r="AI5018">
        <v>106.08513744168199</v>
      </c>
      <c r="AJ5018">
        <v>85.1192745990097</v>
      </c>
      <c r="AK5018">
        <v>0.53224181290172901</v>
      </c>
      <c r="AL5018">
        <v>85.550442062135403</v>
      </c>
      <c r="AM5018">
        <v>80.373922819097601</v>
      </c>
      <c r="AN5018">
        <v>1.0000000091802299</v>
      </c>
    </row>
    <row r="5019" spans="1:40" x14ac:dyDescent="0.25">
      <c r="A5019" t="str">
        <f>"20190312151416497"</f>
        <v>20190312151416497</v>
      </c>
      <c r="B5019" t="str">
        <f>"1552374856485339"</f>
        <v>1552374856485339</v>
      </c>
      <c r="C5019" t="s">
        <v>40</v>
      </c>
      <c r="D5019">
        <v>4.7176790000000004</v>
      </c>
      <c r="E5019">
        <v>0.45832420000000001</v>
      </c>
      <c r="F5019" t="s">
        <v>41</v>
      </c>
      <c r="G5019">
        <v>-337.23090000000002</v>
      </c>
      <c r="H5019">
        <v>0.97506579999999998</v>
      </c>
      <c r="I5019">
        <v>17.33175</v>
      </c>
      <c r="J5019">
        <v>-337.75869999999998</v>
      </c>
      <c r="K5019">
        <v>1.109923</v>
      </c>
      <c r="L5019">
        <v>17.420259999999999</v>
      </c>
      <c r="M5019">
        <v>0.99725629999999998</v>
      </c>
      <c r="N5019">
        <v>0</v>
      </c>
      <c r="O5019">
        <v>-7.3235410000000001E-2</v>
      </c>
      <c r="P5019">
        <v>0.96891590000000005</v>
      </c>
      <c r="Q5019">
        <v>6.6818589999999997E-2</v>
      </c>
      <c r="R5019">
        <v>-0.23819650000000001</v>
      </c>
      <c r="S5019">
        <v>3.031342</v>
      </c>
      <c r="T5019">
        <v>-0.48923499999999998</v>
      </c>
      <c r="U5019">
        <v>-0.40197749999999999</v>
      </c>
      <c r="V5019">
        <v>0.16657549999999999</v>
      </c>
      <c r="W5019">
        <v>7.7472050000000001E-2</v>
      </c>
      <c r="X5019">
        <v>0.98298050000000003</v>
      </c>
      <c r="Y5019">
        <v>5.8682650000000003E-2</v>
      </c>
      <c r="Z5019">
        <v>6.9872900000000002E-3</v>
      </c>
      <c r="AA5019">
        <v>0.99825220000000003</v>
      </c>
      <c r="AB5019">
        <v>32</v>
      </c>
      <c r="AC5019">
        <v>0.52779999999995597</v>
      </c>
      <c r="AD5019">
        <v>-0.13485719999999901</v>
      </c>
      <c r="AE5019">
        <v>-8.8509999999999395E-2</v>
      </c>
      <c r="AF5019">
        <v>4.6653930517452299E-2</v>
      </c>
      <c r="AG5019">
        <v>-0.13485719999999901</v>
      </c>
      <c r="AH5019">
        <v>0.50104900501430005</v>
      </c>
      <c r="AI5019">
        <v>105.002208059224</v>
      </c>
      <c r="AJ5019">
        <v>84.680384353011107</v>
      </c>
      <c r="AK5019">
        <v>0.52097328055322301</v>
      </c>
      <c r="AL5019">
        <v>85.556726181939098</v>
      </c>
      <c r="AM5019">
        <v>80.382049320458094</v>
      </c>
      <c r="AN5019">
        <v>0.99999998955585101</v>
      </c>
    </row>
    <row r="5020" spans="1:40" x14ac:dyDescent="0.25">
      <c r="A5020" t="str">
        <f>"20190312151416508"</f>
        <v>20190312151416508</v>
      </c>
      <c r="B5020" t="str">
        <f>"1552374856505836"</f>
        <v>1552374856505836</v>
      </c>
      <c r="C5020" t="s">
        <v>40</v>
      </c>
      <c r="D5020">
        <v>4.7524629999999997</v>
      </c>
      <c r="E5020">
        <v>0.4586866</v>
      </c>
      <c r="F5020" t="s">
        <v>41</v>
      </c>
      <c r="G5020">
        <v>-336.9409</v>
      </c>
      <c r="H5020">
        <v>0.97817350000000003</v>
      </c>
      <c r="I5020">
        <v>17.310300000000002</v>
      </c>
      <c r="J5020">
        <v>-337.5872</v>
      </c>
      <c r="K5020">
        <v>1.1099330000000001</v>
      </c>
      <c r="L5020">
        <v>17.40775</v>
      </c>
      <c r="M5020">
        <v>0.99726219999999999</v>
      </c>
      <c r="N5020">
        <v>0</v>
      </c>
      <c r="O5020">
        <v>-7.3153360000000001E-2</v>
      </c>
      <c r="P5020">
        <v>0.96894740000000001</v>
      </c>
      <c r="Q5020">
        <v>6.6932580000000005E-2</v>
      </c>
      <c r="R5020">
        <v>-0.23803560000000001</v>
      </c>
      <c r="S5020">
        <v>3.03009</v>
      </c>
      <c r="T5020">
        <v>-0.4881219</v>
      </c>
      <c r="U5020">
        <v>-0.40600589999999998</v>
      </c>
      <c r="V5020">
        <v>0.16649320000000001</v>
      </c>
      <c r="W5020">
        <v>7.7591380000000001E-2</v>
      </c>
      <c r="X5020">
        <v>0.982985</v>
      </c>
      <c r="Y5020">
        <v>6.0102700000000002E-2</v>
      </c>
      <c r="Z5020">
        <v>6.8474979999999996E-3</v>
      </c>
      <c r="AA5020">
        <v>0.99816870000000002</v>
      </c>
      <c r="AB5020">
        <v>32</v>
      </c>
      <c r="AC5020">
        <v>0.64629999999999599</v>
      </c>
      <c r="AD5020">
        <v>-0.1317595</v>
      </c>
      <c r="AE5020">
        <v>-9.7449999999998399E-2</v>
      </c>
      <c r="AF5020">
        <v>4.7958172053951802E-2</v>
      </c>
      <c r="AG5020">
        <v>-0.1317595</v>
      </c>
      <c r="AH5020">
        <v>0.62624791025351401</v>
      </c>
      <c r="AI5020">
        <v>101.84775422174199</v>
      </c>
      <c r="AJ5020">
        <v>85.620826647779197</v>
      </c>
      <c r="AK5020">
        <v>0.64175306559758605</v>
      </c>
      <c r="AL5020">
        <v>85.549868297911004</v>
      </c>
      <c r="AM5020">
        <v>80.386755748352101</v>
      </c>
      <c r="AN5020">
        <v>0.99999995906077099</v>
      </c>
    </row>
    <row r="5021" spans="1:40" x14ac:dyDescent="0.25">
      <c r="A5021" t="str">
        <f>"20190312151416520"</f>
        <v>20190312151416520</v>
      </c>
      <c r="B5021" t="str">
        <f>"1552374856515596"</f>
        <v>1552374856515596</v>
      </c>
      <c r="C5021" t="s">
        <v>40</v>
      </c>
      <c r="D5021">
        <v>4.9051</v>
      </c>
      <c r="E5021">
        <v>0.45944249999999998</v>
      </c>
      <c r="F5021" t="s">
        <v>41</v>
      </c>
      <c r="G5021">
        <v>-336.66030000000001</v>
      </c>
      <c r="H5021">
        <v>0.96265639999999997</v>
      </c>
      <c r="I5021">
        <v>17.282820000000001</v>
      </c>
      <c r="J5021">
        <v>-337.4162</v>
      </c>
      <c r="K5021">
        <v>1.1099380000000001</v>
      </c>
      <c r="L5021">
        <v>17.39526</v>
      </c>
      <c r="M5021">
        <v>0.9972683</v>
      </c>
      <c r="N5021">
        <v>0</v>
      </c>
      <c r="O5021">
        <v>-7.3071570000000002E-2</v>
      </c>
      <c r="P5021">
        <v>0.96893669999999998</v>
      </c>
      <c r="Q5021">
        <v>6.6971970000000006E-2</v>
      </c>
      <c r="R5021">
        <v>-0.2380689</v>
      </c>
      <c r="S5021">
        <v>3.0291139999999999</v>
      </c>
      <c r="T5021">
        <v>-0.48139100000000001</v>
      </c>
      <c r="U5021">
        <v>-0.40823359999999997</v>
      </c>
      <c r="V5021">
        <v>0.16660720000000001</v>
      </c>
      <c r="W5021">
        <v>7.7635120000000002E-2</v>
      </c>
      <c r="X5021">
        <v>0.98296229999999996</v>
      </c>
      <c r="Y5021">
        <v>6.0932409999999999E-2</v>
      </c>
      <c r="Z5021">
        <v>6.6779329999999996E-3</v>
      </c>
      <c r="AA5021">
        <v>0.99811950000000005</v>
      </c>
      <c r="AB5021">
        <v>32</v>
      </c>
      <c r="AC5021">
        <v>0.75589999999999602</v>
      </c>
      <c r="AD5021">
        <v>-0.14728159999999901</v>
      </c>
      <c r="AE5021">
        <v>-0.112439999999999</v>
      </c>
      <c r="AF5021">
        <v>5.4863624970527797E-2</v>
      </c>
      <c r="AG5021">
        <v>-0.14728159999999901</v>
      </c>
      <c r="AH5021">
        <v>0.73480368707866495</v>
      </c>
      <c r="AI5021">
        <v>101.303337585389</v>
      </c>
      <c r="AJ5021">
        <v>85.729972046550202</v>
      </c>
      <c r="AK5021">
        <v>0.75142421147303196</v>
      </c>
      <c r="AL5021">
        <v>85.547354901442006</v>
      </c>
      <c r="AM5021">
        <v>80.380078400032602</v>
      </c>
      <c r="AN5021">
        <v>1.00000002708527</v>
      </c>
    </row>
    <row r="5022" spans="1:40" x14ac:dyDescent="0.25">
      <c r="A5022" t="str">
        <f>"20190312151416532"</f>
        <v>20190312151416532</v>
      </c>
      <c r="B5022" t="str">
        <f>"1552374856525356"</f>
        <v>1552374856525356</v>
      </c>
      <c r="C5022" t="s">
        <v>40</v>
      </c>
      <c r="D5022">
        <v>4.6991560000000003</v>
      </c>
      <c r="E5022">
        <v>0.45956750000000002</v>
      </c>
      <c r="F5022" t="s">
        <v>41</v>
      </c>
      <c r="G5022">
        <v>-336.64620000000002</v>
      </c>
      <c r="H5022">
        <v>0.98999429999999999</v>
      </c>
      <c r="I5022">
        <v>17.28997</v>
      </c>
      <c r="J5022">
        <v>-337.25139999999999</v>
      </c>
      <c r="K5022">
        <v>1.1099410000000001</v>
      </c>
      <c r="L5022">
        <v>17.383240000000001</v>
      </c>
      <c r="M5022">
        <v>0.99727399999999999</v>
      </c>
      <c r="N5022">
        <v>0</v>
      </c>
      <c r="O5022">
        <v>-7.2993359999999993E-2</v>
      </c>
      <c r="P5022">
        <v>0.96892679999999998</v>
      </c>
      <c r="Q5022">
        <v>6.7132659999999997E-2</v>
      </c>
      <c r="R5022">
        <v>-0.23806430000000001</v>
      </c>
      <c r="S5022">
        <v>3.0270999999999999</v>
      </c>
      <c r="T5022">
        <v>-0.47162530000000003</v>
      </c>
      <c r="U5022">
        <v>-0.41394039999999999</v>
      </c>
      <c r="V5022">
        <v>0.1666801</v>
      </c>
      <c r="W5022">
        <v>7.7799599999999997E-2</v>
      </c>
      <c r="X5022">
        <v>0.9829369</v>
      </c>
      <c r="Y5022">
        <v>6.2916E-2</v>
      </c>
      <c r="Z5022">
        <v>6.3824229999999999E-3</v>
      </c>
      <c r="AA5022">
        <v>0.99799839999999995</v>
      </c>
      <c r="AB5022">
        <v>32</v>
      </c>
      <c r="AC5022">
        <v>0.60519999999996799</v>
      </c>
      <c r="AD5022">
        <v>-0.119946699999999</v>
      </c>
      <c r="AE5022">
        <v>-9.3270000000000394E-2</v>
      </c>
      <c r="AF5022">
        <v>4.7038186447614802E-2</v>
      </c>
      <c r="AG5022">
        <v>-0.119946699999999</v>
      </c>
      <c r="AH5022">
        <v>0.587838893110878</v>
      </c>
      <c r="AI5022">
        <v>101.49694407239799</v>
      </c>
      <c r="AJ5022">
        <v>85.425006142741694</v>
      </c>
      <c r="AK5022">
        <v>0.60179262713911097</v>
      </c>
      <c r="AL5022">
        <v>85.537902142463096</v>
      </c>
      <c r="AM5022">
        <v>80.375703813841199</v>
      </c>
      <c r="AN5022">
        <v>0.99999999143888996</v>
      </c>
    </row>
    <row r="5023" spans="1:40" x14ac:dyDescent="0.25">
      <c r="A5023" t="str">
        <f>"20190312151416553"</f>
        <v>20190312151416553</v>
      </c>
      <c r="B5023" t="str">
        <f>"1552374856545855"</f>
        <v>1552374856545855</v>
      </c>
      <c r="C5023" t="s">
        <v>40</v>
      </c>
      <c r="D5023">
        <v>4.9918559999999896</v>
      </c>
      <c r="E5023">
        <v>0.4844176</v>
      </c>
      <c r="F5023" t="s">
        <v>41</v>
      </c>
      <c r="G5023">
        <v>-336.36610000000002</v>
      </c>
      <c r="H5023">
        <v>0.97332940000000001</v>
      </c>
      <c r="I5023">
        <v>17.261700000000001</v>
      </c>
      <c r="J5023">
        <v>-336.94299999999998</v>
      </c>
      <c r="K5023">
        <v>1.1099479999999999</v>
      </c>
      <c r="L5023">
        <v>17.36084</v>
      </c>
      <c r="M5023">
        <v>0.99728470000000002</v>
      </c>
      <c r="N5023">
        <v>0</v>
      </c>
      <c r="O5023">
        <v>-7.2847789999999996E-2</v>
      </c>
      <c r="P5023">
        <v>0.96890469999999895</v>
      </c>
      <c r="Q5023">
        <v>6.7294049999999994E-2</v>
      </c>
      <c r="R5023">
        <v>-0.2381086</v>
      </c>
      <c r="S5023">
        <v>3.0266419999999998</v>
      </c>
      <c r="T5023">
        <v>-0.46707769999999998</v>
      </c>
      <c r="U5023">
        <v>-0.41497800000000001</v>
      </c>
      <c r="V5023">
        <v>0.16686870000000001</v>
      </c>
      <c r="W5023">
        <v>7.7967410000000001E-2</v>
      </c>
      <c r="X5023">
        <v>0.98289159999999998</v>
      </c>
      <c r="Y5023">
        <v>6.340817E-2</v>
      </c>
      <c r="Z5023">
        <v>6.2626399999999999E-3</v>
      </c>
      <c r="AA5023">
        <v>0.99796799999999997</v>
      </c>
      <c r="AB5023">
        <v>32</v>
      </c>
      <c r="AC5023">
        <v>0.57690000000002295</v>
      </c>
      <c r="AD5023">
        <v>-0.13661859999999901</v>
      </c>
      <c r="AE5023">
        <v>-9.9139999999998396E-2</v>
      </c>
      <c r="AF5023">
        <v>5.3911520348778302E-2</v>
      </c>
      <c r="AG5023">
        <v>-0.13661859999999901</v>
      </c>
      <c r="AH5023">
        <v>0.55249378027823703</v>
      </c>
      <c r="AI5023">
        <v>103.826140721973</v>
      </c>
      <c r="AJ5023">
        <v>84.426806973560005</v>
      </c>
      <c r="AK5023">
        <v>0.57168214169974996</v>
      </c>
      <c r="AL5023">
        <v>85.528258031089806</v>
      </c>
      <c r="AM5023">
        <v>80.364582132697606</v>
      </c>
      <c r="AN5023">
        <v>0.99999998870617901</v>
      </c>
    </row>
    <row r="5024" spans="1:40" x14ac:dyDescent="0.25">
      <c r="A5024" t="str">
        <f>"20190312151416566"</f>
        <v>20190312151416566</v>
      </c>
      <c r="B5024" t="str">
        <f>"1552374856555611"</f>
        <v>1552374856555611</v>
      </c>
      <c r="C5024" t="s">
        <v>40</v>
      </c>
      <c r="D5024">
        <v>4.8228739999999997</v>
      </c>
      <c r="E5024">
        <v>0.49454959999999998</v>
      </c>
      <c r="F5024" t="s">
        <v>41</v>
      </c>
      <c r="G5024">
        <v>-336.065</v>
      </c>
      <c r="H5024">
        <v>1.005498</v>
      </c>
      <c r="I5024">
        <v>17.181809999999999</v>
      </c>
      <c r="J5024">
        <v>-336.75920000000002</v>
      </c>
      <c r="K5024">
        <v>1.10995</v>
      </c>
      <c r="L5024">
        <v>17.347470000000001</v>
      </c>
      <c r="M5024">
        <v>0.99729080000000003</v>
      </c>
      <c r="N5024">
        <v>0</v>
      </c>
      <c r="O5024">
        <v>-7.2761720000000002E-2</v>
      </c>
      <c r="P5024">
        <v>0.96889009999999998</v>
      </c>
      <c r="Q5024">
        <v>6.7278270000000001E-2</v>
      </c>
      <c r="R5024">
        <v>-0.2381712</v>
      </c>
      <c r="S5024">
        <v>2.9720460000000002</v>
      </c>
      <c r="T5024">
        <v>-0.35359590000000002</v>
      </c>
      <c r="U5024">
        <v>-0.60534670000000002</v>
      </c>
      <c r="V5024">
        <v>0.167017</v>
      </c>
      <c r="W5024">
        <v>7.7955060000000007E-2</v>
      </c>
      <c r="X5024">
        <v>0.98286739999999995</v>
      </c>
      <c r="Y5024">
        <v>0.127382</v>
      </c>
      <c r="Z5024">
        <v>1.0438310000000001E-3</v>
      </c>
      <c r="AA5024">
        <v>0.99185319999999999</v>
      </c>
      <c r="AB5024">
        <v>32</v>
      </c>
      <c r="AC5024">
        <v>0.69420000000002302</v>
      </c>
      <c r="AD5024">
        <v>-0.104452</v>
      </c>
      <c r="AE5024">
        <v>-0.165659999999999</v>
      </c>
      <c r="AF5024">
        <v>0.112301258544688</v>
      </c>
      <c r="AG5024">
        <v>-0.104452</v>
      </c>
      <c r="AH5024">
        <v>0.68964225524128298</v>
      </c>
      <c r="AI5024">
        <v>98.502141621972797</v>
      </c>
      <c r="AJ5024">
        <v>80.7511423725756</v>
      </c>
      <c r="AK5024">
        <v>0.70649008003580904</v>
      </c>
      <c r="AL5024">
        <v>85.528967835072706</v>
      </c>
      <c r="AM5024">
        <v>80.355946678906804</v>
      </c>
      <c r="AN5024">
        <v>0.99999999782568105</v>
      </c>
    </row>
    <row r="5025" spans="1:40" x14ac:dyDescent="0.25">
      <c r="A5025" t="str">
        <f>"20190312151416577"</f>
        <v>20190312151416577</v>
      </c>
      <c r="B5025" t="str">
        <f>"1552374856565371"</f>
        <v>1552374856565371</v>
      </c>
      <c r="C5025" t="s">
        <v>40</v>
      </c>
      <c r="D5025">
        <v>4.8461360000000004</v>
      </c>
      <c r="E5025">
        <v>0.50210219999999905</v>
      </c>
      <c r="F5025" t="s">
        <v>41</v>
      </c>
      <c r="G5025">
        <v>-335.78339999999997</v>
      </c>
      <c r="H5025">
        <v>0.99351979999999995</v>
      </c>
      <c r="I5025">
        <v>17.121259999999999</v>
      </c>
      <c r="J5025">
        <v>-336.59120000000001</v>
      </c>
      <c r="K5025">
        <v>1.1099509999999999</v>
      </c>
      <c r="L5025">
        <v>17.335329999999999</v>
      </c>
      <c r="M5025">
        <v>0.99729650000000003</v>
      </c>
      <c r="N5025">
        <v>0</v>
      </c>
      <c r="O5025">
        <v>-7.268376E-2</v>
      </c>
      <c r="P5025">
        <v>0.96889210000000003</v>
      </c>
      <c r="Q5025">
        <v>6.7218360000000005E-2</v>
      </c>
      <c r="R5025">
        <v>-0.23818020000000001</v>
      </c>
      <c r="S5025">
        <v>2.9526669999999999</v>
      </c>
      <c r="T5025">
        <v>-0.35221330000000001</v>
      </c>
      <c r="U5025">
        <v>-0.68396000000000001</v>
      </c>
      <c r="V5025">
        <v>0.16710239999999901</v>
      </c>
      <c r="W5025">
        <v>7.7898960000000003E-2</v>
      </c>
      <c r="X5025">
        <v>0.98285730000000004</v>
      </c>
      <c r="Y5025">
        <v>0.1537126</v>
      </c>
      <c r="Z5025">
        <v>-5.1230290000000005E-4</v>
      </c>
      <c r="AA5025">
        <v>0.98811550000000004</v>
      </c>
      <c r="AB5025">
        <v>32</v>
      </c>
      <c r="AC5025">
        <v>0.80780000000004204</v>
      </c>
      <c r="AD5025">
        <v>-0.1164312</v>
      </c>
      <c r="AE5025">
        <v>-0.21406999999999901</v>
      </c>
      <c r="AF5025">
        <v>0.15183896199258801</v>
      </c>
      <c r="AG5025">
        <v>-0.1164312</v>
      </c>
      <c r="AH5025">
        <v>0.80558598001694803</v>
      </c>
      <c r="AI5025">
        <v>98.083596933897795</v>
      </c>
      <c r="AJ5025">
        <v>79.325966113149505</v>
      </c>
      <c r="AK5025">
        <v>0.82799762433976398</v>
      </c>
      <c r="AL5025">
        <v>85.532191790583994</v>
      </c>
      <c r="AM5025">
        <v>80.351010825796905</v>
      </c>
      <c r="AN5025">
        <v>0.99999996610906505</v>
      </c>
    </row>
    <row r="5026" spans="1:40" x14ac:dyDescent="0.25">
      <c r="A5026" t="str">
        <f>"20190312151416589"</f>
        <v>20190312151416589</v>
      </c>
      <c r="B5026" t="str">
        <f>"1552374856585868"</f>
        <v>1552374856585868</v>
      </c>
      <c r="C5026" t="s">
        <v>40</v>
      </c>
      <c r="D5026">
        <v>4.7967779999999998</v>
      </c>
      <c r="E5026">
        <v>0.50906149999999994</v>
      </c>
      <c r="F5026" t="s">
        <v>41</v>
      </c>
      <c r="G5026">
        <v>-335.77249999999998</v>
      </c>
      <c r="H5026">
        <v>1.015436</v>
      </c>
      <c r="I5026">
        <v>17.128270000000001</v>
      </c>
      <c r="J5026">
        <v>-336.42919999999998</v>
      </c>
      <c r="K5026">
        <v>1.1099509999999999</v>
      </c>
      <c r="L5026">
        <v>17.32358</v>
      </c>
      <c r="M5026">
        <v>0.99730189999999996</v>
      </c>
      <c r="N5026">
        <v>0</v>
      </c>
      <c r="O5026">
        <v>-7.2608779999999998E-2</v>
      </c>
      <c r="P5026">
        <v>0.96886680000000003</v>
      </c>
      <c r="Q5026">
        <v>6.7138870000000003E-2</v>
      </c>
      <c r="R5026">
        <v>-0.23830670000000001</v>
      </c>
      <c r="S5026">
        <v>2.9373469999999999</v>
      </c>
      <c r="T5026">
        <v>-0.339034</v>
      </c>
      <c r="U5026">
        <v>-0.74230959999999901</v>
      </c>
      <c r="V5026">
        <v>0.16730390000000001</v>
      </c>
      <c r="W5026">
        <v>7.7821959999999996E-2</v>
      </c>
      <c r="X5026">
        <v>0.98282919999999996</v>
      </c>
      <c r="Y5026">
        <v>0.17333860000000001</v>
      </c>
      <c r="Z5026">
        <v>-1.6161299999999999E-3</v>
      </c>
      <c r="AA5026">
        <v>0.98486099999999999</v>
      </c>
      <c r="AB5026">
        <v>32</v>
      </c>
      <c r="AC5026">
        <v>0.65669999999999995</v>
      </c>
      <c r="AD5026">
        <v>-9.4515000000000099E-2</v>
      </c>
      <c r="AE5026">
        <v>-0.19530999999999901</v>
      </c>
      <c r="AF5026">
        <v>0.14436211608861199</v>
      </c>
      <c r="AG5026">
        <v>-9.4515000000000099E-2</v>
      </c>
      <c r="AH5026">
        <v>0.65665186110806995</v>
      </c>
      <c r="AI5026">
        <v>98.002065358426805</v>
      </c>
      <c r="AJ5026">
        <v>77.601012013746498</v>
      </c>
      <c r="AK5026">
        <v>0.67894416006272096</v>
      </c>
      <c r="AL5026">
        <v>85.536617349632706</v>
      </c>
      <c r="AM5026">
        <v>80.339323753691204</v>
      </c>
      <c r="AN5026">
        <v>1.0000000443930399</v>
      </c>
    </row>
    <row r="5027" spans="1:40" x14ac:dyDescent="0.25">
      <c r="A5027" t="str">
        <f>"20190312151416609"</f>
        <v>20190312151416609</v>
      </c>
      <c r="B5027" t="str">
        <f>"1552374856605387"</f>
        <v>1552374856605387</v>
      </c>
      <c r="C5027" t="s">
        <v>40</v>
      </c>
      <c r="D5027">
        <v>4.7868709999999997</v>
      </c>
      <c r="E5027">
        <v>0.51263809999999999</v>
      </c>
      <c r="F5027" t="s">
        <v>41</v>
      </c>
      <c r="G5027">
        <v>-335.48849999999999</v>
      </c>
      <c r="H5027">
        <v>1.00467</v>
      </c>
      <c r="I5027">
        <v>17.067170000000001</v>
      </c>
      <c r="J5027">
        <v>-336.1388</v>
      </c>
      <c r="K5027">
        <v>1.1099460000000001</v>
      </c>
      <c r="L5027">
        <v>17.30255</v>
      </c>
      <c r="M5027">
        <v>0.99731150000000002</v>
      </c>
      <c r="N5027">
        <v>0</v>
      </c>
      <c r="O5027">
        <v>-7.2474549999999999E-2</v>
      </c>
      <c r="P5027">
        <v>0.96890880000000001</v>
      </c>
      <c r="Q5027">
        <v>6.6751850000000001E-2</v>
      </c>
      <c r="R5027">
        <v>-0.23824390000000001</v>
      </c>
      <c r="S5027">
        <v>2.9232179999999999</v>
      </c>
      <c r="T5027">
        <v>-0.32714270000000001</v>
      </c>
      <c r="U5027">
        <v>-0.796386699999999</v>
      </c>
      <c r="V5027">
        <v>0.16737050000000001</v>
      </c>
      <c r="W5027">
        <v>7.7440199999999904E-2</v>
      </c>
      <c r="X5027">
        <v>0.98284800000000005</v>
      </c>
      <c r="Y5027">
        <v>0.1915442</v>
      </c>
      <c r="Z5027">
        <v>-2.5769410000000001E-3</v>
      </c>
      <c r="AA5027">
        <v>0.98148060000000004</v>
      </c>
      <c r="AB5027">
        <v>32</v>
      </c>
      <c r="AC5027">
        <v>0.65030000000001498</v>
      </c>
      <c r="AD5027">
        <v>-0.105275999999999</v>
      </c>
      <c r="AE5027">
        <v>-0.23537999999999901</v>
      </c>
      <c r="AF5027">
        <v>0.18337872129417199</v>
      </c>
      <c r="AG5027">
        <v>-0.105275999999999</v>
      </c>
      <c r="AH5027">
        <v>0.65057460967454805</v>
      </c>
      <c r="AI5027">
        <v>98.852743746714495</v>
      </c>
      <c r="AJ5027">
        <v>74.258345607545607</v>
      </c>
      <c r="AK5027">
        <v>0.68407464092208303</v>
      </c>
      <c r="AL5027">
        <v>85.558556731282394</v>
      </c>
      <c r="AM5027">
        <v>80.335731943777205</v>
      </c>
      <c r="AN5027">
        <v>1.0000000299751399</v>
      </c>
    </row>
    <row r="5028" spans="1:40" x14ac:dyDescent="0.25">
      <c r="A5028" t="str">
        <f>"20190312151416621"</f>
        <v>20190312151416621</v>
      </c>
      <c r="B5028" t="str">
        <f>"1552374856615148"</f>
        <v>1552374856615148</v>
      </c>
      <c r="C5028" t="s">
        <v>40</v>
      </c>
      <c r="D5028">
        <v>4.7573650000000001</v>
      </c>
      <c r="E5028">
        <v>0.51396509999999995</v>
      </c>
      <c r="F5028" t="s">
        <v>42</v>
      </c>
      <c r="G5028">
        <v>-326.02080000000001</v>
      </c>
      <c r="H5028" s="1">
        <v>-2.888378E-6</v>
      </c>
      <c r="I5028">
        <v>14.44444</v>
      </c>
      <c r="J5028">
        <v>-335.96199999999999</v>
      </c>
      <c r="K5028">
        <v>1.109945</v>
      </c>
      <c r="L5028">
        <v>17.28979</v>
      </c>
      <c r="M5028">
        <v>0.99731740000000002</v>
      </c>
      <c r="N5028">
        <v>0</v>
      </c>
      <c r="O5028">
        <v>-7.239313E-2</v>
      </c>
      <c r="P5028">
        <v>0.96885560000000004</v>
      </c>
      <c r="Q5028">
        <v>6.6766779999999998E-2</v>
      </c>
      <c r="R5028">
        <v>-0.23845540000000001</v>
      </c>
      <c r="S5028">
        <v>2.9157410000000001</v>
      </c>
      <c r="T5028">
        <v>-0.31986059999999999</v>
      </c>
      <c r="U5028">
        <v>-0.82363889999999995</v>
      </c>
      <c r="V5028">
        <v>0.1676656</v>
      </c>
      <c r="W5028">
        <v>7.7457799999999993E-2</v>
      </c>
      <c r="X5028">
        <v>0.98279629999999996</v>
      </c>
      <c r="Y5028">
        <v>0.20074790000000001</v>
      </c>
      <c r="Z5028">
        <v>-3.026113E-3</v>
      </c>
      <c r="AA5028">
        <v>0.97963829999999996</v>
      </c>
      <c r="AB5028">
        <v>32</v>
      </c>
      <c r="AC5028">
        <v>9.9411999999999807</v>
      </c>
      <c r="AD5028">
        <v>-1.1099478883780001</v>
      </c>
      <c r="AE5028">
        <v>-2.8453499999999998</v>
      </c>
      <c r="AF5028">
        <v>2.0940388968936201</v>
      </c>
      <c r="AG5028">
        <v>-1.1099478883780001</v>
      </c>
      <c r="AH5028">
        <v>10.0058206451471</v>
      </c>
      <c r="AI5028">
        <v>96.196779927048198</v>
      </c>
      <c r="AJ5028">
        <v>78.179623295129801</v>
      </c>
      <c r="AK5028">
        <v>10.282676208043799</v>
      </c>
      <c r="AL5028">
        <v>85.557545224208894</v>
      </c>
      <c r="AM5028">
        <v>80.3185149082354</v>
      </c>
      <c r="AN5028">
        <v>1.0000000157489399</v>
      </c>
    </row>
    <row r="5029" spans="1:40" x14ac:dyDescent="0.25">
      <c r="A5029" t="str">
        <f>"20190312151416632"</f>
        <v>20190312151416632</v>
      </c>
      <c r="B5029" t="str">
        <f>"1552374856625884"</f>
        <v>1552374856625884</v>
      </c>
      <c r="C5029" t="s">
        <v>40</v>
      </c>
      <c r="D5029">
        <v>4.7839369999999999</v>
      </c>
      <c r="E5029">
        <v>0.51511010000000002</v>
      </c>
      <c r="F5029" t="s">
        <v>41</v>
      </c>
      <c r="G5029">
        <v>-335.18699999999899</v>
      </c>
      <c r="H5029">
        <v>1.024967</v>
      </c>
      <c r="I5029">
        <v>17.067599999999999</v>
      </c>
      <c r="J5029">
        <v>-335.78969999999998</v>
      </c>
      <c r="K5029">
        <v>1.109945</v>
      </c>
      <c r="L5029">
        <v>17.277339999999999</v>
      </c>
      <c r="M5029">
        <v>0.99732330000000002</v>
      </c>
      <c r="N5029">
        <v>0</v>
      </c>
      <c r="O5029">
        <v>-7.2313989999999995E-2</v>
      </c>
      <c r="P5029">
        <v>0.96882219999999997</v>
      </c>
      <c r="Q5029">
        <v>6.6779190000000002E-2</v>
      </c>
      <c r="R5029">
        <v>-0.23858779999999999</v>
      </c>
      <c r="S5029">
        <v>2.9130250000000002</v>
      </c>
      <c r="T5029">
        <v>-0.31942959999999998</v>
      </c>
      <c r="U5029">
        <v>-0.83462519999999996</v>
      </c>
      <c r="V5029">
        <v>0.16787820000000001</v>
      </c>
      <c r="W5029">
        <v>7.7472529999999998E-2</v>
      </c>
      <c r="X5029">
        <v>0.98275880000000004</v>
      </c>
      <c r="Y5029">
        <v>0.20446159999999999</v>
      </c>
      <c r="Z5029">
        <v>-3.2309589999999998E-3</v>
      </c>
      <c r="AA5029">
        <v>0.97886930000000005</v>
      </c>
      <c r="AB5029">
        <v>32</v>
      </c>
      <c r="AC5029">
        <v>0.60270000000002699</v>
      </c>
      <c r="AD5029">
        <v>-8.4978000000000206E-2</v>
      </c>
      <c r="AE5029">
        <v>-0.20974000000000001</v>
      </c>
      <c r="AF5029">
        <v>0.16271924586672601</v>
      </c>
      <c r="AG5029">
        <v>-8.4978000000000206E-2</v>
      </c>
      <c r="AH5029">
        <v>0.605552100610112</v>
      </c>
      <c r="AI5029">
        <v>97.717924503614199</v>
      </c>
      <c r="AJ5029">
        <v>74.9592183963005</v>
      </c>
      <c r="AK5029">
        <v>0.63276548579450498</v>
      </c>
      <c r="AL5029">
        <v>85.556698514259395</v>
      </c>
      <c r="AM5029">
        <v>80.306108692156002</v>
      </c>
      <c r="AN5029">
        <v>0.99999997095864002</v>
      </c>
    </row>
    <row r="5030" spans="1:40" x14ac:dyDescent="0.25">
      <c r="A5030" t="str">
        <f>"20190312151416644"</f>
        <v>20190312151416644</v>
      </c>
      <c r="B5030" t="str">
        <f>"1552374856635643"</f>
        <v>1552374856635643</v>
      </c>
      <c r="C5030" t="s">
        <v>40</v>
      </c>
      <c r="D5030">
        <v>4.7283419999999996</v>
      </c>
      <c r="E5030">
        <v>0.51553800000000005</v>
      </c>
      <c r="F5030" t="s">
        <v>42</v>
      </c>
      <c r="G5030">
        <v>-325.61790000000002</v>
      </c>
      <c r="H5030" s="1">
        <v>-3.073994E-6</v>
      </c>
      <c r="I5030">
        <v>14.32846</v>
      </c>
      <c r="J5030">
        <v>-335.62459999999999</v>
      </c>
      <c r="K5030">
        <v>1.109942</v>
      </c>
      <c r="L5030">
        <v>17.265470000000001</v>
      </c>
      <c r="M5030">
        <v>0.99732860000000001</v>
      </c>
      <c r="N5030">
        <v>0</v>
      </c>
      <c r="O5030">
        <v>-7.2237700000000002E-2</v>
      </c>
      <c r="P5030">
        <v>0.96878039999999999</v>
      </c>
      <c r="Q5030">
        <v>6.6663719999999996E-2</v>
      </c>
      <c r="R5030">
        <v>-0.23878920000000001</v>
      </c>
      <c r="S5030">
        <v>2.9106450000000001</v>
      </c>
      <c r="T5030">
        <v>-0.31760719999999998</v>
      </c>
      <c r="U5030">
        <v>-0.84381099999999998</v>
      </c>
      <c r="V5030">
        <v>0.16815720000000001</v>
      </c>
      <c r="W5030">
        <v>7.7358899999999994E-2</v>
      </c>
      <c r="X5030">
        <v>0.98272009999999999</v>
      </c>
      <c r="Y5030">
        <v>0.20759</v>
      </c>
      <c r="Z5030">
        <v>-3.388846E-3</v>
      </c>
      <c r="AA5030">
        <v>0.97821000000000002</v>
      </c>
      <c r="AB5030">
        <v>32</v>
      </c>
      <c r="AC5030">
        <v>10.006699999999899</v>
      </c>
      <c r="AD5030">
        <v>-1.109945073994</v>
      </c>
      <c r="AE5030">
        <v>-2.9370099999999999</v>
      </c>
      <c r="AF5030">
        <v>2.18171918550556</v>
      </c>
      <c r="AG5030">
        <v>-1.109945073994</v>
      </c>
      <c r="AH5030">
        <v>10.0785643845088</v>
      </c>
      <c r="AI5030">
        <v>96.143450525880496</v>
      </c>
      <c r="AJ5030">
        <v>77.785573589956101</v>
      </c>
      <c r="AK5030">
        <v>10.3715638514342</v>
      </c>
      <c r="AL5030">
        <v>85.563228845577001</v>
      </c>
      <c r="AM5030">
        <v>80.289929570067798</v>
      </c>
      <c r="AN5030">
        <v>1.00000001913252</v>
      </c>
    </row>
    <row r="5031" spans="1:40" x14ac:dyDescent="0.25">
      <c r="A5031" t="str">
        <f>"20190312151416666"</f>
        <v>20190312151416666</v>
      </c>
      <c r="B5031" t="str">
        <f>"1552374856655163"</f>
        <v>1552374856655163</v>
      </c>
      <c r="C5031" t="s">
        <v>40</v>
      </c>
      <c r="D5031">
        <v>4.7015659999999997</v>
      </c>
      <c r="E5031">
        <v>0.51675629999999995</v>
      </c>
      <c r="F5031" t="s">
        <v>41</v>
      </c>
      <c r="G5031">
        <v>-334.89350000000002</v>
      </c>
      <c r="H5031">
        <v>1.0302119999999999</v>
      </c>
      <c r="I5031">
        <v>17.052379999999999</v>
      </c>
      <c r="J5031">
        <v>-335.31650000000002</v>
      </c>
      <c r="K5031">
        <v>1.109945</v>
      </c>
      <c r="L5031">
        <v>17.243289999999998</v>
      </c>
      <c r="M5031">
        <v>0.99733879999999997</v>
      </c>
      <c r="N5031">
        <v>0</v>
      </c>
      <c r="O5031">
        <v>-7.2095619999999999E-2</v>
      </c>
      <c r="P5031">
        <v>0.96868960000000004</v>
      </c>
      <c r="Q5031">
        <v>6.6583619999999996E-2</v>
      </c>
      <c r="R5031">
        <v>-0.2391788</v>
      </c>
      <c r="S5031">
        <v>2.9094540000000002</v>
      </c>
      <c r="T5031">
        <v>-0.31728030000000002</v>
      </c>
      <c r="U5031">
        <v>-0.8479004</v>
      </c>
      <c r="V5031">
        <v>0.16869239999999999</v>
      </c>
      <c r="W5031">
        <v>7.7282379999999998E-2</v>
      </c>
      <c r="X5031">
        <v>0.98263440000000002</v>
      </c>
      <c r="Y5031">
        <v>0.20909620000000001</v>
      </c>
      <c r="Z5031">
        <v>-3.481413E-3</v>
      </c>
      <c r="AA5031">
        <v>0.97788889999999995</v>
      </c>
      <c r="AB5031">
        <v>32</v>
      </c>
      <c r="AC5031">
        <v>0.42300000000000099</v>
      </c>
      <c r="AD5031">
        <v>-7.9732999999999998E-2</v>
      </c>
      <c r="AE5031">
        <v>-0.190909999999998</v>
      </c>
      <c r="AF5031">
        <v>0.15532994886878099</v>
      </c>
      <c r="AG5031">
        <v>-7.9732999999999998E-2</v>
      </c>
      <c r="AH5031">
        <v>0.42317268963510202</v>
      </c>
      <c r="AI5031">
        <v>100.03061039542099</v>
      </c>
      <c r="AJ5031">
        <v>69.8438119220164</v>
      </c>
      <c r="AK5031">
        <v>0.457777095929432</v>
      </c>
      <c r="AL5031">
        <v>85.567626322939901</v>
      </c>
      <c r="AM5031">
        <v>80.258782848038294</v>
      </c>
      <c r="AN5031">
        <v>1.00000002806979</v>
      </c>
    </row>
    <row r="5032" spans="1:40" x14ac:dyDescent="0.25">
      <c r="A5032" t="str">
        <f>"20190312151416687"</f>
        <v>20190312151416687</v>
      </c>
      <c r="B5032" t="str">
        <f>"1552374856675659"</f>
        <v>1552374856675659</v>
      </c>
      <c r="C5032" t="s">
        <v>40</v>
      </c>
      <c r="D5032">
        <v>4.6904379999999897</v>
      </c>
      <c r="E5032">
        <v>0.51761469999999998</v>
      </c>
      <c r="F5032" t="s">
        <v>42</v>
      </c>
      <c r="G5032">
        <v>-325.09219999999999</v>
      </c>
      <c r="H5032" s="1">
        <v>-3.3035389999999998E-6</v>
      </c>
      <c r="I5032">
        <v>14.224349999999999</v>
      </c>
      <c r="J5032">
        <v>-335.00199999999899</v>
      </c>
      <c r="K5032">
        <v>1.1099509999999999</v>
      </c>
      <c r="L5032">
        <v>17.220700000000001</v>
      </c>
      <c r="M5032">
        <v>0.99734929999999999</v>
      </c>
      <c r="N5032">
        <v>0</v>
      </c>
      <c r="O5032">
        <v>-7.1950550000000002E-2</v>
      </c>
      <c r="P5032">
        <v>0.96858759999999999</v>
      </c>
      <c r="Q5032">
        <v>6.6330760000000002E-2</v>
      </c>
      <c r="R5032">
        <v>-0.23966309999999999</v>
      </c>
      <c r="S5032">
        <v>2.9067379999999998</v>
      </c>
      <c r="T5032">
        <v>-0.31555519999999998</v>
      </c>
      <c r="U5032">
        <v>-0.85827640000000005</v>
      </c>
      <c r="V5032">
        <v>0.1693257</v>
      </c>
      <c r="W5032">
        <v>7.703277E-2</v>
      </c>
      <c r="X5032">
        <v>0.982545</v>
      </c>
      <c r="Y5032">
        <v>0.21268390000000001</v>
      </c>
      <c r="Z5032">
        <v>-3.6696469999999998E-3</v>
      </c>
      <c r="AA5032">
        <v>0.97711409999999999</v>
      </c>
      <c r="AB5032">
        <v>33</v>
      </c>
      <c r="AC5032">
        <v>9.9097999999999598</v>
      </c>
      <c r="AD5032">
        <v>-1.109954303539</v>
      </c>
      <c r="AE5032">
        <v>-2.9963500000000001</v>
      </c>
      <c r="AF5032">
        <v>2.2496670626486801</v>
      </c>
      <c r="AG5032">
        <v>-1.109954303539</v>
      </c>
      <c r="AH5032">
        <v>9.98494325685696</v>
      </c>
      <c r="AI5032">
        <v>96.189220348136899</v>
      </c>
      <c r="AJ5032">
        <v>77.302932981490898</v>
      </c>
      <c r="AK5032">
        <v>10.295246101544301</v>
      </c>
      <c r="AL5032">
        <v>85.581970376740401</v>
      </c>
      <c r="AM5032">
        <v>80.222044749325804</v>
      </c>
      <c r="AN5032">
        <v>0.99999995867967995</v>
      </c>
    </row>
    <row r="5033" spans="1:40" x14ac:dyDescent="0.25">
      <c r="A5033" t="str">
        <f>"20190312151416699"</f>
        <v>20190312151416699</v>
      </c>
      <c r="B5033" t="str">
        <f>"1552374856695179"</f>
        <v>1552374856695179</v>
      </c>
      <c r="C5033" t="s">
        <v>40</v>
      </c>
      <c r="D5033">
        <v>4.5882209999999999</v>
      </c>
      <c r="E5033">
        <v>0.51850680000000005</v>
      </c>
      <c r="F5033" t="s">
        <v>42</v>
      </c>
      <c r="G5033">
        <v>-324.79969999999997</v>
      </c>
      <c r="H5033" s="1">
        <v>-3.4283869999999999E-6</v>
      </c>
      <c r="I5033">
        <v>14.177339999999999</v>
      </c>
      <c r="J5033">
        <v>-334.83190000000002</v>
      </c>
      <c r="K5033">
        <v>1.10995</v>
      </c>
      <c r="L5033">
        <v>17.208500000000001</v>
      </c>
      <c r="M5033">
        <v>0.99735499999999999</v>
      </c>
      <c r="N5033">
        <v>0</v>
      </c>
      <c r="O5033">
        <v>-7.1872130000000006E-2</v>
      </c>
      <c r="P5033">
        <v>0.96854830000000003</v>
      </c>
      <c r="Q5033">
        <v>6.6253809999999996E-2</v>
      </c>
      <c r="R5033">
        <v>-0.23984330000000001</v>
      </c>
      <c r="S5033">
        <v>2.9045100000000001</v>
      </c>
      <c r="T5033">
        <v>-0.3159962</v>
      </c>
      <c r="U5033">
        <v>-0.86642459999999899</v>
      </c>
      <c r="V5033">
        <v>0.1695854</v>
      </c>
      <c r="W5033">
        <v>7.6957189999999995E-2</v>
      </c>
      <c r="X5033">
        <v>0.9825062</v>
      </c>
      <c r="Y5033">
        <v>0.21546460000000001</v>
      </c>
      <c r="Z5033">
        <v>-3.8321050000000001E-3</v>
      </c>
      <c r="AA5033">
        <v>0.97650409999999999</v>
      </c>
      <c r="AB5033">
        <v>33</v>
      </c>
      <c r="AC5033">
        <v>10.0322</v>
      </c>
      <c r="AD5033">
        <v>-1.1099534283870001</v>
      </c>
      <c r="AE5033">
        <v>-3.0311599999999999</v>
      </c>
      <c r="AF5033">
        <v>2.2767043487295102</v>
      </c>
      <c r="AG5033">
        <v>-1.1099534283870001</v>
      </c>
      <c r="AH5033">
        <v>10.1107090911753</v>
      </c>
      <c r="AI5033">
        <v>96.112982152794203</v>
      </c>
      <c r="AJ5033">
        <v>77.309936101304501</v>
      </c>
      <c r="AK5033">
        <v>10.4231385691204</v>
      </c>
      <c r="AL5033">
        <v>85.586313978484</v>
      </c>
      <c r="AM5033">
        <v>80.206958904096396</v>
      </c>
      <c r="AN5033">
        <v>1.0000000250121399</v>
      </c>
    </row>
    <row r="5034" spans="1:40" x14ac:dyDescent="0.25">
      <c r="A5034" t="str">
        <f>"20190312151416710"</f>
        <v>20190312151416710</v>
      </c>
      <c r="B5034" t="str">
        <f>"1552374856705916"</f>
        <v>1552374856705916</v>
      </c>
      <c r="C5034" t="s">
        <v>40</v>
      </c>
      <c r="D5034">
        <v>4.5583939999999998</v>
      </c>
      <c r="E5034">
        <v>0.5188952</v>
      </c>
      <c r="F5034" t="s">
        <v>42</v>
      </c>
      <c r="G5034">
        <v>-324.55610000000001</v>
      </c>
      <c r="H5034" s="1">
        <v>-3.5384720000000002E-6</v>
      </c>
      <c r="I5034">
        <v>14.11523</v>
      </c>
      <c r="J5034">
        <v>-334.6669</v>
      </c>
      <c r="K5034">
        <v>1.109945</v>
      </c>
      <c r="L5034">
        <v>17.196660000000001</v>
      </c>
      <c r="M5034">
        <v>0.99736060000000004</v>
      </c>
      <c r="N5034">
        <v>0</v>
      </c>
      <c r="O5034">
        <v>-7.1796079999999998E-2</v>
      </c>
      <c r="P5034">
        <v>0.96847030000000001</v>
      </c>
      <c r="Q5034">
        <v>6.6220280000000006E-2</v>
      </c>
      <c r="R5034">
        <v>-0.24016799999999999</v>
      </c>
      <c r="S5034">
        <v>2.9024960000000002</v>
      </c>
      <c r="T5034">
        <v>-0.3135154</v>
      </c>
      <c r="U5034">
        <v>-0.87371829999999995</v>
      </c>
      <c r="V5034">
        <v>0.16998969999999999</v>
      </c>
      <c r="W5034">
        <v>7.6924870000000006E-2</v>
      </c>
      <c r="X5034">
        <v>0.9824389</v>
      </c>
      <c r="Y5034">
        <v>0.21797359999999999</v>
      </c>
      <c r="Z5034">
        <v>-3.9436999999999996E-3</v>
      </c>
      <c r="AA5034">
        <v>0.97594669999999895</v>
      </c>
      <c r="AB5034">
        <v>33</v>
      </c>
      <c r="AC5034">
        <v>10.1107999999999</v>
      </c>
      <c r="AD5034">
        <v>-1.109948538472</v>
      </c>
      <c r="AE5034">
        <v>-3.0814300000000001</v>
      </c>
      <c r="AF5034">
        <v>2.3219146074022698</v>
      </c>
      <c r="AG5034">
        <v>-1.109948538472</v>
      </c>
      <c r="AH5034">
        <v>10.193546641583101</v>
      </c>
      <c r="AI5034">
        <v>96.060273289892294</v>
      </c>
      <c r="AJ5034">
        <v>77.167947337428203</v>
      </c>
      <c r="AK5034">
        <v>10.513404126935001</v>
      </c>
      <c r="AL5034">
        <v>85.588171451590995</v>
      </c>
      <c r="AM5034">
        <v>80.183406107152706</v>
      </c>
      <c r="AN5034">
        <v>1.0000000629818999</v>
      </c>
    </row>
    <row r="5035" spans="1:40" x14ac:dyDescent="0.25">
      <c r="A5035" t="str">
        <f>"20190312151416721"</f>
        <v>20190312151416721</v>
      </c>
      <c r="B5035" t="str">
        <f>"1552374856715676"</f>
        <v>1552374856715676</v>
      </c>
      <c r="C5035" t="s">
        <v>40</v>
      </c>
      <c r="D5035">
        <v>4.5429839999999997</v>
      </c>
      <c r="E5035">
        <v>0.51925580000000005</v>
      </c>
      <c r="F5035" t="s">
        <v>42</v>
      </c>
      <c r="G5035">
        <v>-324.36599999999999</v>
      </c>
      <c r="H5035" s="1">
        <v>-3.6256909999999998E-6</v>
      </c>
      <c r="I5035">
        <v>14.08037</v>
      </c>
      <c r="J5035">
        <v>-334.4973</v>
      </c>
      <c r="K5035">
        <v>1.1099460000000001</v>
      </c>
      <c r="L5035">
        <v>17.184539999999998</v>
      </c>
      <c r="M5035">
        <v>0.99736599999999997</v>
      </c>
      <c r="N5035">
        <v>0</v>
      </c>
      <c r="O5035">
        <v>-7.1717530000000002E-2</v>
      </c>
      <c r="P5035">
        <v>0.96842200000000001</v>
      </c>
      <c r="Q5035">
        <v>6.6188070000000002E-2</v>
      </c>
      <c r="R5035">
        <v>-0.24037130000000001</v>
      </c>
      <c r="S5035">
        <v>2.9013979999999999</v>
      </c>
      <c r="T5035">
        <v>-0.31263259999999998</v>
      </c>
      <c r="U5035">
        <v>-0.87774660000000004</v>
      </c>
      <c r="V5035">
        <v>0.17027339999999999</v>
      </c>
      <c r="W5035">
        <v>7.6894889999999994E-2</v>
      </c>
      <c r="X5035">
        <v>0.98239209999999999</v>
      </c>
      <c r="Y5035">
        <v>0.21939040000000001</v>
      </c>
      <c r="Z5035">
        <v>-4.0160550000000001E-3</v>
      </c>
      <c r="AA5035">
        <v>0.97562890000000002</v>
      </c>
      <c r="AB5035">
        <v>33</v>
      </c>
      <c r="AC5035">
        <v>10.1313</v>
      </c>
      <c r="AD5035">
        <v>-1.109949625691</v>
      </c>
      <c r="AE5035">
        <v>-3.1041699999999901</v>
      </c>
      <c r="AF5035">
        <v>2.3438234856701601</v>
      </c>
      <c r="AG5035">
        <v>-1.109949625691</v>
      </c>
      <c r="AH5035">
        <v>10.215752301296099</v>
      </c>
      <c r="AI5035">
        <v>96.045053228185097</v>
      </c>
      <c r="AJ5035">
        <v>77.078132236099506</v>
      </c>
      <c r="AK5035">
        <v>10.539786135638</v>
      </c>
      <c r="AL5035">
        <v>85.589894209056595</v>
      </c>
      <c r="AM5035">
        <v>80.166883195706504</v>
      </c>
      <c r="AN5035">
        <v>1.00000004649904</v>
      </c>
    </row>
    <row r="5036" spans="1:40" x14ac:dyDescent="0.25">
      <c r="A5036" t="str">
        <f>"20190312151416735"</f>
        <v>20190312151416735</v>
      </c>
      <c r="B5036" t="str">
        <f>"1552374856725435"</f>
        <v>1552374856725435</v>
      </c>
      <c r="C5036" t="s">
        <v>40</v>
      </c>
      <c r="D5036">
        <v>4.4897199999999904</v>
      </c>
      <c r="E5036">
        <v>0.51962350000000002</v>
      </c>
      <c r="F5036" t="s">
        <v>42</v>
      </c>
      <c r="G5036">
        <v>-324.1497</v>
      </c>
      <c r="H5036" s="1">
        <v>-3.734785E-6</v>
      </c>
      <c r="I5036">
        <v>14.04156</v>
      </c>
      <c r="J5036">
        <v>-334.31699999999898</v>
      </c>
      <c r="K5036">
        <v>1.109945</v>
      </c>
      <c r="L5036">
        <v>17.171659999999999</v>
      </c>
      <c r="M5036">
        <v>0.99737209999999998</v>
      </c>
      <c r="N5036">
        <v>0</v>
      </c>
      <c r="O5036">
        <v>-7.1634450000000002E-2</v>
      </c>
      <c r="P5036">
        <v>0.96839770000000003</v>
      </c>
      <c r="Q5036">
        <v>6.5984580000000001E-2</v>
      </c>
      <c r="R5036">
        <v>-0.24052499999999999</v>
      </c>
      <c r="S5036">
        <v>2.9004210000000001</v>
      </c>
      <c r="T5036">
        <v>-0.31112069999999997</v>
      </c>
      <c r="U5036">
        <v>-0.88098140000000003</v>
      </c>
      <c r="V5036">
        <v>0.17051050000000001</v>
      </c>
      <c r="W5036">
        <v>7.6692839999999998E-2</v>
      </c>
      <c r="X5036">
        <v>0.98236670000000004</v>
      </c>
      <c r="Y5036">
        <v>0.2205598</v>
      </c>
      <c r="Z5036">
        <v>-4.0672729999999997E-3</v>
      </c>
      <c r="AA5036">
        <v>0.97536500000000004</v>
      </c>
      <c r="AB5036">
        <v>33</v>
      </c>
      <c r="AC5036">
        <v>10.1672999999999</v>
      </c>
      <c r="AD5036">
        <v>-1.1099487347849999</v>
      </c>
      <c r="AE5036">
        <v>-3.1300999999999899</v>
      </c>
      <c r="AF5036">
        <v>2.3679089010169898</v>
      </c>
      <c r="AG5036">
        <v>-1.1099487347849999</v>
      </c>
      <c r="AH5036">
        <v>10.253789955237099</v>
      </c>
      <c r="AI5036">
        <v>96.020831528398404</v>
      </c>
      <c r="AJ5036">
        <v>76.996631567628796</v>
      </c>
      <c r="AK5036">
        <v>10.5820218863641</v>
      </c>
      <c r="AL5036">
        <v>85.601504805076999</v>
      </c>
      <c r="AM5036">
        <v>80.153209125641794</v>
      </c>
      <c r="AN5036">
        <v>0.99999997779320204</v>
      </c>
    </row>
    <row r="5037" spans="1:40" x14ac:dyDescent="0.25">
      <c r="A5037" t="str">
        <f>"20190312151416746"</f>
        <v>20190312151416746</v>
      </c>
      <c r="B5037" t="str">
        <f>"1552374856735196"</f>
        <v>1552374856735196</v>
      </c>
      <c r="C5037" t="s">
        <v>40</v>
      </c>
      <c r="D5037">
        <v>4.4698469999999997</v>
      </c>
      <c r="E5037">
        <v>0.52003869999999996</v>
      </c>
      <c r="F5037" t="s">
        <v>42</v>
      </c>
      <c r="G5037">
        <v>-323.94459999999998</v>
      </c>
      <c r="H5037" s="1">
        <v>-3.8377030000000004E-6</v>
      </c>
      <c r="I5037">
        <v>14.008039999999999</v>
      </c>
      <c r="J5037">
        <v>-334.13130000000001</v>
      </c>
      <c r="K5037">
        <v>1.1099490000000001</v>
      </c>
      <c r="L5037">
        <v>17.158390000000001</v>
      </c>
      <c r="M5037">
        <v>0.99737810000000005</v>
      </c>
      <c r="N5037">
        <v>0</v>
      </c>
      <c r="O5037">
        <v>-7.1548870000000001E-2</v>
      </c>
      <c r="P5037">
        <v>0.96836009999999995</v>
      </c>
      <c r="Q5037">
        <v>6.5567990000000007E-2</v>
      </c>
      <c r="R5037">
        <v>-0.24078959999999999</v>
      </c>
      <c r="S5037">
        <v>2.8994140000000002</v>
      </c>
      <c r="T5037">
        <v>-0.31026769999999998</v>
      </c>
      <c r="U5037">
        <v>-0.88433839999999997</v>
      </c>
      <c r="V5037">
        <v>0.1708616</v>
      </c>
      <c r="W5037">
        <v>7.6278260000000001E-2</v>
      </c>
      <c r="X5037">
        <v>0.98233800000000004</v>
      </c>
      <c r="Y5037">
        <v>0.2217684</v>
      </c>
      <c r="Z5037">
        <v>-4.1288619999999996E-3</v>
      </c>
      <c r="AA5037">
        <v>0.97509060000000003</v>
      </c>
      <c r="AB5037">
        <v>33</v>
      </c>
      <c r="AC5037">
        <v>10.1867</v>
      </c>
      <c r="AD5037">
        <v>-1.1099528377029999</v>
      </c>
      <c r="AE5037">
        <v>-3.15035</v>
      </c>
      <c r="AF5037">
        <v>2.3875138872941002</v>
      </c>
      <c r="AG5037">
        <v>-1.1099528377029999</v>
      </c>
      <c r="AH5037">
        <v>10.2746692415647</v>
      </c>
      <c r="AI5037">
        <v>96.006821656825693</v>
      </c>
      <c r="AJ5037">
        <v>76.918392098852806</v>
      </c>
      <c r="AK5037">
        <v>10.6066510212934</v>
      </c>
      <c r="AL5037">
        <v>85.625328385881403</v>
      </c>
      <c r="AM5037">
        <v>80.133048973650602</v>
      </c>
      <c r="AN5037">
        <v>1.00000000277359</v>
      </c>
    </row>
    <row r="5038" spans="1:40" x14ac:dyDescent="0.25">
      <c r="A5038" t="str">
        <f>"20190312151416764"</f>
        <v>20190312151416764</v>
      </c>
      <c r="B5038" t="str">
        <f>"1552374856755691"</f>
        <v>1552374856755691</v>
      </c>
      <c r="C5038" t="s">
        <v>40</v>
      </c>
      <c r="D5038">
        <v>4.3948130000000001</v>
      </c>
      <c r="E5038">
        <v>0.52070799999999995</v>
      </c>
      <c r="F5038" t="s">
        <v>42</v>
      </c>
      <c r="G5038">
        <v>-323.73919999999998</v>
      </c>
      <c r="H5038" s="1">
        <v>-3.9409060000000004E-6</v>
      </c>
      <c r="I5038">
        <v>13.973629999999901</v>
      </c>
      <c r="J5038">
        <v>-333.87610000000001</v>
      </c>
      <c r="K5038">
        <v>1.10995</v>
      </c>
      <c r="L5038">
        <v>17.1402</v>
      </c>
      <c r="M5038">
        <v>0.99738660000000001</v>
      </c>
      <c r="N5038">
        <v>0</v>
      </c>
      <c r="O5038">
        <v>-7.1431099999999997E-2</v>
      </c>
      <c r="P5038">
        <v>0.96826290000000004</v>
      </c>
      <c r="Q5038">
        <v>6.5575300000000003E-2</v>
      </c>
      <c r="R5038">
        <v>-0.24117920000000001</v>
      </c>
      <c r="S5038">
        <v>2.8981020000000002</v>
      </c>
      <c r="T5038">
        <v>-0.30954019999999999</v>
      </c>
      <c r="U5038">
        <v>-0.88815309999999903</v>
      </c>
      <c r="V5038">
        <v>0.171373</v>
      </c>
      <c r="W5038">
        <v>7.6287300000000002E-2</v>
      </c>
      <c r="X5038">
        <v>0.98224820000000002</v>
      </c>
      <c r="Y5038">
        <v>0.2231757</v>
      </c>
      <c r="Z5038">
        <v>-4.2057789999999998E-3</v>
      </c>
      <c r="AA5038">
        <v>0.9747692</v>
      </c>
      <c r="AB5038">
        <v>33</v>
      </c>
      <c r="AC5038">
        <v>10.136900000000001</v>
      </c>
      <c r="AD5038">
        <v>-1.109953940906</v>
      </c>
      <c r="AE5038">
        <v>-3.1665700000000001</v>
      </c>
      <c r="AF5038">
        <v>2.4080433532946799</v>
      </c>
      <c r="AG5038">
        <v>-1.109953940906</v>
      </c>
      <c r="AH5038">
        <v>10.225508889754501</v>
      </c>
      <c r="AI5038">
        <v>96.031342773568198</v>
      </c>
      <c r="AJ5038">
        <v>76.748642936058303</v>
      </c>
      <c r="AK5038">
        <v>10.563697392330401</v>
      </c>
      <c r="AL5038">
        <v>85.624808870480194</v>
      </c>
      <c r="AM5038">
        <v>80.103212696251902</v>
      </c>
      <c r="AN5038">
        <v>0.99999999183676502</v>
      </c>
    </row>
    <row r="5039" spans="1:40" x14ac:dyDescent="0.25">
      <c r="A5039" t="str">
        <f>"20190312151416787"</f>
        <v>20190312151416787</v>
      </c>
      <c r="B5039" t="str">
        <f>"1552374856775212"</f>
        <v>1552374856775212</v>
      </c>
      <c r="C5039" t="s">
        <v>40</v>
      </c>
      <c r="D5039">
        <v>4.3376950000000001</v>
      </c>
      <c r="E5039">
        <v>0.52145620000000004</v>
      </c>
      <c r="F5039" t="s">
        <v>42</v>
      </c>
      <c r="G5039">
        <v>-323.3784</v>
      </c>
      <c r="H5039" s="1">
        <v>-4.1248970000000002E-6</v>
      </c>
      <c r="I5039">
        <v>13.897790000000001</v>
      </c>
      <c r="J5039">
        <v>-333.54989999999998</v>
      </c>
      <c r="K5039">
        <v>1.1099559999999999</v>
      </c>
      <c r="L5039">
        <v>17.116969999999998</v>
      </c>
      <c r="M5039">
        <v>0.99739739999999999</v>
      </c>
      <c r="N5039">
        <v>0</v>
      </c>
      <c r="O5039">
        <v>-7.1280430000000006E-2</v>
      </c>
      <c r="P5039">
        <v>0.96814169999999999</v>
      </c>
      <c r="Q5039">
        <v>6.5634700000000004E-2</v>
      </c>
      <c r="R5039">
        <v>-0.24164869999999999</v>
      </c>
      <c r="S5039">
        <v>2.8962400000000001</v>
      </c>
      <c r="T5039">
        <v>-0.30623040000000001</v>
      </c>
      <c r="U5039">
        <v>-0.89456179999999996</v>
      </c>
      <c r="V5039">
        <v>0.1719985</v>
      </c>
      <c r="W5039">
        <v>7.6349570000000005E-2</v>
      </c>
      <c r="X5039">
        <v>0.98213399999999995</v>
      </c>
      <c r="Y5039">
        <v>0.22547210000000001</v>
      </c>
      <c r="Z5039">
        <v>-4.2961639999999999E-3</v>
      </c>
      <c r="AA5039">
        <v>0.9742402</v>
      </c>
      <c r="AB5039">
        <v>33</v>
      </c>
      <c r="AC5039">
        <v>10.171499999999901</v>
      </c>
      <c r="AD5039">
        <v>-1.1099601248969999</v>
      </c>
      <c r="AE5039">
        <v>-3.2191800000000002</v>
      </c>
      <c r="AF5039">
        <v>2.4592995730895901</v>
      </c>
      <c r="AG5039">
        <v>-1.1099601248969999</v>
      </c>
      <c r="AH5039">
        <v>10.264004622177501</v>
      </c>
      <c r="AI5039">
        <v>96.003410028482094</v>
      </c>
      <c r="AJ5039">
        <v>76.5257061703537</v>
      </c>
      <c r="AK5039">
        <v>10.612726169705001</v>
      </c>
      <c r="AL5039">
        <v>85.621230519076406</v>
      </c>
      <c r="AM5039">
        <v>80.066676249533401</v>
      </c>
      <c r="AN5039">
        <v>0.99999996739871599</v>
      </c>
    </row>
    <row r="5040" spans="1:40" x14ac:dyDescent="0.25">
      <c r="A5040" t="str">
        <f>"20190312151416798"</f>
        <v>20190312151416798</v>
      </c>
      <c r="B5040" t="str">
        <f>"1552374856795707"</f>
        <v>1552374856795707</v>
      </c>
      <c r="C5040" t="s">
        <v>40</v>
      </c>
      <c r="D5040">
        <v>4.2568789999999996</v>
      </c>
      <c r="E5040">
        <v>0.52213620000000005</v>
      </c>
      <c r="F5040" t="s">
        <v>42</v>
      </c>
      <c r="G5040">
        <v>-322.92869999999999</v>
      </c>
      <c r="H5040" s="1">
        <v>-4.3532199999999998E-6</v>
      </c>
      <c r="I5040">
        <v>13.80904</v>
      </c>
      <c r="J5040">
        <v>-333.37689999999998</v>
      </c>
      <c r="K5040">
        <v>1.1099570000000001</v>
      </c>
      <c r="L5040">
        <v>17.104710000000001</v>
      </c>
      <c r="M5040">
        <v>0.99740300000000004</v>
      </c>
      <c r="N5040">
        <v>0</v>
      </c>
      <c r="O5040">
        <v>-7.1200579999999999E-2</v>
      </c>
      <c r="P5040">
        <v>0.96807030000000005</v>
      </c>
      <c r="Q5040">
        <v>6.5983029999999998E-2</v>
      </c>
      <c r="R5040">
        <v>-0.2418392</v>
      </c>
      <c r="S5040">
        <v>2.8942260000000002</v>
      </c>
      <c r="T5040">
        <v>-0.3024598</v>
      </c>
      <c r="U5040">
        <v>-0.90139769999999997</v>
      </c>
      <c r="V5040">
        <v>0.17227210000000001</v>
      </c>
      <c r="W5040">
        <v>7.6699030000000001E-2</v>
      </c>
      <c r="X5040">
        <v>0.98205880000000001</v>
      </c>
      <c r="Y5040">
        <v>0.2278462</v>
      </c>
      <c r="Z5040">
        <v>-4.3740050000000003E-3</v>
      </c>
      <c r="AA5040">
        <v>0.97368730000000003</v>
      </c>
      <c r="AB5040">
        <v>33</v>
      </c>
      <c r="AC5040">
        <v>10.4481999999999</v>
      </c>
      <c r="AD5040">
        <v>-1.1099613532199999</v>
      </c>
      <c r="AE5040">
        <v>-3.2956699999999999</v>
      </c>
      <c r="AF5040">
        <v>2.51750198407996</v>
      </c>
      <c r="AG5040">
        <v>-1.1099613532199999</v>
      </c>
      <c r="AH5040">
        <v>10.5480758836921</v>
      </c>
      <c r="AI5040">
        <v>95.844099216066496</v>
      </c>
      <c r="AJ5040">
        <v>76.576379010402903</v>
      </c>
      <c r="AK5040">
        <v>10.900996986221701</v>
      </c>
      <c r="AL5040">
        <v>85.601148983439003</v>
      </c>
      <c r="AM5040">
        <v>80.050444056611695</v>
      </c>
      <c r="AN5040">
        <v>0.99999995214939397</v>
      </c>
    </row>
    <row r="5041" spans="1:40" x14ac:dyDescent="0.25">
      <c r="A5041" t="str">
        <f>"20190312151416809"</f>
        <v>20190312151416809</v>
      </c>
      <c r="B5041" t="str">
        <f>"1552374856805468"</f>
        <v>1552374856805468</v>
      </c>
      <c r="C5041" t="s">
        <v>40</v>
      </c>
      <c r="D5041">
        <v>4.2767720000000002</v>
      </c>
      <c r="E5041">
        <v>0.52213620000000005</v>
      </c>
      <c r="F5041" t="s">
        <v>42</v>
      </c>
      <c r="G5041">
        <v>-322.59449999999998</v>
      </c>
      <c r="H5041" s="1">
        <v>-4.526285E-6</v>
      </c>
      <c r="I5041">
        <v>13.72406</v>
      </c>
      <c r="J5041">
        <v>-333.22699999999998</v>
      </c>
      <c r="K5041">
        <v>1.1099589999999999</v>
      </c>
      <c r="L5041">
        <v>17.094059999999999</v>
      </c>
      <c r="M5041">
        <v>0.99740779999999996</v>
      </c>
      <c r="N5041">
        <v>0</v>
      </c>
      <c r="O5041">
        <v>-7.1131449999999999E-2</v>
      </c>
      <c r="P5041">
        <v>0.96803189999999995</v>
      </c>
      <c r="Q5041">
        <v>6.6362539999999998E-2</v>
      </c>
      <c r="R5041">
        <v>-0.24188879999999999</v>
      </c>
      <c r="S5041">
        <v>2.8926699999999999</v>
      </c>
      <c r="T5041">
        <v>-0.2977785</v>
      </c>
      <c r="U5041">
        <v>-0.90695190000000003</v>
      </c>
      <c r="V5041">
        <v>0.172392299999999</v>
      </c>
      <c r="W5041">
        <v>7.7078889999999997E-2</v>
      </c>
      <c r="X5041">
        <v>0.98200799999999999</v>
      </c>
      <c r="Y5041">
        <v>0.22977900000000001</v>
      </c>
      <c r="Z5041">
        <v>-4.4115639999999998E-3</v>
      </c>
      <c r="AA5041">
        <v>0.97323280000000001</v>
      </c>
      <c r="AB5041">
        <v>33</v>
      </c>
      <c r="AC5041">
        <v>10.632499999999901</v>
      </c>
      <c r="AD5041">
        <v>-1.1099635262849901</v>
      </c>
      <c r="AE5041">
        <v>-3.3699999999999899</v>
      </c>
      <c r="AF5041">
        <v>2.5795670428613802</v>
      </c>
      <c r="AG5041">
        <v>-1.1099635262849901</v>
      </c>
      <c r="AH5041">
        <v>10.7389420905613</v>
      </c>
      <c r="AI5041">
        <v>95.738956434263102</v>
      </c>
      <c r="AJ5041">
        <v>76.493063151347002</v>
      </c>
      <c r="AK5041">
        <v>11.100047854974701</v>
      </c>
      <c r="AL5041">
        <v>85.579320137174307</v>
      </c>
      <c r="AM5041">
        <v>80.043136039433193</v>
      </c>
      <c r="AN5041">
        <v>0.99999998622345998</v>
      </c>
    </row>
    <row r="5042" spans="1:40" x14ac:dyDescent="0.25">
      <c r="A5042" t="str">
        <f>"20190312151416832"</f>
        <v>20190312151416832</v>
      </c>
      <c r="B5042" t="str">
        <f>"1552374856824987"</f>
        <v>1552374856824987</v>
      </c>
      <c r="C5042" t="s">
        <v>40</v>
      </c>
      <c r="D5042">
        <v>4.2153099999999997</v>
      </c>
      <c r="E5042">
        <v>0.53287399999999996</v>
      </c>
      <c r="F5042" t="s">
        <v>42</v>
      </c>
      <c r="G5042">
        <v>-322.40339999999998</v>
      </c>
      <c r="H5042" s="1">
        <v>-4.6209269999999998E-6</v>
      </c>
      <c r="I5042">
        <v>13.69966</v>
      </c>
      <c r="J5042">
        <v>-332.8845</v>
      </c>
      <c r="K5042">
        <v>1.109961</v>
      </c>
      <c r="L5042">
        <v>17.069790000000001</v>
      </c>
      <c r="M5042">
        <v>0.99741919999999995</v>
      </c>
      <c r="N5042">
        <v>0</v>
      </c>
      <c r="O5042">
        <v>-7.0973389999999997E-2</v>
      </c>
      <c r="P5042">
        <v>0.96799539999999995</v>
      </c>
      <c r="Q5042">
        <v>6.674331E-2</v>
      </c>
      <c r="R5042">
        <v>-0.24193149999999999</v>
      </c>
      <c r="S5042">
        <v>2.8927309999999999</v>
      </c>
      <c r="T5042">
        <v>-0.29665219999999998</v>
      </c>
      <c r="U5042">
        <v>-0.907196</v>
      </c>
      <c r="V5042">
        <v>0.17259279999999999</v>
      </c>
      <c r="W5042">
        <v>7.7462550000000005E-2</v>
      </c>
      <c r="X5042">
        <v>0.9819426</v>
      </c>
      <c r="Y5042">
        <v>0.23000609999999999</v>
      </c>
      <c r="Z5042">
        <v>-4.421843E-3</v>
      </c>
      <c r="AA5042">
        <v>0.97317920000000002</v>
      </c>
      <c r="AB5042">
        <v>33</v>
      </c>
      <c r="AC5042">
        <v>10.4811</v>
      </c>
      <c r="AD5042">
        <v>-1.1099656209269999</v>
      </c>
      <c r="AE5042">
        <v>-3.3701300000000001</v>
      </c>
      <c r="AF5042">
        <v>2.5913678875588202</v>
      </c>
      <c r="AG5042">
        <v>-1.1099656209269999</v>
      </c>
      <c r="AH5042">
        <v>10.586267692616399</v>
      </c>
      <c r="AI5042">
        <v>95.815110088081994</v>
      </c>
      <c r="AJ5042">
        <v>76.245278291769495</v>
      </c>
      <c r="AK5042">
        <v>10.9551939676139</v>
      </c>
      <c r="AL5042">
        <v>85.557272158860002</v>
      </c>
      <c r="AM5042">
        <v>80.031137303058699</v>
      </c>
      <c r="AN5042">
        <v>0.99999999547955098</v>
      </c>
    </row>
    <row r="5043" spans="1:40" x14ac:dyDescent="0.25">
      <c r="A5043" t="str">
        <f>"20190312151416845"</f>
        <v>20190312151416845</v>
      </c>
      <c r="B5043" t="str">
        <f>"1552374856835724"</f>
        <v>1552374856835724</v>
      </c>
      <c r="C5043" t="s">
        <v>40</v>
      </c>
      <c r="D5043">
        <v>4.1157490000000001</v>
      </c>
      <c r="E5043">
        <v>0.53339209999999904</v>
      </c>
      <c r="F5043" t="s">
        <v>43</v>
      </c>
      <c r="G5043">
        <v>-317.952</v>
      </c>
      <c r="H5043">
        <v>-0.05</v>
      </c>
      <c r="I5043">
        <v>11.92018</v>
      </c>
      <c r="J5043">
        <v>-332.69920000000002</v>
      </c>
      <c r="K5043">
        <v>1.1099619999999999</v>
      </c>
      <c r="L5043">
        <v>17.056699999999999</v>
      </c>
      <c r="M5043">
        <v>0.99742529999999996</v>
      </c>
      <c r="N5043">
        <v>0</v>
      </c>
      <c r="O5043">
        <v>-7.0887919999999993E-2</v>
      </c>
      <c r="P5043">
        <v>0.96796130000000002</v>
      </c>
      <c r="Q5043">
        <v>6.6838010000000003E-2</v>
      </c>
      <c r="R5043">
        <v>-0.24204149999999999</v>
      </c>
      <c r="S5043">
        <v>2.867432</v>
      </c>
      <c r="T5043">
        <v>-0.22274260000000001</v>
      </c>
      <c r="U5043">
        <v>-0.98886110000000005</v>
      </c>
      <c r="V5043">
        <v>0.17278940000000001</v>
      </c>
      <c r="W5043">
        <v>7.7558580000000002E-2</v>
      </c>
      <c r="X5043">
        <v>0.98190049999999995</v>
      </c>
      <c r="Y5043">
        <v>0.25767839999999997</v>
      </c>
      <c r="Z5043">
        <v>-4.3880020000000002E-3</v>
      </c>
      <c r="AA5043">
        <v>0.96622079999999999</v>
      </c>
      <c r="AB5043">
        <v>33</v>
      </c>
      <c r="AC5043">
        <v>14.747199999999999</v>
      </c>
      <c r="AD5043">
        <v>-1.1599619999999999</v>
      </c>
      <c r="AE5043">
        <v>-5.1365199999999902</v>
      </c>
      <c r="AF5043">
        <v>4.0557590752607897</v>
      </c>
      <c r="AG5043">
        <v>-1.1599619999999999</v>
      </c>
      <c r="AH5043">
        <v>14.9915192342099</v>
      </c>
      <c r="AI5043">
        <v>94.271464170259705</v>
      </c>
      <c r="AJ5043">
        <v>74.861757062747103</v>
      </c>
      <c r="AK5043">
        <v>15.5737067671023</v>
      </c>
      <c r="AL5043">
        <v>85.551753689667606</v>
      </c>
      <c r="AM5043">
        <v>80.019590667102094</v>
      </c>
      <c r="AN5043">
        <v>1.0000000509921101</v>
      </c>
    </row>
    <row r="5044" spans="1:40" x14ac:dyDescent="0.25">
      <c r="A5044" t="str">
        <f>"20190312151416867"</f>
        <v>20190312151416867</v>
      </c>
      <c r="B5044" t="str">
        <f>"1552374856855243"</f>
        <v>1552374856855243</v>
      </c>
      <c r="C5044" t="s">
        <v>40</v>
      </c>
      <c r="D5044">
        <v>4.157457</v>
      </c>
      <c r="E5044">
        <v>0.53368190000000004</v>
      </c>
      <c r="F5044" t="s">
        <v>43</v>
      </c>
      <c r="G5044">
        <v>-317.48750000000001</v>
      </c>
      <c r="H5044">
        <v>-0.05</v>
      </c>
      <c r="I5044">
        <v>11.785600000000001</v>
      </c>
      <c r="J5044">
        <v>-332.38369999999998</v>
      </c>
      <c r="K5044">
        <v>1.109955</v>
      </c>
      <c r="L5044">
        <v>17.034389999999998</v>
      </c>
      <c r="M5044">
        <v>0.99743559999999998</v>
      </c>
      <c r="N5044">
        <v>0</v>
      </c>
      <c r="O5044">
        <v>-7.0742150000000004E-2</v>
      </c>
      <c r="P5044">
        <v>0.96792529999999999</v>
      </c>
      <c r="Q5044">
        <v>6.6423949999999995E-2</v>
      </c>
      <c r="R5044">
        <v>-0.24229999999999999</v>
      </c>
      <c r="S5044">
        <v>2.8660580000000002</v>
      </c>
      <c r="T5044">
        <v>-0.21854950000000001</v>
      </c>
      <c r="U5044">
        <v>-0.9931335</v>
      </c>
      <c r="V5044">
        <v>0.17319329999999999</v>
      </c>
      <c r="W5044">
        <v>7.7146870000000006E-2</v>
      </c>
      <c r="X5044">
        <v>0.98186169999999995</v>
      </c>
      <c r="Y5044">
        <v>0.25926250000000001</v>
      </c>
      <c r="Z5044">
        <v>-4.3759300000000001E-3</v>
      </c>
      <c r="AA5044">
        <v>0.96579689999999996</v>
      </c>
      <c r="AB5044">
        <v>33</v>
      </c>
      <c r="AC5044">
        <v>14.896199999999901</v>
      </c>
      <c r="AD5044">
        <v>-1.1599549999999901</v>
      </c>
      <c r="AE5044">
        <v>-5.2487899999999899</v>
      </c>
      <c r="AF5044">
        <v>4.1593518206448996</v>
      </c>
      <c r="AG5044">
        <v>-1.1599549999999901</v>
      </c>
      <c r="AH5044">
        <v>15.1484979154587</v>
      </c>
      <c r="AI5044">
        <v>94.223026652264195</v>
      </c>
      <c r="AJ5044">
        <v>74.646555153059694</v>
      </c>
      <c r="AK5044">
        <v>15.7519107496387</v>
      </c>
      <c r="AL5044">
        <v>85.575413502581696</v>
      </c>
      <c r="AM5044">
        <v>79.996344539273096</v>
      </c>
      <c r="AN5044">
        <v>0.99999997832128795</v>
      </c>
    </row>
    <row r="5045" spans="1:40" x14ac:dyDescent="0.25">
      <c r="A5045" t="str">
        <f>"20190312151416889"</f>
        <v>20190312151416889</v>
      </c>
      <c r="B5045" t="str">
        <f>"1552374856885501"</f>
        <v>1552374856885501</v>
      </c>
      <c r="C5045" t="s">
        <v>40</v>
      </c>
      <c r="D5045">
        <v>4.0909680000000002</v>
      </c>
      <c r="E5045">
        <v>0.53444879999999995</v>
      </c>
      <c r="F5045" t="s">
        <v>43</v>
      </c>
      <c r="G5045">
        <v>-317.37509999999997</v>
      </c>
      <c r="H5045">
        <v>-0.05</v>
      </c>
      <c r="I5045">
        <v>11.818659999999999</v>
      </c>
      <c r="J5045">
        <v>-332.0634</v>
      </c>
      <c r="K5045">
        <v>1.109953</v>
      </c>
      <c r="L5045">
        <v>17.011839999999999</v>
      </c>
      <c r="M5045">
        <v>0.9974459</v>
      </c>
      <c r="N5045">
        <v>0</v>
      </c>
      <c r="O5045">
        <v>-7.0595790000000005E-2</v>
      </c>
      <c r="P5045">
        <v>0.96789829999999999</v>
      </c>
      <c r="Q5045">
        <v>6.600934E-2</v>
      </c>
      <c r="R5045">
        <v>-0.24252009999999999</v>
      </c>
      <c r="S5045">
        <v>2.8653559999999998</v>
      </c>
      <c r="T5045">
        <v>-0.22145200000000001</v>
      </c>
      <c r="U5045">
        <v>-0.99575809999999998</v>
      </c>
      <c r="V5045">
        <v>0.173559299999999</v>
      </c>
      <c r="W5045">
        <v>7.6734689999999994E-2</v>
      </c>
      <c r="X5045">
        <v>0.98182939999999996</v>
      </c>
      <c r="Y5045">
        <v>0.2602508</v>
      </c>
      <c r="Z5045">
        <v>-4.4822509999999996E-3</v>
      </c>
      <c r="AA5045">
        <v>0.96553060000000002</v>
      </c>
      <c r="AB5045">
        <v>33</v>
      </c>
      <c r="AC5045">
        <v>14.6883</v>
      </c>
      <c r="AD5045">
        <v>-1.159953</v>
      </c>
      <c r="AE5045">
        <v>-5.1931799999999901</v>
      </c>
      <c r="AF5045">
        <v>4.1203868851264902</v>
      </c>
      <c r="AG5045">
        <v>-1.159953</v>
      </c>
      <c r="AH5045">
        <v>14.9354918670861</v>
      </c>
      <c r="AI5045">
        <v>94.281597812949798</v>
      </c>
      <c r="AJ5045">
        <v>74.576943184072803</v>
      </c>
      <c r="AK5045">
        <v>15.5367949190664</v>
      </c>
      <c r="AL5045">
        <v>85.599100018467098</v>
      </c>
      <c r="AM5045">
        <v>79.975309601871004</v>
      </c>
      <c r="AN5045">
        <v>1.00000000698512</v>
      </c>
    </row>
    <row r="5046" spans="1:40" x14ac:dyDescent="0.25">
      <c r="A5046" t="str">
        <f>"20190312151416910"</f>
        <v>20190312151416910</v>
      </c>
      <c r="B5046" t="str">
        <f>"1552374856905020"</f>
        <v>1552374856905020</v>
      </c>
      <c r="C5046" t="s">
        <v>40</v>
      </c>
      <c r="D5046">
        <v>4.0635240000000001</v>
      </c>
      <c r="E5046">
        <v>0.53517399999999904</v>
      </c>
      <c r="F5046" t="s">
        <v>43</v>
      </c>
      <c r="G5046">
        <v>-317.01229999999998</v>
      </c>
      <c r="H5046">
        <v>-0.05</v>
      </c>
      <c r="I5046">
        <v>11.742570000000001</v>
      </c>
      <c r="J5046">
        <v>-331.74549999999999</v>
      </c>
      <c r="K5046">
        <v>1.1099509999999999</v>
      </c>
      <c r="L5046">
        <v>16.9895</v>
      </c>
      <c r="M5046">
        <v>0.99745609999999996</v>
      </c>
      <c r="N5046">
        <v>0</v>
      </c>
      <c r="O5046">
        <v>-7.0451929999999996E-2</v>
      </c>
      <c r="P5046">
        <v>0.96788399999999997</v>
      </c>
      <c r="Q5046">
        <v>6.6019510000000003E-2</v>
      </c>
      <c r="R5046">
        <v>-0.24257429999999999</v>
      </c>
      <c r="S5046">
        <v>2.8633419999999998</v>
      </c>
      <c r="T5046">
        <v>-0.22067220000000001</v>
      </c>
      <c r="U5046">
        <v>-1.0024409999999999</v>
      </c>
      <c r="V5046">
        <v>0.1737562</v>
      </c>
      <c r="W5046">
        <v>7.6747040000000002E-2</v>
      </c>
      <c r="X5046">
        <v>0.98179360000000004</v>
      </c>
      <c r="Y5046">
        <v>0.262605599999999</v>
      </c>
      <c r="Z5046">
        <v>-4.5665860000000001E-3</v>
      </c>
      <c r="AA5046">
        <v>0.96489239999999998</v>
      </c>
      <c r="AB5046">
        <v>33</v>
      </c>
      <c r="AC5046">
        <v>14.7332</v>
      </c>
      <c r="AD5046">
        <v>-1.159951</v>
      </c>
      <c r="AE5046">
        <v>-5.2469299999999999</v>
      </c>
      <c r="AF5046">
        <v>4.1728928877151201</v>
      </c>
      <c r="AG5046">
        <v>-1.159951</v>
      </c>
      <c r="AH5046">
        <v>14.9838409981484</v>
      </c>
      <c r="AI5046">
        <v>94.264965867669403</v>
      </c>
      <c r="AJ5046">
        <v>74.437859179775899</v>
      </c>
      <c r="AK5046">
        <v>15.5972437447306</v>
      </c>
      <c r="AL5046">
        <v>85.598390287951602</v>
      </c>
      <c r="AM5046">
        <v>79.963809325326295</v>
      </c>
      <c r="AN5046">
        <v>0.99999999909407999</v>
      </c>
    </row>
    <row r="5047" spans="1:40" x14ac:dyDescent="0.25">
      <c r="A5047" t="str">
        <f>"20190312151416932"</f>
        <v>20190312151416932</v>
      </c>
      <c r="B5047" t="str">
        <f>"1552374856925519"</f>
        <v>1552374856925519</v>
      </c>
      <c r="C5047" t="s">
        <v>40</v>
      </c>
      <c r="D5047">
        <v>4.030691</v>
      </c>
      <c r="E5047">
        <v>0.54753569999999996</v>
      </c>
      <c r="F5047" t="s">
        <v>43</v>
      </c>
      <c r="G5047">
        <v>-316.4991</v>
      </c>
      <c r="H5047">
        <v>-0.05</v>
      </c>
      <c r="I5047">
        <v>11.618259999999999</v>
      </c>
      <c r="J5047">
        <v>-331.43</v>
      </c>
      <c r="K5047">
        <v>1.10995</v>
      </c>
      <c r="L5047">
        <v>16.967379999999999</v>
      </c>
      <c r="M5047">
        <v>0.99746590000000002</v>
      </c>
      <c r="N5047">
        <v>0</v>
      </c>
      <c r="O5047">
        <v>-7.0311170000000006E-2</v>
      </c>
      <c r="P5047">
        <v>0.96775009999999995</v>
      </c>
      <c r="Q5047">
        <v>6.5865489999999999E-2</v>
      </c>
      <c r="R5047">
        <v>-0.2431497</v>
      </c>
      <c r="S5047">
        <v>2.8617249999999999</v>
      </c>
      <c r="T5047">
        <v>-0.2177221</v>
      </c>
      <c r="U5047">
        <v>-1.0081789999999999</v>
      </c>
      <c r="V5047">
        <v>0.17447839999999901</v>
      </c>
      <c r="W5047">
        <v>7.6593960000000003E-2</v>
      </c>
      <c r="X5047">
        <v>0.98167749999999998</v>
      </c>
      <c r="Y5047">
        <v>0.26464090000000001</v>
      </c>
      <c r="Z5047">
        <v>-4.5920989999999997E-3</v>
      </c>
      <c r="AA5047">
        <v>0.96433610000000003</v>
      </c>
      <c r="AB5047">
        <v>33</v>
      </c>
      <c r="AC5047">
        <v>14.930899999999999</v>
      </c>
      <c r="AD5047">
        <v>-1.15995</v>
      </c>
      <c r="AE5047">
        <v>-5.3491199999999903</v>
      </c>
      <c r="AF5047">
        <v>4.2632054940656401</v>
      </c>
      <c r="AG5047">
        <v>-1.15995</v>
      </c>
      <c r="AH5047">
        <v>15.1888251042264</v>
      </c>
      <c r="AI5047">
        <v>94.205234023482404</v>
      </c>
      <c r="AJ5047">
        <v>74.321610077242298</v>
      </c>
      <c r="AK5047">
        <v>15.8183694840495</v>
      </c>
      <c r="AL5047">
        <v>85.607187156955902</v>
      </c>
      <c r="AM5047">
        <v>79.921780781108296</v>
      </c>
      <c r="AN5047">
        <v>1.00000003039064</v>
      </c>
    </row>
    <row r="5048" spans="1:40" x14ac:dyDescent="0.25">
      <c r="A5048" t="str">
        <f>"20190312151416954"</f>
        <v>20190312151416954</v>
      </c>
      <c r="B5048" t="str">
        <f>"1552374856945035"</f>
        <v>1552374856945035</v>
      </c>
      <c r="C5048" t="s">
        <v>40</v>
      </c>
      <c r="D5048">
        <v>4.0184839999999999</v>
      </c>
      <c r="E5048">
        <v>0.548647</v>
      </c>
      <c r="F5048" t="s">
        <v>43</v>
      </c>
      <c r="G5048">
        <v>-315.59710000000001</v>
      </c>
      <c r="H5048">
        <v>-0.05</v>
      </c>
      <c r="I5048">
        <v>10.796720000000001</v>
      </c>
      <c r="J5048">
        <v>-331.1096</v>
      </c>
      <c r="K5048">
        <v>1.1099479999999999</v>
      </c>
      <c r="L5048">
        <v>16.94492</v>
      </c>
      <c r="M5048">
        <v>0.99747560000000002</v>
      </c>
      <c r="N5048">
        <v>0</v>
      </c>
      <c r="O5048">
        <v>-7.0172230000000002E-2</v>
      </c>
      <c r="P5048">
        <v>0.96768399999999999</v>
      </c>
      <c r="Q5048">
        <v>6.5311659999999994E-2</v>
      </c>
      <c r="R5048">
        <v>-0.243562</v>
      </c>
      <c r="S5048">
        <v>2.8363649999999998</v>
      </c>
      <c r="T5048">
        <v>-0.20779839999999999</v>
      </c>
      <c r="U5048">
        <v>-1.1054379999999999</v>
      </c>
      <c r="V5048">
        <v>0.17503189999999999</v>
      </c>
      <c r="W5048">
        <v>7.604197E-2</v>
      </c>
      <c r="X5048">
        <v>0.98162190000000005</v>
      </c>
      <c r="Y5048">
        <v>0.29632900000000001</v>
      </c>
      <c r="Z5048">
        <v>-5.5243169999999999E-3</v>
      </c>
      <c r="AA5048">
        <v>0.95506999999999997</v>
      </c>
      <c r="AB5048">
        <v>33</v>
      </c>
      <c r="AC5048">
        <v>15.5124999999999</v>
      </c>
      <c r="AD5048">
        <v>-1.159948</v>
      </c>
      <c r="AE5048">
        <v>-6.1481999999999903</v>
      </c>
      <c r="AF5048">
        <v>5.0201724379452797</v>
      </c>
      <c r="AG5048">
        <v>-1.159948</v>
      </c>
      <c r="AH5048">
        <v>15.829223277845299</v>
      </c>
      <c r="AI5048">
        <v>93.995633257243099</v>
      </c>
      <c r="AJ5048">
        <v>72.403791818091406</v>
      </c>
      <c r="AK5048">
        <v>16.646678955554101</v>
      </c>
      <c r="AL5048">
        <v>85.638906451374197</v>
      </c>
      <c r="AM5048">
        <v>79.889907158970601</v>
      </c>
      <c r="AN5048">
        <v>1.0000000508893401</v>
      </c>
    </row>
    <row r="5049" spans="1:40" x14ac:dyDescent="0.25">
      <c r="A5049" t="str">
        <f>"20190312151416966"</f>
        <v>20190312151416966</v>
      </c>
      <c r="B5049" t="str">
        <f>"1552374856955772"</f>
        <v>1552374856955772</v>
      </c>
      <c r="C5049" t="s">
        <v>40</v>
      </c>
      <c r="D5049">
        <v>4.0118790000000004</v>
      </c>
      <c r="E5049">
        <v>0.54907790000000001</v>
      </c>
      <c r="F5049" t="s">
        <v>43</v>
      </c>
      <c r="G5049">
        <v>-315.76299999999998</v>
      </c>
      <c r="H5049">
        <v>-0.05</v>
      </c>
      <c r="I5049">
        <v>10.904339999999999</v>
      </c>
      <c r="J5049">
        <v>-330.93650000000002</v>
      </c>
      <c r="K5049">
        <v>1.109945</v>
      </c>
      <c r="L5049">
        <v>16.9328</v>
      </c>
      <c r="M5049">
        <v>0.99748079999999995</v>
      </c>
      <c r="N5049">
        <v>0</v>
      </c>
      <c r="O5049">
        <v>-7.0099179999999997E-2</v>
      </c>
      <c r="P5049">
        <v>0.96763600000000005</v>
      </c>
      <c r="Q5049">
        <v>6.5318020000000004E-2</v>
      </c>
      <c r="R5049">
        <v>-0.2437503</v>
      </c>
      <c r="S5049">
        <v>2.8338930000000002</v>
      </c>
      <c r="T5049">
        <v>-0.21419540000000001</v>
      </c>
      <c r="U5049">
        <v>-1.115448</v>
      </c>
      <c r="V5049">
        <v>0.17529549999999999</v>
      </c>
      <c r="W5049">
        <v>7.6048630000000006E-2</v>
      </c>
      <c r="X5049">
        <v>0.98157430000000001</v>
      </c>
      <c r="Y5049">
        <v>0.29956280000000002</v>
      </c>
      <c r="Z5049">
        <v>-5.818129E-3</v>
      </c>
      <c r="AA5049">
        <v>0.95405879999999998</v>
      </c>
      <c r="AB5049">
        <v>33</v>
      </c>
      <c r="AC5049">
        <v>15.173500000000001</v>
      </c>
      <c r="AD5049">
        <v>-1.159945</v>
      </c>
      <c r="AE5049">
        <v>-6.0284599999999999</v>
      </c>
      <c r="AF5049">
        <v>4.9250578385996802</v>
      </c>
      <c r="AG5049">
        <v>-1.159945</v>
      </c>
      <c r="AH5049">
        <v>15.480650151361401</v>
      </c>
      <c r="AI5049">
        <v>94.084118877023997</v>
      </c>
      <c r="AJ5049">
        <v>72.351904333387296</v>
      </c>
      <c r="AK5049">
        <v>16.286564899493701</v>
      </c>
      <c r="AL5049">
        <v>85.638523559076404</v>
      </c>
      <c r="AM5049">
        <v>79.874515188833698</v>
      </c>
      <c r="AN5049">
        <v>1.0000000064328001</v>
      </c>
    </row>
    <row r="5050" spans="1:40" x14ac:dyDescent="0.25">
      <c r="A5050" t="str">
        <f>"20190312151416978"</f>
        <v>20190312151416978</v>
      </c>
      <c r="B5050" t="str">
        <f>"1552374856965532"</f>
        <v>1552374856965532</v>
      </c>
      <c r="C5050" t="s">
        <v>40</v>
      </c>
      <c r="D5050">
        <v>4.0072510000000001</v>
      </c>
      <c r="E5050">
        <v>0.54952970000000001</v>
      </c>
      <c r="F5050" t="s">
        <v>43</v>
      </c>
      <c r="G5050">
        <v>-315.4932</v>
      </c>
      <c r="H5050">
        <v>-0.05</v>
      </c>
      <c r="I5050">
        <v>10.83052</v>
      </c>
      <c r="J5050">
        <v>-330.75549999999998</v>
      </c>
      <c r="K5050">
        <v>1.109936</v>
      </c>
      <c r="L5050">
        <v>16.92014</v>
      </c>
      <c r="M5050">
        <v>0.99748579999999998</v>
      </c>
      <c r="N5050">
        <v>0</v>
      </c>
      <c r="O5050">
        <v>-7.0027110000000004E-2</v>
      </c>
      <c r="P5050">
        <v>0.96761909999999896</v>
      </c>
      <c r="Q5050">
        <v>6.5012479999999997E-2</v>
      </c>
      <c r="R5050">
        <v>-0.2438989</v>
      </c>
      <c r="S5050">
        <v>2.8327330000000002</v>
      </c>
      <c r="T5050">
        <v>-0.21276590000000001</v>
      </c>
      <c r="U5050">
        <v>-1.119324</v>
      </c>
      <c r="V5050">
        <v>0.17551639999999999</v>
      </c>
      <c r="W5050">
        <v>7.5743370000000004E-2</v>
      </c>
      <c r="X5050">
        <v>0.98155840000000005</v>
      </c>
      <c r="Y5050">
        <v>0.3008981</v>
      </c>
      <c r="Z5050">
        <v>-5.8336990000000003E-3</v>
      </c>
      <c r="AA5050">
        <v>0.9536384</v>
      </c>
      <c r="AB5050">
        <v>33</v>
      </c>
      <c r="AC5050">
        <v>15.2622999999999</v>
      </c>
      <c r="AD5050">
        <v>-1.1599360000000001</v>
      </c>
      <c r="AE5050">
        <v>-6.08962</v>
      </c>
      <c r="AF5050">
        <v>4.9810115854015304</v>
      </c>
      <c r="AG5050">
        <v>-1.1599360000000001</v>
      </c>
      <c r="AH5050">
        <v>15.5736916937371</v>
      </c>
      <c r="AI5050">
        <v>94.057787788962997</v>
      </c>
      <c r="AJ5050">
        <v>72.263904767336101</v>
      </c>
      <c r="AK5050">
        <v>16.391943170642602</v>
      </c>
      <c r="AL5050">
        <v>85.656064139898604</v>
      </c>
      <c r="AM5050">
        <v>79.861859161970102</v>
      </c>
      <c r="AN5050">
        <v>0.99999997868923796</v>
      </c>
    </row>
    <row r="5051" spans="1:40" x14ac:dyDescent="0.25">
      <c r="A5051" t="str">
        <f>"20190312151416999"</f>
        <v>20190312151416999</v>
      </c>
      <c r="B5051" t="str">
        <f>"1552374856995788"</f>
        <v>1552374856995788</v>
      </c>
      <c r="C5051" t="s">
        <v>40</v>
      </c>
      <c r="D5051">
        <v>4.0062259999999998</v>
      </c>
      <c r="E5051">
        <v>0.55014300000000005</v>
      </c>
      <c r="F5051" t="s">
        <v>43</v>
      </c>
      <c r="G5051">
        <v>-315.38760000000002</v>
      </c>
      <c r="H5051">
        <v>-0.05</v>
      </c>
      <c r="I5051">
        <v>10.82259</v>
      </c>
      <c r="J5051">
        <v>-330.44490000000002</v>
      </c>
      <c r="K5051">
        <v>1.1099319999999999</v>
      </c>
      <c r="L5051">
        <v>16.898499999999999</v>
      </c>
      <c r="M5051">
        <v>0.99749390000000004</v>
      </c>
      <c r="N5051">
        <v>0</v>
      </c>
      <c r="O5051">
        <v>-6.9910990000000006E-2</v>
      </c>
      <c r="P5051">
        <v>0.96749969999999996</v>
      </c>
      <c r="Q5051">
        <v>6.5127160000000003E-2</v>
      </c>
      <c r="R5051">
        <v>-0.2443417</v>
      </c>
      <c r="S5051">
        <v>2.8315429999999999</v>
      </c>
      <c r="T5051">
        <v>-0.2137183</v>
      </c>
      <c r="U5051">
        <v>-1.1234740000000001</v>
      </c>
      <c r="V5051">
        <v>0.17608219999999999</v>
      </c>
      <c r="W5051">
        <v>7.5856530000000005E-2</v>
      </c>
      <c r="X5051">
        <v>0.9814484</v>
      </c>
      <c r="Y5051">
        <v>0.30234509999999998</v>
      </c>
      <c r="Z5051">
        <v>-5.9214840000000003E-3</v>
      </c>
      <c r="AA5051">
        <v>0.95318009999999997</v>
      </c>
      <c r="AB5051">
        <v>33</v>
      </c>
      <c r="AC5051">
        <v>15.0572999999999</v>
      </c>
      <c r="AD5051">
        <v>-1.159932</v>
      </c>
      <c r="AE5051">
        <v>-6.0759099999999897</v>
      </c>
      <c r="AF5051">
        <v>4.9828794609921596</v>
      </c>
      <c r="AG5051">
        <v>-1.159932</v>
      </c>
      <c r="AH5051">
        <v>15.366829631514999</v>
      </c>
      <c r="AI5051">
        <v>94.106921486242101</v>
      </c>
      <c r="AJ5051">
        <v>72.0340895177454</v>
      </c>
      <c r="AK5051">
        <v>16.196110116055898</v>
      </c>
      <c r="AL5051">
        <v>85.649562188588305</v>
      </c>
      <c r="AM5051">
        <v>79.828742573976598</v>
      </c>
      <c r="AN5051">
        <v>1.00000005808151</v>
      </c>
    </row>
    <row r="5052" spans="1:40" x14ac:dyDescent="0.25">
      <c r="A5052" t="str">
        <f>"20190312151417022"</f>
        <v>20190312151417022</v>
      </c>
      <c r="B5052" t="str">
        <f>"1552374857015311"</f>
        <v>1552374857015311</v>
      </c>
      <c r="C5052" t="s">
        <v>40</v>
      </c>
      <c r="D5052">
        <v>4.0508579999999998</v>
      </c>
      <c r="E5052">
        <v>0.55054840000000005</v>
      </c>
      <c r="F5052" t="s">
        <v>43</v>
      </c>
      <c r="G5052">
        <v>-315.23910000000001</v>
      </c>
      <c r="H5052">
        <v>-0.05</v>
      </c>
      <c r="I5052">
        <v>10.828480000000001</v>
      </c>
      <c r="J5052">
        <v>-330.11849999999998</v>
      </c>
      <c r="K5052">
        <v>1.1099209999999999</v>
      </c>
      <c r="L5052">
        <v>16.875699999999998</v>
      </c>
      <c r="M5052">
        <v>0.99750110000000003</v>
      </c>
      <c r="N5052">
        <v>0</v>
      </c>
      <c r="O5052">
        <v>-6.9807569999999999E-2</v>
      </c>
      <c r="P5052">
        <v>0.9673486</v>
      </c>
      <c r="Q5052">
        <v>6.5808130000000006E-2</v>
      </c>
      <c r="R5052">
        <v>-0.244757</v>
      </c>
      <c r="S5052">
        <v>2.829987</v>
      </c>
      <c r="T5052">
        <v>-0.2158766</v>
      </c>
      <c r="U5052">
        <v>-1.1296999999999999</v>
      </c>
      <c r="V5052">
        <v>0.17661109999999999</v>
      </c>
      <c r="W5052">
        <v>7.6532619999999996E-2</v>
      </c>
      <c r="X5052">
        <v>0.98130079999999997</v>
      </c>
      <c r="Y5052">
        <v>0.30441600000000002</v>
      </c>
      <c r="Z5052">
        <v>-6.0654280000000003E-3</v>
      </c>
      <c r="AA5052">
        <v>0.95251989999999997</v>
      </c>
      <c r="AB5052">
        <v>33</v>
      </c>
      <c r="AC5052">
        <v>14.879399999999899</v>
      </c>
      <c r="AD5052">
        <v>-1.159921</v>
      </c>
      <c r="AE5052">
        <v>-6.0472199999999896</v>
      </c>
      <c r="AF5052">
        <v>4.9678001027221104</v>
      </c>
      <c r="AG5052">
        <v>-1.159921</v>
      </c>
      <c r="AH5052">
        <v>15.1860609892189</v>
      </c>
      <c r="AI5052">
        <v>94.152104699449794</v>
      </c>
      <c r="AJ5052">
        <v>71.885581211800698</v>
      </c>
      <c r="AK5052">
        <v>16.0200156977177</v>
      </c>
      <c r="AL5052">
        <v>85.610711854620106</v>
      </c>
      <c r="AM5052">
        <v>79.797329541455994</v>
      </c>
      <c r="AN5052">
        <v>0.999999991323957</v>
      </c>
    </row>
    <row r="5053" spans="1:40" x14ac:dyDescent="0.25">
      <c r="A5053" t="str">
        <f>"20190312151417033"</f>
        <v>20190312151417033</v>
      </c>
      <c r="B5053" t="str">
        <f>"1552374857025069"</f>
        <v>1552374857025069</v>
      </c>
      <c r="C5053" t="s">
        <v>40</v>
      </c>
      <c r="D5053">
        <v>4.0077999999999996</v>
      </c>
      <c r="E5053">
        <v>0.55071530000000002</v>
      </c>
      <c r="F5053" t="s">
        <v>43</v>
      </c>
      <c r="G5053">
        <v>-314.88819999999998</v>
      </c>
      <c r="H5053">
        <v>-0.05</v>
      </c>
      <c r="I5053">
        <v>10.770099999999999</v>
      </c>
      <c r="J5053">
        <v>-329.95010000000002</v>
      </c>
      <c r="K5053">
        <v>1.1099159999999999</v>
      </c>
      <c r="L5053">
        <v>16.863979999999898</v>
      </c>
      <c r="M5053">
        <v>0.99750419999999995</v>
      </c>
      <c r="N5053">
        <v>0</v>
      </c>
      <c r="O5053">
        <v>-6.9766220000000004E-2</v>
      </c>
      <c r="P5053">
        <v>0.96730479999999996</v>
      </c>
      <c r="Q5053">
        <v>6.5808420000000006E-2</v>
      </c>
      <c r="R5053">
        <v>-0.24493029999999999</v>
      </c>
      <c r="S5053">
        <v>2.8289789999999999</v>
      </c>
      <c r="T5053">
        <v>-0.21545120000000001</v>
      </c>
      <c r="U5053">
        <v>-1.1340939999999999</v>
      </c>
      <c r="V5053">
        <v>0.1768295</v>
      </c>
      <c r="W5053">
        <v>7.652929E-2</v>
      </c>
      <c r="X5053">
        <v>0.98126170000000001</v>
      </c>
      <c r="Y5053">
        <v>0.30584600000000001</v>
      </c>
      <c r="Z5053">
        <v>-6.1092569999999999E-3</v>
      </c>
      <c r="AA5053">
        <v>0.95206139999999995</v>
      </c>
      <c r="AB5053">
        <v>33</v>
      </c>
      <c r="AC5053">
        <v>15.0619</v>
      </c>
      <c r="AD5053">
        <v>-1.1599159999999999</v>
      </c>
      <c r="AE5053">
        <v>-6.0938799999999897</v>
      </c>
      <c r="AF5053">
        <v>5.0026607656233297</v>
      </c>
      <c r="AG5053">
        <v>-1.1599159999999999</v>
      </c>
      <c r="AH5053">
        <v>15.372026898558699</v>
      </c>
      <c r="AI5053">
        <v>94.104066212980399</v>
      </c>
      <c r="AJ5053">
        <v>71.9730789576425</v>
      </c>
      <c r="AK5053">
        <v>16.207135182782199</v>
      </c>
      <c r="AL5053">
        <v>85.610903091020006</v>
      </c>
      <c r="AM5053">
        <v>79.784579802354401</v>
      </c>
      <c r="AN5053">
        <v>0.99999996409252101</v>
      </c>
    </row>
    <row r="5054" spans="1:40" x14ac:dyDescent="0.25">
      <c r="A5054" t="str">
        <f>"20190312151417044"</f>
        <v>20190312151417044</v>
      </c>
      <c r="B5054" t="str">
        <f>"1552374857035805"</f>
        <v>1552374857035805</v>
      </c>
      <c r="C5054" t="s">
        <v>40</v>
      </c>
      <c r="D5054">
        <v>4.6821769999999896</v>
      </c>
      <c r="E5054">
        <v>0.55062659999999997</v>
      </c>
      <c r="F5054" t="s">
        <v>43</v>
      </c>
      <c r="G5054">
        <v>-314.79790000000003</v>
      </c>
      <c r="H5054">
        <v>-0.05</v>
      </c>
      <c r="I5054">
        <v>10.779389999999999</v>
      </c>
      <c r="J5054">
        <v>-329.78390000000002</v>
      </c>
      <c r="K5054">
        <v>1.1099060000000001</v>
      </c>
      <c r="L5054">
        <v>16.85239</v>
      </c>
      <c r="M5054">
        <v>0.99750649999999996</v>
      </c>
      <c r="N5054">
        <v>0</v>
      </c>
      <c r="O5054">
        <v>-6.9729289999999999E-2</v>
      </c>
      <c r="P5054">
        <v>0.96721539999999995</v>
      </c>
      <c r="Q5054">
        <v>6.5937910000000002E-2</v>
      </c>
      <c r="R5054">
        <v>-0.24524779999999999</v>
      </c>
      <c r="S5054">
        <v>2.828522</v>
      </c>
      <c r="T5054">
        <v>-0.21652640000000001</v>
      </c>
      <c r="U5054">
        <v>-1.135834</v>
      </c>
      <c r="V5054">
        <v>0.17719079999999901</v>
      </c>
      <c r="W5054">
        <v>7.6655290000000001E-2</v>
      </c>
      <c r="X5054">
        <v>0.98118669999999997</v>
      </c>
      <c r="Y5054">
        <v>0.30643130000000002</v>
      </c>
      <c r="Z5054">
        <v>-6.1641689999999997E-3</v>
      </c>
      <c r="AA5054">
        <v>0.95187279999999996</v>
      </c>
      <c r="AB5054">
        <v>33</v>
      </c>
      <c r="AC5054">
        <v>14.985999999999899</v>
      </c>
      <c r="AD5054">
        <v>-1.1599059999999899</v>
      </c>
      <c r="AE5054">
        <v>-6.0729999999999897</v>
      </c>
      <c r="AF5054">
        <v>4.9875272220026696</v>
      </c>
      <c r="AG5054">
        <v>-1.1599059999999899</v>
      </c>
      <c r="AH5054">
        <v>15.2943113689626</v>
      </c>
      <c r="AI5054">
        <v>94.124009117589296</v>
      </c>
      <c r="AJ5054">
        <v>71.938675516487706</v>
      </c>
      <c r="AK5054">
        <v>16.128755995731101</v>
      </c>
      <c r="AL5054">
        <v>85.603662608846193</v>
      </c>
      <c r="AM5054">
        <v>79.763382516174602</v>
      </c>
      <c r="AN5054">
        <v>0.99999997667325602</v>
      </c>
    </row>
    <row r="5055" spans="1:40" x14ac:dyDescent="0.25">
      <c r="A5055" t="str">
        <f>"20190312151417056"</f>
        <v>20190312151417056</v>
      </c>
      <c r="B5055" t="str">
        <f>"1552374857045565"</f>
        <v>1552374857045565</v>
      </c>
      <c r="C5055" t="s">
        <v>40</v>
      </c>
      <c r="D5055">
        <v>4.0463110000000002</v>
      </c>
      <c r="E5055">
        <v>0.55068729999999999</v>
      </c>
      <c r="F5055" t="s">
        <v>43</v>
      </c>
      <c r="G5055">
        <v>-314.72039999999998</v>
      </c>
      <c r="H5055">
        <v>-0.05</v>
      </c>
      <c r="I5055">
        <v>10.80101</v>
      </c>
      <c r="J5055">
        <v>-329.61410000000001</v>
      </c>
      <c r="K5055">
        <v>1.1098950000000001</v>
      </c>
      <c r="L5055">
        <v>16.84055</v>
      </c>
      <c r="M5055">
        <v>0.99750839999999996</v>
      </c>
      <c r="N5055">
        <v>0</v>
      </c>
      <c r="O5055">
        <v>-6.9702509999999995E-2</v>
      </c>
      <c r="P5055">
        <v>0.96715419999999996</v>
      </c>
      <c r="Q5055">
        <v>6.6127110000000003E-2</v>
      </c>
      <c r="R5055">
        <v>-0.24543880000000001</v>
      </c>
      <c r="S5055">
        <v>2.8284609999999999</v>
      </c>
      <c r="T5055">
        <v>-0.21779480000000001</v>
      </c>
      <c r="U5055">
        <v>-1.136261</v>
      </c>
      <c r="V5055">
        <v>0.17741399999999999</v>
      </c>
      <c r="W5055">
        <v>7.6840240000000004E-2</v>
      </c>
      <c r="X5055">
        <v>0.98113189999999995</v>
      </c>
      <c r="Y5055">
        <v>0.30658039999999998</v>
      </c>
      <c r="Z5055">
        <v>-6.2076259999999999E-3</v>
      </c>
      <c r="AA5055">
        <v>0.95182449999999996</v>
      </c>
      <c r="AB5055">
        <v>33</v>
      </c>
      <c r="AC5055">
        <v>14.893700000000001</v>
      </c>
      <c r="AD5055">
        <v>-1.1598949999999999</v>
      </c>
      <c r="AE5055">
        <v>-6.0395399999999997</v>
      </c>
      <c r="AF5055">
        <v>4.9608205906658602</v>
      </c>
      <c r="AG5055">
        <v>-1.1598949999999999</v>
      </c>
      <c r="AH5055">
        <v>15.1993015074497</v>
      </c>
      <c r="AI5055">
        <v>94.149316000261805</v>
      </c>
      <c r="AJ5055">
        <v>71.924105760511395</v>
      </c>
      <c r="AK5055">
        <v>16.030404351049999</v>
      </c>
      <c r="AL5055">
        <v>85.593034410531104</v>
      </c>
      <c r="AM5055">
        <v>79.750200700693995</v>
      </c>
      <c r="AN5055">
        <v>0.99999997753843295</v>
      </c>
    </row>
    <row r="5056" spans="1:40" x14ac:dyDescent="0.25">
      <c r="A5056" t="str">
        <f>"20190312151417070"</f>
        <v>20190312151417070</v>
      </c>
      <c r="B5056" t="str">
        <f>"1552374857065084"</f>
        <v>1552374857065084</v>
      </c>
      <c r="C5056" t="s">
        <v>40</v>
      </c>
      <c r="D5056">
        <v>4.0960549999999998</v>
      </c>
      <c r="E5056">
        <v>0.54410480000000006</v>
      </c>
      <c r="F5056" t="s">
        <v>43</v>
      </c>
      <c r="G5056">
        <v>-314.69880000000001</v>
      </c>
      <c r="H5056">
        <v>-0.05</v>
      </c>
      <c r="I5056">
        <v>10.84259</v>
      </c>
      <c r="J5056">
        <v>-329.41050000000001</v>
      </c>
      <c r="K5056">
        <v>1.1098809999999999</v>
      </c>
      <c r="L5056">
        <v>16.826350000000001</v>
      </c>
      <c r="M5056">
        <v>0.99751029999999996</v>
      </c>
      <c r="N5056">
        <v>0</v>
      </c>
      <c r="O5056">
        <v>-6.9675390000000004E-2</v>
      </c>
      <c r="P5056">
        <v>0.96707929999999998</v>
      </c>
      <c r="Q5056">
        <v>6.6117529999999994E-2</v>
      </c>
      <c r="R5056">
        <v>-0.24573629999999999</v>
      </c>
      <c r="S5056">
        <v>2.8283079999999998</v>
      </c>
      <c r="T5056">
        <v>-0.2199451</v>
      </c>
      <c r="U5056">
        <v>-1.1373599999999999</v>
      </c>
      <c r="V5056">
        <v>0.17774519999999999</v>
      </c>
      <c r="W5056">
        <v>7.6825019999999994E-2</v>
      </c>
      <c r="X5056">
        <v>0.98107310000000003</v>
      </c>
      <c r="Y5056">
        <v>0.30692950000000002</v>
      </c>
      <c r="Z5056">
        <v>-6.2837070000000004E-3</v>
      </c>
      <c r="AA5056">
        <v>0.95171150000000004</v>
      </c>
      <c r="AB5056">
        <v>33</v>
      </c>
      <c r="AC5056">
        <v>14.7117</v>
      </c>
      <c r="AD5056">
        <v>-1.1598809999999999</v>
      </c>
      <c r="AE5056">
        <v>-5.9837600000000002</v>
      </c>
      <c r="AF5056">
        <v>4.9178822336236996</v>
      </c>
      <c r="AG5056">
        <v>-1.1598809999999999</v>
      </c>
      <c r="AH5056">
        <v>15.0128165565131</v>
      </c>
      <c r="AI5056">
        <v>94.199147529197305</v>
      </c>
      <c r="AJ5056">
        <v>71.862294892147204</v>
      </c>
      <c r="AK5056">
        <v>15.8403140927655</v>
      </c>
      <c r="AL5056">
        <v>85.593908844093093</v>
      </c>
      <c r="AM5056">
        <v>79.730870567350905</v>
      </c>
      <c r="AN5056">
        <v>0.99999993368232298</v>
      </c>
    </row>
    <row r="5057" spans="1:40" x14ac:dyDescent="0.25">
      <c r="A5057" t="str">
        <f>"20190312151417090"</f>
        <v>20190312151417090</v>
      </c>
      <c r="B5057" t="str">
        <f>"1552374857085580"</f>
        <v>1552374857085580</v>
      </c>
      <c r="C5057" t="s">
        <v>40</v>
      </c>
      <c r="D5057">
        <v>4.1073899999999997</v>
      </c>
      <c r="E5057">
        <v>0.54481259999999998</v>
      </c>
      <c r="F5057" t="s">
        <v>42</v>
      </c>
      <c r="G5057">
        <v>-320.34379999999999</v>
      </c>
      <c r="H5057" s="1">
        <v>-5.6552609999999999E-6</v>
      </c>
      <c r="I5057">
        <v>13.357340000000001</v>
      </c>
      <c r="J5057">
        <v>-329.12270000000001</v>
      </c>
      <c r="K5057">
        <v>1.1098629999999901</v>
      </c>
      <c r="L5057">
        <v>16.806270000000001</v>
      </c>
      <c r="M5057">
        <v>0.99751190000000001</v>
      </c>
      <c r="N5057">
        <v>0</v>
      </c>
      <c r="O5057">
        <v>-6.9652989999999998E-2</v>
      </c>
      <c r="P5057">
        <v>0.96697319999999998</v>
      </c>
      <c r="Q5057">
        <v>6.5854449999999995E-2</v>
      </c>
      <c r="R5057">
        <v>-0.24622440000000001</v>
      </c>
      <c r="S5057">
        <v>2.8489990000000001</v>
      </c>
      <c r="T5057">
        <v>-0.34875620000000002</v>
      </c>
      <c r="U5057">
        <v>-1.0900570000000001</v>
      </c>
      <c r="V5057">
        <v>0.1782648</v>
      </c>
      <c r="W5057">
        <v>7.6555440000000002E-2</v>
      </c>
      <c r="X5057">
        <v>0.98099990000000004</v>
      </c>
      <c r="Y5057">
        <v>0.28999530000000001</v>
      </c>
      <c r="Z5057">
        <v>-8.9090819999999901E-3</v>
      </c>
      <c r="AA5057">
        <v>0.95698660000000002</v>
      </c>
      <c r="AB5057">
        <v>33</v>
      </c>
      <c r="AC5057">
        <v>8.7789000000000197</v>
      </c>
      <c r="AD5057">
        <v>-1.10986865526099</v>
      </c>
      <c r="AE5057">
        <v>-3.4489299999999998</v>
      </c>
      <c r="AF5057">
        <v>2.7904034252213301</v>
      </c>
      <c r="AG5057">
        <v>-1.10986865526099</v>
      </c>
      <c r="AH5057">
        <v>8.8749351519087405</v>
      </c>
      <c r="AI5057">
        <v>96.803163170487295</v>
      </c>
      <c r="AJ5057">
        <v>72.546124907773404</v>
      </c>
      <c r="AK5057">
        <v>9.3692386914841297</v>
      </c>
      <c r="AL5057">
        <v>85.609400287786301</v>
      </c>
      <c r="AM5057">
        <v>79.700740465784804</v>
      </c>
      <c r="AN5057">
        <v>0.99999993905632001</v>
      </c>
    </row>
    <row r="5058" spans="1:40" x14ac:dyDescent="0.25">
      <c r="A5058" t="str">
        <f>"20190312151417111"</f>
        <v>20190312151417111</v>
      </c>
      <c r="B5058" t="str">
        <f>"1552374857106076"</f>
        <v>1552374857106076</v>
      </c>
      <c r="C5058" t="s">
        <v>40</v>
      </c>
      <c r="D5058">
        <v>4.1095649999999999</v>
      </c>
      <c r="E5058">
        <v>0.54533659999999995</v>
      </c>
      <c r="F5058" t="s">
        <v>42</v>
      </c>
      <c r="G5058">
        <v>-320.03469999999999</v>
      </c>
      <c r="H5058" s="1">
        <v>-5.8109910000000003E-6</v>
      </c>
      <c r="I5058">
        <v>13.30322</v>
      </c>
      <c r="J5058">
        <v>-328.79259999999999</v>
      </c>
      <c r="K5058">
        <v>1.1098410000000001</v>
      </c>
      <c r="L5058">
        <v>16.78323</v>
      </c>
      <c r="M5058">
        <v>0.99751160000000005</v>
      </c>
      <c r="N5058">
        <v>0</v>
      </c>
      <c r="O5058">
        <v>-6.9656490000000001E-2</v>
      </c>
      <c r="P5058">
        <v>0.96674389999999999</v>
      </c>
      <c r="Q5058">
        <v>6.5768289999999993E-2</v>
      </c>
      <c r="R5058">
        <v>-0.24714610000000001</v>
      </c>
      <c r="S5058">
        <v>2.8467099999999999</v>
      </c>
      <c r="T5058">
        <v>-0.34765289999999999</v>
      </c>
      <c r="U5058">
        <v>-1.0972900000000001</v>
      </c>
      <c r="V5058">
        <v>0.17920069999999999</v>
      </c>
      <c r="W5058">
        <v>7.646037E-2</v>
      </c>
      <c r="X5058">
        <v>0.98083690000000001</v>
      </c>
      <c r="Y5058">
        <v>0.2923598</v>
      </c>
      <c r="Z5058">
        <v>-9.0225319999999998E-3</v>
      </c>
      <c r="AA5058">
        <v>0.9562659</v>
      </c>
      <c r="AB5058">
        <v>33</v>
      </c>
      <c r="AC5058">
        <v>8.7578999999999994</v>
      </c>
      <c r="AD5058">
        <v>-1.109846810991</v>
      </c>
      <c r="AE5058">
        <v>-3.4800099999999898</v>
      </c>
      <c r="AF5058">
        <v>2.8223313666017198</v>
      </c>
      <c r="AG5058">
        <v>-1.109846810991</v>
      </c>
      <c r="AH5058">
        <v>8.8562140624000296</v>
      </c>
      <c r="AI5058">
        <v>96.808985008214094</v>
      </c>
      <c r="AJ5058">
        <v>72.323765671922203</v>
      </c>
      <c r="AK5058">
        <v>9.36108123059633</v>
      </c>
      <c r="AL5058">
        <v>85.614863905493095</v>
      </c>
      <c r="AM5058">
        <v>79.646151796205402</v>
      </c>
      <c r="AN5058">
        <v>1.0000000517313099</v>
      </c>
    </row>
    <row r="5059" spans="1:40" x14ac:dyDescent="0.25">
      <c r="A5059" t="str">
        <f>"20190312151417124"</f>
        <v>20190312151417124</v>
      </c>
      <c r="B5059" t="str">
        <f>"1552374857115838"</f>
        <v>1552374857115838</v>
      </c>
      <c r="C5059" t="s">
        <v>40</v>
      </c>
      <c r="D5059">
        <v>4.1280830000000002</v>
      </c>
      <c r="E5059">
        <v>0.5454618</v>
      </c>
      <c r="F5059" t="s">
        <v>43</v>
      </c>
      <c r="G5059">
        <v>-319.30549999999999</v>
      </c>
      <c r="H5059">
        <v>-0.05</v>
      </c>
      <c r="I5059">
        <v>13.10158</v>
      </c>
      <c r="J5059">
        <v>-328.61040000000003</v>
      </c>
      <c r="K5059">
        <v>1.1098269999999999</v>
      </c>
      <c r="L5059">
        <v>16.770510000000002</v>
      </c>
      <c r="M5059">
        <v>0.99751040000000002</v>
      </c>
      <c r="N5059">
        <v>0</v>
      </c>
      <c r="O5059">
        <v>-6.9671930000000007E-2</v>
      </c>
      <c r="P5059">
        <v>0.9665781</v>
      </c>
      <c r="Q5059">
        <v>6.5903089999999998E-2</v>
      </c>
      <c r="R5059">
        <v>-0.24775759999999999</v>
      </c>
      <c r="S5059">
        <v>2.8446349999999998</v>
      </c>
      <c r="T5059">
        <v>-0.34776750000000001</v>
      </c>
      <c r="U5059">
        <v>-1.103912</v>
      </c>
      <c r="V5059">
        <v>0.17980960000000001</v>
      </c>
      <c r="W5059">
        <v>7.6590149999999996E-2</v>
      </c>
      <c r="X5059">
        <v>0.98071529999999996</v>
      </c>
      <c r="Y5059">
        <v>0.29449959999999997</v>
      </c>
      <c r="Z5059">
        <v>-9.152126E-3</v>
      </c>
      <c r="AA5059">
        <v>0.95560780000000001</v>
      </c>
      <c r="AB5059">
        <v>33</v>
      </c>
      <c r="AC5059">
        <v>9.3049000000000301</v>
      </c>
      <c r="AD5059">
        <v>-1.1598269999999999</v>
      </c>
      <c r="AE5059">
        <v>-3.66893</v>
      </c>
      <c r="AF5059">
        <v>2.9717256788418398</v>
      </c>
      <c r="AG5059">
        <v>-1.1598269999999999</v>
      </c>
      <c r="AH5059">
        <v>9.41137437411912</v>
      </c>
      <c r="AI5059">
        <v>96.702511428069897</v>
      </c>
      <c r="AJ5059">
        <v>72.476021994182304</v>
      </c>
      <c r="AK5059">
        <v>9.93731954754616</v>
      </c>
      <c r="AL5059">
        <v>85.607406057836002</v>
      </c>
      <c r="AM5059">
        <v>79.610475501299803</v>
      </c>
      <c r="AN5059">
        <v>1.00000002149163</v>
      </c>
    </row>
    <row r="5060" spans="1:40" x14ac:dyDescent="0.25">
      <c r="A5060" t="str">
        <f>"20190312151417135"</f>
        <v>20190312151417135</v>
      </c>
      <c r="B5060" t="str">
        <f>"1552374857125595"</f>
        <v>1552374857125595</v>
      </c>
      <c r="C5060" t="s">
        <v>40</v>
      </c>
      <c r="D5060">
        <v>4.1160350000000001</v>
      </c>
      <c r="E5060">
        <v>0.54576659999999999</v>
      </c>
      <c r="F5060" t="s">
        <v>43</v>
      </c>
      <c r="G5060">
        <v>-319.13749999999999</v>
      </c>
      <c r="H5060">
        <v>-0.05</v>
      </c>
      <c r="I5060">
        <v>13.084580000000001</v>
      </c>
      <c r="J5060">
        <v>-328.44380000000001</v>
      </c>
      <c r="K5060">
        <v>1.10981</v>
      </c>
      <c r="L5060">
        <v>16.758849999999999</v>
      </c>
      <c r="M5060">
        <v>0.99750810000000001</v>
      </c>
      <c r="N5060">
        <v>0</v>
      </c>
      <c r="O5060">
        <v>-6.9706840000000006E-2</v>
      </c>
      <c r="P5060">
        <v>0.96641310000000002</v>
      </c>
      <c r="Q5060">
        <v>6.5855380000000005E-2</v>
      </c>
      <c r="R5060">
        <v>-0.2484122</v>
      </c>
      <c r="S5060">
        <v>2.8438110000000001</v>
      </c>
      <c r="T5060">
        <v>-0.34818690000000002</v>
      </c>
      <c r="U5060">
        <v>-1.1065370000000001</v>
      </c>
      <c r="V5060">
        <v>0.18044279999999999</v>
      </c>
      <c r="W5060">
        <v>7.6534519999999995E-2</v>
      </c>
      <c r="X5060">
        <v>0.98060329999999996</v>
      </c>
      <c r="Y5060">
        <v>0.295317</v>
      </c>
      <c r="Z5060">
        <v>-9.2081860000000001E-3</v>
      </c>
      <c r="AA5060">
        <v>0.95535490000000001</v>
      </c>
      <c r="AB5060">
        <v>33</v>
      </c>
      <c r="AC5060">
        <v>9.3063000000000198</v>
      </c>
      <c r="AD5060">
        <v>-1.15981</v>
      </c>
      <c r="AE5060">
        <v>-3.6742699999999902</v>
      </c>
      <c r="AF5060">
        <v>2.9765833327197599</v>
      </c>
      <c r="AG5060">
        <v>-1.15981</v>
      </c>
      <c r="AH5060">
        <v>9.4133088115261998</v>
      </c>
      <c r="AI5060">
        <v>96.700188652605107</v>
      </c>
      <c r="AJ5060">
        <v>72.452519495043802</v>
      </c>
      <c r="AK5060">
        <v>9.9406031182158099</v>
      </c>
      <c r="AL5060">
        <v>85.610602641943203</v>
      </c>
      <c r="AM5060">
        <v>79.573524997013095</v>
      </c>
      <c r="AN5060">
        <v>0.99999998439717996</v>
      </c>
    </row>
    <row r="5061" spans="1:40" x14ac:dyDescent="0.25">
      <c r="A5061" t="str">
        <f>"20190312151417156"</f>
        <v>20190312151417156</v>
      </c>
      <c r="B5061" t="str">
        <f>"1552374857145116"</f>
        <v>1552374857145116</v>
      </c>
      <c r="C5061" t="s">
        <v>40</v>
      </c>
      <c r="D5061">
        <v>4.1653310000000001</v>
      </c>
      <c r="E5061">
        <v>0.54624709999999999</v>
      </c>
      <c r="F5061" t="s">
        <v>43</v>
      </c>
      <c r="G5061">
        <v>-319.01429999999999</v>
      </c>
      <c r="H5061">
        <v>-0.05</v>
      </c>
      <c r="I5061">
        <v>13.07408</v>
      </c>
      <c r="J5061">
        <v>-328.13630000000001</v>
      </c>
      <c r="K5061">
        <v>1.109769</v>
      </c>
      <c r="L5061">
        <v>16.737269999999999</v>
      </c>
      <c r="M5061">
        <v>0.99750039999999995</v>
      </c>
      <c r="N5061">
        <v>0</v>
      </c>
      <c r="O5061">
        <v>-6.9815660000000002E-2</v>
      </c>
      <c r="P5061">
        <v>0.96616610000000003</v>
      </c>
      <c r="Q5061">
        <v>6.5532119999999999E-2</v>
      </c>
      <c r="R5061">
        <v>-0.2494566</v>
      </c>
      <c r="S5061">
        <v>2.8425289999999999</v>
      </c>
      <c r="T5061">
        <v>-0.34962749999999998</v>
      </c>
      <c r="U5061">
        <v>-1.110779</v>
      </c>
      <c r="V5061">
        <v>0.1814027</v>
      </c>
      <c r="W5061">
        <v>7.6193640000000007E-2</v>
      </c>
      <c r="X5061">
        <v>0.98045280000000001</v>
      </c>
      <c r="Y5061">
        <v>0.2965758</v>
      </c>
      <c r="Z5061">
        <v>-9.3092599999999998E-3</v>
      </c>
      <c r="AA5061">
        <v>0.95496389999999998</v>
      </c>
      <c r="AB5061">
        <v>33</v>
      </c>
      <c r="AC5061">
        <v>9.1220000000000105</v>
      </c>
      <c r="AD5061">
        <v>-1.159769</v>
      </c>
      <c r="AE5061">
        <v>-3.6631900000000002</v>
      </c>
      <c r="AF5061">
        <v>2.97592993681535</v>
      </c>
      <c r="AG5061">
        <v>-1.159769</v>
      </c>
      <c r="AH5061">
        <v>9.2270635626525497</v>
      </c>
      <c r="AI5061">
        <v>96.821552514088694</v>
      </c>
      <c r="AJ5061">
        <v>72.124352830928103</v>
      </c>
      <c r="AK5061">
        <v>9.7642165641399608</v>
      </c>
      <c r="AL5061">
        <v>85.630191119762998</v>
      </c>
      <c r="AM5061">
        <v>79.517712121608298</v>
      </c>
      <c r="AN5061">
        <v>1.0000000516857801</v>
      </c>
    </row>
    <row r="5062" spans="1:40" x14ac:dyDescent="0.25">
      <c r="A5062" t="str">
        <f>"20190312151417169"</f>
        <v>20190312151417169</v>
      </c>
      <c r="B5062" t="str">
        <f>"1552374857165612"</f>
        <v>1552374857165612</v>
      </c>
      <c r="C5062" t="s">
        <v>40</v>
      </c>
      <c r="D5062">
        <v>4.1685129999999999</v>
      </c>
      <c r="E5062">
        <v>0.54644589999999904</v>
      </c>
      <c r="F5062" t="s">
        <v>43</v>
      </c>
      <c r="G5062">
        <v>-318.8039</v>
      </c>
      <c r="H5062">
        <v>-0.05</v>
      </c>
      <c r="I5062">
        <v>13.065340000000001</v>
      </c>
      <c r="J5062">
        <v>-327.95249999999999</v>
      </c>
      <c r="K5062">
        <v>1.1097399999999999</v>
      </c>
      <c r="L5062">
        <v>16.72437</v>
      </c>
      <c r="M5062">
        <v>0.99749330000000003</v>
      </c>
      <c r="N5062">
        <v>0</v>
      </c>
      <c r="O5062">
        <v>-6.9915909999999998E-2</v>
      </c>
      <c r="P5062">
        <v>0.96604120000000004</v>
      </c>
      <c r="Q5062">
        <v>6.552065E-2</v>
      </c>
      <c r="R5062">
        <v>-0.24994250000000001</v>
      </c>
      <c r="S5062">
        <v>2.8404539999999998</v>
      </c>
      <c r="T5062">
        <v>-0.35299540000000001</v>
      </c>
      <c r="U5062">
        <v>-1.117615</v>
      </c>
      <c r="V5062">
        <v>0.18180399999999999</v>
      </c>
      <c r="W5062">
        <v>7.6166999999999999E-2</v>
      </c>
      <c r="X5062">
        <v>0.98038049999999999</v>
      </c>
      <c r="Y5062">
        <v>0.29866549999999997</v>
      </c>
      <c r="Z5062">
        <v>-9.5137769999999993E-3</v>
      </c>
      <c r="AA5062">
        <v>0.9543104</v>
      </c>
      <c r="AB5062">
        <v>33</v>
      </c>
      <c r="AC5062">
        <v>9.1485999999999805</v>
      </c>
      <c r="AD5062">
        <v>-1.15974</v>
      </c>
      <c r="AE5062">
        <v>-3.65903</v>
      </c>
      <c r="AF5062">
        <v>2.9692686488184199</v>
      </c>
      <c r="AG5062">
        <v>-1.15974</v>
      </c>
      <c r="AH5062">
        <v>9.2538487800954705</v>
      </c>
      <c r="AI5062">
        <v>96.805072876206694</v>
      </c>
      <c r="AJ5062">
        <v>72.210200222798306</v>
      </c>
      <c r="AK5062">
        <v>9.7875058325055697</v>
      </c>
      <c r="AL5062">
        <v>85.631721769500302</v>
      </c>
      <c r="AM5062">
        <v>79.494281333863597</v>
      </c>
      <c r="AN5062">
        <v>1.0000000155426201</v>
      </c>
    </row>
    <row r="5063" spans="1:40" x14ac:dyDescent="0.25">
      <c r="A5063" t="str">
        <f>"20190312151417182"</f>
        <v>20190312151417182</v>
      </c>
      <c r="B5063" t="str">
        <f>"1552374857175372"</f>
        <v>1552374857175372</v>
      </c>
      <c r="C5063" t="s">
        <v>40</v>
      </c>
      <c r="D5063">
        <v>4.1988430000000001</v>
      </c>
      <c r="E5063">
        <v>0.54945290000000002</v>
      </c>
      <c r="F5063" t="s">
        <v>43</v>
      </c>
      <c r="G5063">
        <v>-318.63830000000002</v>
      </c>
      <c r="H5063">
        <v>-0.05</v>
      </c>
      <c r="I5063">
        <v>13.048109999999999</v>
      </c>
      <c r="J5063">
        <v>-327.75139999999999</v>
      </c>
      <c r="K5063">
        <v>1.109696</v>
      </c>
      <c r="L5063">
        <v>16.710170000000002</v>
      </c>
      <c r="M5063">
        <v>0.99748300000000001</v>
      </c>
      <c r="N5063">
        <v>0</v>
      </c>
      <c r="O5063">
        <v>-7.0064009999999996E-2</v>
      </c>
      <c r="P5063">
        <v>0.96591470000000001</v>
      </c>
      <c r="Q5063">
        <v>6.5321980000000002E-2</v>
      </c>
      <c r="R5063">
        <v>-0.2504846</v>
      </c>
      <c r="S5063">
        <v>2.8394780000000002</v>
      </c>
      <c r="T5063">
        <v>-0.35355350000000002</v>
      </c>
      <c r="U5063">
        <v>-1.1207279999999999</v>
      </c>
      <c r="V5063">
        <v>0.18221619999999999</v>
      </c>
      <c r="W5063">
        <v>7.5948769999999999E-2</v>
      </c>
      <c r="X5063">
        <v>0.98032090000000005</v>
      </c>
      <c r="Y5063">
        <v>0.2995314</v>
      </c>
      <c r="Z5063">
        <v>-9.5642100000000001E-3</v>
      </c>
      <c r="AA5063">
        <v>0.95403850000000001</v>
      </c>
      <c r="AB5063">
        <v>33</v>
      </c>
      <c r="AC5063">
        <v>9.1130999999999691</v>
      </c>
      <c r="AD5063">
        <v>-1.1596959999999901</v>
      </c>
      <c r="AE5063">
        <v>-3.6620599999999999</v>
      </c>
      <c r="AF5063">
        <v>2.97306881895152</v>
      </c>
      <c r="AG5063">
        <v>-1.1596959999999901</v>
      </c>
      <c r="AH5063">
        <v>9.2187620342404397</v>
      </c>
      <c r="AI5063">
        <v>96.827251050520204</v>
      </c>
      <c r="AJ5063">
        <v>72.125386945631206</v>
      </c>
      <c r="AK5063">
        <v>9.7554910926406393</v>
      </c>
      <c r="AL5063">
        <v>85.644261739857797</v>
      </c>
      <c r="AM5063">
        <v>79.470368211120402</v>
      </c>
      <c r="AN5063">
        <v>1.00000001309188</v>
      </c>
    </row>
    <row r="5064" spans="1:40" x14ac:dyDescent="0.25">
      <c r="A5064" t="str">
        <f>"20190312151417194"</f>
        <v>20190312151417194</v>
      </c>
      <c r="B5064" t="str">
        <f>"1552374857185133"</f>
        <v>1552374857185133</v>
      </c>
      <c r="C5064" t="s">
        <v>40</v>
      </c>
      <c r="D5064">
        <v>4.159821</v>
      </c>
      <c r="E5064">
        <v>0.54949209999999904</v>
      </c>
      <c r="F5064" t="s">
        <v>43</v>
      </c>
      <c r="G5064">
        <v>-319.09570000000002</v>
      </c>
      <c r="H5064">
        <v>-0.05</v>
      </c>
      <c r="I5064">
        <v>13.208830000000001</v>
      </c>
      <c r="J5064">
        <v>-327.57780000000002</v>
      </c>
      <c r="K5064">
        <v>1.1096520000000001</v>
      </c>
      <c r="L5064">
        <v>16.697849999999999</v>
      </c>
      <c r="M5064">
        <v>0.997471</v>
      </c>
      <c r="N5064">
        <v>0</v>
      </c>
      <c r="O5064">
        <v>-7.0233229999999994E-2</v>
      </c>
      <c r="P5064">
        <v>0.96578359999999996</v>
      </c>
      <c r="Q5064">
        <v>6.5539180000000002E-2</v>
      </c>
      <c r="R5064">
        <v>-0.25093189999999999</v>
      </c>
      <c r="S5064">
        <v>2.8342290000000001</v>
      </c>
      <c r="T5064">
        <v>-0.37973180000000001</v>
      </c>
      <c r="U5064">
        <v>-1.1464840000000001</v>
      </c>
      <c r="V5064">
        <v>0.18251429999999999</v>
      </c>
      <c r="W5064">
        <v>7.6146099999999994E-2</v>
      </c>
      <c r="X5064">
        <v>0.98025010000000001</v>
      </c>
      <c r="Y5064">
        <v>0.3071488</v>
      </c>
      <c r="Z5064">
        <v>-1.073614E-2</v>
      </c>
      <c r="AA5064">
        <v>0.95160100000000003</v>
      </c>
      <c r="AB5064">
        <v>33</v>
      </c>
      <c r="AC5064">
        <v>8.4821000000000009</v>
      </c>
      <c r="AD5064">
        <v>-1.1596519999999999</v>
      </c>
      <c r="AE5064">
        <v>-3.4890199999999898</v>
      </c>
      <c r="AF5064">
        <v>2.8392521071400401</v>
      </c>
      <c r="AG5064">
        <v>-1.1596519999999999</v>
      </c>
      <c r="AH5064">
        <v>8.5692176791055701</v>
      </c>
      <c r="AI5064">
        <v>97.320126440314397</v>
      </c>
      <c r="AJ5064">
        <v>71.668337869436797</v>
      </c>
      <c r="AK5064">
        <v>9.1015183854617696</v>
      </c>
      <c r="AL5064">
        <v>85.632922576521295</v>
      </c>
      <c r="AM5064">
        <v>79.452783592049599</v>
      </c>
      <c r="AN5064">
        <v>0.99999997839985399</v>
      </c>
    </row>
    <row r="5065" spans="1:40" x14ac:dyDescent="0.25">
      <c r="A5065" t="str">
        <f>"20190312151417211"</f>
        <v>20190312151417211</v>
      </c>
      <c r="B5065" t="str">
        <f>"1552374857205628"</f>
        <v>1552374857205628</v>
      </c>
      <c r="C5065" t="s">
        <v>40</v>
      </c>
      <c r="D5065">
        <v>4.1817699999999904</v>
      </c>
      <c r="E5065">
        <v>0.55045469999999996</v>
      </c>
      <c r="F5065" t="s">
        <v>43</v>
      </c>
      <c r="G5065">
        <v>-318.74119999999999</v>
      </c>
      <c r="H5065">
        <v>-0.05</v>
      </c>
      <c r="I5065">
        <v>13.117430000000001</v>
      </c>
      <c r="J5065">
        <v>-327.322</v>
      </c>
      <c r="K5065">
        <v>1.1095699999999999</v>
      </c>
      <c r="L5065">
        <v>16.679569999999998</v>
      </c>
      <c r="M5065">
        <v>0.99744929999999998</v>
      </c>
      <c r="N5065">
        <v>0</v>
      </c>
      <c r="O5065">
        <v>-7.0539500000000005E-2</v>
      </c>
      <c r="P5065">
        <v>0.9654355</v>
      </c>
      <c r="Q5065">
        <v>6.5984390000000004E-2</v>
      </c>
      <c r="R5065">
        <v>-0.25215120000000002</v>
      </c>
      <c r="S5065">
        <v>2.8332519999999999</v>
      </c>
      <c r="T5065">
        <v>-0.37181639999999999</v>
      </c>
      <c r="U5065">
        <v>-1.14798</v>
      </c>
      <c r="V5065">
        <v>0.18346850000000001</v>
      </c>
      <c r="W5065">
        <v>7.6555440000000002E-2</v>
      </c>
      <c r="X5065">
        <v>0.98004009999999997</v>
      </c>
      <c r="Y5065">
        <v>0.30747580000000002</v>
      </c>
      <c r="Z5065">
        <v>-1.0498830000000001E-2</v>
      </c>
      <c r="AA5065">
        <v>0.95149799999999995</v>
      </c>
      <c r="AB5065">
        <v>33</v>
      </c>
      <c r="AC5065">
        <v>8.5808</v>
      </c>
      <c r="AD5065">
        <v>-1.15957</v>
      </c>
      <c r="AE5065">
        <v>-3.5621399999999999</v>
      </c>
      <c r="AF5065">
        <v>2.90272802559871</v>
      </c>
      <c r="AG5065">
        <v>-1.15957</v>
      </c>
      <c r="AH5065">
        <v>8.6755685652949293</v>
      </c>
      <c r="AI5065">
        <v>97.223864760496099</v>
      </c>
      <c r="AJ5065">
        <v>71.5004550158841</v>
      </c>
      <c r="AK5065">
        <v>9.2214924229557198</v>
      </c>
      <c r="AL5065">
        <v>85.609400607567807</v>
      </c>
      <c r="AM5065">
        <v>79.396668554611907</v>
      </c>
      <c r="AN5065">
        <v>1.0000000117469201</v>
      </c>
    </row>
    <row r="5066" spans="1:40" x14ac:dyDescent="0.25">
      <c r="A5066" t="str">
        <f>"20190312151417224"</f>
        <v>20190312151417224</v>
      </c>
      <c r="B5066" t="str">
        <f>"1552374857215388"</f>
        <v>1552374857215388</v>
      </c>
      <c r="C5066" t="s">
        <v>40</v>
      </c>
      <c r="D5066">
        <v>4.1908649999999996</v>
      </c>
      <c r="E5066">
        <v>0.55060450000000005</v>
      </c>
      <c r="F5066" t="s">
        <v>43</v>
      </c>
      <c r="G5066">
        <v>-318.5872</v>
      </c>
      <c r="H5066">
        <v>-0.05</v>
      </c>
      <c r="I5066">
        <v>13.10205</v>
      </c>
      <c r="J5066">
        <v>-327.13920000000002</v>
      </c>
      <c r="K5066">
        <v>1.1095090000000001</v>
      </c>
      <c r="L5066">
        <v>16.666409999999999</v>
      </c>
      <c r="M5066">
        <v>0.9974305</v>
      </c>
      <c r="N5066">
        <v>0</v>
      </c>
      <c r="O5066">
        <v>-7.0807079999999994E-2</v>
      </c>
      <c r="P5066">
        <v>0.96519390000000005</v>
      </c>
      <c r="Q5066">
        <v>6.63937E-2</v>
      </c>
      <c r="R5066">
        <v>-0.25296809999999997</v>
      </c>
      <c r="S5066">
        <v>2.8303219999999998</v>
      </c>
      <c r="T5066">
        <v>-0.3757336</v>
      </c>
      <c r="U5066">
        <v>-1.1592100000000001</v>
      </c>
      <c r="V5066">
        <v>0.18404960000000001</v>
      </c>
      <c r="W5066">
        <v>7.6936270000000001E-2</v>
      </c>
      <c r="X5066">
        <v>0.97990129999999998</v>
      </c>
      <c r="Y5066">
        <v>0.31074020000000002</v>
      </c>
      <c r="Z5066">
        <v>-1.078519E-2</v>
      </c>
      <c r="AA5066">
        <v>0.95043370000000005</v>
      </c>
      <c r="AB5066">
        <v>33</v>
      </c>
      <c r="AC5066">
        <v>8.5520000000000191</v>
      </c>
      <c r="AD5066">
        <v>-1.1595089999999999</v>
      </c>
      <c r="AE5066">
        <v>-3.56435999999999</v>
      </c>
      <c r="AF5066">
        <v>2.9043460583680698</v>
      </c>
      <c r="AG5066">
        <v>-1.1595089999999999</v>
      </c>
      <c r="AH5066">
        <v>8.6474907100065792</v>
      </c>
      <c r="AI5066">
        <v>97.243942997488801</v>
      </c>
      <c r="AJ5066">
        <v>71.434860505101994</v>
      </c>
      <c r="AK5066">
        <v>9.1955849584183191</v>
      </c>
      <c r="AL5066">
        <v>85.587516065672503</v>
      </c>
      <c r="AM5066">
        <v>79.362377497393993</v>
      </c>
      <c r="AN5066">
        <v>1.0000000013216801</v>
      </c>
    </row>
    <row r="5067" spans="1:40" x14ac:dyDescent="0.25">
      <c r="A5067" t="str">
        <f>"20190312151417236"</f>
        <v>20190312151417236</v>
      </c>
      <c r="B5067" t="str">
        <f>"1552374857225148"</f>
        <v>1552374857225148</v>
      </c>
      <c r="C5067" t="s">
        <v>40</v>
      </c>
      <c r="D5067">
        <v>4.2178269999999998</v>
      </c>
      <c r="E5067">
        <v>0.55093419999999904</v>
      </c>
      <c r="F5067" t="s">
        <v>43</v>
      </c>
      <c r="G5067">
        <v>-318.4452</v>
      </c>
      <c r="H5067">
        <v>-0.05</v>
      </c>
      <c r="I5067">
        <v>13.09259</v>
      </c>
      <c r="J5067">
        <v>-326.95209999999997</v>
      </c>
      <c r="K5067">
        <v>1.1094409999999999</v>
      </c>
      <c r="L5067">
        <v>16.652799999999999</v>
      </c>
      <c r="M5067">
        <v>0.99740580000000001</v>
      </c>
      <c r="N5067">
        <v>0</v>
      </c>
      <c r="O5067">
        <v>-7.1152740000000006E-2</v>
      </c>
      <c r="P5067">
        <v>0.96498830000000002</v>
      </c>
      <c r="Q5067">
        <v>6.6939739999999998E-2</v>
      </c>
      <c r="R5067">
        <v>-0.25360779999999999</v>
      </c>
      <c r="S5067">
        <v>2.8293460000000001</v>
      </c>
      <c r="T5067">
        <v>-0.37734770000000001</v>
      </c>
      <c r="U5067">
        <v>-1.1630549999999999</v>
      </c>
      <c r="V5067">
        <v>0.1843764</v>
      </c>
      <c r="W5067">
        <v>7.7450660000000005E-2</v>
      </c>
      <c r="X5067">
        <v>0.97979930000000004</v>
      </c>
      <c r="Y5067">
        <v>0.31161220000000001</v>
      </c>
      <c r="Z5067">
        <v>-1.084396E-2</v>
      </c>
      <c r="AA5067">
        <v>0.95014750000000003</v>
      </c>
      <c r="AB5067">
        <v>33</v>
      </c>
      <c r="AC5067">
        <v>8.5068999999999697</v>
      </c>
      <c r="AD5067">
        <v>-1.1594409999999999</v>
      </c>
      <c r="AE5067">
        <v>-3.5602100000000001</v>
      </c>
      <c r="AF5067">
        <v>2.9000182129390502</v>
      </c>
      <c r="AG5067">
        <v>-1.1594409999999999</v>
      </c>
      <c r="AH5067">
        <v>8.6026834632779998</v>
      </c>
      <c r="AI5067">
        <v>97.278134181087495</v>
      </c>
      <c r="AJ5067">
        <v>71.370717796859196</v>
      </c>
      <c r="AK5067">
        <v>9.1520801918042594</v>
      </c>
      <c r="AL5067">
        <v>85.557955322598005</v>
      </c>
      <c r="AM5067">
        <v>79.342837515091105</v>
      </c>
      <c r="AN5067">
        <v>0.99999996494594201</v>
      </c>
    </row>
    <row r="5068" spans="1:40" x14ac:dyDescent="0.25">
      <c r="A5068" t="str">
        <f>"20190312151417250"</f>
        <v>20190312151417250</v>
      </c>
      <c r="B5068" t="str">
        <f>"1552374857245645"</f>
        <v>1552374857245645</v>
      </c>
      <c r="C5068" t="s">
        <v>40</v>
      </c>
      <c r="D5068">
        <v>4.2590680000000001</v>
      </c>
      <c r="E5068">
        <v>0.55154199999999998</v>
      </c>
      <c r="F5068" t="s">
        <v>43</v>
      </c>
      <c r="G5068">
        <v>-318.25229999999999</v>
      </c>
      <c r="H5068">
        <v>-0.05</v>
      </c>
      <c r="I5068">
        <v>13.060589999999999</v>
      </c>
      <c r="J5068">
        <v>-326.74669999999998</v>
      </c>
      <c r="K5068">
        <v>1.1093580000000001</v>
      </c>
      <c r="L5068">
        <v>16.637789999999999</v>
      </c>
      <c r="M5068">
        <v>0.99737500000000001</v>
      </c>
      <c r="N5068">
        <v>0</v>
      </c>
      <c r="O5068">
        <v>-7.1584320000000007E-2</v>
      </c>
      <c r="P5068">
        <v>0.96479990000000004</v>
      </c>
      <c r="Q5068">
        <v>6.7141699999999901E-2</v>
      </c>
      <c r="R5068">
        <v>-0.25427090000000002</v>
      </c>
      <c r="S5068">
        <v>2.8280639999999999</v>
      </c>
      <c r="T5068">
        <v>-0.37690170000000001</v>
      </c>
      <c r="U5068">
        <v>-1.1677249999999999</v>
      </c>
      <c r="V5068">
        <v>0.1846428</v>
      </c>
      <c r="W5068">
        <v>7.7616580000000004E-2</v>
      </c>
      <c r="X5068">
        <v>0.97973600000000005</v>
      </c>
      <c r="Y5068">
        <v>0.31269279999999999</v>
      </c>
      <c r="Z5068">
        <v>-1.0847000000000001E-2</v>
      </c>
      <c r="AA5068">
        <v>0.94979239999999998</v>
      </c>
      <c r="AB5068">
        <v>33</v>
      </c>
      <c r="AC5068">
        <v>8.4943999999999793</v>
      </c>
      <c r="AD5068">
        <v>-1.1593579999999899</v>
      </c>
      <c r="AE5068">
        <v>-3.5771999999999902</v>
      </c>
      <c r="AF5068">
        <v>2.9138169530711702</v>
      </c>
      <c r="AG5068">
        <v>-1.1593579999999899</v>
      </c>
      <c r="AH5068">
        <v>8.5927364907783303</v>
      </c>
      <c r="AI5068">
        <v>97.281588802935303</v>
      </c>
      <c r="AJ5068">
        <v>71.268082631292003</v>
      </c>
      <c r="AK5068">
        <v>9.1471066796076297</v>
      </c>
      <c r="AL5068">
        <v>85.548420096062799</v>
      </c>
      <c r="AM5068">
        <v>79.327119061886805</v>
      </c>
      <c r="AN5068">
        <v>0.99999996338936703</v>
      </c>
    </row>
    <row r="5069" spans="1:40" x14ac:dyDescent="0.25">
      <c r="A5069" t="str">
        <f>"20190312151417269"</f>
        <v>20190312151417269</v>
      </c>
      <c r="B5069" t="str">
        <f>"1552374857265164"</f>
        <v>1552374857265164</v>
      </c>
      <c r="C5069" t="s">
        <v>40</v>
      </c>
      <c r="D5069">
        <v>4.2681069999999997</v>
      </c>
      <c r="E5069">
        <v>0.55235690000000004</v>
      </c>
      <c r="F5069" t="s">
        <v>43</v>
      </c>
      <c r="G5069">
        <v>-318.10469999999998</v>
      </c>
      <c r="H5069">
        <v>-0.05</v>
      </c>
      <c r="I5069">
        <v>13.0464</v>
      </c>
      <c r="J5069">
        <v>-326.48649999999998</v>
      </c>
      <c r="K5069">
        <v>1.1092340000000001</v>
      </c>
      <c r="L5069">
        <v>16.61853</v>
      </c>
      <c r="M5069">
        <v>0.99732739999999998</v>
      </c>
      <c r="N5069">
        <v>0</v>
      </c>
      <c r="O5069">
        <v>-7.2243180000000004E-2</v>
      </c>
      <c r="P5069">
        <v>0.96433120000000006</v>
      </c>
      <c r="Q5069">
        <v>6.6945500000000005E-2</v>
      </c>
      <c r="R5069">
        <v>-0.25609399999999999</v>
      </c>
      <c r="S5069">
        <v>2.8262939999999999</v>
      </c>
      <c r="T5069">
        <v>-0.37915720000000003</v>
      </c>
      <c r="U5069">
        <v>-1.1745300000000001</v>
      </c>
      <c r="V5069">
        <v>0.18586949999999999</v>
      </c>
      <c r="W5069">
        <v>7.7366519999999994E-2</v>
      </c>
      <c r="X5069">
        <v>0.97952379999999994</v>
      </c>
      <c r="Y5069">
        <v>0.31419910000000001</v>
      </c>
      <c r="Z5069">
        <v>-1.092593E-2</v>
      </c>
      <c r="AA5069">
        <v>0.94929430000000004</v>
      </c>
      <c r="AB5069">
        <v>33</v>
      </c>
      <c r="AC5069">
        <v>8.3817999999999895</v>
      </c>
      <c r="AD5069">
        <v>-1.1592340000000001</v>
      </c>
      <c r="AE5069">
        <v>-3.57213</v>
      </c>
      <c r="AF5069">
        <v>2.9101227427435301</v>
      </c>
      <c r="AG5069">
        <v>-1.1592340000000001</v>
      </c>
      <c r="AH5069">
        <v>8.4806899846946493</v>
      </c>
      <c r="AI5069">
        <v>97.366949589389904</v>
      </c>
      <c r="AJ5069">
        <v>71.060499731684004</v>
      </c>
      <c r="AK5069">
        <v>9.0407267662002297</v>
      </c>
      <c r="AL5069">
        <v>85.562790685804799</v>
      </c>
      <c r="AM5069">
        <v>79.255584073189397</v>
      </c>
      <c r="AN5069">
        <v>0.99999996210679898</v>
      </c>
    </row>
    <row r="5070" spans="1:40" x14ac:dyDescent="0.25">
      <c r="A5070" t="str">
        <f>"20190312151417290"</f>
        <v>20190312151417290</v>
      </c>
      <c r="B5070" t="str">
        <f>"1552374857285660"</f>
        <v>1552374857285660</v>
      </c>
      <c r="C5070" t="s">
        <v>40</v>
      </c>
      <c r="D5070">
        <v>4.2923179999999999</v>
      </c>
      <c r="E5070">
        <v>0.55297229999999997</v>
      </c>
      <c r="F5070" t="s">
        <v>43</v>
      </c>
      <c r="G5070">
        <v>-317.9221</v>
      </c>
      <c r="H5070">
        <v>-0.05</v>
      </c>
      <c r="I5070">
        <v>13.017150000000001</v>
      </c>
      <c r="J5070">
        <v>-326.16140000000001</v>
      </c>
      <c r="K5070">
        <v>1.109067</v>
      </c>
      <c r="L5070">
        <v>16.593989999999899</v>
      </c>
      <c r="M5070">
        <v>0.99725330000000001</v>
      </c>
      <c r="N5070">
        <v>0</v>
      </c>
      <c r="O5070">
        <v>-7.3258829999999997E-2</v>
      </c>
      <c r="P5070">
        <v>0.96374930000000003</v>
      </c>
      <c r="Q5070">
        <v>6.5769750000000002E-2</v>
      </c>
      <c r="R5070">
        <v>-0.25857649999999999</v>
      </c>
      <c r="S5070">
        <v>2.822327</v>
      </c>
      <c r="T5070">
        <v>-0.38201420000000003</v>
      </c>
      <c r="U5070">
        <v>-1.186798</v>
      </c>
      <c r="V5070">
        <v>0.18741769999999999</v>
      </c>
      <c r="W5070">
        <v>7.6118039999999998E-2</v>
      </c>
      <c r="X5070">
        <v>0.97932660000000005</v>
      </c>
      <c r="Y5070">
        <v>0.31717240000000002</v>
      </c>
      <c r="Z5070">
        <v>-1.10755E-2</v>
      </c>
      <c r="AA5070">
        <v>0.94830320000000001</v>
      </c>
      <c r="AB5070">
        <v>33</v>
      </c>
      <c r="AC5070">
        <v>8.2393000000000107</v>
      </c>
      <c r="AD5070">
        <v>-1.1590670000000001</v>
      </c>
      <c r="AE5070">
        <v>-3.57683999999999</v>
      </c>
      <c r="AF5070">
        <v>2.91505054104978</v>
      </c>
      <c r="AG5070">
        <v>-1.1590670000000001</v>
      </c>
      <c r="AH5070">
        <v>8.3403301793340798</v>
      </c>
      <c r="AI5070">
        <v>97.473905740463096</v>
      </c>
      <c r="AJ5070">
        <v>70.734835586081203</v>
      </c>
      <c r="AK5070">
        <v>8.9107835495917307</v>
      </c>
      <c r="AL5070">
        <v>85.634534938449505</v>
      </c>
      <c r="AM5070">
        <v>79.166067733359796</v>
      </c>
      <c r="AN5070">
        <v>0.99999996987714501</v>
      </c>
    </row>
    <row r="5071" spans="1:40" x14ac:dyDescent="0.25">
      <c r="A5071" t="str">
        <f>"20190312151417312"</f>
        <v>20190312151417312</v>
      </c>
      <c r="B5071" t="str">
        <f>"1552374857305180"</f>
        <v>1552374857305180</v>
      </c>
      <c r="C5071" t="s">
        <v>40</v>
      </c>
      <c r="D5071">
        <v>4.238251</v>
      </c>
      <c r="E5071">
        <v>0.55743030000000005</v>
      </c>
      <c r="F5071" t="s">
        <v>43</v>
      </c>
      <c r="G5071">
        <v>-317.73540000000003</v>
      </c>
      <c r="H5071">
        <v>-0.05</v>
      </c>
      <c r="I5071">
        <v>13.00717</v>
      </c>
      <c r="J5071">
        <v>-325.82659999999998</v>
      </c>
      <c r="K5071">
        <v>1.1088880000000001</v>
      </c>
      <c r="L5071">
        <v>16.568210000000001</v>
      </c>
      <c r="M5071">
        <v>0.99716000000000005</v>
      </c>
      <c r="N5071">
        <v>0</v>
      </c>
      <c r="O5071">
        <v>-7.4514990000000003E-2</v>
      </c>
      <c r="P5071">
        <v>0.96309929999999999</v>
      </c>
      <c r="Q5071">
        <v>6.4538150000000002E-2</v>
      </c>
      <c r="R5071">
        <v>-0.26129330000000001</v>
      </c>
      <c r="S5071">
        <v>2.8175050000000001</v>
      </c>
      <c r="T5071">
        <v>-0.38757160000000002</v>
      </c>
      <c r="U5071">
        <v>-1.199371</v>
      </c>
      <c r="V5071">
        <v>0.18897030000000001</v>
      </c>
      <c r="W5071">
        <v>7.4805709999999997E-2</v>
      </c>
      <c r="X5071">
        <v>0.97912940000000004</v>
      </c>
      <c r="Y5071">
        <v>0.32007580000000002</v>
      </c>
      <c r="Z5071">
        <v>-1.127122E-2</v>
      </c>
      <c r="AA5071">
        <v>0.94732490000000003</v>
      </c>
      <c r="AB5071">
        <v>33</v>
      </c>
      <c r="AC5071">
        <v>8.0911999999999509</v>
      </c>
      <c r="AD5071">
        <v>-1.1588879999999999</v>
      </c>
      <c r="AE5071">
        <v>-3.5610400000000002</v>
      </c>
      <c r="AF5071">
        <v>2.8983769901498602</v>
      </c>
      <c r="AG5071">
        <v>-1.1588879999999999</v>
      </c>
      <c r="AH5071">
        <v>8.1932642839306205</v>
      </c>
      <c r="AI5071">
        <v>97.595377967047199</v>
      </c>
      <c r="AJ5071">
        <v>70.518706152434802</v>
      </c>
      <c r="AK5071">
        <v>8.7677357510310099</v>
      </c>
      <c r="AL5071">
        <v>85.709941160528302</v>
      </c>
      <c r="AM5071">
        <v>79.076320636633596</v>
      </c>
      <c r="AN5071">
        <v>1.0000000252375201</v>
      </c>
    </row>
    <row r="5072" spans="1:40" x14ac:dyDescent="0.25">
      <c r="A5072" t="str">
        <f>"20190312151417323"</f>
        <v>20190312151417323</v>
      </c>
      <c r="B5072" t="str">
        <f>"1552374857315916"</f>
        <v>1552374857315916</v>
      </c>
      <c r="C5072" t="s">
        <v>40</v>
      </c>
      <c r="D5072">
        <v>4.3369619999999998</v>
      </c>
      <c r="E5072">
        <v>0.55819799999999997</v>
      </c>
      <c r="F5072" t="s">
        <v>43</v>
      </c>
      <c r="G5072">
        <v>-317.90010000000001</v>
      </c>
      <c r="H5072">
        <v>-0.05</v>
      </c>
      <c r="I5072">
        <v>13.056609999999999</v>
      </c>
      <c r="J5072">
        <v>-325.65269999999998</v>
      </c>
      <c r="K5072">
        <v>1.1087940000000001</v>
      </c>
      <c r="L5072">
        <v>16.55463</v>
      </c>
      <c r="M5072">
        <v>0.99710569999999998</v>
      </c>
      <c r="N5072">
        <v>0</v>
      </c>
      <c r="O5072">
        <v>-7.5238470000000002E-2</v>
      </c>
      <c r="P5072">
        <v>0.96269329999999997</v>
      </c>
      <c r="Q5072">
        <v>6.4208249999999994E-2</v>
      </c>
      <c r="R5072">
        <v>-0.26286659999999901</v>
      </c>
      <c r="S5072">
        <v>2.805237</v>
      </c>
      <c r="T5072">
        <v>-0.410136</v>
      </c>
      <c r="U5072">
        <v>-1.242767</v>
      </c>
      <c r="V5072">
        <v>0.18987490000000001</v>
      </c>
      <c r="W5072">
        <v>7.4431960000000005E-2</v>
      </c>
      <c r="X5072">
        <v>0.97898289999999999</v>
      </c>
      <c r="Y5072">
        <v>0.33283249999999998</v>
      </c>
      <c r="Z5072">
        <v>-1.272276E-2</v>
      </c>
      <c r="AA5072">
        <v>0.94290010000000002</v>
      </c>
      <c r="AB5072">
        <v>33</v>
      </c>
      <c r="AC5072">
        <v>7.75259999999997</v>
      </c>
      <c r="AD5072">
        <v>-1.1587940000000001</v>
      </c>
      <c r="AE5072">
        <v>-3.4980199999999901</v>
      </c>
      <c r="AF5072">
        <v>2.85183763238709</v>
      </c>
      <c r="AG5072">
        <v>-1.1587940000000001</v>
      </c>
      <c r="AH5072">
        <v>7.8481421363453103</v>
      </c>
      <c r="AI5072">
        <v>97.900700599904695</v>
      </c>
      <c r="AJ5072">
        <v>70.029998287064899</v>
      </c>
      <c r="AK5072">
        <v>8.4302500798145896</v>
      </c>
      <c r="AL5072">
        <v>85.731415458205305</v>
      </c>
      <c r="AM5072">
        <v>79.023693375867595</v>
      </c>
      <c r="AN5072">
        <v>1.0000000564059199</v>
      </c>
    </row>
    <row r="5073" spans="1:40" x14ac:dyDescent="0.25">
      <c r="A5073" t="str">
        <f>"20190312151417336"</f>
        <v>20190312151417336</v>
      </c>
      <c r="B5073" t="str">
        <f>"1552374857325676"</f>
        <v>1552374857325676</v>
      </c>
      <c r="C5073" t="s">
        <v>40</v>
      </c>
      <c r="D5073">
        <v>4.2914979999999998</v>
      </c>
      <c r="E5073">
        <v>0.55809629999999999</v>
      </c>
      <c r="F5073" t="s">
        <v>43</v>
      </c>
      <c r="G5073">
        <v>-317.68900000000002</v>
      </c>
      <c r="H5073">
        <v>-0.05</v>
      </c>
      <c r="I5073">
        <v>12.99132</v>
      </c>
      <c r="J5073">
        <v>-325.48340000000002</v>
      </c>
      <c r="K5073">
        <v>1.1086879999999999</v>
      </c>
      <c r="L5073">
        <v>16.541079999999901</v>
      </c>
      <c r="M5073">
        <v>0.99704420000000005</v>
      </c>
      <c r="N5073">
        <v>0</v>
      </c>
      <c r="O5073">
        <v>-7.604967E-2</v>
      </c>
      <c r="P5073">
        <v>0.96228100000000005</v>
      </c>
      <c r="Q5073">
        <v>6.3863169999999997E-2</v>
      </c>
      <c r="R5073">
        <v>-0.26445590000000002</v>
      </c>
      <c r="S5073">
        <v>2.8011780000000002</v>
      </c>
      <c r="T5073">
        <v>-0.4075935</v>
      </c>
      <c r="U5073">
        <v>-1.2533570000000001</v>
      </c>
      <c r="V5073">
        <v>0.19071070000000001</v>
      </c>
      <c r="W5073">
        <v>7.4040610000000007E-2</v>
      </c>
      <c r="X5073">
        <v>0.97885009999999995</v>
      </c>
      <c r="Y5073">
        <v>0.33555449999999998</v>
      </c>
      <c r="Z5073">
        <v>-1.2729539999999999E-2</v>
      </c>
      <c r="AA5073">
        <v>0.94193479999999996</v>
      </c>
      <c r="AB5073">
        <v>33</v>
      </c>
      <c r="AC5073">
        <v>7.7943999999999898</v>
      </c>
      <c r="AD5073">
        <v>-1.1586879999999999</v>
      </c>
      <c r="AE5073">
        <v>-3.5497599999999898</v>
      </c>
      <c r="AF5073">
        <v>2.8937193260852698</v>
      </c>
      <c r="AG5073">
        <v>-1.1586879999999999</v>
      </c>
      <c r="AH5073">
        <v>7.8972589088036198</v>
      </c>
      <c r="AI5073">
        <v>97.843872993692003</v>
      </c>
      <c r="AJ5073">
        <v>69.876119042841296</v>
      </c>
      <c r="AK5073">
        <v>8.4901629956191993</v>
      </c>
      <c r="AL5073">
        <v>85.753900178498</v>
      </c>
      <c r="AM5073">
        <v>78.975099486395607</v>
      </c>
      <c r="AN5073">
        <v>1.0000000506468301</v>
      </c>
    </row>
    <row r="5074" spans="1:40" x14ac:dyDescent="0.25">
      <c r="A5074" t="str">
        <f>"20190312151417348"</f>
        <v>20190312151417348</v>
      </c>
      <c r="B5074" t="str">
        <f>"1552374857335436"</f>
        <v>1552374857335436</v>
      </c>
      <c r="C5074" t="s">
        <v>40</v>
      </c>
      <c r="D5074">
        <v>4.2897790000000002</v>
      </c>
      <c r="E5074">
        <v>0.55814090000000005</v>
      </c>
      <c r="F5074" t="s">
        <v>43</v>
      </c>
      <c r="G5074">
        <v>-317.4624</v>
      </c>
      <c r="H5074">
        <v>-0.05</v>
      </c>
      <c r="I5074">
        <v>12.93657</v>
      </c>
      <c r="J5074">
        <v>-325.30470000000003</v>
      </c>
      <c r="K5074">
        <v>1.1085769999999999</v>
      </c>
      <c r="L5074">
        <v>16.526700000000002</v>
      </c>
      <c r="M5074">
        <v>0.9969751</v>
      </c>
      <c r="N5074">
        <v>0</v>
      </c>
      <c r="O5074">
        <v>-7.6949310000000007E-2</v>
      </c>
      <c r="P5074">
        <v>0.96183039999999997</v>
      </c>
      <c r="Q5074">
        <v>6.3453060000000006E-2</v>
      </c>
      <c r="R5074">
        <v>-0.2661886</v>
      </c>
      <c r="S5074">
        <v>2.7987669999999998</v>
      </c>
      <c r="T5074">
        <v>-0.4043003</v>
      </c>
      <c r="U5074">
        <v>-1.2577210000000001</v>
      </c>
      <c r="V5074">
        <v>0.19160720000000001</v>
      </c>
      <c r="W5074">
        <v>7.3578859999999996E-2</v>
      </c>
      <c r="X5074">
        <v>0.97870979999999996</v>
      </c>
      <c r="Y5074">
        <v>0.33626650000000002</v>
      </c>
      <c r="Z5074">
        <v>-1.256051E-2</v>
      </c>
      <c r="AA5074">
        <v>0.9416831</v>
      </c>
      <c r="AB5074">
        <v>33</v>
      </c>
      <c r="AC5074">
        <v>7.8423000000000203</v>
      </c>
      <c r="AD5074">
        <v>-1.158577</v>
      </c>
      <c r="AE5074">
        <v>-3.5901299999999998</v>
      </c>
      <c r="AF5074">
        <v>2.9232416250883499</v>
      </c>
      <c r="AG5074">
        <v>-1.158577</v>
      </c>
      <c r="AH5074">
        <v>7.95183698192535</v>
      </c>
      <c r="AI5074">
        <v>97.786982005958393</v>
      </c>
      <c r="AJ5074">
        <v>69.815643283477399</v>
      </c>
      <c r="AK5074">
        <v>8.5509855368076604</v>
      </c>
      <c r="AL5074">
        <v>85.780428735961294</v>
      </c>
      <c r="AM5074">
        <v>78.923003332447706</v>
      </c>
      <c r="AN5074">
        <v>1.0000000201733801</v>
      </c>
    </row>
    <row r="5075" spans="1:40" x14ac:dyDescent="0.25">
      <c r="A5075" t="str">
        <f>"20190312151417359"</f>
        <v>20190312151417359</v>
      </c>
      <c r="B5075" t="str">
        <f>"1552374857355933"</f>
        <v>1552374857355933</v>
      </c>
      <c r="C5075" t="s">
        <v>40</v>
      </c>
      <c r="D5075">
        <v>4.3075060000000001</v>
      </c>
      <c r="E5075">
        <v>0.55864269999999905</v>
      </c>
      <c r="F5075" t="s">
        <v>43</v>
      </c>
      <c r="G5075">
        <v>-317.37209999999999</v>
      </c>
      <c r="H5075">
        <v>-0.05</v>
      </c>
      <c r="I5075">
        <v>12.943009999999999</v>
      </c>
      <c r="J5075">
        <v>-325.12060000000002</v>
      </c>
      <c r="K5075">
        <v>1.1084419999999999</v>
      </c>
      <c r="L5075">
        <v>16.51154</v>
      </c>
      <c r="M5075">
        <v>0.99689289999999997</v>
      </c>
      <c r="N5075">
        <v>0</v>
      </c>
      <c r="O5075">
        <v>-7.8006599999999995E-2</v>
      </c>
      <c r="P5075">
        <v>0.96133919999999995</v>
      </c>
      <c r="Q5075">
        <v>6.3222280000000006E-2</v>
      </c>
      <c r="R5075">
        <v>-0.26801199999999997</v>
      </c>
      <c r="S5075">
        <v>2.7963559999999998</v>
      </c>
      <c r="T5075">
        <v>-0.40841630000000001</v>
      </c>
      <c r="U5075">
        <v>-1.263306</v>
      </c>
      <c r="V5075">
        <v>0.19244720000000001</v>
      </c>
      <c r="W5075">
        <v>7.3287350000000001E-2</v>
      </c>
      <c r="X5075">
        <v>0.97856679999999996</v>
      </c>
      <c r="Y5075">
        <v>0.33709080000000002</v>
      </c>
      <c r="Z5075">
        <v>-1.2604499999999999E-2</v>
      </c>
      <c r="AA5075">
        <v>0.9413878</v>
      </c>
      <c r="AB5075">
        <v>33</v>
      </c>
      <c r="AC5075">
        <v>7.7485000000000301</v>
      </c>
      <c r="AD5075">
        <v>-1.158442</v>
      </c>
      <c r="AE5075">
        <v>-3.5685299999999902</v>
      </c>
      <c r="AF5075">
        <v>2.8997122115733598</v>
      </c>
      <c r="AG5075">
        <v>-1.158442</v>
      </c>
      <c r="AH5075">
        <v>7.8583591674571096</v>
      </c>
      <c r="AI5075">
        <v>97.874070319203497</v>
      </c>
      <c r="AJ5075">
        <v>69.746082424156498</v>
      </c>
      <c r="AK5075">
        <v>8.4560113281658307</v>
      </c>
      <c r="AL5075">
        <v>85.797176038270095</v>
      </c>
      <c r="AM5075">
        <v>78.874065748047798</v>
      </c>
      <c r="AN5075">
        <v>0.99999997126005002</v>
      </c>
    </row>
    <row r="5076" spans="1:40" x14ac:dyDescent="0.25">
      <c r="A5076" t="str">
        <f>"20190312151417372"</f>
        <v>20190312151417372</v>
      </c>
      <c r="B5076" t="str">
        <f>"1552374857365692"</f>
        <v>1552374857365692</v>
      </c>
      <c r="C5076" t="s">
        <v>40</v>
      </c>
      <c r="D5076">
        <v>4.3294579999999998</v>
      </c>
      <c r="E5076">
        <v>0.55897410000000003</v>
      </c>
      <c r="F5076" t="s">
        <v>43</v>
      </c>
      <c r="G5076">
        <v>-317.25049999999999</v>
      </c>
      <c r="H5076">
        <v>-0.05</v>
      </c>
      <c r="I5076">
        <v>12.924670000000001</v>
      </c>
      <c r="J5076">
        <v>-324.94709999999998</v>
      </c>
      <c r="K5076">
        <v>1.108306</v>
      </c>
      <c r="L5076">
        <v>16.497039999999998</v>
      </c>
      <c r="M5076">
        <v>0.99680780000000002</v>
      </c>
      <c r="N5076">
        <v>0</v>
      </c>
      <c r="O5076">
        <v>-7.9086840000000005E-2</v>
      </c>
      <c r="P5076">
        <v>0.96097560000000004</v>
      </c>
      <c r="Q5076">
        <v>6.2873899999999996E-2</v>
      </c>
      <c r="R5076">
        <v>-0.26939410000000003</v>
      </c>
      <c r="S5076">
        <v>2.7928160000000002</v>
      </c>
      <c r="T5076">
        <v>-0.41109250000000003</v>
      </c>
      <c r="U5076">
        <v>-1.272858</v>
      </c>
      <c r="V5076">
        <v>0.1928145</v>
      </c>
      <c r="W5076">
        <v>7.2880280000000006E-2</v>
      </c>
      <c r="X5076">
        <v>0.97852490000000003</v>
      </c>
      <c r="Y5076">
        <v>0.33914830000000001</v>
      </c>
      <c r="Z5076">
        <v>-1.2687179999999999E-2</v>
      </c>
      <c r="AA5076">
        <v>0.94064740000000002</v>
      </c>
      <c r="AB5076">
        <v>33</v>
      </c>
      <c r="AC5076">
        <v>7.6965999999999797</v>
      </c>
      <c r="AD5076">
        <v>-1.1583060000000001</v>
      </c>
      <c r="AE5076">
        <v>-3.5723699999999901</v>
      </c>
      <c r="AF5076">
        <v>2.89843212138162</v>
      </c>
      <c r="AG5076">
        <v>-1.1583060000000001</v>
      </c>
      <c r="AH5076">
        <v>7.8095075173661099</v>
      </c>
      <c r="AI5076">
        <v>97.916326922368199</v>
      </c>
      <c r="AJ5076">
        <v>69.638021442048299</v>
      </c>
      <c r="AK5076">
        <v>8.4101717708790407</v>
      </c>
      <c r="AL5076">
        <v>85.820561979102905</v>
      </c>
      <c r="AM5076">
        <v>78.852896987618493</v>
      </c>
      <c r="AN5076">
        <v>0.99999997327156798</v>
      </c>
    </row>
    <row r="5077" spans="1:40" x14ac:dyDescent="0.25">
      <c r="A5077" t="str">
        <f>"20190312151417383"</f>
        <v>20190312151417383</v>
      </c>
      <c r="B5077" t="str">
        <f>"1552374857375452"</f>
        <v>1552374857375452</v>
      </c>
      <c r="C5077" t="s">
        <v>40</v>
      </c>
      <c r="D5077">
        <v>4.2986760000000004</v>
      </c>
      <c r="E5077">
        <v>0.55914649999999999</v>
      </c>
      <c r="F5077" t="s">
        <v>43</v>
      </c>
      <c r="G5077">
        <v>-317.11450000000002</v>
      </c>
      <c r="H5077">
        <v>-0.05</v>
      </c>
      <c r="I5077">
        <v>12.904859999999999</v>
      </c>
      <c r="J5077">
        <v>-324.7706</v>
      </c>
      <c r="K5077">
        <v>1.108166</v>
      </c>
      <c r="L5077">
        <v>16.482060000000001</v>
      </c>
      <c r="M5077">
        <v>0.99671430000000005</v>
      </c>
      <c r="N5077">
        <v>0</v>
      </c>
      <c r="O5077">
        <v>-8.025301E-2</v>
      </c>
      <c r="P5077">
        <v>0.96054220000000001</v>
      </c>
      <c r="Q5077">
        <v>6.241555E-2</v>
      </c>
      <c r="R5077">
        <v>-0.27104050000000002</v>
      </c>
      <c r="S5077">
        <v>2.7901609999999999</v>
      </c>
      <c r="T5077">
        <v>-0.41261959999999998</v>
      </c>
      <c r="U5077">
        <v>-1.279633</v>
      </c>
      <c r="V5077">
        <v>0.1933675</v>
      </c>
      <c r="W5077">
        <v>7.2359510000000002E-2</v>
      </c>
      <c r="X5077">
        <v>0.9784545</v>
      </c>
      <c r="Y5077">
        <v>0.3402577</v>
      </c>
      <c r="Z5077">
        <v>-1.2655080000000001E-2</v>
      </c>
      <c r="AA5077">
        <v>0.9402471</v>
      </c>
      <c r="AB5077">
        <v>33</v>
      </c>
      <c r="AC5077">
        <v>7.6560999999999799</v>
      </c>
      <c r="AD5077">
        <v>-1.158166</v>
      </c>
      <c r="AE5077">
        <v>-3.5771999999999902</v>
      </c>
      <c r="AF5077">
        <v>2.8967876139481401</v>
      </c>
      <c r="AG5077">
        <v>-1.158166</v>
      </c>
      <c r="AH5077">
        <v>7.7725083770557104</v>
      </c>
      <c r="AI5077">
        <v>97.9485924592082</v>
      </c>
      <c r="AJ5077">
        <v>69.559745416240304</v>
      </c>
      <c r="AK5077">
        <v>8.3752381121542196</v>
      </c>
      <c r="AL5077">
        <v>85.850479206640898</v>
      </c>
      <c r="AM5077">
        <v>78.820946611585001</v>
      </c>
      <c r="AN5077">
        <v>1.00000004865696</v>
      </c>
    </row>
    <row r="5078" spans="1:40" x14ac:dyDescent="0.25">
      <c r="A5078" t="str">
        <f>"20190312151417401"</f>
        <v>20190312151417401</v>
      </c>
      <c r="B5078" t="str">
        <f>"1552374857395948"</f>
        <v>1552374857395948</v>
      </c>
      <c r="C5078" t="s">
        <v>40</v>
      </c>
      <c r="D5078">
        <v>4.3697790000000003</v>
      </c>
      <c r="E5078">
        <v>0.55986210000000003</v>
      </c>
      <c r="F5078" t="s">
        <v>43</v>
      </c>
      <c r="G5078">
        <v>-316.98779999999999</v>
      </c>
      <c r="H5078">
        <v>-0.05</v>
      </c>
      <c r="I5078">
        <v>12.891310000000001</v>
      </c>
      <c r="J5078">
        <v>-324.50810000000001</v>
      </c>
      <c r="K5078">
        <v>1.1079460000000001</v>
      </c>
      <c r="L5078">
        <v>16.459139999999898</v>
      </c>
      <c r="M5078">
        <v>0.99655559999999999</v>
      </c>
      <c r="N5078">
        <v>0</v>
      </c>
      <c r="O5078">
        <v>-8.2200200000000001E-2</v>
      </c>
      <c r="P5078">
        <v>0.95978039999999998</v>
      </c>
      <c r="Q5078">
        <v>6.2385509999999998E-2</v>
      </c>
      <c r="R5078">
        <v>-0.27373259999999899</v>
      </c>
      <c r="S5078">
        <v>2.7873540000000001</v>
      </c>
      <c r="T5078">
        <v>-0.41479120000000003</v>
      </c>
      <c r="U5078">
        <v>-1.286011</v>
      </c>
      <c r="V5078">
        <v>0.19423860000000001</v>
      </c>
      <c r="W5078">
        <v>7.2229199999999993E-2</v>
      </c>
      <c r="X5078">
        <v>0.97829149999999998</v>
      </c>
      <c r="Y5078">
        <v>0.34054600000000002</v>
      </c>
      <c r="Z5078">
        <v>-1.2476050000000001E-2</v>
      </c>
      <c r="AA5078">
        <v>0.94014509999999996</v>
      </c>
      <c r="AB5078">
        <v>33</v>
      </c>
      <c r="AC5078">
        <v>7.5203000000000104</v>
      </c>
      <c r="AD5078">
        <v>-1.1579459999999999</v>
      </c>
      <c r="AE5078">
        <v>-3.5678299999999901</v>
      </c>
      <c r="AF5078">
        <v>2.8817769787415601</v>
      </c>
      <c r="AG5078">
        <v>-1.1579459999999999</v>
      </c>
      <c r="AH5078">
        <v>7.6402808787974701</v>
      </c>
      <c r="AI5078">
        <v>98.071084816607893</v>
      </c>
      <c r="AJ5078">
        <v>69.334423791899496</v>
      </c>
      <c r="AK5078">
        <v>8.2473856100608707</v>
      </c>
      <c r="AL5078">
        <v>85.857964701556597</v>
      </c>
      <c r="AM5078">
        <v>78.770039631814896</v>
      </c>
      <c r="AN5078">
        <v>0.99999997501742399</v>
      </c>
    </row>
    <row r="5079" spans="1:40" x14ac:dyDescent="0.25">
      <c r="A5079" t="str">
        <f>"20190312151417414"</f>
        <v>20190312151417414</v>
      </c>
      <c r="B5079" t="str">
        <f>"1552374857405709"</f>
        <v>1552374857405709</v>
      </c>
      <c r="C5079" t="s">
        <v>40</v>
      </c>
      <c r="D5079">
        <v>4.3821580000000004</v>
      </c>
      <c r="E5079">
        <v>0.55986210000000003</v>
      </c>
      <c r="F5079" t="s">
        <v>43</v>
      </c>
      <c r="G5079">
        <v>-316.76330000000002</v>
      </c>
      <c r="H5079">
        <v>-0.05</v>
      </c>
      <c r="I5079">
        <v>12.841290000000001</v>
      </c>
      <c r="J5079">
        <v>-324.32589999999999</v>
      </c>
      <c r="K5079">
        <v>1.1077859999999999</v>
      </c>
      <c r="L5079">
        <v>16.44275</v>
      </c>
      <c r="M5079">
        <v>0.99643219999999999</v>
      </c>
      <c r="N5079">
        <v>0</v>
      </c>
      <c r="O5079">
        <v>-8.3682950000000006E-2</v>
      </c>
      <c r="P5079">
        <v>0.95917830000000004</v>
      </c>
      <c r="Q5079">
        <v>6.2619190000000005E-2</v>
      </c>
      <c r="R5079">
        <v>-0.2757829</v>
      </c>
      <c r="S5079">
        <v>2.7820740000000002</v>
      </c>
      <c r="T5079">
        <v>-0.41595589999999999</v>
      </c>
      <c r="U5079">
        <v>-1.2995909999999999</v>
      </c>
      <c r="V5079">
        <v>0.1949042</v>
      </c>
      <c r="W5079">
        <v>7.2389960000000003E-2</v>
      </c>
      <c r="X5079">
        <v>0.97814730000000005</v>
      </c>
      <c r="Y5079">
        <v>0.3435704</v>
      </c>
      <c r="Z5079">
        <v>-1.25272E-2</v>
      </c>
      <c r="AA5079">
        <v>0.93904330000000003</v>
      </c>
      <c r="AB5079">
        <v>33</v>
      </c>
      <c r="AC5079">
        <v>7.5625999999999696</v>
      </c>
      <c r="AD5079">
        <v>-1.157786</v>
      </c>
      <c r="AE5079">
        <v>-3.6014599999999999</v>
      </c>
      <c r="AF5079">
        <v>2.9005133027754</v>
      </c>
      <c r="AG5079">
        <v>-1.157786</v>
      </c>
      <c r="AH5079">
        <v>7.6905419809163398</v>
      </c>
      <c r="AI5079">
        <v>98.018006602621895</v>
      </c>
      <c r="AJ5079">
        <v>69.335866938800095</v>
      </c>
      <c r="AK5079">
        <v>8.3004747937458205</v>
      </c>
      <c r="AL5079">
        <v>85.848729955941494</v>
      </c>
      <c r="AM5079">
        <v>78.730922093239201</v>
      </c>
      <c r="AN5079">
        <v>1.00000004699186</v>
      </c>
    </row>
    <row r="5080" spans="1:40" x14ac:dyDescent="0.25">
      <c r="A5080" t="str">
        <f>"20190312151417426"</f>
        <v>20190312151417426</v>
      </c>
      <c r="B5080" t="str">
        <f>"1552374857415468"</f>
        <v>1552374857415468</v>
      </c>
      <c r="C5080" t="s">
        <v>40</v>
      </c>
      <c r="D5080">
        <v>4.6366630000000004</v>
      </c>
      <c r="E5080">
        <v>0.57015909999999903</v>
      </c>
      <c r="F5080" t="s">
        <v>43</v>
      </c>
      <c r="G5080">
        <v>-316.57490000000001</v>
      </c>
      <c r="H5080">
        <v>-0.05</v>
      </c>
      <c r="I5080">
        <v>12.80199</v>
      </c>
      <c r="J5080">
        <v>-324.14280000000002</v>
      </c>
      <c r="K5080">
        <v>1.1076220000000001</v>
      </c>
      <c r="L5080">
        <v>16.426120000000001</v>
      </c>
      <c r="M5080">
        <v>0.99630039999999997</v>
      </c>
      <c r="N5080">
        <v>0</v>
      </c>
      <c r="O5080">
        <v>-8.5235690000000003E-2</v>
      </c>
      <c r="P5080">
        <v>0.95841569999999998</v>
      </c>
      <c r="Q5080">
        <v>6.2622220000000006E-2</v>
      </c>
      <c r="R5080">
        <v>-0.27842070000000002</v>
      </c>
      <c r="S5080">
        <v>2.7794189999999999</v>
      </c>
      <c r="T5080">
        <v>-0.41516890000000001</v>
      </c>
      <c r="U5080">
        <v>-1.305542</v>
      </c>
      <c r="V5080">
        <v>0.1961</v>
      </c>
      <c r="W5080">
        <v>7.2315290000000004E-2</v>
      </c>
      <c r="X5080">
        <v>0.9779137</v>
      </c>
      <c r="Y5080">
        <v>0.34411740000000002</v>
      </c>
      <c r="Z5080">
        <v>-1.233129E-2</v>
      </c>
      <c r="AA5080">
        <v>0.93884559999999995</v>
      </c>
      <c r="AB5080">
        <v>33</v>
      </c>
      <c r="AC5080">
        <v>7.5678999999999998</v>
      </c>
      <c r="AD5080">
        <v>-1.1576219999999999</v>
      </c>
      <c r="AE5080">
        <v>-3.6241300000000001</v>
      </c>
      <c r="AF5080">
        <v>2.9104499348616399</v>
      </c>
      <c r="AG5080">
        <v>-1.1576219999999999</v>
      </c>
      <c r="AH5080">
        <v>7.7026719284514602</v>
      </c>
      <c r="AI5080">
        <v>98.002607657671106</v>
      </c>
      <c r="AJ5080">
        <v>69.300958419291902</v>
      </c>
      <c r="AK5080">
        <v>8.3151646018328602</v>
      </c>
      <c r="AL5080">
        <v>85.853019103856397</v>
      </c>
      <c r="AM5080">
        <v>78.660929948141103</v>
      </c>
      <c r="AN5080">
        <v>0.99999995790773599</v>
      </c>
    </row>
    <row r="5081" spans="1:40" x14ac:dyDescent="0.25">
      <c r="A5081" t="str">
        <f>"20190312151417436"</f>
        <v>20190312151417436</v>
      </c>
      <c r="B5081" t="str">
        <f>"1552374857425228"</f>
        <v>1552374857425228</v>
      </c>
      <c r="C5081" t="s">
        <v>40</v>
      </c>
      <c r="D5081">
        <v>4.4084709999999996</v>
      </c>
      <c r="E5081">
        <v>0.5690849</v>
      </c>
      <c r="F5081" t="s">
        <v>43</v>
      </c>
      <c r="G5081">
        <v>-316.68099999999998</v>
      </c>
      <c r="H5081">
        <v>-0.05</v>
      </c>
      <c r="I5081">
        <v>12.653689999999999</v>
      </c>
      <c r="J5081">
        <v>-323.97230000000002</v>
      </c>
      <c r="K5081">
        <v>1.1074630000000001</v>
      </c>
      <c r="L5081">
        <v>16.410029999999999</v>
      </c>
      <c r="M5081">
        <v>0.99616249999999995</v>
      </c>
      <c r="N5081">
        <v>0</v>
      </c>
      <c r="O5081">
        <v>-8.6830099999999993E-2</v>
      </c>
      <c r="P5081">
        <v>0.95777699999999999</v>
      </c>
      <c r="Q5081">
        <v>6.23738E-2</v>
      </c>
      <c r="R5081">
        <v>-0.28066429999999998</v>
      </c>
      <c r="S5081">
        <v>2.7536619999999998</v>
      </c>
      <c r="T5081">
        <v>-0.42720029999999998</v>
      </c>
      <c r="U5081">
        <v>-1.3921509999999999</v>
      </c>
      <c r="V5081">
        <v>0.19684889999999999</v>
      </c>
      <c r="W5081">
        <v>7.199759E-2</v>
      </c>
      <c r="X5081">
        <v>0.97778670000000001</v>
      </c>
      <c r="Y5081">
        <v>0.36931520000000001</v>
      </c>
      <c r="Z5081">
        <v>-1.431809E-2</v>
      </c>
      <c r="AA5081">
        <v>0.92919390000000002</v>
      </c>
      <c r="AB5081">
        <v>33</v>
      </c>
      <c r="AC5081">
        <v>7.2913000000000299</v>
      </c>
      <c r="AD5081">
        <v>-1.1574629999999999</v>
      </c>
      <c r="AE5081">
        <v>-3.7563399999999998</v>
      </c>
      <c r="AF5081">
        <v>3.0483026825809199</v>
      </c>
      <c r="AG5081">
        <v>-1.1574629999999999</v>
      </c>
      <c r="AH5081">
        <v>7.44174186533089</v>
      </c>
      <c r="AI5081">
        <v>98.190310807046401</v>
      </c>
      <c r="AJ5081">
        <v>67.724904488926597</v>
      </c>
      <c r="AK5081">
        <v>8.1247394931294501</v>
      </c>
      <c r="AL5081">
        <v>85.871269665246899</v>
      </c>
      <c r="AM5081">
        <v>78.617314809291898</v>
      </c>
      <c r="AN5081">
        <v>0.99999998654695399</v>
      </c>
    </row>
    <row r="5082" spans="1:40" x14ac:dyDescent="0.25">
      <c r="A5082" t="str">
        <f>"20190312151417448"</f>
        <v>20190312151417448</v>
      </c>
      <c r="B5082" t="str">
        <f>"1552374857445724"</f>
        <v>1552374857445724</v>
      </c>
      <c r="C5082" t="s">
        <v>40</v>
      </c>
      <c r="D5082">
        <v>4.4374099999999999</v>
      </c>
      <c r="E5082">
        <v>0.56878169999999995</v>
      </c>
      <c r="F5082" t="s">
        <v>43</v>
      </c>
      <c r="G5082">
        <v>-316.61399999999998</v>
      </c>
      <c r="H5082">
        <v>-0.05</v>
      </c>
      <c r="I5082">
        <v>12.693860000000001</v>
      </c>
      <c r="J5082">
        <v>-323.80970000000002</v>
      </c>
      <c r="K5082">
        <v>1.1073200000000001</v>
      </c>
      <c r="L5082">
        <v>16.394559999999998</v>
      </c>
      <c r="M5082">
        <v>0.99602550000000001</v>
      </c>
      <c r="N5082">
        <v>0</v>
      </c>
      <c r="O5082">
        <v>-8.8387939999999998E-2</v>
      </c>
      <c r="P5082">
        <v>0.95713340000000002</v>
      </c>
      <c r="Q5082">
        <v>6.1955000000000003E-2</v>
      </c>
      <c r="R5082">
        <v>-0.28294350000000001</v>
      </c>
      <c r="S5082">
        <v>2.7530209999999999</v>
      </c>
      <c r="T5082">
        <v>-0.43304979999999998</v>
      </c>
      <c r="U5082">
        <v>-1.39035</v>
      </c>
      <c r="V5082">
        <v>0.1976675</v>
      </c>
      <c r="W5082">
        <v>7.1511989999999998E-2</v>
      </c>
      <c r="X5082">
        <v>0.9776572</v>
      </c>
      <c r="Y5082">
        <v>0.36742429999999998</v>
      </c>
      <c r="Z5082">
        <v>-1.415056E-2</v>
      </c>
      <c r="AA5082">
        <v>0.92994580000000004</v>
      </c>
      <c r="AB5082">
        <v>33</v>
      </c>
      <c r="AC5082">
        <v>7.19569999999998</v>
      </c>
      <c r="AD5082">
        <v>-1.1573199999999999</v>
      </c>
      <c r="AE5082">
        <v>-3.7006999999999999</v>
      </c>
      <c r="AF5082">
        <v>2.9890162368094302</v>
      </c>
      <c r="AG5082">
        <v>-1.1573199999999999</v>
      </c>
      <c r="AH5082">
        <v>7.3444057259185698</v>
      </c>
      <c r="AI5082">
        <v>98.303917166208194</v>
      </c>
      <c r="AJ5082">
        <v>67.854726889017996</v>
      </c>
      <c r="AK5082">
        <v>8.0133577926619406</v>
      </c>
      <c r="AL5082">
        <v>85.8991644681645</v>
      </c>
      <c r="AM5082">
        <v>78.569748845436607</v>
      </c>
      <c r="AN5082">
        <v>1.00000000299092</v>
      </c>
    </row>
    <row r="5083" spans="1:40" x14ac:dyDescent="0.25">
      <c r="A5083" t="str">
        <f>"20190312151417461"</f>
        <v>20190312151417461</v>
      </c>
      <c r="B5083" t="str">
        <f>"1552374857455484"</f>
        <v>1552374857455484</v>
      </c>
      <c r="C5083" t="s">
        <v>40</v>
      </c>
      <c r="D5083">
        <v>4.4322999999999997</v>
      </c>
      <c r="E5083">
        <v>0.56829439999999998</v>
      </c>
      <c r="F5083" t="s">
        <v>43</v>
      </c>
      <c r="G5083">
        <v>-316.53559999999999</v>
      </c>
      <c r="H5083">
        <v>-0.05</v>
      </c>
      <c r="I5083">
        <v>12.705780000000001</v>
      </c>
      <c r="J5083">
        <v>-323.6216</v>
      </c>
      <c r="K5083">
        <v>1.1071610000000001</v>
      </c>
      <c r="L5083">
        <v>16.37613</v>
      </c>
      <c r="M5083">
        <v>0.9958534</v>
      </c>
      <c r="N5083">
        <v>0</v>
      </c>
      <c r="O5083">
        <v>-9.0306440000000002E-2</v>
      </c>
      <c r="P5083">
        <v>0.95639600000000002</v>
      </c>
      <c r="Q5083">
        <v>6.1668300000000002E-2</v>
      </c>
      <c r="R5083">
        <v>-0.2854892</v>
      </c>
      <c r="S5083">
        <v>2.7503660000000001</v>
      </c>
      <c r="T5083">
        <v>-0.4375868</v>
      </c>
      <c r="U5083">
        <v>-1.3947449999999999</v>
      </c>
      <c r="V5083">
        <v>0.19840959999999999</v>
      </c>
      <c r="W5083">
        <v>7.1152419999999994E-2</v>
      </c>
      <c r="X5083">
        <v>0.97753310000000004</v>
      </c>
      <c r="Y5083">
        <v>0.36714210000000003</v>
      </c>
      <c r="Z5083">
        <v>-1.4001420000000001E-2</v>
      </c>
      <c r="AA5083">
        <v>0.93005950000000004</v>
      </c>
      <c r="AB5083">
        <v>33</v>
      </c>
      <c r="AC5083">
        <v>7.0860000000000101</v>
      </c>
      <c r="AD5083">
        <v>-1.1571610000000001</v>
      </c>
      <c r="AE5083">
        <v>-3.6703499999999898</v>
      </c>
      <c r="AF5083">
        <v>2.95330380149796</v>
      </c>
      <c r="AG5083">
        <v>-1.1571610000000001</v>
      </c>
      <c r="AH5083">
        <v>7.2363648172231096</v>
      </c>
      <c r="AI5083">
        <v>98.421677480959403</v>
      </c>
      <c r="AJ5083">
        <v>67.798655969102398</v>
      </c>
      <c r="AK5083">
        <v>7.9010126371122702</v>
      </c>
      <c r="AL5083">
        <v>85.919818909901196</v>
      </c>
      <c r="AM5083">
        <v>78.526554357976295</v>
      </c>
      <c r="AN5083">
        <v>0.99999999891981295</v>
      </c>
    </row>
    <row r="5084" spans="1:40" x14ac:dyDescent="0.25">
      <c r="A5084" t="str">
        <f>"20190312151417475"</f>
        <v>20190312151417475</v>
      </c>
      <c r="B5084" t="str">
        <f>"1552374857465244"</f>
        <v>1552374857465244</v>
      </c>
      <c r="C5084" t="s">
        <v>40</v>
      </c>
      <c r="D5084">
        <v>4.373577</v>
      </c>
      <c r="E5084">
        <v>0.56767009999999996</v>
      </c>
      <c r="F5084" t="s">
        <v>43</v>
      </c>
      <c r="G5084">
        <v>-316.47269999999997</v>
      </c>
      <c r="H5084">
        <v>-0.05</v>
      </c>
      <c r="I5084">
        <v>12.73756</v>
      </c>
      <c r="J5084">
        <v>-323.41739999999999</v>
      </c>
      <c r="K5084">
        <v>1.106992</v>
      </c>
      <c r="L5084">
        <v>16.355589999999999</v>
      </c>
      <c r="M5084">
        <v>0.99565139999999996</v>
      </c>
      <c r="N5084">
        <v>0</v>
      </c>
      <c r="O5084">
        <v>-9.2506099999999994E-2</v>
      </c>
      <c r="P5084">
        <v>0.95551620000000004</v>
      </c>
      <c r="Q5084">
        <v>6.1400950000000003E-2</v>
      </c>
      <c r="R5084">
        <v>-0.28847719999999999</v>
      </c>
      <c r="S5084">
        <v>2.7479550000000001</v>
      </c>
      <c r="T5084">
        <v>-0.4447989</v>
      </c>
      <c r="U5084">
        <v>-1.3986209999999999</v>
      </c>
      <c r="V5084">
        <v>0.1993316</v>
      </c>
      <c r="W5084">
        <v>7.0805220000000002E-2</v>
      </c>
      <c r="X5084">
        <v>0.97737070000000004</v>
      </c>
      <c r="Y5084">
        <v>0.36639909999999998</v>
      </c>
      <c r="Z5084">
        <v>-1.3851240000000001E-2</v>
      </c>
      <c r="AA5084">
        <v>0.93035469999999998</v>
      </c>
      <c r="AB5084">
        <v>33</v>
      </c>
      <c r="AC5084">
        <v>6.9447000000000099</v>
      </c>
      <c r="AD5084">
        <v>-1.156992</v>
      </c>
      <c r="AE5084">
        <v>-3.6180299999999899</v>
      </c>
      <c r="AF5084">
        <v>2.8968093943461102</v>
      </c>
      <c r="AG5084">
        <v>-1.156992</v>
      </c>
      <c r="AH5084">
        <v>7.0947458635748601</v>
      </c>
      <c r="AI5084">
        <v>98.585522228260601</v>
      </c>
      <c r="AJ5084">
        <v>67.789635576564294</v>
      </c>
      <c r="AK5084">
        <v>7.75019703129853</v>
      </c>
      <c r="AL5084">
        <v>85.939762210516193</v>
      </c>
      <c r="AM5084">
        <v>78.472797495592602</v>
      </c>
      <c r="AN5084">
        <v>0.99999997557814801</v>
      </c>
    </row>
    <row r="5085" spans="1:40" x14ac:dyDescent="0.25">
      <c r="A5085" t="str">
        <f>"20190312151417492"</f>
        <v>20190312151417492</v>
      </c>
      <c r="B5085" t="str">
        <f>"1552374857485740"</f>
        <v>1552374857485740</v>
      </c>
      <c r="C5085" t="s">
        <v>40</v>
      </c>
      <c r="D5085">
        <v>4.4950650000000003</v>
      </c>
      <c r="E5085">
        <v>0.56810899999999998</v>
      </c>
      <c r="F5085" t="s">
        <v>43</v>
      </c>
      <c r="G5085">
        <v>-316.36259999999999</v>
      </c>
      <c r="H5085">
        <v>-0.05</v>
      </c>
      <c r="I5085">
        <v>12.749280000000001</v>
      </c>
      <c r="J5085">
        <v>-323.16840000000002</v>
      </c>
      <c r="K5085">
        <v>1.106792</v>
      </c>
      <c r="L5085">
        <v>16.329899999999999</v>
      </c>
      <c r="M5085">
        <v>0.99538450000000001</v>
      </c>
      <c r="N5085">
        <v>0</v>
      </c>
      <c r="O5085">
        <v>-9.5333440000000005E-2</v>
      </c>
      <c r="P5085">
        <v>0.95404699999999998</v>
      </c>
      <c r="Q5085">
        <v>6.1223300000000001E-2</v>
      </c>
      <c r="R5085">
        <v>-0.29333700000000001</v>
      </c>
      <c r="S5085">
        <v>2.7449949999999999</v>
      </c>
      <c r="T5085">
        <v>-0.45018029999999998</v>
      </c>
      <c r="U5085">
        <v>-1.4031979999999999</v>
      </c>
      <c r="V5085">
        <v>0.20156370000000001</v>
      </c>
      <c r="W5085">
        <v>7.0520769999999997E-2</v>
      </c>
      <c r="X5085">
        <v>0.97693339999999995</v>
      </c>
      <c r="Y5085">
        <v>0.36536649999999998</v>
      </c>
      <c r="Z5085">
        <v>-1.3518199999999999E-2</v>
      </c>
      <c r="AA5085">
        <v>0.93076559999999997</v>
      </c>
      <c r="AB5085">
        <v>33</v>
      </c>
      <c r="AC5085">
        <v>6.8058000000000298</v>
      </c>
      <c r="AD5085">
        <v>-1.156792</v>
      </c>
      <c r="AE5085">
        <v>-3.5806199999999899</v>
      </c>
      <c r="AF5085">
        <v>2.85094120044704</v>
      </c>
      <c r="AG5085">
        <v>-1.156792</v>
      </c>
      <c r="AH5085">
        <v>6.9587156855711099</v>
      </c>
      <c r="AI5085">
        <v>98.745096092176297</v>
      </c>
      <c r="AJ5085">
        <v>67.721402065998205</v>
      </c>
      <c r="AK5085">
        <v>7.6085318854746102</v>
      </c>
      <c r="AL5085">
        <v>85.956100880610407</v>
      </c>
      <c r="AM5085">
        <v>78.342154850593502</v>
      </c>
      <c r="AN5085">
        <v>0.99999998609732099</v>
      </c>
    </row>
    <row r="5086" spans="1:40" x14ac:dyDescent="0.25">
      <c r="A5086" t="str">
        <f>"20190312151417506"</f>
        <v>20190312151417506</v>
      </c>
      <c r="B5086" t="str">
        <f>"1552374857495500"</f>
        <v>1552374857495500</v>
      </c>
      <c r="C5086" t="s">
        <v>40</v>
      </c>
      <c r="D5086">
        <v>4.4974780000000001</v>
      </c>
      <c r="E5086">
        <v>0.56841049999999904</v>
      </c>
      <c r="F5086" t="s">
        <v>43</v>
      </c>
      <c r="G5086">
        <v>-316.1789</v>
      </c>
      <c r="H5086">
        <v>-0.05</v>
      </c>
      <c r="I5086">
        <v>12.701840000000001</v>
      </c>
      <c r="J5086">
        <v>-322.9545</v>
      </c>
      <c r="K5086">
        <v>1.1066229999999999</v>
      </c>
      <c r="L5086">
        <v>16.307220000000001</v>
      </c>
      <c r="M5086">
        <v>0.99513689999999999</v>
      </c>
      <c r="N5086">
        <v>0</v>
      </c>
      <c r="O5086">
        <v>-9.7884520000000003E-2</v>
      </c>
      <c r="P5086">
        <v>0.95287719999999998</v>
      </c>
      <c r="Q5086">
        <v>6.1178589999999998E-2</v>
      </c>
      <c r="R5086">
        <v>-0.29712369999999999</v>
      </c>
      <c r="S5086">
        <v>2.7367859999999999</v>
      </c>
      <c r="T5086">
        <v>-0.45295059999999898</v>
      </c>
      <c r="U5086">
        <v>-1.420593</v>
      </c>
      <c r="V5086">
        <v>0.2029696</v>
      </c>
      <c r="W5086">
        <v>7.0387110000000003E-2</v>
      </c>
      <c r="X5086">
        <v>0.97665190000000002</v>
      </c>
      <c r="Y5086">
        <v>0.36873669999999997</v>
      </c>
      <c r="Z5086">
        <v>-1.3491019999999999E-2</v>
      </c>
      <c r="AA5086">
        <v>0.92943600000000004</v>
      </c>
      <c r="AB5086">
        <v>33</v>
      </c>
      <c r="AC5086">
        <v>6.7755999999999901</v>
      </c>
      <c r="AD5086">
        <v>-1.156623</v>
      </c>
      <c r="AE5086">
        <v>-3.6053799999999998</v>
      </c>
      <c r="AF5086">
        <v>2.8598509457188199</v>
      </c>
      <c r="AG5086">
        <v>-1.156623</v>
      </c>
      <c r="AH5086">
        <v>6.9384204039382098</v>
      </c>
      <c r="AI5086">
        <v>98.761486332832604</v>
      </c>
      <c r="AJ5086">
        <v>67.599714662377806</v>
      </c>
      <c r="AK5086">
        <v>7.5932998029607601</v>
      </c>
      <c r="AL5086">
        <v>85.963778042246602</v>
      </c>
      <c r="AM5086">
        <v>78.259800988235298</v>
      </c>
      <c r="AN5086">
        <v>0.99999996877595998</v>
      </c>
    </row>
    <row r="5087" spans="1:40" x14ac:dyDescent="0.25">
      <c r="A5087" t="str">
        <f>"20190312151417524"</f>
        <v>20190312151417524</v>
      </c>
      <c r="B5087" t="str">
        <f>"1552374857515996"</f>
        <v>1552374857515996</v>
      </c>
      <c r="C5087" t="s">
        <v>40</v>
      </c>
      <c r="D5087">
        <v>4.4807829999999997</v>
      </c>
      <c r="E5087">
        <v>0.56861819999999996</v>
      </c>
      <c r="F5087" t="s">
        <v>43</v>
      </c>
      <c r="G5087">
        <v>-315.95979999999997</v>
      </c>
      <c r="H5087">
        <v>-0.05</v>
      </c>
      <c r="I5087">
        <v>12.63377</v>
      </c>
      <c r="J5087">
        <v>-322.67970000000003</v>
      </c>
      <c r="K5087">
        <v>1.1064000000000001</v>
      </c>
      <c r="L5087">
        <v>16.276949999999999</v>
      </c>
      <c r="M5087">
        <v>0.99478699999999998</v>
      </c>
      <c r="N5087">
        <v>0</v>
      </c>
      <c r="O5087">
        <v>-0.1013749</v>
      </c>
      <c r="P5087">
        <v>0.95102739999999997</v>
      </c>
      <c r="Q5087">
        <v>6.0910770000000003E-2</v>
      </c>
      <c r="R5087">
        <v>-0.30304569999999997</v>
      </c>
      <c r="S5087">
        <v>2.7302550000000001</v>
      </c>
      <c r="T5087">
        <v>-0.45146730000000002</v>
      </c>
      <c r="U5087">
        <v>-1.4338679999999999</v>
      </c>
      <c r="V5087">
        <v>0.2056538</v>
      </c>
      <c r="W5087">
        <v>6.9997069999999995E-2</v>
      </c>
      <c r="X5087">
        <v>0.97611829999999999</v>
      </c>
      <c r="Y5087">
        <v>0.36997679999999999</v>
      </c>
      <c r="Z5087">
        <v>-1.302767E-2</v>
      </c>
      <c r="AA5087">
        <v>0.92894969999999999</v>
      </c>
      <c r="AB5087">
        <v>33</v>
      </c>
      <c r="AC5087">
        <v>6.7199000000000497</v>
      </c>
      <c r="AD5087">
        <v>-1.1564000000000001</v>
      </c>
      <c r="AE5087">
        <v>-3.6431799999999899</v>
      </c>
      <c r="AF5087">
        <v>2.8772870096976702</v>
      </c>
      <c r="AG5087">
        <v>-1.1564000000000001</v>
      </c>
      <c r="AH5087">
        <v>6.8967823228907097</v>
      </c>
      <c r="AI5087">
        <v>98.796498563422603</v>
      </c>
      <c r="AJ5087">
        <v>67.354460483146994</v>
      </c>
      <c r="AK5087">
        <v>7.56185479267572</v>
      </c>
      <c r="AL5087">
        <v>85.986181093202305</v>
      </c>
      <c r="AM5087">
        <v>78.102618409931694</v>
      </c>
      <c r="AN5087">
        <v>1.00000000542895</v>
      </c>
    </row>
    <row r="5088" spans="1:40" x14ac:dyDescent="0.25">
      <c r="A5088" t="str">
        <f>"20190312151417536"</f>
        <v>20190312151417536</v>
      </c>
      <c r="B5088" t="str">
        <f>"1552374857525543"</f>
        <v>1552374857525543</v>
      </c>
      <c r="C5088" t="s">
        <v>40</v>
      </c>
      <c r="D5088">
        <v>4.5231899999999996</v>
      </c>
      <c r="E5088">
        <v>0.56894040000000001</v>
      </c>
      <c r="F5088" t="s">
        <v>43</v>
      </c>
      <c r="G5088">
        <v>-315.71319999999997</v>
      </c>
      <c r="H5088">
        <v>-0.05</v>
      </c>
      <c r="I5088">
        <v>12.558490000000001</v>
      </c>
      <c r="J5088">
        <v>-322.50200000000001</v>
      </c>
      <c r="K5088">
        <v>1.1062559999999999</v>
      </c>
      <c r="L5088">
        <v>16.256620000000002</v>
      </c>
      <c r="M5088">
        <v>0.99454209999999998</v>
      </c>
      <c r="N5088">
        <v>0</v>
      </c>
      <c r="O5088">
        <v>-0.10375089999999999</v>
      </c>
      <c r="P5088">
        <v>0.94995929999999995</v>
      </c>
      <c r="Q5088">
        <v>6.0379759999999998E-2</v>
      </c>
      <c r="R5088">
        <v>-0.30648340000000002</v>
      </c>
      <c r="S5088">
        <v>2.7206419999999998</v>
      </c>
      <c r="T5088">
        <v>-0.45161040000000002</v>
      </c>
      <c r="U5088">
        <v>-1.4521790000000001</v>
      </c>
      <c r="V5088">
        <v>0.20686879999999999</v>
      </c>
      <c r="W5088">
        <v>6.9392969999999998E-2</v>
      </c>
      <c r="X5088">
        <v>0.97590460000000001</v>
      </c>
      <c r="Y5088">
        <v>0.37396190000000001</v>
      </c>
      <c r="Z5088">
        <v>-1.300115E-2</v>
      </c>
      <c r="AA5088">
        <v>0.92735290000000004</v>
      </c>
      <c r="AB5088">
        <v>33</v>
      </c>
      <c r="AC5088">
        <v>6.7888000000000304</v>
      </c>
      <c r="AD5088">
        <v>-1.156256</v>
      </c>
      <c r="AE5088">
        <v>-3.6981299999999999</v>
      </c>
      <c r="AF5088">
        <v>2.9087145886416801</v>
      </c>
      <c r="AG5088">
        <v>-1.156256</v>
      </c>
      <c r="AH5088">
        <v>6.9797287214426396</v>
      </c>
      <c r="AI5088">
        <v>98.693886367312103</v>
      </c>
      <c r="AJ5088">
        <v>67.376677815696695</v>
      </c>
      <c r="AK5088">
        <v>7.6494549819346203</v>
      </c>
      <c r="AL5088">
        <v>86.020877569742495</v>
      </c>
      <c r="AM5088">
        <v>78.031804500253998</v>
      </c>
      <c r="AN5088">
        <v>0.99999993650000796</v>
      </c>
    </row>
    <row r="5089" spans="1:40" x14ac:dyDescent="0.25">
      <c r="A5089" t="str">
        <f>"20190312151417547"</f>
        <v>20190312151417547</v>
      </c>
      <c r="B5089" t="str">
        <f>"1552374857535303"</f>
        <v>1552374857535303</v>
      </c>
      <c r="C5089" t="s">
        <v>40</v>
      </c>
      <c r="D5089">
        <v>4.5202280000000004</v>
      </c>
      <c r="E5089">
        <v>0.56921580000000005</v>
      </c>
      <c r="F5089" t="s">
        <v>43</v>
      </c>
      <c r="G5089">
        <v>-315.57420000000002</v>
      </c>
      <c r="H5089">
        <v>-0.05</v>
      </c>
      <c r="I5089">
        <v>12.51797</v>
      </c>
      <c r="J5089">
        <v>-322.32740000000001</v>
      </c>
      <c r="K5089">
        <v>1.1061160000000001</v>
      </c>
      <c r="L5089">
        <v>16.236450000000001</v>
      </c>
      <c r="M5089">
        <v>0.99429109999999998</v>
      </c>
      <c r="N5089">
        <v>0</v>
      </c>
      <c r="O5089">
        <v>-0.1061267</v>
      </c>
      <c r="P5089">
        <v>0.94890830000000004</v>
      </c>
      <c r="Q5089">
        <v>6.0195510000000001E-2</v>
      </c>
      <c r="R5089">
        <v>-0.30975789999999997</v>
      </c>
      <c r="S5089">
        <v>2.7142940000000002</v>
      </c>
      <c r="T5089">
        <v>-0.4530168</v>
      </c>
      <c r="U5089">
        <v>-1.4647829999999999</v>
      </c>
      <c r="V5089">
        <v>0.207924</v>
      </c>
      <c r="W5089">
        <v>6.9137050000000005E-2</v>
      </c>
      <c r="X5089">
        <v>0.97569850000000002</v>
      </c>
      <c r="Y5089">
        <v>0.3759729</v>
      </c>
      <c r="Z5089">
        <v>-1.284894E-2</v>
      </c>
      <c r="AA5089">
        <v>0.92654159999999997</v>
      </c>
      <c r="AB5089">
        <v>33</v>
      </c>
      <c r="AC5089">
        <v>6.7531999999999899</v>
      </c>
      <c r="AD5089">
        <v>-1.1561159999999999</v>
      </c>
      <c r="AE5089">
        <v>-3.71848</v>
      </c>
      <c r="AF5089">
        <v>2.9151786369867101</v>
      </c>
      <c r="AG5089">
        <v>-1.1561159999999999</v>
      </c>
      <c r="AH5089">
        <v>6.9533356620939699</v>
      </c>
      <c r="AI5089">
        <v>98.717664729044699</v>
      </c>
      <c r="AJ5089">
        <v>67.254183735014493</v>
      </c>
      <c r="AK5089">
        <v>7.6278271821500798</v>
      </c>
      <c r="AL5089">
        <v>86.035576030478694</v>
      </c>
      <c r="AM5089">
        <v>77.970063691578801</v>
      </c>
      <c r="AN5089">
        <v>0.99999994218047406</v>
      </c>
    </row>
    <row r="5090" spans="1:40" x14ac:dyDescent="0.25">
      <c r="A5090" t="str">
        <f>"20190312151417559"</f>
        <v>20190312151417559</v>
      </c>
      <c r="B5090" t="str">
        <f>"1552374857555799"</f>
        <v>1552374857555799</v>
      </c>
      <c r="C5090" t="s">
        <v>40</v>
      </c>
      <c r="D5090">
        <v>4.4965400000000004</v>
      </c>
      <c r="E5090">
        <v>0.56965410000000005</v>
      </c>
      <c r="F5090" t="s">
        <v>43</v>
      </c>
      <c r="G5090">
        <v>-315.42439999999999</v>
      </c>
      <c r="H5090">
        <v>-0.05</v>
      </c>
      <c r="I5090">
        <v>12.4727</v>
      </c>
      <c r="J5090">
        <v>-322.14749999999998</v>
      </c>
      <c r="K5090">
        <v>1.1059699999999999</v>
      </c>
      <c r="L5090">
        <v>16.214939999999999</v>
      </c>
      <c r="M5090">
        <v>0.99401349999999999</v>
      </c>
      <c r="N5090">
        <v>0</v>
      </c>
      <c r="O5090">
        <v>-0.1086945</v>
      </c>
      <c r="P5090">
        <v>0.94784820000000003</v>
      </c>
      <c r="Q5090">
        <v>5.9640720000000001E-2</v>
      </c>
      <c r="R5090">
        <v>-0.3130926</v>
      </c>
      <c r="S5090">
        <v>2.7082519999999999</v>
      </c>
      <c r="T5090">
        <v>-0.45357730000000002</v>
      </c>
      <c r="U5090">
        <v>-1.4766239999999999</v>
      </c>
      <c r="V5090">
        <v>0.20885100000000001</v>
      </c>
      <c r="W5090">
        <v>6.8507670000000007E-2</v>
      </c>
      <c r="X5090">
        <v>0.97554490000000005</v>
      </c>
      <c r="Y5090">
        <v>0.37757429999999997</v>
      </c>
      <c r="Z5090">
        <v>-1.261016E-2</v>
      </c>
      <c r="AA5090">
        <v>0.92589339999999998</v>
      </c>
      <c r="AB5090">
        <v>33</v>
      </c>
      <c r="AC5090">
        <v>6.7230999999999801</v>
      </c>
      <c r="AD5090">
        <v>-1.1559699999999999</v>
      </c>
      <c r="AE5090">
        <v>-3.74223999999999</v>
      </c>
      <c r="AF5090">
        <v>2.9232769598308899</v>
      </c>
      <c r="AG5090">
        <v>-1.1559699999999999</v>
      </c>
      <c r="AH5090">
        <v>6.9335549614199596</v>
      </c>
      <c r="AI5090">
        <v>98.733798702445895</v>
      </c>
      <c r="AJ5090">
        <v>67.139079077335694</v>
      </c>
      <c r="AK5090">
        <v>7.6128837655522803</v>
      </c>
      <c r="AL5090">
        <v>86.071722573747707</v>
      </c>
      <c r="AM5090">
        <v>77.916156017612494</v>
      </c>
      <c r="AN5090">
        <v>0.99999994648291801</v>
      </c>
    </row>
    <row r="5091" spans="1:40" x14ac:dyDescent="0.25">
      <c r="A5091" t="str">
        <f>"20190312151417571"</f>
        <v>20190312151417571</v>
      </c>
      <c r="B5091" t="str">
        <f>"1552374857565559"</f>
        <v>1552374857565559</v>
      </c>
      <c r="C5091" t="s">
        <v>40</v>
      </c>
      <c r="D5091">
        <v>4.4715730000000002</v>
      </c>
      <c r="E5091">
        <v>0.56985810000000003</v>
      </c>
      <c r="F5091" t="s">
        <v>43</v>
      </c>
      <c r="G5091">
        <v>-315.30399999999997</v>
      </c>
      <c r="H5091">
        <v>-0.05</v>
      </c>
      <c r="I5091">
        <v>12.44112</v>
      </c>
      <c r="J5091">
        <v>-321.9803</v>
      </c>
      <c r="K5091">
        <v>1.105826</v>
      </c>
      <c r="L5091">
        <v>16.194489999999998</v>
      </c>
      <c r="M5091">
        <v>0.99374209999999996</v>
      </c>
      <c r="N5091">
        <v>0</v>
      </c>
      <c r="O5091">
        <v>-0.1111476</v>
      </c>
      <c r="P5091">
        <v>0.9468818</v>
      </c>
      <c r="Q5091">
        <v>5.9105159999999997E-2</v>
      </c>
      <c r="R5091">
        <v>-0.31610369999999999</v>
      </c>
      <c r="S5091">
        <v>2.7016909999999998</v>
      </c>
      <c r="T5091">
        <v>-0.45635680000000001</v>
      </c>
      <c r="U5091">
        <v>-1.489838</v>
      </c>
      <c r="V5091">
        <v>0.20955840000000001</v>
      </c>
      <c r="W5091">
        <v>6.7903980000000003E-2</v>
      </c>
      <c r="X5091">
        <v>0.97543539999999995</v>
      </c>
      <c r="Y5091">
        <v>0.37968079999999998</v>
      </c>
      <c r="Z5091">
        <v>-1.248822E-2</v>
      </c>
      <c r="AA5091">
        <v>0.92503329999999995</v>
      </c>
      <c r="AB5091">
        <v>33</v>
      </c>
      <c r="AC5091">
        <v>6.6762999999999604</v>
      </c>
      <c r="AD5091">
        <v>-1.155826</v>
      </c>
      <c r="AE5091">
        <v>-3.7533699999999901</v>
      </c>
      <c r="AF5091">
        <v>2.9214772138350402</v>
      </c>
      <c r="AG5091">
        <v>-1.155826</v>
      </c>
      <c r="AH5091">
        <v>6.89510333034643</v>
      </c>
      <c r="AI5091">
        <v>98.774193539549998</v>
      </c>
      <c r="AJ5091">
        <v>67.037472042481795</v>
      </c>
      <c r="AK5091">
        <v>7.5771639014467498</v>
      </c>
      <c r="AL5091">
        <v>86.106392201665798</v>
      </c>
      <c r="AM5091">
        <v>77.875114929714897</v>
      </c>
      <c r="AN5091">
        <v>0.99999994654177804</v>
      </c>
    </row>
    <row r="5092" spans="1:40" x14ac:dyDescent="0.25">
      <c r="A5092" t="str">
        <f>"20190312151417591"</f>
        <v>20190312151417591</v>
      </c>
      <c r="B5092" t="str">
        <f>"1552374857586056"</f>
        <v>1552374857586056</v>
      </c>
      <c r="C5092" t="s">
        <v>40</v>
      </c>
      <c r="D5092">
        <v>4.5070800000000002</v>
      </c>
      <c r="E5092">
        <v>0.57028659999999998</v>
      </c>
      <c r="F5092" t="s">
        <v>43</v>
      </c>
      <c r="G5092">
        <v>-315.18779999999998</v>
      </c>
      <c r="H5092">
        <v>-0.05</v>
      </c>
      <c r="I5092">
        <v>12.414289999999999</v>
      </c>
      <c r="J5092">
        <v>-321.67579999999998</v>
      </c>
      <c r="K5092">
        <v>1.1055710000000001</v>
      </c>
      <c r="L5092">
        <v>16.15607</v>
      </c>
      <c r="M5092">
        <v>0.99321029999999999</v>
      </c>
      <c r="N5092">
        <v>0</v>
      </c>
      <c r="O5092">
        <v>-0.1158034</v>
      </c>
      <c r="P5092">
        <v>0.94491000000000003</v>
      </c>
      <c r="Q5092">
        <v>5.794846E-2</v>
      </c>
      <c r="R5092">
        <v>-0.32216020000000001</v>
      </c>
      <c r="S5092">
        <v>2.6960449999999998</v>
      </c>
      <c r="T5092">
        <v>-0.45876840000000002</v>
      </c>
      <c r="U5092">
        <v>-1.500427</v>
      </c>
      <c r="V5092">
        <v>0.21125540000000001</v>
      </c>
      <c r="W5092">
        <v>6.6617999999999997E-2</v>
      </c>
      <c r="X5092">
        <v>0.97515799999999997</v>
      </c>
      <c r="Y5092">
        <v>0.37897380000000003</v>
      </c>
      <c r="Z5092">
        <v>-1.1789930000000001E-2</v>
      </c>
      <c r="AA5092">
        <v>0.9253323</v>
      </c>
      <c r="AB5092">
        <v>33</v>
      </c>
      <c r="AC5092">
        <v>6.4880000000000004</v>
      </c>
      <c r="AD5092">
        <v>-1.1555709999999999</v>
      </c>
      <c r="AE5092">
        <v>-3.7417799999999999</v>
      </c>
      <c r="AF5092">
        <v>2.8962781808732601</v>
      </c>
      <c r="AG5092">
        <v>-1.1555709999999999</v>
      </c>
      <c r="AH5092">
        <v>6.7177652554734397</v>
      </c>
      <c r="AI5092">
        <v>98.976365434641494</v>
      </c>
      <c r="AJ5092">
        <v>66.677330955707006</v>
      </c>
      <c r="AK5092">
        <v>7.4062231714072499</v>
      </c>
      <c r="AL5092">
        <v>86.180240738153401</v>
      </c>
      <c r="AM5092">
        <v>77.776495484474495</v>
      </c>
      <c r="AN5092">
        <v>0.999999963458579</v>
      </c>
    </row>
    <row r="5093" spans="1:40" x14ac:dyDescent="0.25">
      <c r="A5093" t="str">
        <f>"20190312151417603"</f>
        <v>20190312151417603</v>
      </c>
      <c r="B5093" t="str">
        <f>"1552374857595814"</f>
        <v>1552374857595814</v>
      </c>
      <c r="C5093" t="s">
        <v>40</v>
      </c>
      <c r="D5093">
        <v>4.5284810000000002</v>
      </c>
      <c r="E5093">
        <v>0.57028659999999998</v>
      </c>
      <c r="F5093" t="s">
        <v>43</v>
      </c>
      <c r="G5093">
        <v>-314.98590000000002</v>
      </c>
      <c r="H5093">
        <v>-0.05</v>
      </c>
      <c r="I5093">
        <v>12.363630000000001</v>
      </c>
      <c r="J5093">
        <v>-321.4941</v>
      </c>
      <c r="K5093">
        <v>1.1054189999999999</v>
      </c>
      <c r="L5093">
        <v>16.13242</v>
      </c>
      <c r="M5093">
        <v>0.99286980000000002</v>
      </c>
      <c r="N5093">
        <v>0</v>
      </c>
      <c r="O5093">
        <v>-0.1186844</v>
      </c>
      <c r="P5093">
        <v>0.94362360000000001</v>
      </c>
      <c r="Q5093">
        <v>5.7094020000000002E-2</v>
      </c>
      <c r="R5093">
        <v>-0.32605899999999999</v>
      </c>
      <c r="S5093">
        <v>2.6845089999999998</v>
      </c>
      <c r="T5093">
        <v>-0.46370489999999998</v>
      </c>
      <c r="U5093">
        <v>-1.52182</v>
      </c>
      <c r="V5093">
        <v>0.2124626</v>
      </c>
      <c r="W5093">
        <v>6.5682599999999994E-2</v>
      </c>
      <c r="X5093">
        <v>0.97495920000000003</v>
      </c>
      <c r="Y5093">
        <v>0.38348939999999998</v>
      </c>
      <c r="Z5093">
        <v>-1.1850009999999999E-2</v>
      </c>
      <c r="AA5093">
        <v>0.92346919999999999</v>
      </c>
      <c r="AB5093">
        <v>33</v>
      </c>
      <c r="AC5093">
        <v>6.50819999999998</v>
      </c>
      <c r="AD5093">
        <v>-1.155419</v>
      </c>
      <c r="AE5093">
        <v>-3.7687899999999899</v>
      </c>
      <c r="AF5093">
        <v>2.90120253084583</v>
      </c>
      <c r="AG5093">
        <v>-1.155419</v>
      </c>
      <c r="AH5093">
        <v>6.7501942793134697</v>
      </c>
      <c r="AI5093">
        <v>98.937066132805398</v>
      </c>
      <c r="AJ5093">
        <v>66.7421887704417</v>
      </c>
      <c r="AK5093">
        <v>7.4375461006318204</v>
      </c>
      <c r="AL5093">
        <v>86.233953003131802</v>
      </c>
      <c r="AM5093">
        <v>77.706332936825703</v>
      </c>
      <c r="AN5093">
        <v>1.0000000010030801</v>
      </c>
    </row>
    <row r="5094" spans="1:40" x14ac:dyDescent="0.25">
      <c r="A5094" t="str">
        <f>"20190312151417617"</f>
        <v>20190312151417617</v>
      </c>
      <c r="B5094" t="str">
        <f>"1552374857605575"</f>
        <v>1552374857605575</v>
      </c>
      <c r="C5094" t="s">
        <v>40</v>
      </c>
      <c r="D5094">
        <v>4.5184449999999998</v>
      </c>
      <c r="E5094">
        <v>0.58594669999999904</v>
      </c>
      <c r="F5094" t="s">
        <v>43</v>
      </c>
      <c r="G5094">
        <v>-314.85169999999999</v>
      </c>
      <c r="H5094">
        <v>-0.05</v>
      </c>
      <c r="I5094">
        <v>12.329129999999999</v>
      </c>
      <c r="J5094">
        <v>-321.29689999999999</v>
      </c>
      <c r="K5094">
        <v>1.1052580000000001</v>
      </c>
      <c r="L5094">
        <v>16.105869999999999</v>
      </c>
      <c r="M5094">
        <v>0.99247600000000002</v>
      </c>
      <c r="N5094">
        <v>0</v>
      </c>
      <c r="O5094">
        <v>-0.12193329999999999</v>
      </c>
      <c r="P5094">
        <v>0.94216639999999996</v>
      </c>
      <c r="Q5094">
        <v>5.6017200000000003E-2</v>
      </c>
      <c r="R5094">
        <v>-0.33043090000000003</v>
      </c>
      <c r="S5094">
        <v>2.6776430000000002</v>
      </c>
      <c r="T5094">
        <v>-0.46576269999999997</v>
      </c>
      <c r="U5094">
        <v>-1.533142</v>
      </c>
      <c r="V5094">
        <v>0.21379870000000001</v>
      </c>
      <c r="W5094">
        <v>6.4520170000000002E-2</v>
      </c>
      <c r="X5094">
        <v>0.97474470000000002</v>
      </c>
      <c r="Y5094">
        <v>0.38442759999999998</v>
      </c>
      <c r="Z5094">
        <v>-1.148241E-2</v>
      </c>
      <c r="AA5094">
        <v>0.92308369999999995</v>
      </c>
      <c r="AB5094">
        <v>33</v>
      </c>
      <c r="AC5094">
        <v>6.4451999999999998</v>
      </c>
      <c r="AD5094">
        <v>-1.1552579999999999</v>
      </c>
      <c r="AE5094">
        <v>-3.77673999999999</v>
      </c>
      <c r="AF5094">
        <v>2.8934231825414498</v>
      </c>
      <c r="AG5094">
        <v>-1.1552579999999999</v>
      </c>
      <c r="AH5094">
        <v>6.6974637111423299</v>
      </c>
      <c r="AI5094">
        <v>98.997895201962095</v>
      </c>
      <c r="AJ5094">
        <v>66.634798625011697</v>
      </c>
      <c r="AK5094">
        <v>7.3866459859601203</v>
      </c>
      <c r="AL5094">
        <v>86.300696861248696</v>
      </c>
      <c r="AM5094">
        <v>77.628757005034799</v>
      </c>
      <c r="AN5094">
        <v>0.99999998331830398</v>
      </c>
    </row>
    <row r="5095" spans="1:40" x14ac:dyDescent="0.25">
      <c r="A5095" t="str">
        <f>"20190312151417635"</f>
        <v>20190312151417635</v>
      </c>
      <c r="B5095" t="str">
        <f>"1552374857625648"</f>
        <v>1552374857625648</v>
      </c>
      <c r="C5095" t="s">
        <v>40</v>
      </c>
      <c r="D5095">
        <v>4.6302940000000001</v>
      </c>
      <c r="E5095">
        <v>0.59446709999999903</v>
      </c>
      <c r="F5095" t="s">
        <v>43</v>
      </c>
      <c r="G5095">
        <v>-314.12189999999998</v>
      </c>
      <c r="H5095">
        <v>-0.05</v>
      </c>
      <c r="I5095">
        <v>11.5657</v>
      </c>
      <c r="J5095">
        <v>-321.01249999999999</v>
      </c>
      <c r="K5095">
        <v>1.1049819999999999</v>
      </c>
      <c r="L5095">
        <v>16.066500000000001</v>
      </c>
      <c r="M5095">
        <v>0.99185769999999995</v>
      </c>
      <c r="N5095">
        <v>0</v>
      </c>
      <c r="O5095">
        <v>-0.1268936</v>
      </c>
      <c r="P5095">
        <v>0.93929280000000004</v>
      </c>
      <c r="Q5095">
        <v>5.4127509999999997E-2</v>
      </c>
      <c r="R5095">
        <v>-0.33882079999999998</v>
      </c>
      <c r="S5095">
        <v>2.6264340000000002</v>
      </c>
      <c r="T5095">
        <v>-0.42288290000000001</v>
      </c>
      <c r="U5095">
        <v>-1.66192599999999</v>
      </c>
      <c r="V5095">
        <v>0.21760789999999999</v>
      </c>
      <c r="W5095">
        <v>6.216551E-2</v>
      </c>
      <c r="X5095">
        <v>0.97405459999999999</v>
      </c>
      <c r="Y5095">
        <v>0.42049540000000002</v>
      </c>
      <c r="Z5095">
        <v>-1.243676E-2</v>
      </c>
      <c r="AA5095">
        <v>0.90720940000000005</v>
      </c>
      <c r="AB5095">
        <v>33</v>
      </c>
      <c r="AC5095">
        <v>6.8906000000000001</v>
      </c>
      <c r="AD5095">
        <v>-1.154982</v>
      </c>
      <c r="AE5095">
        <v>-4.5007999999999999</v>
      </c>
      <c r="AF5095">
        <v>3.5206552000392102</v>
      </c>
      <c r="AG5095">
        <v>-1.154982</v>
      </c>
      <c r="AH5095">
        <v>7.2630146276234298</v>
      </c>
      <c r="AI5095">
        <v>98.143560495910606</v>
      </c>
      <c r="AJ5095">
        <v>64.138794318047005</v>
      </c>
      <c r="AK5095">
        <v>8.1535500206326699</v>
      </c>
      <c r="AL5095">
        <v>86.435880707915302</v>
      </c>
      <c r="AM5095">
        <v>77.406672427970193</v>
      </c>
      <c r="AN5095">
        <v>1.00000005627856</v>
      </c>
    </row>
    <row r="5096" spans="1:40" x14ac:dyDescent="0.25">
      <c r="A5096" t="str">
        <f>"20190312151417647"</f>
        <v>20190312151417647</v>
      </c>
      <c r="B5096" t="str">
        <f>"1552374857635404"</f>
        <v>1552374857635404</v>
      </c>
      <c r="C5096" t="s">
        <v>40</v>
      </c>
      <c r="D5096">
        <v>4.6545129999999997</v>
      </c>
      <c r="E5096">
        <v>0.59582299999999999</v>
      </c>
      <c r="F5096" t="s">
        <v>43</v>
      </c>
      <c r="G5096">
        <v>-314.27839999999998</v>
      </c>
      <c r="H5096">
        <v>-0.05</v>
      </c>
      <c r="I5096">
        <v>11.51469</v>
      </c>
      <c r="J5096">
        <v>-320.83800000000002</v>
      </c>
      <c r="K5096">
        <v>1.104786</v>
      </c>
      <c r="L5096">
        <v>16.041779999999999</v>
      </c>
      <c r="M5096">
        <v>0.99144889999999997</v>
      </c>
      <c r="N5096">
        <v>0</v>
      </c>
      <c r="O5096">
        <v>-0.13007969999999999</v>
      </c>
      <c r="P5096">
        <v>0.93741949999999996</v>
      </c>
      <c r="Q5096">
        <v>5.3698419999999997E-2</v>
      </c>
      <c r="R5096">
        <v>-0.34403709999999998</v>
      </c>
      <c r="S5096">
        <v>2.5883790000000002</v>
      </c>
      <c r="T5096">
        <v>-0.44393909999999998</v>
      </c>
      <c r="U5096">
        <v>-1.749573</v>
      </c>
      <c r="V5096">
        <v>0.21989400000000001</v>
      </c>
      <c r="W5096">
        <v>6.1300750000000001E-2</v>
      </c>
      <c r="X5096">
        <v>0.97359589999999996</v>
      </c>
      <c r="Y5096">
        <v>0.44437379999999999</v>
      </c>
      <c r="Z5096">
        <v>-1.4474870000000001E-2</v>
      </c>
      <c r="AA5096">
        <v>0.89572450000000003</v>
      </c>
      <c r="AB5096">
        <v>33</v>
      </c>
      <c r="AC5096">
        <v>6.5595999999999801</v>
      </c>
      <c r="AD5096">
        <v>-1.1547860000000001</v>
      </c>
      <c r="AE5096">
        <v>-4.5270899999999896</v>
      </c>
      <c r="AF5096">
        <v>3.5605580593228998</v>
      </c>
      <c r="AG5096">
        <v>-1.1547860000000001</v>
      </c>
      <c r="AH5096">
        <v>6.9469384925027802</v>
      </c>
      <c r="AI5096">
        <v>98.414792266344904</v>
      </c>
      <c r="AJ5096">
        <v>62.863213811180898</v>
      </c>
      <c r="AK5096">
        <v>7.8912013545607902</v>
      </c>
      <c r="AL5096">
        <v>86.485522517299799</v>
      </c>
      <c r="AM5096">
        <v>77.272857802524499</v>
      </c>
      <c r="AN5096">
        <v>1.00000006484168</v>
      </c>
    </row>
    <row r="5097" spans="1:40" x14ac:dyDescent="0.25">
      <c r="A5097" t="str">
        <f>"20190312151417658"</f>
        <v>20190312151417658</v>
      </c>
      <c r="B5097" t="str">
        <f>"1552374857655900"</f>
        <v>1552374857655900</v>
      </c>
      <c r="C5097" t="s">
        <v>40</v>
      </c>
      <c r="D5097">
        <v>4.6422629999999998</v>
      </c>
      <c r="E5097">
        <v>0.59754090000000004</v>
      </c>
      <c r="F5097" t="s">
        <v>43</v>
      </c>
      <c r="G5097">
        <v>-314.1968</v>
      </c>
      <c r="H5097">
        <v>-0.05</v>
      </c>
      <c r="I5097">
        <v>11.466480000000001</v>
      </c>
      <c r="J5097">
        <v>-320.65789999999998</v>
      </c>
      <c r="K5097">
        <v>1.1045339999999999</v>
      </c>
      <c r="L5097">
        <v>16.015470000000001</v>
      </c>
      <c r="M5097">
        <v>0.99100120000000003</v>
      </c>
      <c r="N5097">
        <v>0</v>
      </c>
      <c r="O5097">
        <v>-0.1334707</v>
      </c>
      <c r="P5097">
        <v>0.93540120000000004</v>
      </c>
      <c r="Q5097">
        <v>5.3551250000000002E-2</v>
      </c>
      <c r="R5097">
        <v>-0.34950949999999997</v>
      </c>
      <c r="S5097">
        <v>2.5748600000000001</v>
      </c>
      <c r="T5097">
        <v>-0.44772230000000002</v>
      </c>
      <c r="U5097">
        <v>-1.773895</v>
      </c>
      <c r="V5097">
        <v>0.22226389999999999</v>
      </c>
      <c r="W5097">
        <v>6.0761030000000001E-2</v>
      </c>
      <c r="X5097">
        <v>0.97309140000000005</v>
      </c>
      <c r="Y5097">
        <v>0.44917790000000002</v>
      </c>
      <c r="Z5097">
        <v>-1.44875E-2</v>
      </c>
      <c r="AA5097">
        <v>0.89332489999999998</v>
      </c>
      <c r="AB5097">
        <v>34</v>
      </c>
      <c r="AC5097">
        <v>6.4610999999999796</v>
      </c>
      <c r="AD5097">
        <v>-1.1545339999999999</v>
      </c>
      <c r="AE5097">
        <v>-4.5489899999999999</v>
      </c>
      <c r="AF5097">
        <v>3.5696681256063898</v>
      </c>
      <c r="AG5097">
        <v>-1.1545339999999999</v>
      </c>
      <c r="AH5097">
        <v>6.8639417089355899</v>
      </c>
      <c r="AI5097">
        <v>98.487535255064202</v>
      </c>
      <c r="AJ5097">
        <v>62.522819038084201</v>
      </c>
      <c r="AK5097">
        <v>7.8223509936458298</v>
      </c>
      <c r="AL5097">
        <v>86.516503750039007</v>
      </c>
      <c r="AM5097">
        <v>77.133783471978802</v>
      </c>
      <c r="AN5097">
        <v>1.0000000083819101</v>
      </c>
    </row>
    <row r="5098" spans="1:40" x14ac:dyDescent="0.25">
      <c r="A5098" t="str">
        <f>"20190312151417671"</f>
        <v>20190312151417671</v>
      </c>
      <c r="B5098" t="str">
        <f>"1552374857665661"</f>
        <v>1552374857665661</v>
      </c>
      <c r="C5098" t="s">
        <v>40</v>
      </c>
      <c r="D5098">
        <v>4.6163860000000003</v>
      </c>
      <c r="E5098">
        <v>0.59814100000000003</v>
      </c>
      <c r="F5098" t="s">
        <v>43</v>
      </c>
      <c r="G5098">
        <v>-314.11309999999997</v>
      </c>
      <c r="H5098">
        <v>-0.05</v>
      </c>
      <c r="I5098">
        <v>11.409409999999999</v>
      </c>
      <c r="J5098">
        <v>-320.48090000000002</v>
      </c>
      <c r="K5098">
        <v>1.1042689999999999</v>
      </c>
      <c r="L5098">
        <v>15.98917</v>
      </c>
      <c r="M5098">
        <v>0.99054219999999904</v>
      </c>
      <c r="N5098">
        <v>0</v>
      </c>
      <c r="O5098">
        <v>-0.13684660000000001</v>
      </c>
      <c r="P5098">
        <v>0.9333785</v>
      </c>
      <c r="Q5098">
        <v>5.3419139999999997E-2</v>
      </c>
      <c r="R5098">
        <v>-0.35489540000000003</v>
      </c>
      <c r="S5098">
        <v>2.5598749999999999</v>
      </c>
      <c r="T5098">
        <v>-0.451575</v>
      </c>
      <c r="U5098">
        <v>-1.8015749999999999</v>
      </c>
      <c r="V5098">
        <v>0.22457250000000001</v>
      </c>
      <c r="W5098">
        <v>6.0375020000000001E-2</v>
      </c>
      <c r="X5098">
        <v>0.97258529999999999</v>
      </c>
      <c r="Y5098">
        <v>0.45497680000000001</v>
      </c>
      <c r="Z5098">
        <v>-1.458331E-2</v>
      </c>
      <c r="AA5098">
        <v>0.89038390000000001</v>
      </c>
      <c r="AB5098">
        <v>34</v>
      </c>
      <c r="AC5098">
        <v>6.3678000000000399</v>
      </c>
      <c r="AD5098">
        <v>-1.154269</v>
      </c>
      <c r="AE5098">
        <v>-4.5797600000000003</v>
      </c>
      <c r="AF5098">
        <v>3.5875244593134901</v>
      </c>
      <c r="AG5098">
        <v>-1.154269</v>
      </c>
      <c r="AH5098">
        <v>6.7876504270592504</v>
      </c>
      <c r="AI5098">
        <v>98.5501676122867</v>
      </c>
      <c r="AJ5098">
        <v>62.141890734694897</v>
      </c>
      <c r="AK5098">
        <v>7.7636890065542401</v>
      </c>
      <c r="AL5098">
        <v>86.538661346224998</v>
      </c>
      <c r="AM5098">
        <v>76.998126867110201</v>
      </c>
      <c r="AN5098">
        <v>1.0000000582861599</v>
      </c>
    </row>
    <row r="5099" spans="1:40" x14ac:dyDescent="0.25">
      <c r="A5099" t="str">
        <f>"20190312151417684"</f>
        <v>20190312151417684</v>
      </c>
      <c r="B5099" t="str">
        <f>"1552374857675421"</f>
        <v>1552374857675421</v>
      </c>
      <c r="C5099" t="s">
        <v>40</v>
      </c>
      <c r="D5099">
        <v>4.6508830000000003</v>
      </c>
      <c r="E5099">
        <v>0.59845809999999999</v>
      </c>
      <c r="F5099" t="s">
        <v>43</v>
      </c>
      <c r="G5099">
        <v>-313.9572</v>
      </c>
      <c r="H5099">
        <v>-0.05</v>
      </c>
      <c r="I5099">
        <v>11.327579999999999</v>
      </c>
      <c r="J5099">
        <v>-320.27910000000003</v>
      </c>
      <c r="K5099">
        <v>1.1039300000000001</v>
      </c>
      <c r="L5099">
        <v>15.95853</v>
      </c>
      <c r="M5099">
        <v>0.98999400000000004</v>
      </c>
      <c r="N5099">
        <v>0</v>
      </c>
      <c r="O5099">
        <v>-0.1407571</v>
      </c>
      <c r="P5099">
        <v>0.93113729999999995</v>
      </c>
      <c r="Q5099">
        <v>5.3679930000000001E-2</v>
      </c>
      <c r="R5099">
        <v>-0.36069659999999998</v>
      </c>
      <c r="S5099">
        <v>2.5476990000000002</v>
      </c>
      <c r="T5099">
        <v>-0.45077729999999999</v>
      </c>
      <c r="U5099">
        <v>-1.8204959999999999</v>
      </c>
      <c r="V5099">
        <v>0.22681419999999999</v>
      </c>
      <c r="W5099">
        <v>6.0521140000000001E-2</v>
      </c>
      <c r="X5099">
        <v>0.97205589999999997</v>
      </c>
      <c r="Y5099">
        <v>0.45787220000000001</v>
      </c>
      <c r="Z5099">
        <v>-1.4218089999999999E-2</v>
      </c>
      <c r="AA5099">
        <v>0.88890429999999998</v>
      </c>
      <c r="AB5099">
        <v>34</v>
      </c>
      <c r="AC5099">
        <v>6.3219000000000198</v>
      </c>
      <c r="AD5099">
        <v>-1.1539299999999999</v>
      </c>
      <c r="AE5099">
        <v>-4.6309499999999897</v>
      </c>
      <c r="AF5099">
        <v>3.61652931244556</v>
      </c>
      <c r="AG5099">
        <v>-1.1539299999999999</v>
      </c>
      <c r="AH5099">
        <v>6.7641629135293204</v>
      </c>
      <c r="AI5099">
        <v>98.555515727836706</v>
      </c>
      <c r="AJ5099">
        <v>61.868353490926602</v>
      </c>
      <c r="AK5099">
        <v>7.7565932363018302</v>
      </c>
      <c r="AL5099">
        <v>86.530274029391805</v>
      </c>
      <c r="AM5099">
        <v>76.865913036567207</v>
      </c>
      <c r="AN5099">
        <v>1.0000000812166701</v>
      </c>
    </row>
    <row r="5100" spans="1:40" x14ac:dyDescent="0.25">
      <c r="A5100" t="str">
        <f>"20190312151417703"</f>
        <v>20190312151417703</v>
      </c>
      <c r="B5100" t="str">
        <f>"1552374857695917"</f>
        <v>1552374857695917</v>
      </c>
      <c r="C5100" t="s">
        <v>40</v>
      </c>
      <c r="D5100">
        <v>4.6511529999999999</v>
      </c>
      <c r="E5100">
        <v>0.59896439999999995</v>
      </c>
      <c r="F5100" t="s">
        <v>43</v>
      </c>
      <c r="G5100">
        <v>-313.77699999999999</v>
      </c>
      <c r="H5100">
        <v>-0.05</v>
      </c>
      <c r="I5100">
        <v>11.243130000000001</v>
      </c>
      <c r="J5100">
        <v>-319.98869999999999</v>
      </c>
      <c r="K5100">
        <v>1.1032459999999999</v>
      </c>
      <c r="L5100">
        <v>15.91287</v>
      </c>
      <c r="M5100">
        <v>0.98915109999999995</v>
      </c>
      <c r="N5100">
        <v>0</v>
      </c>
      <c r="O5100">
        <v>-0.146536</v>
      </c>
      <c r="P5100">
        <v>0.92751459999999997</v>
      </c>
      <c r="Q5100">
        <v>5.4456379999999999E-2</v>
      </c>
      <c r="R5100">
        <v>-0.36979879999999998</v>
      </c>
      <c r="S5100">
        <v>2.5355219999999998</v>
      </c>
      <c r="T5100">
        <v>-0.44997740000000003</v>
      </c>
      <c r="U5100">
        <v>-1.838776</v>
      </c>
      <c r="V5100">
        <v>0.2307284</v>
      </c>
      <c r="W5100">
        <v>6.1434490000000001E-2</v>
      </c>
      <c r="X5100">
        <v>0.97107679999999996</v>
      </c>
      <c r="Y5100">
        <v>0.45897169999999998</v>
      </c>
      <c r="Z5100">
        <v>-1.3426250000000001E-2</v>
      </c>
      <c r="AA5100">
        <v>0.88834939999999996</v>
      </c>
      <c r="AB5100">
        <v>34</v>
      </c>
      <c r="AC5100">
        <v>6.2117000000000004</v>
      </c>
      <c r="AD5100">
        <v>-1.153246</v>
      </c>
      <c r="AE5100">
        <v>-4.66974</v>
      </c>
      <c r="AF5100">
        <v>3.6291175224915802</v>
      </c>
      <c r="AG5100">
        <v>-1.153246</v>
      </c>
      <c r="AH5100">
        <v>6.6818110733093201</v>
      </c>
      <c r="AI5100">
        <v>98.624206492418097</v>
      </c>
      <c r="AJ5100">
        <v>61.492118980050499</v>
      </c>
      <c r="AK5100">
        <v>7.6907132015158703</v>
      </c>
      <c r="AL5100">
        <v>86.477844980645102</v>
      </c>
      <c r="AM5100">
        <v>76.634327180259504</v>
      </c>
      <c r="AN5100">
        <v>0.99999997131317897</v>
      </c>
    </row>
    <row r="5101" spans="1:40" x14ac:dyDescent="0.25">
      <c r="A5101" t="str">
        <f>"20190312151417724"</f>
        <v>20190312151417724</v>
      </c>
      <c r="B5101" t="str">
        <f>"1552374857715440"</f>
        <v>1552374857715440</v>
      </c>
      <c r="C5101" t="s">
        <v>40</v>
      </c>
      <c r="D5101">
        <v>4.6443059999999896</v>
      </c>
      <c r="E5101">
        <v>0.59910680000000005</v>
      </c>
      <c r="F5101" t="s">
        <v>43</v>
      </c>
      <c r="G5101">
        <v>-313.47430000000003</v>
      </c>
      <c r="H5101">
        <v>-0.05</v>
      </c>
      <c r="I5101">
        <v>11.07541</v>
      </c>
      <c r="J5101">
        <v>-319.66579999999999</v>
      </c>
      <c r="K5101">
        <v>1.1021989999999999</v>
      </c>
      <c r="L5101">
        <v>15.8600799999999</v>
      </c>
      <c r="M5101">
        <v>0.98814080000000004</v>
      </c>
      <c r="N5101">
        <v>0</v>
      </c>
      <c r="O5101">
        <v>-0.15314939999999999</v>
      </c>
      <c r="P5101">
        <v>0.923759</v>
      </c>
      <c r="Q5101">
        <v>5.5166069999999998E-2</v>
      </c>
      <c r="R5101">
        <v>-0.3789807</v>
      </c>
      <c r="S5101">
        <v>2.5157470000000002</v>
      </c>
      <c r="T5101">
        <v>-0.44536189999999998</v>
      </c>
      <c r="U5101">
        <v>-1.868134</v>
      </c>
      <c r="V5101">
        <v>0.23396040000000001</v>
      </c>
      <c r="W5101">
        <v>6.2555280000000005E-2</v>
      </c>
      <c r="X5101">
        <v>0.97023159999999997</v>
      </c>
      <c r="Y5101">
        <v>0.46313989999999999</v>
      </c>
      <c r="Z5101">
        <v>-1.2661179999999999E-2</v>
      </c>
      <c r="AA5101">
        <v>0.8861947</v>
      </c>
      <c r="AB5101">
        <v>34</v>
      </c>
      <c r="AC5101">
        <v>6.1914999999999596</v>
      </c>
      <c r="AD5101">
        <v>-1.152199</v>
      </c>
      <c r="AE5101">
        <v>-4.7846699999999904</v>
      </c>
      <c r="AF5101">
        <v>3.6997170082581601</v>
      </c>
      <c r="AG5101">
        <v>-1.152199</v>
      </c>
      <c r="AH5101">
        <v>6.7058654786652596</v>
      </c>
      <c r="AI5101">
        <v>98.555535023812595</v>
      </c>
      <c r="AJ5101">
        <v>61.113882267473599</v>
      </c>
      <c r="AK5101">
        <v>7.7449403028525801</v>
      </c>
      <c r="AL5101">
        <v>86.413504762073799</v>
      </c>
      <c r="AM5101">
        <v>76.442592543732204</v>
      </c>
      <c r="AN5101">
        <v>0.99999999473129897</v>
      </c>
    </row>
    <row r="5102" spans="1:40" x14ac:dyDescent="0.25">
      <c r="A5102" t="str">
        <f>"20190312151417737"</f>
        <v>20190312151417737</v>
      </c>
      <c r="B5102" t="str">
        <f>"1552374857725752"</f>
        <v>1552374857725752</v>
      </c>
      <c r="C5102" t="s">
        <v>40</v>
      </c>
      <c r="D5102">
        <v>4.7962889999999998</v>
      </c>
      <c r="E5102">
        <v>0.59907719999999998</v>
      </c>
      <c r="F5102" t="s">
        <v>43</v>
      </c>
      <c r="G5102">
        <v>-313.16559999999998</v>
      </c>
      <c r="H5102">
        <v>-0.05</v>
      </c>
      <c r="I5102">
        <v>10.92496</v>
      </c>
      <c r="J5102">
        <v>-319.48320000000001</v>
      </c>
      <c r="K5102">
        <v>1.101453</v>
      </c>
      <c r="L5102">
        <v>15.828889999999999</v>
      </c>
      <c r="M5102">
        <v>0.98756949999999999</v>
      </c>
      <c r="N5102">
        <v>0</v>
      </c>
      <c r="O5102">
        <v>-0.1567414</v>
      </c>
      <c r="P5102">
        <v>0.92196339999999999</v>
      </c>
      <c r="Q5102">
        <v>5.4809620000000003E-2</v>
      </c>
      <c r="R5102">
        <v>-0.38337909999999997</v>
      </c>
      <c r="S5102">
        <v>2.496429</v>
      </c>
      <c r="T5102">
        <v>-0.4425076</v>
      </c>
      <c r="U5102">
        <v>-1.8953549999999999</v>
      </c>
      <c r="V5102">
        <v>0.23510310000000001</v>
      </c>
      <c r="W5102">
        <v>6.2664739999999997E-2</v>
      </c>
      <c r="X5102">
        <v>0.96994829999999999</v>
      </c>
      <c r="Y5102">
        <v>0.46934799999999899</v>
      </c>
      <c r="Z5102">
        <v>-1.2569729999999999E-2</v>
      </c>
      <c r="AA5102">
        <v>0.88292380000000004</v>
      </c>
      <c r="AB5102">
        <v>34</v>
      </c>
      <c r="AC5102">
        <v>6.3176000000000201</v>
      </c>
      <c r="AD5102">
        <v>-1.1514530000000001</v>
      </c>
      <c r="AE5102">
        <v>-4.9039299999999901</v>
      </c>
      <c r="AF5102">
        <v>3.7747619624274198</v>
      </c>
      <c r="AG5102">
        <v>-1.1514530000000001</v>
      </c>
      <c r="AH5102">
        <v>6.8658803258057102</v>
      </c>
      <c r="AI5102">
        <v>98.360368325762593</v>
      </c>
      <c r="AJ5102">
        <v>61.198639472420901</v>
      </c>
      <c r="AK5102">
        <v>7.9192792937541796</v>
      </c>
      <c r="AL5102">
        <v>86.4072209317805</v>
      </c>
      <c r="AM5102">
        <v>76.375007078639001</v>
      </c>
      <c r="AN5102">
        <v>1.0000000209708799</v>
      </c>
    </row>
    <row r="5103" spans="1:40" x14ac:dyDescent="0.25">
      <c r="A5103" t="str">
        <f>"20190312151417749"</f>
        <v>20190312151417749</v>
      </c>
      <c r="B5103" t="str">
        <f>"1552374857745272"</f>
        <v>1552374857745272</v>
      </c>
      <c r="C5103" t="s">
        <v>40</v>
      </c>
      <c r="D5103">
        <v>4.7286460000000003</v>
      </c>
      <c r="E5103">
        <v>0.59904199999999996</v>
      </c>
      <c r="F5103" t="s">
        <v>43</v>
      </c>
      <c r="G5103">
        <v>-312.90789999999998</v>
      </c>
      <c r="H5103">
        <v>-0.05</v>
      </c>
      <c r="I5103">
        <v>10.78598</v>
      </c>
      <c r="J5103">
        <v>-319.30149999999998</v>
      </c>
      <c r="K5103">
        <v>1.1006720000000001</v>
      </c>
      <c r="L5103">
        <v>15.797359999999999</v>
      </c>
      <c r="M5103">
        <v>0.9869945</v>
      </c>
      <c r="N5103">
        <v>0</v>
      </c>
      <c r="O5103">
        <v>-0.16026580000000001</v>
      </c>
      <c r="P5103">
        <v>0.92019510000000004</v>
      </c>
      <c r="Q5103">
        <v>5.4039450000000003E-2</v>
      </c>
      <c r="R5103">
        <v>-0.3877121</v>
      </c>
      <c r="S5103">
        <v>2.486755</v>
      </c>
      <c r="T5103">
        <v>-0.43547370000000002</v>
      </c>
      <c r="U5103">
        <v>-1.9071959999999999</v>
      </c>
      <c r="V5103">
        <v>0.23624010000000001</v>
      </c>
      <c r="W5103">
        <v>6.2414419999999998E-2</v>
      </c>
      <c r="X5103">
        <v>0.96968810000000005</v>
      </c>
      <c r="Y5103">
        <v>0.47061439999999999</v>
      </c>
      <c r="Z5103">
        <v>-1.1970140000000001E-2</v>
      </c>
      <c r="AA5103">
        <v>0.88225779999999998</v>
      </c>
      <c r="AB5103">
        <v>34</v>
      </c>
      <c r="AC5103">
        <v>6.3935999999999904</v>
      </c>
      <c r="AD5103">
        <v>-1.1506719999999999</v>
      </c>
      <c r="AE5103">
        <v>-5.0113799999999999</v>
      </c>
      <c r="AF5103">
        <v>3.8446974903019999</v>
      </c>
      <c r="AG5103">
        <v>-1.1506719999999999</v>
      </c>
      <c r="AH5103">
        <v>6.9742293951622498</v>
      </c>
      <c r="AI5103">
        <v>98.221677232887799</v>
      </c>
      <c r="AJ5103">
        <v>61.133281550223401</v>
      </c>
      <c r="AK5103">
        <v>8.0464663362163993</v>
      </c>
      <c r="AL5103">
        <v>86.421591187292407</v>
      </c>
      <c r="AM5103">
        <v>76.308052613754995</v>
      </c>
      <c r="AN5103">
        <v>0.99999997797677798</v>
      </c>
    </row>
    <row r="5104" spans="1:40" x14ac:dyDescent="0.25">
      <c r="A5104" t="str">
        <f>"20190312151417760"</f>
        <v>20190312151417760</v>
      </c>
      <c r="B5104" t="str">
        <f>"1552374857756009"</f>
        <v>1552374857756009</v>
      </c>
      <c r="C5104" t="s">
        <v>40</v>
      </c>
      <c r="D5104">
        <v>4.7003339999999998</v>
      </c>
      <c r="E5104">
        <v>0.59923819999999905</v>
      </c>
      <c r="F5104" t="s">
        <v>43</v>
      </c>
      <c r="G5104">
        <v>-312.714</v>
      </c>
      <c r="H5104">
        <v>-0.05</v>
      </c>
      <c r="I5104">
        <v>10.69481</v>
      </c>
      <c r="J5104">
        <v>-319.11619999999999</v>
      </c>
      <c r="K5104">
        <v>1.0997920000000001</v>
      </c>
      <c r="L5104">
        <v>15.764250000000001</v>
      </c>
      <c r="M5104">
        <v>0.98640810000000001</v>
      </c>
      <c r="N5104">
        <v>0</v>
      </c>
      <c r="O5104">
        <v>-0.163768</v>
      </c>
      <c r="P5104">
        <v>0.91845940000000004</v>
      </c>
      <c r="Q5104">
        <v>5.2854579999999998E-2</v>
      </c>
      <c r="R5104">
        <v>-0.39196799999999998</v>
      </c>
      <c r="S5104">
        <v>2.4771420000000002</v>
      </c>
      <c r="T5104">
        <v>-0.43269099999999999</v>
      </c>
      <c r="U5104">
        <v>-1.9187320000000001</v>
      </c>
      <c r="V5104">
        <v>0.23731569999999999</v>
      </c>
      <c r="W5104">
        <v>6.1878530000000001E-2</v>
      </c>
      <c r="X5104">
        <v>0.96945979999999998</v>
      </c>
      <c r="Y5104">
        <v>0.47176319999999999</v>
      </c>
      <c r="Z5104">
        <v>-1.148853E-2</v>
      </c>
      <c r="AA5104">
        <v>0.88165039999999995</v>
      </c>
      <c r="AB5104">
        <v>34</v>
      </c>
      <c r="AC5104">
        <v>6.4021999999999899</v>
      </c>
      <c r="AD5104">
        <v>-1.1497919999999999</v>
      </c>
      <c r="AE5104">
        <v>-5.0694400000000002</v>
      </c>
      <c r="AF5104">
        <v>3.8755849200586798</v>
      </c>
      <c r="AG5104">
        <v>-1.1497919999999999</v>
      </c>
      <c r="AH5104">
        <v>7.0071235902911697</v>
      </c>
      <c r="AI5104">
        <v>98.171220766361799</v>
      </c>
      <c r="AJ5104">
        <v>61.053363868158002</v>
      </c>
      <c r="AK5104">
        <v>8.0896205798211192</v>
      </c>
      <c r="AL5104">
        <v>86.452354962890098</v>
      </c>
      <c r="AM5104">
        <v>76.244959450432503</v>
      </c>
      <c r="AN5104">
        <v>0.99999999887874502</v>
      </c>
    </row>
    <row r="5105" spans="1:40" x14ac:dyDescent="0.25">
      <c r="A5105" t="str">
        <f>"20190312151417773"</f>
        <v>20190312151417773</v>
      </c>
      <c r="B5105" t="str">
        <f>"1552374857765768"</f>
        <v>1552374857765768</v>
      </c>
      <c r="C5105" t="s">
        <v>40</v>
      </c>
      <c r="D5105">
        <v>4.7023710000000003</v>
      </c>
      <c r="E5105">
        <v>0.59933639999999999</v>
      </c>
      <c r="F5105" t="s">
        <v>43</v>
      </c>
      <c r="G5105">
        <v>-312.61790000000002</v>
      </c>
      <c r="H5105">
        <v>-0.05</v>
      </c>
      <c r="I5105">
        <v>10.675599999999999</v>
      </c>
      <c r="J5105">
        <v>-318.94490000000002</v>
      </c>
      <c r="K5105">
        <v>1.098943</v>
      </c>
      <c r="L5105">
        <v>15.73279</v>
      </c>
      <c r="M5105">
        <v>0.98583730000000003</v>
      </c>
      <c r="N5105">
        <v>0</v>
      </c>
      <c r="O5105">
        <v>-0.16709660000000001</v>
      </c>
      <c r="P5105">
        <v>0.91678219999999999</v>
      </c>
      <c r="Q5105">
        <v>5.1541730000000001E-2</v>
      </c>
      <c r="R5105">
        <v>-0.39604800000000001</v>
      </c>
      <c r="S5105">
        <v>2.4670100000000001</v>
      </c>
      <c r="T5105">
        <v>-0.43650620000000001</v>
      </c>
      <c r="U5105">
        <v>-1.931854</v>
      </c>
      <c r="V5105">
        <v>0.2383702</v>
      </c>
      <c r="W5105">
        <v>6.1259809999999998E-2</v>
      </c>
      <c r="X5105">
        <v>0.9692404</v>
      </c>
      <c r="Y5105">
        <v>0.47341420000000001</v>
      </c>
      <c r="Z5105">
        <v>-1.1243380000000001E-2</v>
      </c>
      <c r="AA5105">
        <v>0.880768199999999</v>
      </c>
      <c r="AB5105">
        <v>34</v>
      </c>
      <c r="AC5105">
        <v>6.3269999999999902</v>
      </c>
      <c r="AD5105">
        <v>-1.148943</v>
      </c>
      <c r="AE5105">
        <v>-5.0571900000000003</v>
      </c>
      <c r="AF5105">
        <v>3.8512545428729501</v>
      </c>
      <c r="AG5105">
        <v>-1.148943</v>
      </c>
      <c r="AH5105">
        <v>6.9434427196550903</v>
      </c>
      <c r="AI5105">
        <v>98.233731114214194</v>
      </c>
      <c r="AJ5105">
        <v>60.984591526694103</v>
      </c>
      <c r="AK5105">
        <v>8.0226945830176</v>
      </c>
      <c r="AL5105">
        <v>86.487872517444799</v>
      </c>
      <c r="AM5105">
        <v>76.183168768264196</v>
      </c>
      <c r="AN5105">
        <v>1.0000000347807101</v>
      </c>
    </row>
    <row r="5106" spans="1:40" x14ac:dyDescent="0.25">
      <c r="A5106" t="str">
        <f>"20190312151417786"</f>
        <v>20190312151417786</v>
      </c>
      <c r="B5106" t="str">
        <f>"1552374857775528"</f>
        <v>1552374857775528</v>
      </c>
      <c r="C5106" t="s">
        <v>40</v>
      </c>
      <c r="D5106">
        <v>4.6836089999999997</v>
      </c>
      <c r="E5106">
        <v>0.59941979999999995</v>
      </c>
      <c r="F5106" t="s">
        <v>43</v>
      </c>
      <c r="G5106">
        <v>-312.55399999999997</v>
      </c>
      <c r="H5106">
        <v>-0.05</v>
      </c>
      <c r="I5106">
        <v>10.67862</v>
      </c>
      <c r="J5106">
        <v>-318.74169999999998</v>
      </c>
      <c r="K5106">
        <v>1.0979159999999999</v>
      </c>
      <c r="L5106">
        <v>15.694789999999999</v>
      </c>
      <c r="M5106">
        <v>0.98512299999999997</v>
      </c>
      <c r="N5106">
        <v>0</v>
      </c>
      <c r="O5106">
        <v>-0.1711628</v>
      </c>
      <c r="P5106">
        <v>0.91485799999999995</v>
      </c>
      <c r="Q5106">
        <v>4.9567279999999998E-2</v>
      </c>
      <c r="R5106">
        <v>-0.40072229999999998</v>
      </c>
      <c r="S5106">
        <v>2.4575809999999998</v>
      </c>
      <c r="T5106">
        <v>-0.44182320000000003</v>
      </c>
      <c r="U5106">
        <v>-1.943573</v>
      </c>
      <c r="V5106">
        <v>0.2393218</v>
      </c>
      <c r="W5106">
        <v>6.0170349999999997E-2</v>
      </c>
      <c r="X5106">
        <v>0.96907410000000005</v>
      </c>
      <c r="Y5106">
        <v>0.47396969999999999</v>
      </c>
      <c r="Z5106">
        <v>-1.0829989999999999E-2</v>
      </c>
      <c r="AA5106">
        <v>0.880474599999999</v>
      </c>
      <c r="AB5106">
        <v>34</v>
      </c>
      <c r="AC5106">
        <v>6.1876999999999498</v>
      </c>
      <c r="AD5106">
        <v>-1.1479159999999999</v>
      </c>
      <c r="AE5106">
        <v>-5.01616999999999</v>
      </c>
      <c r="AF5106">
        <v>3.8038997432610002</v>
      </c>
      <c r="AG5106">
        <v>-1.1479159999999999</v>
      </c>
      <c r="AH5106">
        <v>6.8135452970428503</v>
      </c>
      <c r="AI5106">
        <v>98.368385306298705</v>
      </c>
      <c r="AJ5106">
        <v>60.826034662837898</v>
      </c>
      <c r="AK5106">
        <v>7.8874434333750996</v>
      </c>
      <c r="AL5106">
        <v>86.550409240882303</v>
      </c>
      <c r="AM5106">
        <v>76.127847986702093</v>
      </c>
      <c r="AN5106">
        <v>1.00000000313258</v>
      </c>
    </row>
    <row r="5107" spans="1:40" x14ac:dyDescent="0.25">
      <c r="A5107" t="str">
        <f>"20190312151417798"</f>
        <v>20190312151417798</v>
      </c>
      <c r="B5107" t="str">
        <f>"1552374857796024"</f>
        <v>1552374857796024</v>
      </c>
      <c r="C5107" t="s">
        <v>40</v>
      </c>
      <c r="D5107">
        <v>4.7380719999999998</v>
      </c>
      <c r="E5107">
        <v>0.59947189999999995</v>
      </c>
      <c r="F5107" t="s">
        <v>43</v>
      </c>
      <c r="G5107">
        <v>-312.50119999999998</v>
      </c>
      <c r="H5107">
        <v>-0.05</v>
      </c>
      <c r="I5107">
        <v>10.704560000000001</v>
      </c>
      <c r="J5107">
        <v>-318.55489999999998</v>
      </c>
      <c r="K5107">
        <v>1.0969610000000001</v>
      </c>
      <c r="L5107">
        <v>15.65869</v>
      </c>
      <c r="M5107">
        <v>0.9843132</v>
      </c>
      <c r="N5107">
        <v>0</v>
      </c>
      <c r="O5107">
        <v>-0.17567949999999999</v>
      </c>
      <c r="P5107">
        <v>0.91262430000000005</v>
      </c>
      <c r="Q5107">
        <v>4.796222E-2</v>
      </c>
      <c r="R5107">
        <v>-0.40597680000000003</v>
      </c>
      <c r="S5107">
        <v>2.4466549999999998</v>
      </c>
      <c r="T5107">
        <v>-0.45005299999999998</v>
      </c>
      <c r="U5107">
        <v>-1.9564820000000001</v>
      </c>
      <c r="V5107">
        <v>0.2404395</v>
      </c>
      <c r="W5107">
        <v>5.9320240000000003E-2</v>
      </c>
      <c r="X5107">
        <v>0.96884979999999998</v>
      </c>
      <c r="Y5107">
        <v>0.474609</v>
      </c>
      <c r="Z5107">
        <v>-1.0410869999999999E-2</v>
      </c>
      <c r="AA5107">
        <v>0.88013519999999901</v>
      </c>
      <c r="AB5107">
        <v>34</v>
      </c>
      <c r="AC5107">
        <v>6.0536999999999903</v>
      </c>
      <c r="AD5107">
        <v>-1.1469609999999999</v>
      </c>
      <c r="AE5107">
        <v>-4.9541299999999904</v>
      </c>
      <c r="AF5107">
        <v>3.7331505791119799</v>
      </c>
      <c r="AG5107">
        <v>-1.1469609999999999</v>
      </c>
      <c r="AH5107">
        <v>6.6862330858724404</v>
      </c>
      <c r="AI5107">
        <v>98.518243685073898</v>
      </c>
      <c r="AJ5107">
        <v>60.823896285130303</v>
      </c>
      <c r="AK5107">
        <v>7.7432322489035803</v>
      </c>
      <c r="AL5107">
        <v>86.599204075435793</v>
      </c>
      <c r="AM5107">
        <v>76.062479984728</v>
      </c>
      <c r="AN5107">
        <v>0.999999989496973</v>
      </c>
    </row>
    <row r="5108" spans="1:40" x14ac:dyDescent="0.25">
      <c r="A5108" t="str">
        <f>"20190312151417814"</f>
        <v>20190312151417814</v>
      </c>
      <c r="B5108" t="str">
        <f>"1552374857805785"</f>
        <v>1552374857805785</v>
      </c>
      <c r="C5108" t="s">
        <v>40</v>
      </c>
      <c r="D5108">
        <v>4.7246249999999996</v>
      </c>
      <c r="E5108">
        <v>0.59931269999999903</v>
      </c>
      <c r="F5108" t="s">
        <v>43</v>
      </c>
      <c r="G5108">
        <v>-312.30860000000001</v>
      </c>
      <c r="H5108">
        <v>-0.05</v>
      </c>
      <c r="I5108">
        <v>10.602600000000001</v>
      </c>
      <c r="J5108">
        <v>-318.32929999999999</v>
      </c>
      <c r="K5108">
        <v>1.0957059999999901</v>
      </c>
      <c r="L5108">
        <v>15.61407</v>
      </c>
      <c r="M5108">
        <v>0.98325439999999997</v>
      </c>
      <c r="N5108">
        <v>0</v>
      </c>
      <c r="O5108">
        <v>-0.1814228</v>
      </c>
      <c r="P5108">
        <v>0.90945920000000002</v>
      </c>
      <c r="Q5108">
        <v>4.5683359999999999E-2</v>
      </c>
      <c r="R5108">
        <v>-0.41327639999999999</v>
      </c>
      <c r="S5108">
        <v>2.4342039999999998</v>
      </c>
      <c r="T5108">
        <v>-0.44697379999999998</v>
      </c>
      <c r="U5108">
        <v>-1.970367</v>
      </c>
      <c r="V5108">
        <v>0.2425254</v>
      </c>
      <c r="W5108">
        <v>5.7817449999999999E-2</v>
      </c>
      <c r="X5108">
        <v>0.96842070000000002</v>
      </c>
      <c r="Y5108">
        <v>0.47479700000000002</v>
      </c>
      <c r="Z5108">
        <v>-9.5052230000000001E-3</v>
      </c>
      <c r="AA5108">
        <v>0.88004400000000005</v>
      </c>
      <c r="AB5108">
        <v>34</v>
      </c>
      <c r="AC5108">
        <v>6.0206999999999704</v>
      </c>
      <c r="AD5108">
        <v>-1.1457059999999999</v>
      </c>
      <c r="AE5108">
        <v>-5.0114700000000001</v>
      </c>
      <c r="AF5108">
        <v>3.7554920049024298</v>
      </c>
      <c r="AG5108">
        <v>-1.1457059999999999</v>
      </c>
      <c r="AH5108">
        <v>6.6870436224071303</v>
      </c>
      <c r="AI5108">
        <v>98.496352641320499</v>
      </c>
      <c r="AJ5108">
        <v>60.681118815723003</v>
      </c>
      <c r="AK5108">
        <v>7.7545415625488801</v>
      </c>
      <c r="AL5108">
        <v>86.685455837490395</v>
      </c>
      <c r="AM5108">
        <v>75.940359156199705</v>
      </c>
      <c r="AN5108">
        <v>1.00000003967907</v>
      </c>
    </row>
    <row r="5109" spans="1:40" x14ac:dyDescent="0.25">
      <c r="A5109" t="str">
        <f>"20190312151417825"</f>
        <v>20190312151417825</v>
      </c>
      <c r="B5109" t="str">
        <f>"1552374857815544"</f>
        <v>1552374857815544</v>
      </c>
      <c r="C5109" t="s">
        <v>40</v>
      </c>
      <c r="D5109">
        <v>4.7159909999999998</v>
      </c>
      <c r="E5109">
        <v>0.59935249999999995</v>
      </c>
      <c r="F5109" t="s">
        <v>43</v>
      </c>
      <c r="G5109">
        <v>-312.18150000000003</v>
      </c>
      <c r="H5109">
        <v>-0.05</v>
      </c>
      <c r="I5109">
        <v>10.55898</v>
      </c>
      <c r="J5109">
        <v>-318.15480000000002</v>
      </c>
      <c r="K5109">
        <v>1.0946739999999999</v>
      </c>
      <c r="L5109">
        <v>15.57901</v>
      </c>
      <c r="M5109">
        <v>0.98237929999999996</v>
      </c>
      <c r="N5109">
        <v>0</v>
      </c>
      <c r="O5109">
        <v>-0.18604010000000001</v>
      </c>
      <c r="P5109">
        <v>0.90703820000000002</v>
      </c>
      <c r="Q5109">
        <v>4.4564399999999997E-2</v>
      </c>
      <c r="R5109">
        <v>-0.41868349999999999</v>
      </c>
      <c r="S5109">
        <v>2.4178769999999998</v>
      </c>
      <c r="T5109">
        <v>-0.4505961</v>
      </c>
      <c r="U5109">
        <v>-1.988129</v>
      </c>
      <c r="V5109">
        <v>0.24374219999999999</v>
      </c>
      <c r="W5109">
        <v>5.7233340000000001E-2</v>
      </c>
      <c r="X5109">
        <v>0.96814979999999995</v>
      </c>
      <c r="Y5109">
        <v>0.4773964</v>
      </c>
      <c r="Z5109">
        <v>-9.1139670000000006E-3</v>
      </c>
      <c r="AA5109">
        <v>0.8786408</v>
      </c>
      <c r="AB5109">
        <v>34</v>
      </c>
      <c r="AC5109">
        <v>5.9732999999999903</v>
      </c>
      <c r="AD5109">
        <v>-1.144674</v>
      </c>
      <c r="AE5109">
        <v>-5.0200300000000002</v>
      </c>
      <c r="AF5109">
        <v>3.74041065065378</v>
      </c>
      <c r="AG5109">
        <v>-1.144674</v>
      </c>
      <c r="AH5109">
        <v>6.6597312564506002</v>
      </c>
      <c r="AI5109">
        <v>98.522975798351993</v>
      </c>
      <c r="AJ5109">
        <v>60.679434890049599</v>
      </c>
      <c r="AK5109">
        <v>7.7235335701960501</v>
      </c>
      <c r="AL5109">
        <v>86.718978174687805</v>
      </c>
      <c r="AM5109">
        <v>75.868842256228504</v>
      </c>
      <c r="AN5109">
        <v>0.99999997525421702</v>
      </c>
    </row>
    <row r="5110" spans="1:40" x14ac:dyDescent="0.25">
      <c r="A5110" t="str">
        <f>"20190312151417836"</f>
        <v>20190312151417836</v>
      </c>
      <c r="B5110" t="str">
        <f>"1552374857826031"</f>
        <v>1552374857826031</v>
      </c>
      <c r="C5110" t="s">
        <v>40</v>
      </c>
      <c r="D5110">
        <v>4.905405</v>
      </c>
      <c r="E5110">
        <v>0.59928669999999995</v>
      </c>
      <c r="F5110" t="s">
        <v>43</v>
      </c>
      <c r="G5110">
        <v>-312.0462</v>
      </c>
      <c r="H5110">
        <v>-0.05</v>
      </c>
      <c r="I5110">
        <v>10.493499999999999</v>
      </c>
      <c r="J5110">
        <v>-317.97919999999999</v>
      </c>
      <c r="K5110">
        <v>1.0934060000000001</v>
      </c>
      <c r="L5110">
        <v>15.5423299999999</v>
      </c>
      <c r="M5110">
        <v>0.98146820000000001</v>
      </c>
      <c r="N5110">
        <v>0</v>
      </c>
      <c r="O5110">
        <v>-0.1907317</v>
      </c>
      <c r="P5110">
        <v>0.90457220000000005</v>
      </c>
      <c r="Q5110">
        <v>4.3642750000000001E-2</v>
      </c>
      <c r="R5110">
        <v>-0.42408079999999998</v>
      </c>
      <c r="S5110">
        <v>2.4053040000000001</v>
      </c>
      <c r="T5110">
        <v>-0.4507198</v>
      </c>
      <c r="U5110">
        <v>-2.0024410000000001</v>
      </c>
      <c r="V5110">
        <v>0.2449076</v>
      </c>
      <c r="W5110">
        <v>5.6693960000000002E-2</v>
      </c>
      <c r="X5110">
        <v>0.96788739999999995</v>
      </c>
      <c r="Y5110">
        <v>0.47857430000000001</v>
      </c>
      <c r="Z5110">
        <v>-8.5126400000000001E-3</v>
      </c>
      <c r="AA5110">
        <v>0.87800579999999995</v>
      </c>
      <c r="AB5110">
        <v>34</v>
      </c>
      <c r="AC5110">
        <v>5.9329999999999901</v>
      </c>
      <c r="AD5110">
        <v>-1.1434059999999999</v>
      </c>
      <c r="AE5110">
        <v>-5.0488299999999899</v>
      </c>
      <c r="AF5110">
        <v>3.7436641067319898</v>
      </c>
      <c r="AG5110">
        <v>-1.1434059999999999</v>
      </c>
      <c r="AH5110">
        <v>6.64405925472993</v>
      </c>
      <c r="AI5110">
        <v>98.526942979036903</v>
      </c>
      <c r="AJ5110">
        <v>60.600463956006998</v>
      </c>
      <c r="AK5110">
        <v>7.7114150196466396</v>
      </c>
      <c r="AL5110">
        <v>86.749932645700994</v>
      </c>
      <c r="AM5110">
        <v>75.800309548169096</v>
      </c>
      <c r="AN5110">
        <v>0.99999997835849996</v>
      </c>
    </row>
    <row r="5111" spans="1:40" x14ac:dyDescent="0.25">
      <c r="A5111" t="str">
        <f>"20190312151417850"</f>
        <v>20190312151417850</v>
      </c>
      <c r="B5111" t="str">
        <f>"1552374857845552"</f>
        <v>1552374857845552</v>
      </c>
      <c r="C5111" t="s">
        <v>40</v>
      </c>
      <c r="D5111">
        <v>4.8335559999999997</v>
      </c>
      <c r="E5111">
        <v>0.59915220000000002</v>
      </c>
      <c r="F5111" t="s">
        <v>43</v>
      </c>
      <c r="G5111">
        <v>-311.90949999999998</v>
      </c>
      <c r="H5111">
        <v>-0.05</v>
      </c>
      <c r="I5111">
        <v>10.428710000000001</v>
      </c>
      <c r="J5111">
        <v>-317.78550000000001</v>
      </c>
      <c r="K5111">
        <v>1.0919289999999999</v>
      </c>
      <c r="L5111">
        <v>15.5011299999999</v>
      </c>
      <c r="M5111">
        <v>0.98043919999999996</v>
      </c>
      <c r="N5111">
        <v>0</v>
      </c>
      <c r="O5111">
        <v>-0.19589290000000001</v>
      </c>
      <c r="P5111">
        <v>0.90187539999999999</v>
      </c>
      <c r="Q5111">
        <v>4.3055679999999999E-2</v>
      </c>
      <c r="R5111">
        <v>-0.4298457</v>
      </c>
      <c r="S5111">
        <v>2.3930660000000001</v>
      </c>
      <c r="T5111">
        <v>-0.45080330000000002</v>
      </c>
      <c r="U5111">
        <v>-2.0161129999999998</v>
      </c>
      <c r="V5111">
        <v>0.2460339</v>
      </c>
      <c r="W5111">
        <v>5.6475450000000003E-2</v>
      </c>
      <c r="X5111">
        <v>0.96761450000000004</v>
      </c>
      <c r="Y5111">
        <v>0.47914289999999998</v>
      </c>
      <c r="Z5111">
        <v>-7.7863969999999996E-3</v>
      </c>
      <c r="AA5111">
        <v>0.87770239999999999</v>
      </c>
      <c r="AB5111">
        <v>34</v>
      </c>
      <c r="AC5111">
        <v>5.8760000000000296</v>
      </c>
      <c r="AD5111">
        <v>-1.141929</v>
      </c>
      <c r="AE5111">
        <v>-5.0724199999999904</v>
      </c>
      <c r="AF5111">
        <v>3.7418538895047799</v>
      </c>
      <c r="AG5111">
        <v>-1.141929</v>
      </c>
      <c r="AH5111">
        <v>6.61283802564071</v>
      </c>
      <c r="AI5111">
        <v>98.547094791568</v>
      </c>
      <c r="AJ5111">
        <v>60.496783068850903</v>
      </c>
      <c r="AK5111">
        <v>7.6834301665859304</v>
      </c>
      <c r="AL5111">
        <v>86.762472470896896</v>
      </c>
      <c r="AM5111">
        <v>75.733807283145595</v>
      </c>
      <c r="AN5111">
        <v>0.99999998850608096</v>
      </c>
    </row>
    <row r="5112" spans="1:40" x14ac:dyDescent="0.25">
      <c r="A5112" t="str">
        <f>"20190312151417871"</f>
        <v>20190312151417871</v>
      </c>
      <c r="B5112" t="str">
        <f>"1552374857866047"</f>
        <v>1552374857866047</v>
      </c>
      <c r="C5112" t="s">
        <v>40</v>
      </c>
      <c r="D5112">
        <v>4.7527980000000003</v>
      </c>
      <c r="E5112">
        <v>0.5993233</v>
      </c>
      <c r="F5112" t="s">
        <v>43</v>
      </c>
      <c r="G5112">
        <v>-311.71249999999998</v>
      </c>
      <c r="H5112">
        <v>-0.05</v>
      </c>
      <c r="I5112">
        <v>10.32104</v>
      </c>
      <c r="J5112">
        <v>-317.46300000000002</v>
      </c>
      <c r="K5112">
        <v>1.0891459999999999</v>
      </c>
      <c r="L5112">
        <v>15.429779999999999</v>
      </c>
      <c r="M5112">
        <v>0.97867459999999995</v>
      </c>
      <c r="N5112">
        <v>0</v>
      </c>
      <c r="O5112">
        <v>-0.20444200000000001</v>
      </c>
      <c r="P5112">
        <v>0.89721600000000001</v>
      </c>
      <c r="Q5112">
        <v>4.2212880000000001E-2</v>
      </c>
      <c r="R5112">
        <v>-0.43957010000000002</v>
      </c>
      <c r="S5112">
        <v>2.3801269999999999</v>
      </c>
      <c r="T5112">
        <v>-0.44754509999999997</v>
      </c>
      <c r="U5112">
        <v>-2.0301819999999999</v>
      </c>
      <c r="V5112">
        <v>0.24813730000000001</v>
      </c>
      <c r="W5112">
        <v>5.5996509999999999E-2</v>
      </c>
      <c r="X5112">
        <v>0.96710510000000005</v>
      </c>
      <c r="Y5112">
        <v>0.47698649999999998</v>
      </c>
      <c r="Z5112">
        <v>-6.2682679999999996E-3</v>
      </c>
      <c r="AA5112">
        <v>0.87888820000000001</v>
      </c>
      <c r="AB5112">
        <v>34</v>
      </c>
      <c r="AC5112">
        <v>5.7504999999999802</v>
      </c>
      <c r="AD5112">
        <v>-1.139146</v>
      </c>
      <c r="AE5112">
        <v>-5.1087399999999903</v>
      </c>
      <c r="AF5112">
        <v>3.7428272342621298</v>
      </c>
      <c r="AG5112">
        <v>-1.139146</v>
      </c>
      <c r="AH5112">
        <v>6.5304181802456602</v>
      </c>
      <c r="AI5112">
        <v>98.605956537288804</v>
      </c>
      <c r="AJ5112">
        <v>60.181362735072497</v>
      </c>
      <c r="AK5112">
        <v>7.6126717336118901</v>
      </c>
      <c r="AL5112">
        <v>86.789957248695501</v>
      </c>
      <c r="AM5112">
        <v>75.609620604629896</v>
      </c>
      <c r="AN5112">
        <v>1.0000000016147399</v>
      </c>
    </row>
    <row r="5113" spans="1:40" x14ac:dyDescent="0.25">
      <c r="A5113" t="str">
        <f>"20190312151417887"</f>
        <v>20190312151417887</v>
      </c>
      <c r="B5113" t="str">
        <f>"1552374857875807"</f>
        <v>1552374857875807</v>
      </c>
      <c r="C5113" t="s">
        <v>40</v>
      </c>
      <c r="D5113">
        <v>4.8831829999999998</v>
      </c>
      <c r="E5113">
        <v>0.59932790000000002</v>
      </c>
      <c r="F5113" t="s">
        <v>43</v>
      </c>
      <c r="G5113">
        <v>-311.50700000000001</v>
      </c>
      <c r="H5113">
        <v>-0.05</v>
      </c>
      <c r="I5113">
        <v>10.230119999999999</v>
      </c>
      <c r="J5113">
        <v>-317.2321</v>
      </c>
      <c r="K5113">
        <v>1.087</v>
      </c>
      <c r="L5113">
        <v>15.376799999999999</v>
      </c>
      <c r="M5113">
        <v>0.97736339999999999</v>
      </c>
      <c r="N5113">
        <v>0</v>
      </c>
      <c r="O5113">
        <v>-0.2105726</v>
      </c>
      <c r="P5113">
        <v>0.89406779999999997</v>
      </c>
      <c r="Q5113">
        <v>4.1752190000000002E-2</v>
      </c>
      <c r="R5113">
        <v>-0.44598159999999998</v>
      </c>
      <c r="S5113">
        <v>2.3568419999999999</v>
      </c>
      <c r="T5113">
        <v>-0.45077159999999999</v>
      </c>
      <c r="U5113">
        <v>-2.0575559999999999</v>
      </c>
      <c r="V5113">
        <v>0.24906829999999999</v>
      </c>
      <c r="W5113">
        <v>5.5658480000000003E-2</v>
      </c>
      <c r="X5113">
        <v>0.96688529999999995</v>
      </c>
      <c r="Y5113">
        <v>0.48153809999999903</v>
      </c>
      <c r="Z5113">
        <v>-5.7726499999999998E-3</v>
      </c>
      <c r="AA5113">
        <v>0.87640609999999997</v>
      </c>
      <c r="AB5113">
        <v>34</v>
      </c>
      <c r="AC5113">
        <v>5.7250999999999896</v>
      </c>
      <c r="AD5113">
        <v>-1.137</v>
      </c>
      <c r="AE5113">
        <v>-5.1466799999999999</v>
      </c>
      <c r="AF5113">
        <v>3.74376679848727</v>
      </c>
      <c r="AG5113">
        <v>-1.137</v>
      </c>
      <c r="AH5113">
        <v>6.5380395271872898</v>
      </c>
      <c r="AI5113">
        <v>98.582033957882103</v>
      </c>
      <c r="AJ5113">
        <v>60.203984279150198</v>
      </c>
      <c r="AK5113">
        <v>7.6193516588039802</v>
      </c>
      <c r="AL5113">
        <v>86.809355296717698</v>
      </c>
      <c r="AM5113">
        <v>75.554736916400401</v>
      </c>
      <c r="AN5113">
        <v>1.0000000339084401</v>
      </c>
    </row>
    <row r="5114" spans="1:40" x14ac:dyDescent="0.25">
      <c r="A5114" t="str">
        <f>"20190312151417905"</f>
        <v>20190312151417905</v>
      </c>
      <c r="B5114" t="str">
        <f>"1552374857895328"</f>
        <v>1552374857895328</v>
      </c>
      <c r="C5114" t="s">
        <v>40</v>
      </c>
      <c r="D5114">
        <v>4.7666559999999896</v>
      </c>
      <c r="E5114">
        <v>0.59926729999999995</v>
      </c>
      <c r="F5114" t="s">
        <v>43</v>
      </c>
      <c r="G5114">
        <v>-311.31040000000002</v>
      </c>
      <c r="H5114">
        <v>-0.05</v>
      </c>
      <c r="I5114">
        <v>10.12909</v>
      </c>
      <c r="J5114">
        <v>-316.96350000000001</v>
      </c>
      <c r="K5114">
        <v>1.0843719999999999</v>
      </c>
      <c r="L5114">
        <v>15.312620000000001</v>
      </c>
      <c r="M5114">
        <v>0.97579369999999999</v>
      </c>
      <c r="N5114">
        <v>0</v>
      </c>
      <c r="O5114">
        <v>-0.2176891</v>
      </c>
      <c r="P5114">
        <v>0.88977689999999998</v>
      </c>
      <c r="Q5114">
        <v>4.0943069999999998E-2</v>
      </c>
      <c r="R5114">
        <v>-0.45455489999999998</v>
      </c>
      <c r="S5114">
        <v>2.3414000000000001</v>
      </c>
      <c r="T5114">
        <v>-0.4495633</v>
      </c>
      <c r="U5114">
        <v>-2.0749209999999998</v>
      </c>
      <c r="V5114">
        <v>0.2513859</v>
      </c>
      <c r="W5114">
        <v>5.4813870000000001E-2</v>
      </c>
      <c r="X5114">
        <v>0.96633360000000001</v>
      </c>
      <c r="Y5114">
        <v>0.4817438</v>
      </c>
      <c r="Z5114">
        <v>-4.6991460000000004E-3</v>
      </c>
      <c r="AA5114">
        <v>0.87629950000000001</v>
      </c>
      <c r="AB5114">
        <v>34</v>
      </c>
      <c r="AC5114">
        <v>5.6530999999999896</v>
      </c>
      <c r="AD5114">
        <v>-1.1343719999999999</v>
      </c>
      <c r="AE5114">
        <v>-5.1835300000000002</v>
      </c>
      <c r="AF5114">
        <v>3.7463273844971301</v>
      </c>
      <c r="AG5114">
        <v>-1.1343719999999999</v>
      </c>
      <c r="AH5114">
        <v>6.5038451163922799</v>
      </c>
      <c r="AI5114">
        <v>98.594382266001602</v>
      </c>
      <c r="AJ5114">
        <v>60.057312657871101</v>
      </c>
      <c r="AK5114">
        <v>7.5909004738724404</v>
      </c>
      <c r="AL5114">
        <v>86.8578218618199</v>
      </c>
      <c r="AM5114">
        <v>75.418055240661204</v>
      </c>
      <c r="AN5114">
        <v>1.00000002877607</v>
      </c>
    </row>
    <row r="5115" spans="1:40" x14ac:dyDescent="0.25">
      <c r="A5115" t="str">
        <f>"20190312151417926"</f>
        <v>20190312151417926</v>
      </c>
      <c r="B5115" t="str">
        <f>"1552374857915823"</f>
        <v>1552374857915823</v>
      </c>
      <c r="C5115" t="s">
        <v>40</v>
      </c>
      <c r="D5115">
        <v>4.8679769999999998</v>
      </c>
      <c r="E5115">
        <v>0.59918479999999996</v>
      </c>
      <c r="F5115" t="s">
        <v>43</v>
      </c>
      <c r="G5115">
        <v>-311.07569999999998</v>
      </c>
      <c r="H5115">
        <v>-0.05</v>
      </c>
      <c r="I5115">
        <v>9.9926759999999994</v>
      </c>
      <c r="J5115">
        <v>-316.64400000000001</v>
      </c>
      <c r="K5115">
        <v>1.081205</v>
      </c>
      <c r="L5115">
        <v>15.2328799999999</v>
      </c>
      <c r="M5115">
        <v>0.97385630000000001</v>
      </c>
      <c r="N5115">
        <v>0</v>
      </c>
      <c r="O5115">
        <v>-0.2261629</v>
      </c>
      <c r="P5115">
        <v>0.88476460000000001</v>
      </c>
      <c r="Q5115">
        <v>4.0321389999999999E-2</v>
      </c>
      <c r="R5115">
        <v>-0.4642908</v>
      </c>
      <c r="S5115">
        <v>2.3208920000000002</v>
      </c>
      <c r="T5115">
        <v>-0.4471601</v>
      </c>
      <c r="U5115">
        <v>-2.0970759999999999</v>
      </c>
      <c r="V5115">
        <v>0.25366739999999999</v>
      </c>
      <c r="W5115">
        <v>5.4064429999999997E-2</v>
      </c>
      <c r="X5115">
        <v>0.96577939999999995</v>
      </c>
      <c r="Y5115">
        <v>0.4826821</v>
      </c>
      <c r="Z5115">
        <v>-3.4771749999999999E-3</v>
      </c>
      <c r="AA5115">
        <v>0.87578869999999898</v>
      </c>
      <c r="AB5115">
        <v>34</v>
      </c>
      <c r="AC5115">
        <v>5.5683000000000202</v>
      </c>
      <c r="AD5115">
        <v>-1.131205</v>
      </c>
      <c r="AE5115">
        <v>-5.2402039999999896</v>
      </c>
      <c r="AF5115">
        <v>3.7623896215914101</v>
      </c>
      <c r="AG5115">
        <v>-1.131205</v>
      </c>
      <c r="AH5115">
        <v>6.4678057829382096</v>
      </c>
      <c r="AI5115">
        <v>98.596859037660593</v>
      </c>
      <c r="AJ5115">
        <v>59.8129926875324</v>
      </c>
      <c r="AK5115">
        <v>7.5675433307311</v>
      </c>
      <c r="AL5115">
        <v>86.900825232546296</v>
      </c>
      <c r="AM5115">
        <v>75.283354120627195</v>
      </c>
      <c r="AN5115">
        <v>0.99999998093917197</v>
      </c>
    </row>
    <row r="5116" spans="1:40" x14ac:dyDescent="0.25">
      <c r="A5116" t="str">
        <f>"20190312151417949"</f>
        <v>20190312151417949</v>
      </c>
      <c r="B5116" t="str">
        <f>"1552374857946079"</f>
        <v>1552374857946079</v>
      </c>
      <c r="C5116" t="s">
        <v>40</v>
      </c>
      <c r="D5116">
        <v>4.8821260000000004</v>
      </c>
      <c r="E5116">
        <v>0.59945539999999997</v>
      </c>
      <c r="F5116" t="s">
        <v>43</v>
      </c>
      <c r="G5116">
        <v>-310.79329999999999</v>
      </c>
      <c r="H5116">
        <v>-0.05</v>
      </c>
      <c r="I5116">
        <v>9.8285979999999995</v>
      </c>
      <c r="J5116">
        <v>-316.3184</v>
      </c>
      <c r="K5116">
        <v>1.0780209999999999</v>
      </c>
      <c r="L5116">
        <v>15.14767</v>
      </c>
      <c r="M5116">
        <v>0.97175500000000004</v>
      </c>
      <c r="N5116">
        <v>0</v>
      </c>
      <c r="O5116">
        <v>-0.2350112</v>
      </c>
      <c r="P5116">
        <v>0.87917540000000005</v>
      </c>
      <c r="Q5116">
        <v>3.9692379999999999E-2</v>
      </c>
      <c r="R5116">
        <v>-0.47484280000000001</v>
      </c>
      <c r="S5116">
        <v>2.2973629999999998</v>
      </c>
      <c r="T5116">
        <v>-0.44417889999999999</v>
      </c>
      <c r="U5116">
        <v>-2.1220400000000001</v>
      </c>
      <c r="V5116">
        <v>0.25649260000000002</v>
      </c>
      <c r="W5116">
        <v>5.3168319999999998E-2</v>
      </c>
      <c r="X5116">
        <v>0.96508269999999996</v>
      </c>
      <c r="Y5116">
        <v>0.48441960000000001</v>
      </c>
      <c r="Z5116">
        <v>-2.272479E-3</v>
      </c>
      <c r="AA5116">
        <v>0.87483279999999997</v>
      </c>
      <c r="AB5116">
        <v>34</v>
      </c>
      <c r="AC5116">
        <v>5.5251000000000001</v>
      </c>
      <c r="AD5116">
        <v>-1.1280209999999999</v>
      </c>
      <c r="AE5116">
        <v>-5.3190720000000002</v>
      </c>
      <c r="AF5116">
        <v>3.7892952483948998</v>
      </c>
      <c r="AG5116">
        <v>-1.1280209999999999</v>
      </c>
      <c r="AH5116">
        <v>6.4804240412468097</v>
      </c>
      <c r="AI5116">
        <v>98.545506796198694</v>
      </c>
      <c r="AJ5116">
        <v>59.683913204607201</v>
      </c>
      <c r="AK5116">
        <v>7.5912505959373302</v>
      </c>
      <c r="AL5116">
        <v>86.952242484064698</v>
      </c>
      <c r="AM5116">
        <v>75.116415376316795</v>
      </c>
      <c r="AN5116">
        <v>0.999999970972835</v>
      </c>
    </row>
    <row r="5117" spans="1:40" x14ac:dyDescent="0.25">
      <c r="A5117" t="str">
        <f>"20190312151417970"</f>
        <v>20190312151417970</v>
      </c>
      <c r="B5117" t="str">
        <f>"1552374857965599"</f>
        <v>1552374857965599</v>
      </c>
      <c r="C5117" t="s">
        <v>40</v>
      </c>
      <c r="D5117">
        <v>4.8011809999999997</v>
      </c>
      <c r="E5117">
        <v>0.60736689999999904</v>
      </c>
      <c r="F5117" t="s">
        <v>43</v>
      </c>
      <c r="G5117">
        <v>-310.6327</v>
      </c>
      <c r="H5117">
        <v>-0.05</v>
      </c>
      <c r="I5117">
        <v>9.7584689999999998</v>
      </c>
      <c r="J5117">
        <v>-315.99209999999999</v>
      </c>
      <c r="K5117">
        <v>1.0749869999999999</v>
      </c>
      <c r="L5117">
        <v>15.05847</v>
      </c>
      <c r="M5117">
        <v>0.96948480000000004</v>
      </c>
      <c r="N5117">
        <v>0</v>
      </c>
      <c r="O5117">
        <v>-0.24421019999999999</v>
      </c>
      <c r="P5117">
        <v>0.87344049999999995</v>
      </c>
      <c r="Q5117">
        <v>3.947941E-2</v>
      </c>
      <c r="R5117">
        <v>-0.48532839999999999</v>
      </c>
      <c r="S5117">
        <v>2.2703549999999999</v>
      </c>
      <c r="T5117">
        <v>-0.45043250000000001</v>
      </c>
      <c r="U5117">
        <v>-2.1519780000000002</v>
      </c>
      <c r="V5117">
        <v>0.25893290000000002</v>
      </c>
      <c r="W5117">
        <v>5.2606439999999997E-2</v>
      </c>
      <c r="X5117">
        <v>0.96446169999999998</v>
      </c>
      <c r="Y5117">
        <v>0.48739369999999999</v>
      </c>
      <c r="Z5117">
        <v>-1.1532339999999999E-3</v>
      </c>
      <c r="AA5117">
        <v>0.873181599999999</v>
      </c>
      <c r="AB5117">
        <v>34</v>
      </c>
      <c r="AC5117">
        <v>5.3593999999999902</v>
      </c>
      <c r="AD5117">
        <v>-1.124987</v>
      </c>
      <c r="AE5117">
        <v>-5.300001</v>
      </c>
      <c r="AF5117">
        <v>3.7468656397496498</v>
      </c>
      <c r="AG5117">
        <v>-1.124987</v>
      </c>
      <c r="AH5117">
        <v>6.3502063146404897</v>
      </c>
      <c r="AI5117">
        <v>98.675157008891702</v>
      </c>
      <c r="AJ5117">
        <v>59.457762691197203</v>
      </c>
      <c r="AK5117">
        <v>7.4585332412616898</v>
      </c>
      <c r="AL5117">
        <v>86.984481126920997</v>
      </c>
      <c r="AM5117">
        <v>74.971948152848</v>
      </c>
      <c r="AN5117">
        <v>1.0000000274993801</v>
      </c>
    </row>
    <row r="5118" spans="1:40" x14ac:dyDescent="0.25">
      <c r="A5118" t="str">
        <f>"20190312151417982"</f>
        <v>20190312151417982</v>
      </c>
      <c r="B5118" t="str">
        <f>"1552374857975359"</f>
        <v>1552374857975359</v>
      </c>
      <c r="C5118" t="s">
        <v>40</v>
      </c>
      <c r="D5118">
        <v>4.8811530000000003</v>
      </c>
      <c r="E5118">
        <v>0.60799789999999998</v>
      </c>
      <c r="F5118" t="s">
        <v>43</v>
      </c>
      <c r="G5118">
        <v>-311.86939999999998</v>
      </c>
      <c r="H5118">
        <v>-0.05</v>
      </c>
      <c r="I5118">
        <v>10.885999999999999</v>
      </c>
      <c r="J5118">
        <v>-315.81380000000001</v>
      </c>
      <c r="K5118">
        <v>1.073412</v>
      </c>
      <c r="L5118">
        <v>15.00821</v>
      </c>
      <c r="M5118">
        <v>0.96816469999999999</v>
      </c>
      <c r="N5118">
        <v>0</v>
      </c>
      <c r="O5118">
        <v>-0.24940129999999999</v>
      </c>
      <c r="P5118">
        <v>0.8703341</v>
      </c>
      <c r="Q5118">
        <v>3.9543200000000001E-2</v>
      </c>
      <c r="R5118">
        <v>-0.49087170000000002</v>
      </c>
      <c r="S5118">
        <v>2.215881</v>
      </c>
      <c r="T5118">
        <v>-0.60465659999999999</v>
      </c>
      <c r="U5118">
        <v>-2.2426149999999998</v>
      </c>
      <c r="V5118">
        <v>0.25991320000000001</v>
      </c>
      <c r="W5118">
        <v>5.2459770000000003E-2</v>
      </c>
      <c r="X5118">
        <v>0.96420589999999995</v>
      </c>
      <c r="Y5118">
        <v>0.50897209999999904</v>
      </c>
      <c r="Z5118">
        <v>-2.933111E-3</v>
      </c>
      <c r="AA5118">
        <v>0.86077800000000004</v>
      </c>
      <c r="AB5118">
        <v>34</v>
      </c>
      <c r="AC5118">
        <v>3.9444000000000199</v>
      </c>
      <c r="AD5118">
        <v>-1.1234120000000001</v>
      </c>
      <c r="AE5118">
        <v>-4.1222099999999999</v>
      </c>
      <c r="AF5118">
        <v>2.8956562026907702</v>
      </c>
      <c r="AG5118">
        <v>-1.1234120000000001</v>
      </c>
      <c r="AH5118">
        <v>4.6670688356626702</v>
      </c>
      <c r="AI5118">
        <v>101.55981472192499</v>
      </c>
      <c r="AJ5118">
        <v>58.182703192952502</v>
      </c>
      <c r="AK5118">
        <v>5.6061047869924101</v>
      </c>
      <c r="AL5118">
        <v>86.992896110231996</v>
      </c>
      <c r="AM5118">
        <v>74.913821769711504</v>
      </c>
      <c r="AN5118">
        <v>0.99999995829874999</v>
      </c>
    </row>
    <row r="5119" spans="1:40" x14ac:dyDescent="0.25">
      <c r="A5119" t="str">
        <f>"20190312151417996"</f>
        <v>20190312151417996</v>
      </c>
      <c r="B5119" t="str">
        <f>"1552374857986095"</f>
        <v>1552374857986095</v>
      </c>
      <c r="C5119" t="s">
        <v>40</v>
      </c>
      <c r="D5119">
        <v>4.7636010000000004</v>
      </c>
      <c r="E5119">
        <v>0.60707580000000005</v>
      </c>
      <c r="F5119" t="s">
        <v>43</v>
      </c>
      <c r="G5119">
        <v>-311.74</v>
      </c>
      <c r="H5119">
        <v>-0.05</v>
      </c>
      <c r="I5119">
        <v>10.818910000000001</v>
      </c>
      <c r="J5119">
        <v>-315.59949999999998</v>
      </c>
      <c r="K5119">
        <v>1.071626</v>
      </c>
      <c r="L5119">
        <v>14.94595</v>
      </c>
      <c r="M5119">
        <v>0.9664817</v>
      </c>
      <c r="N5119">
        <v>0</v>
      </c>
      <c r="O5119">
        <v>-0.25586300000000001</v>
      </c>
      <c r="P5119">
        <v>0.86648419999999904</v>
      </c>
      <c r="Q5119">
        <v>3.9786349999999998E-2</v>
      </c>
      <c r="R5119">
        <v>-0.49761660000000002</v>
      </c>
      <c r="S5119">
        <v>2.1990660000000002</v>
      </c>
      <c r="T5119">
        <v>-0.60642499999999999</v>
      </c>
      <c r="U5119">
        <v>-2.2614139999999998</v>
      </c>
      <c r="V5119">
        <v>0.2609745</v>
      </c>
      <c r="W5119">
        <v>5.2425970000000002E-2</v>
      </c>
      <c r="X5119">
        <v>0.96392109999999998</v>
      </c>
      <c r="Y5119">
        <v>0.51016209999999995</v>
      </c>
      <c r="Z5119">
        <v>-1.756884E-3</v>
      </c>
      <c r="AA5119">
        <v>0.86007649999999902</v>
      </c>
      <c r="AB5119">
        <v>34</v>
      </c>
      <c r="AC5119">
        <v>3.8594999999999602</v>
      </c>
      <c r="AD5119">
        <v>-1.121626</v>
      </c>
      <c r="AE5119">
        <v>-4.1270399999999903</v>
      </c>
      <c r="AF5119">
        <v>2.8880797350065102</v>
      </c>
      <c r="AG5119">
        <v>-1.121626</v>
      </c>
      <c r="AH5119">
        <v>4.6056888140408301</v>
      </c>
      <c r="AI5119">
        <v>101.657771233728</v>
      </c>
      <c r="AJ5119">
        <v>57.909494375514598</v>
      </c>
      <c r="AK5119">
        <v>5.5508034455754398</v>
      </c>
      <c r="AL5119">
        <v>86.9948355904111</v>
      </c>
      <c r="AM5119">
        <v>74.850775699219398</v>
      </c>
      <c r="AN5119">
        <v>1.0000000295029501</v>
      </c>
    </row>
    <row r="5120" spans="1:40" x14ac:dyDescent="0.25">
      <c r="A5120" t="str">
        <f>"20190312151418015"</f>
        <v>20190312151418015</v>
      </c>
      <c r="B5120" t="str">
        <f>"1552374858005615"</f>
        <v>1552374858005615</v>
      </c>
      <c r="C5120" t="s">
        <v>40</v>
      </c>
      <c r="D5120">
        <v>4.7989470000000001</v>
      </c>
      <c r="E5120">
        <v>0.60609199999999996</v>
      </c>
      <c r="F5120" t="s">
        <v>43</v>
      </c>
      <c r="G5120">
        <v>-311.44240000000002</v>
      </c>
      <c r="H5120">
        <v>-0.05</v>
      </c>
      <c r="I5120">
        <v>10.62354</v>
      </c>
      <c r="J5120">
        <v>-315.34179999999998</v>
      </c>
      <c r="K5120">
        <v>1.06959</v>
      </c>
      <c r="L5120">
        <v>14.869020000000001</v>
      </c>
      <c r="M5120">
        <v>0.96432300000000004</v>
      </c>
      <c r="N5120">
        <v>0</v>
      </c>
      <c r="O5120">
        <v>-0.26390760000000002</v>
      </c>
      <c r="P5120">
        <v>0.86124940000000005</v>
      </c>
      <c r="Q5120">
        <v>3.9741369999999998E-2</v>
      </c>
      <c r="R5120">
        <v>-0.50662609999999997</v>
      </c>
      <c r="S5120">
        <v>2.1847530000000002</v>
      </c>
      <c r="T5120">
        <v>-0.58946229999999999</v>
      </c>
      <c r="U5120">
        <v>-2.2716059999999998</v>
      </c>
      <c r="V5120">
        <v>0.26298539999999998</v>
      </c>
      <c r="W5120">
        <v>5.2006919999999998E-2</v>
      </c>
      <c r="X5120">
        <v>0.96339710000000001</v>
      </c>
      <c r="Y5120">
        <v>0.50814490000000001</v>
      </c>
      <c r="Z5120">
        <v>1.184456E-4</v>
      </c>
      <c r="AA5120">
        <v>0.86127160000000003</v>
      </c>
      <c r="AB5120">
        <v>34</v>
      </c>
      <c r="AC5120">
        <v>3.8993999999999498</v>
      </c>
      <c r="AD5120">
        <v>-1.1195899999999901</v>
      </c>
      <c r="AE5120">
        <v>-4.2454799999999997</v>
      </c>
      <c r="AF5120">
        <v>2.9541609181538999</v>
      </c>
      <c r="AG5120">
        <v>-1.1195899999999901</v>
      </c>
      <c r="AH5120">
        <v>4.70429904068064</v>
      </c>
      <c r="AI5120">
        <v>101.395194086533</v>
      </c>
      <c r="AJ5120">
        <v>57.872392116303402</v>
      </c>
      <c r="AK5120">
        <v>5.6666549182561603</v>
      </c>
      <c r="AL5120">
        <v>87.018878116220804</v>
      </c>
      <c r="AM5120">
        <v>74.731556105511203</v>
      </c>
      <c r="AN5120">
        <v>1.0000000063147201</v>
      </c>
    </row>
    <row r="5121" spans="1:40" x14ac:dyDescent="0.25">
      <c r="A5121" t="str">
        <f>"20190312151418028"</f>
        <v>20190312151418028</v>
      </c>
      <c r="B5121" t="str">
        <f>"1552374858015375"</f>
        <v>1552374858015375</v>
      </c>
      <c r="C5121" t="s">
        <v>40</v>
      </c>
      <c r="D5121">
        <v>4.8954879999999896</v>
      </c>
      <c r="E5121">
        <v>0.6063518</v>
      </c>
      <c r="F5121" t="s">
        <v>43</v>
      </c>
      <c r="G5121">
        <v>-311.12479999999999</v>
      </c>
      <c r="H5121">
        <v>-0.05</v>
      </c>
      <c r="I5121">
        <v>10.415789999999999</v>
      </c>
      <c r="J5121">
        <v>-315.15350000000001</v>
      </c>
      <c r="K5121">
        <v>1.0681769999999999</v>
      </c>
      <c r="L5121">
        <v>14.81152</v>
      </c>
      <c r="M5121">
        <v>0.96264930000000004</v>
      </c>
      <c r="N5121">
        <v>0</v>
      </c>
      <c r="O5121">
        <v>-0.269968599999999</v>
      </c>
      <c r="P5121">
        <v>0.85767119999999997</v>
      </c>
      <c r="Q5121">
        <v>3.9644350000000002E-2</v>
      </c>
      <c r="R5121">
        <v>-0.51266789999999995</v>
      </c>
      <c r="S5121">
        <v>2.1649479999999999</v>
      </c>
      <c r="T5121">
        <v>-0.5747795</v>
      </c>
      <c r="U5121">
        <v>-2.2862239999999998</v>
      </c>
      <c r="V5121">
        <v>0.26368170000000002</v>
      </c>
      <c r="W5121">
        <v>5.1662630000000001E-2</v>
      </c>
      <c r="X5121">
        <v>0.96322529999999995</v>
      </c>
      <c r="Y5121">
        <v>0.50966420000000001</v>
      </c>
      <c r="Z5121">
        <v>1.1312220000000001E-3</v>
      </c>
      <c r="AA5121">
        <v>0.86037269999999899</v>
      </c>
      <c r="AB5121">
        <v>34</v>
      </c>
      <c r="AC5121">
        <v>4.0287000000000104</v>
      </c>
      <c r="AD5121">
        <v>-1.118177</v>
      </c>
      <c r="AE5121">
        <v>-4.3957300000000004</v>
      </c>
      <c r="AF5121">
        <v>3.0377579191463702</v>
      </c>
      <c r="AG5121">
        <v>-1.118177</v>
      </c>
      <c r="AH5121">
        <v>4.8938984384002797</v>
      </c>
      <c r="AI5121">
        <v>100.98596737360999</v>
      </c>
      <c r="AJ5121">
        <v>58.171152300187799</v>
      </c>
      <c r="AK5121">
        <v>5.8675833955762604</v>
      </c>
      <c r="AL5121">
        <v>87.0386310821726</v>
      </c>
      <c r="AM5121">
        <v>74.690422130259805</v>
      </c>
      <c r="AN5121">
        <v>1.00000002240674</v>
      </c>
    </row>
    <row r="5122" spans="1:40" x14ac:dyDescent="0.25">
      <c r="A5122" t="str">
        <f>"20190312151418038"</f>
        <v>20190312151418038</v>
      </c>
      <c r="B5122" t="str">
        <f>"1552374858035872"</f>
        <v>1552374858035872</v>
      </c>
      <c r="C5122" t="s">
        <v>40</v>
      </c>
      <c r="D5122">
        <v>4.8115550000000002</v>
      </c>
      <c r="E5122">
        <v>0.60590769999999905</v>
      </c>
      <c r="F5122" t="s">
        <v>43</v>
      </c>
      <c r="G5122">
        <v>-311.01240000000001</v>
      </c>
      <c r="H5122">
        <v>-0.05</v>
      </c>
      <c r="I5122">
        <v>10.371600000000001</v>
      </c>
      <c r="J5122">
        <v>-314.98230000000001</v>
      </c>
      <c r="K5122">
        <v>1.066978</v>
      </c>
      <c r="L5122">
        <v>14.75766</v>
      </c>
      <c r="M5122">
        <v>0.96102330000000002</v>
      </c>
      <c r="N5122">
        <v>0</v>
      </c>
      <c r="O5122">
        <v>-0.27571990000000002</v>
      </c>
      <c r="P5122">
        <v>0.8540449</v>
      </c>
      <c r="Q5122">
        <v>3.9533510000000001E-2</v>
      </c>
      <c r="R5122">
        <v>-0.51869509999999996</v>
      </c>
      <c r="S5122">
        <v>2.1480100000000002</v>
      </c>
      <c r="T5122">
        <v>-0.57999519999999904</v>
      </c>
      <c r="U5122">
        <v>-2.3029790000000001</v>
      </c>
      <c r="V5122">
        <v>0.26468560000000002</v>
      </c>
      <c r="W5122">
        <v>5.1321190000000003E-2</v>
      </c>
      <c r="X5122">
        <v>0.96296820000000005</v>
      </c>
      <c r="Y5122">
        <v>0.51102769999999997</v>
      </c>
      <c r="Z5122">
        <v>2.1239259999999999E-3</v>
      </c>
      <c r="AA5122">
        <v>0.85956160000000004</v>
      </c>
      <c r="AB5122">
        <v>34</v>
      </c>
      <c r="AC5122">
        <v>3.9698999999999902</v>
      </c>
      <c r="AD5122">
        <v>-1.116978</v>
      </c>
      <c r="AE5122">
        <v>-4.3860599999999996</v>
      </c>
      <c r="AF5122">
        <v>3.0137322762943901</v>
      </c>
      <c r="AG5122">
        <v>-1.116978</v>
      </c>
      <c r="AH5122">
        <v>4.8525382434475803</v>
      </c>
      <c r="AI5122">
        <v>101.064072043095</v>
      </c>
      <c r="AJ5122">
        <v>58.157111328762099</v>
      </c>
      <c r="AK5122">
        <v>5.82042519836686</v>
      </c>
      <c r="AL5122">
        <v>87.058220199448201</v>
      </c>
      <c r="AM5122">
        <v>74.630976297704194</v>
      </c>
      <c r="AN5122">
        <v>1.0000000428008</v>
      </c>
    </row>
    <row r="5123" spans="1:40" x14ac:dyDescent="0.25">
      <c r="A5123" t="str">
        <f>"20190312151418051"</f>
        <v>20190312151418051</v>
      </c>
      <c r="B5123" t="str">
        <f>"1552374858045631"</f>
        <v>1552374858045631</v>
      </c>
      <c r="C5123" t="s">
        <v>40</v>
      </c>
      <c r="D5123">
        <v>4.8873540000000002</v>
      </c>
      <c r="E5123">
        <v>0.60585809999999996</v>
      </c>
      <c r="F5123" t="s">
        <v>43</v>
      </c>
      <c r="G5123">
        <v>-310.83269999999999</v>
      </c>
      <c r="H5123">
        <v>-0.05</v>
      </c>
      <c r="I5123">
        <v>10.255839999999999</v>
      </c>
      <c r="J5123">
        <v>-314.80040000000002</v>
      </c>
      <c r="K5123">
        <v>1.065741</v>
      </c>
      <c r="L5123">
        <v>14.69937</v>
      </c>
      <c r="M5123">
        <v>0.95921769999999995</v>
      </c>
      <c r="N5123">
        <v>0</v>
      </c>
      <c r="O5123">
        <v>-0.28195700000000001</v>
      </c>
      <c r="P5123">
        <v>0.85033619999999899</v>
      </c>
      <c r="Q5123">
        <v>3.942416E-2</v>
      </c>
      <c r="R5123">
        <v>-0.52476099999999903</v>
      </c>
      <c r="S5123">
        <v>2.1335139999999999</v>
      </c>
      <c r="T5123">
        <v>-0.57429189999999997</v>
      </c>
      <c r="U5123">
        <v>-2.3146059999999999</v>
      </c>
      <c r="V5123">
        <v>0.26526349999999999</v>
      </c>
      <c r="W5123">
        <v>5.0979740000000003E-2</v>
      </c>
      <c r="X5123">
        <v>0.96282730000000005</v>
      </c>
      <c r="Y5123">
        <v>0.51067969999999996</v>
      </c>
      <c r="Z5123">
        <v>3.361106E-3</v>
      </c>
      <c r="AA5123">
        <v>0.85976450000000004</v>
      </c>
      <c r="AB5123">
        <v>34</v>
      </c>
      <c r="AC5123">
        <v>3.96770000000003</v>
      </c>
      <c r="AD5123">
        <v>-1.1157410000000001</v>
      </c>
      <c r="AE5123">
        <v>-4.44353</v>
      </c>
      <c r="AF5123">
        <v>3.03766439914477</v>
      </c>
      <c r="AG5123">
        <v>-1.1157410000000001</v>
      </c>
      <c r="AH5123">
        <v>4.8883105022658198</v>
      </c>
      <c r="AI5123">
        <v>100.97152872184201</v>
      </c>
      <c r="AJ5123">
        <v>58.142604954752201</v>
      </c>
      <c r="AK5123">
        <v>5.8624109841834597</v>
      </c>
      <c r="AL5123">
        <v>87.077809459998704</v>
      </c>
      <c r="AM5123">
        <v>74.596865187208195</v>
      </c>
      <c r="AN5123">
        <v>1.0000000339740001</v>
      </c>
    </row>
    <row r="5124" spans="1:40" x14ac:dyDescent="0.25">
      <c r="A5124" t="str">
        <f>"20190312151418064"</f>
        <v>20190312151418064</v>
      </c>
      <c r="B5124" t="str">
        <f>"1552374858055391"</f>
        <v>1552374858055391</v>
      </c>
      <c r="C5124" t="s">
        <v>40</v>
      </c>
      <c r="D5124">
        <v>4.9713000000000003</v>
      </c>
      <c r="E5124">
        <v>0.60610819999999999</v>
      </c>
      <c r="F5124" t="s">
        <v>43</v>
      </c>
      <c r="G5124">
        <v>-310.68220000000002</v>
      </c>
      <c r="H5124">
        <v>-0.05</v>
      </c>
      <c r="I5124">
        <v>10.169040000000001</v>
      </c>
      <c r="J5124">
        <v>-314.6155</v>
      </c>
      <c r="K5124">
        <v>1.0645209999999901</v>
      </c>
      <c r="L5124">
        <v>14.63907</v>
      </c>
      <c r="M5124">
        <v>0.95729819999999999</v>
      </c>
      <c r="N5124">
        <v>0</v>
      </c>
      <c r="O5124">
        <v>-0.28842630000000002</v>
      </c>
      <c r="P5124">
        <v>0.84620409999999902</v>
      </c>
      <c r="Q5124">
        <v>3.9657999999999999E-2</v>
      </c>
      <c r="R5124">
        <v>-0.5313812</v>
      </c>
      <c r="S5124">
        <v>2.1172490000000002</v>
      </c>
      <c r="T5124">
        <v>-0.57362139999999995</v>
      </c>
      <c r="U5124">
        <v>-2.329132</v>
      </c>
      <c r="V5124">
        <v>0.26627040000000002</v>
      </c>
      <c r="W5124">
        <v>5.0957839999999997E-2</v>
      </c>
      <c r="X5124">
        <v>0.96255049999999998</v>
      </c>
      <c r="Y5124">
        <v>0.51093639999999996</v>
      </c>
      <c r="Z5124">
        <v>4.5949220000000004E-3</v>
      </c>
      <c r="AA5124">
        <v>0.85960630000000005</v>
      </c>
      <c r="AB5124">
        <v>34</v>
      </c>
      <c r="AC5124">
        <v>3.9332999999999698</v>
      </c>
      <c r="AD5124">
        <v>-1.1145210000000001</v>
      </c>
      <c r="AE5124">
        <v>-4.4700300000000004</v>
      </c>
      <c r="AF5124">
        <v>3.0388251333318701</v>
      </c>
      <c r="AG5124">
        <v>-1.1145210000000001</v>
      </c>
      <c r="AH5124">
        <v>4.8844619377876999</v>
      </c>
      <c r="AI5124">
        <v>100.964759092485</v>
      </c>
      <c r="AJ5124">
        <v>58.112553859235199</v>
      </c>
      <c r="AK5124">
        <v>5.8595719700424498</v>
      </c>
      <c r="AL5124">
        <v>87.079065906328495</v>
      </c>
      <c r="AM5124">
        <v>74.536956023368901</v>
      </c>
      <c r="AN5124">
        <v>1.0000000462119301</v>
      </c>
    </row>
    <row r="5125" spans="1:40" x14ac:dyDescent="0.25">
      <c r="A5125" t="str">
        <f>"20190312151418082"</f>
        <v>20190312151418082</v>
      </c>
      <c r="B5125" t="str">
        <f>"1552374858075890"</f>
        <v>1552374858075890</v>
      </c>
      <c r="C5125" t="s">
        <v>40</v>
      </c>
      <c r="D5125">
        <v>4.8853770000000001</v>
      </c>
      <c r="E5125">
        <v>0.6059213</v>
      </c>
      <c r="F5125" t="s">
        <v>43</v>
      </c>
      <c r="G5125">
        <v>-310.55149999999998</v>
      </c>
      <c r="H5125">
        <v>-0.05</v>
      </c>
      <c r="I5125">
        <v>10.093489999999999</v>
      </c>
      <c r="J5125">
        <v>-314.35559999999998</v>
      </c>
      <c r="K5125">
        <v>1.0628690000000001</v>
      </c>
      <c r="L5125">
        <v>14.55151</v>
      </c>
      <c r="M5125">
        <v>0.95444569999999995</v>
      </c>
      <c r="N5125">
        <v>0</v>
      </c>
      <c r="O5125">
        <v>-0.29775740000000001</v>
      </c>
      <c r="P5125">
        <v>0.83997129999999998</v>
      </c>
      <c r="Q5125">
        <v>4.0231099999999999E-2</v>
      </c>
      <c r="R5125">
        <v>-0.54113750000000005</v>
      </c>
      <c r="S5125">
        <v>2.0983890000000001</v>
      </c>
      <c r="T5125">
        <v>-0.57546730000000001</v>
      </c>
      <c r="U5125">
        <v>-2.3470460000000002</v>
      </c>
      <c r="V5125">
        <v>0.26801940000000002</v>
      </c>
      <c r="W5125">
        <v>5.1116889999999998E-2</v>
      </c>
      <c r="X5125">
        <v>0.96205649999999998</v>
      </c>
      <c r="Y5125">
        <v>0.50979039999999998</v>
      </c>
      <c r="Z5125">
        <v>6.5667440000000002E-3</v>
      </c>
      <c r="AA5125">
        <v>0.86027369999999903</v>
      </c>
      <c r="AB5125">
        <v>34</v>
      </c>
      <c r="AC5125">
        <v>3.8041</v>
      </c>
      <c r="AD5125">
        <v>-1.1128690000000001</v>
      </c>
      <c r="AE5125">
        <v>-4.4580200000000003</v>
      </c>
      <c r="AF5125">
        <v>3.0141340107226</v>
      </c>
      <c r="AG5125">
        <v>-1.1128690000000001</v>
      </c>
      <c r="AH5125">
        <v>4.7865410088880997</v>
      </c>
      <c r="AI5125">
        <v>101.13031208768</v>
      </c>
      <c r="AJ5125">
        <v>57.800957679026098</v>
      </c>
      <c r="AK5125">
        <v>5.7649333105876703</v>
      </c>
      <c r="AL5125">
        <v>87.069941050682004</v>
      </c>
      <c r="AM5125">
        <v>74.432690339778304</v>
      </c>
      <c r="AN5125">
        <v>1.00000002220594</v>
      </c>
    </row>
    <row r="5126" spans="1:40" x14ac:dyDescent="0.25">
      <c r="A5126" t="str">
        <f>"20190312151418106"</f>
        <v>20190312151418106</v>
      </c>
      <c r="B5126" t="str">
        <f>"1552374858095406"</f>
        <v>1552374858095406</v>
      </c>
      <c r="C5126" t="s">
        <v>40</v>
      </c>
      <c r="D5126">
        <v>4.9194529999999999</v>
      </c>
      <c r="E5126">
        <v>0.60564770000000001</v>
      </c>
      <c r="F5126" t="s">
        <v>43</v>
      </c>
      <c r="G5126">
        <v>-310.30329999999998</v>
      </c>
      <c r="H5126">
        <v>-0.05</v>
      </c>
      <c r="I5126">
        <v>9.9187930000000009</v>
      </c>
      <c r="J5126">
        <v>-314.02409999999998</v>
      </c>
      <c r="K5126">
        <v>1.0608359999999999</v>
      </c>
      <c r="L5126">
        <v>14.43604</v>
      </c>
      <c r="M5126">
        <v>0.95060020000000001</v>
      </c>
      <c r="N5126">
        <v>0</v>
      </c>
      <c r="O5126">
        <v>-0.30984850000000003</v>
      </c>
      <c r="P5126">
        <v>0.83171030000000001</v>
      </c>
      <c r="Q5126">
        <v>4.060308E-2</v>
      </c>
      <c r="R5126">
        <v>-0.55372319999999997</v>
      </c>
      <c r="S5126">
        <v>2.0724490000000002</v>
      </c>
      <c r="T5126">
        <v>-0.56914330000000002</v>
      </c>
      <c r="U5126">
        <v>-2.3692630000000001</v>
      </c>
      <c r="V5126">
        <v>0.2702949</v>
      </c>
      <c r="W5126">
        <v>5.0899739999999999E-2</v>
      </c>
      <c r="X5126">
        <v>0.96143109999999998</v>
      </c>
      <c r="Y5126">
        <v>0.50847940000000003</v>
      </c>
      <c r="Z5126">
        <v>8.9941510000000006E-3</v>
      </c>
      <c r="AA5126">
        <v>0.86102719999999899</v>
      </c>
      <c r="AB5126">
        <v>34</v>
      </c>
      <c r="AC5126">
        <v>3.7207999999999899</v>
      </c>
      <c r="AD5126">
        <v>-1.1108359999999999</v>
      </c>
      <c r="AE5126">
        <v>-4.5172470000000002</v>
      </c>
      <c r="AF5126">
        <v>3.0325109376092998</v>
      </c>
      <c r="AG5126">
        <v>-1.1108359999999999</v>
      </c>
      <c r="AH5126">
        <v>4.7658239823329396</v>
      </c>
      <c r="AI5126">
        <v>101.12520645161101</v>
      </c>
      <c r="AJ5126">
        <v>57.531256290789798</v>
      </c>
      <c r="AK5126">
        <v>5.7570094177616102</v>
      </c>
      <c r="AL5126">
        <v>87.082398801317794</v>
      </c>
      <c r="AM5126">
        <v>74.297304469552202</v>
      </c>
      <c r="AN5126">
        <v>0.999999938272641</v>
      </c>
    </row>
    <row r="5127" spans="1:40" x14ac:dyDescent="0.25">
      <c r="A5127" t="str">
        <f>"20190312151418128"</f>
        <v>20190312151418128</v>
      </c>
      <c r="B5127" t="str">
        <f>"1552374858115903"</f>
        <v>1552374858115903</v>
      </c>
      <c r="C5127" t="s">
        <v>40</v>
      </c>
      <c r="D5127">
        <v>4.9492200000000004</v>
      </c>
      <c r="E5127">
        <v>0.60558020000000001</v>
      </c>
      <c r="F5127" t="s">
        <v>43</v>
      </c>
      <c r="G5127">
        <v>-310.02390000000003</v>
      </c>
      <c r="H5127">
        <v>-0.05</v>
      </c>
      <c r="I5127">
        <v>9.7299959999999999</v>
      </c>
      <c r="J5127">
        <v>-313.7045</v>
      </c>
      <c r="K5127">
        <v>1.0589980000000001</v>
      </c>
      <c r="L5127">
        <v>14.31982</v>
      </c>
      <c r="M5127">
        <v>0.94667469999999998</v>
      </c>
      <c r="N5127">
        <v>0</v>
      </c>
      <c r="O5127">
        <v>-0.32167319999999999</v>
      </c>
      <c r="P5127">
        <v>0.82364820000000005</v>
      </c>
      <c r="Q5127">
        <v>4.1326929999999998E-2</v>
      </c>
      <c r="R5127">
        <v>-0.56559329999999997</v>
      </c>
      <c r="S5127">
        <v>2.0382389999999999</v>
      </c>
      <c r="T5127">
        <v>-0.56600309999999998</v>
      </c>
      <c r="U5127">
        <v>-2.3978579999999998</v>
      </c>
      <c r="V5127">
        <v>0.27212629999999999</v>
      </c>
      <c r="W5127">
        <v>5.1012599999999998E-2</v>
      </c>
      <c r="X5127">
        <v>0.9609084</v>
      </c>
      <c r="Y5127">
        <v>0.51012279999999999</v>
      </c>
      <c r="Z5127">
        <v>1.107469E-2</v>
      </c>
      <c r="AA5127">
        <v>0.86003019999999997</v>
      </c>
      <c r="AB5127">
        <v>34</v>
      </c>
      <c r="AC5127">
        <v>3.6805999999999601</v>
      </c>
      <c r="AD5127">
        <v>-1.1089979999999999</v>
      </c>
      <c r="AE5127">
        <v>-4.5898240000000001</v>
      </c>
      <c r="AF5127">
        <v>3.0531622380020198</v>
      </c>
      <c r="AG5127">
        <v>-1.1089979999999999</v>
      </c>
      <c r="AH5127">
        <v>4.79133604714802</v>
      </c>
      <c r="AI5127">
        <v>101.045072503546</v>
      </c>
      <c r="AJ5127">
        <v>57.493667464191297</v>
      </c>
      <c r="AK5127">
        <v>5.7886593726238198</v>
      </c>
      <c r="AL5127">
        <v>87.075924112355807</v>
      </c>
      <c r="AM5127">
        <v>74.188041362927095</v>
      </c>
      <c r="AN5127">
        <v>0.99999998085050401</v>
      </c>
    </row>
    <row r="5128" spans="1:40" x14ac:dyDescent="0.25">
      <c r="A5128" t="str">
        <f>"20190312151418149"</f>
        <v>20190312151418149</v>
      </c>
      <c r="B5128" t="str">
        <f>"1552374858146159"</f>
        <v>1552374858146159</v>
      </c>
      <c r="C5128" t="s">
        <v>40</v>
      </c>
      <c r="D5128">
        <v>4.9853809999999896</v>
      </c>
      <c r="E5128">
        <v>0.60568820000000001</v>
      </c>
      <c r="F5128" t="s">
        <v>43</v>
      </c>
      <c r="G5128">
        <v>-309.75299999999999</v>
      </c>
      <c r="H5128">
        <v>-0.05</v>
      </c>
      <c r="I5128">
        <v>9.5369419999999998</v>
      </c>
      <c r="J5128">
        <v>-313.39710000000002</v>
      </c>
      <c r="K5128">
        <v>1.0573549999999901</v>
      </c>
      <c r="L5128">
        <v>14.203670000000001</v>
      </c>
      <c r="M5128">
        <v>0.94269879999999995</v>
      </c>
      <c r="N5128">
        <v>0</v>
      </c>
      <c r="O5128">
        <v>-0.33317259999999999</v>
      </c>
      <c r="P5128">
        <v>0.8156523</v>
      </c>
      <c r="Q5128">
        <v>4.2197209999999999E-2</v>
      </c>
      <c r="R5128">
        <v>-0.57700189999999996</v>
      </c>
      <c r="S5128">
        <v>2.0045169999999999</v>
      </c>
      <c r="T5128">
        <v>-0.56256130000000004</v>
      </c>
      <c r="U5128">
        <v>-2.4262079999999999</v>
      </c>
      <c r="V5128">
        <v>0.27384350000000002</v>
      </c>
      <c r="W5128">
        <v>5.1276429999999998E-2</v>
      </c>
      <c r="X5128">
        <v>0.96040639999999999</v>
      </c>
      <c r="Y5128">
        <v>0.51186589999999998</v>
      </c>
      <c r="Z5128">
        <v>1.3057920000000001E-2</v>
      </c>
      <c r="AA5128">
        <v>0.85896620000000001</v>
      </c>
      <c r="AB5128">
        <v>34</v>
      </c>
      <c r="AC5128">
        <v>3.6441000000000301</v>
      </c>
      <c r="AD5128">
        <v>-1.1073550000000001</v>
      </c>
      <c r="AE5128">
        <v>-4.666728</v>
      </c>
      <c r="AF5128">
        <v>3.0780440689818702</v>
      </c>
      <c r="AG5128">
        <v>-1.1073550000000001</v>
      </c>
      <c r="AH5128">
        <v>4.8222310667488397</v>
      </c>
      <c r="AI5128">
        <v>100.95494391986399</v>
      </c>
      <c r="AJ5128">
        <v>57.449791879426598</v>
      </c>
      <c r="AK5128">
        <v>5.8270492402018599</v>
      </c>
      <c r="AL5128">
        <v>87.060787995839902</v>
      </c>
      <c r="AM5128">
        <v>74.085403644373301</v>
      </c>
      <c r="AN5128">
        <v>0.99999999396337702</v>
      </c>
    </row>
    <row r="5129" spans="1:40" x14ac:dyDescent="0.25">
      <c r="A5129" t="str">
        <f>"20190312151418171"</f>
        <v>20190312151418171</v>
      </c>
      <c r="B5129" t="str">
        <f>"1552374858165682"</f>
        <v>1552374858165682</v>
      </c>
      <c r="C5129" t="s">
        <v>40</v>
      </c>
      <c r="D5129">
        <v>4.9147280000000002</v>
      </c>
      <c r="E5129">
        <v>0.60644409999999904</v>
      </c>
      <c r="F5129" t="s">
        <v>43</v>
      </c>
      <c r="G5129">
        <v>-309.52600000000001</v>
      </c>
      <c r="H5129">
        <v>-0.05</v>
      </c>
      <c r="I5129">
        <v>9.3807069999999992</v>
      </c>
      <c r="J5129">
        <v>-313.07560000000001</v>
      </c>
      <c r="K5129">
        <v>1.055831</v>
      </c>
      <c r="L5129">
        <v>14.07751</v>
      </c>
      <c r="M5129">
        <v>0.9383262</v>
      </c>
      <c r="N5129">
        <v>0</v>
      </c>
      <c r="O5129">
        <v>-0.3453215</v>
      </c>
      <c r="P5129">
        <v>0.80691969999999902</v>
      </c>
      <c r="Q5129">
        <v>4.2616019999999998E-2</v>
      </c>
      <c r="R5129">
        <v>-0.58912159999999902</v>
      </c>
      <c r="S5129">
        <v>1.970459</v>
      </c>
      <c r="T5129">
        <v>-0.56367250000000002</v>
      </c>
      <c r="U5129">
        <v>-2.4550169999999998</v>
      </c>
      <c r="V5129">
        <v>0.27580399999999999</v>
      </c>
      <c r="W5129">
        <v>5.1076419999999997E-2</v>
      </c>
      <c r="X5129">
        <v>0.95985589999999998</v>
      </c>
      <c r="Y5129">
        <v>0.51308569999999998</v>
      </c>
      <c r="Z5129">
        <v>1.532334E-2</v>
      </c>
      <c r="AA5129">
        <v>0.85820069999999904</v>
      </c>
      <c r="AB5129">
        <v>34</v>
      </c>
      <c r="AC5129">
        <v>3.5495999999999901</v>
      </c>
      <c r="AD5129">
        <v>-1.105831</v>
      </c>
      <c r="AE5129">
        <v>-4.6968029999999903</v>
      </c>
      <c r="AF5129">
        <v>3.0734162527691402</v>
      </c>
      <c r="AG5129">
        <v>-1.105831</v>
      </c>
      <c r="AH5129">
        <v>4.7845178007829601</v>
      </c>
      <c r="AI5129">
        <v>101.00452995355</v>
      </c>
      <c r="AJ5129">
        <v>57.2846500363407</v>
      </c>
      <c r="AK5129">
        <v>5.7931304360730103</v>
      </c>
      <c r="AL5129">
        <v>87.072262772621897</v>
      </c>
      <c r="AM5129">
        <v>73.968579317275996</v>
      </c>
      <c r="AN5129">
        <v>0.99999999793041305</v>
      </c>
    </row>
    <row r="5130" spans="1:40" x14ac:dyDescent="0.25">
      <c r="A5130" t="str">
        <f>"20190312151418193"</f>
        <v>20190312151418193</v>
      </c>
      <c r="B5130" t="str">
        <f>"1552374858185199"</f>
        <v>1552374858185199</v>
      </c>
      <c r="C5130" t="s">
        <v>40</v>
      </c>
      <c r="D5130">
        <v>4.9580260000000003</v>
      </c>
      <c r="E5130">
        <v>0.63083299999999998</v>
      </c>
      <c r="F5130" t="s">
        <v>43</v>
      </c>
      <c r="G5130">
        <v>-309.28030000000001</v>
      </c>
      <c r="H5130">
        <v>-0.05</v>
      </c>
      <c r="I5130">
        <v>9.1840670000000006</v>
      </c>
      <c r="J5130">
        <v>-312.7688</v>
      </c>
      <c r="K5130">
        <v>1.054548</v>
      </c>
      <c r="L5130">
        <v>13.95251</v>
      </c>
      <c r="M5130">
        <v>0.93393219999999999</v>
      </c>
      <c r="N5130">
        <v>0</v>
      </c>
      <c r="O5130">
        <v>-0.35705679999999901</v>
      </c>
      <c r="P5130">
        <v>0.79853819999999998</v>
      </c>
      <c r="Q5130">
        <v>4.316296E-2</v>
      </c>
      <c r="R5130">
        <v>-0.60039469999999995</v>
      </c>
      <c r="S5130">
        <v>1.9303889999999999</v>
      </c>
      <c r="T5130">
        <v>-0.56245059999999902</v>
      </c>
      <c r="U5130">
        <v>-2.4889220000000001</v>
      </c>
      <c r="V5130">
        <v>0.27727540000000001</v>
      </c>
      <c r="W5130">
        <v>5.1076419999999997E-2</v>
      </c>
      <c r="X5130">
        <v>0.9594319</v>
      </c>
      <c r="Y5130">
        <v>0.51674059999999999</v>
      </c>
      <c r="Z5130">
        <v>1.7194810000000001E-2</v>
      </c>
      <c r="AA5130">
        <v>0.85596939999999999</v>
      </c>
      <c r="AB5130">
        <v>34</v>
      </c>
      <c r="AC5130">
        <v>3.4884999999999802</v>
      </c>
      <c r="AD5130">
        <v>-1.1045479999999901</v>
      </c>
      <c r="AE5130">
        <v>-4.7684430000000004</v>
      </c>
      <c r="AF5130">
        <v>3.0999183490160398</v>
      </c>
      <c r="AG5130">
        <v>-1.1045479999999901</v>
      </c>
      <c r="AH5130">
        <v>4.7937817484442098</v>
      </c>
      <c r="AI5130">
        <v>100.950468334444</v>
      </c>
      <c r="AJ5130">
        <v>57.111107778107801</v>
      </c>
      <c r="AK5130">
        <v>5.8146249669765604</v>
      </c>
      <c r="AL5130">
        <v>87.072262806323096</v>
      </c>
      <c r="AM5130">
        <v>73.880729219177496</v>
      </c>
      <c r="AN5130">
        <v>1.0000000094313899</v>
      </c>
    </row>
    <row r="5131" spans="1:40" x14ac:dyDescent="0.25">
      <c r="A5131" t="str">
        <f>"20190312151418207"</f>
        <v>20190312151418207</v>
      </c>
      <c r="B5131" t="str">
        <f>"1552374858195935"</f>
        <v>1552374858195935</v>
      </c>
      <c r="C5131" t="s">
        <v>40</v>
      </c>
      <c r="D5131">
        <v>4.9609809999999896</v>
      </c>
      <c r="E5131">
        <v>0.63092869999999901</v>
      </c>
      <c r="F5131" t="s">
        <v>43</v>
      </c>
      <c r="G5131">
        <v>-308.60550000000001</v>
      </c>
      <c r="H5131">
        <v>-0.05</v>
      </c>
      <c r="I5131">
        <v>7.704453</v>
      </c>
      <c r="J5131">
        <v>-312.56830000000002</v>
      </c>
      <c r="K5131">
        <v>1.0537829999999999</v>
      </c>
      <c r="L5131">
        <v>13.868679999999999</v>
      </c>
      <c r="M5131">
        <v>0.93094100000000002</v>
      </c>
      <c r="N5131">
        <v>0</v>
      </c>
      <c r="O5131">
        <v>-0.3647976</v>
      </c>
      <c r="P5131">
        <v>0.79299659999999905</v>
      </c>
      <c r="Q5131">
        <v>4.348051E-2</v>
      </c>
      <c r="R5131">
        <v>-0.6076724</v>
      </c>
      <c r="S5131">
        <v>1.7771300000000001</v>
      </c>
      <c r="T5131">
        <v>-0.47147670000000003</v>
      </c>
      <c r="U5131">
        <v>-2.666992</v>
      </c>
      <c r="V5131">
        <v>0.2780995</v>
      </c>
      <c r="W5131">
        <v>5.1057369999999998E-2</v>
      </c>
      <c r="X5131">
        <v>0.9591944</v>
      </c>
      <c r="Y5131">
        <v>0.57037519999999997</v>
      </c>
      <c r="Z5131">
        <v>1.072361E-2</v>
      </c>
      <c r="AA5131">
        <v>0.82131430000000005</v>
      </c>
      <c r="AB5131">
        <v>34</v>
      </c>
      <c r="AC5131">
        <v>3.9628000000000099</v>
      </c>
      <c r="AD5131">
        <v>-1.103783</v>
      </c>
      <c r="AE5131">
        <v>-6.1642270000000003</v>
      </c>
      <c r="AF5131">
        <v>4.1982481870903401</v>
      </c>
      <c r="AG5131">
        <v>-1.103783</v>
      </c>
      <c r="AH5131">
        <v>5.8068924204835</v>
      </c>
      <c r="AI5131">
        <v>98.757009656050599</v>
      </c>
      <c r="AJ5131">
        <v>54.133945749137702</v>
      </c>
      <c r="AK5131">
        <v>7.2500775399001798</v>
      </c>
      <c r="AL5131">
        <v>87.073355812190897</v>
      </c>
      <c r="AM5131">
        <v>73.831525878577196</v>
      </c>
      <c r="AN5131">
        <v>1.0000000419614601</v>
      </c>
    </row>
    <row r="5132" spans="1:40" x14ac:dyDescent="0.25">
      <c r="A5132" t="str">
        <f>"20190312151418228"</f>
        <v>20190312151418228</v>
      </c>
      <c r="B5132" t="str">
        <f>"1552374858215456"</f>
        <v>1552374858215456</v>
      </c>
      <c r="C5132" t="s">
        <v>40</v>
      </c>
      <c r="D5132">
        <v>4.9523830000000002</v>
      </c>
      <c r="E5132">
        <v>0.63087099999999996</v>
      </c>
      <c r="F5132" t="s">
        <v>43</v>
      </c>
      <c r="G5132">
        <v>-308.45280000000002</v>
      </c>
      <c r="H5132">
        <v>-0.05</v>
      </c>
      <c r="I5132">
        <v>7.5653229999999896</v>
      </c>
      <c r="J5132">
        <v>-312.2792</v>
      </c>
      <c r="K5132">
        <v>1.052799</v>
      </c>
      <c r="L5132">
        <v>13.743869999999999</v>
      </c>
      <c r="M5132">
        <v>0.92643989999999998</v>
      </c>
      <c r="N5132">
        <v>0</v>
      </c>
      <c r="O5132">
        <v>-0.37609920000000002</v>
      </c>
      <c r="P5132">
        <v>0.78393100000000004</v>
      </c>
      <c r="Q5132">
        <v>4.3876600000000002E-2</v>
      </c>
      <c r="R5132">
        <v>-0.61929599999999996</v>
      </c>
      <c r="S5132">
        <v>1.7522580000000001</v>
      </c>
      <c r="T5132">
        <v>-0.4699624</v>
      </c>
      <c r="U5132">
        <v>-2.6838069999999998</v>
      </c>
      <c r="V5132">
        <v>0.28058559999999999</v>
      </c>
      <c r="W5132">
        <v>5.0954029999999997E-2</v>
      </c>
      <c r="X5132">
        <v>0.95847550000000004</v>
      </c>
      <c r="Y5132">
        <v>0.56821449999999996</v>
      </c>
      <c r="Z5132">
        <v>1.273638E-2</v>
      </c>
      <c r="AA5132">
        <v>0.82278189999999995</v>
      </c>
      <c r="AB5132">
        <v>34</v>
      </c>
      <c r="AC5132">
        <v>3.8263999999999698</v>
      </c>
      <c r="AD5132">
        <v>-1.1027990000000001</v>
      </c>
      <c r="AE5132">
        <v>-6.178547</v>
      </c>
      <c r="AF5132">
        <v>4.1890412282177296</v>
      </c>
      <c r="AG5132">
        <v>-1.1027990000000001</v>
      </c>
      <c r="AH5132">
        <v>5.7373240738575699</v>
      </c>
      <c r="AI5132">
        <v>98.824116650651305</v>
      </c>
      <c r="AJ5132">
        <v>53.8653792041817</v>
      </c>
      <c r="AK5132">
        <v>7.1889581703174796</v>
      </c>
      <c r="AL5132">
        <v>87.079284171159401</v>
      </c>
      <c r="AM5132">
        <v>73.683053983346099</v>
      </c>
      <c r="AN5132">
        <v>0.99999993810042298</v>
      </c>
    </row>
    <row r="5133" spans="1:40" x14ac:dyDescent="0.25">
      <c r="A5133" t="str">
        <f>"20190312151418242"</f>
        <v>20190312151418242</v>
      </c>
      <c r="B5133" t="str">
        <f>"1552374858235951"</f>
        <v>1552374858235951</v>
      </c>
      <c r="C5133" t="s">
        <v>40</v>
      </c>
      <c r="D5133">
        <v>4.9659959999999996</v>
      </c>
      <c r="E5133">
        <v>0.63020350000000003</v>
      </c>
      <c r="F5133" t="s">
        <v>43</v>
      </c>
      <c r="G5133">
        <v>-308.17540000000002</v>
      </c>
      <c r="H5133">
        <v>-0.05</v>
      </c>
      <c r="I5133">
        <v>7.2530520000000003</v>
      </c>
      <c r="J5133">
        <v>-312.06369999999998</v>
      </c>
      <c r="K5133">
        <v>1.052135</v>
      </c>
      <c r="L5133">
        <v>13.648009999999999</v>
      </c>
      <c r="M5133">
        <v>0.92293780000000003</v>
      </c>
      <c r="N5133">
        <v>0</v>
      </c>
      <c r="O5133">
        <v>-0.38462390000000002</v>
      </c>
      <c r="P5133">
        <v>0.77709139999999999</v>
      </c>
      <c r="Q5133">
        <v>4.3987070000000003E-2</v>
      </c>
      <c r="R5133">
        <v>-0.62784859999999998</v>
      </c>
      <c r="S5133">
        <v>1.712677</v>
      </c>
      <c r="T5133">
        <v>-0.46023540000000002</v>
      </c>
      <c r="U5133">
        <v>-2.7088320000000001</v>
      </c>
      <c r="V5133">
        <v>0.28225840000000002</v>
      </c>
      <c r="W5133">
        <v>5.0716869999999997E-2</v>
      </c>
      <c r="X5133">
        <v>0.95799679999999998</v>
      </c>
      <c r="Y5133">
        <v>0.57275140000000002</v>
      </c>
      <c r="Z5133">
        <v>1.345034E-2</v>
      </c>
      <c r="AA5133">
        <v>0.81961879999999998</v>
      </c>
      <c r="AB5133">
        <v>34</v>
      </c>
      <c r="AC5133">
        <v>3.8882999999999499</v>
      </c>
      <c r="AD5133">
        <v>-1.1021350000000001</v>
      </c>
      <c r="AE5133">
        <v>-6.3949579999999999</v>
      </c>
      <c r="AF5133">
        <v>4.3136236453235197</v>
      </c>
      <c r="AG5133">
        <v>-1.1021350000000001</v>
      </c>
      <c r="AH5133">
        <v>5.9206766891895199</v>
      </c>
      <c r="AI5133">
        <v>98.556176507181803</v>
      </c>
      <c r="AJ5133">
        <v>53.924065745890303</v>
      </c>
      <c r="AK5133">
        <v>7.4078649400236296</v>
      </c>
      <c r="AL5133">
        <v>87.092890027820104</v>
      </c>
      <c r="AM5133">
        <v>73.583235715798395</v>
      </c>
      <c r="AN5133">
        <v>0.99999993704169599</v>
      </c>
    </row>
    <row r="5134" spans="1:40" x14ac:dyDescent="0.25">
      <c r="A5134" t="str">
        <f>"20190312151418261"</f>
        <v>20190312151418261</v>
      </c>
      <c r="B5134" t="str">
        <f>"1552374858255479"</f>
        <v>1552374858255479</v>
      </c>
      <c r="C5134" t="s">
        <v>40</v>
      </c>
      <c r="D5134">
        <v>4.9832859999999997</v>
      </c>
      <c r="E5134">
        <v>0.63022359999999999</v>
      </c>
      <c r="F5134" t="s">
        <v>43</v>
      </c>
      <c r="G5134">
        <v>-307.95530000000002</v>
      </c>
      <c r="H5134">
        <v>-0.05</v>
      </c>
      <c r="I5134">
        <v>7.0105740000000001</v>
      </c>
      <c r="J5134">
        <v>-311.81240000000003</v>
      </c>
      <c r="K5134">
        <v>1.0514269999999999</v>
      </c>
      <c r="L5134">
        <v>13.533049999999999</v>
      </c>
      <c r="M5134">
        <v>0.91869279999999998</v>
      </c>
      <c r="N5134">
        <v>0</v>
      </c>
      <c r="O5134">
        <v>-0.3946674</v>
      </c>
      <c r="P5134">
        <v>0.76952369999999903</v>
      </c>
      <c r="Q5134">
        <v>4.3862699999999998E-2</v>
      </c>
      <c r="R5134">
        <v>-0.63711070000000003</v>
      </c>
      <c r="S5134">
        <v>1.6857599999999999</v>
      </c>
      <c r="T5134">
        <v>-0.45222410000000002</v>
      </c>
      <c r="U5134">
        <v>-2.7234500000000001</v>
      </c>
      <c r="V5134">
        <v>0.28327859999999899</v>
      </c>
      <c r="W5134">
        <v>5.023826E-2</v>
      </c>
      <c r="X5134">
        <v>0.95772089999999999</v>
      </c>
      <c r="Y5134">
        <v>0.57178819999999997</v>
      </c>
      <c r="Z5134">
        <v>1.490731E-2</v>
      </c>
      <c r="AA5134">
        <v>0.82026580000000004</v>
      </c>
      <c r="AB5134">
        <v>34</v>
      </c>
      <c r="AC5134">
        <v>3.8571</v>
      </c>
      <c r="AD5134">
        <v>-1.1014269999999999</v>
      </c>
      <c r="AE5134">
        <v>-6.5224759999999904</v>
      </c>
      <c r="AF5134">
        <v>4.3779244691358601</v>
      </c>
      <c r="AG5134">
        <v>-1.1014269999999999</v>
      </c>
      <c r="AH5134">
        <v>5.9918436113458799</v>
      </c>
      <c r="AI5134">
        <v>98.442440017216697</v>
      </c>
      <c r="AJ5134">
        <v>53.846368237348003</v>
      </c>
      <c r="AK5134">
        <v>7.5021033021822596</v>
      </c>
      <c r="AL5134">
        <v>87.120347504222394</v>
      </c>
      <c r="AM5134">
        <v>73.522621403118393</v>
      </c>
      <c r="AN5134">
        <v>0.99999998514129795</v>
      </c>
    </row>
    <row r="5135" spans="1:40" x14ac:dyDescent="0.25">
      <c r="A5135" t="str">
        <f>"20190312151418282"</f>
        <v>20190312151418282</v>
      </c>
      <c r="B5135" t="str">
        <f>"1552374858275972"</f>
        <v>1552374858275972</v>
      </c>
      <c r="C5135" t="s">
        <v>40</v>
      </c>
      <c r="D5135">
        <v>5.0102479999999998</v>
      </c>
      <c r="E5135">
        <v>0.62997709999999996</v>
      </c>
      <c r="F5135" t="s">
        <v>43</v>
      </c>
      <c r="G5135">
        <v>-307.7475</v>
      </c>
      <c r="H5135">
        <v>-0.05</v>
      </c>
      <c r="I5135">
        <v>6.7837829999999997</v>
      </c>
      <c r="J5135">
        <v>-311.51159999999999</v>
      </c>
      <c r="K5135">
        <v>1.050659</v>
      </c>
      <c r="L5135">
        <v>13.39127</v>
      </c>
      <c r="M5135">
        <v>0.91337729999999995</v>
      </c>
      <c r="N5135">
        <v>0</v>
      </c>
      <c r="O5135">
        <v>-0.40682960000000001</v>
      </c>
      <c r="P5135">
        <v>0.76021729999999998</v>
      </c>
      <c r="Q5135">
        <v>4.3915379999999997E-2</v>
      </c>
      <c r="R5135">
        <v>-0.64818319999999996</v>
      </c>
      <c r="S5135">
        <v>1.652466</v>
      </c>
      <c r="T5135">
        <v>-0.44775320000000002</v>
      </c>
      <c r="U5135">
        <v>-2.7437130000000001</v>
      </c>
      <c r="V5135">
        <v>0.28443489999999999</v>
      </c>
      <c r="W5135">
        <v>4.9888229999999999E-2</v>
      </c>
      <c r="X5135">
        <v>0.95739640000000004</v>
      </c>
      <c r="Y5135">
        <v>0.57101800000000003</v>
      </c>
      <c r="Z5135">
        <v>1.6749920000000001E-2</v>
      </c>
      <c r="AA5135">
        <v>0.82076659999999901</v>
      </c>
      <c r="AB5135">
        <v>34</v>
      </c>
      <c r="AC5135">
        <v>3.76409999999998</v>
      </c>
      <c r="AD5135">
        <v>-1.1006590000000001</v>
      </c>
      <c r="AE5135">
        <v>-6.6074869999999999</v>
      </c>
      <c r="AF5135">
        <v>4.4118765890528602</v>
      </c>
      <c r="AG5135">
        <v>-1.1006590000000001</v>
      </c>
      <c r="AH5135">
        <v>6.00115347042777</v>
      </c>
      <c r="AI5135">
        <v>98.405846411112606</v>
      </c>
      <c r="AJ5135">
        <v>53.677736902074201</v>
      </c>
      <c r="AK5135">
        <v>7.5292727568431799</v>
      </c>
      <c r="AL5135">
        <v>87.140427846449001</v>
      </c>
      <c r="AM5135">
        <v>73.453731796103696</v>
      </c>
      <c r="AN5135">
        <v>0.99999995728174995</v>
      </c>
    </row>
    <row r="5136" spans="1:40" x14ac:dyDescent="0.25">
      <c r="A5136" t="str">
        <f>"20190312151418306"</f>
        <v>20190312151418306</v>
      </c>
      <c r="B5136" t="str">
        <f>"1552374858295488"</f>
        <v>1552374858295488</v>
      </c>
      <c r="C5136" t="s">
        <v>40</v>
      </c>
      <c r="D5136">
        <v>5.1827649999999998</v>
      </c>
      <c r="E5136">
        <v>0.62981949999999998</v>
      </c>
      <c r="F5136" t="s">
        <v>43</v>
      </c>
      <c r="G5136">
        <v>-307.55169999999998</v>
      </c>
      <c r="H5136">
        <v>-0.05</v>
      </c>
      <c r="I5136">
        <v>6.5988009999999999</v>
      </c>
      <c r="J5136">
        <v>-311.19499999999999</v>
      </c>
      <c r="K5136">
        <v>1.0499309999999999</v>
      </c>
      <c r="L5136">
        <v>13.23682</v>
      </c>
      <c r="M5136">
        <v>0.90749069999999998</v>
      </c>
      <c r="N5136">
        <v>0</v>
      </c>
      <c r="O5136">
        <v>-0.41980659999999997</v>
      </c>
      <c r="P5136">
        <v>0.75010919999999903</v>
      </c>
      <c r="Q5136">
        <v>4.3821060000000002E-2</v>
      </c>
      <c r="R5136">
        <v>-0.65986069999999997</v>
      </c>
      <c r="S5136">
        <v>1.6130370000000001</v>
      </c>
      <c r="T5136">
        <v>-0.4483433</v>
      </c>
      <c r="U5136">
        <v>-2.7668460000000001</v>
      </c>
      <c r="V5136">
        <v>0.28559600000000002</v>
      </c>
      <c r="W5136">
        <v>4.9393880000000001E-2</v>
      </c>
      <c r="X5136">
        <v>0.95707640000000005</v>
      </c>
      <c r="Y5136">
        <v>0.57113080000000005</v>
      </c>
      <c r="Z5136">
        <v>1.882638E-2</v>
      </c>
      <c r="AA5136">
        <v>0.82064319999999902</v>
      </c>
      <c r="AB5136">
        <v>34</v>
      </c>
      <c r="AC5136">
        <v>3.6433</v>
      </c>
      <c r="AD5136">
        <v>-1.099931</v>
      </c>
      <c r="AE5136">
        <v>-6.6380189999999999</v>
      </c>
      <c r="AF5136">
        <v>4.4020737009919904</v>
      </c>
      <c r="AG5136">
        <v>-1.099931</v>
      </c>
      <c r="AH5136">
        <v>5.9677021084933202</v>
      </c>
      <c r="AI5136">
        <v>98.436930506273001</v>
      </c>
      <c r="AJ5136">
        <v>53.585670132360399</v>
      </c>
      <c r="AK5136">
        <v>7.4967706066973898</v>
      </c>
      <c r="AL5136">
        <v>87.168787194481396</v>
      </c>
      <c r="AM5136">
        <v>73.384654661091801</v>
      </c>
      <c r="AN5136">
        <v>1.0000000330172001</v>
      </c>
    </row>
    <row r="5137" spans="1:40" x14ac:dyDescent="0.25">
      <c r="A5137" t="str">
        <f>"20190312151418327"</f>
        <v>20190312151418327</v>
      </c>
      <c r="B5137" t="str">
        <f>"1552374858315983"</f>
        <v>1552374858315983</v>
      </c>
      <c r="C5137" t="s">
        <v>40</v>
      </c>
      <c r="D5137">
        <v>5.21854</v>
      </c>
      <c r="E5137">
        <v>0.62953049999999999</v>
      </c>
      <c r="F5137" t="s">
        <v>43</v>
      </c>
      <c r="G5137">
        <v>-307.37639999999999</v>
      </c>
      <c r="H5137">
        <v>-0.05</v>
      </c>
      <c r="I5137">
        <v>6.4506839999999999</v>
      </c>
      <c r="J5137">
        <v>-310.89319999999998</v>
      </c>
      <c r="K5137">
        <v>1.0493129999999999</v>
      </c>
      <c r="L5137">
        <v>13.083679999999999</v>
      </c>
      <c r="M5137">
        <v>0.90157039999999999</v>
      </c>
      <c r="N5137">
        <v>0</v>
      </c>
      <c r="O5137">
        <v>-0.43238270000000001</v>
      </c>
      <c r="P5137">
        <v>0.74006149999999904</v>
      </c>
      <c r="Q5137">
        <v>4.3708030000000002E-2</v>
      </c>
      <c r="R5137">
        <v>-0.67111739999999998</v>
      </c>
      <c r="S5137">
        <v>1.570587</v>
      </c>
      <c r="T5137">
        <v>-0.45239639999999998</v>
      </c>
      <c r="U5137">
        <v>-2.7911069999999998</v>
      </c>
      <c r="V5137">
        <v>0.28675270000000003</v>
      </c>
      <c r="W5137">
        <v>4.892142E-2</v>
      </c>
      <c r="X5137">
        <v>0.95675469999999896</v>
      </c>
      <c r="Y5137">
        <v>0.57230899999999996</v>
      </c>
      <c r="Z5137">
        <v>2.092163E-2</v>
      </c>
      <c r="AA5137">
        <v>0.81977109999999997</v>
      </c>
      <c r="AB5137">
        <v>34</v>
      </c>
      <c r="AC5137">
        <v>3.5167999999999799</v>
      </c>
      <c r="AD5137">
        <v>-1.099313</v>
      </c>
      <c r="AE5137">
        <v>-6.6329960000000003</v>
      </c>
      <c r="AF5137">
        <v>4.3663734498242297</v>
      </c>
      <c r="AG5137">
        <v>-1.099313</v>
      </c>
      <c r="AH5137">
        <v>5.9125198532035599</v>
      </c>
      <c r="AI5137">
        <v>98.506419811467595</v>
      </c>
      <c r="AJ5137">
        <v>53.554273088063901</v>
      </c>
      <c r="AK5137">
        <v>7.4317963635870097</v>
      </c>
      <c r="AL5137">
        <v>87.195889792587295</v>
      </c>
      <c r="AM5137">
        <v>73.315794815259693</v>
      </c>
      <c r="AN5137">
        <v>0.99999998613209795</v>
      </c>
    </row>
    <row r="5138" spans="1:40" x14ac:dyDescent="0.25">
      <c r="A5138" t="str">
        <f>"20190312151418349"</f>
        <v>20190312151418349</v>
      </c>
      <c r="B5138" t="str">
        <f>"1552374858345264"</f>
        <v>1552374858345264</v>
      </c>
      <c r="C5138" t="s">
        <v>40</v>
      </c>
      <c r="D5138">
        <v>4.9829610000000004</v>
      </c>
      <c r="E5138">
        <v>0.62870760000000003</v>
      </c>
      <c r="F5138" t="s">
        <v>43</v>
      </c>
      <c r="G5138">
        <v>-307.19979999999998</v>
      </c>
      <c r="H5138">
        <v>-0.05</v>
      </c>
      <c r="I5138">
        <v>6.2883760000000004</v>
      </c>
      <c r="J5138">
        <v>-310.59530000000001</v>
      </c>
      <c r="K5138">
        <v>1.0487610000000001</v>
      </c>
      <c r="L5138">
        <v>12.92731</v>
      </c>
      <c r="M5138">
        <v>0.89543209999999995</v>
      </c>
      <c r="N5138">
        <v>0</v>
      </c>
      <c r="O5138">
        <v>-0.44496279999999999</v>
      </c>
      <c r="P5138">
        <v>0.73054249999999998</v>
      </c>
      <c r="Q5138">
        <v>4.3146570000000002E-2</v>
      </c>
      <c r="R5138">
        <v>-0.68150319999999998</v>
      </c>
      <c r="S5138">
        <v>1.5292049999999999</v>
      </c>
      <c r="T5138">
        <v>-0.45515689999999998</v>
      </c>
      <c r="U5138">
        <v>-2.813507</v>
      </c>
      <c r="V5138">
        <v>0.286850299999999</v>
      </c>
      <c r="W5138">
        <v>4.8062229999999997E-2</v>
      </c>
      <c r="X5138">
        <v>0.95676899999999998</v>
      </c>
      <c r="Y5138">
        <v>0.57294899999999904</v>
      </c>
      <c r="Z5138">
        <v>2.3045860000000001E-2</v>
      </c>
      <c r="AA5138">
        <v>0.81926699999999997</v>
      </c>
      <c r="AB5138">
        <v>34</v>
      </c>
      <c r="AC5138">
        <v>3.3955000000000202</v>
      </c>
      <c r="AD5138">
        <v>-1.0987610000000001</v>
      </c>
      <c r="AE5138">
        <v>-6.6389339999999999</v>
      </c>
      <c r="AF5138">
        <v>4.3400774302525402</v>
      </c>
      <c r="AG5138">
        <v>-1.0987610000000001</v>
      </c>
      <c r="AH5138">
        <v>5.8677475336383598</v>
      </c>
      <c r="AI5138">
        <v>98.561474473168801</v>
      </c>
      <c r="AJ5138">
        <v>53.5115317000459</v>
      </c>
      <c r="AK5138">
        <v>7.3806509844476196</v>
      </c>
      <c r="AL5138">
        <v>87.245175763696395</v>
      </c>
      <c r="AM5138">
        <v>73.310667465036104</v>
      </c>
      <c r="AN5138">
        <v>0.99999999596183098</v>
      </c>
    </row>
    <row r="5139" spans="1:40" x14ac:dyDescent="0.25">
      <c r="A5139" t="str">
        <f>"20190312151418372"</f>
        <v>20190312151418372</v>
      </c>
      <c r="B5139" t="str">
        <f>"1552374858365759"</f>
        <v>1552374858365759</v>
      </c>
      <c r="C5139" t="s">
        <v>40</v>
      </c>
      <c r="D5139">
        <v>5.037433</v>
      </c>
      <c r="E5139">
        <v>0.62882830000000001</v>
      </c>
      <c r="F5139" t="s">
        <v>43</v>
      </c>
      <c r="G5139">
        <v>-307.00349999999997</v>
      </c>
      <c r="H5139">
        <v>-0.05</v>
      </c>
      <c r="I5139">
        <v>6.1160889999999997</v>
      </c>
      <c r="J5139">
        <v>-310.28809999999999</v>
      </c>
      <c r="K5139">
        <v>1.0482549999999999</v>
      </c>
      <c r="L5139">
        <v>12.76031</v>
      </c>
      <c r="M5139">
        <v>0.88878539999999995</v>
      </c>
      <c r="N5139">
        <v>0</v>
      </c>
      <c r="O5139">
        <v>-0.45810030000000002</v>
      </c>
      <c r="P5139">
        <v>0.72004480000000004</v>
      </c>
      <c r="Q5139">
        <v>4.3142180000000002E-2</v>
      </c>
      <c r="R5139">
        <v>-0.69258520000000001</v>
      </c>
      <c r="S5139">
        <v>1.492767</v>
      </c>
      <c r="T5139">
        <v>-0.45664670000000002</v>
      </c>
      <c r="U5139">
        <v>-2.8307500000000001</v>
      </c>
      <c r="V5139">
        <v>0.28739130000000002</v>
      </c>
      <c r="W5139">
        <v>4.7761690000000002E-2</v>
      </c>
      <c r="X5139">
        <v>0.95662170000000002</v>
      </c>
      <c r="Y5139">
        <v>0.57128959999999995</v>
      </c>
      <c r="Z5139">
        <v>2.543374E-2</v>
      </c>
      <c r="AA5139">
        <v>0.82035440000000004</v>
      </c>
      <c r="AB5139">
        <v>34</v>
      </c>
      <c r="AC5139">
        <v>3.28460000000001</v>
      </c>
      <c r="AD5139">
        <v>-1.098255</v>
      </c>
      <c r="AE5139">
        <v>-6.6442209999999999</v>
      </c>
      <c r="AF5139">
        <v>4.3065049308740102</v>
      </c>
      <c r="AG5139">
        <v>-1.098255</v>
      </c>
      <c r="AH5139">
        <v>5.8355070681024497</v>
      </c>
      <c r="AI5139">
        <v>98.610917788677995</v>
      </c>
      <c r="AJ5139">
        <v>53.573305513400499</v>
      </c>
      <c r="AK5139">
        <v>7.33520902950562</v>
      </c>
      <c r="AL5139">
        <v>87.262415267825602</v>
      </c>
      <c r="AM5139">
        <v>73.278515750603503</v>
      </c>
      <c r="AN5139">
        <v>1.00000000762911</v>
      </c>
    </row>
    <row r="5140" spans="1:40" x14ac:dyDescent="0.25">
      <c r="A5140" t="str">
        <f>"20190312151418395"</f>
        <v>20190312151418395</v>
      </c>
      <c r="B5140" t="str">
        <f>"1552374858385279"</f>
        <v>1552374858385279</v>
      </c>
      <c r="C5140" t="s">
        <v>40</v>
      </c>
      <c r="D5140">
        <v>4.8966580000000004</v>
      </c>
      <c r="E5140">
        <v>0.65715579999999996</v>
      </c>
      <c r="F5140" t="s">
        <v>43</v>
      </c>
      <c r="G5140">
        <v>-306.77460000000002</v>
      </c>
      <c r="H5140">
        <v>-0.05</v>
      </c>
      <c r="I5140">
        <v>5.835464</v>
      </c>
      <c r="J5140">
        <v>-309.98669999999998</v>
      </c>
      <c r="K5140">
        <v>1.0478209999999999</v>
      </c>
      <c r="L5140">
        <v>12.59064</v>
      </c>
      <c r="M5140">
        <v>0.88193880000000002</v>
      </c>
      <c r="N5140">
        <v>0</v>
      </c>
      <c r="O5140">
        <v>-0.47115190000000001</v>
      </c>
      <c r="P5140">
        <v>0.70897089999999996</v>
      </c>
      <c r="Q5140">
        <v>4.2613449999999997E-2</v>
      </c>
      <c r="R5140">
        <v>-0.7039493</v>
      </c>
      <c r="S5140">
        <v>1.448151</v>
      </c>
      <c r="T5140">
        <v>-0.45266269999999997</v>
      </c>
      <c r="U5140">
        <v>-2.854187</v>
      </c>
      <c r="V5140">
        <v>0.28848439999999997</v>
      </c>
      <c r="W5140">
        <v>4.694388E-2</v>
      </c>
      <c r="X5140">
        <v>0.95633310000000005</v>
      </c>
      <c r="Y5140">
        <v>0.57222099999999998</v>
      </c>
      <c r="Z5140">
        <v>2.7269930000000001E-2</v>
      </c>
      <c r="AA5140">
        <v>0.81964590000000004</v>
      </c>
      <c r="AB5140">
        <v>34</v>
      </c>
      <c r="AC5140">
        <v>3.21209999999996</v>
      </c>
      <c r="AD5140">
        <v>-1.0978209999999999</v>
      </c>
      <c r="AE5140">
        <v>-6.7551759999999899</v>
      </c>
      <c r="AF5140">
        <v>4.3509849720522702</v>
      </c>
      <c r="AG5140">
        <v>-1.0978209999999999</v>
      </c>
      <c r="AH5140">
        <v>5.8893295647300903</v>
      </c>
      <c r="AI5140">
        <v>98.526818598883807</v>
      </c>
      <c r="AJ5140">
        <v>53.5433366333422</v>
      </c>
      <c r="AK5140">
        <v>7.4040856219434401</v>
      </c>
      <c r="AL5140">
        <v>87.309324898104805</v>
      </c>
      <c r="AM5140">
        <v>73.213704991754</v>
      </c>
      <c r="AN5140">
        <v>0.99999998753421204</v>
      </c>
    </row>
    <row r="5141" spans="1:40" x14ac:dyDescent="0.25">
      <c r="A5141" t="str">
        <f>"20190312151418417"</f>
        <v>20190312151418417</v>
      </c>
      <c r="B5141" t="str">
        <f>"1552374858405776"</f>
        <v>1552374858405776</v>
      </c>
      <c r="C5141" t="s">
        <v>40</v>
      </c>
      <c r="D5141">
        <v>4.8971119999999999</v>
      </c>
      <c r="E5141">
        <v>0.66087089999999904</v>
      </c>
      <c r="F5141" t="s">
        <v>43</v>
      </c>
      <c r="G5141">
        <v>-306.79230000000001</v>
      </c>
      <c r="H5141">
        <v>-0.05</v>
      </c>
      <c r="I5141">
        <v>4.7879639999999997</v>
      </c>
      <c r="J5141">
        <v>-309.6866</v>
      </c>
      <c r="K5141">
        <v>1.0474250000000001</v>
      </c>
      <c r="L5141">
        <v>12.41577</v>
      </c>
      <c r="M5141">
        <v>0.87477950000000004</v>
      </c>
      <c r="N5141">
        <v>0</v>
      </c>
      <c r="O5141">
        <v>-0.4843191</v>
      </c>
      <c r="P5141">
        <v>0.6977854</v>
      </c>
      <c r="Q5141">
        <v>4.1904570000000002E-2</v>
      </c>
      <c r="R5141">
        <v>-0.71508059999999996</v>
      </c>
      <c r="S5141">
        <v>1.2428589999999999</v>
      </c>
      <c r="T5141">
        <v>-0.42713129999999999</v>
      </c>
      <c r="U5141">
        <v>-3.0357970000000001</v>
      </c>
      <c r="V5141">
        <v>0.28925200000000001</v>
      </c>
      <c r="W5141">
        <v>4.5976940000000001E-2</v>
      </c>
      <c r="X5141">
        <v>0.9561482</v>
      </c>
      <c r="Y5141">
        <v>0.62486739999999996</v>
      </c>
      <c r="Z5141">
        <v>2.2987420000000001E-2</v>
      </c>
      <c r="AA5141">
        <v>0.78039230000000004</v>
      </c>
      <c r="AB5141">
        <v>34</v>
      </c>
      <c r="AC5141">
        <v>2.8942999999999799</v>
      </c>
      <c r="AD5141">
        <v>-1.0974250000000001</v>
      </c>
      <c r="AE5141">
        <v>-7.6278059999999996</v>
      </c>
      <c r="AF5141">
        <v>5.1777143442264899</v>
      </c>
      <c r="AG5141">
        <v>-1.0974250000000001</v>
      </c>
      <c r="AH5141">
        <v>6.1161114666836403</v>
      </c>
      <c r="AI5141">
        <v>97.798017257345506</v>
      </c>
      <c r="AJ5141">
        <v>49.749761006175703</v>
      </c>
      <c r="AK5141">
        <v>8.0882561120387901</v>
      </c>
      <c r="AL5141">
        <v>87.364786378107496</v>
      </c>
      <c r="AM5141">
        <v>73.168491418427806</v>
      </c>
      <c r="AN5141">
        <v>0.99999998943950097</v>
      </c>
    </row>
    <row r="5142" spans="1:40" x14ac:dyDescent="0.25">
      <c r="A5142" t="str">
        <f>"20190312151418438"</f>
        <v>20190312151418438</v>
      </c>
      <c r="B5142" t="str">
        <f>"1552374858436032"</f>
        <v>1552374858436032</v>
      </c>
      <c r="C5142" t="s">
        <v>40</v>
      </c>
      <c r="D5142">
        <v>4.9169029999999996</v>
      </c>
      <c r="E5142">
        <v>0.66145220000000005</v>
      </c>
      <c r="F5142" t="s">
        <v>43</v>
      </c>
      <c r="G5142">
        <v>-306.64550000000003</v>
      </c>
      <c r="H5142">
        <v>-0.05</v>
      </c>
      <c r="I5142">
        <v>4.4398039999999996</v>
      </c>
      <c r="J5142">
        <v>-309.39929999999998</v>
      </c>
      <c r="K5142">
        <v>1.047085</v>
      </c>
      <c r="L5142">
        <v>12.24268</v>
      </c>
      <c r="M5142">
        <v>0.86759370000000002</v>
      </c>
      <c r="N5142">
        <v>0</v>
      </c>
      <c r="O5142">
        <v>-0.4970794</v>
      </c>
      <c r="P5142">
        <v>0.68743120000000002</v>
      </c>
      <c r="Q5142">
        <v>4.1977800000000003E-2</v>
      </c>
      <c r="R5142">
        <v>-0.72503490000000004</v>
      </c>
      <c r="S5142">
        <v>1.1727289999999999</v>
      </c>
      <c r="T5142">
        <v>-0.42320079999999999</v>
      </c>
      <c r="U5142">
        <v>-3.0757750000000001</v>
      </c>
      <c r="V5142">
        <v>0.28900730000000002</v>
      </c>
      <c r="W5142">
        <v>4.585405E-2</v>
      </c>
      <c r="X5142">
        <v>0.95622810000000003</v>
      </c>
      <c r="Y5142">
        <v>0.6324341</v>
      </c>
      <c r="Z5142">
        <v>2.4046250000000002E-2</v>
      </c>
      <c r="AA5142">
        <v>0.77424090000000001</v>
      </c>
      <c r="AB5142">
        <v>34</v>
      </c>
      <c r="AC5142">
        <v>2.7537999999999498</v>
      </c>
      <c r="AD5142">
        <v>-1.0970850000000001</v>
      </c>
      <c r="AE5142">
        <v>-7.8028759999999897</v>
      </c>
      <c r="AF5142">
        <v>5.3080806331082497</v>
      </c>
      <c r="AG5142">
        <v>-1.0970850000000001</v>
      </c>
      <c r="AH5142">
        <v>6.16014570966568</v>
      </c>
      <c r="AI5142">
        <v>97.683723945555002</v>
      </c>
      <c r="AJ5142">
        <v>49.249148601636698</v>
      </c>
      <c r="AK5142">
        <v>8.2052855324550702</v>
      </c>
      <c r="AL5142">
        <v>87.371834908425598</v>
      </c>
      <c r="AM5142">
        <v>73.183252177037502</v>
      </c>
      <c r="AN5142">
        <v>0.99999999629215097</v>
      </c>
    </row>
    <row r="5143" spans="1:40" x14ac:dyDescent="0.25">
      <c r="A5143" t="str">
        <f>"20190312151418462"</f>
        <v>20190312151418462</v>
      </c>
      <c r="B5143" t="str">
        <f>"1552374858455551"</f>
        <v>1552374858455551</v>
      </c>
      <c r="C5143" t="s">
        <v>40</v>
      </c>
      <c r="D5143">
        <v>4.9492279999999997</v>
      </c>
      <c r="E5143">
        <v>0.66125690000000004</v>
      </c>
      <c r="F5143" t="s">
        <v>43</v>
      </c>
      <c r="G5143">
        <v>-306.49549999999999</v>
      </c>
      <c r="H5143">
        <v>-0.05</v>
      </c>
      <c r="I5143">
        <v>4.2445830000000004</v>
      </c>
      <c r="J5143">
        <v>-309.09859999999998</v>
      </c>
      <c r="K5143">
        <v>1.046751</v>
      </c>
      <c r="L5143">
        <v>12.05524</v>
      </c>
      <c r="M5143">
        <v>0.85970469999999899</v>
      </c>
      <c r="N5143">
        <v>0</v>
      </c>
      <c r="O5143">
        <v>-0.51060530000000004</v>
      </c>
      <c r="P5143">
        <v>0.6763844</v>
      </c>
      <c r="Q5143">
        <v>4.2489449999999998E-2</v>
      </c>
      <c r="R5143">
        <v>-0.73532249999999999</v>
      </c>
      <c r="S5143">
        <v>1.1241760000000001</v>
      </c>
      <c r="T5143">
        <v>-0.42473290000000002</v>
      </c>
      <c r="U5143">
        <v>-3.0964360000000002</v>
      </c>
      <c r="V5143">
        <v>0.2885046</v>
      </c>
      <c r="W5143">
        <v>4.6184629999999997E-2</v>
      </c>
      <c r="X5143">
        <v>0.95636399999999999</v>
      </c>
      <c r="Y5143">
        <v>0.63276519999999903</v>
      </c>
      <c r="Z5143">
        <v>2.6182560000000001E-2</v>
      </c>
      <c r="AA5143">
        <v>0.7739009</v>
      </c>
      <c r="AB5143">
        <v>34</v>
      </c>
      <c r="AC5143">
        <v>2.60309999999998</v>
      </c>
      <c r="AD5143">
        <v>-1.096751</v>
      </c>
      <c r="AE5143">
        <v>-7.8106569999999902</v>
      </c>
      <c r="AF5143">
        <v>5.2922970575325996</v>
      </c>
      <c r="AG5143">
        <v>-1.096751</v>
      </c>
      <c r="AH5143">
        <v>6.1180809201499198</v>
      </c>
      <c r="AI5143">
        <v>97.720959285319793</v>
      </c>
      <c r="AJ5143">
        <v>49.139353222369898</v>
      </c>
      <c r="AK5143">
        <v>8.1634664846909004</v>
      </c>
      <c r="AL5143">
        <v>87.352874023926702</v>
      </c>
      <c r="AM5143">
        <v>73.213107604818404</v>
      </c>
      <c r="AN5143">
        <v>1.00000001238269</v>
      </c>
    </row>
    <row r="5144" spans="1:40" x14ac:dyDescent="0.25">
      <c r="A5144" t="str">
        <f>"20190312151418483"</f>
        <v>20190312151418483</v>
      </c>
      <c r="B5144" t="str">
        <f>"1552374858476047"</f>
        <v>1552374858476047</v>
      </c>
      <c r="C5144" t="s">
        <v>40</v>
      </c>
      <c r="D5144">
        <v>4.937811</v>
      </c>
      <c r="E5144">
        <v>0.66096449999999995</v>
      </c>
      <c r="F5144" t="s">
        <v>43</v>
      </c>
      <c r="G5144">
        <v>-306.34140000000002</v>
      </c>
      <c r="H5144">
        <v>-0.05</v>
      </c>
      <c r="I5144">
        <v>4.097397</v>
      </c>
      <c r="J5144">
        <v>-308.81009999999998</v>
      </c>
      <c r="K5144">
        <v>1.046451</v>
      </c>
      <c r="L5144">
        <v>11.869109999999999</v>
      </c>
      <c r="M5144">
        <v>0.85176350000000001</v>
      </c>
      <c r="N5144">
        <v>0</v>
      </c>
      <c r="O5144">
        <v>-0.52374699999999996</v>
      </c>
      <c r="P5144">
        <v>0.66598369999999996</v>
      </c>
      <c r="Q5144">
        <v>4.2484639999999997E-2</v>
      </c>
      <c r="R5144">
        <v>-0.74475550000000001</v>
      </c>
      <c r="S5144">
        <v>1.0784609999999999</v>
      </c>
      <c r="T5144">
        <v>-0.42898399999999998</v>
      </c>
      <c r="U5144">
        <v>-3.1126399999999999</v>
      </c>
      <c r="V5144">
        <v>0.28727340000000001</v>
      </c>
      <c r="W5144">
        <v>4.6046959999999998E-2</v>
      </c>
      <c r="X5144">
        <v>0.95674119999999996</v>
      </c>
      <c r="Y5144">
        <v>0.63232369999999904</v>
      </c>
      <c r="Z5144">
        <v>2.8545060000000001E-2</v>
      </c>
      <c r="AA5144">
        <v>0.77417809999999998</v>
      </c>
      <c r="AB5144">
        <v>34</v>
      </c>
      <c r="AC5144">
        <v>2.4686999999999499</v>
      </c>
      <c r="AD5144">
        <v>-1.0964510000000001</v>
      </c>
      <c r="AE5144">
        <v>-7.7717130000000001</v>
      </c>
      <c r="AF5144">
        <v>5.2325835028331404</v>
      </c>
      <c r="AG5144">
        <v>-1.0964510000000001</v>
      </c>
      <c r="AH5144">
        <v>6.0641019954071904</v>
      </c>
      <c r="AI5144">
        <v>97.794915888998801</v>
      </c>
      <c r="AJ5144">
        <v>49.209795514919499</v>
      </c>
      <c r="AK5144">
        <v>8.0842728751708997</v>
      </c>
      <c r="AL5144">
        <v>87.360770371502795</v>
      </c>
      <c r="AM5144">
        <v>73.286964211714206</v>
      </c>
      <c r="AN5144">
        <v>1.0000000263251201</v>
      </c>
    </row>
    <row r="5145" spans="1:40" x14ac:dyDescent="0.25">
      <c r="A5145" t="str">
        <f>"20190312151418507"</f>
        <v>20190312151418507</v>
      </c>
      <c r="B5145" t="str">
        <f>"1552374858495567"</f>
        <v>1552374858495567</v>
      </c>
      <c r="C5145" t="s">
        <v>40</v>
      </c>
      <c r="D5145">
        <v>4.9366130000000004</v>
      </c>
      <c r="E5145">
        <v>0.66033850000000005</v>
      </c>
      <c r="F5145" t="s">
        <v>43</v>
      </c>
      <c r="G5145">
        <v>-306.154</v>
      </c>
      <c r="H5145">
        <v>-0.05</v>
      </c>
      <c r="I5145">
        <v>3.8526919999999998</v>
      </c>
      <c r="J5145">
        <v>-308.51870000000002</v>
      </c>
      <c r="K5145">
        <v>1.046165</v>
      </c>
      <c r="L5145">
        <v>11.67441</v>
      </c>
      <c r="M5145">
        <v>0.84335039999999994</v>
      </c>
      <c r="N5145">
        <v>0</v>
      </c>
      <c r="O5145">
        <v>-0.53719050000000002</v>
      </c>
      <c r="P5145">
        <v>0.65521010000000002</v>
      </c>
      <c r="Q5145">
        <v>4.213252E-2</v>
      </c>
      <c r="R5145">
        <v>-0.75427109999999997</v>
      </c>
      <c r="S5145">
        <v>1.0358579999999999</v>
      </c>
      <c r="T5145">
        <v>-0.42760290000000001</v>
      </c>
      <c r="U5145">
        <v>-3.126312</v>
      </c>
      <c r="V5145">
        <v>0.28587129999999999</v>
      </c>
      <c r="W5145">
        <v>4.5579679999999997E-2</v>
      </c>
      <c r="X5145">
        <v>0.95718340000000002</v>
      </c>
      <c r="Y5145">
        <v>0.63064180000000003</v>
      </c>
      <c r="Z5145">
        <v>3.0714450000000001E-2</v>
      </c>
      <c r="AA5145">
        <v>0.77546599999999999</v>
      </c>
      <c r="AB5145">
        <v>34</v>
      </c>
      <c r="AC5145">
        <v>2.36470000000002</v>
      </c>
      <c r="AD5145">
        <v>-1.0961650000000001</v>
      </c>
      <c r="AE5145">
        <v>-7.8217179999999997</v>
      </c>
      <c r="AF5145">
        <v>5.2324901021757997</v>
      </c>
      <c r="AG5145">
        <v>-1.0961650000000001</v>
      </c>
      <c r="AH5145">
        <v>6.0870614580398197</v>
      </c>
      <c r="AI5145">
        <v>97.776283263913797</v>
      </c>
      <c r="AJ5145">
        <v>49.317364169532901</v>
      </c>
      <c r="AK5145">
        <v>8.1014102211001902</v>
      </c>
      <c r="AL5145">
        <v>87.387571573944797</v>
      </c>
      <c r="AM5145">
        <v>73.371278867169195</v>
      </c>
      <c r="AN5145">
        <v>0.999999984314076</v>
      </c>
    </row>
    <row r="5146" spans="1:40" x14ac:dyDescent="0.25">
      <c r="A5146" t="str">
        <f>"20190312151418528"</f>
        <v>20190312151418528</v>
      </c>
      <c r="B5146" t="str">
        <f>"1552374858525824"</f>
        <v>1552374858525824</v>
      </c>
      <c r="C5146" t="s">
        <v>40</v>
      </c>
      <c r="D5146">
        <v>4.7929690000000003</v>
      </c>
      <c r="E5146">
        <v>0.65914989999999996</v>
      </c>
      <c r="F5146" t="s">
        <v>43</v>
      </c>
      <c r="G5146">
        <v>-305.99349999999998</v>
      </c>
      <c r="H5146">
        <v>-0.05</v>
      </c>
      <c r="I5146">
        <v>3.7041019999999998</v>
      </c>
      <c r="J5146">
        <v>-308.23630000000003</v>
      </c>
      <c r="K5146">
        <v>1.0459069999999999</v>
      </c>
      <c r="L5146">
        <v>11.478820000000001</v>
      </c>
      <c r="M5146">
        <v>0.8347966</v>
      </c>
      <c r="N5146">
        <v>0</v>
      </c>
      <c r="O5146">
        <v>-0.5503905</v>
      </c>
      <c r="P5146">
        <v>0.64464399999999999</v>
      </c>
      <c r="Q5146">
        <v>4.1832800000000003E-2</v>
      </c>
      <c r="R5146">
        <v>-0.76333769999999901</v>
      </c>
      <c r="S5146">
        <v>0.99417109999999997</v>
      </c>
      <c r="T5146">
        <v>-0.43155189999999999</v>
      </c>
      <c r="U5146">
        <v>-3.137848</v>
      </c>
      <c r="V5146">
        <v>0.2841611</v>
      </c>
      <c r="W5146">
        <v>4.5193839999999999E-2</v>
      </c>
      <c r="X5146">
        <v>0.95771079999999997</v>
      </c>
      <c r="Y5146">
        <v>0.62867399999999996</v>
      </c>
      <c r="Z5146">
        <v>3.3282480000000003E-2</v>
      </c>
      <c r="AA5146">
        <v>0.77695639999999999</v>
      </c>
      <c r="AB5146">
        <v>34</v>
      </c>
      <c r="AC5146">
        <v>2.2428000000000399</v>
      </c>
      <c r="AD5146">
        <v>-1.095907</v>
      </c>
      <c r="AE5146">
        <v>-7.7747179999999902</v>
      </c>
      <c r="AF5146">
        <v>5.1616990372365299</v>
      </c>
      <c r="AG5146">
        <v>-1.095907</v>
      </c>
      <c r="AH5146">
        <v>6.0411704006837699</v>
      </c>
      <c r="AI5146">
        <v>97.852657640433094</v>
      </c>
      <c r="AJ5146">
        <v>49.488748404747597</v>
      </c>
      <c r="AK5146">
        <v>8.0212149275378</v>
      </c>
      <c r="AL5146">
        <v>87.409701411156703</v>
      </c>
      <c r="AM5146">
        <v>73.473920527062603</v>
      </c>
      <c r="AN5146">
        <v>0.99999999518189697</v>
      </c>
    </row>
    <row r="5147" spans="1:40" x14ac:dyDescent="0.25">
      <c r="A5147" t="str">
        <f>"20190312151418551"</f>
        <v>20190312151418551</v>
      </c>
      <c r="B5147" t="str">
        <f>"1552374858545343"</f>
        <v>1552374858545343</v>
      </c>
      <c r="C5147" t="s">
        <v>40</v>
      </c>
      <c r="D5147">
        <v>4.9570239999999997</v>
      </c>
      <c r="E5147">
        <v>0.65866169999999902</v>
      </c>
      <c r="F5147" t="s">
        <v>43</v>
      </c>
      <c r="G5147">
        <v>-305.81420000000003</v>
      </c>
      <c r="H5147">
        <v>-0.05</v>
      </c>
      <c r="I5147">
        <v>3.522675</v>
      </c>
      <c r="J5147">
        <v>-307.9622</v>
      </c>
      <c r="K5147">
        <v>1.0456890000000001</v>
      </c>
      <c r="L5147">
        <v>11.282590000000001</v>
      </c>
      <c r="M5147">
        <v>0.82611769999999995</v>
      </c>
      <c r="N5147">
        <v>0</v>
      </c>
      <c r="O5147">
        <v>-0.56333420000000001</v>
      </c>
      <c r="P5147">
        <v>0.63345340000000006</v>
      </c>
      <c r="Q5147">
        <v>4.1528080000000002E-2</v>
      </c>
      <c r="R5147">
        <v>-0.77266569999999901</v>
      </c>
      <c r="S5147">
        <v>0.95748900000000003</v>
      </c>
      <c r="T5147">
        <v>-0.4332356</v>
      </c>
      <c r="U5147">
        <v>-3.1452330000000002</v>
      </c>
      <c r="V5147">
        <v>0.28320689999999998</v>
      </c>
      <c r="W5147">
        <v>4.4792279999999997E-2</v>
      </c>
      <c r="X5147">
        <v>0.95801230000000004</v>
      </c>
      <c r="Y5147">
        <v>0.62541950000000002</v>
      </c>
      <c r="Z5147">
        <v>3.5798950000000003E-2</v>
      </c>
      <c r="AA5147">
        <v>0.77946700000000002</v>
      </c>
      <c r="AB5147">
        <v>34</v>
      </c>
      <c r="AC5147">
        <v>2.1479999999999602</v>
      </c>
      <c r="AD5147">
        <v>-1.0956889999999999</v>
      </c>
      <c r="AE5147">
        <v>-7.7599149999999897</v>
      </c>
      <c r="AF5147">
        <v>5.1064776490449502</v>
      </c>
      <c r="AG5147">
        <v>-1.0956889999999999</v>
      </c>
      <c r="AH5147">
        <v>6.0347400589720301</v>
      </c>
      <c r="AI5147">
        <v>97.890998720705497</v>
      </c>
      <c r="AJ5147">
        <v>49.762761209810201</v>
      </c>
      <c r="AK5147">
        <v>7.98089819157458</v>
      </c>
      <c r="AL5147">
        <v>87.432732522118798</v>
      </c>
      <c r="AM5147">
        <v>73.531305109918904</v>
      </c>
      <c r="AN5147">
        <v>1.00000003175324</v>
      </c>
    </row>
    <row r="5148" spans="1:40" x14ac:dyDescent="0.25">
      <c r="A5148" t="str">
        <f>"20190312151418572"</f>
        <v>20190312151418572</v>
      </c>
      <c r="B5148" t="str">
        <f>"1552374858565839"</f>
        <v>1552374858565839</v>
      </c>
      <c r="C5148" t="s">
        <v>40</v>
      </c>
      <c r="D5148">
        <v>5.028918</v>
      </c>
      <c r="E5148">
        <v>0.65808679999999997</v>
      </c>
      <c r="F5148" t="s">
        <v>43</v>
      </c>
      <c r="G5148">
        <v>-305.654</v>
      </c>
      <c r="H5148">
        <v>-0.05</v>
      </c>
      <c r="I5148">
        <v>3.3116300000000001</v>
      </c>
      <c r="J5148">
        <v>-307.68430000000001</v>
      </c>
      <c r="K5148">
        <v>1.0454829999999999</v>
      </c>
      <c r="L5148">
        <v>11.076969999999999</v>
      </c>
      <c r="M5148">
        <v>0.81692799999999999</v>
      </c>
      <c r="N5148">
        <v>0</v>
      </c>
      <c r="O5148">
        <v>-0.5765808</v>
      </c>
      <c r="P5148">
        <v>0.62133059999999996</v>
      </c>
      <c r="Q5148">
        <v>4.2022190000000001E-2</v>
      </c>
      <c r="R5148">
        <v>-0.78242089999999997</v>
      </c>
      <c r="S5148">
        <v>0.9140625</v>
      </c>
      <c r="T5148">
        <v>-0.4339093</v>
      </c>
      <c r="U5148">
        <v>-3.1566160000000001</v>
      </c>
      <c r="V5148">
        <v>0.28270590000000001</v>
      </c>
      <c r="W5148">
        <v>4.5181930000000002E-2</v>
      </c>
      <c r="X5148">
        <v>0.95814189999999999</v>
      </c>
      <c r="Y5148">
        <v>0.62355349999999998</v>
      </c>
      <c r="Z5148">
        <v>3.8173079999999998E-2</v>
      </c>
      <c r="AA5148">
        <v>0.78084809999999905</v>
      </c>
      <c r="AB5148">
        <v>34</v>
      </c>
      <c r="AC5148">
        <v>2.0303000000000102</v>
      </c>
      <c r="AD5148">
        <v>-1.095483</v>
      </c>
      <c r="AE5148">
        <v>-7.7653399999999904</v>
      </c>
      <c r="AF5148">
        <v>5.0789534656314599</v>
      </c>
      <c r="AG5148">
        <v>-1.095483</v>
      </c>
      <c r="AH5148">
        <v>6.0242947902912301</v>
      </c>
      <c r="AI5148">
        <v>97.9149803148036</v>
      </c>
      <c r="AJ5148">
        <v>49.866481861749797</v>
      </c>
      <c r="AK5148">
        <v>7.95537422310659</v>
      </c>
      <c r="AL5148">
        <v>87.410384427637993</v>
      </c>
      <c r="AM5148">
        <v>73.560968028415999</v>
      </c>
      <c r="AN5148">
        <v>0.99999996661447099</v>
      </c>
    </row>
    <row r="5149" spans="1:40" x14ac:dyDescent="0.25">
      <c r="A5149" t="str">
        <f>"20190312151418595"</f>
        <v>20190312151418595</v>
      </c>
      <c r="B5149" t="str">
        <f>"1552374858585359"</f>
        <v>1552374858585359</v>
      </c>
      <c r="C5149" t="s">
        <v>40</v>
      </c>
      <c r="D5149">
        <v>4.9233890000000002</v>
      </c>
      <c r="E5149">
        <v>0.65733209999999997</v>
      </c>
      <c r="F5149" t="s">
        <v>43</v>
      </c>
      <c r="G5149">
        <v>-305.49340000000001</v>
      </c>
      <c r="H5149">
        <v>-0.05</v>
      </c>
      <c r="I5149">
        <v>3.0849760000000002</v>
      </c>
      <c r="J5149">
        <v>-307.41219999999998</v>
      </c>
      <c r="K5149">
        <v>1.0452859999999999</v>
      </c>
      <c r="L5149">
        <v>10.868679999999999</v>
      </c>
      <c r="M5149">
        <v>0.80752239999999997</v>
      </c>
      <c r="N5149">
        <v>0</v>
      </c>
      <c r="O5149">
        <v>-0.58968219999999905</v>
      </c>
      <c r="P5149">
        <v>0.60905669999999901</v>
      </c>
      <c r="Q5149">
        <v>4.2578739999999997E-2</v>
      </c>
      <c r="R5149">
        <v>-0.791983199999999</v>
      </c>
      <c r="S5149">
        <v>0.86846919999999905</v>
      </c>
      <c r="T5149">
        <v>-0.43423319999999999</v>
      </c>
      <c r="U5149">
        <v>-3.1679080000000002</v>
      </c>
      <c r="V5149">
        <v>0.2821999</v>
      </c>
      <c r="W5149">
        <v>4.5644940000000002E-2</v>
      </c>
      <c r="X5149">
        <v>0.95826920000000004</v>
      </c>
      <c r="Y5149">
        <v>0.6221719</v>
      </c>
      <c r="Z5149">
        <v>4.047456E-2</v>
      </c>
      <c r="AA5149">
        <v>0.78183359999999902</v>
      </c>
      <c r="AB5149">
        <v>34</v>
      </c>
      <c r="AC5149">
        <v>1.9187999999999701</v>
      </c>
      <c r="AD5149">
        <v>-1.095286</v>
      </c>
      <c r="AE5149">
        <v>-7.7837039999999904</v>
      </c>
      <c r="AF5149">
        <v>5.0600503430214996</v>
      </c>
      <c r="AG5149">
        <v>-1.095286</v>
      </c>
      <c r="AH5149">
        <v>6.0274351822650303</v>
      </c>
      <c r="AI5149">
        <v>97.923270841416397</v>
      </c>
      <c r="AJ5149">
        <v>49.986438036678003</v>
      </c>
      <c r="AK5149">
        <v>7.9456740288105401</v>
      </c>
      <c r="AL5149">
        <v>87.383828732552701</v>
      </c>
      <c r="AM5149">
        <v>73.590869815050596</v>
      </c>
      <c r="AN5149">
        <v>1.00000005188812</v>
      </c>
    </row>
    <row r="5150" spans="1:40" x14ac:dyDescent="0.25">
      <c r="A5150" t="str">
        <f>"20190312151418617"</f>
        <v>20190312151418617</v>
      </c>
      <c r="B5150" t="str">
        <f>"1552374858605855"</f>
        <v>1552374858605855</v>
      </c>
      <c r="C5150" t="s">
        <v>40</v>
      </c>
      <c r="D5150">
        <v>4.9992650000000003</v>
      </c>
      <c r="E5150">
        <v>0.65642219999999996</v>
      </c>
      <c r="F5150" t="s">
        <v>43</v>
      </c>
      <c r="G5150">
        <v>-305.32690000000002</v>
      </c>
      <c r="H5150">
        <v>-0.05</v>
      </c>
      <c r="I5150">
        <v>2.816818</v>
      </c>
      <c r="J5150">
        <v>-307.14269999999999</v>
      </c>
      <c r="K5150">
        <v>1.045102</v>
      </c>
      <c r="L5150">
        <v>10.655430000000001</v>
      </c>
      <c r="M5150">
        <v>0.79779359999999999</v>
      </c>
      <c r="N5150">
        <v>0</v>
      </c>
      <c r="O5150">
        <v>-0.60277959999999997</v>
      </c>
      <c r="P5150">
        <v>0.59639719999999996</v>
      </c>
      <c r="Q5150">
        <v>4.2925539999999998E-2</v>
      </c>
      <c r="R5150">
        <v>-0.80154119999999995</v>
      </c>
      <c r="S5150">
        <v>0.82312009999999902</v>
      </c>
      <c r="T5150">
        <v>-0.43232989999999999</v>
      </c>
      <c r="U5150">
        <v>-3.178223</v>
      </c>
      <c r="V5150">
        <v>0.28180060000000001</v>
      </c>
      <c r="W5150">
        <v>4.5904059999999997E-2</v>
      </c>
      <c r="X5150">
        <v>0.95837430000000001</v>
      </c>
      <c r="Y5150">
        <v>0.62053939999999996</v>
      </c>
      <c r="Z5150">
        <v>4.259719E-2</v>
      </c>
      <c r="AA5150">
        <v>0.78301750000000003</v>
      </c>
      <c r="AB5150">
        <v>34</v>
      </c>
      <c r="AC5150">
        <v>1.8157999999999599</v>
      </c>
      <c r="AD5150">
        <v>-1.095102</v>
      </c>
      <c r="AE5150">
        <v>-7.8386120000000004</v>
      </c>
      <c r="AF5150">
        <v>5.0657011444919604</v>
      </c>
      <c r="AG5150">
        <v>-1.095102</v>
      </c>
      <c r="AH5150">
        <v>6.0618625883018202</v>
      </c>
      <c r="AI5150">
        <v>97.892231677347894</v>
      </c>
      <c r="AJ5150">
        <v>50.1155944556604</v>
      </c>
      <c r="AK5150">
        <v>7.9753842863629103</v>
      </c>
      <c r="AL5150">
        <v>87.368966614545798</v>
      </c>
      <c r="AM5150">
        <v>73.614542241635903</v>
      </c>
      <c r="AN5150">
        <v>1.0000000298926599</v>
      </c>
    </row>
    <row r="5151" spans="1:40" x14ac:dyDescent="0.25">
      <c r="A5151" t="str">
        <f>"20190312151418640"</f>
        <v>20190312151418640</v>
      </c>
      <c r="B5151" t="str">
        <f>"1552374858636111"</f>
        <v>1552374858636111</v>
      </c>
      <c r="C5151" t="s">
        <v>40</v>
      </c>
      <c r="D5151">
        <v>4.9961760000000002</v>
      </c>
      <c r="E5151">
        <v>0.65534680000000001</v>
      </c>
      <c r="F5151" t="s">
        <v>43</v>
      </c>
      <c r="G5151">
        <v>-305.15710000000001</v>
      </c>
      <c r="H5151">
        <v>-0.05</v>
      </c>
      <c r="I5151">
        <v>2.5231780000000001</v>
      </c>
      <c r="J5151">
        <v>-306.87060000000002</v>
      </c>
      <c r="K5151">
        <v>1.0449250000000001</v>
      </c>
      <c r="L5151">
        <v>10.43277</v>
      </c>
      <c r="M5151">
        <v>0.78753339999999905</v>
      </c>
      <c r="N5151">
        <v>0</v>
      </c>
      <c r="O5151">
        <v>-0.61612429999999996</v>
      </c>
      <c r="P5151">
        <v>0.58271260000000002</v>
      </c>
      <c r="Q5151">
        <v>4.3293529999999997E-2</v>
      </c>
      <c r="R5151">
        <v>-0.81152429999999998</v>
      </c>
      <c r="S5151">
        <v>0.77810669999999904</v>
      </c>
      <c r="T5151">
        <v>-0.42914770000000002</v>
      </c>
      <c r="U5151">
        <v>-3.1868590000000001</v>
      </c>
      <c r="V5151">
        <v>0.2819392</v>
      </c>
      <c r="W5151">
        <v>4.6168910000000001E-2</v>
      </c>
      <c r="X5151">
        <v>0.95832079999999997</v>
      </c>
      <c r="Y5151">
        <v>0.61833609999999894</v>
      </c>
      <c r="Z5151">
        <v>4.4676769999999998E-2</v>
      </c>
      <c r="AA5151">
        <v>0.78464290000000003</v>
      </c>
      <c r="AB5151">
        <v>34</v>
      </c>
      <c r="AC5151">
        <v>1.71350000000001</v>
      </c>
      <c r="AD5151">
        <v>-1.0949249999999999</v>
      </c>
      <c r="AE5151">
        <v>-7.909592</v>
      </c>
      <c r="AF5151">
        <v>5.0808112859046197</v>
      </c>
      <c r="AG5151">
        <v>-1.0949249999999999</v>
      </c>
      <c r="AH5151">
        <v>6.1114338481584101</v>
      </c>
      <c r="AI5151">
        <v>97.844151444898799</v>
      </c>
      <c r="AJ5151">
        <v>50.261166347606299</v>
      </c>
      <c r="AK5151">
        <v>8.0226633831301406</v>
      </c>
      <c r="AL5151">
        <v>87.353775690859607</v>
      </c>
      <c r="AM5151">
        <v>73.606049795893497</v>
      </c>
      <c r="AN5151">
        <v>1.00000001822993</v>
      </c>
    </row>
    <row r="5152" spans="1:40" x14ac:dyDescent="0.25">
      <c r="A5152" t="str">
        <f>"20190312151418662"</f>
        <v>20190312151418662</v>
      </c>
      <c r="B5152" t="str">
        <f>"1552374858655631"</f>
        <v>1552374858655631</v>
      </c>
      <c r="C5152" t="s">
        <v>40</v>
      </c>
      <c r="D5152">
        <v>4.9166499999999997</v>
      </c>
      <c r="E5152">
        <v>0.65459540000000005</v>
      </c>
      <c r="F5152" t="s">
        <v>43</v>
      </c>
      <c r="G5152">
        <v>-305.00040000000001</v>
      </c>
      <c r="H5152">
        <v>-0.05</v>
      </c>
      <c r="I5152">
        <v>2.2545009999999999</v>
      </c>
      <c r="J5152">
        <v>-306.60910000000001</v>
      </c>
      <c r="K5152">
        <v>1.044759</v>
      </c>
      <c r="L5152">
        <v>10.21143</v>
      </c>
      <c r="M5152">
        <v>0.77723929999999997</v>
      </c>
      <c r="N5152">
        <v>0</v>
      </c>
      <c r="O5152">
        <v>-0.62906030000000002</v>
      </c>
      <c r="P5152">
        <v>0.56886800000000004</v>
      </c>
      <c r="Q5152">
        <v>4.3935099999999998E-2</v>
      </c>
      <c r="R5152">
        <v>-0.82125429999999999</v>
      </c>
      <c r="S5152">
        <v>0.73062130000000003</v>
      </c>
      <c r="T5152">
        <v>-0.42774609999999902</v>
      </c>
      <c r="U5152">
        <v>-3.1949459999999998</v>
      </c>
      <c r="V5152">
        <v>0.28235589999999999</v>
      </c>
      <c r="W5152">
        <v>4.6706200000000003E-2</v>
      </c>
      <c r="X5152">
        <v>0.95817200000000002</v>
      </c>
      <c r="Y5152">
        <v>0.6169116</v>
      </c>
      <c r="Z5152">
        <v>4.6812199999999998E-2</v>
      </c>
      <c r="AA5152">
        <v>0.78563899999999998</v>
      </c>
      <c r="AB5152">
        <v>34</v>
      </c>
      <c r="AC5152">
        <v>1.60869999999999</v>
      </c>
      <c r="AD5152">
        <v>-1.094759</v>
      </c>
      <c r="AE5152">
        <v>-7.9569289999999997</v>
      </c>
      <c r="AF5152">
        <v>5.0805429840794201</v>
      </c>
      <c r="AG5152">
        <v>-1.094759</v>
      </c>
      <c r="AH5152">
        <v>6.1445554837051901</v>
      </c>
      <c r="AI5152">
        <v>97.818371813133695</v>
      </c>
      <c r="AJ5152">
        <v>50.414813989578803</v>
      </c>
      <c r="AK5152">
        <v>8.0477311320328795</v>
      </c>
      <c r="AL5152">
        <v>87.322957819251002</v>
      </c>
      <c r="AM5152">
        <v>73.580711393240094</v>
      </c>
      <c r="AN5152">
        <v>0.99999995248362294</v>
      </c>
    </row>
    <row r="5153" spans="1:40" x14ac:dyDescent="0.25">
      <c r="A5153" t="str">
        <f>"20190312151418684"</f>
        <v>20190312151418684</v>
      </c>
      <c r="B5153" t="str">
        <f>"1552374858676128"</f>
        <v>1552374858676128</v>
      </c>
      <c r="C5153" t="s">
        <v>40</v>
      </c>
      <c r="D5153">
        <v>5.0115829999999999</v>
      </c>
      <c r="E5153">
        <v>0.65386149999999998</v>
      </c>
      <c r="F5153" t="s">
        <v>43</v>
      </c>
      <c r="G5153">
        <v>-304.86360000000002</v>
      </c>
      <c r="H5153">
        <v>-0.05</v>
      </c>
      <c r="I5153">
        <v>2.0143589999999998</v>
      </c>
      <c r="J5153">
        <v>-306.34910000000002</v>
      </c>
      <c r="K5153">
        <v>1.0446</v>
      </c>
      <c r="L5153">
        <v>9.9838869999999993</v>
      </c>
      <c r="M5153">
        <v>0.76656440000000003</v>
      </c>
      <c r="N5153">
        <v>0</v>
      </c>
      <c r="O5153">
        <v>-0.64202559999999997</v>
      </c>
      <c r="P5153">
        <v>0.5549288</v>
      </c>
      <c r="Q5153">
        <v>4.3135069999999998E-2</v>
      </c>
      <c r="R5153">
        <v>-0.83077900000000005</v>
      </c>
      <c r="S5153">
        <v>0.68212890000000004</v>
      </c>
      <c r="T5153">
        <v>-0.42782199999999998</v>
      </c>
      <c r="U5153">
        <v>-3.2033390000000002</v>
      </c>
      <c r="V5153">
        <v>0.28244900000000001</v>
      </c>
      <c r="W5153">
        <v>4.5820710000000001E-2</v>
      </c>
      <c r="X5153">
        <v>0.95818729999999996</v>
      </c>
      <c r="Y5153">
        <v>0.61554030000000004</v>
      </c>
      <c r="Z5153">
        <v>4.9106549999999999E-2</v>
      </c>
      <c r="AA5153">
        <v>0.786574</v>
      </c>
      <c r="AB5153">
        <v>34</v>
      </c>
      <c r="AC5153">
        <v>1.4855</v>
      </c>
      <c r="AD5153">
        <v>-1.0946</v>
      </c>
      <c r="AE5153">
        <v>-7.9695279999999897</v>
      </c>
      <c r="AF5153">
        <v>5.06358236228386</v>
      </c>
      <c r="AG5153">
        <v>-1.0946</v>
      </c>
      <c r="AH5153">
        <v>6.1439315948272801</v>
      </c>
      <c r="AI5153">
        <v>97.828187041536395</v>
      </c>
      <c r="AJ5153">
        <v>50.506019446887898</v>
      </c>
      <c r="AK5153">
        <v>8.0365360038731293</v>
      </c>
      <c r="AL5153">
        <v>87.373747007707905</v>
      </c>
      <c r="AM5153">
        <v>73.575837363579097</v>
      </c>
      <c r="AN5153">
        <v>0.99999993847359503</v>
      </c>
    </row>
    <row r="5154" spans="1:40" x14ac:dyDescent="0.25">
      <c r="A5154" t="str">
        <f>"20190312151418709"</f>
        <v>20190312151418709</v>
      </c>
      <c r="B5154" t="str">
        <f>"1552374858705408"</f>
        <v>1552374858705408</v>
      </c>
      <c r="C5154" t="s">
        <v>40</v>
      </c>
      <c r="D5154">
        <v>4.9660349999999998</v>
      </c>
      <c r="E5154">
        <v>0.637196599999999</v>
      </c>
      <c r="F5154" t="s">
        <v>43</v>
      </c>
      <c r="G5154">
        <v>-304.75139999999999</v>
      </c>
      <c r="H5154">
        <v>-0.05</v>
      </c>
      <c r="I5154">
        <v>1.8819269999999999</v>
      </c>
      <c r="J5154">
        <v>-306.07760000000002</v>
      </c>
      <c r="K5154">
        <v>1.044441</v>
      </c>
      <c r="L5154">
        <v>9.7372739999999993</v>
      </c>
      <c r="M5154">
        <v>0.7549034</v>
      </c>
      <c r="N5154">
        <v>0</v>
      </c>
      <c r="O5154">
        <v>-0.65569719999999998</v>
      </c>
      <c r="P5154">
        <v>0.539606699999999</v>
      </c>
      <c r="Q5154">
        <v>4.2824279999999999E-2</v>
      </c>
      <c r="R5154">
        <v>-0.84082789999999996</v>
      </c>
      <c r="S5154">
        <v>0.63314820000000005</v>
      </c>
      <c r="T5154">
        <v>-0.43377450000000001</v>
      </c>
      <c r="U5154">
        <v>-3.210693</v>
      </c>
      <c r="V5154">
        <v>0.2828097</v>
      </c>
      <c r="W5154">
        <v>4.5417239999999998E-2</v>
      </c>
      <c r="X5154">
        <v>0.95810019999999996</v>
      </c>
      <c r="Y5154">
        <v>0.61330850000000003</v>
      </c>
      <c r="Z5154">
        <v>5.2302340000000003E-2</v>
      </c>
      <c r="AA5154">
        <v>0.78810990000000003</v>
      </c>
      <c r="AB5154">
        <v>34</v>
      </c>
      <c r="AC5154">
        <v>1.32620000000002</v>
      </c>
      <c r="AD5154">
        <v>-1.094441</v>
      </c>
      <c r="AE5154">
        <v>-7.8553470000000001</v>
      </c>
      <c r="AF5154">
        <v>4.9671564201887204</v>
      </c>
      <c r="AG5154">
        <v>-1.094441</v>
      </c>
      <c r="AH5154">
        <v>6.03847580382216</v>
      </c>
      <c r="AI5154">
        <v>97.968096159039305</v>
      </c>
      <c r="AJ5154">
        <v>50.559816548892599</v>
      </c>
      <c r="AK5154">
        <v>7.8951652318649304</v>
      </c>
      <c r="AL5154">
        <v>87.396888448813101</v>
      </c>
      <c r="AM5154">
        <v>73.5545811122538</v>
      </c>
      <c r="AN5154">
        <v>1.0000000226716701</v>
      </c>
    </row>
    <row r="5155" spans="1:40" x14ac:dyDescent="0.25">
      <c r="A5155" t="str">
        <f>"20190312151418730"</f>
        <v>20190312151418730</v>
      </c>
      <c r="B5155" t="str">
        <f>"1552374858725905"</f>
        <v>1552374858725905</v>
      </c>
      <c r="C5155" t="s">
        <v>40</v>
      </c>
      <c r="D5155">
        <v>4.9363849999999996</v>
      </c>
      <c r="E5155">
        <v>0.63768939999999996</v>
      </c>
      <c r="F5155" t="s">
        <v>43</v>
      </c>
      <c r="G5155">
        <v>-304.42270000000002</v>
      </c>
      <c r="H5155">
        <v>-0.05</v>
      </c>
      <c r="I5155">
        <v>2.1349330000000002</v>
      </c>
      <c r="J5155">
        <v>-305.83030000000002</v>
      </c>
      <c r="K5155">
        <v>1.04430499999999</v>
      </c>
      <c r="L5155">
        <v>9.5046999999999997</v>
      </c>
      <c r="M5155">
        <v>0.74382490000000001</v>
      </c>
      <c r="N5155">
        <v>0</v>
      </c>
      <c r="O5155">
        <v>-0.66823789999999905</v>
      </c>
      <c r="P5155">
        <v>0.52515459999999903</v>
      </c>
      <c r="Q5155">
        <v>4.261736E-2</v>
      </c>
      <c r="R5155">
        <v>-0.84993929999999995</v>
      </c>
      <c r="S5155">
        <v>0.68588260000000001</v>
      </c>
      <c r="T5155">
        <v>-0.4536037</v>
      </c>
      <c r="U5155">
        <v>-3.1508790000000002</v>
      </c>
      <c r="V5155">
        <v>0.2831671</v>
      </c>
      <c r="W5155">
        <v>4.5129530000000001E-2</v>
      </c>
      <c r="X5155">
        <v>0.95800819999999998</v>
      </c>
      <c r="Y5155">
        <v>0.58437320000000004</v>
      </c>
      <c r="Z5155">
        <v>5.981968E-2</v>
      </c>
      <c r="AA5155">
        <v>0.80927720000000003</v>
      </c>
      <c r="AB5155">
        <v>34</v>
      </c>
      <c r="AC5155">
        <v>1.4076</v>
      </c>
      <c r="AD5155">
        <v>-1.0943050000000001</v>
      </c>
      <c r="AE5155">
        <v>-7.3697669999999897</v>
      </c>
      <c r="AF5155">
        <v>4.4470221787441604</v>
      </c>
      <c r="AG5155">
        <v>-1.0943050000000001</v>
      </c>
      <c r="AH5155">
        <v>5.8479140638100997</v>
      </c>
      <c r="AI5155">
        <v>98.472018841346298</v>
      </c>
      <c r="AJ5155">
        <v>52.748975745983898</v>
      </c>
      <c r="AK5155">
        <v>7.4277593249226497</v>
      </c>
      <c r="AL5155">
        <v>87.413389868585</v>
      </c>
      <c r="AM5155">
        <v>73.533427495839604</v>
      </c>
      <c r="AN5155">
        <v>0.99999999613383495</v>
      </c>
    </row>
    <row r="5156" spans="1:40" x14ac:dyDescent="0.25">
      <c r="A5156" t="str">
        <f>"20190312151418752"</f>
        <v>20190312151418752</v>
      </c>
      <c r="B5156" t="str">
        <f>"1552374858745423"</f>
        <v>1552374858745423</v>
      </c>
      <c r="C5156" t="s">
        <v>40</v>
      </c>
      <c r="D5156">
        <v>4.9973029999999996</v>
      </c>
      <c r="E5156">
        <v>0.63719179999999997</v>
      </c>
      <c r="F5156" t="s">
        <v>43</v>
      </c>
      <c r="G5156">
        <v>-304.32470000000001</v>
      </c>
      <c r="H5156">
        <v>-0.05</v>
      </c>
      <c r="I5156">
        <v>1.9289700000000001</v>
      </c>
      <c r="J5156">
        <v>-305.58850000000001</v>
      </c>
      <c r="K5156">
        <v>1.044179</v>
      </c>
      <c r="L5156">
        <v>9.2695919999999994</v>
      </c>
      <c r="M5156">
        <v>0.7325509</v>
      </c>
      <c r="N5156">
        <v>0</v>
      </c>
      <c r="O5156">
        <v>-0.68057780000000001</v>
      </c>
      <c r="P5156">
        <v>0.51032730000000004</v>
      </c>
      <c r="Q5156">
        <v>4.2327370000000003E-2</v>
      </c>
      <c r="R5156">
        <v>-0.85893819999999999</v>
      </c>
      <c r="S5156">
        <v>0.62881469999999995</v>
      </c>
      <c r="T5156">
        <v>-0.45704139999999999</v>
      </c>
      <c r="U5156">
        <v>-3.1640320000000002</v>
      </c>
      <c r="V5156">
        <v>0.28378789999999998</v>
      </c>
      <c r="W5156">
        <v>4.4755110000000001E-2</v>
      </c>
      <c r="X5156">
        <v>0.95784210000000003</v>
      </c>
      <c r="Y5156">
        <v>0.58554119999999998</v>
      </c>
      <c r="Z5156">
        <v>6.2401850000000002E-2</v>
      </c>
      <c r="AA5156">
        <v>0.80823730000000005</v>
      </c>
      <c r="AB5156">
        <v>34</v>
      </c>
      <c r="AC5156">
        <v>1.2638</v>
      </c>
      <c r="AD5156">
        <v>-1.094179</v>
      </c>
      <c r="AE5156">
        <v>-7.3406219999999998</v>
      </c>
      <c r="AF5156">
        <v>4.4222520537471999</v>
      </c>
      <c r="AG5156">
        <v>-1.094179</v>
      </c>
      <c r="AH5156">
        <v>5.7971101212925999</v>
      </c>
      <c r="AI5156">
        <v>98.534505505023802</v>
      </c>
      <c r="AJ5156">
        <v>52.662259439153402</v>
      </c>
      <c r="AK5156">
        <v>7.3729252450642297</v>
      </c>
      <c r="AL5156">
        <v>87.434864365987394</v>
      </c>
      <c r="AM5156">
        <v>73.496582616401398</v>
      </c>
      <c r="AN5156">
        <v>1.00000004029496</v>
      </c>
    </row>
    <row r="5157" spans="1:40" x14ac:dyDescent="0.25">
      <c r="A5157" t="str">
        <f>"20190312151418773"</f>
        <v>20190312151418773</v>
      </c>
      <c r="B5157" t="str">
        <f>"1552374858765920"</f>
        <v>1552374858765920</v>
      </c>
      <c r="C5157" t="s">
        <v>40</v>
      </c>
      <c r="D5157">
        <v>4.9862729999999997</v>
      </c>
      <c r="E5157">
        <v>0.63643050000000001</v>
      </c>
      <c r="F5157" t="s">
        <v>43</v>
      </c>
      <c r="G5157">
        <v>-304.23219999999998</v>
      </c>
      <c r="H5157">
        <v>-0.05</v>
      </c>
      <c r="I5157">
        <v>1.8175349999999999</v>
      </c>
      <c r="J5157">
        <v>-305.35059999999999</v>
      </c>
      <c r="K5157">
        <v>1.044071</v>
      </c>
      <c r="L5157">
        <v>9.0305180000000007</v>
      </c>
      <c r="M5157">
        <v>0.72101879999999996</v>
      </c>
      <c r="N5157">
        <v>0</v>
      </c>
      <c r="O5157">
        <v>-0.69278309999999999</v>
      </c>
      <c r="P5157">
        <v>0.49559900000000001</v>
      </c>
      <c r="Q5157">
        <v>4.2711289999999999E-2</v>
      </c>
      <c r="R5157">
        <v>-0.86750039999999995</v>
      </c>
      <c r="S5157">
        <v>0.57739259999999903</v>
      </c>
      <c r="T5157">
        <v>-0.46582639999999997</v>
      </c>
      <c r="U5157">
        <v>-3.172577</v>
      </c>
      <c r="V5157">
        <v>0.28405599999999998</v>
      </c>
      <c r="W5157">
        <v>4.507427E-2</v>
      </c>
      <c r="X5157">
        <v>0.95774760000000003</v>
      </c>
      <c r="Y5157">
        <v>0.58502710000000002</v>
      </c>
      <c r="Z5157">
        <v>6.5919630000000007E-2</v>
      </c>
      <c r="AA5157">
        <v>0.8083304</v>
      </c>
      <c r="AB5157">
        <v>34</v>
      </c>
      <c r="AC5157">
        <v>1.1184000000000001</v>
      </c>
      <c r="AD5157">
        <v>-1.094071</v>
      </c>
      <c r="AE5157">
        <v>-7.2129829999999897</v>
      </c>
      <c r="AF5157">
        <v>4.3290337234940104</v>
      </c>
      <c r="AG5157">
        <v>-1.094071</v>
      </c>
      <c r="AH5157">
        <v>5.6764208854769</v>
      </c>
      <c r="AI5157">
        <v>98.713198258103603</v>
      </c>
      <c r="AJ5157">
        <v>52.669611117728401</v>
      </c>
      <c r="AK5157">
        <v>7.2221380768625396</v>
      </c>
      <c r="AL5157">
        <v>87.4165592249513</v>
      </c>
      <c r="AM5157">
        <v>73.480299801572201</v>
      </c>
      <c r="AN5157">
        <v>0.99999998312889604</v>
      </c>
    </row>
    <row r="5158" spans="1:40" x14ac:dyDescent="0.25">
      <c r="A5158" t="str">
        <f>"20190312151418797"</f>
        <v>20190312151418797</v>
      </c>
      <c r="B5158" t="str">
        <f>"1552374858785440"</f>
        <v>1552374858785440</v>
      </c>
      <c r="C5158" t="s">
        <v>40</v>
      </c>
      <c r="D5158">
        <v>4.9797820000000002</v>
      </c>
      <c r="E5158">
        <v>0.63569149999999996</v>
      </c>
      <c r="F5158" t="s">
        <v>43</v>
      </c>
      <c r="G5158">
        <v>-304.11840000000001</v>
      </c>
      <c r="H5158">
        <v>-0.05</v>
      </c>
      <c r="I5158">
        <v>1.62645</v>
      </c>
      <c r="J5158">
        <v>-305.10270000000003</v>
      </c>
      <c r="K5158">
        <v>1.04396</v>
      </c>
      <c r="L5158">
        <v>8.7725829999999991</v>
      </c>
      <c r="M5158">
        <v>0.70850609999999903</v>
      </c>
      <c r="N5158">
        <v>0</v>
      </c>
      <c r="O5158">
        <v>-0.70557449999999999</v>
      </c>
      <c r="P5158">
        <v>0.47898449999999998</v>
      </c>
      <c r="Q5158">
        <v>4.2841589999999999E-2</v>
      </c>
      <c r="R5158">
        <v>-0.87677739999999904</v>
      </c>
      <c r="S5158">
        <v>0.52908330000000003</v>
      </c>
      <c r="T5158">
        <v>-0.46976010000000001</v>
      </c>
      <c r="U5158">
        <v>-3.1790769999999999</v>
      </c>
      <c r="V5158">
        <v>0.28517179999999998</v>
      </c>
      <c r="W5158">
        <v>4.510666E-2</v>
      </c>
      <c r="X5158">
        <v>0.9574144</v>
      </c>
      <c r="Y5158">
        <v>0.58278269999999999</v>
      </c>
      <c r="Z5158">
        <v>6.9087709999999997E-2</v>
      </c>
      <c r="AA5158">
        <v>0.80968580000000001</v>
      </c>
      <c r="AB5158">
        <v>34</v>
      </c>
      <c r="AC5158">
        <v>0.98430000000001805</v>
      </c>
      <c r="AD5158">
        <v>-1.09396</v>
      </c>
      <c r="AE5158">
        <v>-7.1461329999999998</v>
      </c>
      <c r="AF5158">
        <v>4.27076233156117</v>
      </c>
      <c r="AG5158">
        <v>-1.09396</v>
      </c>
      <c r="AH5158">
        <v>5.61099495651799</v>
      </c>
      <c r="AI5158">
        <v>98.818574264438496</v>
      </c>
      <c r="AJ5158">
        <v>52.723723601891599</v>
      </c>
      <c r="AK5158">
        <v>7.1357847344459699</v>
      </c>
      <c r="AL5158">
        <v>87.414701438970198</v>
      </c>
      <c r="AM5158">
        <v>73.413511683566298</v>
      </c>
      <c r="AN5158">
        <v>0.99999994980947604</v>
      </c>
    </row>
    <row r="5159" spans="1:40" x14ac:dyDescent="0.25">
      <c r="A5159" t="str">
        <f>"20190312151418818"</f>
        <v>20190312151418818</v>
      </c>
      <c r="B5159" t="str">
        <f>"1552374858815695"</f>
        <v>1552374858815695</v>
      </c>
      <c r="C5159" t="s">
        <v>40</v>
      </c>
      <c r="D5159">
        <v>4.9780089999999904</v>
      </c>
      <c r="E5159">
        <v>0.63450139999999999</v>
      </c>
      <c r="F5159" t="s">
        <v>43</v>
      </c>
      <c r="G5159">
        <v>-304.01609999999999</v>
      </c>
      <c r="H5159">
        <v>-0.05</v>
      </c>
      <c r="I5159">
        <v>1.474945</v>
      </c>
      <c r="J5159">
        <v>-304.87540000000001</v>
      </c>
      <c r="K5159">
        <v>1.0438689999999999</v>
      </c>
      <c r="L5159">
        <v>8.52789299999999</v>
      </c>
      <c r="M5159">
        <v>0.69657429999999998</v>
      </c>
      <c r="N5159">
        <v>0</v>
      </c>
      <c r="O5159">
        <v>-0.71735660000000001</v>
      </c>
      <c r="P5159">
        <v>0.46386450000000001</v>
      </c>
      <c r="Q5159">
        <v>4.31046E-2</v>
      </c>
      <c r="R5159">
        <v>-0.88485729999999996</v>
      </c>
      <c r="S5159">
        <v>0.47436519999999999</v>
      </c>
      <c r="T5159">
        <v>-0.47757339999999998</v>
      </c>
      <c r="U5159">
        <v>-3.1858219999999999</v>
      </c>
      <c r="V5159">
        <v>0.28556009999999998</v>
      </c>
      <c r="W5159">
        <v>4.5310540000000003E-2</v>
      </c>
      <c r="X5159">
        <v>0.9572891</v>
      </c>
      <c r="Y5159">
        <v>0.58303609999999995</v>
      </c>
      <c r="Z5159">
        <v>7.2527990000000001E-2</v>
      </c>
      <c r="AA5159">
        <v>0.80920249999999905</v>
      </c>
      <c r="AB5159">
        <v>34</v>
      </c>
      <c r="AC5159">
        <v>0.85930000000001805</v>
      </c>
      <c r="AD5159">
        <v>-1.093869</v>
      </c>
      <c r="AE5159">
        <v>-7.05294799999999</v>
      </c>
      <c r="AF5159">
        <v>4.1973850191301603</v>
      </c>
      <c r="AG5159">
        <v>-1.093869</v>
      </c>
      <c r="AH5159">
        <v>5.5275495125639802</v>
      </c>
      <c r="AI5159">
        <v>98.956402315271703</v>
      </c>
      <c r="AJ5159">
        <v>52.788515387090001</v>
      </c>
      <c r="AK5159">
        <v>7.0262645838187403</v>
      </c>
      <c r="AL5159">
        <v>87.403008197269898</v>
      </c>
      <c r="AM5159">
        <v>73.3901160623994</v>
      </c>
      <c r="AN5159">
        <v>1.00000001836295</v>
      </c>
    </row>
    <row r="5160" spans="1:40" x14ac:dyDescent="0.25">
      <c r="A5160" t="str">
        <f>"20190312151418852"</f>
        <v>20190312151418852</v>
      </c>
      <c r="B5160" t="str">
        <f>"1552374858845952"</f>
        <v>1552374858845952</v>
      </c>
      <c r="C5160" t="s">
        <v>40</v>
      </c>
      <c r="D5160">
        <v>5.0073499999999997</v>
      </c>
      <c r="E5160">
        <v>0.63334069999999998</v>
      </c>
      <c r="F5160" t="s">
        <v>43</v>
      </c>
      <c r="G5160">
        <v>-303.8963</v>
      </c>
      <c r="H5160">
        <v>-0.05</v>
      </c>
      <c r="I5160">
        <v>1.2318880000000001</v>
      </c>
      <c r="J5160">
        <v>-304.52289999999999</v>
      </c>
      <c r="K5160">
        <v>1.043739</v>
      </c>
      <c r="L5160">
        <v>8.1314700000000002</v>
      </c>
      <c r="M5160">
        <v>0.67713279999999998</v>
      </c>
      <c r="N5160">
        <v>0</v>
      </c>
      <c r="O5160">
        <v>-0.73573540000000004</v>
      </c>
      <c r="P5160">
        <v>0.43889139999999999</v>
      </c>
      <c r="Q5160">
        <v>4.371883E-2</v>
      </c>
      <c r="R5160">
        <v>-0.89747600000000005</v>
      </c>
      <c r="S5160">
        <v>0.42800899999999997</v>
      </c>
      <c r="T5160">
        <v>-0.47816219999999998</v>
      </c>
      <c r="U5160">
        <v>-3.1893009999999999</v>
      </c>
      <c r="V5160">
        <v>0.28678599999999999</v>
      </c>
      <c r="W5160">
        <v>4.581213E-2</v>
      </c>
      <c r="X5160">
        <v>0.95689869999999999</v>
      </c>
      <c r="Y5160">
        <v>0.57302900000000001</v>
      </c>
      <c r="Z5160">
        <v>7.6971860000000003E-2</v>
      </c>
      <c r="AA5160">
        <v>0.81591239999999998</v>
      </c>
      <c r="AB5160">
        <v>34</v>
      </c>
      <c r="AC5160">
        <v>0.62659999999999605</v>
      </c>
      <c r="AD5160">
        <v>-1.093739</v>
      </c>
      <c r="AE5160">
        <v>-6.8995819999999997</v>
      </c>
      <c r="AF5160">
        <v>4.10890068851658</v>
      </c>
      <c r="AG5160">
        <v>-1.093739</v>
      </c>
      <c r="AH5160">
        <v>5.3672924638281998</v>
      </c>
      <c r="AI5160">
        <v>99.191230160503594</v>
      </c>
      <c r="AJ5160">
        <v>52.564339962443803</v>
      </c>
      <c r="AK5160">
        <v>6.8474198250494398</v>
      </c>
      <c r="AL5160">
        <v>87.374239393167997</v>
      </c>
      <c r="AM5160">
        <v>73.316336471819795</v>
      </c>
      <c r="AN5160">
        <v>1.0000000415564101</v>
      </c>
    </row>
    <row r="5161" spans="1:40" x14ac:dyDescent="0.25">
      <c r="A5161" t="str">
        <f>"20190312151418875"</f>
        <v>20190312151418875</v>
      </c>
      <c r="B5161" t="str">
        <f>"1552374858865472"</f>
        <v>1552374858865472</v>
      </c>
      <c r="C5161" t="s">
        <v>40</v>
      </c>
      <c r="D5161">
        <v>4.9442209999999998</v>
      </c>
      <c r="E5161">
        <v>0.63249460000000002</v>
      </c>
      <c r="F5161" t="s">
        <v>43</v>
      </c>
      <c r="G5161">
        <v>-303.73250000000002</v>
      </c>
      <c r="H5161">
        <v>-0.05</v>
      </c>
      <c r="I5161">
        <v>0.86235049999999902</v>
      </c>
      <c r="J5161">
        <v>-304.30259999999998</v>
      </c>
      <c r="K5161">
        <v>1.0436589999999999</v>
      </c>
      <c r="L5161">
        <v>7.8724059999999998</v>
      </c>
      <c r="M5161">
        <v>0.66436859999999998</v>
      </c>
      <c r="N5161">
        <v>0</v>
      </c>
      <c r="O5161">
        <v>-0.74728149999999904</v>
      </c>
      <c r="P5161">
        <v>0.42331229999999997</v>
      </c>
      <c r="Q5161">
        <v>4.3324139999999997E-2</v>
      </c>
      <c r="R5161">
        <v>-0.90494739999999996</v>
      </c>
      <c r="S5161">
        <v>0.34753420000000002</v>
      </c>
      <c r="T5161">
        <v>-0.48091230000000001</v>
      </c>
      <c r="U5161">
        <v>-3.1961979999999999</v>
      </c>
      <c r="V5161">
        <v>0.28686119999999998</v>
      </c>
      <c r="W5161">
        <v>4.5380089999999998E-2</v>
      </c>
      <c r="X5161">
        <v>0.95689669999999905</v>
      </c>
      <c r="Y5161">
        <v>0.57938959999999995</v>
      </c>
      <c r="Z5161">
        <v>7.9351050000000006E-2</v>
      </c>
      <c r="AA5161">
        <v>0.81117879999999998</v>
      </c>
      <c r="AB5161">
        <v>34</v>
      </c>
      <c r="AC5161">
        <v>0.57009999999996797</v>
      </c>
      <c r="AD5161">
        <v>-1.0936589999999999</v>
      </c>
      <c r="AE5161">
        <v>-7.0100554999999902</v>
      </c>
      <c r="AF5161">
        <v>4.1317210229381001</v>
      </c>
      <c r="AG5161">
        <v>-1.0936589999999999</v>
      </c>
      <c r="AH5161">
        <v>5.4851292660677098</v>
      </c>
      <c r="AI5161">
        <v>99.048903486217199</v>
      </c>
      <c r="AJ5161">
        <v>53.010797015371097</v>
      </c>
      <c r="AK5161">
        <v>6.9536933844642697</v>
      </c>
      <c r="AL5161">
        <v>87.399019118490401</v>
      </c>
      <c r="AM5161">
        <v>73.3121720160824</v>
      </c>
      <c r="AN5161">
        <v>0.99999999755236801</v>
      </c>
    </row>
    <row r="5162" spans="1:40" x14ac:dyDescent="0.25">
      <c r="A5162" t="str">
        <f>"20190312151418897"</f>
        <v>20190312151418897</v>
      </c>
      <c r="B5162" t="str">
        <f>"1552374858885968"</f>
        <v>1552374858885968</v>
      </c>
      <c r="C5162" t="s">
        <v>40</v>
      </c>
      <c r="D5162">
        <v>4.979304</v>
      </c>
      <c r="E5162">
        <v>0.62314829999999999</v>
      </c>
      <c r="F5162" t="s">
        <v>43</v>
      </c>
      <c r="G5162">
        <v>-303.62700000000001</v>
      </c>
      <c r="H5162">
        <v>-0.05</v>
      </c>
      <c r="I5162">
        <v>0.63735959999999903</v>
      </c>
      <c r="J5162">
        <v>-304.07659999999998</v>
      </c>
      <c r="K5162">
        <v>1.043587</v>
      </c>
      <c r="L5162">
        <v>7.5969850000000001</v>
      </c>
      <c r="M5162">
        <v>0.65074569999999998</v>
      </c>
      <c r="N5162">
        <v>0</v>
      </c>
      <c r="O5162">
        <v>-0.75917400000000002</v>
      </c>
      <c r="P5162">
        <v>0.40733609999999998</v>
      </c>
      <c r="Q5162">
        <v>4.254148E-2</v>
      </c>
      <c r="R5162">
        <v>-0.91228730000000002</v>
      </c>
      <c r="S5162">
        <v>0.29870609999999997</v>
      </c>
      <c r="T5162">
        <v>-0.48349259999999999</v>
      </c>
      <c r="U5162">
        <v>-3.1985169999999998</v>
      </c>
      <c r="V5162">
        <v>0.28638180000000002</v>
      </c>
      <c r="W5162">
        <v>4.4585529999999998E-2</v>
      </c>
      <c r="X5162">
        <v>0.95707759999999997</v>
      </c>
      <c r="Y5162">
        <v>0.57701389999999997</v>
      </c>
      <c r="Z5162">
        <v>8.2400210000000002E-2</v>
      </c>
      <c r="AA5162">
        <v>0.81256709999999999</v>
      </c>
      <c r="AB5162">
        <v>34</v>
      </c>
      <c r="AC5162">
        <v>0.44959999999997502</v>
      </c>
      <c r="AD5162">
        <v>-1.0935870000000001</v>
      </c>
      <c r="AE5162">
        <v>-6.9596254000000002</v>
      </c>
      <c r="AF5162">
        <v>4.0875045402438603</v>
      </c>
      <c r="AG5162">
        <v>-1.0935870000000001</v>
      </c>
      <c r="AH5162">
        <v>5.4428282207522098</v>
      </c>
      <c r="AI5162">
        <v>99.127241812671102</v>
      </c>
      <c r="AJ5162">
        <v>53.093850819819501</v>
      </c>
      <c r="AK5162">
        <v>6.8940557681019596</v>
      </c>
      <c r="AL5162">
        <v>87.4445901092501</v>
      </c>
      <c r="AM5162">
        <v>73.341488256508399</v>
      </c>
      <c r="AN5162">
        <v>0.99999996863918905</v>
      </c>
    </row>
    <row r="5163" spans="1:40" x14ac:dyDescent="0.25">
      <c r="A5163" t="str">
        <f>"20190312151418924"</f>
        <v>20190312151418924</v>
      </c>
      <c r="B5163" t="str">
        <f>"1552374858915249"</f>
        <v>1552374858915249</v>
      </c>
      <c r="C5163" t="s">
        <v>40</v>
      </c>
      <c r="D5163">
        <v>5.0204659999999999</v>
      </c>
      <c r="E5163">
        <v>0.62234480000000003</v>
      </c>
      <c r="F5163" t="s">
        <v>43</v>
      </c>
      <c r="G5163">
        <v>-303.41469999999998</v>
      </c>
      <c r="H5163">
        <v>-0.05</v>
      </c>
      <c r="I5163">
        <v>0.80366519999999997</v>
      </c>
      <c r="J5163">
        <v>-303.82729999999998</v>
      </c>
      <c r="K5163">
        <v>1.0435140000000001</v>
      </c>
      <c r="L5163">
        <v>7.2815250000000002</v>
      </c>
      <c r="M5163">
        <v>0.63507880000000005</v>
      </c>
      <c r="N5163">
        <v>0</v>
      </c>
      <c r="O5163">
        <v>-0.7723274</v>
      </c>
      <c r="P5163">
        <v>0.38949739999999999</v>
      </c>
      <c r="Q5163">
        <v>4.2458280000000001E-2</v>
      </c>
      <c r="R5163">
        <v>-0.92004850000000005</v>
      </c>
      <c r="S5163">
        <v>0.30929570000000001</v>
      </c>
      <c r="T5163">
        <v>-0.51098100000000002</v>
      </c>
      <c r="U5163">
        <v>-3.174194</v>
      </c>
      <c r="V5163">
        <v>0.2854428</v>
      </c>
      <c r="W5163">
        <v>4.4509310000000003E-2</v>
      </c>
      <c r="X5163">
        <v>0.95736160000000003</v>
      </c>
      <c r="Y5163">
        <v>0.55696480000000004</v>
      </c>
      <c r="Z5163">
        <v>9.1817140000000005E-2</v>
      </c>
      <c r="AA5163">
        <v>0.82544519999999899</v>
      </c>
      <c r="AB5163">
        <v>34</v>
      </c>
      <c r="AC5163">
        <v>0.41259999999999702</v>
      </c>
      <c r="AD5163">
        <v>-1.0935139999999901</v>
      </c>
      <c r="AE5163">
        <v>-6.4778598000000001</v>
      </c>
      <c r="AF5163">
        <v>3.6908897922905801</v>
      </c>
      <c r="AG5163">
        <v>-1.0935139999999901</v>
      </c>
      <c r="AH5163">
        <v>5.12023283017637</v>
      </c>
      <c r="AI5163">
        <v>99.8288048728147</v>
      </c>
      <c r="AJ5163">
        <v>54.214272737105397</v>
      </c>
      <c r="AK5163">
        <v>6.4058742231054397</v>
      </c>
      <c r="AL5163">
        <v>87.448961490743699</v>
      </c>
      <c r="AM5163">
        <v>73.3977514080226</v>
      </c>
      <c r="AN5163">
        <v>0.99999995195153601</v>
      </c>
    </row>
    <row r="5164" spans="1:40" x14ac:dyDescent="0.25">
      <c r="A5164" t="str">
        <f>"20190312151418946"</f>
        <v>20190312151418946</v>
      </c>
      <c r="B5164" t="str">
        <f>"1552374858935744"</f>
        <v>1552374858935744</v>
      </c>
      <c r="C5164" t="s">
        <v>40</v>
      </c>
      <c r="D5164">
        <v>5.0188829999999998</v>
      </c>
      <c r="E5164">
        <v>0.62185059999999903</v>
      </c>
      <c r="F5164" t="s">
        <v>43</v>
      </c>
      <c r="G5164">
        <v>-303.27699999999999</v>
      </c>
      <c r="H5164">
        <v>-0.05</v>
      </c>
      <c r="I5164">
        <v>0.37600709999999998</v>
      </c>
      <c r="J5164">
        <v>-303.61689999999999</v>
      </c>
      <c r="K5164">
        <v>1.043453</v>
      </c>
      <c r="L5164">
        <v>7.0045780000000004</v>
      </c>
      <c r="M5164">
        <v>0.62128190000000005</v>
      </c>
      <c r="N5164">
        <v>0</v>
      </c>
      <c r="O5164">
        <v>-0.78346870000000002</v>
      </c>
      <c r="P5164">
        <v>0.37385750000000001</v>
      </c>
      <c r="Q5164">
        <v>4.2843480000000003E-2</v>
      </c>
      <c r="R5164">
        <v>-0.92649630000000005</v>
      </c>
      <c r="S5164">
        <v>0.25314330000000002</v>
      </c>
      <c r="T5164">
        <v>-0.50305</v>
      </c>
      <c r="U5164">
        <v>-3.176758</v>
      </c>
      <c r="V5164">
        <v>0.28469040000000001</v>
      </c>
      <c r="W5164">
        <v>4.4900879999999997E-2</v>
      </c>
      <c r="X5164">
        <v>0.95756739999999996</v>
      </c>
      <c r="Y5164">
        <v>0.55682450000000006</v>
      </c>
      <c r="Z5164">
        <v>9.2881560000000002E-2</v>
      </c>
      <c r="AA5164">
        <v>0.82542079999999995</v>
      </c>
      <c r="AB5164">
        <v>34</v>
      </c>
      <c r="AC5164">
        <v>0.33989999999999998</v>
      </c>
      <c r="AD5164">
        <v>-1.093453</v>
      </c>
      <c r="AE5164">
        <v>-6.6285708999999997</v>
      </c>
      <c r="AF5164">
        <v>3.75047728392199</v>
      </c>
      <c r="AG5164">
        <v>-1.093453</v>
      </c>
      <c r="AH5164">
        <v>5.2621354491151999</v>
      </c>
      <c r="AI5164">
        <v>99.604348392030602</v>
      </c>
      <c r="AJ5164">
        <v>54.521420642304498</v>
      </c>
      <c r="AK5164">
        <v>6.55376142419441</v>
      </c>
      <c r="AL5164">
        <v>87.426503901686701</v>
      </c>
      <c r="AM5164">
        <v>73.442477824997496</v>
      </c>
      <c r="AN5164">
        <v>1.0000000192098399</v>
      </c>
    </row>
    <row r="5165" spans="1:40" x14ac:dyDescent="0.25">
      <c r="A5165" t="str">
        <f>"20190312151418966"</f>
        <v>20190312151418966</v>
      </c>
      <c r="B5165" t="str">
        <f>"1552374858955264"</f>
        <v>1552374858955264</v>
      </c>
      <c r="C5165" t="s">
        <v>40</v>
      </c>
      <c r="D5165">
        <v>4.9707670000000004</v>
      </c>
      <c r="E5165">
        <v>0.62058449999999998</v>
      </c>
      <c r="F5165" t="s">
        <v>43</v>
      </c>
      <c r="G5165">
        <v>-303.1764</v>
      </c>
      <c r="H5165">
        <v>-0.05</v>
      </c>
      <c r="I5165">
        <v>0.12167360000000001</v>
      </c>
      <c r="J5165">
        <v>-303.42689999999999</v>
      </c>
      <c r="K5165">
        <v>1.043401</v>
      </c>
      <c r="L5165">
        <v>6.7449339999999998</v>
      </c>
      <c r="M5165">
        <v>0.60831669999999904</v>
      </c>
      <c r="N5165">
        <v>0</v>
      </c>
      <c r="O5165">
        <v>-0.79357709999999904</v>
      </c>
      <c r="P5165">
        <v>0.35977940000000003</v>
      </c>
      <c r="Q5165">
        <v>4.3276780000000001E-2</v>
      </c>
      <c r="R5165">
        <v>-0.93203329999999995</v>
      </c>
      <c r="S5165">
        <v>0.20346069999999999</v>
      </c>
      <c r="T5165">
        <v>-0.50507270000000004</v>
      </c>
      <c r="U5165">
        <v>-3.1792600000000002</v>
      </c>
      <c r="V5165">
        <v>0.28346290000000002</v>
      </c>
      <c r="W5165">
        <v>4.5364849999999998E-2</v>
      </c>
      <c r="X5165">
        <v>0.95790960000000003</v>
      </c>
      <c r="Y5165">
        <v>0.55608279999999999</v>
      </c>
      <c r="Z5165">
        <v>9.5517749999999998E-2</v>
      </c>
      <c r="AA5165">
        <v>0.82561989999999996</v>
      </c>
      <c r="AB5165">
        <v>34</v>
      </c>
      <c r="AC5165">
        <v>0.25049999999998801</v>
      </c>
      <c r="AD5165">
        <v>-1.0934010000000001</v>
      </c>
      <c r="AE5165">
        <v>-6.6232604000000004</v>
      </c>
      <c r="AF5165">
        <v>3.7291206706910098</v>
      </c>
      <c r="AG5165">
        <v>-1.0934010000000001</v>
      </c>
      <c r="AH5165">
        <v>5.26565444070906</v>
      </c>
      <c r="AI5165">
        <v>99.617776896432503</v>
      </c>
      <c r="AJ5165">
        <v>54.693988476888499</v>
      </c>
      <c r="AK5165">
        <v>6.5443856405574898</v>
      </c>
      <c r="AL5165">
        <v>87.399893195900702</v>
      </c>
      <c r="AM5165">
        <v>73.515554779469298</v>
      </c>
      <c r="AN5165">
        <v>0.99999999353204605</v>
      </c>
    </row>
    <row r="5166" spans="1:40" x14ac:dyDescent="0.25">
      <c r="A5166" t="str">
        <f>"20190312151418989"</f>
        <v>20190312151418989</v>
      </c>
      <c r="B5166" t="str">
        <f>"1552374858985520"</f>
        <v>1552374858985520</v>
      </c>
      <c r="C5166" t="s">
        <v>40</v>
      </c>
      <c r="D5166">
        <v>4.9040140000000001</v>
      </c>
      <c r="E5166">
        <v>0.6144174</v>
      </c>
      <c r="F5166" t="s">
        <v>43</v>
      </c>
      <c r="G5166">
        <v>-303.06900000000002</v>
      </c>
      <c r="H5166">
        <v>-0.05</v>
      </c>
      <c r="I5166">
        <v>-0.14808650000000001</v>
      </c>
      <c r="J5166">
        <v>-303.23050000000001</v>
      </c>
      <c r="K5166">
        <v>1.043342</v>
      </c>
      <c r="L5166">
        <v>6.4665530000000002</v>
      </c>
      <c r="M5166">
        <v>0.59438210000000002</v>
      </c>
      <c r="N5166">
        <v>0</v>
      </c>
      <c r="O5166">
        <v>-0.80406719999999998</v>
      </c>
      <c r="P5166">
        <v>0.34492479999999998</v>
      </c>
      <c r="Q5166">
        <v>4.3392970000000003E-2</v>
      </c>
      <c r="R5166">
        <v>-0.93762699999999999</v>
      </c>
      <c r="S5166">
        <v>0.16506960000000001</v>
      </c>
      <c r="T5166">
        <v>-0.50418189999999996</v>
      </c>
      <c r="U5166">
        <v>-3.1784669999999999</v>
      </c>
      <c r="V5166">
        <v>0.2819816</v>
      </c>
      <c r="W5166">
        <v>4.5523470000000003E-2</v>
      </c>
      <c r="X5166">
        <v>0.95833919999999995</v>
      </c>
      <c r="Y5166">
        <v>0.55155069999999995</v>
      </c>
      <c r="Z5166">
        <v>9.8013779999999995E-2</v>
      </c>
      <c r="AA5166">
        <v>0.82836290000000001</v>
      </c>
      <c r="AB5166">
        <v>34</v>
      </c>
      <c r="AC5166">
        <v>0.16149999999998901</v>
      </c>
      <c r="AD5166">
        <v>-1.093342</v>
      </c>
      <c r="AE5166">
        <v>-6.6146395</v>
      </c>
      <c r="AF5166">
        <v>3.7010625922878302</v>
      </c>
      <c r="AG5166">
        <v>-1.093342</v>
      </c>
      <c r="AH5166">
        <v>5.2711814317014802</v>
      </c>
      <c r="AI5166">
        <v>99.634341445576993</v>
      </c>
      <c r="AJ5166">
        <v>54.926097637154697</v>
      </c>
      <c r="AK5166">
        <v>6.5328871662466996</v>
      </c>
      <c r="AL5166">
        <v>87.390795598091501</v>
      </c>
      <c r="AM5166">
        <v>73.604014662339694</v>
      </c>
      <c r="AN5166">
        <v>1.00000001565802</v>
      </c>
    </row>
    <row r="5167" spans="1:40" x14ac:dyDescent="0.25">
      <c r="A5167" t="str">
        <f>"20190312151419014"</f>
        <v>20190312151419014</v>
      </c>
      <c r="B5167" t="str">
        <f>"1552374859006016"</f>
        <v>1552374859006016</v>
      </c>
      <c r="C5167" t="s">
        <v>40</v>
      </c>
      <c r="D5167">
        <v>5.0471659999999998</v>
      </c>
      <c r="E5167">
        <v>0.61212310000000003</v>
      </c>
      <c r="F5167" t="s">
        <v>43</v>
      </c>
      <c r="G5167">
        <v>-302.89229999999998</v>
      </c>
      <c r="H5167">
        <v>-0.05</v>
      </c>
      <c r="I5167">
        <v>-0.2220917</v>
      </c>
      <c r="J5167">
        <v>-303.00749999999999</v>
      </c>
      <c r="K5167">
        <v>1.0432779999999999</v>
      </c>
      <c r="L5167">
        <v>6.1374209999999998</v>
      </c>
      <c r="M5167">
        <v>0.57786040000000005</v>
      </c>
      <c r="N5167">
        <v>0</v>
      </c>
      <c r="O5167">
        <v>-0.81602140000000001</v>
      </c>
      <c r="P5167">
        <v>0.32735310000000001</v>
      </c>
      <c r="Q5167">
        <v>4.3638400000000001E-2</v>
      </c>
      <c r="R5167">
        <v>-0.94389440000000002</v>
      </c>
      <c r="S5167">
        <v>0.16003419999999999</v>
      </c>
      <c r="T5167">
        <v>-0.51729420000000004</v>
      </c>
      <c r="U5167">
        <v>-3.164612</v>
      </c>
      <c r="V5167">
        <v>0.2803446</v>
      </c>
      <c r="W5167">
        <v>4.5816889999999999E-2</v>
      </c>
      <c r="X5167">
        <v>0.95880540000000003</v>
      </c>
      <c r="Y5167">
        <v>0.53563570000000005</v>
      </c>
      <c r="Z5167">
        <v>0.1046229</v>
      </c>
      <c r="AA5167">
        <v>0.83794299999999999</v>
      </c>
      <c r="AB5167">
        <v>34</v>
      </c>
      <c r="AC5167">
        <v>0.115200000000015</v>
      </c>
      <c r="AD5167">
        <v>-1.093278</v>
      </c>
      <c r="AE5167">
        <v>-6.3595126999999998</v>
      </c>
      <c r="AF5167">
        <v>3.4784703876145602</v>
      </c>
      <c r="AG5167">
        <v>-1.093278</v>
      </c>
      <c r="AH5167">
        <v>5.1057141647111104</v>
      </c>
      <c r="AI5167">
        <v>100.035293658215</v>
      </c>
      <c r="AJ5167">
        <v>55.733799290448196</v>
      </c>
      <c r="AK5167">
        <v>6.2740202545518704</v>
      </c>
      <c r="AL5167">
        <v>87.373966370860998</v>
      </c>
      <c r="AM5167">
        <v>73.701636106370103</v>
      </c>
      <c r="AN5167">
        <v>1.0000000386137899</v>
      </c>
    </row>
    <row r="5168" spans="1:40" x14ac:dyDescent="0.25">
      <c r="A5168" t="str">
        <f>"20190312151419035"</f>
        <v>20190312151419035</v>
      </c>
      <c r="B5168" t="str">
        <f>"1552374859025536"</f>
        <v>1552374859025536</v>
      </c>
      <c r="C5168" t="s">
        <v>40</v>
      </c>
      <c r="D5168">
        <v>4.8961319999999997</v>
      </c>
      <c r="E5168">
        <v>0.61108339999999906</v>
      </c>
      <c r="F5168" t="s">
        <v>43</v>
      </c>
      <c r="G5168">
        <v>-302.75810000000001</v>
      </c>
      <c r="H5168">
        <v>-0.05</v>
      </c>
      <c r="I5168">
        <v>-0.52217100000000005</v>
      </c>
      <c r="J5168">
        <v>-302.83519999999999</v>
      </c>
      <c r="K5168">
        <v>1.0432319999999999</v>
      </c>
      <c r="L5168">
        <v>5.8731689999999999</v>
      </c>
      <c r="M5168">
        <v>0.56455959999999905</v>
      </c>
      <c r="N5168">
        <v>0</v>
      </c>
      <c r="O5168">
        <v>-0.82527909999999904</v>
      </c>
      <c r="P5168">
        <v>0.31359500000000001</v>
      </c>
      <c r="Q5168">
        <v>4.3559149999999998E-2</v>
      </c>
      <c r="R5168">
        <v>-0.94855730000000005</v>
      </c>
      <c r="S5168">
        <v>0.1183777</v>
      </c>
      <c r="T5168">
        <v>-0.51897570000000004</v>
      </c>
      <c r="U5168">
        <v>-3.1612849999999999</v>
      </c>
      <c r="V5168">
        <v>0.27874949999999998</v>
      </c>
      <c r="W5168">
        <v>4.5790209999999998E-2</v>
      </c>
      <c r="X5168">
        <v>0.9592716</v>
      </c>
      <c r="Y5168">
        <v>0.53295360000000003</v>
      </c>
      <c r="Z5168">
        <v>0.1073955</v>
      </c>
      <c r="AA5168">
        <v>0.83930130000000003</v>
      </c>
      <c r="AB5168">
        <v>34</v>
      </c>
      <c r="AC5168">
        <v>7.7099999999972996E-2</v>
      </c>
      <c r="AD5168">
        <v>-1.093232</v>
      </c>
      <c r="AE5168">
        <v>-6.39534</v>
      </c>
      <c r="AF5168">
        <v>3.44655532224614</v>
      </c>
      <c r="AG5168">
        <v>-1.093232</v>
      </c>
      <c r="AH5168">
        <v>5.17088788784028</v>
      </c>
      <c r="AI5168">
        <v>99.977582207783499</v>
      </c>
      <c r="AJ5168">
        <v>56.315327652332002</v>
      </c>
      <c r="AK5168">
        <v>6.3096736321096998</v>
      </c>
      <c r="AL5168">
        <v>87.375496565776203</v>
      </c>
      <c r="AM5168">
        <v>73.796952101899805</v>
      </c>
      <c r="AN5168">
        <v>1.00000001482432</v>
      </c>
    </row>
    <row r="5169" spans="1:40" x14ac:dyDescent="0.25">
      <c r="A5169" t="str">
        <f>"20190312151419055"</f>
        <v>20190312151419055</v>
      </c>
      <c r="B5169" t="str">
        <f>"1552374859046032"</f>
        <v>1552374859046032</v>
      </c>
      <c r="C5169" t="s">
        <v>40</v>
      </c>
      <c r="D5169">
        <v>4.9304779999999999</v>
      </c>
      <c r="E5169">
        <v>0.60019440000000002</v>
      </c>
      <c r="F5169" t="s">
        <v>42</v>
      </c>
      <c r="G5169">
        <v>-302.67309999999998</v>
      </c>
      <c r="H5169" s="1">
        <v>-4.7326969999999997E-6</v>
      </c>
      <c r="I5169">
        <v>-0.4603138</v>
      </c>
      <c r="J5169">
        <v>-302.66500000000002</v>
      </c>
      <c r="K5169">
        <v>1.0431889999999999</v>
      </c>
      <c r="L5169">
        <v>5.6027529999999999</v>
      </c>
      <c r="M5169">
        <v>0.55091400000000001</v>
      </c>
      <c r="N5169">
        <v>0</v>
      </c>
      <c r="O5169">
        <v>-0.83444979999999902</v>
      </c>
      <c r="P5169">
        <v>0.2999269</v>
      </c>
      <c r="Q5169">
        <v>4.3660959999999999E-2</v>
      </c>
      <c r="R5169">
        <v>-0.95296250000000005</v>
      </c>
      <c r="S5169">
        <v>8.0871579999999998E-2</v>
      </c>
      <c r="T5169">
        <v>-0.52048339999999904</v>
      </c>
      <c r="U5169">
        <v>-3.1598510000000002</v>
      </c>
      <c r="V5169">
        <v>0.27677239999999997</v>
      </c>
      <c r="W5169">
        <v>4.5962650000000001E-2</v>
      </c>
      <c r="X5169">
        <v>0.95983560000000001</v>
      </c>
      <c r="Y5169">
        <v>0.52900609999999904</v>
      </c>
      <c r="Z5169">
        <v>0.1101347</v>
      </c>
      <c r="AA5169">
        <v>0.84144099999999999</v>
      </c>
      <c r="AB5169">
        <v>34</v>
      </c>
      <c r="AC5169">
        <v>-8.0999999999562498E-3</v>
      </c>
      <c r="AD5169">
        <v>-1.043193732697</v>
      </c>
      <c r="AE5169">
        <v>-6.0630667999999996</v>
      </c>
      <c r="AF5169">
        <v>3.25105790669084</v>
      </c>
      <c r="AG5169">
        <v>-1.043193732697</v>
      </c>
      <c r="AH5169">
        <v>4.9099827766275199</v>
      </c>
      <c r="AI5169">
        <v>100.04575260397201</v>
      </c>
      <c r="AJ5169">
        <v>56.490172958310403</v>
      </c>
      <c r="AK5169">
        <v>5.9804315516001196</v>
      </c>
      <c r="AL5169">
        <v>87.365605904727204</v>
      </c>
      <c r="AM5169">
        <v>73.914873906713893</v>
      </c>
      <c r="AN5169">
        <v>0.99999995281206999</v>
      </c>
    </row>
    <row r="5170" spans="1:40" x14ac:dyDescent="0.25">
      <c r="A5170" t="str">
        <f>"20190312151419098"</f>
        <v>20190312151419098</v>
      </c>
      <c r="B5170" t="str">
        <f>"1552374859095807"</f>
        <v>1552374859095807</v>
      </c>
      <c r="C5170" t="s">
        <v>40</v>
      </c>
      <c r="D5170">
        <v>4.9333960000000001</v>
      </c>
      <c r="E5170">
        <v>0.59672939999999997</v>
      </c>
      <c r="F5170" t="s">
        <v>42</v>
      </c>
      <c r="G5170">
        <v>-302.38780000000003</v>
      </c>
      <c r="H5170" s="1">
        <v>-4.2412220000000003E-6</v>
      </c>
      <c r="I5170">
        <v>-1.608366</v>
      </c>
      <c r="J5170">
        <v>-302.3263</v>
      </c>
      <c r="K5170">
        <v>1.04312</v>
      </c>
      <c r="L5170">
        <v>5.0328059999999999</v>
      </c>
      <c r="M5170">
        <v>0.52206189999999997</v>
      </c>
      <c r="N5170">
        <v>0</v>
      </c>
      <c r="O5170">
        <v>-0.85279740000000004</v>
      </c>
      <c r="P5170">
        <v>0.2711788</v>
      </c>
      <c r="Q5170">
        <v>4.3820100000000001E-2</v>
      </c>
      <c r="R5170">
        <v>-0.96153129999999998</v>
      </c>
      <c r="S5170">
        <v>0.1203613</v>
      </c>
      <c r="T5170">
        <v>-0.45293749999999999</v>
      </c>
      <c r="U5170">
        <v>-3.130951</v>
      </c>
      <c r="V5170">
        <v>0.27278269999999999</v>
      </c>
      <c r="W5170">
        <v>4.6267019999999999E-2</v>
      </c>
      <c r="X5170">
        <v>0.96096250000000005</v>
      </c>
      <c r="Y5170">
        <v>0.4888248</v>
      </c>
      <c r="Z5170">
        <v>0.1026214</v>
      </c>
      <c r="AA5170">
        <v>0.86632509999999996</v>
      </c>
      <c r="AB5170">
        <v>34</v>
      </c>
      <c r="AC5170">
        <v>-6.1500000000023598E-2</v>
      </c>
      <c r="AD5170">
        <v>-1.0431242412219901</v>
      </c>
      <c r="AE5170">
        <v>-6.6411720000000001</v>
      </c>
      <c r="AF5170">
        <v>3.4351404622975399</v>
      </c>
      <c r="AG5170">
        <v>-1.0431242412219901</v>
      </c>
      <c r="AH5170">
        <v>5.4964077891884999</v>
      </c>
      <c r="AI5170">
        <v>99.142620239624193</v>
      </c>
      <c r="AJ5170">
        <v>57.995474394952701</v>
      </c>
      <c r="AK5170">
        <v>6.5649673847926104</v>
      </c>
      <c r="AL5170">
        <v>87.348148293713606</v>
      </c>
      <c r="AM5170">
        <v>74.152662212850302</v>
      </c>
      <c r="AN5170">
        <v>0.99999998248261002</v>
      </c>
    </row>
    <row r="5171" spans="1:40" x14ac:dyDescent="0.25">
      <c r="A5171" t="str">
        <f>"20190312151419123"</f>
        <v>20190312151419123</v>
      </c>
      <c r="B5171" t="str">
        <f>"1552374859115328"</f>
        <v>1552374859115328</v>
      </c>
      <c r="C5171" t="s">
        <v>40</v>
      </c>
      <c r="D5171">
        <v>4.6845429999999997</v>
      </c>
      <c r="E5171">
        <v>0.59608930000000004</v>
      </c>
      <c r="F5171" t="s">
        <v>42</v>
      </c>
      <c r="G5171">
        <v>-302.18419999999998</v>
      </c>
      <c r="H5171" s="1">
        <v>-3.5521229999999998E-6</v>
      </c>
      <c r="I5171">
        <v>-3.1776599999999999</v>
      </c>
      <c r="J5171">
        <v>-302.1386</v>
      </c>
      <c r="K5171">
        <v>1.04308</v>
      </c>
      <c r="L5171">
        <v>4.6973880000000001</v>
      </c>
      <c r="M5171">
        <v>0.50501720000000005</v>
      </c>
      <c r="N5171">
        <v>0</v>
      </c>
      <c r="O5171">
        <v>-0.86300030000000005</v>
      </c>
      <c r="P5171">
        <v>0.25338549999999999</v>
      </c>
      <c r="Q5171">
        <v>4.358248E-2</v>
      </c>
      <c r="R5171">
        <v>-0.9663832</v>
      </c>
      <c r="S5171">
        <v>5.4046629999999998E-2</v>
      </c>
      <c r="T5171">
        <v>-0.39675349999999998</v>
      </c>
      <c r="U5171">
        <v>-3.1228639999999999</v>
      </c>
      <c r="V5171">
        <v>0.27142939999999999</v>
      </c>
      <c r="W5171">
        <v>4.6075060000000001E-2</v>
      </c>
      <c r="X5171">
        <v>0.96135490000000001</v>
      </c>
      <c r="Y5171">
        <v>0.48985970000000001</v>
      </c>
      <c r="Z5171">
        <v>9.2169429999999997E-2</v>
      </c>
      <c r="AA5171">
        <v>0.86691530000000006</v>
      </c>
      <c r="AB5171">
        <v>34</v>
      </c>
      <c r="AC5171">
        <v>-4.55999999999789E-2</v>
      </c>
      <c r="AD5171">
        <v>-1.043083552123</v>
      </c>
      <c r="AE5171">
        <v>-7.8750479999999996</v>
      </c>
      <c r="AF5171">
        <v>3.94751198725668</v>
      </c>
      <c r="AG5171">
        <v>-1.043083552123</v>
      </c>
      <c r="AH5171">
        <v>6.6569899742085497</v>
      </c>
      <c r="AI5171">
        <v>97.675826187293694</v>
      </c>
      <c r="AJ5171">
        <v>59.332588092793301</v>
      </c>
      <c r="AK5171">
        <v>7.80937831731553</v>
      </c>
      <c r="AL5171">
        <v>87.359158677837698</v>
      </c>
      <c r="AM5171">
        <v>74.233478931288303</v>
      </c>
      <c r="AN5171">
        <v>1.0000000370461799</v>
      </c>
    </row>
    <row r="5172" spans="1:40" x14ac:dyDescent="0.25">
      <c r="A5172" t="str">
        <f>"20190312151419150"</f>
        <v>20190312151419150</v>
      </c>
      <c r="B5172" t="str">
        <f>"1552374859145584"</f>
        <v>1552374859145584</v>
      </c>
      <c r="C5172" t="s">
        <v>40</v>
      </c>
      <c r="D5172">
        <v>4.8844690000000002</v>
      </c>
      <c r="E5172">
        <v>0.59378189999999997</v>
      </c>
      <c r="F5172" t="s">
        <v>42</v>
      </c>
      <c r="G5172">
        <v>-302.13339999999999</v>
      </c>
      <c r="H5172" s="1">
        <v>-3.269968E-6</v>
      </c>
      <c r="I5172">
        <v>-3.745984</v>
      </c>
      <c r="J5172">
        <v>-301.9434</v>
      </c>
      <c r="K5172">
        <v>1.0430410000000001</v>
      </c>
      <c r="L5172">
        <v>4.3297730000000003</v>
      </c>
      <c r="M5172">
        <v>0.48629860000000003</v>
      </c>
      <c r="N5172">
        <v>0</v>
      </c>
      <c r="O5172">
        <v>-0.87368489999999999</v>
      </c>
      <c r="P5172">
        <v>0.2341675</v>
      </c>
      <c r="Q5172">
        <v>4.3322970000000002E-2</v>
      </c>
      <c r="R5172">
        <v>-0.97123040000000005</v>
      </c>
      <c r="S5172">
        <v>1.922607E-3</v>
      </c>
      <c r="T5172">
        <v>-0.38559500000000002</v>
      </c>
      <c r="U5172">
        <v>-3.1212460000000002</v>
      </c>
      <c r="V5172">
        <v>0.26977649999999997</v>
      </c>
      <c r="W5172">
        <v>4.5874529999999997E-2</v>
      </c>
      <c r="X5172">
        <v>0.96182959999999995</v>
      </c>
      <c r="Y5172">
        <v>0.48556149999999998</v>
      </c>
      <c r="Z5172">
        <v>9.1734769999999993E-2</v>
      </c>
      <c r="AA5172">
        <v>0.86937609999999999</v>
      </c>
      <c r="AB5172">
        <v>34</v>
      </c>
      <c r="AC5172">
        <v>-0.189999999999997</v>
      </c>
      <c r="AD5172">
        <v>-1.04304426996799</v>
      </c>
      <c r="AE5172">
        <v>-8.0757569999999994</v>
      </c>
      <c r="AF5172">
        <v>4.0264837903420698</v>
      </c>
      <c r="AG5172">
        <v>-1.04304426996799</v>
      </c>
      <c r="AH5172">
        <v>6.84972463799176</v>
      </c>
      <c r="AI5172">
        <v>97.478710359705104</v>
      </c>
      <c r="AJ5172">
        <v>59.551647066794096</v>
      </c>
      <c r="AK5172">
        <v>8.01369082753458</v>
      </c>
      <c r="AL5172">
        <v>87.370660280144804</v>
      </c>
      <c r="AM5172">
        <v>74.332114221209594</v>
      </c>
      <c r="AN5172">
        <v>1.00000000594556</v>
      </c>
    </row>
    <row r="5173" spans="1:40" x14ac:dyDescent="0.25">
      <c r="A5173" t="str">
        <f>"20190312151419172"</f>
        <v>20190312151419172</v>
      </c>
      <c r="B5173" t="str">
        <f>"1552374859166080"</f>
        <v>1552374859166080</v>
      </c>
      <c r="C5173" t="s">
        <v>40</v>
      </c>
      <c r="D5173">
        <v>4.8117929999999998</v>
      </c>
      <c r="E5173">
        <v>0.59301719999999902</v>
      </c>
      <c r="F5173" t="s">
        <v>42</v>
      </c>
      <c r="G5173">
        <v>-302.05689999999998</v>
      </c>
      <c r="H5173" s="1">
        <v>-3.064919E-6</v>
      </c>
      <c r="I5173">
        <v>-4.1366769999999997</v>
      </c>
      <c r="J5173">
        <v>-301.78469999999999</v>
      </c>
      <c r="K5173">
        <v>1.04301</v>
      </c>
      <c r="L5173">
        <v>4.0159909999999996</v>
      </c>
      <c r="M5173">
        <v>0.47028520000000001</v>
      </c>
      <c r="N5173">
        <v>0</v>
      </c>
      <c r="O5173">
        <v>-0.88240759999999996</v>
      </c>
      <c r="P5173">
        <v>0.21890519999999999</v>
      </c>
      <c r="Q5173">
        <v>4.3862720000000001E-2</v>
      </c>
      <c r="R5173">
        <v>-0.97475999999999996</v>
      </c>
      <c r="S5173">
        <v>-4.1778559999999999E-2</v>
      </c>
      <c r="T5173">
        <v>-0.38388990000000001</v>
      </c>
      <c r="U5173">
        <v>-3.1160580000000002</v>
      </c>
      <c r="V5173">
        <v>0.26733580000000001</v>
      </c>
      <c r="W5173">
        <v>4.6510910000000003E-2</v>
      </c>
      <c r="X5173">
        <v>0.96248029999999996</v>
      </c>
      <c r="Y5173">
        <v>0.48182000000000003</v>
      </c>
      <c r="Z5173">
        <v>9.3177309999999999E-2</v>
      </c>
      <c r="AA5173">
        <v>0.87130219999999903</v>
      </c>
      <c r="AB5173">
        <v>34</v>
      </c>
      <c r="AC5173">
        <v>-0.272199999999998</v>
      </c>
      <c r="AD5173">
        <v>-1.0430130649189999</v>
      </c>
      <c r="AE5173">
        <v>-8.1526679999999896</v>
      </c>
      <c r="AF5173">
        <v>4.0091091564886296</v>
      </c>
      <c r="AG5173">
        <v>-1.0430130649189999</v>
      </c>
      <c r="AH5173">
        <v>6.9529560237525603</v>
      </c>
      <c r="AI5173">
        <v>97.404343132067496</v>
      </c>
      <c r="AJ5173">
        <v>60.032036238415799</v>
      </c>
      <c r="AK5173">
        <v>8.093480706746</v>
      </c>
      <c r="AL5173">
        <v>87.334159442898994</v>
      </c>
      <c r="AM5173">
        <v>74.476985405752998</v>
      </c>
      <c r="AN5173">
        <v>1.0000000112993701</v>
      </c>
    </row>
    <row r="5174" spans="1:40" x14ac:dyDescent="0.25">
      <c r="A5174" t="str">
        <f>"20190312151419191"</f>
        <v>20190312151419191</v>
      </c>
      <c r="B5174" t="str">
        <f>"1552374859185601"</f>
        <v>1552374859185601</v>
      </c>
      <c r="C5174" t="s">
        <v>40</v>
      </c>
      <c r="D5174">
        <v>4.8223969999999996</v>
      </c>
      <c r="E5174">
        <v>0.57904109999999998</v>
      </c>
      <c r="F5174" t="s">
        <v>42</v>
      </c>
      <c r="G5174">
        <v>-302.0163</v>
      </c>
      <c r="H5174" s="1">
        <v>-2.870389E-6</v>
      </c>
      <c r="I5174">
        <v>-4.5253629999999996</v>
      </c>
      <c r="J5174">
        <v>-301.65410000000003</v>
      </c>
      <c r="K5174">
        <v>1.04298</v>
      </c>
      <c r="L5174">
        <v>3.7468870000000001</v>
      </c>
      <c r="M5174">
        <v>0.45652720000000002</v>
      </c>
      <c r="N5174">
        <v>0</v>
      </c>
      <c r="O5174">
        <v>-0.88960309999999898</v>
      </c>
      <c r="P5174">
        <v>0.20587510000000001</v>
      </c>
      <c r="Q5174">
        <v>4.4229409999999997E-2</v>
      </c>
      <c r="R5174">
        <v>-0.97757799999999995</v>
      </c>
      <c r="S5174">
        <v>-8.4442139999999999E-2</v>
      </c>
      <c r="T5174">
        <v>-0.38022879999999998</v>
      </c>
      <c r="U5174">
        <v>-3.1137389999999998</v>
      </c>
      <c r="V5174">
        <v>0.26524769999999998</v>
      </c>
      <c r="W5174">
        <v>4.6961500000000003E-2</v>
      </c>
      <c r="X5174">
        <v>0.96303589999999994</v>
      </c>
      <c r="Y5174">
        <v>0.48016920000000002</v>
      </c>
      <c r="Z5174">
        <v>9.3695390000000003E-2</v>
      </c>
      <c r="AA5174">
        <v>0.87215750000000003</v>
      </c>
      <c r="AB5174">
        <v>34</v>
      </c>
      <c r="AC5174">
        <v>-0.36219999999997199</v>
      </c>
      <c r="AD5174">
        <v>-1.0429828703890001</v>
      </c>
      <c r="AE5174">
        <v>-8.2722499999999997</v>
      </c>
      <c r="AF5174">
        <v>4.0350874025736303</v>
      </c>
      <c r="AG5174">
        <v>-1.0429828703890001</v>
      </c>
      <c r="AH5174">
        <v>7.0819811228642404</v>
      </c>
      <c r="AI5174">
        <v>97.291940435612403</v>
      </c>
      <c r="AJ5174">
        <v>60.326886525968497</v>
      </c>
      <c r="AK5174">
        <v>8.21731101023558</v>
      </c>
      <c r="AL5174">
        <v>87.308314089660101</v>
      </c>
      <c r="AM5174">
        <v>74.600916944963998</v>
      </c>
      <c r="AN5174">
        <v>0.99999993476317195</v>
      </c>
    </row>
    <row r="5175" spans="1:40" x14ac:dyDescent="0.25">
      <c r="A5175" t="str">
        <f>"20190312151419217"</f>
        <v>20190312151419217</v>
      </c>
      <c r="B5175" t="str">
        <f>"1552374859206097"</f>
        <v>1552374859206097</v>
      </c>
      <c r="C5175" t="s">
        <v>40</v>
      </c>
      <c r="D5175">
        <v>4.8180870000000002</v>
      </c>
      <c r="E5175">
        <v>0.57681169999999904</v>
      </c>
      <c r="F5175" t="s">
        <v>42</v>
      </c>
      <c r="G5175">
        <v>-301.69850000000002</v>
      </c>
      <c r="H5175" s="1">
        <v>-2.7706409999999999E-6</v>
      </c>
      <c r="I5175">
        <v>-4.557499</v>
      </c>
      <c r="J5175">
        <v>-301.4862</v>
      </c>
      <c r="K5175">
        <v>1.042942</v>
      </c>
      <c r="L5175">
        <v>3.3842769999999902</v>
      </c>
      <c r="M5175">
        <v>0.43795529999999999</v>
      </c>
      <c r="N5175">
        <v>0</v>
      </c>
      <c r="O5175">
        <v>-0.89889129999999995</v>
      </c>
      <c r="P5175">
        <v>0.1882682</v>
      </c>
      <c r="Q5175">
        <v>4.3762700000000002E-2</v>
      </c>
      <c r="R5175">
        <v>-0.98114219999999996</v>
      </c>
      <c r="S5175">
        <v>-1.6540530000000001E-2</v>
      </c>
      <c r="T5175">
        <v>-0.38806639999999998</v>
      </c>
      <c r="U5175">
        <v>-3.0898439999999998</v>
      </c>
      <c r="V5175">
        <v>0.26255499999999998</v>
      </c>
      <c r="W5175">
        <v>4.6603779999999997E-2</v>
      </c>
      <c r="X5175">
        <v>0.96379099999999995</v>
      </c>
      <c r="Y5175">
        <v>0.44258710000000001</v>
      </c>
      <c r="Z5175">
        <v>9.9334290000000006E-2</v>
      </c>
      <c r="AA5175">
        <v>0.89120669999999902</v>
      </c>
      <c r="AB5175">
        <v>34</v>
      </c>
      <c r="AC5175">
        <v>-0.21230000000002699</v>
      </c>
      <c r="AD5175">
        <v>-1.042944770641</v>
      </c>
      <c r="AE5175">
        <v>-7.9417759999999902</v>
      </c>
      <c r="AF5175">
        <v>3.6071608307912801</v>
      </c>
      <c r="AG5175">
        <v>-1.042944770641</v>
      </c>
      <c r="AH5175">
        <v>6.9271041841700098</v>
      </c>
      <c r="AI5175">
        <v>97.606241043175103</v>
      </c>
      <c r="AJ5175">
        <v>62.492590571241102</v>
      </c>
      <c r="AK5175">
        <v>7.8793473988743497</v>
      </c>
      <c r="AL5175">
        <v>87.328832753836494</v>
      </c>
      <c r="AM5175">
        <v>74.761321422082602</v>
      </c>
      <c r="AN5175">
        <v>1.0000000660081401</v>
      </c>
    </row>
    <row r="5176" spans="1:40" x14ac:dyDescent="0.25">
      <c r="A5176" t="str">
        <f>"20190312151419237"</f>
        <v>20190312151419237</v>
      </c>
      <c r="B5176" t="str">
        <f>"1552374859225616"</f>
        <v>1552374859225616</v>
      </c>
      <c r="C5176" t="s">
        <v>40</v>
      </c>
      <c r="D5176">
        <v>4.8221509999999999</v>
      </c>
      <c r="E5176">
        <v>0.57508840000000006</v>
      </c>
      <c r="F5176" t="s">
        <v>42</v>
      </c>
      <c r="G5176">
        <v>-301.63330000000002</v>
      </c>
      <c r="H5176" s="1">
        <v>-2.5132919999999999E-6</v>
      </c>
      <c r="I5176">
        <v>-5.0652030000000003</v>
      </c>
      <c r="J5176">
        <v>-301.36239999999998</v>
      </c>
      <c r="K5176">
        <v>1.0429139999999999</v>
      </c>
      <c r="L5176">
        <v>3.103577</v>
      </c>
      <c r="M5176">
        <v>0.42355799999999999</v>
      </c>
      <c r="N5176">
        <v>0</v>
      </c>
      <c r="O5176">
        <v>-0.90576429999999997</v>
      </c>
      <c r="P5176">
        <v>0.17515159999999999</v>
      </c>
      <c r="Q5176">
        <v>4.2876369999999997E-2</v>
      </c>
      <c r="R5176">
        <v>-0.98360740000000002</v>
      </c>
      <c r="S5176">
        <v>-5.3710939999999999E-2</v>
      </c>
      <c r="T5176">
        <v>-0.3807857</v>
      </c>
      <c r="U5176">
        <v>-3.0849609999999998</v>
      </c>
      <c r="V5176">
        <v>0.26002920000000002</v>
      </c>
      <c r="W5176">
        <v>4.5822130000000003E-2</v>
      </c>
      <c r="X5176">
        <v>0.96451290000000001</v>
      </c>
      <c r="Y5176">
        <v>0.4390386</v>
      </c>
      <c r="Z5176">
        <v>9.8994020000000002E-2</v>
      </c>
      <c r="AA5176">
        <v>0.89299789999999901</v>
      </c>
      <c r="AB5176">
        <v>34</v>
      </c>
      <c r="AC5176">
        <v>-0.27090000000004</v>
      </c>
      <c r="AD5176">
        <v>-1.042916513292</v>
      </c>
      <c r="AE5176">
        <v>-8.1687799999999999</v>
      </c>
      <c r="AF5176">
        <v>3.6463059859831</v>
      </c>
      <c r="AG5176">
        <v>-1.042916513292</v>
      </c>
      <c r="AH5176">
        <v>7.1682253453737399</v>
      </c>
      <c r="AI5176">
        <v>97.388795425045501</v>
      </c>
      <c r="AJ5176">
        <v>63.038640559266803</v>
      </c>
      <c r="AK5176">
        <v>8.1096656404053995</v>
      </c>
      <c r="AL5176">
        <v>87.373665706396295</v>
      </c>
      <c r="AM5176">
        <v>74.911980714005693</v>
      </c>
      <c r="AN5176">
        <v>0.99999999335839296</v>
      </c>
    </row>
    <row r="5177" spans="1:40" x14ac:dyDescent="0.25">
      <c r="A5177" t="str">
        <f>"20190312151419258"</f>
        <v>20190312151419258</v>
      </c>
      <c r="B5177" t="str">
        <f>"1552374859255873"</f>
        <v>1552374859255873</v>
      </c>
      <c r="C5177" t="s">
        <v>40</v>
      </c>
      <c r="D5177">
        <v>4.8153790000000001</v>
      </c>
      <c r="E5177">
        <v>0.56647150000000002</v>
      </c>
      <c r="F5177" t="s">
        <v>42</v>
      </c>
      <c r="G5177">
        <v>-301.58600000000001</v>
      </c>
      <c r="H5177" s="1">
        <v>-2.3227880000000001E-6</v>
      </c>
      <c r="I5177">
        <v>-5.4416129999999896</v>
      </c>
      <c r="J5177">
        <v>-301.23520000000002</v>
      </c>
      <c r="K5177">
        <v>1.0428900000000001</v>
      </c>
      <c r="L5177">
        <v>2.8018489999999998</v>
      </c>
      <c r="M5177">
        <v>0.40806209999999998</v>
      </c>
      <c r="N5177">
        <v>0</v>
      </c>
      <c r="O5177">
        <v>-0.9128503</v>
      </c>
      <c r="P5177">
        <v>0.16201019999999999</v>
      </c>
      <c r="Q5177">
        <v>4.2026199999999903E-2</v>
      </c>
      <c r="R5177">
        <v>-0.98589400000000005</v>
      </c>
      <c r="S5177">
        <v>-8.0627439999999995E-2</v>
      </c>
      <c r="T5177">
        <v>-0.37599680000000002</v>
      </c>
      <c r="U5177">
        <v>-3.0807500000000001</v>
      </c>
      <c r="V5177">
        <v>0.25644670000000003</v>
      </c>
      <c r="W5177">
        <v>4.512381E-2</v>
      </c>
      <c r="X5177">
        <v>0.96550449999999999</v>
      </c>
      <c r="Y5177">
        <v>0.4315503</v>
      </c>
      <c r="Z5177">
        <v>9.9385020000000004E-2</v>
      </c>
      <c r="AA5177">
        <v>0.89659739999999999</v>
      </c>
      <c r="AB5177">
        <v>34</v>
      </c>
      <c r="AC5177">
        <v>-0.35079999999999201</v>
      </c>
      <c r="AD5177">
        <v>-1.04289232278799</v>
      </c>
      <c r="AE5177">
        <v>-8.2434619999999992</v>
      </c>
      <c r="AF5177">
        <v>3.6264842048466899</v>
      </c>
      <c r="AG5177">
        <v>-1.04289232278799</v>
      </c>
      <c r="AH5177">
        <v>7.2665073870992298</v>
      </c>
      <c r="AI5177">
        <v>97.317668433005096</v>
      </c>
      <c r="AJ5177">
        <v>63.477666197528002</v>
      </c>
      <c r="AK5177">
        <v>8.1878655149984301</v>
      </c>
      <c r="AL5177">
        <v>87.413717954611698</v>
      </c>
      <c r="AM5177">
        <v>75.125173469737007</v>
      </c>
      <c r="AN5177">
        <v>1.0000000038450201</v>
      </c>
    </row>
    <row r="5178" spans="1:40" x14ac:dyDescent="0.25">
      <c r="A5178" t="str">
        <f>"20190312151419283"</f>
        <v>20190312151419283</v>
      </c>
      <c r="B5178" t="str">
        <f>"1552374859275392"</f>
        <v>1552374859275392</v>
      </c>
      <c r="C5178" t="s">
        <v>40</v>
      </c>
      <c r="D5178">
        <v>4.86998</v>
      </c>
      <c r="E5178">
        <v>0.56505509999999903</v>
      </c>
      <c r="F5178" t="s">
        <v>42</v>
      </c>
      <c r="G5178">
        <v>-301.39109999999999</v>
      </c>
      <c r="H5178" s="1">
        <v>-1.9227759999999998E-6</v>
      </c>
      <c r="I5178">
        <v>-6.1780879999999998</v>
      </c>
      <c r="J5178">
        <v>-301.09480000000002</v>
      </c>
      <c r="K5178">
        <v>1.0428679999999999</v>
      </c>
      <c r="L5178">
        <v>2.4514469999999999</v>
      </c>
      <c r="M5178">
        <v>0.39003949999999998</v>
      </c>
      <c r="N5178">
        <v>0</v>
      </c>
      <c r="O5178">
        <v>-0.92069509999999999</v>
      </c>
      <c r="P5178">
        <v>0.1459107</v>
      </c>
      <c r="Q5178">
        <v>4.2046029999999998E-2</v>
      </c>
      <c r="R5178">
        <v>-0.98840399999999995</v>
      </c>
      <c r="S5178">
        <v>-5.3222659999999998E-2</v>
      </c>
      <c r="T5178">
        <v>-0.35617270000000001</v>
      </c>
      <c r="U5178">
        <v>-3.0668639999999998</v>
      </c>
      <c r="V5178">
        <v>0.25321510000000003</v>
      </c>
      <c r="W5178">
        <v>4.5280059999999997E-2</v>
      </c>
      <c r="X5178">
        <v>0.96634969999999998</v>
      </c>
      <c r="Y5178">
        <v>0.40578969999999998</v>
      </c>
      <c r="Z5178">
        <v>9.6695089999999997E-2</v>
      </c>
      <c r="AA5178">
        <v>0.90883700000000001</v>
      </c>
      <c r="AB5178">
        <v>34</v>
      </c>
      <c r="AC5178">
        <v>-0.29629999999997297</v>
      </c>
      <c r="AD5178">
        <v>-1.0428699227760001</v>
      </c>
      <c r="AE5178">
        <v>-8.6295350000000006</v>
      </c>
      <c r="AF5178">
        <v>3.5866867490719998</v>
      </c>
      <c r="AG5178">
        <v>-1.0428699227760001</v>
      </c>
      <c r="AH5178">
        <v>7.7177636692905303</v>
      </c>
      <c r="AI5178">
        <v>96.9861703350157</v>
      </c>
      <c r="AJ5178">
        <v>65.074229495254798</v>
      </c>
      <c r="AK5178">
        <v>8.5741341001188207</v>
      </c>
      <c r="AL5178">
        <v>87.404756206695893</v>
      </c>
      <c r="AM5178">
        <v>75.316754019974596</v>
      </c>
      <c r="AN5178">
        <v>0.99999995669584996</v>
      </c>
    </row>
    <row r="5179" spans="1:40" x14ac:dyDescent="0.25">
      <c r="A5179" t="str">
        <f>"20190312151419307"</f>
        <v>20190312151419307</v>
      </c>
      <c r="B5179" t="str">
        <f>"1552374859295888"</f>
        <v>1552374859295888</v>
      </c>
      <c r="C5179" t="s">
        <v>40</v>
      </c>
      <c r="D5179">
        <v>4.860347</v>
      </c>
      <c r="E5179">
        <v>0.56395509999999904</v>
      </c>
      <c r="F5179" t="s">
        <v>42</v>
      </c>
      <c r="G5179">
        <v>-301.3657</v>
      </c>
      <c r="H5179" s="1">
        <v>-1.720927E-6</v>
      </c>
      <c r="I5179">
        <v>-6.5907859999999996</v>
      </c>
      <c r="J5179">
        <v>-300.96039999999999</v>
      </c>
      <c r="K5179">
        <v>1.042848</v>
      </c>
      <c r="L5179">
        <v>2.0958559999999999</v>
      </c>
      <c r="M5179">
        <v>0.37172959999999999</v>
      </c>
      <c r="N5179">
        <v>0</v>
      </c>
      <c r="O5179">
        <v>-0.92823869999999997</v>
      </c>
      <c r="P5179">
        <v>0.13014100000000001</v>
      </c>
      <c r="Q5179">
        <v>4.266731E-2</v>
      </c>
      <c r="R5179">
        <v>-0.99057729999999999</v>
      </c>
      <c r="S5179">
        <v>-9.1766360000000005E-2</v>
      </c>
      <c r="T5179">
        <v>-0.35335559999999899</v>
      </c>
      <c r="U5179">
        <v>-3.0637819999999998</v>
      </c>
      <c r="V5179">
        <v>0.24949270000000001</v>
      </c>
      <c r="W5179">
        <v>4.6060299999999998E-2</v>
      </c>
      <c r="X5179">
        <v>0.96728060000000005</v>
      </c>
      <c r="Y5179">
        <v>0.3991323</v>
      </c>
      <c r="Z5179">
        <v>9.7474030000000003E-2</v>
      </c>
      <c r="AA5179">
        <v>0.91169739999999999</v>
      </c>
      <c r="AB5179">
        <v>34</v>
      </c>
      <c r="AC5179">
        <v>-0.40530000000001098</v>
      </c>
      <c r="AD5179">
        <v>-1.042849720927</v>
      </c>
      <c r="AE5179">
        <v>-8.6866419999999902</v>
      </c>
      <c r="AF5179">
        <v>3.5545213979499102</v>
      </c>
      <c r="AG5179">
        <v>-1.042849720927</v>
      </c>
      <c r="AH5179">
        <v>7.8011768528828398</v>
      </c>
      <c r="AI5179">
        <v>96.935740493355397</v>
      </c>
      <c r="AJ5179">
        <v>65.504133817992894</v>
      </c>
      <c r="AK5179">
        <v>8.6360012852521209</v>
      </c>
      <c r="AL5179">
        <v>87.360005055763295</v>
      </c>
      <c r="AM5179">
        <v>75.536820208876094</v>
      </c>
      <c r="AN5179">
        <v>0.99999995886286897</v>
      </c>
    </row>
    <row r="5180" spans="1:40" x14ac:dyDescent="0.25">
      <c r="A5180" t="str">
        <f>"20190312151419335"</f>
        <v>20190312151419335</v>
      </c>
      <c r="B5180" t="str">
        <f>"1552374859325168"</f>
        <v>1552374859325168</v>
      </c>
      <c r="C5180" t="s">
        <v>40</v>
      </c>
      <c r="D5180">
        <v>4.8931889999999996</v>
      </c>
      <c r="E5180">
        <v>0.55582679999999995</v>
      </c>
      <c r="F5180" t="s">
        <v>42</v>
      </c>
      <c r="G5180">
        <v>-301.34780000000001</v>
      </c>
      <c r="H5180" s="1">
        <v>-1.569317E-6</v>
      </c>
      <c r="I5180">
        <v>-6.901446</v>
      </c>
      <c r="J5180">
        <v>-300.81270000000001</v>
      </c>
      <c r="K5180">
        <v>1.042832</v>
      </c>
      <c r="L5180">
        <v>1.6758729999999999</v>
      </c>
      <c r="M5180">
        <v>0.35008830000000002</v>
      </c>
      <c r="N5180">
        <v>0</v>
      </c>
      <c r="O5180">
        <v>-0.93661519999999998</v>
      </c>
      <c r="P5180">
        <v>0.1117078</v>
      </c>
      <c r="Q5180">
        <v>4.3745029999999997E-2</v>
      </c>
      <c r="R5180">
        <v>-0.99277820000000006</v>
      </c>
      <c r="S5180">
        <v>-0.1317749</v>
      </c>
      <c r="T5180">
        <v>-0.3548058</v>
      </c>
      <c r="U5180">
        <v>-3.0611269999999999</v>
      </c>
      <c r="V5180">
        <v>0.2450495</v>
      </c>
      <c r="W5180">
        <v>4.7328729999999999E-2</v>
      </c>
      <c r="X5180">
        <v>0.96835459999999995</v>
      </c>
      <c r="Y5180">
        <v>0.38976060000000001</v>
      </c>
      <c r="Z5180">
        <v>9.9599140000000003E-2</v>
      </c>
      <c r="AA5180">
        <v>0.91551450000000001</v>
      </c>
      <c r="AB5180">
        <v>34</v>
      </c>
      <c r="AC5180">
        <v>-0.53509999999999902</v>
      </c>
      <c r="AD5180">
        <v>-1.0428335693170001</v>
      </c>
      <c r="AE5180">
        <v>-8.5773189999999992</v>
      </c>
      <c r="AF5180">
        <v>3.4534842566989301</v>
      </c>
      <c r="AG5180">
        <v>-1.0428335693170001</v>
      </c>
      <c r="AH5180">
        <v>7.7331939483444998</v>
      </c>
      <c r="AI5180">
        <v>97.019564848311703</v>
      </c>
      <c r="AJ5180">
        <v>65.935450501015197</v>
      </c>
      <c r="AK5180">
        <v>8.5332493229293291</v>
      </c>
      <c r="AL5180">
        <v>87.287249974724602</v>
      </c>
      <c r="AM5180">
        <v>75.798992600178295</v>
      </c>
      <c r="AN5180">
        <v>0.99999994873741005</v>
      </c>
    </row>
    <row r="5181" spans="1:40" x14ac:dyDescent="0.25">
      <c r="A5181" t="str">
        <f>"20190312151419367"</f>
        <v>20190312151419367</v>
      </c>
      <c r="B5181" t="str">
        <f>"1552374859355424"</f>
        <v>1552374859355424</v>
      </c>
      <c r="C5181" t="s">
        <v>40</v>
      </c>
      <c r="D5181">
        <v>4.8788919999999996</v>
      </c>
      <c r="E5181">
        <v>0.55462330000000004</v>
      </c>
      <c r="F5181" t="s">
        <v>42</v>
      </c>
      <c r="G5181">
        <v>-301.15620000000001</v>
      </c>
      <c r="H5181" s="1">
        <v>-1.619034E-6</v>
      </c>
      <c r="I5181">
        <v>-6.688434</v>
      </c>
      <c r="J5181">
        <v>-300.66430000000003</v>
      </c>
      <c r="K5181">
        <v>1.042837</v>
      </c>
      <c r="L5181">
        <v>1.2228699999999999</v>
      </c>
      <c r="M5181">
        <v>0.32668459999999899</v>
      </c>
      <c r="N5181">
        <v>0</v>
      </c>
      <c r="O5181">
        <v>-0.94503250000000005</v>
      </c>
      <c r="P5181">
        <v>9.8847779999999996E-2</v>
      </c>
      <c r="Q5181">
        <v>4.3724319999999997E-2</v>
      </c>
      <c r="R5181">
        <v>-0.99414179999999996</v>
      </c>
      <c r="S5181">
        <v>-0.12536620000000001</v>
      </c>
      <c r="T5181">
        <v>-0.38060070000000001</v>
      </c>
      <c r="U5181">
        <v>-3.0527039999999999</v>
      </c>
      <c r="V5181">
        <v>0.2334831</v>
      </c>
      <c r="W5181">
        <v>4.7833130000000001E-2</v>
      </c>
      <c r="X5181">
        <v>0.97118369999999998</v>
      </c>
      <c r="Y5181">
        <v>0.36487310000000001</v>
      </c>
      <c r="Z5181">
        <v>0.1092239</v>
      </c>
      <c r="AA5181">
        <v>0.92462849999999996</v>
      </c>
      <c r="AB5181">
        <v>34</v>
      </c>
      <c r="AC5181">
        <v>-0.49189999999998602</v>
      </c>
      <c r="AD5181">
        <v>-1.042838619034</v>
      </c>
      <c r="AE5181">
        <v>-7.9113039999999897</v>
      </c>
      <c r="AF5181">
        <v>2.99776635211466</v>
      </c>
      <c r="AG5181">
        <v>-1.042838619034</v>
      </c>
      <c r="AH5181">
        <v>7.19195822559203</v>
      </c>
      <c r="AI5181">
        <v>97.623128931354202</v>
      </c>
      <c r="AJ5181">
        <v>67.372552488720402</v>
      </c>
      <c r="AK5181">
        <v>7.8611944770423099</v>
      </c>
      <c r="AL5181">
        <v>87.258317552300099</v>
      </c>
      <c r="AM5181">
        <v>76.482010814579695</v>
      </c>
      <c r="AN5181">
        <v>1.0000000727284399</v>
      </c>
    </row>
    <row r="5182" spans="1:40" x14ac:dyDescent="0.25">
      <c r="A5182" t="str">
        <f>"20190312151419394"</f>
        <v>20190312151419394</v>
      </c>
      <c r="B5182" t="str">
        <f>"1552374859385680"</f>
        <v>1552374859385680</v>
      </c>
      <c r="C5182" t="s">
        <v>40</v>
      </c>
      <c r="D5182">
        <v>4.8679579999999998</v>
      </c>
      <c r="E5182">
        <v>0.54854579999999997</v>
      </c>
      <c r="F5182" t="s">
        <v>42</v>
      </c>
      <c r="G5182">
        <v>-301.0976</v>
      </c>
      <c r="H5182" s="1">
        <v>-1.3095699999999999E-6</v>
      </c>
      <c r="I5182">
        <v>-7.3101199999999897</v>
      </c>
      <c r="J5182">
        <v>-300.53949999999998</v>
      </c>
      <c r="K5182">
        <v>1.043336</v>
      </c>
      <c r="L5182">
        <v>0.80831909999999996</v>
      </c>
      <c r="M5182">
        <v>0.30418790000000001</v>
      </c>
      <c r="N5182">
        <v>0</v>
      </c>
      <c r="O5182">
        <v>-0.95250429999999997</v>
      </c>
      <c r="P5182">
        <v>8.0111269999999998E-2</v>
      </c>
      <c r="Q5182">
        <v>4.3752869999999999E-2</v>
      </c>
      <c r="R5182">
        <v>-0.99582550000000003</v>
      </c>
      <c r="S5182">
        <v>-0.15484619999999999</v>
      </c>
      <c r="T5182">
        <v>-0.37268319999999999</v>
      </c>
      <c r="U5182">
        <v>-3.0494690000000002</v>
      </c>
      <c r="V5182">
        <v>0.22873160000000001</v>
      </c>
      <c r="W5182">
        <v>4.8720449999999998E-2</v>
      </c>
      <c r="X5182">
        <v>0.97226959999999996</v>
      </c>
      <c r="Y5182">
        <v>0.35174800000000001</v>
      </c>
      <c r="Z5182">
        <v>0.1087349</v>
      </c>
      <c r="AA5182">
        <v>0.92975810000000003</v>
      </c>
      <c r="AB5182">
        <v>34</v>
      </c>
      <c r="AC5182">
        <v>-0.55810000000002402</v>
      </c>
      <c r="AD5182">
        <v>-1.04333730957</v>
      </c>
      <c r="AE5182">
        <v>-8.1184390999999998</v>
      </c>
      <c r="AF5182">
        <v>2.95289117078844</v>
      </c>
      <c r="AG5182">
        <v>-1.04333730957</v>
      </c>
      <c r="AH5182">
        <v>7.4415311774765698</v>
      </c>
      <c r="AI5182">
        <v>97.424913670279096</v>
      </c>
      <c r="AJ5182">
        <v>68.356212709102493</v>
      </c>
      <c r="AK5182">
        <v>8.0736921710836196</v>
      </c>
      <c r="AL5182">
        <v>87.207418314536</v>
      </c>
      <c r="AM5182">
        <v>76.761586200763603</v>
      </c>
      <c r="AN5182">
        <v>1.0000000010854599</v>
      </c>
    </row>
    <row r="5183" spans="1:40" x14ac:dyDescent="0.25">
      <c r="A5183" t="str">
        <f>"20190312151419418"</f>
        <v>20190312151419418</v>
      </c>
      <c r="B5183" t="str">
        <f>"1552374859415936"</f>
        <v>1552374859415936</v>
      </c>
      <c r="C5183" t="s">
        <v>40</v>
      </c>
      <c r="D5183">
        <v>4.8711970000000004</v>
      </c>
      <c r="E5183">
        <v>0.54710319999999901</v>
      </c>
      <c r="F5183" t="s">
        <v>42</v>
      </c>
      <c r="G5183">
        <v>-301.01420000000002</v>
      </c>
      <c r="H5183" s="1">
        <v>-9.0450749999999997E-7</v>
      </c>
      <c r="I5183">
        <v>-8.1200539999999997</v>
      </c>
      <c r="J5183">
        <v>-300.43920000000003</v>
      </c>
      <c r="K5183">
        <v>1.04366</v>
      </c>
      <c r="L5183">
        <v>0.45321660000000002</v>
      </c>
      <c r="M5183">
        <v>0.28501700000000002</v>
      </c>
      <c r="N5183">
        <v>0</v>
      </c>
      <c r="O5183">
        <v>-0.95840729999999996</v>
      </c>
      <c r="P5183">
        <v>6.5510540000000006E-2</v>
      </c>
      <c r="Q5183">
        <v>4.3501020000000001E-2</v>
      </c>
      <c r="R5183">
        <v>-0.99690319999999999</v>
      </c>
      <c r="S5183">
        <v>-0.1616821</v>
      </c>
      <c r="T5183">
        <v>-0.35538320000000001</v>
      </c>
      <c r="U5183">
        <v>-3.0411990000000002</v>
      </c>
      <c r="V5183">
        <v>0.22349840000000001</v>
      </c>
      <c r="W5183">
        <v>4.9153370000000002E-2</v>
      </c>
      <c r="X5183">
        <v>0.97346410000000005</v>
      </c>
      <c r="Y5183">
        <v>0.33516790000000002</v>
      </c>
      <c r="Z5183">
        <v>0.1054081</v>
      </c>
      <c r="AA5183">
        <v>0.93624339999999995</v>
      </c>
      <c r="AB5183">
        <v>34</v>
      </c>
      <c r="AC5183">
        <v>-0.57499999999998797</v>
      </c>
      <c r="AD5183">
        <v>-1.0436609045075</v>
      </c>
      <c r="AE5183">
        <v>-8.5732705999999901</v>
      </c>
      <c r="AF5183">
        <v>2.9514010169881599</v>
      </c>
      <c r="AG5183">
        <v>-1.0436609045075</v>
      </c>
      <c r="AH5183">
        <v>7.9366016841111398</v>
      </c>
      <c r="AI5183">
        <v>97.026456817754294</v>
      </c>
      <c r="AJ5183">
        <v>69.601234749950606</v>
      </c>
      <c r="AK5183">
        <v>8.5316846131881796</v>
      </c>
      <c r="AL5183">
        <v>87.182583986866803</v>
      </c>
      <c r="AM5183">
        <v>77.069505042555505</v>
      </c>
      <c r="AN5183">
        <v>0.99999997128686302</v>
      </c>
    </row>
    <row r="5184" spans="1:40" x14ac:dyDescent="0.25">
      <c r="A5184" t="str">
        <f>"20190312151419455"</f>
        <v>20190312151419455</v>
      </c>
      <c r="B5184" t="str">
        <f>"1552374859445216"</f>
        <v>1552374859445216</v>
      </c>
      <c r="C5184" t="s">
        <v>40</v>
      </c>
      <c r="D5184">
        <v>4.8528669999999998</v>
      </c>
      <c r="E5184">
        <v>0.54648509999999995</v>
      </c>
      <c r="F5184" t="s">
        <v>42</v>
      </c>
      <c r="G5184">
        <v>-301.00540000000001</v>
      </c>
      <c r="H5184" s="1">
        <v>-7.7729559999999903E-7</v>
      </c>
      <c r="I5184">
        <v>-8.3842400000000001</v>
      </c>
      <c r="J5184">
        <v>-300.3</v>
      </c>
      <c r="K5184">
        <v>1.044019</v>
      </c>
      <c r="L5184">
        <v>-9.0301510000000001E-2</v>
      </c>
      <c r="M5184">
        <v>0.25883600000000001</v>
      </c>
      <c r="N5184">
        <v>0</v>
      </c>
      <c r="O5184">
        <v>-0.9658099</v>
      </c>
      <c r="P5184">
        <v>4.8988879999999999E-2</v>
      </c>
      <c r="Q5184">
        <v>4.4102330000000002E-2</v>
      </c>
      <c r="R5184">
        <v>-0.99782510000000002</v>
      </c>
      <c r="S5184">
        <v>-0.19461059999999999</v>
      </c>
      <c r="T5184">
        <v>-0.35874339999999999</v>
      </c>
      <c r="U5184">
        <v>-3.03775</v>
      </c>
      <c r="V5184">
        <v>0.21323249999999999</v>
      </c>
      <c r="W5184">
        <v>4.956961E-2</v>
      </c>
      <c r="X5184">
        <v>0.97574320000000003</v>
      </c>
      <c r="Y5184">
        <v>0.31965290000000002</v>
      </c>
      <c r="Z5184">
        <v>0.10809149999999999</v>
      </c>
      <c r="AA5184">
        <v>0.94134910000000005</v>
      </c>
      <c r="AB5184">
        <v>34</v>
      </c>
      <c r="AC5184">
        <v>-0.70539999999999703</v>
      </c>
      <c r="AD5184">
        <v>-1.0440197772955999</v>
      </c>
      <c r="AE5184">
        <v>-8.2939384900000004</v>
      </c>
      <c r="AF5184">
        <v>2.7845517358105001</v>
      </c>
      <c r="AG5184">
        <v>-1.0440197772955999</v>
      </c>
      <c r="AH5184">
        <v>7.7073798488740799</v>
      </c>
      <c r="AI5184">
        <v>97.260242364988102</v>
      </c>
      <c r="AJ5184">
        <v>70.136031481328502</v>
      </c>
      <c r="AK5184">
        <v>8.2611990533832191</v>
      </c>
      <c r="AL5184">
        <v>87.158706218231004</v>
      </c>
      <c r="AM5184">
        <v>77.672755615654097</v>
      </c>
      <c r="AN5184">
        <v>1.0000000188190199</v>
      </c>
    </row>
    <row r="5185" spans="1:40" x14ac:dyDescent="0.25">
      <c r="A5185" t="str">
        <f>"20190312151419500"</f>
        <v>20190312151419500</v>
      </c>
      <c r="B5185" t="str">
        <f>"1552374859495968"</f>
        <v>1552374859495968</v>
      </c>
      <c r="C5185" t="s">
        <v>40</v>
      </c>
      <c r="D5185">
        <v>5.2248140000000003</v>
      </c>
      <c r="E5185">
        <v>0.57944619999999902</v>
      </c>
      <c r="F5185" t="s">
        <v>42</v>
      </c>
      <c r="G5185">
        <v>-301.01929999999999</v>
      </c>
      <c r="H5185" s="1">
        <v>-4.2226379999999999E-7</v>
      </c>
      <c r="I5185">
        <v>-9.1431539999999991</v>
      </c>
      <c r="J5185">
        <v>-300.15480000000002</v>
      </c>
      <c r="K5185">
        <v>1.0456030000000001</v>
      </c>
      <c r="L5185">
        <v>-0.75811770000000001</v>
      </c>
      <c r="M5185">
        <v>0.22659509999999999</v>
      </c>
      <c r="N5185">
        <v>0</v>
      </c>
      <c r="O5185">
        <v>-0.97392299999999998</v>
      </c>
      <c r="P5185">
        <v>2.477764E-2</v>
      </c>
      <c r="Q5185">
        <v>4.5769379999999998E-2</v>
      </c>
      <c r="R5185">
        <v>-0.9986448</v>
      </c>
      <c r="S5185">
        <v>-0.2410583</v>
      </c>
      <c r="T5185">
        <v>-0.34987780000000002</v>
      </c>
      <c r="U5185">
        <v>-3.0338440000000002</v>
      </c>
      <c r="V5185">
        <v>0.20441899999999999</v>
      </c>
      <c r="W5185">
        <v>4.8165109999999997E-2</v>
      </c>
      <c r="X5185">
        <v>0.97769779999999995</v>
      </c>
      <c r="Y5185">
        <v>0.30253989999999997</v>
      </c>
      <c r="Z5185">
        <v>0.10723679999999999</v>
      </c>
      <c r="AA5185">
        <v>0.94708490000000001</v>
      </c>
      <c r="AB5185">
        <v>33</v>
      </c>
      <c r="AC5185">
        <v>-0.86449999999996396</v>
      </c>
      <c r="AD5185">
        <v>-1.0456034222638</v>
      </c>
      <c r="AE5185">
        <v>-8.3850362999999994</v>
      </c>
      <c r="AF5185">
        <v>2.7005890985208598</v>
      </c>
      <c r="AG5185">
        <v>-1.0456034222638</v>
      </c>
      <c r="AH5185">
        <v>7.8502158195306997</v>
      </c>
      <c r="AI5185">
        <v>97.178589269597197</v>
      </c>
      <c r="AJ5185">
        <v>71.016033352574794</v>
      </c>
      <c r="AK5185">
        <v>8.3673386694282694</v>
      </c>
      <c r="AL5185">
        <v>87.239274341425102</v>
      </c>
      <c r="AM5185">
        <v>78.190606756618493</v>
      </c>
      <c r="AN5185">
        <v>0.99999999675357598</v>
      </c>
    </row>
    <row r="5186" spans="1:40" x14ac:dyDescent="0.25">
      <c r="A5186" t="str">
        <f>"20190312151419529"</f>
        <v>20190312151419529</v>
      </c>
      <c r="B5186" t="str">
        <f>"1552374859525248"</f>
        <v>1552374859525248</v>
      </c>
      <c r="C5186" t="s">
        <v>40</v>
      </c>
      <c r="D5186">
        <v>5.0557860000000003</v>
      </c>
      <c r="E5186">
        <v>0.57792339999999998</v>
      </c>
      <c r="F5186" t="s">
        <v>42</v>
      </c>
      <c r="G5186">
        <v>-302.005</v>
      </c>
      <c r="H5186" s="1">
        <v>-4.618801E-6</v>
      </c>
      <c r="I5186">
        <v>-10.485749999999999</v>
      </c>
      <c r="J5186">
        <v>-300.07589999999999</v>
      </c>
      <c r="K5186">
        <v>1.0477920000000001</v>
      </c>
      <c r="L5186">
        <v>-1.1849369999999999</v>
      </c>
      <c r="M5186">
        <v>0.2055331</v>
      </c>
      <c r="N5186">
        <v>0</v>
      </c>
      <c r="O5186">
        <v>-0.97861030000000004</v>
      </c>
      <c r="P5186">
        <v>7.0349560000000002E-3</v>
      </c>
      <c r="Q5186">
        <v>4.6438279999999998E-2</v>
      </c>
      <c r="R5186">
        <v>-0.99889629999999996</v>
      </c>
      <c r="S5186">
        <v>-0.57693479999999997</v>
      </c>
      <c r="T5186">
        <v>-0.32604739999999999</v>
      </c>
      <c r="U5186">
        <v>-3.033325</v>
      </c>
      <c r="V5186">
        <v>0.20055700000000001</v>
      </c>
      <c r="W5186">
        <v>4.674859E-2</v>
      </c>
      <c r="X5186">
        <v>0.97856609999999999</v>
      </c>
      <c r="Y5186">
        <v>0.38380999999999998</v>
      </c>
      <c r="Z5186">
        <v>9.8463030000000007E-2</v>
      </c>
      <c r="AA5186">
        <v>0.91814759999999995</v>
      </c>
      <c r="AB5186">
        <v>34</v>
      </c>
      <c r="AC5186">
        <v>-1.9291</v>
      </c>
      <c r="AD5186">
        <v>-1.0477966188009999</v>
      </c>
      <c r="AE5186">
        <v>-9.3008129999999998</v>
      </c>
      <c r="AF5186">
        <v>3.7539323990353002</v>
      </c>
      <c r="AG5186">
        <v>-1.0477966188009999</v>
      </c>
      <c r="AH5186">
        <v>8.6010593425114994</v>
      </c>
      <c r="AI5186">
        <v>96.3707432805396</v>
      </c>
      <c r="AJ5186">
        <v>66.421136887292306</v>
      </c>
      <c r="AK5186">
        <v>9.4428866362093995</v>
      </c>
      <c r="AL5186">
        <v>87.320526727666504</v>
      </c>
      <c r="AM5186">
        <v>78.417629920058403</v>
      </c>
      <c r="AN5186">
        <v>1.00000007649259</v>
      </c>
    </row>
    <row r="5187" spans="1:40" x14ac:dyDescent="0.25">
      <c r="A5187" t="str">
        <f>"20190312151419567"</f>
        <v>20190312151419567</v>
      </c>
      <c r="B5187" t="str">
        <f>"1552374859565734"</f>
        <v>1552374859565734</v>
      </c>
      <c r="C5187" t="s">
        <v>40</v>
      </c>
      <c r="D5187">
        <v>5.0246729999999999</v>
      </c>
      <c r="E5187">
        <v>0.57464740000000003</v>
      </c>
      <c r="F5187" t="s">
        <v>42</v>
      </c>
      <c r="G5187">
        <v>-302.14319999999998</v>
      </c>
      <c r="H5187" s="1">
        <v>-4.3657340000000001E-6</v>
      </c>
      <c r="I5187">
        <v>-11.301410000000001</v>
      </c>
      <c r="J5187">
        <v>-299.9821</v>
      </c>
      <c r="K5187">
        <v>1.0519019999999999</v>
      </c>
      <c r="L5187">
        <v>-1.7746580000000001</v>
      </c>
      <c r="M5187">
        <v>0.17499300000000001</v>
      </c>
      <c r="N5187">
        <v>0</v>
      </c>
      <c r="O5187">
        <v>-0.98455170000000003</v>
      </c>
      <c r="P5187">
        <v>-1.5612829999999999E-2</v>
      </c>
      <c r="Q5187">
        <v>4.6681470000000003E-2</v>
      </c>
      <c r="R5187">
        <v>-0.99878820000000001</v>
      </c>
      <c r="S5187">
        <v>-0.61758419999999903</v>
      </c>
      <c r="T5187">
        <v>-0.31302089999999999</v>
      </c>
      <c r="U5187">
        <v>-3.0222169999999999</v>
      </c>
      <c r="V5187">
        <v>0.1920463</v>
      </c>
      <c r="W5187">
        <v>4.5154779999999999E-2</v>
      </c>
      <c r="X5187">
        <v>0.98034650000000001</v>
      </c>
      <c r="Y5187">
        <v>0.36760330000000002</v>
      </c>
      <c r="Z5187">
        <v>9.6034220000000003E-2</v>
      </c>
      <c r="AA5187">
        <v>0.92501089999999997</v>
      </c>
      <c r="AB5187">
        <v>34</v>
      </c>
      <c r="AC5187">
        <v>-2.16109999999997</v>
      </c>
      <c r="AD5187">
        <v>-1.051906365734</v>
      </c>
      <c r="AE5187">
        <v>-9.5267520000000001</v>
      </c>
      <c r="AF5187">
        <v>3.7513991468415</v>
      </c>
      <c r="AG5187">
        <v>-1.051906365734</v>
      </c>
      <c r="AH5187">
        <v>8.8983847262854407</v>
      </c>
      <c r="AI5187">
        <v>96.216650766847295</v>
      </c>
      <c r="AJ5187">
        <v>67.140585818183894</v>
      </c>
      <c r="AK5187">
        <v>9.7139463297974196</v>
      </c>
      <c r="AL5187">
        <v>87.4119416780851</v>
      </c>
      <c r="AM5187">
        <v>78.916323643385098</v>
      </c>
      <c r="AN5187">
        <v>0.99999999778139403</v>
      </c>
    </row>
    <row r="5188" spans="1:40" x14ac:dyDescent="0.25">
      <c r="A5188" t="str">
        <f>"20190312151419612"</f>
        <v>20190312151419612</v>
      </c>
      <c r="B5188" t="str">
        <f>"1552374859605750"</f>
        <v>1552374859605750</v>
      </c>
      <c r="C5188" t="s">
        <v>40</v>
      </c>
      <c r="D5188">
        <v>5.0777289999999997</v>
      </c>
      <c r="E5188">
        <v>0.57221999999999995</v>
      </c>
      <c r="F5188" t="s">
        <v>42</v>
      </c>
      <c r="G5188">
        <v>-302.37430000000001</v>
      </c>
      <c r="H5188" s="1">
        <v>-3.9294290000000002E-6</v>
      </c>
      <c r="I5188">
        <v>-12.70402</v>
      </c>
      <c r="J5188">
        <v>-299.89229999999998</v>
      </c>
      <c r="K5188">
        <v>1.0577259999999999</v>
      </c>
      <c r="L5188">
        <v>-2.4564509999999999</v>
      </c>
      <c r="M5188">
        <v>0.1376579</v>
      </c>
      <c r="N5188">
        <v>0</v>
      </c>
      <c r="O5188">
        <v>-0.99046279999999998</v>
      </c>
      <c r="P5188">
        <v>-4.4392269999999998E-2</v>
      </c>
      <c r="Q5188">
        <v>4.384938E-2</v>
      </c>
      <c r="R5188">
        <v>-0.99805180000000004</v>
      </c>
      <c r="S5188">
        <v>-0.65814209999999995</v>
      </c>
      <c r="T5188">
        <v>-0.28939860000000001</v>
      </c>
      <c r="U5188">
        <v>-3.006866</v>
      </c>
      <c r="V5188">
        <v>0.18304119999999999</v>
      </c>
      <c r="W5188">
        <v>4.2984429999999997E-2</v>
      </c>
      <c r="X5188">
        <v>0.98216510000000001</v>
      </c>
      <c r="Y5188">
        <v>0.3453563</v>
      </c>
      <c r="Z5188">
        <v>9.0419139999999995E-2</v>
      </c>
      <c r="AA5188">
        <v>0.93410570000000004</v>
      </c>
      <c r="AB5188">
        <v>34</v>
      </c>
      <c r="AC5188">
        <v>-2.4820000000000202</v>
      </c>
      <c r="AD5188">
        <v>-1.0577299294289999</v>
      </c>
      <c r="AE5188">
        <v>-10.247569</v>
      </c>
      <c r="AF5188">
        <v>3.8305043879149698</v>
      </c>
      <c r="AG5188">
        <v>-1.0577299294289999</v>
      </c>
      <c r="AH5188">
        <v>9.7106114510220305</v>
      </c>
      <c r="AI5188">
        <v>95.785844011630502</v>
      </c>
      <c r="AJ5188">
        <v>68.472459937042103</v>
      </c>
      <c r="AK5188">
        <v>10.492260539186301</v>
      </c>
      <c r="AL5188">
        <v>87.536414565243106</v>
      </c>
      <c r="AM5188">
        <v>79.443179672008</v>
      </c>
      <c r="AN5188">
        <v>1.0000000128889299</v>
      </c>
    </row>
    <row r="5189" spans="1:40" x14ac:dyDescent="0.25">
      <c r="A5189" t="str">
        <f>"20190312151419644"</f>
        <v>20190312151419644</v>
      </c>
      <c r="B5189" t="str">
        <f>"1552374859636007"</f>
        <v>1552374859636007</v>
      </c>
      <c r="C5189" t="s">
        <v>40</v>
      </c>
      <c r="D5189">
        <v>5.040502</v>
      </c>
      <c r="E5189">
        <v>0.57047550000000002</v>
      </c>
      <c r="F5189" t="s">
        <v>42</v>
      </c>
      <c r="G5189">
        <v>-302.77440000000001</v>
      </c>
      <c r="H5189" s="1">
        <v>-3.3402280000000001E-6</v>
      </c>
      <c r="I5189">
        <v>-14.34549</v>
      </c>
      <c r="J5189">
        <v>-299.84109999999998</v>
      </c>
      <c r="K5189">
        <v>1.06175</v>
      </c>
      <c r="L5189">
        <v>-2.9520870000000001</v>
      </c>
      <c r="M5189">
        <v>0.111789899999999</v>
      </c>
      <c r="N5189">
        <v>0</v>
      </c>
      <c r="O5189">
        <v>-0.9937144</v>
      </c>
      <c r="P5189">
        <v>-6.3984150000000004E-2</v>
      </c>
      <c r="Q5189">
        <v>4.376683E-2</v>
      </c>
      <c r="R5189">
        <v>-0.99699079999999995</v>
      </c>
      <c r="S5189">
        <v>-0.72369380000000005</v>
      </c>
      <c r="T5189">
        <v>-0.26559709999999997</v>
      </c>
      <c r="U5189">
        <v>-2.9853519999999998</v>
      </c>
      <c r="V5189">
        <v>0.17673599999999901</v>
      </c>
      <c r="W5189">
        <v>4.3147820000000003E-2</v>
      </c>
      <c r="X5189">
        <v>0.98331210000000002</v>
      </c>
      <c r="Y5189">
        <v>0.34191169999999999</v>
      </c>
      <c r="Z5189">
        <v>8.3902560000000001E-2</v>
      </c>
      <c r="AA5189">
        <v>0.93597900000000001</v>
      </c>
      <c r="AB5189">
        <v>33</v>
      </c>
      <c r="AC5189">
        <v>-2.9333000000000302</v>
      </c>
      <c r="AD5189">
        <v>-1.0617533402279999</v>
      </c>
      <c r="AE5189">
        <v>-11.393402999999999</v>
      </c>
      <c r="AF5189">
        <v>4.1547638012933499</v>
      </c>
      <c r="AG5189">
        <v>-1.0617533402279999</v>
      </c>
      <c r="AH5189">
        <v>10.905247669474001</v>
      </c>
      <c r="AI5189">
        <v>95.198585650899005</v>
      </c>
      <c r="AJ5189">
        <v>69.143781352713603</v>
      </c>
      <c r="AK5189">
        <v>11.718097504825201</v>
      </c>
      <c r="AL5189">
        <v>87.527044324708896</v>
      </c>
      <c r="AM5189">
        <v>79.810711274858306</v>
      </c>
      <c r="AN5189">
        <v>1.0000000170365799</v>
      </c>
    </row>
    <row r="5190" spans="1:40" x14ac:dyDescent="0.25">
      <c r="A5190" t="str">
        <f>"20190312151419675"</f>
        <v>20190312151419675</v>
      </c>
      <c r="B5190" t="str">
        <f>"1552374859665286"</f>
        <v>1552374859665286</v>
      </c>
      <c r="C5190" t="s">
        <v>40</v>
      </c>
      <c r="D5190">
        <v>5.0787550000000001</v>
      </c>
      <c r="E5190">
        <v>0.56887140000000003</v>
      </c>
      <c r="F5190" t="s">
        <v>42</v>
      </c>
      <c r="G5190">
        <v>-303.1139</v>
      </c>
      <c r="H5190" s="1">
        <v>-2.8813599999999998E-6</v>
      </c>
      <c r="I5190">
        <v>-15.62566</v>
      </c>
      <c r="J5190">
        <v>-299.80599999999998</v>
      </c>
      <c r="K5190">
        <v>1.065939</v>
      </c>
      <c r="L5190">
        <v>-3.409637</v>
      </c>
      <c r="M5190">
        <v>8.8743429999999998E-2</v>
      </c>
      <c r="N5190">
        <v>0</v>
      </c>
      <c r="O5190">
        <v>-0.99603719999999996</v>
      </c>
      <c r="P5190">
        <v>-8.2199250000000001E-2</v>
      </c>
      <c r="Q5190">
        <v>4.3399100000000003E-2</v>
      </c>
      <c r="R5190">
        <v>-0.99567059999999996</v>
      </c>
      <c r="S5190">
        <v>-0.76715089999999997</v>
      </c>
      <c r="T5190">
        <v>-0.2488813</v>
      </c>
      <c r="U5190">
        <v>-2.970764</v>
      </c>
      <c r="V5190">
        <v>0.171903</v>
      </c>
      <c r="W5190">
        <v>4.2974409999999998E-2</v>
      </c>
      <c r="X5190">
        <v>0.9841761</v>
      </c>
      <c r="Y5190">
        <v>0.33417249999999998</v>
      </c>
      <c r="Z5190">
        <v>7.9296000000000005E-2</v>
      </c>
      <c r="AA5190">
        <v>0.93917030000000001</v>
      </c>
      <c r="AB5190">
        <v>33</v>
      </c>
      <c r="AC5190">
        <v>-3.3079000000000098</v>
      </c>
      <c r="AD5190">
        <v>-1.0659418813599999</v>
      </c>
      <c r="AE5190">
        <v>-12.216023</v>
      </c>
      <c r="AF5190">
        <v>4.3481142860883901</v>
      </c>
      <c r="AG5190">
        <v>-1.0659418813599999</v>
      </c>
      <c r="AH5190">
        <v>11.7906239061293</v>
      </c>
      <c r="AI5190">
        <v>94.848333928995899</v>
      </c>
      <c r="AJ5190">
        <v>69.757171293752805</v>
      </c>
      <c r="AK5190">
        <v>12.6119444192841</v>
      </c>
      <c r="AL5190">
        <v>87.536989213928194</v>
      </c>
      <c r="AM5190">
        <v>80.092272994275206</v>
      </c>
      <c r="AN5190">
        <v>1.00000001856752</v>
      </c>
    </row>
    <row r="5191" spans="1:40" x14ac:dyDescent="0.25">
      <c r="A5191" t="str">
        <f>"20190312151419713"</f>
        <v>20190312151419713</v>
      </c>
      <c r="B5191" t="str">
        <f>"1552374859705302"</f>
        <v>1552374859705302</v>
      </c>
      <c r="C5191" t="s">
        <v>40</v>
      </c>
      <c r="D5191">
        <v>5.0466959999999998</v>
      </c>
      <c r="E5191">
        <v>0.56805749999999999</v>
      </c>
      <c r="F5191" t="s">
        <v>42</v>
      </c>
      <c r="G5191">
        <v>-303.34460000000001</v>
      </c>
      <c r="H5191" s="1">
        <v>-2.6254809999999998E-6</v>
      </c>
      <c r="I5191">
        <v>-16.365259999999999</v>
      </c>
      <c r="J5191">
        <v>-299.77539999999999</v>
      </c>
      <c r="K5191">
        <v>1.0714619999999999</v>
      </c>
      <c r="L5191">
        <v>-3.9925540000000002</v>
      </c>
      <c r="M5191">
        <v>6.0681470000000001E-2</v>
      </c>
      <c r="N5191">
        <v>0</v>
      </c>
      <c r="O5191">
        <v>-0.99813819999999998</v>
      </c>
      <c r="P5191">
        <v>-9.8613279999999998E-2</v>
      </c>
      <c r="Q5191">
        <v>4.1477420000000001E-2</v>
      </c>
      <c r="R5191">
        <v>-0.99426110000000001</v>
      </c>
      <c r="S5191">
        <v>-0.80764769999999997</v>
      </c>
      <c r="T5191">
        <v>-0.2432888</v>
      </c>
      <c r="U5191">
        <v>-2.9569700000000001</v>
      </c>
      <c r="V5191">
        <v>0.1603387</v>
      </c>
      <c r="W5191">
        <v>4.1934890000000002E-2</v>
      </c>
      <c r="X5191">
        <v>0.98617089999999996</v>
      </c>
      <c r="Y5191">
        <v>0.32072209999999901</v>
      </c>
      <c r="Z5191">
        <v>7.8182790000000002E-2</v>
      </c>
      <c r="AA5191">
        <v>0.94394109999999998</v>
      </c>
      <c r="AB5191">
        <v>34</v>
      </c>
      <c r="AC5191">
        <v>-3.5692000000000199</v>
      </c>
      <c r="AD5191">
        <v>-1.0714646254809901</v>
      </c>
      <c r="AE5191">
        <v>-12.372706000000001</v>
      </c>
      <c r="AF5191">
        <v>4.2837728923357599</v>
      </c>
      <c r="AG5191">
        <v>-1.0714646254809901</v>
      </c>
      <c r="AH5191">
        <v>12.0498915171568</v>
      </c>
      <c r="AI5191">
        <v>94.789181670637703</v>
      </c>
      <c r="AJ5191">
        <v>70.429546171241498</v>
      </c>
      <c r="AK5191">
        <v>12.8334964920716</v>
      </c>
      <c r="AL5191">
        <v>87.5966031212037</v>
      </c>
      <c r="AM5191">
        <v>80.765249867180401</v>
      </c>
      <c r="AN5191">
        <v>1.0000000388618999</v>
      </c>
    </row>
    <row r="5192" spans="1:40" x14ac:dyDescent="0.25">
      <c r="A5192" t="str">
        <f>"20190312151419758"</f>
        <v>20190312151419758</v>
      </c>
      <c r="B5192" t="str">
        <f>"1552374859756055"</f>
        <v>1552374859756055</v>
      </c>
      <c r="C5192" t="s">
        <v>40</v>
      </c>
      <c r="D5192">
        <v>5.03301</v>
      </c>
      <c r="E5192">
        <v>0.56580180000000002</v>
      </c>
      <c r="F5192" t="s">
        <v>42</v>
      </c>
      <c r="G5192">
        <v>-303.44920000000002</v>
      </c>
      <c r="H5192" s="1">
        <v>-2.49941E-6</v>
      </c>
      <c r="I5192">
        <v>-16.724019999999999</v>
      </c>
      <c r="J5192">
        <v>-299.75959999999998</v>
      </c>
      <c r="K5192">
        <v>1.0775699999999999</v>
      </c>
      <c r="L5192">
        <v>-4.6875609999999996</v>
      </c>
      <c r="M5192">
        <v>2.9004769999999999E-2</v>
      </c>
      <c r="N5192">
        <v>0</v>
      </c>
      <c r="O5192">
        <v>-0.99955510000000003</v>
      </c>
      <c r="P5192">
        <v>-0.1159627</v>
      </c>
      <c r="Q5192">
        <v>4.0369759999999998E-2</v>
      </c>
      <c r="R5192">
        <v>-0.9924328</v>
      </c>
      <c r="S5192">
        <v>-0.84936520000000004</v>
      </c>
      <c r="T5192">
        <v>-0.2477145</v>
      </c>
      <c r="U5192">
        <v>-2.9434200000000001</v>
      </c>
      <c r="V5192">
        <v>0.1462136</v>
      </c>
      <c r="W5192">
        <v>4.2339849999999998E-2</v>
      </c>
      <c r="X5192">
        <v>0.98834659999999996</v>
      </c>
      <c r="Y5192">
        <v>0.30410769999999998</v>
      </c>
      <c r="Z5192">
        <v>8.0197930000000001E-2</v>
      </c>
      <c r="AA5192">
        <v>0.94925590000000004</v>
      </c>
      <c r="AB5192">
        <v>34</v>
      </c>
      <c r="AC5192">
        <v>-3.68960000000004</v>
      </c>
      <c r="AD5192">
        <v>-1.07757249941</v>
      </c>
      <c r="AE5192">
        <v>-12.036458999999899</v>
      </c>
      <c r="AF5192">
        <v>4.0078078404645296</v>
      </c>
      <c r="AG5192">
        <v>-1.07757249941</v>
      </c>
      <c r="AH5192">
        <v>11.8376483829288</v>
      </c>
      <c r="AI5192">
        <v>94.927950838470096</v>
      </c>
      <c r="AJ5192">
        <v>71.295722984448503</v>
      </c>
      <c r="AK5192">
        <v>12.5440665422115</v>
      </c>
      <c r="AL5192">
        <v>87.573380001443695</v>
      </c>
      <c r="AM5192">
        <v>81.584837136557198</v>
      </c>
      <c r="AN5192">
        <v>1.00000004072727</v>
      </c>
    </row>
    <row r="5193" spans="1:40" x14ac:dyDescent="0.25">
      <c r="A5193" t="str">
        <f>"20190312151419801"</f>
        <v>20190312151419801</v>
      </c>
      <c r="B5193" t="str">
        <f>"1552374859796070"</f>
        <v>1552374859796070</v>
      </c>
      <c r="C5193" t="s">
        <v>40</v>
      </c>
      <c r="D5193">
        <v>4.9602740000000001</v>
      </c>
      <c r="E5193">
        <v>0.56473339999999905</v>
      </c>
      <c r="F5193" t="s">
        <v>42</v>
      </c>
      <c r="G5193">
        <v>-303.54469999999998</v>
      </c>
      <c r="H5193" s="1">
        <v>-2.3045410000000002E-6</v>
      </c>
      <c r="I5193">
        <v>-17.237459999999999</v>
      </c>
      <c r="J5193">
        <v>-299.76429999999999</v>
      </c>
      <c r="K5193">
        <v>1.082632</v>
      </c>
      <c r="L5193">
        <v>-5.3677979999999996</v>
      </c>
      <c r="M5193">
        <v>-1.890948E-4</v>
      </c>
      <c r="N5193">
        <v>0</v>
      </c>
      <c r="O5193">
        <v>-0.99996879999999999</v>
      </c>
      <c r="P5193">
        <v>-0.12658459999999999</v>
      </c>
      <c r="Q5193">
        <v>3.8389430000000002E-2</v>
      </c>
      <c r="R5193">
        <v>-0.99121300000000001</v>
      </c>
      <c r="S5193">
        <v>-0.88366699999999998</v>
      </c>
      <c r="T5193">
        <v>-0.2515675</v>
      </c>
      <c r="U5193">
        <v>-2.9298709999999999</v>
      </c>
      <c r="V5193">
        <v>0.12783419999999901</v>
      </c>
      <c r="W5193">
        <v>4.2079239999999997E-2</v>
      </c>
      <c r="X5193">
        <v>0.99090250000000002</v>
      </c>
      <c r="Y5193">
        <v>0.28760649999999999</v>
      </c>
      <c r="Z5193">
        <v>8.1931329999999997E-2</v>
      </c>
      <c r="AA5193">
        <v>0.95423780000000002</v>
      </c>
      <c r="AB5193">
        <v>34</v>
      </c>
      <c r="AC5193">
        <v>-3.7803999999999802</v>
      </c>
      <c r="AD5193">
        <v>-1.0826343045410001</v>
      </c>
      <c r="AE5193">
        <v>-11.869662</v>
      </c>
      <c r="AF5193">
        <v>3.7498323981008701</v>
      </c>
      <c r="AG5193">
        <v>-1.0826343045410001</v>
      </c>
      <c r="AH5193">
        <v>11.781390287311099</v>
      </c>
      <c r="AI5193">
        <v>95.004350765848699</v>
      </c>
      <c r="AJ5193">
        <v>72.344540270860506</v>
      </c>
      <c r="AK5193">
        <v>12.4110634980716</v>
      </c>
      <c r="AL5193">
        <v>87.588325086757706</v>
      </c>
      <c r="AM5193">
        <v>82.648996282718798</v>
      </c>
      <c r="AN5193">
        <v>1.00000000481743</v>
      </c>
    </row>
    <row r="5194" spans="1:40" x14ac:dyDescent="0.25">
      <c r="A5194" t="str">
        <f>"20190312151419830"</f>
        <v>20190312151419830</v>
      </c>
      <c r="B5194" t="str">
        <f>"1552374859825350"</f>
        <v>1552374859825350</v>
      </c>
      <c r="C5194" t="s">
        <v>40</v>
      </c>
      <c r="D5194">
        <v>5.1170419999999996</v>
      </c>
      <c r="E5194">
        <v>0.52382929999999905</v>
      </c>
      <c r="F5194" t="s">
        <v>42</v>
      </c>
      <c r="G5194">
        <v>-303.51179999999999</v>
      </c>
      <c r="H5194" s="1">
        <v>-2.2049260000000001E-6</v>
      </c>
      <c r="I5194">
        <v>-17.449289999999898</v>
      </c>
      <c r="J5194">
        <v>-299.7774</v>
      </c>
      <c r="K5194">
        <v>1.0853569999999999</v>
      </c>
      <c r="L5194">
        <v>-5.7995609999999997</v>
      </c>
      <c r="M5194">
        <v>-1.7671260000000001E-2</v>
      </c>
      <c r="N5194">
        <v>0</v>
      </c>
      <c r="O5194">
        <v>-0.99980800000000003</v>
      </c>
      <c r="P5194">
        <v>-0.13418050000000001</v>
      </c>
      <c r="Q5194">
        <v>3.7261379999999997E-2</v>
      </c>
      <c r="R5194">
        <v>-0.99025620000000003</v>
      </c>
      <c r="S5194">
        <v>-0.90606690000000001</v>
      </c>
      <c r="T5194">
        <v>-0.26175530000000002</v>
      </c>
      <c r="U5194">
        <v>-2.9210210000000001</v>
      </c>
      <c r="V5194">
        <v>0.1180495</v>
      </c>
      <c r="W5194">
        <v>4.1929170000000002E-2</v>
      </c>
      <c r="X5194">
        <v>0.99212210000000001</v>
      </c>
      <c r="Y5194">
        <v>0.27825499999999997</v>
      </c>
      <c r="Z5194">
        <v>8.5477250000000005E-2</v>
      </c>
      <c r="AA5194">
        <v>0.95669630000000005</v>
      </c>
      <c r="AB5194">
        <v>34</v>
      </c>
      <c r="AC5194">
        <v>-3.7343999999999902</v>
      </c>
      <c r="AD5194">
        <v>-1.0853592049259999</v>
      </c>
      <c r="AE5194">
        <v>-11.649728999999899</v>
      </c>
      <c r="AF5194">
        <v>3.5003921157552602</v>
      </c>
      <c r="AG5194">
        <v>-1.0853592049259999</v>
      </c>
      <c r="AH5194">
        <v>11.622422401021399</v>
      </c>
      <c r="AI5194">
        <v>95.109659664303805</v>
      </c>
      <c r="AJ5194">
        <v>73.238971058370794</v>
      </c>
      <c r="AK5194">
        <v>12.186527480604299</v>
      </c>
      <c r="AL5194">
        <v>87.596931049381297</v>
      </c>
      <c r="AM5194">
        <v>83.2144576642836</v>
      </c>
      <c r="AN5194">
        <v>1.00000000052777</v>
      </c>
    </row>
    <row r="5195" spans="1:40" x14ac:dyDescent="0.25">
      <c r="A5195" t="str">
        <f>"20190312151419853"</f>
        <v>20190312151419853</v>
      </c>
      <c r="B5195" t="str">
        <f>"1552374859845846"</f>
        <v>1552374859845846</v>
      </c>
      <c r="C5195" t="s">
        <v>40</v>
      </c>
      <c r="D5195">
        <v>5.2166220000000001</v>
      </c>
      <c r="E5195">
        <v>0.50939670000000004</v>
      </c>
      <c r="F5195" t="s">
        <v>41</v>
      </c>
      <c r="G5195">
        <v>-299.97269999999997</v>
      </c>
      <c r="H5195">
        <v>1.001017</v>
      </c>
      <c r="I5195">
        <v>-6.7550689999999998</v>
      </c>
      <c r="J5195">
        <v>-299.7937</v>
      </c>
      <c r="K5195">
        <v>1.0873660000000001</v>
      </c>
      <c r="L5195">
        <v>-6.1538700000000004</v>
      </c>
      <c r="M5195">
        <v>-3.1335729999999999E-2</v>
      </c>
      <c r="N5195">
        <v>0</v>
      </c>
      <c r="O5195">
        <v>-0.99946959999999996</v>
      </c>
      <c r="P5195">
        <v>-0.13631550000000001</v>
      </c>
      <c r="Q5195">
        <v>3.4443300000000003E-2</v>
      </c>
      <c r="R5195">
        <v>-0.99006669999999997</v>
      </c>
      <c r="S5195">
        <v>-0.60437010000000002</v>
      </c>
      <c r="T5195">
        <v>-0.26095210000000002</v>
      </c>
      <c r="U5195">
        <v>-2.9574579999999999</v>
      </c>
      <c r="V5195">
        <v>0.1065111</v>
      </c>
      <c r="W5195">
        <v>3.9985310000000003E-2</v>
      </c>
      <c r="X5195">
        <v>0.99350720000000003</v>
      </c>
      <c r="Y5195">
        <v>0.16866919999999999</v>
      </c>
      <c r="Z5195">
        <v>8.6314970000000005E-2</v>
      </c>
      <c r="AA5195">
        <v>0.98188609999999998</v>
      </c>
      <c r="AB5195">
        <v>34</v>
      </c>
      <c r="AC5195">
        <v>-0.17899999999997299</v>
      </c>
      <c r="AD5195">
        <v>-8.6348999999999995E-2</v>
      </c>
      <c r="AE5195">
        <v>-0.60119900000000104</v>
      </c>
      <c r="AF5195">
        <v>0.15709550684658899</v>
      </c>
      <c r="AG5195">
        <v>-8.6348999999999995E-2</v>
      </c>
      <c r="AH5195">
        <v>0.595233855322298</v>
      </c>
      <c r="AI5195">
        <v>97.984474309173095</v>
      </c>
      <c r="AJ5195">
        <v>75.215482601620806</v>
      </c>
      <c r="AK5195">
        <v>0.62164177031006695</v>
      </c>
      <c r="AL5195">
        <v>87.708399568235606</v>
      </c>
      <c r="AM5195">
        <v>83.880853155073595</v>
      </c>
      <c r="AN5195">
        <v>0.99999999794542305</v>
      </c>
    </row>
    <row r="5196" spans="1:40" x14ac:dyDescent="0.25">
      <c r="A5196" t="str">
        <f>"20190312151419891"</f>
        <v>20190312151419891</v>
      </c>
      <c r="B5196" t="str">
        <f>"1552374859885863"</f>
        <v>1552374859885863</v>
      </c>
      <c r="C5196" t="s">
        <v>40</v>
      </c>
      <c r="D5196">
        <v>5.1208269999999896</v>
      </c>
      <c r="E5196">
        <v>0.4968321</v>
      </c>
      <c r="F5196" t="s">
        <v>41</v>
      </c>
      <c r="G5196">
        <v>-299.94580000000002</v>
      </c>
      <c r="H5196">
        <v>1.0025230000000001</v>
      </c>
      <c r="I5196">
        <v>-7.0617859999999997</v>
      </c>
      <c r="J5196">
        <v>-299.83080000000001</v>
      </c>
      <c r="K5196">
        <v>1.0902860000000001</v>
      </c>
      <c r="L5196">
        <v>-6.7415770000000004</v>
      </c>
      <c r="M5196">
        <v>-5.2719340000000003E-2</v>
      </c>
      <c r="N5196">
        <v>0</v>
      </c>
      <c r="O5196">
        <v>-0.99856440000000002</v>
      </c>
      <c r="P5196">
        <v>-0.132936</v>
      </c>
      <c r="Q5196">
        <v>3.0993139999999999E-2</v>
      </c>
      <c r="R5196">
        <v>-0.99063999999999997</v>
      </c>
      <c r="S5196">
        <v>-0.49710080000000001</v>
      </c>
      <c r="T5196">
        <v>-0.2771671</v>
      </c>
      <c r="U5196">
        <v>-2.9713129999999999</v>
      </c>
      <c r="V5196">
        <v>8.1680509999999998E-2</v>
      </c>
      <c r="W5196">
        <v>3.804511E-2</v>
      </c>
      <c r="X5196">
        <v>0.99593220000000005</v>
      </c>
      <c r="Y5196">
        <v>0.1120818</v>
      </c>
      <c r="Z5196">
        <v>9.1760670000000003E-2</v>
      </c>
      <c r="AA5196">
        <v>0.98945320000000003</v>
      </c>
      <c r="AB5196">
        <v>34</v>
      </c>
      <c r="AC5196">
        <v>-0.115000000000009</v>
      </c>
      <c r="AD5196">
        <v>-8.7762999999999994E-2</v>
      </c>
      <c r="AE5196">
        <v>-0.32020899999999902</v>
      </c>
      <c r="AF5196">
        <v>9.1846806926716998E-2</v>
      </c>
      <c r="AG5196">
        <v>-8.7762999999999994E-2</v>
      </c>
      <c r="AH5196">
        <v>0.30549938544307398</v>
      </c>
      <c r="AI5196">
        <v>105.38225724144</v>
      </c>
      <c r="AJ5196">
        <v>73.266867003764503</v>
      </c>
      <c r="AK5196">
        <v>0.33085956933075</v>
      </c>
      <c r="AL5196">
        <v>87.819649656414498</v>
      </c>
      <c r="AM5196">
        <v>85.311430138231003</v>
      </c>
      <c r="AN5196">
        <v>1.0000000415528001</v>
      </c>
    </row>
    <row r="5197" spans="1:40" x14ac:dyDescent="0.25">
      <c r="A5197" t="str">
        <f>"20190312151419936"</f>
        <v>20190312151419936</v>
      </c>
      <c r="B5197" t="str">
        <f>"1552374859925882"</f>
        <v>1552374859925882</v>
      </c>
      <c r="C5197" t="s">
        <v>40</v>
      </c>
      <c r="D5197">
        <v>4.9989569999999999</v>
      </c>
      <c r="E5197">
        <v>0.4907087</v>
      </c>
      <c r="F5197" t="s">
        <v>41</v>
      </c>
      <c r="G5197">
        <v>-299.95159999999998</v>
      </c>
      <c r="H5197">
        <v>1.0034510000000001</v>
      </c>
      <c r="I5197">
        <v>-7.6753029999999898</v>
      </c>
      <c r="J5197">
        <v>-299.88959999999997</v>
      </c>
      <c r="K5197">
        <v>1.09317999999999</v>
      </c>
      <c r="L5197">
        <v>-7.4312740000000002</v>
      </c>
      <c r="M5197">
        <v>-7.5667520000000002E-2</v>
      </c>
      <c r="N5197">
        <v>0</v>
      </c>
      <c r="O5197">
        <v>-0.99708249999999998</v>
      </c>
      <c r="P5197">
        <v>-0.13328970000000001</v>
      </c>
      <c r="Q5197">
        <v>2.9690769999999998E-2</v>
      </c>
      <c r="R5197">
        <v>-0.99063279999999998</v>
      </c>
      <c r="S5197">
        <v>-0.3855286</v>
      </c>
      <c r="T5197">
        <v>-0.27714229999999901</v>
      </c>
      <c r="U5197">
        <v>-2.9852910000000001</v>
      </c>
      <c r="V5197">
        <v>5.9015650000000003E-2</v>
      </c>
      <c r="W5197">
        <v>3.8120399999999999E-2</v>
      </c>
      <c r="X5197">
        <v>0.997529</v>
      </c>
      <c r="Y5197">
        <v>5.2123940000000001E-2</v>
      </c>
      <c r="Z5197">
        <v>9.1603110000000001E-2</v>
      </c>
      <c r="AA5197">
        <v>0.99443049999999999</v>
      </c>
      <c r="AB5197">
        <v>34</v>
      </c>
      <c r="AC5197">
        <v>-6.2000000000011803E-2</v>
      </c>
      <c r="AD5197">
        <v>-8.9728999999999698E-2</v>
      </c>
      <c r="AE5197">
        <v>-0.244028999999999</v>
      </c>
      <c r="AF5197">
        <v>3.84703551218765E-2</v>
      </c>
      <c r="AG5197">
        <v>-8.9728999999999698E-2</v>
      </c>
      <c r="AH5197">
        <v>0.22007109764366201</v>
      </c>
      <c r="AI5197">
        <v>111.88221375281999</v>
      </c>
      <c r="AJ5197">
        <v>80.084386632809299</v>
      </c>
      <c r="AK5197">
        <v>0.240754127030648</v>
      </c>
      <c r="AL5197">
        <v>87.815332763590902</v>
      </c>
      <c r="AM5197">
        <v>86.614222854680605</v>
      </c>
      <c r="AN5197">
        <v>1.00000005884103</v>
      </c>
    </row>
    <row r="5198" spans="1:40" x14ac:dyDescent="0.25">
      <c r="A5198" t="str">
        <f>"20190312151419980"</f>
        <v>20190312151419980</v>
      </c>
      <c r="B5198" t="str">
        <f>"1552374859975655"</f>
        <v>1552374859975655</v>
      </c>
      <c r="C5198" t="s">
        <v>40</v>
      </c>
      <c r="D5198">
        <v>5.0322709999999997</v>
      </c>
      <c r="E5198">
        <v>0.48672209999999999</v>
      </c>
      <c r="F5198" t="s">
        <v>41</v>
      </c>
      <c r="G5198">
        <v>-299.9871</v>
      </c>
      <c r="H5198">
        <v>1.0098830000000001</v>
      </c>
      <c r="I5198">
        <v>-8.2912470000000003</v>
      </c>
      <c r="J5198">
        <v>-299.96120000000002</v>
      </c>
      <c r="K5198">
        <v>1.0955760000000001</v>
      </c>
      <c r="L5198">
        <v>-8.1056519999999992</v>
      </c>
      <c r="M5198">
        <v>-9.5875740000000001E-2</v>
      </c>
      <c r="N5198">
        <v>0</v>
      </c>
      <c r="O5198">
        <v>-0.99533799999999995</v>
      </c>
      <c r="P5198">
        <v>-0.1329785</v>
      </c>
      <c r="Q5198">
        <v>2.9051569999999999E-2</v>
      </c>
      <c r="R5198">
        <v>-0.99069359999999995</v>
      </c>
      <c r="S5198">
        <v>-0.33853149999999999</v>
      </c>
      <c r="T5198">
        <v>-0.28947070000000003</v>
      </c>
      <c r="U5198">
        <v>-2.9915159999999998</v>
      </c>
      <c r="V5198">
        <v>3.8364769999999999E-2</v>
      </c>
      <c r="W5198">
        <v>3.8587349999999999E-2</v>
      </c>
      <c r="X5198">
        <v>0.99851849999999998</v>
      </c>
      <c r="Y5198">
        <v>1.614055E-2</v>
      </c>
      <c r="Z5198">
        <v>9.5344079999999998E-2</v>
      </c>
      <c r="AA5198">
        <v>0.99531349999999996</v>
      </c>
      <c r="AB5198">
        <v>34</v>
      </c>
      <c r="AC5198">
        <v>-2.58999999999787E-2</v>
      </c>
      <c r="AD5198">
        <v>-8.5693000000000005E-2</v>
      </c>
      <c r="AE5198">
        <v>-0.18559499999999901</v>
      </c>
      <c r="AF5198">
        <v>6.6045386517259502E-3</v>
      </c>
      <c r="AG5198">
        <v>-8.5693000000000005E-2</v>
      </c>
      <c r="AH5198">
        <v>0.15484341865951101</v>
      </c>
      <c r="AI5198">
        <v>118.93883787772999</v>
      </c>
      <c r="AJ5198">
        <v>87.557642652090294</v>
      </c>
      <c r="AK5198">
        <v>0.17709713290159901</v>
      </c>
      <c r="AL5198">
        <v>87.788558708342705</v>
      </c>
      <c r="AM5198">
        <v>87.799681518601602</v>
      </c>
      <c r="AN5198">
        <v>1.0000000169997101</v>
      </c>
    </row>
    <row r="5199" spans="1:40" x14ac:dyDescent="0.25">
      <c r="A5199" t="str">
        <f>"20190312151420025"</f>
        <v>20190312151420025</v>
      </c>
      <c r="B5199" t="str">
        <f>"1552374860015674"</f>
        <v>1552374860015674</v>
      </c>
      <c r="C5199" t="s">
        <v>40</v>
      </c>
      <c r="D5199">
        <v>5.0531160000000002</v>
      </c>
      <c r="E5199">
        <v>0.48408859999999898</v>
      </c>
      <c r="F5199" t="s">
        <v>41</v>
      </c>
      <c r="G5199">
        <v>-300.04289999999997</v>
      </c>
      <c r="H5199">
        <v>1.0153939999999999</v>
      </c>
      <c r="I5199">
        <v>-8.9055070000000001</v>
      </c>
      <c r="J5199">
        <v>-300.0455</v>
      </c>
      <c r="K5199">
        <v>1.0977589999999999</v>
      </c>
      <c r="L5199">
        <v>-8.7850950000000001</v>
      </c>
      <c r="M5199">
        <v>-0.113785999999999</v>
      </c>
      <c r="N5199">
        <v>0</v>
      </c>
      <c r="O5199">
        <v>-0.99344619999999995</v>
      </c>
      <c r="P5199">
        <v>-0.12867880000000001</v>
      </c>
      <c r="Q5199">
        <v>2.3485010000000001E-2</v>
      </c>
      <c r="R5199">
        <v>-0.99140810000000001</v>
      </c>
      <c r="S5199">
        <v>-0.30499270000000001</v>
      </c>
      <c r="T5199">
        <v>-0.29977559999999998</v>
      </c>
      <c r="U5199">
        <v>-2.9960330000000002</v>
      </c>
      <c r="V5199">
        <v>1.5799770000000001E-2</v>
      </c>
      <c r="W5199">
        <v>3.3968890000000002E-2</v>
      </c>
      <c r="X5199">
        <v>0.99929800000000002</v>
      </c>
      <c r="Y5199">
        <v>-1.308409E-2</v>
      </c>
      <c r="Z5199">
        <v>9.8339330000000003E-2</v>
      </c>
      <c r="AA5199">
        <v>0.99506689999999998</v>
      </c>
      <c r="AB5199">
        <v>34</v>
      </c>
      <c r="AC5199">
        <v>2.6000000000294598E-3</v>
      </c>
      <c r="AD5199">
        <v>-8.2364999999999799E-2</v>
      </c>
      <c r="AE5199">
        <v>-0.12041199999999901</v>
      </c>
      <c r="AF5199">
        <v>-1.1095865601325E-2</v>
      </c>
      <c r="AG5199">
        <v>-8.2364999999999799E-2</v>
      </c>
      <c r="AH5199">
        <v>8.1308238257949195E-2</v>
      </c>
      <c r="AI5199">
        <v>135.10563347905901</v>
      </c>
      <c r="AJ5199">
        <v>97.770962310131793</v>
      </c>
      <c r="AK5199">
        <v>0.116267540900519</v>
      </c>
      <c r="AL5199">
        <v>88.053351488276704</v>
      </c>
      <c r="AM5199">
        <v>89.094179397739296</v>
      </c>
      <c r="AN5199">
        <v>1.00000000551194</v>
      </c>
    </row>
    <row r="5200" spans="1:40" x14ac:dyDescent="0.25">
      <c r="A5200" t="str">
        <f>"20190312151420052"</f>
        <v>20190312151420052</v>
      </c>
      <c r="B5200" t="str">
        <f>"1552374860045927"</f>
        <v>1552374860045927</v>
      </c>
      <c r="C5200" t="s">
        <v>40</v>
      </c>
      <c r="D5200">
        <v>5.234146</v>
      </c>
      <c r="E5200">
        <v>0.48244199999999998</v>
      </c>
      <c r="F5200" t="s">
        <v>41</v>
      </c>
      <c r="G5200">
        <v>-300.11169999999998</v>
      </c>
      <c r="H5200">
        <v>1.0189680000000001</v>
      </c>
      <c r="I5200">
        <v>-9.5192150000000009</v>
      </c>
      <c r="J5200">
        <v>-300.1019</v>
      </c>
      <c r="K5200">
        <v>1.0990009999999999</v>
      </c>
      <c r="L5200">
        <v>-9.1965029999999999</v>
      </c>
      <c r="M5200">
        <v>-0.12329080000000001</v>
      </c>
      <c r="N5200">
        <v>0</v>
      </c>
      <c r="O5200">
        <v>-0.99230969999999996</v>
      </c>
      <c r="P5200">
        <v>-0.128603</v>
      </c>
      <c r="Q5200">
        <v>2.2991330000000001E-2</v>
      </c>
      <c r="R5200">
        <v>-0.99142969999999997</v>
      </c>
      <c r="S5200">
        <v>-0.269287099999999</v>
      </c>
      <c r="T5200">
        <v>-0.32127650000000002</v>
      </c>
      <c r="U5200">
        <v>-2.9986570000000001</v>
      </c>
      <c r="V5200">
        <v>6.0857130000000004E-3</v>
      </c>
      <c r="W5200">
        <v>3.385548E-2</v>
      </c>
      <c r="X5200">
        <v>0.99940819999999997</v>
      </c>
      <c r="Y5200">
        <v>-3.4542709999999997E-2</v>
      </c>
      <c r="Z5200">
        <v>0.1050765</v>
      </c>
      <c r="AA5200">
        <v>0.99386410000000003</v>
      </c>
      <c r="AB5200">
        <v>34</v>
      </c>
      <c r="AC5200">
        <v>-9.7999999999842605E-3</v>
      </c>
      <c r="AD5200">
        <v>-8.0033000000000007E-2</v>
      </c>
      <c r="AE5200">
        <v>-0.322711999999999</v>
      </c>
      <c r="AF5200">
        <v>-2.83241407473982E-2</v>
      </c>
      <c r="AG5200">
        <v>-8.0033000000000007E-2</v>
      </c>
      <c r="AH5200">
        <v>0.30284849102426897</v>
      </c>
      <c r="AI5200">
        <v>104.741489330947</v>
      </c>
      <c r="AJ5200">
        <v>95.343089734067703</v>
      </c>
      <c r="AK5200">
        <v>0.31452304614090698</v>
      </c>
      <c r="AL5200">
        <v>88.059853111802596</v>
      </c>
      <c r="AM5200">
        <v>89.651112167586007</v>
      </c>
      <c r="AN5200">
        <v>0.99999998982799398</v>
      </c>
    </row>
    <row r="5201" spans="1:40" x14ac:dyDescent="0.25">
      <c r="A5201" t="str">
        <f>"20190312151420092"</f>
        <v>20190312151420092</v>
      </c>
      <c r="B5201" t="str">
        <f>"1552374860085943"</f>
        <v>1552374860085943</v>
      </c>
      <c r="C5201" t="s">
        <v>40</v>
      </c>
      <c r="D5201">
        <v>5.0411999999999999</v>
      </c>
      <c r="E5201">
        <v>0.4806552</v>
      </c>
      <c r="F5201" t="s">
        <v>41</v>
      </c>
      <c r="G5201">
        <v>-300.18060000000003</v>
      </c>
      <c r="H5201">
        <v>0.99854350000000003</v>
      </c>
      <c r="I5201">
        <v>-10.118320000000001</v>
      </c>
      <c r="J5201">
        <v>-300.19060000000002</v>
      </c>
      <c r="K5201">
        <v>1.1007089999999999</v>
      </c>
      <c r="L5201">
        <v>-9.8038640000000008</v>
      </c>
      <c r="M5201">
        <v>-0.1355866</v>
      </c>
      <c r="N5201">
        <v>0</v>
      </c>
      <c r="O5201">
        <v>-0.99070270000000005</v>
      </c>
      <c r="P5201">
        <v>-0.1143694</v>
      </c>
      <c r="Q5201">
        <v>2.3578470000000001E-2</v>
      </c>
      <c r="R5201">
        <v>-0.9931586</v>
      </c>
      <c r="S5201">
        <v>-0.2555847</v>
      </c>
      <c r="T5201">
        <v>-0.32671169999999999</v>
      </c>
      <c r="U5201">
        <v>-3.0003660000000001</v>
      </c>
      <c r="V5201">
        <v>-2.072415E-2</v>
      </c>
      <c r="W5201">
        <v>3.5114529999999998E-2</v>
      </c>
      <c r="X5201">
        <v>0.99916839999999996</v>
      </c>
      <c r="Y5201">
        <v>-5.1499250000000003E-2</v>
      </c>
      <c r="Z5201">
        <v>0.1064962</v>
      </c>
      <c r="AA5201">
        <v>0.99297849999999999</v>
      </c>
      <c r="AB5201">
        <v>34</v>
      </c>
      <c r="AC5201">
        <v>9.9999999999908998E-3</v>
      </c>
      <c r="AD5201">
        <v>-0.10216550000000001</v>
      </c>
      <c r="AE5201">
        <v>-0.31445599999999801</v>
      </c>
      <c r="AF5201">
        <v>-4.7533836362994901E-2</v>
      </c>
      <c r="AG5201">
        <v>-0.10216550000000001</v>
      </c>
      <c r="AH5201">
        <v>0.280605748521567</v>
      </c>
      <c r="AI5201">
        <v>109.74687305977299</v>
      </c>
      <c r="AJ5201">
        <v>99.614475828922295</v>
      </c>
      <c r="AK5201">
        <v>0.30238525277034101</v>
      </c>
      <c r="AL5201">
        <v>87.987671955546702</v>
      </c>
      <c r="AM5201">
        <v>91.188224223909899</v>
      </c>
      <c r="AN5201">
        <v>1.0000000060844501</v>
      </c>
    </row>
    <row r="5202" spans="1:40" x14ac:dyDescent="0.25">
      <c r="A5202" t="str">
        <f>"20190312151420124"</f>
        <v>20190312151420124</v>
      </c>
      <c r="B5202" t="str">
        <f>"1552374860116199"</f>
        <v>1552374860116199</v>
      </c>
      <c r="C5202" t="s">
        <v>40</v>
      </c>
      <c r="D5202">
        <v>5.0112410000000001</v>
      </c>
      <c r="E5202">
        <v>0.4794216</v>
      </c>
      <c r="F5202" t="s">
        <v>42</v>
      </c>
      <c r="G5202">
        <v>-300.8546</v>
      </c>
      <c r="H5202" s="1">
        <v>-4.1102240000000001E-7</v>
      </c>
      <c r="I5202">
        <v>-19.982810000000001</v>
      </c>
      <c r="J5202">
        <v>-300.26870000000002</v>
      </c>
      <c r="K5202">
        <v>1.101947</v>
      </c>
      <c r="L5202">
        <v>-10.30841</v>
      </c>
      <c r="M5202">
        <v>-0.14438899999999999</v>
      </c>
      <c r="N5202">
        <v>0</v>
      </c>
      <c r="O5202">
        <v>-0.98945669999999997</v>
      </c>
      <c r="P5202">
        <v>-0.1127973</v>
      </c>
      <c r="Q5202">
        <v>2.2533549999999999E-2</v>
      </c>
      <c r="R5202">
        <v>-0.99336250000000004</v>
      </c>
      <c r="S5202">
        <v>-0.19607540000000001</v>
      </c>
      <c r="T5202">
        <v>-0.32503470000000001</v>
      </c>
      <c r="U5202">
        <v>-3.005798</v>
      </c>
      <c r="V5202">
        <v>-3.1282560000000001E-2</v>
      </c>
      <c r="W5202">
        <v>3.4303439999999998E-2</v>
      </c>
      <c r="X5202">
        <v>0.99892179999999997</v>
      </c>
      <c r="Y5202">
        <v>-8.0046179999999995E-2</v>
      </c>
      <c r="Z5202">
        <v>0.105543</v>
      </c>
      <c r="AA5202">
        <v>0.99118779999999995</v>
      </c>
      <c r="AB5202">
        <v>34</v>
      </c>
      <c r="AC5202">
        <v>-0.58589999999997999</v>
      </c>
      <c r="AD5202">
        <v>-1.1019474110223999</v>
      </c>
      <c r="AE5202">
        <v>-9.6744000000000003</v>
      </c>
      <c r="AF5202">
        <v>-0.80677738602287197</v>
      </c>
      <c r="AG5202">
        <v>-1.1019474110223999</v>
      </c>
      <c r="AH5202">
        <v>9.5343651759898496</v>
      </c>
      <c r="AI5202">
        <v>96.5695161681586</v>
      </c>
      <c r="AJ5202">
        <v>94.836723123171893</v>
      </c>
      <c r="AK5202">
        <v>9.6316819484649105</v>
      </c>
      <c r="AL5202">
        <v>88.034172082065197</v>
      </c>
      <c r="AM5202">
        <v>91.793707050490397</v>
      </c>
      <c r="AN5202">
        <v>1.00000004353561</v>
      </c>
    </row>
    <row r="5203" spans="1:40" x14ac:dyDescent="0.25">
      <c r="A5203" t="str">
        <f>"20190312151420160"</f>
        <v>20190312151420160</v>
      </c>
      <c r="B5203" t="str">
        <f>"1552374860156215"</f>
        <v>1552374860156215</v>
      </c>
      <c r="C5203" t="s">
        <v>40</v>
      </c>
      <c r="D5203">
        <v>5.093407</v>
      </c>
      <c r="E5203">
        <v>0.47831000000000001</v>
      </c>
      <c r="F5203" t="s">
        <v>42</v>
      </c>
      <c r="G5203">
        <v>-300.87299999999999</v>
      </c>
      <c r="H5203" s="1">
        <v>-4.448851E-6</v>
      </c>
      <c r="I5203">
        <v>-20.39507</v>
      </c>
      <c r="J5203">
        <v>-300.35129999999998</v>
      </c>
      <c r="K5203">
        <v>1.1030960000000001</v>
      </c>
      <c r="L5203">
        <v>-10.8179</v>
      </c>
      <c r="M5203">
        <v>-0.1518118</v>
      </c>
      <c r="N5203">
        <v>0</v>
      </c>
      <c r="O5203">
        <v>-0.98834409999999895</v>
      </c>
      <c r="P5203">
        <v>-0.1098161</v>
      </c>
      <c r="Q5203">
        <v>2.3674890000000001E-2</v>
      </c>
      <c r="R5203">
        <v>-0.99367000000000005</v>
      </c>
      <c r="S5203">
        <v>-0.18014530000000001</v>
      </c>
      <c r="T5203">
        <v>-0.32851540000000001</v>
      </c>
      <c r="U5203">
        <v>-3.00705</v>
      </c>
      <c r="V5203">
        <v>-4.1828789999999998E-2</v>
      </c>
      <c r="W5203">
        <v>3.5603940000000001E-2</v>
      </c>
      <c r="X5203">
        <v>0.99849019999999999</v>
      </c>
      <c r="Y5203">
        <v>-9.2784210000000006E-2</v>
      </c>
      <c r="Z5203">
        <v>0.1063933</v>
      </c>
      <c r="AA5203">
        <v>0.98998560000000002</v>
      </c>
      <c r="AB5203">
        <v>34</v>
      </c>
      <c r="AC5203">
        <v>-0.52170000000000905</v>
      </c>
      <c r="AD5203">
        <v>-1.1031004488509999</v>
      </c>
      <c r="AE5203">
        <v>-9.57716999999999</v>
      </c>
      <c r="AF5203">
        <v>-0.92611889291093497</v>
      </c>
      <c r="AG5203">
        <v>-1.1031004488509999</v>
      </c>
      <c r="AH5203">
        <v>9.4207455579705801</v>
      </c>
      <c r="AI5203">
        <v>96.6467538910954</v>
      </c>
      <c r="AJ5203">
        <v>95.614497590729101</v>
      </c>
      <c r="AK5203">
        <v>9.5302137264640798</v>
      </c>
      <c r="AL5203">
        <v>87.959613236589206</v>
      </c>
      <c r="AM5203">
        <v>92.398834390620095</v>
      </c>
      <c r="AN5203">
        <v>0.99999998385621303</v>
      </c>
    </row>
    <row r="5204" spans="1:40" x14ac:dyDescent="0.25">
      <c r="A5204" t="str">
        <f>"20190312151420193"</f>
        <v>20190312151420193</v>
      </c>
      <c r="B5204" t="str">
        <f>"1552374860185495"</f>
        <v>1552374860185495</v>
      </c>
      <c r="C5204" t="s">
        <v>40</v>
      </c>
      <c r="D5204">
        <v>5.0999569999999999</v>
      </c>
      <c r="E5204">
        <v>0.4775644</v>
      </c>
      <c r="F5204" t="s">
        <v>42</v>
      </c>
      <c r="G5204">
        <v>-300.89780000000002</v>
      </c>
      <c r="H5204" s="1">
        <v>-4.2649420000000003E-6</v>
      </c>
      <c r="I5204">
        <v>-20.948429999999998</v>
      </c>
      <c r="J5204">
        <v>-300.43599999999998</v>
      </c>
      <c r="K5204">
        <v>1.1041749999999999</v>
      </c>
      <c r="L5204">
        <v>-11.32532</v>
      </c>
      <c r="M5204">
        <v>-0.15791549999999999</v>
      </c>
      <c r="N5204">
        <v>0</v>
      </c>
      <c r="O5204">
        <v>-0.9873866</v>
      </c>
      <c r="P5204">
        <v>-0.1060232</v>
      </c>
      <c r="Q5204">
        <v>2.3266060000000002E-2</v>
      </c>
      <c r="R5204">
        <v>-0.99409150000000002</v>
      </c>
      <c r="S5204">
        <v>-0.162323</v>
      </c>
      <c r="T5204">
        <v>-0.32764300000000002</v>
      </c>
      <c r="U5204">
        <v>-3.008972</v>
      </c>
      <c r="V5204">
        <v>-5.1889360000000002E-2</v>
      </c>
      <c r="W5204">
        <v>3.5277500000000003E-2</v>
      </c>
      <c r="X5204">
        <v>0.99802950000000001</v>
      </c>
      <c r="Y5204">
        <v>-0.104808399999999</v>
      </c>
      <c r="Z5204">
        <v>0.1058453</v>
      </c>
      <c r="AA5204">
        <v>0.98884369999999999</v>
      </c>
      <c r="AB5204">
        <v>34</v>
      </c>
      <c r="AC5204">
        <v>-0.46180000000003901</v>
      </c>
      <c r="AD5204">
        <v>-1.1041792649419999</v>
      </c>
      <c r="AE5204">
        <v>-9.6231100000000005</v>
      </c>
      <c r="AF5204">
        <v>-1.0499408681420701</v>
      </c>
      <c r="AG5204">
        <v>-1.1041792649419999</v>
      </c>
      <c r="AH5204">
        <v>9.4511334287785598</v>
      </c>
      <c r="AI5204">
        <v>96.6232980338674</v>
      </c>
      <c r="AJ5204">
        <v>96.3390834822778</v>
      </c>
      <c r="AK5204">
        <v>9.5731661828414207</v>
      </c>
      <c r="AL5204">
        <v>87.978328550593105</v>
      </c>
      <c r="AM5204">
        <v>92.976231472991898</v>
      </c>
      <c r="AN5204">
        <v>0.99999994527885305</v>
      </c>
    </row>
    <row r="5205" spans="1:40" x14ac:dyDescent="0.25">
      <c r="A5205" t="str">
        <f>"20190312151420226"</f>
        <v>20190312151420226</v>
      </c>
      <c r="B5205" t="str">
        <f>"1552374860215751"</f>
        <v>1552374860215751</v>
      </c>
      <c r="C5205" t="s">
        <v>40</v>
      </c>
      <c r="D5205">
        <v>5.1148089999999904</v>
      </c>
      <c r="E5205">
        <v>0.47694969999999998</v>
      </c>
      <c r="F5205" t="s">
        <v>42</v>
      </c>
      <c r="G5205">
        <v>-300.91680000000002</v>
      </c>
      <c r="H5205" s="1">
        <v>-4.1223210000000003E-6</v>
      </c>
      <c r="I5205">
        <v>-21.370270000000001</v>
      </c>
      <c r="J5205">
        <v>-300.5224</v>
      </c>
      <c r="K5205">
        <v>1.1051500000000001</v>
      </c>
      <c r="L5205">
        <v>-11.830410000000001</v>
      </c>
      <c r="M5205">
        <v>-0.16289000000000001</v>
      </c>
      <c r="N5205">
        <v>0</v>
      </c>
      <c r="O5205">
        <v>-0.98657779999999995</v>
      </c>
      <c r="P5205">
        <v>-0.1020939</v>
      </c>
      <c r="Q5205">
        <v>2.2458510000000001E-2</v>
      </c>
      <c r="R5205">
        <v>-0.99452169999999895</v>
      </c>
      <c r="S5205">
        <v>-0.14407349999999999</v>
      </c>
      <c r="T5205">
        <v>-0.33089489999999999</v>
      </c>
      <c r="U5205">
        <v>-3.0102229999999999</v>
      </c>
      <c r="V5205">
        <v>-6.094463E-2</v>
      </c>
      <c r="W5205">
        <v>3.449406E-2</v>
      </c>
      <c r="X5205">
        <v>0.99754489999999996</v>
      </c>
      <c r="Y5205">
        <v>-0.11581950000000001</v>
      </c>
      <c r="Z5205">
        <v>0.10665669999999999</v>
      </c>
      <c r="AA5205">
        <v>0.9875273</v>
      </c>
      <c r="AB5205">
        <v>34</v>
      </c>
      <c r="AC5205">
        <v>-0.39440000000001801</v>
      </c>
      <c r="AD5205">
        <v>-1.105154122321</v>
      </c>
      <c r="AE5205">
        <v>-9.5398599999999991</v>
      </c>
      <c r="AF5205">
        <v>-1.14951734320428</v>
      </c>
      <c r="AG5205">
        <v>-1.105154122321</v>
      </c>
      <c r="AH5205">
        <v>9.3513948514157708</v>
      </c>
      <c r="AI5205">
        <v>96.690097080524296</v>
      </c>
      <c r="AJ5205">
        <v>97.007909608043505</v>
      </c>
      <c r="AK5205">
        <v>9.4863766224779305</v>
      </c>
      <c r="AL5205">
        <v>88.023243724070696</v>
      </c>
      <c r="AM5205">
        <v>93.496118577491302</v>
      </c>
      <c r="AN5205">
        <v>0.99999995780856399</v>
      </c>
    </row>
    <row r="5206" spans="1:40" x14ac:dyDescent="0.25">
      <c r="A5206" t="str">
        <f>"20190312151420259"</f>
        <v>20190312151420259</v>
      </c>
      <c r="B5206" t="str">
        <f>"1552374860255767"</f>
        <v>1552374860255767</v>
      </c>
      <c r="C5206" t="s">
        <v>40</v>
      </c>
      <c r="D5206">
        <v>5.0978059999999896</v>
      </c>
      <c r="E5206">
        <v>0.47617290000000001</v>
      </c>
      <c r="F5206" t="s">
        <v>42</v>
      </c>
      <c r="G5206">
        <v>-300.93729999999999</v>
      </c>
      <c r="H5206" s="1">
        <v>-3.949528E-6</v>
      </c>
      <c r="I5206">
        <v>-21.785779999999999</v>
      </c>
      <c r="J5206">
        <v>-300.60980000000001</v>
      </c>
      <c r="K5206">
        <v>1.1059760000000001</v>
      </c>
      <c r="L5206">
        <v>-12.33151</v>
      </c>
      <c r="M5206">
        <v>-0.1667525</v>
      </c>
      <c r="N5206">
        <v>0</v>
      </c>
      <c r="O5206">
        <v>-0.98593200000000003</v>
      </c>
      <c r="P5206">
        <v>-9.6356559999999994E-2</v>
      </c>
      <c r="Q5206">
        <v>2.2794700000000001E-2</v>
      </c>
      <c r="R5206">
        <v>-0.99508640000000004</v>
      </c>
      <c r="S5206">
        <v>-0.1254883</v>
      </c>
      <c r="T5206">
        <v>-0.33427600000000002</v>
      </c>
      <c r="U5206">
        <v>-3.0112000000000001</v>
      </c>
      <c r="V5206">
        <v>-7.0659570000000005E-2</v>
      </c>
      <c r="W5206">
        <v>3.482764E-2</v>
      </c>
      <c r="X5206">
        <v>0.99689229999999995</v>
      </c>
      <c r="Y5206">
        <v>-0.1258051</v>
      </c>
      <c r="Z5206">
        <v>0.1075397</v>
      </c>
      <c r="AA5206">
        <v>0.986209</v>
      </c>
      <c r="AB5206">
        <v>34</v>
      </c>
      <c r="AC5206">
        <v>-0.32749999999998602</v>
      </c>
      <c r="AD5206">
        <v>-1.1059799495280001</v>
      </c>
      <c r="AE5206">
        <v>-9.4542699999999993</v>
      </c>
      <c r="AF5206">
        <v>-1.23680780099934</v>
      </c>
      <c r="AG5206">
        <v>-1.1059799495280001</v>
      </c>
      <c r="AH5206">
        <v>9.2500626560525703</v>
      </c>
      <c r="AI5206">
        <v>96.758595972442293</v>
      </c>
      <c r="AJ5206">
        <v>97.615736761316796</v>
      </c>
      <c r="AK5206">
        <v>9.3976882437261704</v>
      </c>
      <c r="AL5206">
        <v>88.004119587305496</v>
      </c>
      <c r="AM5206">
        <v>94.054335349663305</v>
      </c>
      <c r="AN5206">
        <v>0.99999999856992206</v>
      </c>
    </row>
    <row r="5207" spans="1:40" x14ac:dyDescent="0.25">
      <c r="A5207" t="str">
        <f>"20190312151420292"</f>
        <v>20190312151420292</v>
      </c>
      <c r="B5207" t="str">
        <f>"1552374860286023"</f>
        <v>1552374860286023</v>
      </c>
      <c r="C5207" t="s">
        <v>40</v>
      </c>
      <c r="D5207">
        <v>5.1149550000000001</v>
      </c>
      <c r="E5207">
        <v>0.4756725</v>
      </c>
      <c r="F5207" t="s">
        <v>42</v>
      </c>
      <c r="G5207">
        <v>-300.94130000000001</v>
      </c>
      <c r="H5207" s="1">
        <v>-3.7421140000000001E-6</v>
      </c>
      <c r="I5207">
        <v>-22.271699999999999</v>
      </c>
      <c r="J5207">
        <v>-300.6977</v>
      </c>
      <c r="K5207">
        <v>1.1066940000000001</v>
      </c>
      <c r="L5207">
        <v>-12.83014</v>
      </c>
      <c r="M5207">
        <v>-0.1697467</v>
      </c>
      <c r="N5207">
        <v>0</v>
      </c>
      <c r="O5207">
        <v>-0.98542070000000004</v>
      </c>
      <c r="P5207">
        <v>-8.9639060000000007E-2</v>
      </c>
      <c r="Q5207">
        <v>2.2602049999999999E-2</v>
      </c>
      <c r="R5207">
        <v>-0.9957182</v>
      </c>
      <c r="S5207">
        <v>-0.10046389999999999</v>
      </c>
      <c r="T5207">
        <v>-0.335209599999999</v>
      </c>
      <c r="U5207">
        <v>-3.012756</v>
      </c>
      <c r="V5207">
        <v>-8.0468899999999996E-2</v>
      </c>
      <c r="W5207">
        <v>3.4606049999999999E-2</v>
      </c>
      <c r="X5207">
        <v>0.99615620000000005</v>
      </c>
      <c r="Y5207">
        <v>-0.1370112</v>
      </c>
      <c r="Z5207">
        <v>0.1076307</v>
      </c>
      <c r="AA5207">
        <v>0.98470480000000005</v>
      </c>
      <c r="AB5207">
        <v>34</v>
      </c>
      <c r="AC5207">
        <v>-0.243600000000014</v>
      </c>
      <c r="AD5207">
        <v>-1.1066977421140001</v>
      </c>
      <c r="AE5207">
        <v>-9.4415600000000008</v>
      </c>
      <c r="AF5207">
        <v>-1.3442580518004801</v>
      </c>
      <c r="AG5207">
        <v>-1.1066977421140001</v>
      </c>
      <c r="AH5207">
        <v>9.2192921995076293</v>
      </c>
      <c r="AI5207">
        <v>96.774162295334904</v>
      </c>
      <c r="AJ5207">
        <v>98.295793648429196</v>
      </c>
      <c r="AK5207">
        <v>9.3822789482157791</v>
      </c>
      <c r="AL5207">
        <v>88.0168234173656</v>
      </c>
      <c r="AM5207">
        <v>94.618290841489397</v>
      </c>
      <c r="AN5207">
        <v>0.99999999868112599</v>
      </c>
    </row>
    <row r="5208" spans="1:40" x14ac:dyDescent="0.25">
      <c r="A5208" t="str">
        <f>"20190312151420327"</f>
        <v>20190312151420327</v>
      </c>
      <c r="B5208" t="str">
        <f>"1552374860315303"</f>
        <v>1552374860315303</v>
      </c>
      <c r="C5208" t="s">
        <v>40</v>
      </c>
      <c r="D5208">
        <v>5.0867129999999996</v>
      </c>
      <c r="E5208">
        <v>0.47522429999999899</v>
      </c>
      <c r="F5208" t="s">
        <v>42</v>
      </c>
      <c r="G5208">
        <v>-300.94490000000002</v>
      </c>
      <c r="H5208" s="1">
        <v>-3.5516769999999998E-6</v>
      </c>
      <c r="I5208">
        <v>-22.7179</v>
      </c>
      <c r="J5208">
        <v>-300.78809999999999</v>
      </c>
      <c r="K5208">
        <v>1.10737</v>
      </c>
      <c r="L5208">
        <v>-13.338039999999999</v>
      </c>
      <c r="M5208">
        <v>-0.17199</v>
      </c>
      <c r="N5208">
        <v>0</v>
      </c>
      <c r="O5208">
        <v>-0.98503130000000005</v>
      </c>
      <c r="P5208">
        <v>-8.1117510000000004E-2</v>
      </c>
      <c r="Q5208">
        <v>2.134405E-2</v>
      </c>
      <c r="R5208">
        <v>-0.99647640000000004</v>
      </c>
      <c r="S5208">
        <v>-7.5347899999999995E-2</v>
      </c>
      <c r="T5208">
        <v>-0.33731830000000002</v>
      </c>
      <c r="U5208">
        <v>-3.013763</v>
      </c>
      <c r="V5208">
        <v>-9.1318510000000006E-2</v>
      </c>
      <c r="W5208">
        <v>3.3293120000000002E-2</v>
      </c>
      <c r="X5208">
        <v>0.99526510000000001</v>
      </c>
      <c r="Y5208">
        <v>-0.14746960000000001</v>
      </c>
      <c r="Z5208">
        <v>0.10812769999999999</v>
      </c>
      <c r="AA5208">
        <v>0.98313839999999997</v>
      </c>
      <c r="AB5208">
        <v>34</v>
      </c>
      <c r="AC5208">
        <v>-0.156800000000032</v>
      </c>
      <c r="AD5208">
        <v>-1.107373551677</v>
      </c>
      <c r="AE5208">
        <v>-9.3798600000000008</v>
      </c>
      <c r="AF5208">
        <v>-1.4388373831222701</v>
      </c>
      <c r="AG5208">
        <v>-1.107373551677</v>
      </c>
      <c r="AH5208">
        <v>9.1396870326303397</v>
      </c>
      <c r="AI5208">
        <v>96.825090661547506</v>
      </c>
      <c r="AJ5208">
        <v>98.946500951556402</v>
      </c>
      <c r="AK5208">
        <v>9.3182835464722302</v>
      </c>
      <c r="AL5208">
        <v>88.092092277961299</v>
      </c>
      <c r="AM5208">
        <v>95.242378564311096</v>
      </c>
      <c r="AN5208">
        <v>1.00000006069298</v>
      </c>
    </row>
    <row r="5209" spans="1:40" x14ac:dyDescent="0.25">
      <c r="A5209" t="str">
        <f>"20190312151420362"</f>
        <v>20190312151420362</v>
      </c>
      <c r="B5209" t="str">
        <f>"1552374860355319"</f>
        <v>1552374860355319</v>
      </c>
      <c r="C5209" t="s">
        <v>40</v>
      </c>
      <c r="D5209">
        <v>5.7135629999999997</v>
      </c>
      <c r="E5209">
        <v>0.47482099999999999</v>
      </c>
      <c r="F5209" t="s">
        <v>42</v>
      </c>
      <c r="G5209">
        <v>-300.9359</v>
      </c>
      <c r="H5209" s="1">
        <v>-3.390302E-6</v>
      </c>
      <c r="I5209">
        <v>-23.088470000000001</v>
      </c>
      <c r="J5209">
        <v>-300.88130000000001</v>
      </c>
      <c r="K5209">
        <v>1.107969</v>
      </c>
      <c r="L5209">
        <v>-13.85965</v>
      </c>
      <c r="M5209">
        <v>-0.1735313</v>
      </c>
      <c r="N5209">
        <v>0</v>
      </c>
      <c r="O5209">
        <v>-0.98476079999999999</v>
      </c>
      <c r="P5209">
        <v>-7.2891479999999995E-2</v>
      </c>
      <c r="Q5209">
        <v>2.2406329999999999E-2</v>
      </c>
      <c r="R5209">
        <v>-0.99708819999999998</v>
      </c>
      <c r="S5209">
        <v>-4.5684809999999999E-2</v>
      </c>
      <c r="T5209">
        <v>-0.34233069999999999</v>
      </c>
      <c r="U5209">
        <v>-3.014221</v>
      </c>
      <c r="V5209">
        <v>-0.1011239</v>
      </c>
      <c r="W5209">
        <v>3.4271509999999998E-2</v>
      </c>
      <c r="X5209">
        <v>0.99428340000000004</v>
      </c>
      <c r="Y5209">
        <v>-0.15868380000000001</v>
      </c>
      <c r="Z5209">
        <v>0.10956390000000001</v>
      </c>
      <c r="AA5209">
        <v>0.98123150000000003</v>
      </c>
      <c r="AB5209">
        <v>34</v>
      </c>
      <c r="AC5209">
        <v>-5.4599999999993501E-2</v>
      </c>
      <c r="AD5209">
        <v>-1.107972390302</v>
      </c>
      <c r="AE5209">
        <v>-9.22881999999999</v>
      </c>
      <c r="AF5209">
        <v>-1.5258325496098</v>
      </c>
      <c r="AG5209">
        <v>-1.107972390302</v>
      </c>
      <c r="AH5209">
        <v>8.9689914143610192</v>
      </c>
      <c r="AI5209">
        <v>96.943511584080895</v>
      </c>
      <c r="AJ5209">
        <v>99.654899720163399</v>
      </c>
      <c r="AK5209">
        <v>9.1650736373474899</v>
      </c>
      <c r="AL5209">
        <v>88.036002585042596</v>
      </c>
      <c r="AM5209">
        <v>95.807316302404899</v>
      </c>
      <c r="AN5209">
        <v>1.00000002953222</v>
      </c>
    </row>
    <row r="5210" spans="1:40" x14ac:dyDescent="0.25">
      <c r="A5210" t="str">
        <f>"20190312151420393"</f>
        <v>20190312151420393</v>
      </c>
      <c r="B5210" t="str">
        <f>"1552374860385575"</f>
        <v>1552374860385575</v>
      </c>
      <c r="C5210" t="s">
        <v>40</v>
      </c>
      <c r="D5210">
        <v>5.1557440000000003</v>
      </c>
      <c r="E5210">
        <v>0.47460069999999999</v>
      </c>
      <c r="F5210" t="s">
        <v>42</v>
      </c>
      <c r="G5210">
        <v>-300.93700000000001</v>
      </c>
      <c r="H5210" s="1">
        <v>-3.1518949999999999E-6</v>
      </c>
      <c r="I5210">
        <v>-23.644870000000001</v>
      </c>
      <c r="J5210">
        <v>-300.96809999999999</v>
      </c>
      <c r="K5210">
        <v>1.1084560000000001</v>
      </c>
      <c r="L5210">
        <v>-14.34491</v>
      </c>
      <c r="M5210">
        <v>-0.17436689999999999</v>
      </c>
      <c r="N5210">
        <v>0</v>
      </c>
      <c r="O5210">
        <v>-0.98461319999999997</v>
      </c>
      <c r="P5210">
        <v>-6.5873719999999997E-2</v>
      </c>
      <c r="Q5210">
        <v>2.2972010000000001E-2</v>
      </c>
      <c r="R5210">
        <v>-0.9975638</v>
      </c>
      <c r="S5210">
        <v>-1.715088E-2</v>
      </c>
      <c r="T5210">
        <v>-0.34140470000000001</v>
      </c>
      <c r="U5210">
        <v>-3.0151669999999999</v>
      </c>
      <c r="V5210">
        <v>-0.1089977</v>
      </c>
      <c r="W5210">
        <v>3.474472E-2</v>
      </c>
      <c r="X5210">
        <v>0.99343459999999995</v>
      </c>
      <c r="Y5210">
        <v>-0.16880120000000001</v>
      </c>
      <c r="Z5210">
        <v>0.10912239999999999</v>
      </c>
      <c r="AA5210">
        <v>0.97959099999999999</v>
      </c>
      <c r="AB5210">
        <v>34</v>
      </c>
      <c r="AC5210">
        <v>3.1099999999980799E-2</v>
      </c>
      <c r="AD5210">
        <v>-1.108459151895</v>
      </c>
      <c r="AE5210">
        <v>-9.2999600000000004</v>
      </c>
      <c r="AF5210">
        <v>-1.6291922403996599</v>
      </c>
      <c r="AG5210">
        <v>-1.108459151895</v>
      </c>
      <c r="AH5210">
        <v>9.0238562692416604</v>
      </c>
      <c r="AI5210">
        <v>96.892597197889899</v>
      </c>
      <c r="AJ5210">
        <v>100.234094766711</v>
      </c>
      <c r="AK5210">
        <v>9.2364999331743807</v>
      </c>
      <c r="AL5210">
        <v>88.008873431987197</v>
      </c>
      <c r="AM5210">
        <v>96.261336183483706</v>
      </c>
      <c r="AN5210">
        <v>0.99999999932516404</v>
      </c>
    </row>
    <row r="5211" spans="1:40" x14ac:dyDescent="0.25">
      <c r="A5211" t="str">
        <f>"20190312151420427"</f>
        <v>20190312151420427</v>
      </c>
      <c r="B5211" t="str">
        <f>"1552374860415832"</f>
        <v>1552374860415832</v>
      </c>
      <c r="C5211" t="s">
        <v>40</v>
      </c>
      <c r="D5211">
        <v>5.1291580000000003</v>
      </c>
      <c r="E5211">
        <v>0.47439599999999998</v>
      </c>
      <c r="F5211" t="s">
        <v>42</v>
      </c>
      <c r="G5211">
        <v>-300.94670000000002</v>
      </c>
      <c r="H5211" s="1">
        <v>-2.9375720000000001E-6</v>
      </c>
      <c r="I5211">
        <v>-24.150459999999999</v>
      </c>
      <c r="J5211">
        <v>-301.05970000000002</v>
      </c>
      <c r="K5211">
        <v>1.1089199999999999</v>
      </c>
      <c r="L5211">
        <v>-14.858429999999901</v>
      </c>
      <c r="M5211">
        <v>-0.1746529</v>
      </c>
      <c r="N5211">
        <v>0</v>
      </c>
      <c r="O5211">
        <v>-0.98456250000000001</v>
      </c>
      <c r="P5211">
        <v>-6.0352900000000001E-2</v>
      </c>
      <c r="Q5211">
        <v>2.054798E-2</v>
      </c>
      <c r="R5211">
        <v>-0.99796589999999996</v>
      </c>
      <c r="S5211">
        <v>6.5917969999999999E-3</v>
      </c>
      <c r="T5211">
        <v>-0.34089839999999999</v>
      </c>
      <c r="U5211">
        <v>-3.015625</v>
      </c>
      <c r="V5211">
        <v>-0.11483400000000001</v>
      </c>
      <c r="W5211">
        <v>3.2211759999999999E-2</v>
      </c>
      <c r="X5211">
        <v>0.99286229999999998</v>
      </c>
      <c r="Y5211">
        <v>-0.17679439999999999</v>
      </c>
      <c r="Z5211">
        <v>0.10885889999999999</v>
      </c>
      <c r="AA5211">
        <v>0.97820929999999995</v>
      </c>
      <c r="AB5211">
        <v>34</v>
      </c>
      <c r="AC5211">
        <v>0.112999999999999</v>
      </c>
      <c r="AD5211">
        <v>-1.108922937572</v>
      </c>
      <c r="AE5211">
        <v>-9.2920300000000005</v>
      </c>
      <c r="AF5211">
        <v>-1.70990151444142</v>
      </c>
      <c r="AG5211">
        <v>-1.108922937572</v>
      </c>
      <c r="AH5211">
        <v>9.0012755352158695</v>
      </c>
      <c r="AI5211">
        <v>96.901044808002894</v>
      </c>
      <c r="AJ5211">
        <v>100.755873135193</v>
      </c>
      <c r="AK5211">
        <v>9.2291080030216399</v>
      </c>
      <c r="AL5211">
        <v>88.154082780002099</v>
      </c>
      <c r="AM5211">
        <v>96.597489403922395</v>
      </c>
      <c r="AN5211">
        <v>0.99999999589979305</v>
      </c>
    </row>
    <row r="5212" spans="1:40" x14ac:dyDescent="0.25">
      <c r="A5212" t="str">
        <f>"20190312151420460"</f>
        <v>20190312151420460</v>
      </c>
      <c r="B5212" t="str">
        <f>"1552374860455847"</f>
        <v>1552374860455847</v>
      </c>
      <c r="C5212" t="s">
        <v>40</v>
      </c>
      <c r="D5212">
        <v>5.1726809999999999</v>
      </c>
      <c r="E5212">
        <v>0.47442380000000001</v>
      </c>
      <c r="F5212" t="s">
        <v>42</v>
      </c>
      <c r="G5212">
        <v>-300.97629999999998</v>
      </c>
      <c r="H5212" s="1">
        <v>-2.7818019999999998E-6</v>
      </c>
      <c r="I5212">
        <v>-24.532</v>
      </c>
      <c r="J5212">
        <v>-301.14729999999997</v>
      </c>
      <c r="K5212">
        <v>1.1093090000000001</v>
      </c>
      <c r="L5212">
        <v>-15.35266</v>
      </c>
      <c r="M5212">
        <v>-0.17436399999999999</v>
      </c>
      <c r="N5212">
        <v>0</v>
      </c>
      <c r="O5212">
        <v>-0.98461359999999998</v>
      </c>
      <c r="P5212">
        <v>-5.5108709999999998E-2</v>
      </c>
      <c r="Q5212">
        <v>1.7361060000000001E-2</v>
      </c>
      <c r="R5212">
        <v>-0.99832980000000004</v>
      </c>
      <c r="S5212">
        <v>2.5970460000000001E-2</v>
      </c>
      <c r="T5212">
        <v>-0.34559980000000001</v>
      </c>
      <c r="U5212">
        <v>-3.0148009999999998</v>
      </c>
      <c r="V5212">
        <v>-0.1198024</v>
      </c>
      <c r="W5212">
        <v>2.891883E-2</v>
      </c>
      <c r="X5212">
        <v>0.99237649999999999</v>
      </c>
      <c r="Y5212">
        <v>-0.18278810000000001</v>
      </c>
      <c r="Z5212">
        <v>0.1103145</v>
      </c>
      <c r="AA5212">
        <v>0.97694380000000003</v>
      </c>
      <c r="AB5212">
        <v>34</v>
      </c>
      <c r="AC5212">
        <v>0.17099999999999199</v>
      </c>
      <c r="AD5212">
        <v>-1.109311781802</v>
      </c>
      <c r="AE5212">
        <v>-9.1793399999999892</v>
      </c>
      <c r="AF5212">
        <v>-1.7435781199723499</v>
      </c>
      <c r="AG5212">
        <v>-1.109311781802</v>
      </c>
      <c r="AH5212">
        <v>8.87925561564359</v>
      </c>
      <c r="AI5212">
        <v>96.989119157145296</v>
      </c>
      <c r="AJ5212">
        <v>101.109552641202</v>
      </c>
      <c r="AK5212">
        <v>9.1165683004971392</v>
      </c>
      <c r="AL5212">
        <v>88.342842084072004</v>
      </c>
      <c r="AM5212">
        <v>96.883591449114306</v>
      </c>
      <c r="AN5212">
        <v>1.00000001576328</v>
      </c>
    </row>
    <row r="5213" spans="1:40" x14ac:dyDescent="0.25">
      <c r="A5213" t="str">
        <f>"20190312151420493"</f>
        <v>20190312151420493</v>
      </c>
      <c r="B5213" t="str">
        <f>"1552374860486103"</f>
        <v>1552374860486103</v>
      </c>
      <c r="C5213" t="s">
        <v>40</v>
      </c>
      <c r="D5213">
        <v>5.1971080000000001</v>
      </c>
      <c r="E5213">
        <v>0.47444750000000002</v>
      </c>
      <c r="F5213" t="s">
        <v>42</v>
      </c>
      <c r="G5213">
        <v>-301.01850000000002</v>
      </c>
      <c r="H5213" s="1">
        <v>-2.6649140000000001E-6</v>
      </c>
      <c r="I5213">
        <v>-24.83062</v>
      </c>
      <c r="J5213">
        <v>-301.23610000000002</v>
      </c>
      <c r="K5213">
        <v>1.109704</v>
      </c>
      <c r="L5213">
        <v>-15.85718</v>
      </c>
      <c r="M5213">
        <v>-0.1735196</v>
      </c>
      <c r="N5213">
        <v>0</v>
      </c>
      <c r="O5213">
        <v>-0.98476260000000004</v>
      </c>
      <c r="P5213">
        <v>-5.0318649999999999E-2</v>
      </c>
      <c r="Q5213">
        <v>1.3372749999999999E-2</v>
      </c>
      <c r="R5213">
        <v>-0.99864410000000003</v>
      </c>
      <c r="S5213">
        <v>4.0954589999999999E-2</v>
      </c>
      <c r="T5213">
        <v>-0.35269519999999999</v>
      </c>
      <c r="U5213">
        <v>-3.0134280000000002</v>
      </c>
      <c r="V5213">
        <v>-0.12374880000000001</v>
      </c>
      <c r="W5213">
        <v>2.4824760000000001E-2</v>
      </c>
      <c r="X5213">
        <v>0.99200299999999997</v>
      </c>
      <c r="Y5213">
        <v>-0.1868002</v>
      </c>
      <c r="Z5213">
        <v>0.1125785</v>
      </c>
      <c r="AA5213">
        <v>0.97592610000000002</v>
      </c>
      <c r="AB5213">
        <v>34</v>
      </c>
      <c r="AC5213">
        <v>0.21760000000000401</v>
      </c>
      <c r="AD5213">
        <v>-1.1097066649139999</v>
      </c>
      <c r="AE5213">
        <v>-8.9734400000000001</v>
      </c>
      <c r="AF5213">
        <v>-1.7448024359976599</v>
      </c>
      <c r="AG5213">
        <v>-1.1097066649139999</v>
      </c>
      <c r="AH5213">
        <v>8.6670685913122991</v>
      </c>
      <c r="AI5213">
        <v>97.154289315557406</v>
      </c>
      <c r="AJ5213">
        <v>101.382306365847</v>
      </c>
      <c r="AK5213">
        <v>8.9103233605369301</v>
      </c>
      <c r="AL5213">
        <v>88.577499882200698</v>
      </c>
      <c r="AM5213">
        <v>97.110709061796697</v>
      </c>
      <c r="AN5213">
        <v>0.99999999310974796</v>
      </c>
    </row>
    <row r="5214" spans="1:40" x14ac:dyDescent="0.25">
      <c r="A5214" t="str">
        <f>"20190312151420529"</f>
        <v>20190312151420529</v>
      </c>
      <c r="B5214" t="str">
        <f>"1552374860526119"</f>
        <v>1552374860526119</v>
      </c>
      <c r="C5214" t="s">
        <v>40</v>
      </c>
      <c r="D5214">
        <v>5.1750220000000002</v>
      </c>
      <c r="E5214">
        <v>0.47458630000000002</v>
      </c>
      <c r="F5214" t="s">
        <v>42</v>
      </c>
      <c r="G5214">
        <v>-301.06950000000001</v>
      </c>
      <c r="H5214" s="1">
        <v>-2.5787599999999999E-6</v>
      </c>
      <c r="I5214">
        <v>-25.063089999999999</v>
      </c>
      <c r="J5214">
        <v>-301.32420000000002</v>
      </c>
      <c r="K5214">
        <v>1.110134</v>
      </c>
      <c r="L5214">
        <v>-16.365079999999999</v>
      </c>
      <c r="M5214">
        <v>-0.17204220000000001</v>
      </c>
      <c r="N5214">
        <v>0</v>
      </c>
      <c r="O5214">
        <v>-0.98502120000000004</v>
      </c>
      <c r="P5214">
        <v>-4.4730060000000002E-2</v>
      </c>
      <c r="Q5214">
        <v>1.1756870000000001E-2</v>
      </c>
      <c r="R5214">
        <v>-0.99893019999999999</v>
      </c>
      <c r="S5214">
        <v>5.4473880000000002E-2</v>
      </c>
      <c r="T5214">
        <v>-0.36303760000000002</v>
      </c>
      <c r="U5214">
        <v>-3.0116879999999999</v>
      </c>
      <c r="V5214">
        <v>-0.12783810000000001</v>
      </c>
      <c r="W5214">
        <v>2.309195E-2</v>
      </c>
      <c r="X5214">
        <v>0.99152620000000002</v>
      </c>
      <c r="Y5214">
        <v>-0.1897054</v>
      </c>
      <c r="Z5214">
        <v>0.115908</v>
      </c>
      <c r="AA5214">
        <v>0.97497549999999999</v>
      </c>
      <c r="AB5214">
        <v>34</v>
      </c>
      <c r="AC5214">
        <v>0.25470000000001303</v>
      </c>
      <c r="AD5214">
        <v>-1.1101365787599999</v>
      </c>
      <c r="AE5214">
        <v>-8.69801</v>
      </c>
      <c r="AF5214">
        <v>-1.7194421869609</v>
      </c>
      <c r="AG5214">
        <v>-1.1101365787599999</v>
      </c>
      <c r="AH5214">
        <v>8.3879590606229293</v>
      </c>
      <c r="AI5214">
        <v>97.387349645614407</v>
      </c>
      <c r="AJ5214">
        <v>101.584540051551</v>
      </c>
      <c r="AK5214">
        <v>8.6340455095214903</v>
      </c>
      <c r="AL5214">
        <v>88.6768111260875</v>
      </c>
      <c r="AM5214">
        <v>97.346651920715004</v>
      </c>
      <c r="AN5214">
        <v>1.00000001162642</v>
      </c>
    </row>
    <row r="5215" spans="1:40" x14ac:dyDescent="0.25">
      <c r="A5215" t="str">
        <f>"20190312151420562"</f>
        <v>20190312151420562</v>
      </c>
      <c r="B5215" t="str">
        <f>"1552374860555399"</f>
        <v>1552374860555399</v>
      </c>
      <c r="C5215" t="s">
        <v>40</v>
      </c>
      <c r="D5215">
        <v>5.3510299999999997</v>
      </c>
      <c r="E5215">
        <v>0.47476699999999999</v>
      </c>
      <c r="F5215" t="s">
        <v>42</v>
      </c>
      <c r="G5215">
        <v>-301.11180000000002</v>
      </c>
      <c r="H5215" s="1">
        <v>-2.3933169999999999E-6</v>
      </c>
      <c r="I5215">
        <v>-25.521550000000001</v>
      </c>
      <c r="J5215">
        <v>-301.41160000000002</v>
      </c>
      <c r="K5215">
        <v>1.1105879999999999</v>
      </c>
      <c r="L5215">
        <v>-16.877659999999999</v>
      </c>
      <c r="M5215">
        <v>-0.16987940000000001</v>
      </c>
      <c r="N5215">
        <v>0</v>
      </c>
      <c r="O5215">
        <v>-0.9853963</v>
      </c>
      <c r="P5215">
        <v>-3.7136629999999997E-2</v>
      </c>
      <c r="Q5215">
        <v>1.2485339999999999E-2</v>
      </c>
      <c r="R5215">
        <v>-0.99923240000000002</v>
      </c>
      <c r="S5215">
        <v>6.9854739999999999E-2</v>
      </c>
      <c r="T5215">
        <v>-0.36501339999999999</v>
      </c>
      <c r="U5215">
        <v>-3.0106510000000002</v>
      </c>
      <c r="V5215">
        <v>-0.13322129999999999</v>
      </c>
      <c r="W5215">
        <v>2.3698319999999998E-2</v>
      </c>
      <c r="X5215">
        <v>0.99080290000000004</v>
      </c>
      <c r="Y5215">
        <v>-0.19253200000000001</v>
      </c>
      <c r="Z5215">
        <v>0.1165972</v>
      </c>
      <c r="AA5215">
        <v>0.97433899999999996</v>
      </c>
      <c r="AB5215">
        <v>34</v>
      </c>
      <c r="AC5215">
        <v>0.29980000000000401</v>
      </c>
      <c r="AD5215">
        <v>-1.1105903933169901</v>
      </c>
      <c r="AE5215">
        <v>-8.6438899999999901</v>
      </c>
      <c r="AF5215">
        <v>-1.73534747518772</v>
      </c>
      <c r="AG5215">
        <v>-1.1105903933169901</v>
      </c>
      <c r="AH5215">
        <v>8.3299553832926101</v>
      </c>
      <c r="AI5215">
        <v>97.436357851933707</v>
      </c>
      <c r="AJ5215">
        <v>101.76789408504401</v>
      </c>
      <c r="AK5215">
        <v>8.5809672280584994</v>
      </c>
      <c r="AL5215">
        <v>88.642059096706902</v>
      </c>
      <c r="AM5215">
        <v>97.657942767758598</v>
      </c>
      <c r="AN5215">
        <v>0.99999995589645996</v>
      </c>
    </row>
    <row r="5216" spans="1:40" x14ac:dyDescent="0.25">
      <c r="A5216" t="str">
        <f>"20190312151420594"</f>
        <v>20190312151420594</v>
      </c>
      <c r="B5216" t="str">
        <f>"1552374860585655"</f>
        <v>1552374860585655</v>
      </c>
      <c r="C5216" t="s">
        <v>40</v>
      </c>
      <c r="D5216">
        <v>5.111421</v>
      </c>
      <c r="E5216">
        <v>0.47496690000000003</v>
      </c>
      <c r="F5216" t="s">
        <v>42</v>
      </c>
      <c r="G5216">
        <v>-301.13130000000001</v>
      </c>
      <c r="H5216" s="1">
        <v>-2.1363549999999998E-6</v>
      </c>
      <c r="I5216">
        <v>-26.132639999999999</v>
      </c>
      <c r="J5216">
        <v>-301.49310000000003</v>
      </c>
      <c r="K5216">
        <v>1.1110150000000001</v>
      </c>
      <c r="L5216">
        <v>-17.36694</v>
      </c>
      <c r="M5216">
        <v>-0.167153</v>
      </c>
      <c r="N5216">
        <v>0</v>
      </c>
      <c r="O5216">
        <v>-0.98586189999999996</v>
      </c>
      <c r="P5216">
        <v>-2.9626690000000001E-2</v>
      </c>
      <c r="Q5216">
        <v>1.4844329999999999E-2</v>
      </c>
      <c r="R5216">
        <v>-0.99945079999999997</v>
      </c>
      <c r="S5216">
        <v>9.1156009999999996E-2</v>
      </c>
      <c r="T5216">
        <v>-0.36122019999999999</v>
      </c>
      <c r="U5216">
        <v>-3.0101930000000001</v>
      </c>
      <c r="V5216">
        <v>-0.1379522</v>
      </c>
      <c r="W5216">
        <v>2.5935900000000001E-2</v>
      </c>
      <c r="X5216">
        <v>0.99009930000000002</v>
      </c>
      <c r="Y5216">
        <v>-0.19671350000000001</v>
      </c>
      <c r="Z5216">
        <v>0.1154423</v>
      </c>
      <c r="AA5216">
        <v>0.97364099999999998</v>
      </c>
      <c r="AB5216">
        <v>34</v>
      </c>
      <c r="AC5216">
        <v>0.361800000000016</v>
      </c>
      <c r="AD5216">
        <v>-1.1110171363550001</v>
      </c>
      <c r="AE5216">
        <v>-8.7656999999999901</v>
      </c>
      <c r="AF5216">
        <v>-1.7932630082044501</v>
      </c>
      <c r="AG5216">
        <v>-1.1110171363550001</v>
      </c>
      <c r="AH5216">
        <v>8.4464209891912692</v>
      </c>
      <c r="AI5216">
        <v>97.331909987573496</v>
      </c>
      <c r="AJ5216">
        <v>101.98650490973399</v>
      </c>
      <c r="AK5216">
        <v>8.7058703654786793</v>
      </c>
      <c r="AL5216">
        <v>88.513815819028196</v>
      </c>
      <c r="AM5216">
        <v>97.932051197849802</v>
      </c>
      <c r="AN5216">
        <v>1.00000005212706</v>
      </c>
    </row>
    <row r="5217" spans="1:40" x14ac:dyDescent="0.25">
      <c r="A5217" t="str">
        <f>"20190312151420628"</f>
        <v>20190312151420628</v>
      </c>
      <c r="B5217" t="str">
        <f>"1552374860615911"</f>
        <v>1552374860615911</v>
      </c>
      <c r="C5217" t="s">
        <v>40</v>
      </c>
      <c r="D5217">
        <v>5.2012799999999997</v>
      </c>
      <c r="E5217">
        <v>0.47526570000000001</v>
      </c>
      <c r="F5217" t="s">
        <v>42</v>
      </c>
      <c r="G5217">
        <v>-301.13720000000001</v>
      </c>
      <c r="H5217" s="1">
        <v>-1.8193140000000001E-6</v>
      </c>
      <c r="I5217">
        <v>-26.875340000000001</v>
      </c>
      <c r="J5217">
        <v>-301.57589999999999</v>
      </c>
      <c r="K5217">
        <v>1.111486</v>
      </c>
      <c r="L5217">
        <v>-17.877109999999998</v>
      </c>
      <c r="M5217">
        <v>-0.16356850000000001</v>
      </c>
      <c r="N5217">
        <v>0</v>
      </c>
      <c r="O5217">
        <v>-0.98646250000000002</v>
      </c>
      <c r="P5217">
        <v>-2.0309219999999999E-2</v>
      </c>
      <c r="Q5217">
        <v>1.505364E-2</v>
      </c>
      <c r="R5217">
        <v>-0.99968060000000003</v>
      </c>
      <c r="S5217">
        <v>0.11267089999999901</v>
      </c>
      <c r="T5217">
        <v>-0.35173199999999999</v>
      </c>
      <c r="U5217">
        <v>-3.0102229999999999</v>
      </c>
      <c r="V5217">
        <v>-0.14361079999999901</v>
      </c>
      <c r="W5217">
        <v>2.599692E-2</v>
      </c>
      <c r="X5217">
        <v>0.98929270000000002</v>
      </c>
      <c r="Y5217">
        <v>-0.2001127</v>
      </c>
      <c r="Z5217">
        <v>0.1125005</v>
      </c>
      <c r="AA5217">
        <v>0.97329259999999995</v>
      </c>
      <c r="AB5217">
        <v>34</v>
      </c>
      <c r="AC5217">
        <v>0.43869999999998199</v>
      </c>
      <c r="AD5217">
        <v>-1.1114878193140001</v>
      </c>
      <c r="AE5217">
        <v>-8.9982299999999995</v>
      </c>
      <c r="AF5217">
        <v>-1.8761602241255799</v>
      </c>
      <c r="AG5217">
        <v>-1.1114878193140001</v>
      </c>
      <c r="AH5217">
        <v>8.6732407286797706</v>
      </c>
      <c r="AI5217">
        <v>97.139367652581697</v>
      </c>
      <c r="AJ5217">
        <v>102.20592720112001</v>
      </c>
      <c r="AK5217">
        <v>8.9431810390209598</v>
      </c>
      <c r="AL5217">
        <v>88.510318335076406</v>
      </c>
      <c r="AM5217">
        <v>98.259653243948506</v>
      </c>
      <c r="AN5217">
        <v>0.99999997399970697</v>
      </c>
    </row>
    <row r="5218" spans="1:40" x14ac:dyDescent="0.25">
      <c r="A5218" t="str">
        <f>"20190312151420661"</f>
        <v>20190312151420661</v>
      </c>
      <c r="B5218" t="str">
        <f>"1552374860655927"</f>
        <v>1552374860655927</v>
      </c>
      <c r="C5218" t="s">
        <v>40</v>
      </c>
      <c r="D5218">
        <v>5.1869909999999999</v>
      </c>
      <c r="E5218">
        <v>0.48434939999999999</v>
      </c>
      <c r="F5218" t="s">
        <v>42</v>
      </c>
      <c r="G5218">
        <v>-301.13440000000003</v>
      </c>
      <c r="H5218" s="1">
        <v>-1.5584749999999999E-6</v>
      </c>
      <c r="I5218">
        <v>-27.4816</v>
      </c>
      <c r="J5218">
        <v>-301.65539999999999</v>
      </c>
      <c r="K5218">
        <v>1.111944</v>
      </c>
      <c r="L5218">
        <v>-18.38354</v>
      </c>
      <c r="M5218">
        <v>-0.15927450000000001</v>
      </c>
      <c r="N5218">
        <v>0</v>
      </c>
      <c r="O5218">
        <v>-0.98716440000000005</v>
      </c>
      <c r="P5218">
        <v>-1.0904209999999999E-2</v>
      </c>
      <c r="Q5218">
        <v>1.461222E-2</v>
      </c>
      <c r="R5218">
        <v>-0.99983370000000005</v>
      </c>
      <c r="S5218">
        <v>0.13833619999999999</v>
      </c>
      <c r="T5218">
        <v>-0.34821920000000001</v>
      </c>
      <c r="U5218">
        <v>-3.0090029999999999</v>
      </c>
      <c r="V5218">
        <v>-0.14863799999999999</v>
      </c>
      <c r="W5218">
        <v>2.5404880000000001E-2</v>
      </c>
      <c r="X5218">
        <v>0.98856529999999998</v>
      </c>
      <c r="Y5218">
        <v>-0.20415549999999999</v>
      </c>
      <c r="Z5218">
        <v>0.111489</v>
      </c>
      <c r="AA5218">
        <v>0.97256920000000002</v>
      </c>
      <c r="AB5218">
        <v>34</v>
      </c>
      <c r="AC5218">
        <v>0.52099999999995805</v>
      </c>
      <c r="AD5218">
        <v>-1.111945558475</v>
      </c>
      <c r="AE5218">
        <v>-9.0980600000000003</v>
      </c>
      <c r="AF5218">
        <v>-1.9347321396073101</v>
      </c>
      <c r="AG5218">
        <v>-1.111945558475</v>
      </c>
      <c r="AH5218">
        <v>8.7683665096907593</v>
      </c>
      <c r="AI5218">
        <v>97.059263069206494</v>
      </c>
      <c r="AJ5218">
        <v>102.44288720772199</v>
      </c>
      <c r="AK5218">
        <v>9.0478650865996197</v>
      </c>
      <c r="AL5218">
        <v>88.5442509874904</v>
      </c>
      <c r="AM5218">
        <v>98.550785330739899</v>
      </c>
      <c r="AN5218">
        <v>1.0000000076679501</v>
      </c>
    </row>
    <row r="5219" spans="1:40" x14ac:dyDescent="0.25">
      <c r="A5219" t="str">
        <f>"20190312151420695"</f>
        <v>20190312151420695</v>
      </c>
      <c r="B5219" t="str">
        <f>"1552374860686183"</f>
        <v>1552374860686183</v>
      </c>
      <c r="C5219" t="s">
        <v>40</v>
      </c>
      <c r="D5219">
        <v>4.9000940000000002</v>
      </c>
      <c r="E5219">
        <v>0.48509619999999998</v>
      </c>
      <c r="F5219" t="s">
        <v>42</v>
      </c>
      <c r="G5219">
        <v>-301.2604</v>
      </c>
      <c r="H5219" s="1">
        <v>-4.3429990000000004E-6</v>
      </c>
      <c r="I5219">
        <v>-30.908090000000001</v>
      </c>
      <c r="J5219">
        <v>-301.73160000000001</v>
      </c>
      <c r="K5219">
        <v>1.1123510000000001</v>
      </c>
      <c r="L5219">
        <v>-18.88794</v>
      </c>
      <c r="M5219">
        <v>-0.15434890000000001</v>
      </c>
      <c r="N5219">
        <v>0</v>
      </c>
      <c r="O5219">
        <v>-0.98794630000000005</v>
      </c>
      <c r="P5219">
        <v>-1.2764689999999999E-3</v>
      </c>
      <c r="Q5219">
        <v>1.435177E-2</v>
      </c>
      <c r="R5219">
        <v>-0.99989629999999996</v>
      </c>
      <c r="S5219">
        <v>9.47876E-2</v>
      </c>
      <c r="T5219">
        <v>-0.26682669999999997</v>
      </c>
      <c r="U5219">
        <v>-3.0054319999999999</v>
      </c>
      <c r="V5219">
        <v>-0.15324949999999901</v>
      </c>
      <c r="W5219">
        <v>2.4995409999999999E-2</v>
      </c>
      <c r="X5219">
        <v>0.98787130000000001</v>
      </c>
      <c r="Y5219">
        <v>-0.18530460000000001</v>
      </c>
      <c r="Z5219">
        <v>8.6057149999999999E-2</v>
      </c>
      <c r="AA5219">
        <v>0.97890569999999999</v>
      </c>
      <c r="AB5219">
        <v>34</v>
      </c>
      <c r="AC5219">
        <v>0.47120000000001</v>
      </c>
      <c r="AD5219">
        <v>-1.1123553429989901</v>
      </c>
      <c r="AE5219">
        <v>-12.020149999999999</v>
      </c>
      <c r="AF5219">
        <v>-2.30130031650708</v>
      </c>
      <c r="AG5219">
        <v>-1.1123553429989901</v>
      </c>
      <c r="AH5219">
        <v>11.703280121246101</v>
      </c>
      <c r="AI5219">
        <v>95.328024384173801</v>
      </c>
      <c r="AJ5219">
        <v>101.124549924985</v>
      </c>
      <c r="AK5219">
        <v>11.979152021416599</v>
      </c>
      <c r="AL5219">
        <v>88.567719249991896</v>
      </c>
      <c r="AM5219">
        <v>98.818064608745701</v>
      </c>
      <c r="AN5219">
        <v>0.99999994256750202</v>
      </c>
    </row>
    <row r="5220" spans="1:40" x14ac:dyDescent="0.25">
      <c r="A5220" t="str">
        <f>"20190312151420728"</f>
        <v>20190312151420728</v>
      </c>
      <c r="B5220" t="str">
        <f>"1552374860726199"</f>
        <v>1552374860726199</v>
      </c>
      <c r="C5220" t="s">
        <v>40</v>
      </c>
      <c r="D5220">
        <v>4.9422309999999996</v>
      </c>
      <c r="E5220">
        <v>0.48594530000000002</v>
      </c>
      <c r="F5220" t="s">
        <v>42</v>
      </c>
      <c r="G5220">
        <v>-301.22669999999999</v>
      </c>
      <c r="H5220" s="1">
        <v>-4.0695240000000004E-6</v>
      </c>
      <c r="I5220">
        <v>-31.685549999999999</v>
      </c>
      <c r="J5220">
        <v>-301.80439999999999</v>
      </c>
      <c r="K5220">
        <v>1.1127260000000001</v>
      </c>
      <c r="L5220">
        <v>-19.389530000000001</v>
      </c>
      <c r="M5220">
        <v>-0.1488659</v>
      </c>
      <c r="N5220">
        <v>0</v>
      </c>
      <c r="O5220">
        <v>-0.98878690000000002</v>
      </c>
      <c r="P5220">
        <v>7.8919709999999994E-3</v>
      </c>
      <c r="Q5220">
        <v>1.4307490000000001E-2</v>
      </c>
      <c r="R5220">
        <v>-0.99986679999999994</v>
      </c>
      <c r="S5220">
        <v>0.11853030000000001</v>
      </c>
      <c r="T5220">
        <v>-0.26112289999999999</v>
      </c>
      <c r="U5220">
        <v>-3.0042110000000002</v>
      </c>
      <c r="V5220">
        <v>-0.1568504</v>
      </c>
      <c r="W5220">
        <v>2.481189E-2</v>
      </c>
      <c r="X5220">
        <v>0.98731060000000004</v>
      </c>
      <c r="Y5220">
        <v>-0.18759819999999999</v>
      </c>
      <c r="Z5220">
        <v>8.4343660000000001E-2</v>
      </c>
      <c r="AA5220">
        <v>0.97861790000000004</v>
      </c>
      <c r="AB5220">
        <v>34</v>
      </c>
      <c r="AC5220">
        <v>0.577699999999992</v>
      </c>
      <c r="AD5220">
        <v>-1.1127300695239899</v>
      </c>
      <c r="AE5220">
        <v>-12.29602</v>
      </c>
      <c r="AF5220">
        <v>-2.3823804774265298</v>
      </c>
      <c r="AG5220">
        <v>-1.1127300695239899</v>
      </c>
      <c r="AH5220">
        <v>11.975132445338099</v>
      </c>
      <c r="AI5220">
        <v>95.207213880284996</v>
      </c>
      <c r="AJ5220">
        <v>101.25174217328799</v>
      </c>
      <c r="AK5220">
        <v>12.260411984523</v>
      </c>
      <c r="AL5220">
        <v>88.578237443890799</v>
      </c>
      <c r="AM5220">
        <v>99.026931910386196</v>
      </c>
      <c r="AN5220">
        <v>0.99999994936894399</v>
      </c>
    </row>
    <row r="5221" spans="1:40" x14ac:dyDescent="0.25">
      <c r="A5221" t="str">
        <f>"20190312151420763"</f>
        <v>20190312151420763</v>
      </c>
      <c r="B5221" t="str">
        <f>"1552374860756167"</f>
        <v>1552374860756167</v>
      </c>
      <c r="C5221" t="s">
        <v>40</v>
      </c>
      <c r="D5221">
        <v>4.6908070000000004</v>
      </c>
      <c r="E5221">
        <v>0.48631550000000001</v>
      </c>
      <c r="F5221" t="s">
        <v>42</v>
      </c>
      <c r="G5221">
        <v>-301.19709999999998</v>
      </c>
      <c r="H5221" s="1">
        <v>-3.7344409999999998E-6</v>
      </c>
      <c r="I5221">
        <v>-32.448259999999998</v>
      </c>
      <c r="J5221">
        <v>-301.87619999999998</v>
      </c>
      <c r="K5221">
        <v>1.113062</v>
      </c>
      <c r="L5221">
        <v>-19.910250000000001</v>
      </c>
      <c r="M5221">
        <v>-0.14265359999999999</v>
      </c>
      <c r="N5221">
        <v>0</v>
      </c>
      <c r="O5221">
        <v>-0.98970190000000002</v>
      </c>
      <c r="P5221">
        <v>1.7394639999999999E-2</v>
      </c>
      <c r="Q5221">
        <v>1.4933460000000001E-2</v>
      </c>
      <c r="R5221">
        <v>-0.99973769999999995</v>
      </c>
      <c r="S5221">
        <v>0.13964840000000001</v>
      </c>
      <c r="T5221">
        <v>-0.25588109999999997</v>
      </c>
      <c r="U5221">
        <v>-3.0029599999999999</v>
      </c>
      <c r="V5221">
        <v>-0.1600579</v>
      </c>
      <c r="W5221">
        <v>2.5308589999999999E-2</v>
      </c>
      <c r="X5221">
        <v>0.98678310000000002</v>
      </c>
      <c r="Y5221">
        <v>-0.18832209999999999</v>
      </c>
      <c r="Z5221">
        <v>8.2794930000000003E-2</v>
      </c>
      <c r="AA5221">
        <v>0.97861120000000001</v>
      </c>
      <c r="AB5221">
        <v>34</v>
      </c>
      <c r="AC5221">
        <v>0.67910000000000503</v>
      </c>
      <c r="AD5221">
        <v>-1.113065734441</v>
      </c>
      <c r="AE5221">
        <v>-12.5380099999999</v>
      </c>
      <c r="AF5221">
        <v>-2.4416844492271998</v>
      </c>
      <c r="AG5221">
        <v>-1.113065734441</v>
      </c>
      <c r="AH5221">
        <v>12.2168785349582</v>
      </c>
      <c r="AI5221">
        <v>95.105362040347998</v>
      </c>
      <c r="AJ5221">
        <v>101.302305532787</v>
      </c>
      <c r="AK5221">
        <v>12.508111744652201</v>
      </c>
      <c r="AL5221">
        <v>88.549769719727905</v>
      </c>
      <c r="AM5221">
        <v>99.213234040104297</v>
      </c>
      <c r="AN5221">
        <v>0.99999997126290296</v>
      </c>
    </row>
    <row r="5222" spans="1:40" x14ac:dyDescent="0.25">
      <c r="A5222" t="str">
        <f>"20190312151420795"</f>
        <v>20190312151420795</v>
      </c>
      <c r="B5222" t="str">
        <f>"1552374860785448"</f>
        <v>1552374860785448</v>
      </c>
      <c r="C5222" t="s">
        <v>40</v>
      </c>
      <c r="D5222">
        <v>4.5629989999999996</v>
      </c>
      <c r="E5222">
        <v>0.4870352</v>
      </c>
      <c r="F5222" t="s">
        <v>42</v>
      </c>
      <c r="G5222">
        <v>-301.14890000000003</v>
      </c>
      <c r="H5222" s="1">
        <v>-3.4451050000000002E-6</v>
      </c>
      <c r="I5222">
        <v>-33.09281</v>
      </c>
      <c r="J5222">
        <v>-301.94130000000001</v>
      </c>
      <c r="K5222">
        <v>1.1133200000000001</v>
      </c>
      <c r="L5222">
        <v>-20.407350000000001</v>
      </c>
      <c r="M5222">
        <v>-0.136354</v>
      </c>
      <c r="N5222">
        <v>0</v>
      </c>
      <c r="O5222">
        <v>-0.9905891</v>
      </c>
      <c r="P5222">
        <v>2.5356710000000001E-2</v>
      </c>
      <c r="Q5222">
        <v>1.529871E-2</v>
      </c>
      <c r="R5222">
        <v>-0.9995617</v>
      </c>
      <c r="S5222">
        <v>0.16561890000000001</v>
      </c>
      <c r="T5222">
        <v>-0.2534457</v>
      </c>
      <c r="U5222">
        <v>-3.0016780000000001</v>
      </c>
      <c r="V5222">
        <v>-0.161657299999999</v>
      </c>
      <c r="W5222">
        <v>2.5581260000000001E-2</v>
      </c>
      <c r="X5222">
        <v>0.98651529999999998</v>
      </c>
      <c r="Y5222">
        <v>-0.19054119999999999</v>
      </c>
      <c r="Z5222">
        <v>8.2123050000000003E-2</v>
      </c>
      <c r="AA5222">
        <v>0.97823819999999995</v>
      </c>
      <c r="AB5222">
        <v>34</v>
      </c>
      <c r="AC5222">
        <v>0.792399999999986</v>
      </c>
      <c r="AD5222">
        <v>-1.113323445105</v>
      </c>
      <c r="AE5222">
        <v>-12.685460000000001</v>
      </c>
      <c r="AF5222">
        <v>-2.4956848589526199</v>
      </c>
      <c r="AG5222">
        <v>-1.113323445105</v>
      </c>
      <c r="AH5222">
        <v>12.3640451736833</v>
      </c>
      <c r="AI5222">
        <v>95.044144476175703</v>
      </c>
      <c r="AJ5222">
        <v>101.41182691847899</v>
      </c>
      <c r="AK5222">
        <v>12.662446251238601</v>
      </c>
      <c r="AL5222">
        <v>88.534141803070497</v>
      </c>
      <c r="AM5222">
        <v>99.306177850804104</v>
      </c>
      <c r="AN5222">
        <v>0.99999996032028204</v>
      </c>
    </row>
    <row r="5223" spans="1:40" x14ac:dyDescent="0.25">
      <c r="A5223" t="str">
        <f>"20190312151420829"</f>
        <v>20190312151420829</v>
      </c>
      <c r="B5223" t="str">
        <f>"1552374860825464"</f>
        <v>1552374860825464</v>
      </c>
      <c r="C5223" t="s">
        <v>40</v>
      </c>
      <c r="D5223">
        <v>4.5139430000000003</v>
      </c>
      <c r="E5223">
        <v>0.48772480000000001</v>
      </c>
      <c r="F5223" t="s">
        <v>42</v>
      </c>
      <c r="G5223">
        <v>-301.11590000000001</v>
      </c>
      <c r="H5223" s="1">
        <v>-3.1141470000000002E-6</v>
      </c>
      <c r="I5223">
        <v>-33.843870000000003</v>
      </c>
      <c r="J5223">
        <v>-302.00389999999999</v>
      </c>
      <c r="K5223">
        <v>1.1135379999999999</v>
      </c>
      <c r="L5223">
        <v>-20.912289999999999</v>
      </c>
      <c r="M5223">
        <v>-0.12968560000000001</v>
      </c>
      <c r="N5223">
        <v>0</v>
      </c>
      <c r="O5223">
        <v>-0.99148400000000003</v>
      </c>
      <c r="P5223">
        <v>3.1326769999999997E-2</v>
      </c>
      <c r="Q5223">
        <v>1.6562279999999999E-2</v>
      </c>
      <c r="R5223">
        <v>-0.99937220000000004</v>
      </c>
      <c r="S5223">
        <v>0.18429570000000001</v>
      </c>
      <c r="T5223">
        <v>-0.2486119</v>
      </c>
      <c r="U5223">
        <v>-3.0004580000000001</v>
      </c>
      <c r="V5223">
        <v>-0.160935299999999</v>
      </c>
      <c r="W5223">
        <v>2.6791530000000001E-2</v>
      </c>
      <c r="X5223">
        <v>0.98660130000000001</v>
      </c>
      <c r="Y5223">
        <v>-0.19003419999999999</v>
      </c>
      <c r="Z5223">
        <v>8.0700229999999998E-2</v>
      </c>
      <c r="AA5223">
        <v>0.97845510000000002</v>
      </c>
      <c r="AB5223">
        <v>34</v>
      </c>
      <c r="AC5223">
        <v>0.88799999999997603</v>
      </c>
      <c r="AD5223">
        <v>-1.113541114147</v>
      </c>
      <c r="AE5223">
        <v>-12.93158</v>
      </c>
      <c r="AF5223">
        <v>-2.5389203229425998</v>
      </c>
      <c r="AG5223">
        <v>-1.113541114147</v>
      </c>
      <c r="AH5223">
        <v>12.6140963699387</v>
      </c>
      <c r="AI5223">
        <v>94.946163196176798</v>
      </c>
      <c r="AJ5223">
        <v>101.380236550669</v>
      </c>
      <c r="AK5223">
        <v>12.9151661796993</v>
      </c>
      <c r="AL5223">
        <v>88.464774769359394</v>
      </c>
      <c r="AM5223">
        <v>99.264543001842597</v>
      </c>
      <c r="AN5223">
        <v>1.00000004101375</v>
      </c>
    </row>
    <row r="5224" spans="1:40" x14ac:dyDescent="0.25">
      <c r="A5224" t="str">
        <f>"20190312151420862"</f>
        <v>20190312151420862</v>
      </c>
      <c r="B5224" t="str">
        <f>"1552374860855720"</f>
        <v>1552374860855720</v>
      </c>
      <c r="C5224" t="s">
        <v>40</v>
      </c>
      <c r="D5224">
        <v>4.501055</v>
      </c>
      <c r="E5224">
        <v>0.4878306</v>
      </c>
      <c r="F5224" t="s">
        <v>42</v>
      </c>
      <c r="G5224">
        <v>-301.08319999999998</v>
      </c>
      <c r="H5224" s="1">
        <v>-2.6344569999999998E-6</v>
      </c>
      <c r="I5224">
        <v>-34.941699999999997</v>
      </c>
      <c r="J5224">
        <v>-302.06330000000003</v>
      </c>
      <c r="K5224">
        <v>1.1137049999999999</v>
      </c>
      <c r="L5224">
        <v>-21.422239999999999</v>
      </c>
      <c r="M5224">
        <v>-0.1227541</v>
      </c>
      <c r="N5224">
        <v>0</v>
      </c>
      <c r="O5224">
        <v>-0.99236570000000002</v>
      </c>
      <c r="P5224">
        <v>3.9089989999999998E-2</v>
      </c>
      <c r="Q5224">
        <v>1.6520179999999999E-2</v>
      </c>
      <c r="R5224">
        <v>-0.99909930000000002</v>
      </c>
      <c r="S5224">
        <v>0.19686890000000001</v>
      </c>
      <c r="T5224">
        <v>-0.2380891</v>
      </c>
      <c r="U5224">
        <v>-2.9996640000000001</v>
      </c>
      <c r="V5224">
        <v>-0.1617161</v>
      </c>
      <c r="W5224">
        <v>2.669477E-2</v>
      </c>
      <c r="X5224">
        <v>0.98647620000000003</v>
      </c>
      <c r="Y5224">
        <v>-0.18729180000000001</v>
      </c>
      <c r="Z5224">
        <v>7.7441720000000006E-2</v>
      </c>
      <c r="AA5224">
        <v>0.97924690000000003</v>
      </c>
      <c r="AB5224">
        <v>34</v>
      </c>
      <c r="AC5224">
        <v>0.98010000000005004</v>
      </c>
      <c r="AD5224">
        <v>-1.1137076344570001</v>
      </c>
      <c r="AE5224">
        <v>-13.51946</v>
      </c>
      <c r="AF5224">
        <v>-2.6147222013968698</v>
      </c>
      <c r="AG5224">
        <v>-1.1137076344570001</v>
      </c>
      <c r="AH5224">
        <v>13.2077185163637</v>
      </c>
      <c r="AI5224">
        <v>94.728578342795203</v>
      </c>
      <c r="AJ5224">
        <v>101.198010936953</v>
      </c>
      <c r="AK5224">
        <v>13.5100312839394</v>
      </c>
      <c r="AL5224">
        <v>88.470320630269796</v>
      </c>
      <c r="AM5224">
        <v>99.309866089064101</v>
      </c>
      <c r="AN5224">
        <v>1.0000000004555001</v>
      </c>
    </row>
    <row r="5225" spans="1:40" x14ac:dyDescent="0.25">
      <c r="A5225" t="str">
        <f>"20190312151420908"</f>
        <v>20190312151420908</v>
      </c>
      <c r="B5225" t="str">
        <f>"1552374860895737"</f>
        <v>1552374860895737</v>
      </c>
      <c r="C5225" t="s">
        <v>40</v>
      </c>
      <c r="D5225">
        <v>4.2704820000000003</v>
      </c>
      <c r="E5225">
        <v>0.4557213</v>
      </c>
      <c r="F5225" t="s">
        <v>42</v>
      </c>
      <c r="G5225">
        <v>-301.0521</v>
      </c>
      <c r="H5225" s="1">
        <v>-2.4875240000000001E-6</v>
      </c>
      <c r="I5225">
        <v>-35.264919999999996</v>
      </c>
      <c r="J5225">
        <v>-302.13709999999998</v>
      </c>
      <c r="K5225">
        <v>1.113853</v>
      </c>
      <c r="L5225">
        <v>-22.1051</v>
      </c>
      <c r="M5225">
        <v>-0.1132864</v>
      </c>
      <c r="N5225">
        <v>0</v>
      </c>
      <c r="O5225">
        <v>-0.9934906</v>
      </c>
      <c r="P5225">
        <v>5.0773899999999997E-2</v>
      </c>
      <c r="Q5225">
        <v>1.7220490000000001E-2</v>
      </c>
      <c r="R5225">
        <v>-0.9985617</v>
      </c>
      <c r="S5225">
        <v>0.21902469999999999</v>
      </c>
      <c r="T5225">
        <v>-0.24121419999999999</v>
      </c>
      <c r="U5225">
        <v>-2.998138</v>
      </c>
      <c r="V5225">
        <v>-0.16386589999999901</v>
      </c>
      <c r="W5225">
        <v>2.7325869999999999E-2</v>
      </c>
      <c r="X5225">
        <v>0.98610410000000004</v>
      </c>
      <c r="Y5225">
        <v>-0.1851535</v>
      </c>
      <c r="Z5225">
        <v>7.8622839999999999E-2</v>
      </c>
      <c r="AA5225">
        <v>0.97955939999999997</v>
      </c>
      <c r="AB5225">
        <v>34</v>
      </c>
      <c r="AC5225">
        <v>1.08499999999997</v>
      </c>
      <c r="AD5225">
        <v>-1.1138554875240001</v>
      </c>
      <c r="AE5225">
        <v>-13.15982</v>
      </c>
      <c r="AF5225">
        <v>-2.5507984987373198</v>
      </c>
      <c r="AG5225">
        <v>-1.1138554875240001</v>
      </c>
      <c r="AH5225">
        <v>12.8606532480888</v>
      </c>
      <c r="AI5225">
        <v>94.855883155891306</v>
      </c>
      <c r="AJ5225">
        <v>101.218521339848</v>
      </c>
      <c r="AK5225">
        <v>13.158406020328799</v>
      </c>
      <c r="AL5225">
        <v>88.434148090497999</v>
      </c>
      <c r="AM5225">
        <v>99.434913856485906</v>
      </c>
      <c r="AN5225">
        <v>1.0000000161954301</v>
      </c>
    </row>
    <row r="5226" spans="1:40" x14ac:dyDescent="0.25">
      <c r="A5226" t="str">
        <f>"20190312151420953"</f>
        <v>20190312151420953</v>
      </c>
      <c r="B5226" t="str">
        <f>"1552374860945515"</f>
        <v>1552374860945515</v>
      </c>
      <c r="C5226" t="s">
        <v>40</v>
      </c>
      <c r="D5226">
        <v>4.2730410000000001</v>
      </c>
      <c r="E5226">
        <v>0.45678950000000001</v>
      </c>
      <c r="F5226" t="s">
        <v>42</v>
      </c>
      <c r="G5226">
        <v>-299.72089999999997</v>
      </c>
      <c r="H5226" s="1">
        <v>-1.810626E-6</v>
      </c>
      <c r="I5226">
        <v>-36.261989999999997</v>
      </c>
      <c r="J5226">
        <v>-302.20409999999998</v>
      </c>
      <c r="K5226">
        <v>1.1139760000000001</v>
      </c>
      <c r="L5226">
        <v>-22.788640000000001</v>
      </c>
      <c r="M5226">
        <v>-0.1036794</v>
      </c>
      <c r="N5226">
        <v>0</v>
      </c>
      <c r="O5226">
        <v>-0.99453910000000001</v>
      </c>
      <c r="P5226">
        <v>6.2103890000000002E-2</v>
      </c>
      <c r="Q5226">
        <v>1.8840200000000001E-2</v>
      </c>
      <c r="R5226">
        <v>-0.99789220000000001</v>
      </c>
      <c r="S5226">
        <v>0.50903319999999996</v>
      </c>
      <c r="T5226">
        <v>-0.2346597</v>
      </c>
      <c r="U5226">
        <v>-2.9824830000000002</v>
      </c>
      <c r="V5226">
        <v>-0.16554920000000001</v>
      </c>
      <c r="W5226">
        <v>2.8897860000000001E-2</v>
      </c>
      <c r="X5226">
        <v>0.98577800000000004</v>
      </c>
      <c r="Y5226">
        <v>-0.26905099999999998</v>
      </c>
      <c r="Z5226">
        <v>7.5809550000000003E-2</v>
      </c>
      <c r="AA5226">
        <v>0.96013769999999998</v>
      </c>
      <c r="AB5226">
        <v>34</v>
      </c>
      <c r="AC5226">
        <v>2.4832000000000098</v>
      </c>
      <c r="AD5226">
        <v>-1.1139778106260001</v>
      </c>
      <c r="AE5226">
        <v>-13.47335</v>
      </c>
      <c r="AF5226">
        <v>-3.8414266913049402</v>
      </c>
      <c r="AG5226">
        <v>-1.1139778106260001</v>
      </c>
      <c r="AH5226">
        <v>13.056928749740599</v>
      </c>
      <c r="AI5226">
        <v>94.679127221190697</v>
      </c>
      <c r="AJ5226">
        <v>106.394199070618</v>
      </c>
      <c r="AK5226">
        <v>13.655800744117499</v>
      </c>
      <c r="AL5226">
        <v>88.344043961041606</v>
      </c>
      <c r="AM5226">
        <v>99.533159087719298</v>
      </c>
      <c r="AN5226">
        <v>0.99999994460860797</v>
      </c>
    </row>
    <row r="5227" spans="1:40" x14ac:dyDescent="0.25">
      <c r="A5227" t="str">
        <f>"20190312151420996"</f>
        <v>20190312151420996</v>
      </c>
      <c r="B5227" t="str">
        <f>"1552374860985528"</f>
        <v>1552374860985528</v>
      </c>
      <c r="C5227" t="s">
        <v>40</v>
      </c>
      <c r="D5227">
        <v>4.1995719999999999</v>
      </c>
      <c r="E5227">
        <v>0.45861869999999999</v>
      </c>
      <c r="F5227" t="s">
        <v>42</v>
      </c>
      <c r="G5227">
        <v>-299.7045</v>
      </c>
      <c r="H5227" s="1">
        <v>-1.624557E-6</v>
      </c>
      <c r="I5227">
        <v>-36.70252</v>
      </c>
      <c r="J5227">
        <v>-302.26299999999998</v>
      </c>
      <c r="K5227">
        <v>1.114079</v>
      </c>
      <c r="L5227">
        <v>-23.455629999999999</v>
      </c>
      <c r="M5227">
        <v>-9.4197530000000002E-2</v>
      </c>
      <c r="N5227">
        <v>0</v>
      </c>
      <c r="O5227">
        <v>-0.99548170000000002</v>
      </c>
      <c r="P5227">
        <v>7.3065969999999994E-2</v>
      </c>
      <c r="Q5227">
        <v>2.0172280000000001E-2</v>
      </c>
      <c r="R5227">
        <v>-0.99712350000000005</v>
      </c>
      <c r="S5227">
        <v>0.5349121</v>
      </c>
      <c r="T5227">
        <v>-0.23838870000000001</v>
      </c>
      <c r="U5227">
        <v>-2.9775390000000002</v>
      </c>
      <c r="V5227">
        <v>-0.167006399999999</v>
      </c>
      <c r="W5227">
        <v>3.0188570000000001E-2</v>
      </c>
      <c r="X5227">
        <v>0.98549350000000002</v>
      </c>
      <c r="Y5227">
        <v>-0.26821669999999997</v>
      </c>
      <c r="Z5227">
        <v>7.7196459999999995E-2</v>
      </c>
      <c r="AA5227">
        <v>0.96026060000000002</v>
      </c>
      <c r="AB5227">
        <v>34</v>
      </c>
      <c r="AC5227">
        <v>2.55849999999998</v>
      </c>
      <c r="AD5227">
        <v>-1.1140806245569901</v>
      </c>
      <c r="AE5227">
        <v>-13.246889999999899</v>
      </c>
      <c r="AF5227">
        <v>-3.7693337726689098</v>
      </c>
      <c r="AG5227">
        <v>-1.1140806245569901</v>
      </c>
      <c r="AH5227">
        <v>12.859274831218899</v>
      </c>
      <c r="AI5227">
        <v>94.752544093931206</v>
      </c>
      <c r="AJ5227">
        <v>106.337011124249</v>
      </c>
      <c r="AK5227">
        <v>13.4465609697282</v>
      </c>
      <c r="AL5227">
        <v>88.270059454032193</v>
      </c>
      <c r="AM5227">
        <v>99.618235972071204</v>
      </c>
      <c r="AN5227">
        <v>0.99999996297092597</v>
      </c>
    </row>
    <row r="5228" spans="1:40" x14ac:dyDescent="0.25">
      <c r="A5228" t="str">
        <f>"20190312151421024"</f>
        <v>20190312151421024</v>
      </c>
      <c r="B5228" t="str">
        <f>"1552374861015784"</f>
        <v>1552374861015784</v>
      </c>
      <c r="C5228" t="s">
        <v>40</v>
      </c>
      <c r="D5228">
        <v>4.2384700000000004</v>
      </c>
      <c r="E5228">
        <v>0.45935350000000003</v>
      </c>
      <c r="F5228" t="s">
        <v>42</v>
      </c>
      <c r="G5228">
        <v>-299.4162</v>
      </c>
      <c r="H5228" s="1">
        <v>-7.9337280000000001E-7</v>
      </c>
      <c r="I5228">
        <v>-38.759219999999999</v>
      </c>
      <c r="J5228">
        <v>-302.2978</v>
      </c>
      <c r="K5228">
        <v>1.1141430000000001</v>
      </c>
      <c r="L5228">
        <v>-23.886749999999999</v>
      </c>
      <c r="M5228">
        <v>-8.7987800000000005E-2</v>
      </c>
      <c r="N5228">
        <v>0</v>
      </c>
      <c r="O5228">
        <v>-0.99604970000000004</v>
      </c>
      <c r="P5228">
        <v>8.0132899999999896E-2</v>
      </c>
      <c r="Q5228">
        <v>1.9982900000000001E-2</v>
      </c>
      <c r="R5228">
        <v>-0.99658409999999997</v>
      </c>
      <c r="S5228">
        <v>0.552948</v>
      </c>
      <c r="T5228">
        <v>-0.21639410000000001</v>
      </c>
      <c r="U5228">
        <v>-2.9725039999999998</v>
      </c>
      <c r="V5228">
        <v>-0.16785050000000001</v>
      </c>
      <c r="W5228">
        <v>2.99717E-2</v>
      </c>
      <c r="X5228">
        <v>0.98535669999999997</v>
      </c>
      <c r="Y5228">
        <v>-0.26822649999999998</v>
      </c>
      <c r="Z5228">
        <v>7.0252690000000007E-2</v>
      </c>
      <c r="AA5228">
        <v>0.9607909</v>
      </c>
      <c r="AB5228">
        <v>34</v>
      </c>
      <c r="AC5228">
        <v>2.8815999999999899</v>
      </c>
      <c r="AD5228">
        <v>-1.1141437933728</v>
      </c>
      <c r="AE5228">
        <v>-14.87247</v>
      </c>
      <c r="AF5228">
        <v>-4.1566289396637597</v>
      </c>
      <c r="AG5228">
        <v>-1.1141437933728</v>
      </c>
      <c r="AH5228">
        <v>14.482878989212301</v>
      </c>
      <c r="AI5228">
        <v>94.228937988451506</v>
      </c>
      <c r="AJ5228">
        <v>106.01363500988499</v>
      </c>
      <c r="AK5228">
        <v>15.108694991644001</v>
      </c>
      <c r="AL5228">
        <v>88.282490809899599</v>
      </c>
      <c r="AM5228">
        <v>99.667251122953203</v>
      </c>
      <c r="AN5228">
        <v>0.99999995969301403</v>
      </c>
    </row>
    <row r="5229" spans="1:40" x14ac:dyDescent="0.25">
      <c r="A5229" t="str">
        <f>"20190312151421063"</f>
        <v>20190312151421063</v>
      </c>
      <c r="B5229" t="str">
        <f>"1552374861055800"</f>
        <v>1552374861055800</v>
      </c>
      <c r="C5229" t="s">
        <v>40</v>
      </c>
      <c r="D5229">
        <v>4.1814390000000001</v>
      </c>
      <c r="E5229">
        <v>0.46042719999999998</v>
      </c>
      <c r="F5229" t="s">
        <v>42</v>
      </c>
      <c r="G5229">
        <v>-299.2944</v>
      </c>
      <c r="H5229" s="1">
        <v>-4.6396459999999999E-7</v>
      </c>
      <c r="I5229">
        <v>-39.577469999999998</v>
      </c>
      <c r="J5229">
        <v>-302.34010000000001</v>
      </c>
      <c r="K5229">
        <v>1.114279</v>
      </c>
      <c r="L5229">
        <v>-24.4711</v>
      </c>
      <c r="M5229">
        <v>-7.9363409999999995E-2</v>
      </c>
      <c r="N5229">
        <v>0</v>
      </c>
      <c r="O5229">
        <v>-0.99677360000000004</v>
      </c>
      <c r="P5229">
        <v>8.9701230000000007E-2</v>
      </c>
      <c r="Q5229">
        <v>1.977537E-2</v>
      </c>
      <c r="R5229">
        <v>-0.99577249999999995</v>
      </c>
      <c r="S5229">
        <v>0.56826779999999999</v>
      </c>
      <c r="T5229">
        <v>-0.21080489999999999</v>
      </c>
      <c r="U5229">
        <v>-2.9688110000000001</v>
      </c>
      <c r="V5229">
        <v>-0.16879369999999999</v>
      </c>
      <c r="W5229">
        <v>2.9726249999999999E-2</v>
      </c>
      <c r="X5229">
        <v>0.98520300000000005</v>
      </c>
      <c r="Y5229">
        <v>-0.2649126</v>
      </c>
      <c r="Z5229">
        <v>6.8606860000000006E-2</v>
      </c>
      <c r="AA5229">
        <v>0.96182869999999998</v>
      </c>
      <c r="AB5229">
        <v>34</v>
      </c>
      <c r="AC5229">
        <v>3.0457000000000098</v>
      </c>
      <c r="AD5229">
        <v>-1.1142794639646001</v>
      </c>
      <c r="AE5229">
        <v>-15.106369999999901</v>
      </c>
      <c r="AF5229">
        <v>-4.2130437723953698</v>
      </c>
      <c r="AG5229">
        <v>-1.1142794639646001</v>
      </c>
      <c r="AH5229">
        <v>14.739914101365301</v>
      </c>
      <c r="AI5229">
        <v>94.157249390966399</v>
      </c>
      <c r="AJ5229">
        <v>105.951288556091</v>
      </c>
      <c r="AK5229">
        <v>15.370635128958099</v>
      </c>
      <c r="AL5229">
        <v>88.296560324352498</v>
      </c>
      <c r="AM5229">
        <v>99.722028128121195</v>
      </c>
      <c r="AN5229">
        <v>0.99999995715387502</v>
      </c>
    </row>
    <row r="5230" spans="1:40" x14ac:dyDescent="0.25">
      <c r="A5230" t="str">
        <f>"20190312151421109"</f>
        <v>20190312151421109</v>
      </c>
      <c r="B5230" t="str">
        <f>"1552374861105576"</f>
        <v>1552374861105576</v>
      </c>
      <c r="C5230" t="s">
        <v>40</v>
      </c>
      <c r="D5230">
        <v>4.2579070000000003</v>
      </c>
      <c r="E5230">
        <v>0.43533699999999997</v>
      </c>
      <c r="F5230" t="s">
        <v>42</v>
      </c>
      <c r="G5230">
        <v>-299.33170000000001</v>
      </c>
      <c r="H5230" s="1">
        <v>-4.449449E-7</v>
      </c>
      <c r="I5230">
        <v>-39.606369999999998</v>
      </c>
      <c r="J5230">
        <v>-302.38290000000001</v>
      </c>
      <c r="K5230">
        <v>1.1144639999999999</v>
      </c>
      <c r="L5230">
        <v>-25.158629999999999</v>
      </c>
      <c r="M5230">
        <v>-6.8843420000000002E-2</v>
      </c>
      <c r="N5230">
        <v>0</v>
      </c>
      <c r="O5230">
        <v>-0.99755490000000002</v>
      </c>
      <c r="P5230">
        <v>0.101017</v>
      </c>
      <c r="Q5230">
        <v>2.0525769999999999E-2</v>
      </c>
      <c r="R5230">
        <v>-0.99467320000000004</v>
      </c>
      <c r="S5230">
        <v>0.58914180000000005</v>
      </c>
      <c r="T5230">
        <v>-0.21821299999999999</v>
      </c>
      <c r="U5230">
        <v>-2.9639890000000002</v>
      </c>
      <c r="V5230">
        <v>-0.16962339999999901</v>
      </c>
      <c r="W5230">
        <v>3.042831E-2</v>
      </c>
      <c r="X5230">
        <v>0.98503909999999995</v>
      </c>
      <c r="Y5230">
        <v>-0.26151869999999999</v>
      </c>
      <c r="Z5230">
        <v>7.1190080000000003E-2</v>
      </c>
      <c r="AA5230">
        <v>0.96256949999999997</v>
      </c>
      <c r="AB5230">
        <v>34</v>
      </c>
      <c r="AC5230">
        <v>3.0511999999999899</v>
      </c>
      <c r="AD5230">
        <v>-1.1144644449448999</v>
      </c>
      <c r="AE5230">
        <v>-14.44774</v>
      </c>
      <c r="AF5230">
        <v>-4.0157891799706897</v>
      </c>
      <c r="AG5230">
        <v>-1.1144644449448999</v>
      </c>
      <c r="AH5230">
        <v>14.1229406350791</v>
      </c>
      <c r="AI5230">
        <v>94.340588568199905</v>
      </c>
      <c r="AJ5230">
        <v>105.872842581086</v>
      </c>
      <c r="AK5230">
        <v>14.7250142926581</v>
      </c>
      <c r="AL5230">
        <v>88.2563171218804</v>
      </c>
      <c r="AM5230">
        <v>99.770491972340196</v>
      </c>
      <c r="AN5230">
        <v>1.00000000420291</v>
      </c>
    </row>
    <row r="5231" spans="1:40" x14ac:dyDescent="0.25">
      <c r="A5231" t="str">
        <f>"20190312151421135"</f>
        <v>20190312151421135</v>
      </c>
      <c r="B5231" t="str">
        <f>"1552374861126072"</f>
        <v>1552374861126072</v>
      </c>
      <c r="C5231" t="s">
        <v>40</v>
      </c>
      <c r="D5231">
        <v>4.4504190000000001</v>
      </c>
      <c r="E5231">
        <v>0.43473250000000002</v>
      </c>
      <c r="F5231" t="s">
        <v>59</v>
      </c>
      <c r="G5231">
        <v>-298.09129999999999</v>
      </c>
      <c r="H5231" s="1">
        <v>-5.6617629999999998E-7</v>
      </c>
      <c r="I5231">
        <v>-40.49559</v>
      </c>
      <c r="J5231">
        <v>-302.40539999999999</v>
      </c>
      <c r="K5231">
        <v>1.1145750000000001</v>
      </c>
      <c r="L5231">
        <v>-25.582920000000001</v>
      </c>
      <c r="M5231">
        <v>-6.2141559999999998E-2</v>
      </c>
      <c r="N5231">
        <v>0</v>
      </c>
      <c r="O5231">
        <v>-0.99799450000000001</v>
      </c>
      <c r="P5231">
        <v>0.10764700000000001</v>
      </c>
      <c r="Q5231">
        <v>2.073962E-2</v>
      </c>
      <c r="R5231">
        <v>-0.993973</v>
      </c>
      <c r="S5231">
        <v>0.82183839999999997</v>
      </c>
      <c r="T5231">
        <v>-0.21341879999999999</v>
      </c>
      <c r="U5231">
        <v>-2.9370120000000002</v>
      </c>
      <c r="V5231">
        <v>-0.16958529999999999</v>
      </c>
      <c r="W5231">
        <v>3.061991E-2</v>
      </c>
      <c r="X5231">
        <v>0.98503969999999996</v>
      </c>
      <c r="Y5231">
        <v>-0.32815029999999901</v>
      </c>
      <c r="Z5231">
        <v>6.8939029999999998E-2</v>
      </c>
      <c r="AA5231">
        <v>0.94210660000000002</v>
      </c>
      <c r="AB5231">
        <v>34</v>
      </c>
      <c r="AC5231">
        <v>4.3140999999999901</v>
      </c>
      <c r="AD5231">
        <v>-1.1145755661762999</v>
      </c>
      <c r="AE5231">
        <v>-14.91267</v>
      </c>
      <c r="AF5231">
        <v>-5.2056912990787101</v>
      </c>
      <c r="AG5231">
        <v>-1.1145755661762999</v>
      </c>
      <c r="AH5231">
        <v>14.540786965928801</v>
      </c>
      <c r="AI5231">
        <v>94.127670629694293</v>
      </c>
      <c r="AJ5231">
        <v>109.697680215548</v>
      </c>
      <c r="AK5231">
        <v>15.484701682064999</v>
      </c>
      <c r="AL5231">
        <v>88.245334093358494</v>
      </c>
      <c r="AM5231">
        <v>99.768333820254696</v>
      </c>
      <c r="AN5231">
        <v>0.99999998172029303</v>
      </c>
    </row>
    <row r="5232" spans="1:40" x14ac:dyDescent="0.25">
      <c r="A5232" t="str">
        <f>"20190312151421161"</f>
        <v>20190312151421161</v>
      </c>
      <c r="B5232" t="str">
        <f>"1552374861155352"</f>
        <v>1552374861155352</v>
      </c>
      <c r="C5232" t="s">
        <v>40</v>
      </c>
      <c r="D5232">
        <v>4.2598060000000002</v>
      </c>
      <c r="E5232">
        <v>0.43489299999999997</v>
      </c>
      <c r="F5232" t="s">
        <v>59</v>
      </c>
      <c r="G5232">
        <v>-297.94639999999998</v>
      </c>
      <c r="H5232" s="1">
        <v>-9.3792989999999999E-7</v>
      </c>
      <c r="I5232">
        <v>-41.019759999999998</v>
      </c>
      <c r="J5232">
        <v>-302.42349999999999</v>
      </c>
      <c r="K5232">
        <v>1.114665</v>
      </c>
      <c r="L5232">
        <v>-25.970580000000002</v>
      </c>
      <c r="M5232">
        <v>-5.5899160000000003E-2</v>
      </c>
      <c r="N5232">
        <v>0</v>
      </c>
      <c r="O5232">
        <v>-0.99836340000000001</v>
      </c>
      <c r="P5232">
        <v>0.1141296</v>
      </c>
      <c r="Q5232">
        <v>2.0987229999999999E-2</v>
      </c>
      <c r="R5232">
        <v>-0.99324449999999997</v>
      </c>
      <c r="S5232">
        <v>0.84661869999999995</v>
      </c>
      <c r="T5232">
        <v>-0.21161830000000001</v>
      </c>
      <c r="U5232">
        <v>-2.9309080000000001</v>
      </c>
      <c r="V5232">
        <v>-0.1698617</v>
      </c>
      <c r="W5232">
        <v>3.0845339999999999E-2</v>
      </c>
      <c r="X5232">
        <v>0.98498509999999995</v>
      </c>
      <c r="Y5232">
        <v>-0.33013120000000001</v>
      </c>
      <c r="Z5232">
        <v>6.8434289999999995E-2</v>
      </c>
      <c r="AA5232">
        <v>0.94145109999999999</v>
      </c>
      <c r="AB5232">
        <v>34</v>
      </c>
      <c r="AC5232">
        <v>4.4771000000000001</v>
      </c>
      <c r="AD5232">
        <v>-1.11466593792989</v>
      </c>
      <c r="AE5232">
        <v>-15.0491799999999</v>
      </c>
      <c r="AF5232">
        <v>-5.2847611594577097</v>
      </c>
      <c r="AG5232">
        <v>-1.11466593792989</v>
      </c>
      <c r="AH5232">
        <v>14.7012667219572</v>
      </c>
      <c r="AI5232">
        <v>94.0811945334966</v>
      </c>
      <c r="AJ5232">
        <v>109.77232318552601</v>
      </c>
      <c r="AK5232">
        <v>15.662005743065601</v>
      </c>
      <c r="AL5232">
        <v>88.232411904033697</v>
      </c>
      <c r="AM5232">
        <v>99.784479225536202</v>
      </c>
      <c r="AN5232">
        <v>1.0000000396743001</v>
      </c>
    </row>
    <row r="5233" spans="1:40" x14ac:dyDescent="0.25">
      <c r="A5233" t="str">
        <f>"20190312151421198"</f>
        <v>20190312151421198</v>
      </c>
      <c r="B5233" t="str">
        <f>"1552374861195368"</f>
        <v>1552374861195368</v>
      </c>
      <c r="C5233" t="s">
        <v>40</v>
      </c>
      <c r="D5233">
        <v>4.301431</v>
      </c>
      <c r="E5233">
        <v>0.43547010000000003</v>
      </c>
      <c r="F5233" t="s">
        <v>59</v>
      </c>
      <c r="G5233">
        <v>-298.02659999999997</v>
      </c>
      <c r="H5233" s="1">
        <v>-8.098705E-7</v>
      </c>
      <c r="I5233">
        <v>-40.851909999999997</v>
      </c>
      <c r="J5233">
        <v>-302.44479999999999</v>
      </c>
      <c r="K5233">
        <v>1.114784</v>
      </c>
      <c r="L5233">
        <v>-26.526060000000001</v>
      </c>
      <c r="M5233">
        <v>-4.673153E-2</v>
      </c>
      <c r="N5233">
        <v>0</v>
      </c>
      <c r="O5233">
        <v>-0.99883409999999995</v>
      </c>
      <c r="P5233">
        <v>0.12427829999999999</v>
      </c>
      <c r="Q5233">
        <v>2.0797530000000002E-2</v>
      </c>
      <c r="R5233">
        <v>-0.99202959999999996</v>
      </c>
      <c r="S5233">
        <v>0.86444089999999996</v>
      </c>
      <c r="T5233">
        <v>-0.21914719999999999</v>
      </c>
      <c r="U5233">
        <v>-2.9257200000000001</v>
      </c>
      <c r="V5233">
        <v>-0.1708971</v>
      </c>
      <c r="W5233">
        <v>3.0614659999999998E-2</v>
      </c>
      <c r="X5233">
        <v>0.98481320000000006</v>
      </c>
      <c r="Y5233">
        <v>-0.32714389999999999</v>
      </c>
      <c r="Z5233">
        <v>7.1007089999999995E-2</v>
      </c>
      <c r="AA5233">
        <v>0.94230290000000005</v>
      </c>
      <c r="AB5233">
        <v>34</v>
      </c>
      <c r="AC5233">
        <v>4.4182000000000103</v>
      </c>
      <c r="AD5233">
        <v>-1.1147848098705</v>
      </c>
      <c r="AE5233">
        <v>-14.325850000000001</v>
      </c>
      <c r="AF5233">
        <v>-5.0549393066758999</v>
      </c>
      <c r="AG5233">
        <v>-1.1147848098705</v>
      </c>
      <c r="AH5233">
        <v>14.0261552768706</v>
      </c>
      <c r="AI5233">
        <v>94.276128736117897</v>
      </c>
      <c r="AJ5233">
        <v>109.818847907378</v>
      </c>
      <c r="AK5233">
        <v>14.950859119708801</v>
      </c>
      <c r="AL5233">
        <v>88.245635170360103</v>
      </c>
      <c r="AM5233">
        <v>99.844642343402001</v>
      </c>
      <c r="AN5233">
        <v>1.0000000575447801</v>
      </c>
    </row>
    <row r="5234" spans="1:40" x14ac:dyDescent="0.25">
      <c r="A5234" t="str">
        <f>"20190312151421242"</f>
        <v>20190312151421242</v>
      </c>
      <c r="B5234" t="str">
        <f>"1552374861235384"</f>
        <v>1552374861235384</v>
      </c>
      <c r="C5234" t="s">
        <v>40</v>
      </c>
      <c r="D5234">
        <v>4.3448520000000004</v>
      </c>
      <c r="E5234">
        <v>0.4357297</v>
      </c>
      <c r="F5234" t="s">
        <v>59</v>
      </c>
      <c r="G5234">
        <v>-298.11020000000002</v>
      </c>
      <c r="H5234" s="1">
        <v>-7.1384349999999998E-7</v>
      </c>
      <c r="I5234">
        <v>-40.735790000000001</v>
      </c>
      <c r="J5234">
        <v>-302.46370000000002</v>
      </c>
      <c r="K5234">
        <v>1.114895</v>
      </c>
      <c r="L5234">
        <v>-27.197109999999999</v>
      </c>
      <c r="M5234">
        <v>-3.5429820000000001E-2</v>
      </c>
      <c r="N5234">
        <v>0</v>
      </c>
      <c r="O5234">
        <v>-0.99929860000000004</v>
      </c>
      <c r="P5234">
        <v>0.1367321</v>
      </c>
      <c r="Q5234">
        <v>2.0103989999999999E-2</v>
      </c>
      <c r="R5234">
        <v>-0.99040419999999996</v>
      </c>
      <c r="S5234">
        <v>0.88995360000000001</v>
      </c>
      <c r="T5234">
        <v>-0.228878</v>
      </c>
      <c r="U5234">
        <v>-2.9174190000000002</v>
      </c>
      <c r="V5234">
        <v>-0.17213120000000001</v>
      </c>
      <c r="W5234">
        <v>2.9878289999999998E-2</v>
      </c>
      <c r="X5234">
        <v>0.98462079999999996</v>
      </c>
      <c r="Y5234">
        <v>-0.32467170000000001</v>
      </c>
      <c r="Z5234">
        <v>7.4338260000000003E-2</v>
      </c>
      <c r="AA5234">
        <v>0.94290090000000004</v>
      </c>
      <c r="AB5234">
        <v>34</v>
      </c>
      <c r="AC5234">
        <v>4.3534999999999897</v>
      </c>
      <c r="AD5234">
        <v>-1.1148957138435001</v>
      </c>
      <c r="AE5234">
        <v>-13.538679999999999</v>
      </c>
      <c r="AF5234">
        <v>-4.8009685209335604</v>
      </c>
      <c r="AG5234">
        <v>-1.1148957138435001</v>
      </c>
      <c r="AH5234">
        <v>13.294219275501201</v>
      </c>
      <c r="AI5234">
        <v>94.5100002993358</v>
      </c>
      <c r="AJ5234">
        <v>109.856275144978</v>
      </c>
      <c r="AK5234">
        <v>14.178453982604999</v>
      </c>
      <c r="AL5234">
        <v>88.287845260499296</v>
      </c>
      <c r="AM5234">
        <v>99.916226659121904</v>
      </c>
      <c r="AN5234">
        <v>0.99999999100970205</v>
      </c>
    </row>
    <row r="5235" spans="1:40" x14ac:dyDescent="0.25">
      <c r="A5235" t="str">
        <f>"20190312151421271"</f>
        <v>20190312151421271</v>
      </c>
      <c r="B5235" t="str">
        <f>"1552374861265640"</f>
        <v>1552374861265640</v>
      </c>
      <c r="C5235" t="s">
        <v>40</v>
      </c>
      <c r="D5235">
        <v>4.3972480000000003</v>
      </c>
      <c r="E5235">
        <v>0.43630839999999999</v>
      </c>
      <c r="F5235" t="s">
        <v>59</v>
      </c>
      <c r="G5235">
        <v>-297.94729999999998</v>
      </c>
      <c r="H5235" s="1">
        <v>-1.170369E-6</v>
      </c>
      <c r="I5235">
        <v>-41.385840000000002</v>
      </c>
      <c r="J5235">
        <v>-302.47190000000001</v>
      </c>
      <c r="K5235">
        <v>1.114951</v>
      </c>
      <c r="L5235">
        <v>-27.63815</v>
      </c>
      <c r="M5235">
        <v>-2.7922229999999999E-2</v>
      </c>
      <c r="N5235">
        <v>0</v>
      </c>
      <c r="O5235">
        <v>-0.99953630000000004</v>
      </c>
      <c r="P5235">
        <v>0.14448029999999901</v>
      </c>
      <c r="Q5235">
        <v>2.0286120000000001E-2</v>
      </c>
      <c r="R5235">
        <v>-0.98929979999999995</v>
      </c>
      <c r="S5235">
        <v>0.92501829999999996</v>
      </c>
      <c r="T5235">
        <v>-0.22834280000000001</v>
      </c>
      <c r="U5235">
        <v>-2.9060060000000001</v>
      </c>
      <c r="V5235">
        <v>-0.17244860000000001</v>
      </c>
      <c r="W5235">
        <v>3.0045579999999999E-2</v>
      </c>
      <c r="X5235">
        <v>0.9845602</v>
      </c>
      <c r="Y5235">
        <v>-0.32896690000000001</v>
      </c>
      <c r="Z5235">
        <v>7.4283080000000001E-2</v>
      </c>
      <c r="AA5235">
        <v>0.94141540000000001</v>
      </c>
      <c r="AB5235">
        <v>34</v>
      </c>
      <c r="AC5235">
        <v>4.5246000000000199</v>
      </c>
      <c r="AD5235">
        <v>-1.114952170369</v>
      </c>
      <c r="AE5235">
        <v>-13.74769</v>
      </c>
      <c r="AF5235">
        <v>-4.8777825751087498</v>
      </c>
      <c r="AG5235">
        <v>-1.114952170369</v>
      </c>
      <c r="AH5235">
        <v>13.5356545542089</v>
      </c>
      <c r="AI5235">
        <v>94.431181839605102</v>
      </c>
      <c r="AJ5235">
        <v>109.817411856234</v>
      </c>
      <c r="AK5235">
        <v>14.4308636402373</v>
      </c>
      <c r="AL5235">
        <v>88.278255997556698</v>
      </c>
      <c r="AM5235">
        <v>99.934746945432494</v>
      </c>
      <c r="AN5235">
        <v>1.00000002197176</v>
      </c>
    </row>
    <row r="5236" spans="1:40" x14ac:dyDescent="0.25">
      <c r="A5236" t="str">
        <f>"20190312151421295"</f>
        <v>20190312151421295</v>
      </c>
      <c r="B5236" t="str">
        <f>"1552374861286137"</f>
        <v>1552374861286137</v>
      </c>
      <c r="C5236" t="s">
        <v>40</v>
      </c>
      <c r="D5236">
        <v>4.4181039999999996</v>
      </c>
      <c r="E5236">
        <v>0.43666709999999898</v>
      </c>
      <c r="F5236" t="s">
        <v>59</v>
      </c>
      <c r="G5236">
        <v>-297.93329999999997</v>
      </c>
      <c r="H5236" s="1">
        <v>-1.2997579999999999E-6</v>
      </c>
      <c r="I5236">
        <v>-41.583559999999999</v>
      </c>
      <c r="J5236">
        <v>-302.47609999999997</v>
      </c>
      <c r="K5236">
        <v>1.114989</v>
      </c>
      <c r="L5236">
        <v>-28.009370000000001</v>
      </c>
      <c r="M5236">
        <v>-2.1576970000000001E-2</v>
      </c>
      <c r="N5236">
        <v>0</v>
      </c>
      <c r="O5236">
        <v>-0.99969330000000001</v>
      </c>
      <c r="P5236">
        <v>0.15115519999999999</v>
      </c>
      <c r="Q5236">
        <v>2.075136E-2</v>
      </c>
      <c r="R5236">
        <v>-0.98829219999999895</v>
      </c>
      <c r="S5236">
        <v>0.94360350000000004</v>
      </c>
      <c r="T5236">
        <v>-0.2318094</v>
      </c>
      <c r="U5236">
        <v>-2.899384</v>
      </c>
      <c r="V5236">
        <v>-0.17285320000000001</v>
      </c>
      <c r="W5236">
        <v>3.0500280000000001E-2</v>
      </c>
      <c r="X5236">
        <v>0.98447530000000005</v>
      </c>
      <c r="Y5236">
        <v>-0.32903450000000001</v>
      </c>
      <c r="Z5236">
        <v>7.5512689999999993E-2</v>
      </c>
      <c r="AA5236">
        <v>0.94129379999999996</v>
      </c>
      <c r="AB5236">
        <v>34</v>
      </c>
      <c r="AC5236">
        <v>4.5427999999999997</v>
      </c>
      <c r="AD5236">
        <v>-1.1149902997579999</v>
      </c>
      <c r="AE5236">
        <v>-13.5741899999999</v>
      </c>
      <c r="AF5236">
        <v>-4.8054964392355703</v>
      </c>
      <c r="AG5236">
        <v>-1.1149902997579999</v>
      </c>
      <c r="AH5236">
        <v>13.3917478667982</v>
      </c>
      <c r="AI5236">
        <v>94.480925867365897</v>
      </c>
      <c r="AJ5236">
        <v>109.740023077806</v>
      </c>
      <c r="AK5236">
        <v>14.2714719046059</v>
      </c>
      <c r="AL5236">
        <v>88.252191720503703</v>
      </c>
      <c r="AM5236">
        <v>99.958431461067505</v>
      </c>
      <c r="AN5236">
        <v>1.0000000560702</v>
      </c>
    </row>
    <row r="5237" spans="1:40" x14ac:dyDescent="0.25">
      <c r="A5237" t="str">
        <f>"20190312151421332"</f>
        <v>20190312151421332</v>
      </c>
      <c r="B5237" t="str">
        <f>"1552374861325177"</f>
        <v>1552374861325177</v>
      </c>
      <c r="C5237" t="s">
        <v>40</v>
      </c>
      <c r="D5237">
        <v>4.4436730000000004</v>
      </c>
      <c r="E5237">
        <v>0.43776720000000002</v>
      </c>
      <c r="F5237" t="s">
        <v>59</v>
      </c>
      <c r="G5237">
        <v>-297.86599999999999</v>
      </c>
      <c r="H5237" s="1">
        <v>-1.516378E-6</v>
      </c>
      <c r="I5237">
        <v>-41.896160000000002</v>
      </c>
      <c r="J5237">
        <v>-302.47809999999998</v>
      </c>
      <c r="K5237">
        <v>1.1150230000000001</v>
      </c>
      <c r="L5237">
        <v>-28.564609999999998</v>
      </c>
      <c r="M5237">
        <v>-1.206425E-2</v>
      </c>
      <c r="N5237">
        <v>0</v>
      </c>
      <c r="O5237">
        <v>-0.99985329999999994</v>
      </c>
      <c r="P5237">
        <v>0.16247229999999999</v>
      </c>
      <c r="Q5237">
        <v>2.1036510000000001E-2</v>
      </c>
      <c r="R5237">
        <v>-0.98648930000000001</v>
      </c>
      <c r="S5237">
        <v>0.96057130000000002</v>
      </c>
      <c r="T5237">
        <v>-0.23232269999999999</v>
      </c>
      <c r="U5237">
        <v>-2.893494</v>
      </c>
      <c r="V5237">
        <v>-0.17477619999999999</v>
      </c>
      <c r="W5237">
        <v>3.0753829999999999E-2</v>
      </c>
      <c r="X5237">
        <v>0.9841278</v>
      </c>
      <c r="Y5237">
        <v>-0.32558809999999999</v>
      </c>
      <c r="Z5237">
        <v>7.5822630000000002E-2</v>
      </c>
      <c r="AA5237">
        <v>0.94246660000000004</v>
      </c>
      <c r="AB5237">
        <v>34</v>
      </c>
      <c r="AC5237">
        <v>4.6120999999999901</v>
      </c>
      <c r="AD5237">
        <v>-1.1150245163779999</v>
      </c>
      <c r="AE5237">
        <v>-13.331549999999901</v>
      </c>
      <c r="AF5237">
        <v>-4.7429791850729597</v>
      </c>
      <c r="AG5237">
        <v>-1.1150245163779999</v>
      </c>
      <c r="AH5237">
        <v>13.192512679206599</v>
      </c>
      <c r="AI5237">
        <v>94.547474254041404</v>
      </c>
      <c r="AJ5237">
        <v>109.77455300658001</v>
      </c>
      <c r="AK5237">
        <v>14.0634818595249</v>
      </c>
      <c r="AL5237">
        <v>88.237657498855498</v>
      </c>
      <c r="AM5237">
        <v>100.070447430301</v>
      </c>
      <c r="AN5237">
        <v>1.0000000224394701</v>
      </c>
    </row>
    <row r="5238" spans="1:40" x14ac:dyDescent="0.25">
      <c r="A5238" t="str">
        <f>"20190312151421359"</f>
        <v>20190312151421359</v>
      </c>
      <c r="B5238" t="str">
        <f>"1552374861355432"</f>
        <v>1552374861355432</v>
      </c>
      <c r="C5238" t="s">
        <v>40</v>
      </c>
      <c r="D5238">
        <v>4.4780559999999996</v>
      </c>
      <c r="E5238">
        <v>0.43845709999999999</v>
      </c>
      <c r="F5238" t="s">
        <v>59</v>
      </c>
      <c r="G5238">
        <v>-297.83479999999997</v>
      </c>
      <c r="H5238" s="1">
        <v>-1.6940190000000001E-6</v>
      </c>
      <c r="I5238">
        <v>-42.162599999999998</v>
      </c>
      <c r="J5238">
        <v>-302.476</v>
      </c>
      <c r="K5238">
        <v>1.11504</v>
      </c>
      <c r="L5238">
        <v>-28.993289999999998</v>
      </c>
      <c r="M5238">
        <v>-4.7153739999999996E-3</v>
      </c>
      <c r="N5238">
        <v>0</v>
      </c>
      <c r="O5238">
        <v>-0.99991490000000005</v>
      </c>
      <c r="P5238">
        <v>0.1712921</v>
      </c>
      <c r="Q5238">
        <v>2.125177E-2</v>
      </c>
      <c r="R5238">
        <v>-0.98499130000000001</v>
      </c>
      <c r="S5238">
        <v>0.98477170000000003</v>
      </c>
      <c r="T5238">
        <v>-0.23648079999999999</v>
      </c>
      <c r="U5238">
        <v>-2.8839419999999998</v>
      </c>
      <c r="V5238">
        <v>-0.17635309999999901</v>
      </c>
      <c r="W5238">
        <v>3.094353E-2</v>
      </c>
      <c r="X5238">
        <v>0.98384050000000001</v>
      </c>
      <c r="Y5238">
        <v>-0.32663880000000001</v>
      </c>
      <c r="Z5238">
        <v>7.7304990000000004E-2</v>
      </c>
      <c r="AA5238">
        <v>0.94198249999999994</v>
      </c>
      <c r="AB5238">
        <v>34</v>
      </c>
      <c r="AC5238">
        <v>4.64120000000002</v>
      </c>
      <c r="AD5238">
        <v>-1.115041694019</v>
      </c>
      <c r="AE5238">
        <v>-13.1693099999999</v>
      </c>
      <c r="AF5238">
        <v>-4.67344898692836</v>
      </c>
      <c r="AG5238">
        <v>-1.115041694019</v>
      </c>
      <c r="AH5238">
        <v>13.063969033696401</v>
      </c>
      <c r="AI5238">
        <v>94.594693268439997</v>
      </c>
      <c r="AJ5238">
        <v>109.683946748967</v>
      </c>
      <c r="AK5238">
        <v>13.919473062088301</v>
      </c>
      <c r="AL5238">
        <v>88.226783316525996</v>
      </c>
      <c r="AM5238">
        <v>100.162327573688</v>
      </c>
      <c r="AN5238">
        <v>1.00000002368436</v>
      </c>
    </row>
    <row r="5239" spans="1:40" x14ac:dyDescent="0.25">
      <c r="A5239" t="str">
        <f>"20190312151421399"</f>
        <v>20190312151421399</v>
      </c>
      <c r="B5239" t="str">
        <f>"1552374861395449"</f>
        <v>1552374861395449</v>
      </c>
      <c r="C5239" t="s">
        <v>40</v>
      </c>
      <c r="D5239">
        <v>4.5144929999999999</v>
      </c>
      <c r="E5239">
        <v>0.4481116</v>
      </c>
      <c r="F5239" t="s">
        <v>59</v>
      </c>
      <c r="G5239">
        <v>-297.8544</v>
      </c>
      <c r="H5239" s="1">
        <v>-1.7261239999999999E-6</v>
      </c>
      <c r="I5239">
        <v>-42.221299999999999</v>
      </c>
      <c r="J5239">
        <v>-302.46780000000001</v>
      </c>
      <c r="K5239">
        <v>1.1150599999999999</v>
      </c>
      <c r="L5239">
        <v>-29.592559999999999</v>
      </c>
      <c r="M5239">
        <v>5.5552400000000004E-3</v>
      </c>
      <c r="N5239">
        <v>0</v>
      </c>
      <c r="O5239">
        <v>-0.99991019999999997</v>
      </c>
      <c r="P5239">
        <v>0.183778</v>
      </c>
      <c r="Q5239">
        <v>2.0615189999999999E-2</v>
      </c>
      <c r="R5239">
        <v>-0.9827515</v>
      </c>
      <c r="S5239">
        <v>1.004883</v>
      </c>
      <c r="T5239">
        <v>-0.24244550000000001</v>
      </c>
      <c r="U5239">
        <v>-2.8761899999999998</v>
      </c>
      <c r="V5239">
        <v>-0.1787263</v>
      </c>
      <c r="W5239">
        <v>3.027007E-2</v>
      </c>
      <c r="X5239">
        <v>0.98343309999999995</v>
      </c>
      <c r="Y5239">
        <v>-0.3235382</v>
      </c>
      <c r="Z5239">
        <v>7.9398339999999998E-2</v>
      </c>
      <c r="AA5239">
        <v>0.94287799999999999</v>
      </c>
      <c r="AB5239">
        <v>34</v>
      </c>
      <c r="AC5239">
        <v>4.6134000000000102</v>
      </c>
      <c r="AD5239">
        <v>-1.1150617261239999</v>
      </c>
      <c r="AE5239">
        <v>-12.628739999999899</v>
      </c>
      <c r="AF5239">
        <v>-4.51213253999736</v>
      </c>
      <c r="AG5239">
        <v>-1.1150617261239999</v>
      </c>
      <c r="AH5239">
        <v>12.567732142232201</v>
      </c>
      <c r="AI5239">
        <v>94.773430834889297</v>
      </c>
      <c r="AJ5239">
        <v>109.74941699223599</v>
      </c>
      <c r="AK5239">
        <v>13.3996490219135</v>
      </c>
      <c r="AL5239">
        <v>88.265387802746204</v>
      </c>
      <c r="AM5239">
        <v>100.300350567675</v>
      </c>
      <c r="AN5239">
        <v>1.0000000148125501</v>
      </c>
    </row>
    <row r="5240" spans="1:40" x14ac:dyDescent="0.25">
      <c r="A5240" t="str">
        <f>"20190312151421430"</f>
        <v>20190312151421430</v>
      </c>
      <c r="B5240" t="str">
        <f>"1552374861425705"</f>
        <v>1552374861425705</v>
      </c>
      <c r="C5240" t="s">
        <v>40</v>
      </c>
      <c r="D5240">
        <v>4.6592320000000003</v>
      </c>
      <c r="E5240">
        <v>0.44854739999999999</v>
      </c>
      <c r="F5240" t="s">
        <v>59</v>
      </c>
      <c r="G5240">
        <v>-297.94970000000001</v>
      </c>
      <c r="H5240" s="1">
        <v>-2.2344850000000002E-6</v>
      </c>
      <c r="I5240">
        <v>-43.060969999999998</v>
      </c>
      <c r="J5240">
        <v>-302.45679999999999</v>
      </c>
      <c r="K5240">
        <v>1.11507</v>
      </c>
      <c r="L5240">
        <v>-30.074159999999999</v>
      </c>
      <c r="M5240">
        <v>1.380647E-2</v>
      </c>
      <c r="N5240">
        <v>0</v>
      </c>
      <c r="O5240">
        <v>-0.99983040000000001</v>
      </c>
      <c r="P5240">
        <v>0.1926725</v>
      </c>
      <c r="Q5240">
        <v>2.0441190000000001E-2</v>
      </c>
      <c r="R5240">
        <v>-0.98105010000000004</v>
      </c>
      <c r="S5240">
        <v>0.96517940000000002</v>
      </c>
      <c r="T5240">
        <v>-0.23820330000000001</v>
      </c>
      <c r="U5240">
        <v>-2.877167</v>
      </c>
      <c r="V5240">
        <v>-0.17951789999999901</v>
      </c>
      <c r="W5240">
        <v>3.0084670000000001E-2</v>
      </c>
      <c r="X5240">
        <v>0.98329460000000002</v>
      </c>
      <c r="Y5240">
        <v>-0.30394409999999999</v>
      </c>
      <c r="Z5240">
        <v>7.8412449999999995E-2</v>
      </c>
      <c r="AA5240">
        <v>0.94945749999999995</v>
      </c>
      <c r="AB5240">
        <v>34</v>
      </c>
      <c r="AC5240">
        <v>4.5070999999999799</v>
      </c>
      <c r="AD5240">
        <v>-1.1150722344849999</v>
      </c>
      <c r="AE5240">
        <v>-12.98681</v>
      </c>
      <c r="AF5240">
        <v>-4.2990681644981201</v>
      </c>
      <c r="AG5240">
        <v>-1.1150722344849999</v>
      </c>
      <c r="AH5240">
        <v>12.962513457256</v>
      </c>
      <c r="AI5240">
        <v>94.667815908929597</v>
      </c>
      <c r="AJ5240">
        <v>108.34830332649901</v>
      </c>
      <c r="AK5240">
        <v>13.7022672686189</v>
      </c>
      <c r="AL5240">
        <v>88.276015284236095</v>
      </c>
      <c r="AM5240">
        <v>100.346414739064</v>
      </c>
      <c r="AN5240">
        <v>1.00000001708928</v>
      </c>
    </row>
    <row r="5241" spans="1:40" x14ac:dyDescent="0.25">
      <c r="A5241" t="str">
        <f>"20190312151421465"</f>
        <v>20190312151421465</v>
      </c>
      <c r="B5241" t="str">
        <f>"1552374861455960"</f>
        <v>1552374861455960</v>
      </c>
      <c r="C5241" t="s">
        <v>40</v>
      </c>
      <c r="D5241">
        <v>4.5924360000000002</v>
      </c>
      <c r="E5241">
        <v>0.42119990000000002</v>
      </c>
      <c r="F5241" t="s">
        <v>59</v>
      </c>
      <c r="G5241">
        <v>-297.96179999999998</v>
      </c>
      <c r="H5241" s="1">
        <v>-2.2721140000000002E-6</v>
      </c>
      <c r="I5241">
        <v>-43.125210000000003</v>
      </c>
      <c r="J5241">
        <v>-302.44</v>
      </c>
      <c r="K5241">
        <v>1.1150770000000001</v>
      </c>
      <c r="L5241">
        <v>-30.606960000000001</v>
      </c>
      <c r="M5241">
        <v>2.2935000000000001E-2</v>
      </c>
      <c r="N5241">
        <v>0</v>
      </c>
      <c r="O5241">
        <v>-0.99966259999999996</v>
      </c>
      <c r="P5241">
        <v>0.2052302</v>
      </c>
      <c r="Q5241">
        <v>2.0272490000000001E-2</v>
      </c>
      <c r="R5241">
        <v>-0.97850420000000005</v>
      </c>
      <c r="S5241">
        <v>0.98812869999999997</v>
      </c>
      <c r="T5241">
        <v>-0.24512410000000001</v>
      </c>
      <c r="U5241">
        <v>-2.8689879999999999</v>
      </c>
      <c r="V5241">
        <v>-0.18314040000000001</v>
      </c>
      <c r="W5241">
        <v>2.9860649999999999E-2</v>
      </c>
      <c r="X5241">
        <v>0.98263319999999998</v>
      </c>
      <c r="Y5241">
        <v>-0.30280879999999999</v>
      </c>
      <c r="Z5241">
        <v>8.0785590000000004E-2</v>
      </c>
      <c r="AA5241">
        <v>0.9496213</v>
      </c>
      <c r="AB5241">
        <v>34</v>
      </c>
      <c r="AC5241">
        <v>4.47820000000001</v>
      </c>
      <c r="AD5241">
        <v>-1.1150792721139999</v>
      </c>
      <c r="AE5241">
        <v>-12.518249999999901</v>
      </c>
      <c r="AF5241">
        <v>-4.1606270609597802</v>
      </c>
      <c r="AG5241">
        <v>-1.1150792721139999</v>
      </c>
      <c r="AH5241">
        <v>12.5295344243517</v>
      </c>
      <c r="AI5241">
        <v>94.827809118184007</v>
      </c>
      <c r="AJ5241">
        <v>108.369550529134</v>
      </c>
      <c r="AK5241">
        <v>13.2492811961444</v>
      </c>
      <c r="AL5241">
        <v>88.2888564847552</v>
      </c>
      <c r="AM5241">
        <v>100.557494430453</v>
      </c>
      <c r="AN5241">
        <v>1.00000003513641</v>
      </c>
    </row>
    <row r="5242" spans="1:40" x14ac:dyDescent="0.25">
      <c r="A5242" t="str">
        <f>"20190312151421510"</f>
        <v>20190312151421510</v>
      </c>
      <c r="B5242" t="str">
        <f>"1552374861505736"</f>
        <v>1552374861505736</v>
      </c>
      <c r="C5242" t="s">
        <v>40</v>
      </c>
      <c r="D5242">
        <v>4.6210089999999999</v>
      </c>
      <c r="E5242">
        <v>0.41317110000000001</v>
      </c>
      <c r="F5242" t="s">
        <v>42</v>
      </c>
      <c r="G5242">
        <v>-299.1223</v>
      </c>
      <c r="H5242" s="1">
        <v>-1.119E-6</v>
      </c>
      <c r="I5242">
        <v>-38.121720000000003</v>
      </c>
      <c r="J5242">
        <v>-302.41109999999998</v>
      </c>
      <c r="K5242">
        <v>1.1150880000000001</v>
      </c>
      <c r="L5242">
        <v>-31.292079999999999</v>
      </c>
      <c r="M5242">
        <v>3.4670819999999998E-2</v>
      </c>
      <c r="N5242">
        <v>0</v>
      </c>
      <c r="O5242">
        <v>-0.9993244</v>
      </c>
      <c r="P5242">
        <v>0.2199004</v>
      </c>
      <c r="Q5242">
        <v>2.076646E-2</v>
      </c>
      <c r="R5242">
        <v>-0.97530150000000004</v>
      </c>
      <c r="S5242">
        <v>1.2423709999999999</v>
      </c>
      <c r="T5242">
        <v>-0.41755520000000002</v>
      </c>
      <c r="U5242">
        <v>-2.8139949999999998</v>
      </c>
      <c r="V5242">
        <v>-0.1863657</v>
      </c>
      <c r="W5242">
        <v>3.03082E-2</v>
      </c>
      <c r="X5242">
        <v>0.98201289999999997</v>
      </c>
      <c r="Y5242">
        <v>-0.36821680000000001</v>
      </c>
      <c r="Z5242">
        <v>0.135325</v>
      </c>
      <c r="AA5242">
        <v>0.91983879999999996</v>
      </c>
      <c r="AB5242">
        <v>34</v>
      </c>
      <c r="AC5242">
        <v>3.2887999999999802</v>
      </c>
      <c r="AD5242">
        <v>-1.1150891190000001</v>
      </c>
      <c r="AE5242">
        <v>-6.8296400000000004</v>
      </c>
      <c r="AF5242">
        <v>-2.9854120589227202</v>
      </c>
      <c r="AG5242">
        <v>-1.1150891190000001</v>
      </c>
      <c r="AH5242">
        <v>6.7925775494659399</v>
      </c>
      <c r="AI5242">
        <v>98.546893917767505</v>
      </c>
      <c r="AJ5242">
        <v>113.726013560296</v>
      </c>
      <c r="AK5242">
        <v>7.5030139724234903</v>
      </c>
      <c r="AL5242">
        <v>88.263202170295301</v>
      </c>
      <c r="AM5242">
        <v>100.745760833126</v>
      </c>
      <c r="AN5242">
        <v>1.00000004844506</v>
      </c>
    </row>
    <row r="5243" spans="1:40" x14ac:dyDescent="0.25">
      <c r="A5243" t="str">
        <f>"20190312151421540"</f>
        <v>20190312151421540</v>
      </c>
      <c r="B5243" t="str">
        <f>"1552374861535993"</f>
        <v>1552374861535993</v>
      </c>
      <c r="C5243" t="s">
        <v>40</v>
      </c>
      <c r="D5243">
        <v>4.6616980000000003</v>
      </c>
      <c r="E5243">
        <v>0.41242380000000001</v>
      </c>
      <c r="F5243" t="s">
        <v>42</v>
      </c>
      <c r="G5243">
        <v>-298.96300000000002</v>
      </c>
      <c r="H5243" s="1">
        <v>-1.027717E-6</v>
      </c>
      <c r="I5243">
        <v>-38.400359999999999</v>
      </c>
      <c r="J5243">
        <v>-302.38679999999999</v>
      </c>
      <c r="K5243">
        <v>1.1150899999999999</v>
      </c>
      <c r="L5243">
        <v>-31.75928</v>
      </c>
      <c r="M5243">
        <v>4.2671340000000002E-2</v>
      </c>
      <c r="N5243">
        <v>0</v>
      </c>
      <c r="O5243">
        <v>-0.99901459999999997</v>
      </c>
      <c r="P5243">
        <v>0.2285432</v>
      </c>
      <c r="Q5243">
        <v>2.0906689999999999E-2</v>
      </c>
      <c r="R5243">
        <v>-0.97330939999999999</v>
      </c>
      <c r="S5243">
        <v>1.3490599999999999</v>
      </c>
      <c r="T5243">
        <v>-0.43627579999999999</v>
      </c>
      <c r="U5243">
        <v>-2.7810969999999999</v>
      </c>
      <c r="V5243">
        <v>-0.18721579999999999</v>
      </c>
      <c r="W5243">
        <v>3.043736E-2</v>
      </c>
      <c r="X5243">
        <v>0.98184720000000003</v>
      </c>
      <c r="Y5243">
        <v>-0.39331139999999998</v>
      </c>
      <c r="Z5243">
        <v>0.1408605</v>
      </c>
      <c r="AA5243">
        <v>0.90855070000000004</v>
      </c>
      <c r="AB5243">
        <v>34</v>
      </c>
      <c r="AC5243">
        <v>3.4238000000000199</v>
      </c>
      <c r="AD5243">
        <v>-1.1150910277170001</v>
      </c>
      <c r="AE5243">
        <v>-6.6410799999999899</v>
      </c>
      <c r="AF5243">
        <v>-3.06892160370308</v>
      </c>
      <c r="AG5243">
        <v>-1.1150910277170001</v>
      </c>
      <c r="AH5243">
        <v>6.6333927074964203</v>
      </c>
      <c r="AI5243">
        <v>98.674494898501095</v>
      </c>
      <c r="AJ5243">
        <v>114.82749612052</v>
      </c>
      <c r="AK5243">
        <v>7.3934840651506804</v>
      </c>
      <c r="AL5243">
        <v>88.255798445863803</v>
      </c>
      <c r="AM5243">
        <v>100.79540701445799</v>
      </c>
      <c r="AN5243">
        <v>1.00000005640062</v>
      </c>
    </row>
    <row r="5244" spans="1:40" x14ac:dyDescent="0.25">
      <c r="A5244" t="str">
        <f>"20190312151421577"</f>
        <v>20190312151421577</v>
      </c>
      <c r="B5244" t="str">
        <f>"1552374861576008"</f>
        <v>1552374861576008</v>
      </c>
      <c r="C5244" t="s">
        <v>40</v>
      </c>
      <c r="D5244">
        <v>4.6821539999999997</v>
      </c>
      <c r="E5244">
        <v>0.41196189999999999</v>
      </c>
      <c r="F5244" t="s">
        <v>42</v>
      </c>
      <c r="G5244">
        <v>-298.8904</v>
      </c>
      <c r="H5244" s="1">
        <v>-8.810441E-7</v>
      </c>
      <c r="I5244">
        <v>-38.772300000000001</v>
      </c>
      <c r="J5244">
        <v>-302.35250000000002</v>
      </c>
      <c r="K5244">
        <v>1.1150910000000001</v>
      </c>
      <c r="L5244">
        <v>-32.322780000000002</v>
      </c>
      <c r="M5244">
        <v>5.2314779999999998E-2</v>
      </c>
      <c r="N5244">
        <v>0</v>
      </c>
      <c r="O5244">
        <v>-0.998556</v>
      </c>
      <c r="P5244">
        <v>0.2386528</v>
      </c>
      <c r="Q5244">
        <v>2.0812540000000001E-2</v>
      </c>
      <c r="R5244">
        <v>-0.97088180000000002</v>
      </c>
      <c r="S5244">
        <v>1.379883</v>
      </c>
      <c r="T5244">
        <v>-0.44007220000000002</v>
      </c>
      <c r="U5244">
        <v>-2.7677</v>
      </c>
      <c r="V5244">
        <v>-0.18794620000000001</v>
      </c>
      <c r="W5244">
        <v>3.033537E-2</v>
      </c>
      <c r="X5244">
        <v>0.98171070000000005</v>
      </c>
      <c r="Y5244">
        <v>-0.39423360000000002</v>
      </c>
      <c r="Z5244">
        <v>0.1422109</v>
      </c>
      <c r="AA5244">
        <v>0.90794050000000004</v>
      </c>
      <c r="AB5244">
        <v>34</v>
      </c>
      <c r="AC5244">
        <v>3.4621000000000199</v>
      </c>
      <c r="AD5244">
        <v>-1.1150918810441</v>
      </c>
      <c r="AE5244">
        <v>-6.4495199999999997</v>
      </c>
      <c r="AF5244">
        <v>-3.0491692961244601</v>
      </c>
      <c r="AG5244">
        <v>-1.1150918810441</v>
      </c>
      <c r="AH5244">
        <v>6.4716391592211098</v>
      </c>
      <c r="AI5244">
        <v>98.859402408259498</v>
      </c>
      <c r="AJ5244">
        <v>115.22787852208801</v>
      </c>
      <c r="AK5244">
        <v>7.2403713100063296</v>
      </c>
      <c r="AL5244">
        <v>88.261644563041003</v>
      </c>
      <c r="AM5244">
        <v>100.837999700162</v>
      </c>
      <c r="AN5244">
        <v>0.99999995363098204</v>
      </c>
    </row>
    <row r="5245" spans="1:40" x14ac:dyDescent="0.25">
      <c r="A5245" t="str">
        <f>"20190312151421622"</f>
        <v>20190312151421622</v>
      </c>
      <c r="B5245" t="str">
        <f>"1552374861616029"</f>
        <v>1552374861616029</v>
      </c>
      <c r="C5245" t="s">
        <v>40</v>
      </c>
      <c r="D5245">
        <v>4.698537</v>
      </c>
      <c r="E5245">
        <v>0.41281909999999999</v>
      </c>
      <c r="F5245" t="s">
        <v>42</v>
      </c>
      <c r="G5245">
        <v>-298.8134</v>
      </c>
      <c r="H5245" s="1">
        <v>-7.0395300000000003E-7</v>
      </c>
      <c r="I5245">
        <v>-39.216920000000002</v>
      </c>
      <c r="J5245">
        <v>-302.30419999999998</v>
      </c>
      <c r="K5245">
        <v>1.1150910000000001</v>
      </c>
      <c r="L5245">
        <v>-32.999940000000002</v>
      </c>
      <c r="M5245">
        <v>6.3886120000000005E-2</v>
      </c>
      <c r="N5245">
        <v>0</v>
      </c>
      <c r="O5245">
        <v>-0.99788270000000001</v>
      </c>
      <c r="P5245">
        <v>0.24848329999999999</v>
      </c>
      <c r="Q5245">
        <v>2.04785E-2</v>
      </c>
      <c r="R5245">
        <v>-0.96842010000000001</v>
      </c>
      <c r="S5245">
        <v>1.4128419999999999</v>
      </c>
      <c r="T5245">
        <v>-0.44515919999999998</v>
      </c>
      <c r="U5245">
        <v>-2.7522280000000001</v>
      </c>
      <c r="V5245">
        <v>-0.1865134</v>
      </c>
      <c r="W5245">
        <v>3.0028429999999998E-2</v>
      </c>
      <c r="X5245">
        <v>0.98199340000000002</v>
      </c>
      <c r="Y5245">
        <v>-0.39416909999999999</v>
      </c>
      <c r="Z5245">
        <v>0.14401849999999999</v>
      </c>
      <c r="AA5245">
        <v>0.90768360000000003</v>
      </c>
      <c r="AB5245">
        <v>34</v>
      </c>
      <c r="AC5245">
        <v>3.4907999999999699</v>
      </c>
      <c r="AD5245">
        <v>-1.1150917039529999</v>
      </c>
      <c r="AE5245">
        <v>-6.2169800000000004</v>
      </c>
      <c r="AF5245">
        <v>-3.0127692110407902</v>
      </c>
      <c r="AG5245">
        <v>-1.1150917039529999</v>
      </c>
      <c r="AH5245">
        <v>6.2738537551424596</v>
      </c>
      <c r="AI5245">
        <v>99.102580734470493</v>
      </c>
      <c r="AJ5245">
        <v>115.650798144074</v>
      </c>
      <c r="AK5245">
        <v>7.0485068467112502</v>
      </c>
      <c r="AL5245">
        <v>88.279239019564301</v>
      </c>
      <c r="AM5245">
        <v>100.75428718262501</v>
      </c>
      <c r="AN5245">
        <v>0.99999999631569203</v>
      </c>
    </row>
    <row r="5246" spans="1:40" x14ac:dyDescent="0.25">
      <c r="A5246" t="str">
        <f>"20190312151421666"</f>
        <v>20190312151421666</v>
      </c>
      <c r="B5246" t="str">
        <f>"1552374861656040"</f>
        <v>1552374861656040</v>
      </c>
      <c r="C5246" t="s">
        <v>40</v>
      </c>
      <c r="D5246">
        <v>4.7385650000000004</v>
      </c>
      <c r="E5246">
        <v>0.41306019999999999</v>
      </c>
      <c r="F5246" t="s">
        <v>42</v>
      </c>
      <c r="G5246">
        <v>-298.76900000000001</v>
      </c>
      <c r="H5246" s="1">
        <v>-5.3238459999999896E-7</v>
      </c>
      <c r="I5246">
        <v>-39.749949999999998</v>
      </c>
      <c r="J5246">
        <v>-302.2482</v>
      </c>
      <c r="K5246">
        <v>1.115081</v>
      </c>
      <c r="L5246">
        <v>-33.675379999999997</v>
      </c>
      <c r="M5246">
        <v>7.5403120000000004E-2</v>
      </c>
      <c r="N5246">
        <v>0</v>
      </c>
      <c r="O5246">
        <v>-0.99707849999999998</v>
      </c>
      <c r="P5246">
        <v>0.25782260000000001</v>
      </c>
      <c r="Q5246">
        <v>2.023635E-2</v>
      </c>
      <c r="R5246">
        <v>-0.96598050000000002</v>
      </c>
      <c r="S5246">
        <v>1.434631</v>
      </c>
      <c r="T5246">
        <v>-0.4525265</v>
      </c>
      <c r="U5246">
        <v>-2.7392880000000002</v>
      </c>
      <c r="V5246">
        <v>-0.18465239999999999</v>
      </c>
      <c r="W5246">
        <v>2.9821090000000001E-2</v>
      </c>
      <c r="X5246">
        <v>0.98235139999999999</v>
      </c>
      <c r="Y5246">
        <v>-0.39082719999999999</v>
      </c>
      <c r="Z5246">
        <v>0.14662919999999999</v>
      </c>
      <c r="AA5246">
        <v>0.90871009999999997</v>
      </c>
      <c r="AB5246">
        <v>34</v>
      </c>
      <c r="AC5246">
        <v>3.4791999999999899</v>
      </c>
      <c r="AD5246">
        <v>-1.1150815323845999</v>
      </c>
      <c r="AE5246">
        <v>-6.0745699999999996</v>
      </c>
      <c r="AF5246">
        <v>-2.9367052366847499</v>
      </c>
      <c r="AG5246">
        <v>-1.1150815323845999</v>
      </c>
      <c r="AH5246">
        <v>6.1632560621183696</v>
      </c>
      <c r="AI5246">
        <v>99.276239102323501</v>
      </c>
      <c r="AJ5246">
        <v>115.477146002114</v>
      </c>
      <c r="AK5246">
        <v>6.9176130101557201</v>
      </c>
      <c r="AL5246">
        <v>88.291124123304698</v>
      </c>
      <c r="AM5246">
        <v>100.645656652569</v>
      </c>
      <c r="AN5246">
        <v>1.00000003965825</v>
      </c>
    </row>
    <row r="5247" spans="1:40" x14ac:dyDescent="0.25">
      <c r="A5247" t="str">
        <f>"20190312151421700"</f>
        <v>20190312151421700</v>
      </c>
      <c r="B5247" t="str">
        <f>"1552374861696056"</f>
        <v>1552374861696056</v>
      </c>
      <c r="C5247" t="s">
        <v>40</v>
      </c>
      <c r="D5247">
        <v>4.7470540000000003</v>
      </c>
      <c r="E5247">
        <v>0.41319669999999997</v>
      </c>
      <c r="F5247" t="s">
        <v>42</v>
      </c>
      <c r="G5247">
        <v>-298.71210000000002</v>
      </c>
      <c r="H5247" s="1">
        <v>-3.6785969999999998E-7</v>
      </c>
      <c r="I5247">
        <v>-40.277900000000002</v>
      </c>
      <c r="J5247">
        <v>-302.2</v>
      </c>
      <c r="K5247">
        <v>1.1150639999999901</v>
      </c>
      <c r="L5247">
        <v>-34.19135</v>
      </c>
      <c r="M5247">
        <v>8.4179550000000006E-2</v>
      </c>
      <c r="N5247">
        <v>0</v>
      </c>
      <c r="O5247">
        <v>-0.99637569999999998</v>
      </c>
      <c r="P5247">
        <v>0.26547939999999998</v>
      </c>
      <c r="Q5247">
        <v>1.997496E-2</v>
      </c>
      <c r="R5247">
        <v>-0.96391000000000004</v>
      </c>
      <c r="S5247">
        <v>1.459778</v>
      </c>
      <c r="T5247">
        <v>-0.46033190000000002</v>
      </c>
      <c r="U5247">
        <v>-2.7256770000000001</v>
      </c>
      <c r="V5247">
        <v>-0.1837927</v>
      </c>
      <c r="W5247">
        <v>2.9577059999999999E-2</v>
      </c>
      <c r="X5247">
        <v>0.9825199</v>
      </c>
      <c r="Y5247">
        <v>-0.39095760000000002</v>
      </c>
      <c r="Z5247">
        <v>0.14928029999999901</v>
      </c>
      <c r="AA5247">
        <v>0.90822219999999998</v>
      </c>
      <c r="AB5247">
        <v>34</v>
      </c>
      <c r="AC5247">
        <v>3.4878999999999598</v>
      </c>
      <c r="AD5247">
        <v>-1.1150643678597001</v>
      </c>
      <c r="AE5247">
        <v>-6.0865499999999999</v>
      </c>
      <c r="AF5247">
        <v>-2.89009634352028</v>
      </c>
      <c r="AG5247">
        <v>-1.1150643678597001</v>
      </c>
      <c r="AH5247">
        <v>6.2018795437890404</v>
      </c>
      <c r="AI5247">
        <v>99.256021535348694</v>
      </c>
      <c r="AJ5247">
        <v>114.985674580797</v>
      </c>
      <c r="AK5247">
        <v>6.93248406380921</v>
      </c>
      <c r="AL5247">
        <v>88.305112041169707</v>
      </c>
      <c r="AM5247">
        <v>100.595441795749</v>
      </c>
      <c r="AN5247">
        <v>0.99999995647377005</v>
      </c>
    </row>
    <row r="5248" spans="1:40" x14ac:dyDescent="0.25">
      <c r="A5248" t="str">
        <f>"20190312151421734"</f>
        <v>20190312151421734</v>
      </c>
      <c r="B5248" t="str">
        <f>"1552374861725337"</f>
        <v>1552374861725337</v>
      </c>
      <c r="C5248" t="s">
        <v>40</v>
      </c>
      <c r="D5248">
        <v>4.7607100000000004</v>
      </c>
      <c r="E5248">
        <v>0.4131899</v>
      </c>
      <c r="F5248" t="s">
        <v>59</v>
      </c>
      <c r="G5248">
        <v>-298.65440000000001</v>
      </c>
      <c r="H5248" s="1">
        <v>-5.3926960000000002E-7</v>
      </c>
      <c r="I5248">
        <v>-40.688940000000002</v>
      </c>
      <c r="J5248">
        <v>-302.14850000000001</v>
      </c>
      <c r="K5248">
        <v>1.1150549999999999</v>
      </c>
      <c r="L5248">
        <v>-34.695590000000003</v>
      </c>
      <c r="M5248">
        <v>9.2736089999999993E-2</v>
      </c>
      <c r="N5248">
        <v>0</v>
      </c>
      <c r="O5248">
        <v>-0.99561569999999999</v>
      </c>
      <c r="P5248">
        <v>0.273833099999999</v>
      </c>
      <c r="Q5248">
        <v>2.0670999999999998E-2</v>
      </c>
      <c r="R5248">
        <v>-0.9615553</v>
      </c>
      <c r="S5248">
        <v>1.4810179999999999</v>
      </c>
      <c r="T5248">
        <v>-0.46576830000000002</v>
      </c>
      <c r="U5248">
        <v>-2.7140810000000002</v>
      </c>
      <c r="V5248">
        <v>-0.1838873</v>
      </c>
      <c r="W5248">
        <v>3.027674E-2</v>
      </c>
      <c r="X5248">
        <v>0.98248089999999999</v>
      </c>
      <c r="Y5248">
        <v>-0.390042</v>
      </c>
      <c r="Z5248">
        <v>0.15115190000000001</v>
      </c>
      <c r="AA5248">
        <v>0.90830630000000001</v>
      </c>
      <c r="AB5248">
        <v>34</v>
      </c>
      <c r="AC5248">
        <v>3.4941</v>
      </c>
      <c r="AD5248">
        <v>-1.1150555392696</v>
      </c>
      <c r="AE5248">
        <v>-5.9933500000000004</v>
      </c>
      <c r="AF5248">
        <v>-2.8495840811023601</v>
      </c>
      <c r="AG5248">
        <v>-1.1150555392696</v>
      </c>
      <c r="AH5248">
        <v>6.1331311373155604</v>
      </c>
      <c r="AI5248">
        <v>99.362737264710603</v>
      </c>
      <c r="AJ5248">
        <v>114.92059022069</v>
      </c>
      <c r="AK5248">
        <v>6.8541064945357801</v>
      </c>
      <c r="AL5248">
        <v>88.265005385976394</v>
      </c>
      <c r="AM5248">
        <v>100.601183065615</v>
      </c>
      <c r="AN5248">
        <v>0.99999996947556302</v>
      </c>
    </row>
    <row r="5249" spans="1:40" x14ac:dyDescent="0.25">
      <c r="A5249" t="str">
        <f>"20190312151421768"</f>
        <v>20190312151421768</v>
      </c>
      <c r="B5249" t="str">
        <f>"1552374861755592"</f>
        <v>1552374861755592</v>
      </c>
      <c r="C5249" t="s">
        <v>40</v>
      </c>
      <c r="D5249">
        <v>4.7728099999999998</v>
      </c>
      <c r="E5249">
        <v>0.4132402</v>
      </c>
      <c r="F5249" t="s">
        <v>59</v>
      </c>
      <c r="G5249">
        <v>-298.56009999999998</v>
      </c>
      <c r="H5249" s="1">
        <v>-8.4844650000000001E-7</v>
      </c>
      <c r="I5249">
        <v>-41.135910000000003</v>
      </c>
      <c r="J5249">
        <v>-302.09190000000001</v>
      </c>
      <c r="K5249">
        <v>1.1150359999999999</v>
      </c>
      <c r="L5249">
        <v>-35.2074</v>
      </c>
      <c r="M5249">
        <v>0.1013921</v>
      </c>
      <c r="N5249">
        <v>0</v>
      </c>
      <c r="O5249">
        <v>-0.99477170000000004</v>
      </c>
      <c r="P5249">
        <v>0.28320440000000002</v>
      </c>
      <c r="Q5249">
        <v>2.1059640000000001E-2</v>
      </c>
      <c r="R5249">
        <v>-0.95882849999999997</v>
      </c>
      <c r="S5249">
        <v>1.5051270000000001</v>
      </c>
      <c r="T5249">
        <v>-0.46770869999999998</v>
      </c>
      <c r="U5249">
        <v>-2.7013850000000001</v>
      </c>
      <c r="V5249">
        <v>-0.1849353</v>
      </c>
      <c r="W5249">
        <v>3.065565E-2</v>
      </c>
      <c r="X5249">
        <v>0.98227240000000005</v>
      </c>
      <c r="Y5249">
        <v>-0.39000089999999998</v>
      </c>
      <c r="Z5249">
        <v>0.15188219999999999</v>
      </c>
      <c r="AA5249">
        <v>0.90820210000000001</v>
      </c>
      <c r="AB5249">
        <v>34</v>
      </c>
      <c r="AC5249">
        <v>3.5318000000000298</v>
      </c>
      <c r="AD5249">
        <v>-1.1150368484465001</v>
      </c>
      <c r="AE5249">
        <v>-5.9285099999999904</v>
      </c>
      <c r="AF5249">
        <v>-2.83834268543806</v>
      </c>
      <c r="AG5249">
        <v>-1.1150368484465001</v>
      </c>
      <c r="AH5249">
        <v>6.0968957925574001</v>
      </c>
      <c r="AI5249">
        <v>99.413989000490503</v>
      </c>
      <c r="AJ5249">
        <v>114.963813799042</v>
      </c>
      <c r="AK5249">
        <v>6.8170106849467</v>
      </c>
      <c r="AL5249">
        <v>88.243285326296501</v>
      </c>
      <c r="AM5249">
        <v>100.662430708144</v>
      </c>
      <c r="AN5249">
        <v>0.99999995093238503</v>
      </c>
    </row>
    <row r="5250" spans="1:40" x14ac:dyDescent="0.25">
      <c r="A5250" t="str">
        <f>"20190312151421802"</f>
        <v>20190312151421802</v>
      </c>
      <c r="B5250" t="str">
        <f>"1552374861795608"</f>
        <v>1552374861795608</v>
      </c>
      <c r="C5250" t="s">
        <v>40</v>
      </c>
      <c r="D5250">
        <v>4.7708729999999999</v>
      </c>
      <c r="E5250">
        <v>0.41335640000000001</v>
      </c>
      <c r="F5250" t="s">
        <v>59</v>
      </c>
      <c r="G5250">
        <v>-298.45639999999997</v>
      </c>
      <c r="H5250" s="1">
        <v>-1.161039E-6</v>
      </c>
      <c r="I5250">
        <v>-41.584269999999997</v>
      </c>
      <c r="J5250">
        <v>-302.02890000000002</v>
      </c>
      <c r="K5250">
        <v>1.115016</v>
      </c>
      <c r="L5250">
        <v>-35.734470000000002</v>
      </c>
      <c r="M5250">
        <v>0.1102737</v>
      </c>
      <c r="N5250">
        <v>0</v>
      </c>
      <c r="O5250">
        <v>-0.99382619999999999</v>
      </c>
      <c r="P5250">
        <v>0.29097590000000001</v>
      </c>
      <c r="Q5250">
        <v>2.1654349999999999E-2</v>
      </c>
      <c r="R5250">
        <v>-0.95648569999999999</v>
      </c>
      <c r="S5250">
        <v>1.5317379999999901</v>
      </c>
      <c r="T5250">
        <v>-0.46978809999999899</v>
      </c>
      <c r="U5250">
        <v>-2.6867070000000002</v>
      </c>
      <c r="V5250">
        <v>-0.18413979999999999</v>
      </c>
      <c r="W5250">
        <v>3.126905E-2</v>
      </c>
      <c r="X5250">
        <v>0.98240260000000001</v>
      </c>
      <c r="Y5250">
        <v>-0.39066119999999999</v>
      </c>
      <c r="Z5250">
        <v>0.15266779999999999</v>
      </c>
      <c r="AA5250">
        <v>0.90778650000000005</v>
      </c>
      <c r="AB5250">
        <v>34</v>
      </c>
      <c r="AC5250">
        <v>3.5725000000000402</v>
      </c>
      <c r="AD5250">
        <v>-1.1150171610390001</v>
      </c>
      <c r="AE5250">
        <v>-5.8498000000000001</v>
      </c>
      <c r="AF5250">
        <v>-2.8306763292010801</v>
      </c>
      <c r="AG5250">
        <v>-1.1150171610390001</v>
      </c>
      <c r="AH5250">
        <v>6.0480565794171701</v>
      </c>
      <c r="AI5250">
        <v>99.479574429893702</v>
      </c>
      <c r="AJ5250">
        <v>115.081038303767</v>
      </c>
      <c r="AK5250">
        <v>6.7701536273516103</v>
      </c>
      <c r="AL5250">
        <v>88.208123401199103</v>
      </c>
      <c r="AM5250">
        <v>100.61623602244499</v>
      </c>
      <c r="AN5250">
        <v>1.0000000439593499</v>
      </c>
    </row>
    <row r="5251" spans="1:40" x14ac:dyDescent="0.25">
      <c r="A5251" t="str">
        <f>"20190312151421834"</f>
        <v>20190312151421834</v>
      </c>
      <c r="B5251" t="str">
        <f>"1552374861825865"</f>
        <v>1552374861825865</v>
      </c>
      <c r="C5251" t="s">
        <v>40</v>
      </c>
      <c r="D5251">
        <v>4.7700930000000001</v>
      </c>
      <c r="E5251">
        <v>0.43165550000000003</v>
      </c>
      <c r="F5251" t="s">
        <v>59</v>
      </c>
      <c r="G5251">
        <v>-298.35739999999998</v>
      </c>
      <c r="H5251" s="1">
        <v>-1.487109E-6</v>
      </c>
      <c r="I5251">
        <v>-42.055810000000001</v>
      </c>
      <c r="J5251">
        <v>-301.96589999999998</v>
      </c>
      <c r="K5251">
        <v>1.1150009999999999</v>
      </c>
      <c r="L5251">
        <v>-36.224609999999998</v>
      </c>
      <c r="M5251">
        <v>0.1185017</v>
      </c>
      <c r="N5251">
        <v>0</v>
      </c>
      <c r="O5251">
        <v>-0.99287859999999994</v>
      </c>
      <c r="P5251">
        <v>0.29875429999999997</v>
      </c>
      <c r="Q5251">
        <v>2.184146E-2</v>
      </c>
      <c r="R5251">
        <v>-0.95408000000000004</v>
      </c>
      <c r="S5251">
        <v>1.553436</v>
      </c>
      <c r="T5251">
        <v>-0.47176970000000001</v>
      </c>
      <c r="U5251">
        <v>-2.6745909999999999</v>
      </c>
      <c r="V5251">
        <v>-0.18400369999999999</v>
      </c>
      <c r="W5251">
        <v>3.1465399999999998E-2</v>
      </c>
      <c r="X5251">
        <v>0.98242180000000001</v>
      </c>
      <c r="Y5251">
        <v>-0.39029249999999999</v>
      </c>
      <c r="Z5251">
        <v>0.15339120000000001</v>
      </c>
      <c r="AA5251">
        <v>0.90782309999999999</v>
      </c>
      <c r="AB5251">
        <v>34</v>
      </c>
      <c r="AC5251">
        <v>3.60849999999999</v>
      </c>
      <c r="AD5251">
        <v>-1.1150024871089901</v>
      </c>
      <c r="AE5251">
        <v>-5.8311999999999999</v>
      </c>
      <c r="AF5251">
        <v>-2.8175214333474101</v>
      </c>
      <c r="AG5251">
        <v>-1.1150024871089901</v>
      </c>
      <c r="AH5251">
        <v>6.05760010220847</v>
      </c>
      <c r="AI5251">
        <v>99.475152088305407</v>
      </c>
      <c r="AJ5251">
        <v>114.94416198536599</v>
      </c>
      <c r="AK5251">
        <v>6.7731954476382503</v>
      </c>
      <c r="AL5251">
        <v>88.196867781086794</v>
      </c>
      <c r="AM5251">
        <v>100.608364978281</v>
      </c>
      <c r="AN5251">
        <v>1.00000001306304</v>
      </c>
    </row>
    <row r="5252" spans="1:40" x14ac:dyDescent="0.25">
      <c r="A5252" t="str">
        <f>"20190312151421868"</f>
        <v>20190312151421868</v>
      </c>
      <c r="B5252" t="str">
        <f>"1552374861865881"</f>
        <v>1552374861865881</v>
      </c>
      <c r="C5252" t="s">
        <v>40</v>
      </c>
      <c r="D5252">
        <v>4.7216509999999996</v>
      </c>
      <c r="E5252">
        <v>0.43475710000000001</v>
      </c>
      <c r="F5252" t="s">
        <v>59</v>
      </c>
      <c r="G5252">
        <v>-298.64690000000002</v>
      </c>
      <c r="H5252" s="1">
        <v>-1.67884899999999E-6</v>
      </c>
      <c r="I5252">
        <v>-42.478679999999997</v>
      </c>
      <c r="J5252">
        <v>-301.89600000000002</v>
      </c>
      <c r="K5252">
        <v>1.1149709999999999</v>
      </c>
      <c r="L5252">
        <v>-36.736600000000003</v>
      </c>
      <c r="M5252">
        <v>0.12705849999999999</v>
      </c>
      <c r="N5252">
        <v>0</v>
      </c>
      <c r="O5252">
        <v>-0.99182000000000003</v>
      </c>
      <c r="P5252">
        <v>0.30694470000000001</v>
      </c>
      <c r="Q5252">
        <v>2.0993649999999999E-2</v>
      </c>
      <c r="R5252">
        <v>-0.9514958</v>
      </c>
      <c r="S5252">
        <v>1.4359440000000001</v>
      </c>
      <c r="T5252">
        <v>-0.48240329999999898</v>
      </c>
      <c r="U5252">
        <v>-2.7058110000000002</v>
      </c>
      <c r="V5252">
        <v>-0.18396309999999999</v>
      </c>
      <c r="W5252">
        <v>3.062658E-2</v>
      </c>
      <c r="X5252">
        <v>0.98245590000000005</v>
      </c>
      <c r="Y5252">
        <v>-0.34684769999999998</v>
      </c>
      <c r="Z5252">
        <v>0.1578831</v>
      </c>
      <c r="AA5252">
        <v>0.92453750000000001</v>
      </c>
      <c r="AB5252">
        <v>34</v>
      </c>
      <c r="AC5252">
        <v>3.2490999999999399</v>
      </c>
      <c r="AD5252">
        <v>-1.114972678849</v>
      </c>
      <c r="AE5252">
        <v>-5.7420799999999899</v>
      </c>
      <c r="AF5252">
        <v>-2.42390165248205</v>
      </c>
      <c r="AG5252">
        <v>-1.114972678849</v>
      </c>
      <c r="AH5252">
        <v>5.9387797100865898</v>
      </c>
      <c r="AI5252">
        <v>99.860834796053993</v>
      </c>
      <c r="AJ5252">
        <v>112.202733684728</v>
      </c>
      <c r="AK5252">
        <v>6.5105735339078397</v>
      </c>
      <c r="AL5252">
        <v>88.244951787671695</v>
      </c>
      <c r="AM5252">
        <v>100.605717604219</v>
      </c>
      <c r="AN5252">
        <v>1.00000000250445</v>
      </c>
    </row>
    <row r="5253" spans="1:40" x14ac:dyDescent="0.25">
      <c r="A5253" t="str">
        <f>"20190312151421901"</f>
        <v>20190312151421901</v>
      </c>
      <c r="B5253" t="str">
        <f>"1552374861895161"</f>
        <v>1552374861895161</v>
      </c>
      <c r="C5253" t="s">
        <v>40</v>
      </c>
      <c r="D5253">
        <v>4.7801390000000001</v>
      </c>
      <c r="E5253">
        <v>0.43538729999999998</v>
      </c>
      <c r="F5253" t="s">
        <v>59</v>
      </c>
      <c r="G5253">
        <v>-298.48169999999999</v>
      </c>
      <c r="H5253" s="1">
        <v>-2.153308E-6</v>
      </c>
      <c r="I5253">
        <v>-43.155949999999997</v>
      </c>
      <c r="J5253">
        <v>-301.82209999999998</v>
      </c>
      <c r="K5253">
        <v>1.114946</v>
      </c>
      <c r="L5253">
        <v>-37.244230000000002</v>
      </c>
      <c r="M5253">
        <v>0.13550599999999999</v>
      </c>
      <c r="N5253">
        <v>0</v>
      </c>
      <c r="O5253">
        <v>-0.99070130000000001</v>
      </c>
      <c r="P5253">
        <v>0.31448229999999999</v>
      </c>
      <c r="Q5253">
        <v>2.110362E-2</v>
      </c>
      <c r="R5253">
        <v>-0.94902900000000001</v>
      </c>
      <c r="S5253">
        <v>1.4360660000000001</v>
      </c>
      <c r="T5253">
        <v>-0.46896310000000002</v>
      </c>
      <c r="U5253">
        <v>-2.7000120000000001</v>
      </c>
      <c r="V5253">
        <v>-0.18338380000000001</v>
      </c>
      <c r="W5253">
        <v>3.0752890000000001E-2</v>
      </c>
      <c r="X5253">
        <v>0.98256030000000005</v>
      </c>
      <c r="Y5253">
        <v>-0.34001369999999997</v>
      </c>
      <c r="Z5253">
        <v>0.15381839999999999</v>
      </c>
      <c r="AA5253">
        <v>0.92775569999999896</v>
      </c>
      <c r="AB5253">
        <v>34</v>
      </c>
      <c r="AC5253">
        <v>3.3403999999999798</v>
      </c>
      <c r="AD5253">
        <v>-1.1149481533079999</v>
      </c>
      <c r="AE5253">
        <v>-5.9117199999999901</v>
      </c>
      <c r="AF5253">
        <v>-2.4425958220732502</v>
      </c>
      <c r="AG5253">
        <v>-1.1149481533079999</v>
      </c>
      <c r="AH5253">
        <v>6.14420575502864</v>
      </c>
      <c r="AI5253">
        <v>99.571564196183203</v>
      </c>
      <c r="AJ5253">
        <v>111.68002755858301</v>
      </c>
      <c r="AK5253">
        <v>6.7052701731326003</v>
      </c>
      <c r="AL5253">
        <v>88.237711432264902</v>
      </c>
      <c r="AM5253">
        <v>100.57197628501601</v>
      </c>
      <c r="AN5253">
        <v>1.0000000507409299</v>
      </c>
    </row>
    <row r="5254" spans="1:40" x14ac:dyDescent="0.25">
      <c r="A5254" t="str">
        <f>"20190312151421935"</f>
        <v>20190312151421935</v>
      </c>
      <c r="B5254" t="str">
        <f>"1552374861925417"</f>
        <v>1552374861925417</v>
      </c>
      <c r="C5254" t="s">
        <v>40</v>
      </c>
      <c r="D5254">
        <v>4.8154680000000001</v>
      </c>
      <c r="E5254">
        <v>0.43613039999999997</v>
      </c>
      <c r="F5254" t="s">
        <v>59</v>
      </c>
      <c r="G5254">
        <v>-298.39030000000002</v>
      </c>
      <c r="H5254" s="1">
        <v>-2.4561090000000001E-6</v>
      </c>
      <c r="I5254">
        <v>-43.594059999999999</v>
      </c>
      <c r="J5254">
        <v>-301.74400000000003</v>
      </c>
      <c r="K5254">
        <v>1.11493</v>
      </c>
      <c r="L5254">
        <v>-37.75</v>
      </c>
      <c r="M5254">
        <v>0.1438902</v>
      </c>
      <c r="N5254">
        <v>0</v>
      </c>
      <c r="O5254">
        <v>-0.98951829999999996</v>
      </c>
      <c r="P5254">
        <v>0.32157249999999998</v>
      </c>
      <c r="Q5254">
        <v>2.0853279999999998E-2</v>
      </c>
      <c r="R5254">
        <v>-0.94665549999999998</v>
      </c>
      <c r="S5254">
        <v>1.4537659999999999</v>
      </c>
      <c r="T5254">
        <v>-0.4723136</v>
      </c>
      <c r="U5254">
        <v>-2.6899109999999999</v>
      </c>
      <c r="V5254">
        <v>-0.1824076</v>
      </c>
      <c r="W5254">
        <v>3.0524579999999999E-2</v>
      </c>
      <c r="X5254">
        <v>0.98274899999999998</v>
      </c>
      <c r="Y5254">
        <v>-0.33816010000000002</v>
      </c>
      <c r="Z5254">
        <v>0.1549441</v>
      </c>
      <c r="AA5254">
        <v>0.92824569999999995</v>
      </c>
      <c r="AB5254">
        <v>34</v>
      </c>
      <c r="AC5254">
        <v>3.3536999999999999</v>
      </c>
      <c r="AD5254">
        <v>-1.1149324561089999</v>
      </c>
      <c r="AE5254">
        <v>-5.84405999999999</v>
      </c>
      <c r="AF5254">
        <v>-2.41179373885987</v>
      </c>
      <c r="AG5254">
        <v>-1.1149324561089999</v>
      </c>
      <c r="AH5254">
        <v>6.0988479451168196</v>
      </c>
      <c r="AI5254">
        <v>99.648073827387293</v>
      </c>
      <c r="AJ5254">
        <v>111.576354816183</v>
      </c>
      <c r="AK5254">
        <v>6.65250100925544</v>
      </c>
      <c r="AL5254">
        <v>88.250798581060494</v>
      </c>
      <c r="AM5254">
        <v>100.51498337993</v>
      </c>
      <c r="AN5254">
        <v>0.99999993976146595</v>
      </c>
    </row>
    <row r="5255" spans="1:40" x14ac:dyDescent="0.25">
      <c r="A5255" t="str">
        <f>"20190312151421968"</f>
        <v>20190312151421968</v>
      </c>
      <c r="B5255" t="str">
        <f>"1552374861965433"</f>
        <v>1552374861965433</v>
      </c>
      <c r="C5255" t="s">
        <v>40</v>
      </c>
      <c r="D5255">
        <v>4.7891750000000002</v>
      </c>
      <c r="E5255">
        <v>0.43700159999999899</v>
      </c>
      <c r="F5255" t="s">
        <v>59</v>
      </c>
      <c r="G5255">
        <v>-298.27260000000001</v>
      </c>
      <c r="H5255" s="1">
        <v>-2.7989380000000002E-6</v>
      </c>
      <c r="I5255">
        <v>-44.08417</v>
      </c>
      <c r="J5255">
        <v>-301.66239999999999</v>
      </c>
      <c r="K5255">
        <v>1.1149209999999901</v>
      </c>
      <c r="L5255">
        <v>-38.251800000000003</v>
      </c>
      <c r="M5255">
        <v>0.1521836</v>
      </c>
      <c r="N5255">
        <v>0</v>
      </c>
      <c r="O5255">
        <v>-0.98827690000000001</v>
      </c>
      <c r="P5255">
        <v>0.32872190000000001</v>
      </c>
      <c r="Q5255">
        <v>2.1385520000000002E-2</v>
      </c>
      <c r="R5255">
        <v>-0.94418469999999999</v>
      </c>
      <c r="S5255">
        <v>1.4689939999999999</v>
      </c>
      <c r="T5255">
        <v>-0.47180929999999999</v>
      </c>
      <c r="U5255">
        <v>-2.68045</v>
      </c>
      <c r="V5255">
        <v>-0.1816046</v>
      </c>
      <c r="W5255">
        <v>3.107507E-2</v>
      </c>
      <c r="X5255">
        <v>0.98288050000000005</v>
      </c>
      <c r="Y5255">
        <v>-0.33572160000000001</v>
      </c>
      <c r="Z5255">
        <v>0.154837</v>
      </c>
      <c r="AA5255">
        <v>0.92914830000000004</v>
      </c>
      <c r="AB5255">
        <v>34</v>
      </c>
      <c r="AC5255">
        <v>3.3897999999999802</v>
      </c>
      <c r="AD5255">
        <v>-1.1149237989380001</v>
      </c>
      <c r="AE5255">
        <v>-5.8323699999999903</v>
      </c>
      <c r="AF5255">
        <v>-2.3971733161935802</v>
      </c>
      <c r="AG5255">
        <v>-1.1149237989380001</v>
      </c>
      <c r="AH5255">
        <v>6.1133469203054398</v>
      </c>
      <c r="AI5255">
        <v>99.636273876468493</v>
      </c>
      <c r="AJ5255">
        <v>111.41120161498</v>
      </c>
      <c r="AK5255">
        <v>6.6605184147569796</v>
      </c>
      <c r="AL5255">
        <v>88.219242933001993</v>
      </c>
      <c r="AM5255">
        <v>100.468349980849</v>
      </c>
      <c r="AN5255">
        <v>0.99999998399845702</v>
      </c>
    </row>
    <row r="5256" spans="1:40" x14ac:dyDescent="0.25">
      <c r="A5256" t="str">
        <f>"20190312151422003"</f>
        <v>20190312151422003</v>
      </c>
      <c r="B5256" t="str">
        <f>"1552374861995689"</f>
        <v>1552374861995689</v>
      </c>
      <c r="C5256" t="s">
        <v>40</v>
      </c>
      <c r="D5256">
        <v>4.7797769999999904</v>
      </c>
      <c r="E5256">
        <v>0.43744889999999997</v>
      </c>
      <c r="F5256" t="s">
        <v>59</v>
      </c>
      <c r="G5256">
        <v>-298.20499999999998</v>
      </c>
      <c r="H5256" s="1">
        <v>-3.0671900000000002E-6</v>
      </c>
      <c r="I5256">
        <v>-44.477890000000002</v>
      </c>
      <c r="J5256">
        <v>-301.57170000000002</v>
      </c>
      <c r="K5256">
        <v>1.1149100000000001</v>
      </c>
      <c r="L5256">
        <v>-38.780760000000001</v>
      </c>
      <c r="M5256">
        <v>0.16090879999999999</v>
      </c>
      <c r="N5256">
        <v>0</v>
      </c>
      <c r="O5256">
        <v>-0.98689389999999999</v>
      </c>
      <c r="P5256">
        <v>0.3370609</v>
      </c>
      <c r="Q5256">
        <v>2.160196E-2</v>
      </c>
      <c r="R5256">
        <v>-0.94123520000000005</v>
      </c>
      <c r="S5256">
        <v>1.4836119999999999</v>
      </c>
      <c r="T5256">
        <v>-0.47842220000000002</v>
      </c>
      <c r="U5256">
        <v>-2.6716609999999998</v>
      </c>
      <c r="V5256">
        <v>-0.18161740000000001</v>
      </c>
      <c r="W5256">
        <v>3.1295740000000002E-2</v>
      </c>
      <c r="X5256">
        <v>0.98287119999999994</v>
      </c>
      <c r="Y5256">
        <v>-0.3324281</v>
      </c>
      <c r="Z5256">
        <v>0.15696740000000001</v>
      </c>
      <c r="AA5256">
        <v>0.92997459999999998</v>
      </c>
      <c r="AB5256">
        <v>34</v>
      </c>
      <c r="AC5256">
        <v>3.36670000000003</v>
      </c>
      <c r="AD5256">
        <v>-1.1149130671900001</v>
      </c>
      <c r="AE5256">
        <v>-5.6971299999999996</v>
      </c>
      <c r="AF5256">
        <v>-2.3396262450158698</v>
      </c>
      <c r="AG5256">
        <v>-1.1149130671900001</v>
      </c>
      <c r="AH5256">
        <v>5.9944997514715999</v>
      </c>
      <c r="AI5256">
        <v>99.829511558180897</v>
      </c>
      <c r="AJ5256">
        <v>111.32047756472799</v>
      </c>
      <c r="AK5256">
        <v>6.5307663703543399</v>
      </c>
      <c r="AL5256">
        <v>88.206593438163594</v>
      </c>
      <c r="AM5256">
        <v>100.469168375668</v>
      </c>
      <c r="AN5256">
        <v>1.0000000495571699</v>
      </c>
    </row>
    <row r="5257" spans="1:40" x14ac:dyDescent="0.25">
      <c r="A5257" t="str">
        <f>"20190312151422037"</f>
        <v>20190312151422037</v>
      </c>
      <c r="B5257" t="str">
        <f>"1552374862025944"</f>
        <v>1552374862025944</v>
      </c>
      <c r="C5257" t="s">
        <v>40</v>
      </c>
      <c r="D5257">
        <v>4.7530619999999999</v>
      </c>
      <c r="E5257">
        <v>0.43876599999999999</v>
      </c>
      <c r="F5257" t="s">
        <v>59</v>
      </c>
      <c r="G5257">
        <v>-298.06060000000002</v>
      </c>
      <c r="H5257" s="1">
        <v>-3.3808330000000002E-6</v>
      </c>
      <c r="I5257">
        <v>-44.988030000000002</v>
      </c>
      <c r="J5257">
        <v>-301.4796</v>
      </c>
      <c r="K5257">
        <v>1.1149070000000001</v>
      </c>
      <c r="L5257">
        <v>-39.289920000000002</v>
      </c>
      <c r="M5257">
        <v>0.16929920000000001</v>
      </c>
      <c r="N5257">
        <v>0</v>
      </c>
      <c r="O5257">
        <v>-0.98548910000000001</v>
      </c>
      <c r="P5257">
        <v>0.3456535</v>
      </c>
      <c r="Q5257">
        <v>2.1583100000000001E-2</v>
      </c>
      <c r="R5257">
        <v>-0.93811429999999996</v>
      </c>
      <c r="S5257">
        <v>1.5043329999999999</v>
      </c>
      <c r="T5257">
        <v>-0.4776919</v>
      </c>
      <c r="U5257">
        <v>-2.6595460000000002</v>
      </c>
      <c r="V5257">
        <v>-0.18224270000000001</v>
      </c>
      <c r="W5257">
        <v>3.1269999999999999E-2</v>
      </c>
      <c r="X5257">
        <v>0.98275619999999997</v>
      </c>
      <c r="Y5257">
        <v>-0.33173730000000001</v>
      </c>
      <c r="Z5257">
        <v>0.15675439999999999</v>
      </c>
      <c r="AA5257">
        <v>0.93025720000000001</v>
      </c>
      <c r="AB5257">
        <v>34</v>
      </c>
      <c r="AC5257">
        <v>3.4189999999999801</v>
      </c>
      <c r="AD5257">
        <v>-1.1149103808330001</v>
      </c>
      <c r="AE5257">
        <v>-5.6981099999999998</v>
      </c>
      <c r="AF5257">
        <v>-2.3390382513226702</v>
      </c>
      <c r="AG5257">
        <v>-1.1149103808330001</v>
      </c>
      <c r="AH5257">
        <v>6.0251169351450304</v>
      </c>
      <c r="AI5257">
        <v>99.787255159265996</v>
      </c>
      <c r="AJ5257">
        <v>111.216938283885</v>
      </c>
      <c r="AK5257">
        <v>6.55867053453757</v>
      </c>
      <c r="AL5257">
        <v>88.208068831837906</v>
      </c>
      <c r="AM5257">
        <v>100.505614099681</v>
      </c>
      <c r="AN5257">
        <v>0.99999998162086401</v>
      </c>
    </row>
    <row r="5258" spans="1:40" x14ac:dyDescent="0.25">
      <c r="A5258" t="str">
        <f>"20190312151422069"</f>
        <v>20190312151422069</v>
      </c>
      <c r="B5258" t="str">
        <f>"1552374862065962"</f>
        <v>1552374862065962</v>
      </c>
      <c r="C5258" t="s">
        <v>40</v>
      </c>
      <c r="D5258">
        <v>4.8339400000000001</v>
      </c>
      <c r="E5258">
        <v>0.43986940000000002</v>
      </c>
      <c r="F5258" t="s">
        <v>59</v>
      </c>
      <c r="G5258">
        <v>-297.83479999999997</v>
      </c>
      <c r="H5258" s="1">
        <v>-3.78389E-6</v>
      </c>
      <c r="I5258">
        <v>-45.651760000000003</v>
      </c>
      <c r="J5258">
        <v>-301.38909999999998</v>
      </c>
      <c r="K5258">
        <v>1.114906</v>
      </c>
      <c r="L5258">
        <v>-39.768770000000004</v>
      </c>
      <c r="M5258">
        <v>0.17718780000000001</v>
      </c>
      <c r="N5258">
        <v>0</v>
      </c>
      <c r="O5258">
        <v>-0.98410129999999996</v>
      </c>
      <c r="P5258">
        <v>0.35382799999999998</v>
      </c>
      <c r="Q5258">
        <v>2.1389149999999999E-2</v>
      </c>
      <c r="R5258">
        <v>-0.93506599999999995</v>
      </c>
      <c r="S5258">
        <v>1.5178529999999999</v>
      </c>
      <c r="T5258">
        <v>-0.46429320000000002</v>
      </c>
      <c r="U5258">
        <v>-2.6493229999999999</v>
      </c>
      <c r="V5258">
        <v>-0.18294440000000001</v>
      </c>
      <c r="W5258">
        <v>3.106745E-2</v>
      </c>
      <c r="X5258">
        <v>0.98263230000000001</v>
      </c>
      <c r="Y5258">
        <v>-0.32963969999999998</v>
      </c>
      <c r="Z5258">
        <v>0.15252929999999901</v>
      </c>
      <c r="AA5258">
        <v>0.93170399999999998</v>
      </c>
      <c r="AB5258">
        <v>34</v>
      </c>
      <c r="AC5258">
        <v>3.5543000000000098</v>
      </c>
      <c r="AD5258">
        <v>-1.11490978389</v>
      </c>
      <c r="AE5258">
        <v>-5.8829899999999897</v>
      </c>
      <c r="AF5258">
        <v>-2.3926267046296399</v>
      </c>
      <c r="AG5258">
        <v>-1.11490978389</v>
      </c>
      <c r="AH5258">
        <v>6.2551334640281704</v>
      </c>
      <c r="AI5258">
        <v>99.451699141761495</v>
      </c>
      <c r="AJ5258">
        <v>110.932157422941</v>
      </c>
      <c r="AK5258">
        <v>6.7892842794160302</v>
      </c>
      <c r="AL5258">
        <v>88.219679834762204</v>
      </c>
      <c r="AM5258">
        <v>100.546458685118</v>
      </c>
      <c r="AN5258">
        <v>1.00000003847207</v>
      </c>
    </row>
    <row r="5259" spans="1:40" x14ac:dyDescent="0.25">
      <c r="A5259" t="str">
        <f>"20190312151422102"</f>
        <v>20190312151422102</v>
      </c>
      <c r="B5259" t="str">
        <f>"1552374862096224"</f>
        <v>1552374862096224</v>
      </c>
      <c r="C5259" t="s">
        <v>40</v>
      </c>
      <c r="D5259">
        <v>4.7879820000000004</v>
      </c>
      <c r="E5259">
        <v>0.44053690000000001</v>
      </c>
      <c r="F5259" t="s">
        <v>59</v>
      </c>
      <c r="G5259">
        <v>-297.7</v>
      </c>
      <c r="H5259" s="1">
        <v>-4.0541330000000001E-6</v>
      </c>
      <c r="I5259">
        <v>-46.123480000000001</v>
      </c>
      <c r="J5259">
        <v>-301.29000000000002</v>
      </c>
      <c r="K5259">
        <v>1.1149070000000001</v>
      </c>
      <c r="L5259">
        <v>-40.270600000000002</v>
      </c>
      <c r="M5259">
        <v>0.18545490000000001</v>
      </c>
      <c r="N5259">
        <v>0</v>
      </c>
      <c r="O5259">
        <v>-0.98257680000000003</v>
      </c>
      <c r="P5259">
        <v>0.3626491</v>
      </c>
      <c r="Q5259">
        <v>2.0738820000000002E-2</v>
      </c>
      <c r="R5259">
        <v>-0.9316951</v>
      </c>
      <c r="S5259">
        <v>1.532135</v>
      </c>
      <c r="T5259">
        <v>-0.4630358</v>
      </c>
      <c r="U5259">
        <v>-2.6391909999999998</v>
      </c>
      <c r="V5259">
        <v>-0.1839587</v>
      </c>
      <c r="W5259">
        <v>3.040257E-2</v>
      </c>
      <c r="X5259">
        <v>0.98246369999999905</v>
      </c>
      <c r="Y5259">
        <v>-0.32706220000000003</v>
      </c>
      <c r="Z5259">
        <v>0.1521515</v>
      </c>
      <c r="AA5259">
        <v>0.93267370000000005</v>
      </c>
      <c r="AB5259">
        <v>34</v>
      </c>
      <c r="AC5259">
        <v>3.5900000000000301</v>
      </c>
      <c r="AD5259">
        <v>-1.1149110541329901</v>
      </c>
      <c r="AE5259">
        <v>-5.8528799999999901</v>
      </c>
      <c r="AF5259">
        <v>-2.37945017848274</v>
      </c>
      <c r="AG5259">
        <v>-1.1149110541329901</v>
      </c>
      <c r="AH5259">
        <v>6.2523151071142502</v>
      </c>
      <c r="AI5259">
        <v>99.461879195009601</v>
      </c>
      <c r="AJ5259">
        <v>110.835376329875</v>
      </c>
      <c r="AK5259">
        <v>6.7820538193941404</v>
      </c>
      <c r="AL5259">
        <v>88.257792626615498</v>
      </c>
      <c r="AM5259">
        <v>100.60538740381099</v>
      </c>
      <c r="AN5259">
        <v>1.00000002069299</v>
      </c>
    </row>
    <row r="5260" spans="1:40" x14ac:dyDescent="0.25">
      <c r="A5260" t="str">
        <f>"20190312151422137"</f>
        <v>20190312151422137</v>
      </c>
      <c r="B5260" t="str">
        <f>"1552374862125497"</f>
        <v>1552374862125497</v>
      </c>
      <c r="C5260" t="s">
        <v>40</v>
      </c>
      <c r="D5260">
        <v>4.8497969999999997</v>
      </c>
      <c r="E5260">
        <v>0.44122749999999999</v>
      </c>
      <c r="F5260" t="s">
        <v>59</v>
      </c>
      <c r="G5260">
        <v>-297.59230000000002</v>
      </c>
      <c r="H5260" s="1">
        <v>-4.2843050000000001E-6</v>
      </c>
      <c r="I5260">
        <v>-46.528359999999999</v>
      </c>
      <c r="J5260">
        <v>-301.18430000000001</v>
      </c>
      <c r="K5260">
        <v>1.1148940000000001</v>
      </c>
      <c r="L5260">
        <v>-40.782069999999997</v>
      </c>
      <c r="M5260">
        <v>0.19388230000000001</v>
      </c>
      <c r="N5260">
        <v>0</v>
      </c>
      <c r="O5260">
        <v>-0.98094879999999995</v>
      </c>
      <c r="P5260">
        <v>0.37211719999999998</v>
      </c>
      <c r="Q5260">
        <v>2.1086230000000001E-2</v>
      </c>
      <c r="R5260">
        <v>-0.92794639999999995</v>
      </c>
      <c r="S5260">
        <v>1.551849</v>
      </c>
      <c r="T5260">
        <v>-0.46791529999999998</v>
      </c>
      <c r="U5260">
        <v>-2.626312</v>
      </c>
      <c r="V5260">
        <v>-0.18553539999999999</v>
      </c>
      <c r="W5260">
        <v>3.0727620000000001E-2</v>
      </c>
      <c r="X5260">
        <v>0.98215710000000001</v>
      </c>
      <c r="Y5260">
        <v>-0.32602490000000001</v>
      </c>
      <c r="Z5260">
        <v>0.1537319</v>
      </c>
      <c r="AA5260">
        <v>0.93277770000000004</v>
      </c>
      <c r="AB5260">
        <v>34</v>
      </c>
      <c r="AC5260">
        <v>3.5919999999999801</v>
      </c>
      <c r="AD5260">
        <v>-1.1148982843049999</v>
      </c>
      <c r="AE5260">
        <v>-5.7462899999999903</v>
      </c>
      <c r="AF5260">
        <v>-2.3461398841154399</v>
      </c>
      <c r="AG5260">
        <v>-1.1148982843049999</v>
      </c>
      <c r="AH5260">
        <v>6.16679454306772</v>
      </c>
      <c r="AI5260">
        <v>99.590954156251399</v>
      </c>
      <c r="AJ5260">
        <v>110.82917865718299</v>
      </c>
      <c r="AK5260">
        <v>6.69154133788272</v>
      </c>
      <c r="AL5260">
        <v>88.239160015357896</v>
      </c>
      <c r="AM5260">
        <v>100.697459091463</v>
      </c>
      <c r="AN5260">
        <v>1.00000007018221</v>
      </c>
    </row>
    <row r="5261" spans="1:40" x14ac:dyDescent="0.25">
      <c r="A5261" t="str">
        <f>"20190312151422168"</f>
        <v>20190312151422168</v>
      </c>
      <c r="B5261" t="str">
        <f>"1552374862166065"</f>
        <v>1552374862166065</v>
      </c>
      <c r="C5261" t="s">
        <v>40</v>
      </c>
      <c r="D5261">
        <v>4.8197489999999998</v>
      </c>
      <c r="E5261">
        <v>0.44200980000000001</v>
      </c>
      <c r="F5261" t="s">
        <v>59</v>
      </c>
      <c r="G5261">
        <v>-297.43549999999999</v>
      </c>
      <c r="H5261" s="1">
        <v>-4.5650450000000001E-6</v>
      </c>
      <c r="I5261">
        <v>-47.011069999999997</v>
      </c>
      <c r="J5261">
        <v>-301.07850000000002</v>
      </c>
      <c r="K5261">
        <v>1.1148940000000001</v>
      </c>
      <c r="L5261">
        <v>-41.273960000000002</v>
      </c>
      <c r="M5261">
        <v>0.20198659999999999</v>
      </c>
      <c r="N5261">
        <v>0</v>
      </c>
      <c r="O5261">
        <v>-0.97931219999999997</v>
      </c>
      <c r="P5261">
        <v>0.38183279999999997</v>
      </c>
      <c r="Q5261">
        <v>2.1123050000000001E-2</v>
      </c>
      <c r="R5261">
        <v>-0.92399039999999999</v>
      </c>
      <c r="S5261">
        <v>1.5725709999999999</v>
      </c>
      <c r="T5261">
        <v>-0.46768389999999999</v>
      </c>
      <c r="U5261">
        <v>-2.6129760000000002</v>
      </c>
      <c r="V5261">
        <v>-0.18771969999999999</v>
      </c>
      <c r="W5261">
        <v>3.0732389999999998E-2</v>
      </c>
      <c r="X5261">
        <v>0.98174170000000005</v>
      </c>
      <c r="Y5261">
        <v>-0.32575589999999999</v>
      </c>
      <c r="Z5261">
        <v>0.1536566</v>
      </c>
      <c r="AA5261">
        <v>0.93288409999999999</v>
      </c>
      <c r="AB5261">
        <v>35</v>
      </c>
      <c r="AC5261">
        <v>3.6430000000000202</v>
      </c>
      <c r="AD5261">
        <v>-1.1148985650450001</v>
      </c>
      <c r="AE5261">
        <v>-5.7371100000000004</v>
      </c>
      <c r="AF5261">
        <v>-2.3458604607436699</v>
      </c>
      <c r="AG5261">
        <v>-1.1148985650450001</v>
      </c>
      <c r="AH5261">
        <v>6.18819001573529</v>
      </c>
      <c r="AI5261">
        <v>99.562646443529601</v>
      </c>
      <c r="AJ5261">
        <v>110.761051097611</v>
      </c>
      <c r="AK5261">
        <v>6.7111664993848796</v>
      </c>
      <c r="AL5261">
        <v>88.238886401030797</v>
      </c>
      <c r="AM5261">
        <v>100.82491352898001</v>
      </c>
      <c r="AN5261">
        <v>0.99999996554104498</v>
      </c>
    </row>
    <row r="5262" spans="1:40" x14ac:dyDescent="0.25">
      <c r="A5262" t="str">
        <f>"20190312151422203"</f>
        <v>20190312151422203</v>
      </c>
      <c r="B5262" t="str">
        <f>"1552374862196322"</f>
        <v>1552374862196322</v>
      </c>
      <c r="C5262" t="s">
        <v>40</v>
      </c>
      <c r="D5262">
        <v>4.9279820000000001</v>
      </c>
      <c r="E5262">
        <v>0.44274059999999998</v>
      </c>
      <c r="F5262" t="s">
        <v>59</v>
      </c>
      <c r="G5262">
        <v>-297.32249999999999</v>
      </c>
      <c r="H5262" s="1">
        <v>-4.7891359999999997E-6</v>
      </c>
      <c r="I5262">
        <v>-47.401690000000002</v>
      </c>
      <c r="J5262">
        <v>-300.964</v>
      </c>
      <c r="K5262">
        <v>1.1148849999999999</v>
      </c>
      <c r="L5262">
        <v>-41.784880000000001</v>
      </c>
      <c r="M5262">
        <v>0.2104057</v>
      </c>
      <c r="N5262">
        <v>0</v>
      </c>
      <c r="O5262">
        <v>-0.97753789999999996</v>
      </c>
      <c r="P5262">
        <v>0.39178089999999999</v>
      </c>
      <c r="Q5262">
        <v>2.0138030000000001E-2</v>
      </c>
      <c r="R5262">
        <v>-0.91983820000000005</v>
      </c>
      <c r="S5262">
        <v>1.5932010000000001</v>
      </c>
      <c r="T5262">
        <v>-0.47290870000000002</v>
      </c>
      <c r="U5262">
        <v>-2.5992130000000002</v>
      </c>
      <c r="V5262">
        <v>-0.18984899999999999</v>
      </c>
      <c r="W5262">
        <v>2.971528E-2</v>
      </c>
      <c r="X5262">
        <v>0.98136350000000006</v>
      </c>
      <c r="Y5262">
        <v>-0.3250731</v>
      </c>
      <c r="Z5262">
        <v>0.15532409999999999</v>
      </c>
      <c r="AA5262">
        <v>0.93284610000000001</v>
      </c>
      <c r="AB5262">
        <v>35</v>
      </c>
      <c r="AC5262">
        <v>3.6415000000000002</v>
      </c>
      <c r="AD5262">
        <v>-1.1148897891359999</v>
      </c>
      <c r="AE5262">
        <v>-5.6168100000000001</v>
      </c>
      <c r="AF5262">
        <v>-2.3138867585866798</v>
      </c>
      <c r="AG5262">
        <v>-1.1148897891359999</v>
      </c>
      <c r="AH5262">
        <v>6.0884142190247399</v>
      </c>
      <c r="AI5262">
        <v>99.713280550214094</v>
      </c>
      <c r="AJ5262">
        <v>110.809170400703</v>
      </c>
      <c r="AK5262">
        <v>6.6080132321224303</v>
      </c>
      <c r="AL5262">
        <v>88.297189175607301</v>
      </c>
      <c r="AM5262">
        <v>100.948867033718</v>
      </c>
      <c r="AN5262">
        <v>0.99999997989936396</v>
      </c>
    </row>
    <row r="5263" spans="1:40" x14ac:dyDescent="0.25">
      <c r="A5263" t="str">
        <f>"20190312151422238"</f>
        <v>20190312151422238</v>
      </c>
      <c r="B5263" t="str">
        <f>"1552374862225600"</f>
        <v>1552374862225600</v>
      </c>
      <c r="C5263" t="s">
        <v>40</v>
      </c>
      <c r="D5263">
        <v>4.8514140000000001</v>
      </c>
      <c r="E5263">
        <v>0.4436657</v>
      </c>
      <c r="F5263" t="s">
        <v>59</v>
      </c>
      <c r="G5263">
        <v>-297.18979999999999</v>
      </c>
      <c r="H5263" s="1">
        <v>-5.0317219999999998E-6</v>
      </c>
      <c r="I5263">
        <v>-47.820030000000003</v>
      </c>
      <c r="J5263">
        <v>-300.84379999999999</v>
      </c>
      <c r="K5263">
        <v>1.114887</v>
      </c>
      <c r="L5263">
        <v>-42.300109999999997</v>
      </c>
      <c r="M5263">
        <v>0.21889710000000001</v>
      </c>
      <c r="N5263">
        <v>0</v>
      </c>
      <c r="O5263">
        <v>-0.97567170000000003</v>
      </c>
      <c r="P5263">
        <v>0.40324110000000002</v>
      </c>
      <c r="Q5263">
        <v>2.0657780000000001E-2</v>
      </c>
      <c r="R5263">
        <v>-0.91486080000000003</v>
      </c>
      <c r="S5263">
        <v>1.6157840000000001</v>
      </c>
      <c r="T5263">
        <v>-0.47729559999999999</v>
      </c>
      <c r="U5263">
        <v>-2.58371</v>
      </c>
      <c r="V5263">
        <v>-0.1935848</v>
      </c>
      <c r="W5263">
        <v>3.0179040000000001E-2</v>
      </c>
      <c r="X5263">
        <v>0.98061929999999997</v>
      </c>
      <c r="Y5263">
        <v>-0.3251154</v>
      </c>
      <c r="Z5263">
        <v>0.1567336</v>
      </c>
      <c r="AA5263">
        <v>0.93259559999999997</v>
      </c>
      <c r="AB5263">
        <v>35</v>
      </c>
      <c r="AC5263">
        <v>3.6539999999999901</v>
      </c>
      <c r="AD5263">
        <v>-1.1148920317219999</v>
      </c>
      <c r="AE5263">
        <v>-5.5199199999999902</v>
      </c>
      <c r="AF5263">
        <v>-2.2919736989644801</v>
      </c>
      <c r="AG5263">
        <v>-1.1148920317219999</v>
      </c>
      <c r="AH5263">
        <v>6.0153162100390798</v>
      </c>
      <c r="AI5263">
        <v>99.825922394287005</v>
      </c>
      <c r="AJ5263">
        <v>110.857990271853</v>
      </c>
      <c r="AK5263">
        <v>6.5330051879591498</v>
      </c>
      <c r="AL5263">
        <v>88.270605848363004</v>
      </c>
      <c r="AM5263">
        <v>101.16721497561799</v>
      </c>
      <c r="AN5263">
        <v>1.0000000303894201</v>
      </c>
    </row>
    <row r="5264" spans="1:40" x14ac:dyDescent="0.25">
      <c r="A5264" t="str">
        <f>"20190312151422270"</f>
        <v>20190312151422270</v>
      </c>
      <c r="B5264" t="str">
        <f>"1552374862265617"</f>
        <v>1552374862265617</v>
      </c>
      <c r="C5264" t="s">
        <v>40</v>
      </c>
      <c r="D5264">
        <v>4.8867250000000002</v>
      </c>
      <c r="E5264">
        <v>0.4445981</v>
      </c>
      <c r="F5264" t="s">
        <v>59</v>
      </c>
      <c r="G5264">
        <v>-296.99099999999999</v>
      </c>
      <c r="H5264" s="1">
        <v>-5.335684E-6</v>
      </c>
      <c r="I5264">
        <v>-48.330100000000002</v>
      </c>
      <c r="J5264">
        <v>-300.72770000000003</v>
      </c>
      <c r="K5264">
        <v>1.1148929999999999</v>
      </c>
      <c r="L5264">
        <v>-42.779969999999999</v>
      </c>
      <c r="M5264">
        <v>0.22680629999999999</v>
      </c>
      <c r="N5264">
        <v>0</v>
      </c>
      <c r="O5264">
        <v>-0.97386349999999999</v>
      </c>
      <c r="P5264">
        <v>0.41376210000000002</v>
      </c>
      <c r="Q5264">
        <v>1.9425330000000001E-2</v>
      </c>
      <c r="R5264">
        <v>-0.9101783</v>
      </c>
      <c r="S5264">
        <v>1.640137</v>
      </c>
      <c r="T5264">
        <v>-0.4746187</v>
      </c>
      <c r="U5264">
        <v>-2.5670169999999999</v>
      </c>
      <c r="V5264">
        <v>-0.196912</v>
      </c>
      <c r="W5264">
        <v>2.8896430000000001E-2</v>
      </c>
      <c r="X5264">
        <v>0.97999530000000001</v>
      </c>
      <c r="Y5264">
        <v>-0.32655640000000002</v>
      </c>
      <c r="Z5264">
        <v>0.15588689999999999</v>
      </c>
      <c r="AA5264">
        <v>0.93223400000000001</v>
      </c>
      <c r="AB5264">
        <v>35</v>
      </c>
      <c r="AC5264">
        <v>3.7367000000000399</v>
      </c>
      <c r="AD5264">
        <v>-1.1148983356839901</v>
      </c>
      <c r="AE5264">
        <v>-5.5501300000000002</v>
      </c>
      <c r="AF5264">
        <v>-2.31609949215472</v>
      </c>
      <c r="AG5264">
        <v>-1.1148983356839901</v>
      </c>
      <c r="AH5264">
        <v>6.08410974714866</v>
      </c>
      <c r="AI5264">
        <v>99.718090720617099</v>
      </c>
      <c r="AJ5264">
        <v>110.84083323388001</v>
      </c>
      <c r="AK5264">
        <v>6.60482449212844</v>
      </c>
      <c r="AL5264">
        <v>88.344126125523601</v>
      </c>
      <c r="AM5264">
        <v>101.361245735987</v>
      </c>
      <c r="AN5264">
        <v>1.0000000637164099</v>
      </c>
    </row>
    <row r="5265" spans="1:40" x14ac:dyDescent="0.25">
      <c r="A5265" t="str">
        <f>"20190312151422303"</f>
        <v>20190312151422303</v>
      </c>
      <c r="B5265" t="str">
        <f>"1552374862295873"</f>
        <v>1552374862295873</v>
      </c>
      <c r="C5265" t="s">
        <v>40</v>
      </c>
      <c r="D5265">
        <v>4.8946480000000001</v>
      </c>
      <c r="E5265">
        <v>0.44534170000000001</v>
      </c>
      <c r="F5265" t="s">
        <v>59</v>
      </c>
      <c r="G5265">
        <v>-296.81479999999999</v>
      </c>
      <c r="H5265" s="1">
        <v>-5.608664E-6</v>
      </c>
      <c r="I5265">
        <v>-48.789149999999999</v>
      </c>
      <c r="J5265">
        <v>-300.6026</v>
      </c>
      <c r="K5265">
        <v>1.1148910000000001</v>
      </c>
      <c r="L5265">
        <v>-43.278750000000002</v>
      </c>
      <c r="M5265">
        <v>0.2350322</v>
      </c>
      <c r="N5265">
        <v>0</v>
      </c>
      <c r="O5265">
        <v>-0.97191079999999996</v>
      </c>
      <c r="P5265">
        <v>0.42406250000000001</v>
      </c>
      <c r="Q5265">
        <v>1.7624109999999998E-2</v>
      </c>
      <c r="R5265">
        <v>-0.90546170000000004</v>
      </c>
      <c r="S5265">
        <v>1.6611020000000001</v>
      </c>
      <c r="T5265">
        <v>-0.47329830000000001</v>
      </c>
      <c r="U5265">
        <v>-2.5510250000000001</v>
      </c>
      <c r="V5265">
        <v>-0.199714</v>
      </c>
      <c r="W5265">
        <v>2.705227E-2</v>
      </c>
      <c r="X5265">
        <v>0.97948069999999998</v>
      </c>
      <c r="Y5265">
        <v>-0.32665630000000001</v>
      </c>
      <c r="Z5265">
        <v>0.15548580000000001</v>
      </c>
      <c r="AA5265">
        <v>0.93226589999999998</v>
      </c>
      <c r="AB5265">
        <v>35</v>
      </c>
      <c r="AC5265">
        <v>3.7877999999999998</v>
      </c>
      <c r="AD5265">
        <v>-1.114896608664</v>
      </c>
      <c r="AE5265">
        <v>-5.51039999999999</v>
      </c>
      <c r="AF5265">
        <v>-2.3219111390479399</v>
      </c>
      <c r="AG5265">
        <v>-1.114896608664</v>
      </c>
      <c r="AH5265">
        <v>6.07738672254861</v>
      </c>
      <c r="AI5265">
        <v>99.724245802980604</v>
      </c>
      <c r="AJ5265">
        <v>110.90973149756201</v>
      </c>
      <c r="AK5265">
        <v>6.6006738414388799</v>
      </c>
      <c r="AL5265">
        <v>88.449829948214003</v>
      </c>
      <c r="AM5265">
        <v>101.524510852948</v>
      </c>
      <c r="AN5265">
        <v>0.99999997439032096</v>
      </c>
    </row>
    <row r="5266" spans="1:40" x14ac:dyDescent="0.25">
      <c r="A5266" t="str">
        <f>"20190312151422337"</f>
        <v>20190312151422337</v>
      </c>
      <c r="B5266" t="str">
        <f>"1552374862326129"</f>
        <v>1552374862326129</v>
      </c>
      <c r="C5266" t="s">
        <v>40</v>
      </c>
      <c r="D5266">
        <v>4.8303919999999998</v>
      </c>
      <c r="E5266">
        <v>0.4449263</v>
      </c>
      <c r="F5266" t="s">
        <v>59</v>
      </c>
      <c r="G5266">
        <v>-296.67219999999998</v>
      </c>
      <c r="H5266" s="1">
        <v>-5.7881170000000004E-6</v>
      </c>
      <c r="I5266">
        <v>-49.19652</v>
      </c>
      <c r="J5266">
        <v>-300.47329999999999</v>
      </c>
      <c r="K5266">
        <v>1.1149260000000001</v>
      </c>
      <c r="L5266">
        <v>-43.775790000000001</v>
      </c>
      <c r="M5266">
        <v>0.24326420000000001</v>
      </c>
      <c r="N5266">
        <v>0</v>
      </c>
      <c r="O5266">
        <v>-0.96988319999999995</v>
      </c>
      <c r="P5266">
        <v>0.43345869999999997</v>
      </c>
      <c r="Q5266">
        <v>1.8867720000000001E-2</v>
      </c>
      <c r="R5266">
        <v>-0.9009762</v>
      </c>
      <c r="S5266">
        <v>1.683136</v>
      </c>
      <c r="T5266">
        <v>-0.47744609999999899</v>
      </c>
      <c r="U5266">
        <v>-2.5342410000000002</v>
      </c>
      <c r="V5266">
        <v>-0.20162140000000001</v>
      </c>
      <c r="W5266">
        <v>2.8260110000000001E-2</v>
      </c>
      <c r="X5266">
        <v>0.97905580000000003</v>
      </c>
      <c r="Y5266">
        <v>-0.32699729999999999</v>
      </c>
      <c r="Z5266">
        <v>0.15682639999999901</v>
      </c>
      <c r="AA5266">
        <v>0.93192180000000002</v>
      </c>
      <c r="AB5266">
        <v>35</v>
      </c>
      <c r="AC5266">
        <v>3.8011000000000199</v>
      </c>
      <c r="AD5266">
        <v>-1.114931788117</v>
      </c>
      <c r="AE5266">
        <v>-5.4207299999999901</v>
      </c>
      <c r="AF5266">
        <v>-2.30282312392898</v>
      </c>
      <c r="AG5266">
        <v>-1.114931788117</v>
      </c>
      <c r="AH5266">
        <v>6.0121070914287396</v>
      </c>
      <c r="AI5266">
        <v>99.824957917219294</v>
      </c>
      <c r="AJ5266">
        <v>110.958386566613</v>
      </c>
      <c r="AK5266">
        <v>6.5338731936779704</v>
      </c>
      <c r="AL5266">
        <v>88.380599434909101</v>
      </c>
      <c r="AM5266">
        <v>101.636502152503</v>
      </c>
      <c r="AN5266">
        <v>1.0000000411344001</v>
      </c>
    </row>
    <row r="5267" spans="1:40" x14ac:dyDescent="0.25">
      <c r="A5267" t="str">
        <f>"20190312151422371"</f>
        <v>20190312151422371</v>
      </c>
      <c r="B5267" t="str">
        <f>"1552374862366145"</f>
        <v>1552374862366145</v>
      </c>
      <c r="C5267" t="s">
        <v>40</v>
      </c>
      <c r="D5267">
        <v>4.845434</v>
      </c>
      <c r="E5267">
        <v>0.42286639999999998</v>
      </c>
      <c r="F5267" t="s">
        <v>59</v>
      </c>
      <c r="G5267">
        <v>-296.44690000000003</v>
      </c>
      <c r="H5267" s="1">
        <v>-6.0092059999999997E-6</v>
      </c>
      <c r="I5267">
        <v>-49.687710000000003</v>
      </c>
      <c r="J5267">
        <v>-300.34019999999998</v>
      </c>
      <c r="K5267">
        <v>1.114986</v>
      </c>
      <c r="L5267">
        <v>-44.270479999999999</v>
      </c>
      <c r="M5267">
        <v>0.25154559999999998</v>
      </c>
      <c r="N5267">
        <v>0</v>
      </c>
      <c r="O5267">
        <v>-0.96776839999999997</v>
      </c>
      <c r="P5267">
        <v>0.44418530000000001</v>
      </c>
      <c r="Q5267">
        <v>2.028634E-2</v>
      </c>
      <c r="R5267">
        <v>-0.89570569999999905</v>
      </c>
      <c r="S5267">
        <v>1.713165</v>
      </c>
      <c r="T5267">
        <v>-0.47438849999999999</v>
      </c>
      <c r="U5267">
        <v>-2.5154420000000002</v>
      </c>
      <c r="V5267">
        <v>-0.20497119999999999</v>
      </c>
      <c r="W5267">
        <v>2.9608039999999999E-2</v>
      </c>
      <c r="X5267">
        <v>0.97832010000000003</v>
      </c>
      <c r="Y5267">
        <v>-0.32987169999999999</v>
      </c>
      <c r="Z5267">
        <v>0.15574199999999999</v>
      </c>
      <c r="AA5267">
        <v>0.93109030000000004</v>
      </c>
      <c r="AB5267">
        <v>35</v>
      </c>
      <c r="AC5267">
        <v>3.8932999999999498</v>
      </c>
      <c r="AD5267">
        <v>-1.1149920092059999</v>
      </c>
      <c r="AE5267">
        <v>-5.4172299999999902</v>
      </c>
      <c r="AF5267">
        <v>-2.3399461867021998</v>
      </c>
      <c r="AG5267">
        <v>-1.1149920092059999</v>
      </c>
      <c r="AH5267">
        <v>6.0533329177243704</v>
      </c>
      <c r="AI5267">
        <v>99.7485539066043</v>
      </c>
      <c r="AJ5267">
        <v>111.13425939467599</v>
      </c>
      <c r="AK5267">
        <v>6.5849369587005802</v>
      </c>
      <c r="AL5267">
        <v>88.303336353812796</v>
      </c>
      <c r="AM5267">
        <v>101.833075623569</v>
      </c>
      <c r="AN5267">
        <v>1.00000002346304</v>
      </c>
    </row>
    <row r="5268" spans="1:40" x14ac:dyDescent="0.25">
      <c r="A5268" t="str">
        <f>"20190312151422404"</f>
        <v>20190312151422404</v>
      </c>
      <c r="B5268" t="str">
        <f>"1552374862395426"</f>
        <v>1552374862395426</v>
      </c>
      <c r="C5268" t="s">
        <v>40</v>
      </c>
      <c r="D5268">
        <v>4.7612920000000001</v>
      </c>
      <c r="E5268">
        <v>0.42437619999999998</v>
      </c>
      <c r="F5268" t="s">
        <v>59</v>
      </c>
      <c r="G5268">
        <v>-295.86259999999999</v>
      </c>
      <c r="H5268" s="1">
        <v>-6.2048189999999998E-6</v>
      </c>
      <c r="I5268">
        <v>-49.963450000000002</v>
      </c>
      <c r="J5268">
        <v>-300.20159999999998</v>
      </c>
      <c r="K5268">
        <v>1.1150799999999901</v>
      </c>
      <c r="L5268">
        <v>-44.767879999999998</v>
      </c>
      <c r="M5268">
        <v>0.26002540000000002</v>
      </c>
      <c r="N5268">
        <v>0</v>
      </c>
      <c r="O5268">
        <v>-0.96552439999999995</v>
      </c>
      <c r="P5268">
        <v>0.45383240000000002</v>
      </c>
      <c r="Q5268">
        <v>1.969862E-2</v>
      </c>
      <c r="R5268">
        <v>-0.89086929999999998</v>
      </c>
      <c r="S5268">
        <v>1.901184</v>
      </c>
      <c r="T5268">
        <v>-0.47342590000000001</v>
      </c>
      <c r="U5268">
        <v>-2.4172359999999999</v>
      </c>
      <c r="V5268">
        <v>-0.20694940000000001</v>
      </c>
      <c r="W5268">
        <v>2.8954580000000001E-2</v>
      </c>
      <c r="X5268">
        <v>0.97792310000000005</v>
      </c>
      <c r="Y5268">
        <v>-0.3849263</v>
      </c>
      <c r="Z5268">
        <v>0.15495829999999999</v>
      </c>
      <c r="AA5268">
        <v>0.90984589999999999</v>
      </c>
      <c r="AB5268">
        <v>35</v>
      </c>
      <c r="AC5268">
        <v>4.3389999999999898</v>
      </c>
      <c r="AD5268">
        <v>-1.11508620481899</v>
      </c>
      <c r="AE5268">
        <v>-5.19557</v>
      </c>
      <c r="AF5268">
        <v>-2.76364664177735</v>
      </c>
      <c r="AG5268">
        <v>-1.11508620481899</v>
      </c>
      <c r="AH5268">
        <v>5.9828066199143501</v>
      </c>
      <c r="AI5268">
        <v>99.603589692342396</v>
      </c>
      <c r="AJ5268">
        <v>114.793701068997</v>
      </c>
      <c r="AK5268">
        <v>6.68394606920761</v>
      </c>
      <c r="AL5268">
        <v>88.340792885162301</v>
      </c>
      <c r="AM5268">
        <v>101.948722484722</v>
      </c>
      <c r="AN5268">
        <v>1.0000000056884699</v>
      </c>
    </row>
    <row r="5269" spans="1:40" x14ac:dyDescent="0.25">
      <c r="A5269" t="str">
        <f>"20190312151422438"</f>
        <v>20190312151422438</v>
      </c>
      <c r="B5269" t="str">
        <f>"1552374862425681"</f>
        <v>1552374862425681</v>
      </c>
      <c r="C5269" t="s">
        <v>40</v>
      </c>
      <c r="D5269">
        <v>4.7357089999999999</v>
      </c>
      <c r="E5269">
        <v>0.42548619999999998</v>
      </c>
      <c r="F5269" t="s">
        <v>59</v>
      </c>
      <c r="G5269">
        <v>-295.55220000000003</v>
      </c>
      <c r="H5269" s="1">
        <v>-8.8100580000000007E-6</v>
      </c>
      <c r="I5269">
        <v>-50.590510000000002</v>
      </c>
      <c r="J5269">
        <v>-300.05860000000001</v>
      </c>
      <c r="K5269">
        <v>1.1152089999999999</v>
      </c>
      <c r="L5269">
        <v>-45.262819999999998</v>
      </c>
      <c r="M5269">
        <v>0.26872380000000001</v>
      </c>
      <c r="N5269">
        <v>0</v>
      </c>
      <c r="O5269">
        <v>-0.96313939999999998</v>
      </c>
      <c r="P5269">
        <v>0.46462179999999997</v>
      </c>
      <c r="Q5269">
        <v>2.0249880000000001E-2</v>
      </c>
      <c r="R5269">
        <v>-0.8852778</v>
      </c>
      <c r="S5269">
        <v>1.917206</v>
      </c>
      <c r="T5269">
        <v>-0.45980890000000002</v>
      </c>
      <c r="U5269">
        <v>-2.40097</v>
      </c>
      <c r="V5269">
        <v>-0.2100293</v>
      </c>
      <c r="W5269">
        <v>2.9409279999999999E-2</v>
      </c>
      <c r="X5269">
        <v>0.97725269999999997</v>
      </c>
      <c r="Y5269">
        <v>-0.38374989999999998</v>
      </c>
      <c r="Z5269">
        <v>0.15061169999999999</v>
      </c>
      <c r="AA5269">
        <v>0.91107199999999999</v>
      </c>
      <c r="AB5269">
        <v>35</v>
      </c>
      <c r="AC5269">
        <v>4.5063999999999798</v>
      </c>
      <c r="AD5269">
        <v>-1.1152178100579999</v>
      </c>
      <c r="AE5269">
        <v>-5.3276899999999898</v>
      </c>
      <c r="AF5269">
        <v>-2.83638429164135</v>
      </c>
      <c r="AG5269">
        <v>-1.1152178100579999</v>
      </c>
      <c r="AH5269">
        <v>6.1847862886318303</v>
      </c>
      <c r="AI5269">
        <v>99.308144081772497</v>
      </c>
      <c r="AJ5269">
        <v>114.636506070377</v>
      </c>
      <c r="AK5269">
        <v>6.8949523602261902</v>
      </c>
      <c r="AL5269">
        <v>88.314729428602007</v>
      </c>
      <c r="AM5269">
        <v>102.129395263052</v>
      </c>
      <c r="AN5269">
        <v>1.00000002613294</v>
      </c>
    </row>
    <row r="5270" spans="1:40" x14ac:dyDescent="0.25">
      <c r="A5270" t="str">
        <f>"20190312151422471"</f>
        <v>20190312151422471</v>
      </c>
      <c r="B5270" t="str">
        <f>"1552374862466205"</f>
        <v>1552374862466205</v>
      </c>
      <c r="C5270" t="s">
        <v>40</v>
      </c>
      <c r="D5270">
        <v>4.7257600000000002</v>
      </c>
      <c r="E5270">
        <v>0.42626629999999899</v>
      </c>
      <c r="F5270" t="s">
        <v>59</v>
      </c>
      <c r="G5270">
        <v>-295.46260000000001</v>
      </c>
      <c r="H5270" s="1">
        <v>-8.8056579999999995E-6</v>
      </c>
      <c r="I5270">
        <v>-50.909140000000001</v>
      </c>
      <c r="J5270">
        <v>-299.91160000000002</v>
      </c>
      <c r="K5270">
        <v>1.115391</v>
      </c>
      <c r="L5270">
        <v>-45.754519999999999</v>
      </c>
      <c r="M5270">
        <v>0.27769559999999999</v>
      </c>
      <c r="N5270">
        <v>0</v>
      </c>
      <c r="O5270">
        <v>-0.96059070000000002</v>
      </c>
      <c r="P5270">
        <v>0.4756995</v>
      </c>
      <c r="Q5270">
        <v>2.0178829999999998E-2</v>
      </c>
      <c r="R5270">
        <v>-0.87937649999999901</v>
      </c>
      <c r="S5270">
        <v>1.9388430000000001</v>
      </c>
      <c r="T5270">
        <v>-0.47045959999999998</v>
      </c>
      <c r="U5270">
        <v>-2.3819270000000001</v>
      </c>
      <c r="V5270">
        <v>-0.2131943</v>
      </c>
      <c r="W5270">
        <v>2.9223880000000001E-2</v>
      </c>
      <c r="X5270">
        <v>0.97657260000000001</v>
      </c>
      <c r="Y5270">
        <v>-0.38335609999999998</v>
      </c>
      <c r="Z5270">
        <v>0.1539702</v>
      </c>
      <c r="AA5270">
        <v>0.91067629999999999</v>
      </c>
      <c r="AB5270">
        <v>35</v>
      </c>
      <c r="AC5270">
        <v>4.4490000000000096</v>
      </c>
      <c r="AD5270">
        <v>-1.1153998056579999</v>
      </c>
      <c r="AE5270">
        <v>-5.1546200000000004</v>
      </c>
      <c r="AF5270">
        <v>-2.76818578485803</v>
      </c>
      <c r="AG5270">
        <v>-1.1153998056579999</v>
      </c>
      <c r="AH5270">
        <v>6.0257206025349097</v>
      </c>
      <c r="AI5270">
        <v>99.548118095882103</v>
      </c>
      <c r="AJ5270">
        <v>114.673812567496</v>
      </c>
      <c r="AK5270">
        <v>6.7243050232544999</v>
      </c>
      <c r="AL5270">
        <v>88.325356495919394</v>
      </c>
      <c r="AM5270">
        <v>102.314955379208</v>
      </c>
      <c r="AN5270">
        <v>0.99999994389275004</v>
      </c>
    </row>
    <row r="5271" spans="1:40" x14ac:dyDescent="0.25">
      <c r="A5271" t="str">
        <f>"20190312151422504"</f>
        <v>20190312151422504</v>
      </c>
      <c r="B5271" t="str">
        <f>"1552374862495485"</f>
        <v>1552374862495485</v>
      </c>
      <c r="C5271" t="s">
        <v>40</v>
      </c>
      <c r="D5271">
        <v>4.7262449999999996</v>
      </c>
      <c r="E5271">
        <v>0.42707149999999999</v>
      </c>
      <c r="F5271" t="s">
        <v>59</v>
      </c>
      <c r="G5271">
        <v>-295.16919999999999</v>
      </c>
      <c r="H5271" s="1">
        <v>-8.8470050000000005E-6</v>
      </c>
      <c r="I5271">
        <v>-51.457160000000002</v>
      </c>
      <c r="J5271">
        <v>-299.76130000000001</v>
      </c>
      <c r="K5271">
        <v>1.1155839999999999</v>
      </c>
      <c r="L5271">
        <v>-46.239469999999997</v>
      </c>
      <c r="M5271">
        <v>0.28689320000000001</v>
      </c>
      <c r="N5271">
        <v>0</v>
      </c>
      <c r="O5271">
        <v>-0.9578837</v>
      </c>
      <c r="P5271">
        <v>0.4866895</v>
      </c>
      <c r="Q5271">
        <v>1.9315100000000002E-2</v>
      </c>
      <c r="R5271">
        <v>-0.87336170000000002</v>
      </c>
      <c r="S5271">
        <v>1.9628300000000001</v>
      </c>
      <c r="T5271">
        <v>-0.4616575</v>
      </c>
      <c r="U5271">
        <v>-2.3602910000000001</v>
      </c>
      <c r="V5271">
        <v>-0.21607319999999999</v>
      </c>
      <c r="W5271">
        <v>2.8239609999999998E-2</v>
      </c>
      <c r="X5271">
        <v>0.97596870000000002</v>
      </c>
      <c r="Y5271">
        <v>-0.3843744</v>
      </c>
      <c r="Z5271">
        <v>0.151120899999999</v>
      </c>
      <c r="AA5271">
        <v>0.91072430000000004</v>
      </c>
      <c r="AB5271">
        <v>35</v>
      </c>
      <c r="AC5271">
        <v>4.5921000000000101</v>
      </c>
      <c r="AD5271">
        <v>-1.1155928470049901</v>
      </c>
      <c r="AE5271">
        <v>-5.2176899999999904</v>
      </c>
      <c r="AF5271">
        <v>-2.8291169049441498</v>
      </c>
      <c r="AG5271">
        <v>-1.1155928470049901</v>
      </c>
      <c r="AH5271">
        <v>6.1572441292980198</v>
      </c>
      <c r="AI5271">
        <v>99.349101782188598</v>
      </c>
      <c r="AJ5271">
        <v>114.677730205176</v>
      </c>
      <c r="AK5271">
        <v>6.8673215397201597</v>
      </c>
      <c r="AL5271">
        <v>88.381774406153198</v>
      </c>
      <c r="AM5271">
        <v>102.483556071065</v>
      </c>
      <c r="AN5271">
        <v>1.0000000033554399</v>
      </c>
    </row>
    <row r="5272" spans="1:40" x14ac:dyDescent="0.25">
      <c r="A5272" t="str">
        <f>"20190312151422538"</f>
        <v>20190312151422538</v>
      </c>
      <c r="B5272" t="str">
        <f>"1552374862535501"</f>
        <v>1552374862535501</v>
      </c>
      <c r="C5272" t="s">
        <v>40</v>
      </c>
      <c r="D5272">
        <v>4.7461099999999998</v>
      </c>
      <c r="E5272">
        <v>0.4282455</v>
      </c>
      <c r="F5272" t="s">
        <v>59</v>
      </c>
      <c r="G5272">
        <v>-294.93150000000003</v>
      </c>
      <c r="H5272" s="1">
        <v>-8.8776380000000001E-6</v>
      </c>
      <c r="I5272">
        <v>-51.926540000000003</v>
      </c>
      <c r="J5272">
        <v>-299.60390000000001</v>
      </c>
      <c r="K5272">
        <v>1.1158060000000001</v>
      </c>
      <c r="L5272">
        <v>-46.72833</v>
      </c>
      <c r="M5272">
        <v>0.29659010000000002</v>
      </c>
      <c r="N5272">
        <v>0</v>
      </c>
      <c r="O5272">
        <v>-0.95492520000000003</v>
      </c>
      <c r="P5272">
        <v>0.49750610000000001</v>
      </c>
      <c r="Q5272">
        <v>1.9461829999999999E-2</v>
      </c>
      <c r="R5272">
        <v>-0.86724230000000002</v>
      </c>
      <c r="S5272">
        <v>1.985962</v>
      </c>
      <c r="T5272">
        <v>-0.4587215</v>
      </c>
      <c r="U5272">
        <v>-2.33847</v>
      </c>
      <c r="V5272">
        <v>-0.2183263</v>
      </c>
      <c r="W5272">
        <v>2.8264870000000001E-2</v>
      </c>
      <c r="X5272">
        <v>0.97546639999999996</v>
      </c>
      <c r="Y5272">
        <v>-0.38455080000000003</v>
      </c>
      <c r="Z5272">
        <v>0.15012700000000001</v>
      </c>
      <c r="AA5272">
        <v>0.91081420000000002</v>
      </c>
      <c r="AB5272">
        <v>35</v>
      </c>
      <c r="AC5272">
        <v>4.6723999999999801</v>
      </c>
      <c r="AD5272">
        <v>-1.1158148776379999</v>
      </c>
      <c r="AE5272">
        <v>-5.1982100000000004</v>
      </c>
      <c r="AF5272">
        <v>-2.8477015719295502</v>
      </c>
      <c r="AG5272">
        <v>-1.1158148776379999</v>
      </c>
      <c r="AH5272">
        <v>6.1923562945105202</v>
      </c>
      <c r="AI5272">
        <v>99.297463841501894</v>
      </c>
      <c r="AJ5272">
        <v>114.696455547597</v>
      </c>
      <c r="AK5272">
        <v>6.9064986470781502</v>
      </c>
      <c r="AL5272">
        <v>88.380326510056094</v>
      </c>
      <c r="AM5272">
        <v>102.61587116306499</v>
      </c>
      <c r="AN5272">
        <v>0.99999998683838298</v>
      </c>
    </row>
    <row r="5273" spans="1:40" x14ac:dyDescent="0.25">
      <c r="A5273" t="str">
        <f>"20190312151422572"</f>
        <v>20190312151422572</v>
      </c>
      <c r="B5273" t="str">
        <f>"1552374862566210"</f>
        <v>1552374862566210</v>
      </c>
      <c r="C5273" t="s">
        <v>40</v>
      </c>
      <c r="D5273">
        <v>4.6763180000000002</v>
      </c>
      <c r="E5273">
        <v>0.42904910000000002</v>
      </c>
      <c r="F5273" t="s">
        <v>59</v>
      </c>
      <c r="G5273">
        <v>-294.7627</v>
      </c>
      <c r="H5273" s="1">
        <v>-8.8925029999999999E-6</v>
      </c>
      <c r="I5273">
        <v>-52.321370000000002</v>
      </c>
      <c r="J5273">
        <v>-299.4409</v>
      </c>
      <c r="K5273">
        <v>1.116052</v>
      </c>
      <c r="L5273">
        <v>-47.216740000000001</v>
      </c>
      <c r="M5273">
        <v>0.30669639999999998</v>
      </c>
      <c r="N5273">
        <v>0</v>
      </c>
      <c r="O5273">
        <v>-0.95172699999999999</v>
      </c>
      <c r="P5273">
        <v>0.50812829999999998</v>
      </c>
      <c r="Q5273">
        <v>2.0311280000000001E-2</v>
      </c>
      <c r="R5273">
        <v>-0.86104210000000003</v>
      </c>
      <c r="S5273">
        <v>2.0067750000000002</v>
      </c>
      <c r="T5273">
        <v>-0.4625262</v>
      </c>
      <c r="U5273">
        <v>-2.3184200000000001</v>
      </c>
      <c r="V5273">
        <v>-0.22001119999999999</v>
      </c>
      <c r="W5273">
        <v>2.8993189999999999E-2</v>
      </c>
      <c r="X5273">
        <v>0.9750664</v>
      </c>
      <c r="Y5273">
        <v>-0.38323180000000001</v>
      </c>
      <c r="Z5273">
        <v>0.15122529999999901</v>
      </c>
      <c r="AA5273">
        <v>0.91118840000000001</v>
      </c>
      <c r="AB5273">
        <v>35</v>
      </c>
      <c r="AC5273">
        <v>4.6782000000000004</v>
      </c>
      <c r="AD5273">
        <v>-1.116060892503</v>
      </c>
      <c r="AE5273">
        <v>-5.1046300000000002</v>
      </c>
      <c r="AF5273">
        <v>-2.8139108943344402</v>
      </c>
      <c r="AG5273">
        <v>-1.116060892503</v>
      </c>
      <c r="AH5273">
        <v>6.1341137519548301</v>
      </c>
      <c r="AI5273">
        <v>99.390205871474507</v>
      </c>
      <c r="AJ5273">
        <v>114.64241242362</v>
      </c>
      <c r="AK5273">
        <v>6.8403975000689901</v>
      </c>
      <c r="AL5273">
        <v>88.338579771162998</v>
      </c>
      <c r="AM5273">
        <v>102.71512549006199</v>
      </c>
      <c r="AN5273">
        <v>1.00000000880038</v>
      </c>
    </row>
    <row r="5274" spans="1:40" x14ac:dyDescent="0.25">
      <c r="A5274" t="str">
        <f>"20190312151422605"</f>
        <v>20190312151422605</v>
      </c>
      <c r="B5274" t="str">
        <f>"1552374862595490"</f>
        <v>1552374862595490</v>
      </c>
      <c r="C5274" t="s">
        <v>40</v>
      </c>
      <c r="D5274">
        <v>4.7231550000000002</v>
      </c>
      <c r="E5274">
        <v>0.42976389999999998</v>
      </c>
      <c r="F5274" t="s">
        <v>59</v>
      </c>
      <c r="G5274">
        <v>-294.46510000000001</v>
      </c>
      <c r="H5274" s="1">
        <v>-8.9374000000000002E-6</v>
      </c>
      <c r="I5274">
        <v>-52.850720000000003</v>
      </c>
      <c r="J5274">
        <v>-299.27179999999998</v>
      </c>
      <c r="K5274">
        <v>1.116287</v>
      </c>
      <c r="L5274">
        <v>-47.705570000000002</v>
      </c>
      <c r="M5274">
        <v>0.31720359999999997</v>
      </c>
      <c r="N5274">
        <v>0</v>
      </c>
      <c r="O5274">
        <v>-0.94827620000000001</v>
      </c>
      <c r="P5274">
        <v>0.51884529999999995</v>
      </c>
      <c r="Q5274">
        <v>2.0454090000000001E-2</v>
      </c>
      <c r="R5274">
        <v>-0.85462369999999899</v>
      </c>
      <c r="S5274">
        <v>2.0290530000000002</v>
      </c>
      <c r="T5274">
        <v>-0.45511289999999999</v>
      </c>
      <c r="U5274">
        <v>-2.2974549999999998</v>
      </c>
      <c r="V5274">
        <v>-0.2214284</v>
      </c>
      <c r="W5274">
        <v>2.9017009999999999E-2</v>
      </c>
      <c r="X5274">
        <v>0.97474479999999997</v>
      </c>
      <c r="Y5274">
        <v>-0.38237870000000002</v>
      </c>
      <c r="Z5274">
        <v>0.1486884</v>
      </c>
      <c r="AA5274">
        <v>0.911964</v>
      </c>
      <c r="AB5274">
        <v>35</v>
      </c>
      <c r="AC5274">
        <v>4.80669999999997</v>
      </c>
      <c r="AD5274">
        <v>-1.1162959373999899</v>
      </c>
      <c r="AE5274">
        <v>-5.1451499999999903</v>
      </c>
      <c r="AF5274">
        <v>-2.8544968194166001</v>
      </c>
      <c r="AG5274">
        <v>-1.1162959373999899</v>
      </c>
      <c r="AH5274">
        <v>6.2471960545853502</v>
      </c>
      <c r="AI5274">
        <v>99.231290227618601</v>
      </c>
      <c r="AJ5274">
        <v>114.556821250575</v>
      </c>
      <c r="AK5274">
        <v>6.9585722139201804</v>
      </c>
      <c r="AL5274">
        <v>88.337214353637094</v>
      </c>
      <c r="AM5274">
        <v>102.798424578264</v>
      </c>
      <c r="AN5274">
        <v>0.99999997416146902</v>
      </c>
    </row>
    <row r="5275" spans="1:40" x14ac:dyDescent="0.25">
      <c r="A5275" t="str">
        <f>"20190312151422640"</f>
        <v>20190312151422640</v>
      </c>
      <c r="B5275" t="str">
        <f>"1552374862635507"</f>
        <v>1552374862635507</v>
      </c>
      <c r="C5275" t="s">
        <v>40</v>
      </c>
      <c r="D5275">
        <v>4.6570519999999904</v>
      </c>
      <c r="E5275">
        <v>0.43132680000000001</v>
      </c>
      <c r="F5275" t="s">
        <v>59</v>
      </c>
      <c r="G5275">
        <v>-294.23070000000001</v>
      </c>
      <c r="H5275" s="1">
        <v>-8.9701150000000001E-6</v>
      </c>
      <c r="I5275">
        <v>-53.291510000000002</v>
      </c>
      <c r="J5275">
        <v>-299.09109999999998</v>
      </c>
      <c r="K5275">
        <v>1.1165259999999999</v>
      </c>
      <c r="L5275">
        <v>-48.206910000000001</v>
      </c>
      <c r="M5275">
        <v>0.3284261</v>
      </c>
      <c r="N5275">
        <v>0</v>
      </c>
      <c r="O5275">
        <v>-0.94444799999999995</v>
      </c>
      <c r="P5275">
        <v>0.53186160000000005</v>
      </c>
      <c r="Q5275">
        <v>2.1307690000000001E-2</v>
      </c>
      <c r="R5275">
        <v>-0.84656350000000002</v>
      </c>
      <c r="S5275">
        <v>2.0529480000000002</v>
      </c>
      <c r="T5275">
        <v>-0.45460450000000002</v>
      </c>
      <c r="U5275">
        <v>-2.2748409999999999</v>
      </c>
      <c r="V5275">
        <v>-0.22482340000000001</v>
      </c>
      <c r="W5275">
        <v>2.9707649999999999E-2</v>
      </c>
      <c r="X5275">
        <v>0.9739466</v>
      </c>
      <c r="Y5275">
        <v>-0.38125799999999999</v>
      </c>
      <c r="Z5275">
        <v>0.1483138</v>
      </c>
      <c r="AA5275">
        <v>0.91249409999999997</v>
      </c>
      <c r="AB5275">
        <v>35</v>
      </c>
      <c r="AC5275">
        <v>4.8603999999999603</v>
      </c>
      <c r="AD5275">
        <v>-1.116534970115</v>
      </c>
      <c r="AE5275">
        <v>-5.0845999999999902</v>
      </c>
      <c r="AF5275">
        <v>-2.8489214681518198</v>
      </c>
      <c r="AG5275">
        <v>-1.116534970115</v>
      </c>
      <c r="AH5275">
        <v>6.2416469466092401</v>
      </c>
      <c r="AI5275">
        <v>99.242971588213607</v>
      </c>
      <c r="AJ5275">
        <v>114.53373225089101</v>
      </c>
      <c r="AK5275">
        <v>6.9513423507479901</v>
      </c>
      <c r="AL5275">
        <v>88.297626642363696</v>
      </c>
      <c r="AM5275">
        <v>102.998330596928</v>
      </c>
      <c r="AN5275">
        <v>1.00000004265382</v>
      </c>
    </row>
    <row r="5276" spans="1:40" x14ac:dyDescent="0.25">
      <c r="A5276" t="str">
        <f>"20190312151422672"</f>
        <v>20190312151422672</v>
      </c>
      <c r="B5276" t="str">
        <f>"1552374862665765"</f>
        <v>1552374862665765</v>
      </c>
      <c r="C5276" t="s">
        <v>40</v>
      </c>
      <c r="D5276">
        <v>4.7098599999999999</v>
      </c>
      <c r="E5276">
        <v>0.43251699999999998</v>
      </c>
      <c r="F5276" t="s">
        <v>59</v>
      </c>
      <c r="G5276">
        <v>-293.84100000000001</v>
      </c>
      <c r="H5276" s="1">
        <v>-9.0387629999999994E-6</v>
      </c>
      <c r="I5276">
        <v>-53.897350000000003</v>
      </c>
      <c r="J5276">
        <v>-298.9205</v>
      </c>
      <c r="K5276">
        <v>1.1167480000000001</v>
      </c>
      <c r="L5276">
        <v>-48.66348</v>
      </c>
      <c r="M5276">
        <v>0.33900449999999999</v>
      </c>
      <c r="N5276">
        <v>0</v>
      </c>
      <c r="O5276">
        <v>-0.94070220000000004</v>
      </c>
      <c r="P5276">
        <v>0.54319219999999901</v>
      </c>
      <c r="Q5276">
        <v>2.138729E-2</v>
      </c>
      <c r="R5276">
        <v>-0.83933619999999898</v>
      </c>
      <c r="S5276">
        <v>2.076263</v>
      </c>
      <c r="T5276">
        <v>-0.44155549999999999</v>
      </c>
      <c r="U5276">
        <v>-2.250397</v>
      </c>
      <c r="V5276">
        <v>-0.22700219999999999</v>
      </c>
      <c r="W5276">
        <v>2.9652359999999999E-2</v>
      </c>
      <c r="X5276">
        <v>0.97344269999999999</v>
      </c>
      <c r="Y5276">
        <v>-0.3813822</v>
      </c>
      <c r="Z5276">
        <v>0.14401929999999999</v>
      </c>
      <c r="AA5276">
        <v>0.91312979999999999</v>
      </c>
      <c r="AB5276">
        <v>35</v>
      </c>
      <c r="AC5276">
        <v>5.0794999999999897</v>
      </c>
      <c r="AD5276">
        <v>-1.1167570387629999</v>
      </c>
      <c r="AE5276">
        <v>-5.2338699999999996</v>
      </c>
      <c r="AF5276">
        <v>-2.9354043160560601</v>
      </c>
      <c r="AG5276">
        <v>-1.1167570387629999</v>
      </c>
      <c r="AH5276">
        <v>6.49375686606247</v>
      </c>
      <c r="AI5276">
        <v>98.906228308799697</v>
      </c>
      <c r="AJ5276">
        <v>114.324625698898</v>
      </c>
      <c r="AK5276">
        <v>7.2133641955665002</v>
      </c>
      <c r="AL5276">
        <v>88.300795808333106</v>
      </c>
      <c r="AM5276">
        <v>103.12651821690299</v>
      </c>
      <c r="AN5276">
        <v>0.99999997572084898</v>
      </c>
    </row>
    <row r="5277" spans="1:40" x14ac:dyDescent="0.25">
      <c r="A5277" t="str">
        <f>"20190312151422705"</f>
        <v>20190312151422705</v>
      </c>
      <c r="B5277" t="str">
        <f>"1552374862696018"</f>
        <v>1552374862696018</v>
      </c>
      <c r="C5277" t="s">
        <v>40</v>
      </c>
      <c r="D5277">
        <v>4.6538680000000001</v>
      </c>
      <c r="E5277">
        <v>0.43336079999999999</v>
      </c>
      <c r="F5277" t="s">
        <v>59</v>
      </c>
      <c r="G5277">
        <v>-293.5249</v>
      </c>
      <c r="H5277" s="1">
        <v>-9.0997959999999996E-6</v>
      </c>
      <c r="I5277">
        <v>-54.390389999999996</v>
      </c>
      <c r="J5277">
        <v>-298.73439999999999</v>
      </c>
      <c r="K5277">
        <v>1.116976</v>
      </c>
      <c r="L5277">
        <v>-49.144289999999998</v>
      </c>
      <c r="M5277">
        <v>0.35047909999999999</v>
      </c>
      <c r="N5277">
        <v>0</v>
      </c>
      <c r="O5277">
        <v>-0.93648699999999996</v>
      </c>
      <c r="P5277">
        <v>0.55654079999999995</v>
      </c>
      <c r="Q5277">
        <v>2.0850210000000001E-2</v>
      </c>
      <c r="R5277">
        <v>-0.83055879999999904</v>
      </c>
      <c r="S5277">
        <v>2.0984189999999998</v>
      </c>
      <c r="T5277">
        <v>-0.4343204</v>
      </c>
      <c r="U5277">
        <v>-2.2272639999999999</v>
      </c>
      <c r="V5277">
        <v>-0.23066590000000001</v>
      </c>
      <c r="W5277">
        <v>2.8944569999999999E-2</v>
      </c>
      <c r="X5277">
        <v>0.97260239999999998</v>
      </c>
      <c r="Y5277">
        <v>-0.37989279999999997</v>
      </c>
      <c r="Z5277">
        <v>0.1414772</v>
      </c>
      <c r="AA5277">
        <v>0.9141475</v>
      </c>
      <c r="AB5277">
        <v>35</v>
      </c>
      <c r="AC5277">
        <v>5.2094999999999896</v>
      </c>
      <c r="AD5277">
        <v>-1.116985099796</v>
      </c>
      <c r="AE5277">
        <v>-5.2460999999999904</v>
      </c>
      <c r="AF5277">
        <v>-2.9723724483819902</v>
      </c>
      <c r="AG5277">
        <v>-1.116985099796</v>
      </c>
      <c r="AH5277">
        <v>6.58885828187901</v>
      </c>
      <c r="AI5277">
        <v>98.784424455068503</v>
      </c>
      <c r="AJ5277">
        <v>114.281136241468</v>
      </c>
      <c r="AK5277">
        <v>7.3140759596651899</v>
      </c>
      <c r="AL5277">
        <v>88.341366625422907</v>
      </c>
      <c r="AM5277">
        <v>103.341972656192</v>
      </c>
      <c r="AN5277">
        <v>0.99999998702052695</v>
      </c>
    </row>
    <row r="5278" spans="1:40" x14ac:dyDescent="0.25">
      <c r="A5278" t="str">
        <f>"20190312151422735"</f>
        <v>20190312151422735</v>
      </c>
      <c r="B5278" t="str">
        <f>"1552374862726274"</f>
        <v>1552374862726274</v>
      </c>
      <c r="C5278" t="s">
        <v>40</v>
      </c>
      <c r="D5278">
        <v>4.6484019999999999</v>
      </c>
      <c r="E5278">
        <v>0.43430580000000002</v>
      </c>
      <c r="F5278" t="s">
        <v>59</v>
      </c>
      <c r="G5278">
        <v>-293.31310000000002</v>
      </c>
      <c r="H5278" s="1">
        <v>-9.1416359999999992E-6</v>
      </c>
      <c r="I5278">
        <v>-54.742229999999999</v>
      </c>
      <c r="J5278">
        <v>-298.56950000000001</v>
      </c>
      <c r="K5278">
        <v>1.1171549999999999</v>
      </c>
      <c r="L5278">
        <v>-49.554139999999997</v>
      </c>
      <c r="M5278">
        <v>0.36056129999999997</v>
      </c>
      <c r="N5278">
        <v>0</v>
      </c>
      <c r="O5278">
        <v>-0.93265149999999997</v>
      </c>
      <c r="P5278">
        <v>0.56794429999999996</v>
      </c>
      <c r="Q5278">
        <v>2.0241869999999999E-2</v>
      </c>
      <c r="R5278">
        <v>-0.82281839999999995</v>
      </c>
      <c r="S5278">
        <v>2.1278380000000001</v>
      </c>
      <c r="T5278">
        <v>-0.4384131</v>
      </c>
      <c r="U5278">
        <v>-2.197174</v>
      </c>
      <c r="V5278">
        <v>-0.2335865</v>
      </c>
      <c r="W5278">
        <v>2.819528E-2</v>
      </c>
      <c r="X5278">
        <v>0.97192719999999999</v>
      </c>
      <c r="Y5278">
        <v>-0.38236350000000002</v>
      </c>
      <c r="Z5278">
        <v>0.1426692</v>
      </c>
      <c r="AA5278">
        <v>0.91293139999999995</v>
      </c>
      <c r="AB5278">
        <v>35</v>
      </c>
      <c r="AC5278">
        <v>5.2563999999999798</v>
      </c>
      <c r="AD5278">
        <v>-1.1171641416360001</v>
      </c>
      <c r="AE5278">
        <v>-5.1880899999999999</v>
      </c>
      <c r="AF5278">
        <v>-2.9641797211980698</v>
      </c>
      <c r="AG5278">
        <v>-1.1171641416360001</v>
      </c>
      <c r="AH5278">
        <v>6.5838191503725403</v>
      </c>
      <c r="AI5278">
        <v>98.7953454203371</v>
      </c>
      <c r="AJ5278">
        <v>114.238318472343</v>
      </c>
      <c r="AK5278">
        <v>7.3062364965645203</v>
      </c>
      <c r="AL5278">
        <v>88.384315422400206</v>
      </c>
      <c r="AM5278">
        <v>103.513790133977</v>
      </c>
      <c r="AN5278">
        <v>1.00000005444818</v>
      </c>
    </row>
    <row r="5279" spans="1:40" x14ac:dyDescent="0.25">
      <c r="A5279" t="str">
        <f>"20190312151422758"</f>
        <v>20190312151422758</v>
      </c>
      <c r="B5279" t="str">
        <f>"1552374862745797"</f>
        <v>1552374862745797</v>
      </c>
      <c r="C5279" t="s">
        <v>40</v>
      </c>
      <c r="D5279">
        <v>4.667656</v>
      </c>
      <c r="E5279">
        <v>0.43497180000000002</v>
      </c>
      <c r="F5279" t="s">
        <v>59</v>
      </c>
      <c r="G5279">
        <v>-293.10899999999998</v>
      </c>
      <c r="H5279" s="1">
        <v>-9.1833569999999999E-6</v>
      </c>
      <c r="I5279">
        <v>-55.067529999999998</v>
      </c>
      <c r="J5279">
        <v>-298.43270000000001</v>
      </c>
      <c r="K5279">
        <v>1.1172979999999999</v>
      </c>
      <c r="L5279">
        <v>-49.885309999999997</v>
      </c>
      <c r="M5279">
        <v>0.36887449999999999</v>
      </c>
      <c r="N5279">
        <v>0</v>
      </c>
      <c r="O5279">
        <v>-0.92939439999999995</v>
      </c>
      <c r="P5279">
        <v>0.57735760000000003</v>
      </c>
      <c r="Q5279">
        <v>1.894732E-2</v>
      </c>
      <c r="R5279">
        <v>-0.81627169999999905</v>
      </c>
      <c r="S5279">
        <v>2.1511840000000002</v>
      </c>
      <c r="T5279">
        <v>-0.44010640000000001</v>
      </c>
      <c r="U5279">
        <v>-2.1719970000000002</v>
      </c>
      <c r="V5279">
        <v>-0.2360466</v>
      </c>
      <c r="W5279">
        <v>2.6783899999999999E-2</v>
      </c>
      <c r="X5279">
        <v>0.97137249999999997</v>
      </c>
      <c r="Y5279">
        <v>-0.38431019999999999</v>
      </c>
      <c r="Z5279">
        <v>0.14312169999999999</v>
      </c>
      <c r="AA5279">
        <v>0.91204269999999998</v>
      </c>
      <c r="AB5279">
        <v>35</v>
      </c>
      <c r="AC5279">
        <v>5.3236999999999703</v>
      </c>
      <c r="AD5279">
        <v>-1.1173071833570001</v>
      </c>
      <c r="AE5279">
        <v>-5.18222</v>
      </c>
      <c r="AF5279">
        <v>-2.9693116414118799</v>
      </c>
      <c r="AG5279">
        <v>-1.1173071833570001</v>
      </c>
      <c r="AH5279">
        <v>6.6306743073583796</v>
      </c>
      <c r="AI5279">
        <v>98.742997142990006</v>
      </c>
      <c r="AJ5279">
        <v>114.123523904458</v>
      </c>
      <c r="AK5279">
        <v>7.3505801632298304</v>
      </c>
      <c r="AL5279">
        <v>88.465211959823193</v>
      </c>
      <c r="AM5279">
        <v>103.658319806732</v>
      </c>
      <c r="AN5279">
        <v>0.99999995421350896</v>
      </c>
    </row>
    <row r="5280" spans="1:40" x14ac:dyDescent="0.25">
      <c r="A5280" t="str">
        <f>"20190312151422795"</f>
        <v>20190312151422795</v>
      </c>
      <c r="B5280" t="str">
        <f>"1552374862785828"</f>
        <v>1552374862785828</v>
      </c>
      <c r="C5280" t="s">
        <v>40</v>
      </c>
      <c r="D5280">
        <v>4.6544589999999904</v>
      </c>
      <c r="E5280">
        <v>0.4361834</v>
      </c>
      <c r="F5280" t="s">
        <v>59</v>
      </c>
      <c r="G5280">
        <v>-292.9622</v>
      </c>
      <c r="H5280" s="1">
        <v>-9.2133250000000004E-6</v>
      </c>
      <c r="I5280">
        <v>-55.301699999999997</v>
      </c>
      <c r="J5280">
        <v>-298.21019999999999</v>
      </c>
      <c r="K5280">
        <v>1.1175079999999999</v>
      </c>
      <c r="L5280">
        <v>-50.405639999999998</v>
      </c>
      <c r="M5280">
        <v>0.38224000000000002</v>
      </c>
      <c r="N5280">
        <v>0</v>
      </c>
      <c r="O5280">
        <v>-0.9239773</v>
      </c>
      <c r="P5280">
        <v>0.59314599999999995</v>
      </c>
      <c r="Q5280">
        <v>1.7264499999999999E-2</v>
      </c>
      <c r="R5280">
        <v>-0.80490980000000001</v>
      </c>
      <c r="S5280">
        <v>2.1712340000000001</v>
      </c>
      <c r="T5280">
        <v>-0.44346249999999998</v>
      </c>
      <c r="U5280">
        <v>-2.1497799999999998</v>
      </c>
      <c r="V5280">
        <v>-0.24092259999999999</v>
      </c>
      <c r="W5280">
        <v>2.489626E-2</v>
      </c>
      <c r="X5280">
        <v>0.970225</v>
      </c>
      <c r="Y5280">
        <v>-0.3798472</v>
      </c>
      <c r="Z5280">
        <v>0.14374020000000001</v>
      </c>
      <c r="AA5280">
        <v>0.9138134</v>
      </c>
      <c r="AB5280">
        <v>35</v>
      </c>
      <c r="AC5280">
        <v>5.2479999999999896</v>
      </c>
      <c r="AD5280">
        <v>-1.117517213325</v>
      </c>
      <c r="AE5280">
        <v>-4.8960599999999896</v>
      </c>
      <c r="AF5280">
        <v>-2.9073159066066401</v>
      </c>
      <c r="AG5280">
        <v>-1.117517213325</v>
      </c>
      <c r="AH5280">
        <v>6.3757910301113396</v>
      </c>
      <c r="AI5280">
        <v>99.061083069727502</v>
      </c>
      <c r="AJ5280">
        <v>114.512652492263</v>
      </c>
      <c r="AK5280">
        <v>7.0959172601245797</v>
      </c>
      <c r="AL5280">
        <v>88.573402029718395</v>
      </c>
      <c r="AM5280">
        <v>103.945408727214</v>
      </c>
      <c r="AN5280">
        <v>1.00000003678887</v>
      </c>
    </row>
    <row r="5281" spans="1:40" x14ac:dyDescent="0.25">
      <c r="A5281" t="str">
        <f>"20190312151422839"</f>
        <v>20190312151422839</v>
      </c>
      <c r="B5281" t="str">
        <f>"1552374862835587"</f>
        <v>1552374862835587</v>
      </c>
      <c r="C5281" t="s">
        <v>40</v>
      </c>
      <c r="D5281">
        <v>4.6767459999999996</v>
      </c>
      <c r="E5281">
        <v>0.45678920000000001</v>
      </c>
      <c r="F5281" t="s">
        <v>59</v>
      </c>
      <c r="G5281">
        <v>-292.7885</v>
      </c>
      <c r="H5281" s="1">
        <v>-9.2466420000000004E-6</v>
      </c>
      <c r="I5281">
        <v>-55.600369999999998</v>
      </c>
      <c r="J5281">
        <v>-297.93459999999999</v>
      </c>
      <c r="K5281">
        <v>1.1177629999999901</v>
      </c>
      <c r="L5281">
        <v>-51.022060000000003</v>
      </c>
      <c r="M5281">
        <v>0.39852890000000002</v>
      </c>
      <c r="N5281">
        <v>0</v>
      </c>
      <c r="O5281">
        <v>-0.91706869999999996</v>
      </c>
      <c r="P5281">
        <v>0.61060519999999996</v>
      </c>
      <c r="Q5281">
        <v>1.5654599999999901E-2</v>
      </c>
      <c r="R5281">
        <v>-0.79178090000000001</v>
      </c>
      <c r="S5281">
        <v>2.2045590000000002</v>
      </c>
      <c r="T5281">
        <v>-0.45440320000000001</v>
      </c>
      <c r="U5281">
        <v>-2.1122740000000002</v>
      </c>
      <c r="V5281">
        <v>-0.2449413</v>
      </c>
      <c r="W5281">
        <v>2.308433E-2</v>
      </c>
      <c r="X5281">
        <v>0.96926310000000004</v>
      </c>
      <c r="Y5281">
        <v>-0.37813970000000002</v>
      </c>
      <c r="Z5281">
        <v>0.14674079999999901</v>
      </c>
      <c r="AA5281">
        <v>0.91404459999999998</v>
      </c>
      <c r="AB5281">
        <v>35</v>
      </c>
      <c r="AC5281">
        <v>5.1460999999999899</v>
      </c>
      <c r="AD5281">
        <v>-1.1177722466419999</v>
      </c>
      <c r="AE5281">
        <v>-4.5783100000000001</v>
      </c>
      <c r="AF5281">
        <v>-2.8206870088179499</v>
      </c>
      <c r="AG5281">
        <v>-1.1177722466419999</v>
      </c>
      <c r="AH5281">
        <v>6.0896237307097101</v>
      </c>
      <c r="AI5281">
        <v>99.4560426270628</v>
      </c>
      <c r="AJ5281">
        <v>114.853365317398</v>
      </c>
      <c r="AK5281">
        <v>6.8036172128287999</v>
      </c>
      <c r="AL5281">
        <v>88.677247876359004</v>
      </c>
      <c r="AM5281">
        <v>104.182222512973</v>
      </c>
      <c r="AN5281">
        <v>1.0000000418794199</v>
      </c>
    </row>
    <row r="5282" spans="1:40" x14ac:dyDescent="0.25">
      <c r="A5282" t="str">
        <f>"20190312151422869"</f>
        <v>20190312151422869</v>
      </c>
      <c r="B5282" t="str">
        <f>"1552374862865842"</f>
        <v>1552374862865842</v>
      </c>
      <c r="C5282" t="s">
        <v>40</v>
      </c>
      <c r="D5282">
        <v>4.6876939999999996</v>
      </c>
      <c r="E5282">
        <v>0.45717829999999898</v>
      </c>
      <c r="F5282" t="s">
        <v>59</v>
      </c>
      <c r="G5282">
        <v>-292.0677</v>
      </c>
      <c r="H5282" s="1">
        <v>-9.3674010000000005E-6</v>
      </c>
      <c r="I5282">
        <v>-57.015329999999999</v>
      </c>
      <c r="J5282">
        <v>-297.74020000000002</v>
      </c>
      <c r="K5282">
        <v>1.117915</v>
      </c>
      <c r="L5282">
        <v>-51.439610000000002</v>
      </c>
      <c r="M5282">
        <v>0.40982210000000002</v>
      </c>
      <c r="N5282">
        <v>0</v>
      </c>
      <c r="O5282">
        <v>-0.91207749999999999</v>
      </c>
      <c r="P5282">
        <v>0.621695</v>
      </c>
      <c r="Q5282">
        <v>1.4784719999999999E-2</v>
      </c>
      <c r="R5282">
        <v>-0.78311989999999998</v>
      </c>
      <c r="S5282">
        <v>2.1179809999999999</v>
      </c>
      <c r="T5282">
        <v>-0.40351670000000001</v>
      </c>
      <c r="U5282">
        <v>-2.1635740000000001</v>
      </c>
      <c r="V5282">
        <v>-0.24660799999999999</v>
      </c>
      <c r="W5282">
        <v>2.210515E-2</v>
      </c>
      <c r="X5282">
        <v>0.96886320000000004</v>
      </c>
      <c r="Y5282">
        <v>-0.33879710000000002</v>
      </c>
      <c r="Z5282">
        <v>0.13009989999999999</v>
      </c>
      <c r="AA5282">
        <v>0.93182109999999996</v>
      </c>
      <c r="AB5282">
        <v>35</v>
      </c>
      <c r="AC5282">
        <v>5.6725000000000101</v>
      </c>
      <c r="AD5282">
        <v>-1.117924367401</v>
      </c>
      <c r="AE5282">
        <v>-5.5757200000000102</v>
      </c>
      <c r="AF5282">
        <v>-2.8329755535402699</v>
      </c>
      <c r="AG5282">
        <v>-1.117924367401</v>
      </c>
      <c r="AH5282">
        <v>7.2672421737268902</v>
      </c>
      <c r="AI5282">
        <v>98.156389489272499</v>
      </c>
      <c r="AJ5282">
        <v>111.297236617149</v>
      </c>
      <c r="AK5282">
        <v>7.8796138350670804</v>
      </c>
      <c r="AL5282">
        <v>88.733365058593293</v>
      </c>
      <c r="AM5282">
        <v>104.280444619889</v>
      </c>
      <c r="AN5282">
        <v>1.0000000218173799</v>
      </c>
    </row>
    <row r="5283" spans="1:40" x14ac:dyDescent="0.25">
      <c r="A5283" t="str">
        <f>"20190312151422896"</f>
        <v>20190312151422896</v>
      </c>
      <c r="B5283" t="str">
        <f>"1552374862886339"</f>
        <v>1552374862886339</v>
      </c>
      <c r="C5283" t="s">
        <v>40</v>
      </c>
      <c r="D5283">
        <v>4.7155469999999999</v>
      </c>
      <c r="E5283">
        <v>0.4569047</v>
      </c>
      <c r="F5283" t="s">
        <v>59</v>
      </c>
      <c r="G5283">
        <v>-291.72219999999999</v>
      </c>
      <c r="H5283" s="1">
        <v>-9.4517919999999996E-6</v>
      </c>
      <c r="I5283">
        <v>-57.427779999999998</v>
      </c>
      <c r="J5283">
        <v>-297.56880000000001</v>
      </c>
      <c r="K5283">
        <v>1.1180490000000001</v>
      </c>
      <c r="L5283">
        <v>-51.796169999999996</v>
      </c>
      <c r="M5283">
        <v>0.419653</v>
      </c>
      <c r="N5283">
        <v>0</v>
      </c>
      <c r="O5283">
        <v>-0.90759610000000002</v>
      </c>
      <c r="P5283">
        <v>0.63167099999999998</v>
      </c>
      <c r="Q5283">
        <v>1.403714E-2</v>
      </c>
      <c r="R5283">
        <v>-0.77510959999999995</v>
      </c>
      <c r="S5283">
        <v>2.1456300000000001</v>
      </c>
      <c r="T5283">
        <v>-0.39858189999999999</v>
      </c>
      <c r="U5283">
        <v>-2.1350099999999999</v>
      </c>
      <c r="V5283">
        <v>-0.24853120000000001</v>
      </c>
      <c r="W5283">
        <v>2.124991E-2</v>
      </c>
      <c r="X5283">
        <v>0.9683908</v>
      </c>
      <c r="Y5283">
        <v>-0.34104519999999999</v>
      </c>
      <c r="Z5283">
        <v>0.1282788</v>
      </c>
      <c r="AA5283">
        <v>0.93125329999999995</v>
      </c>
      <c r="AB5283">
        <v>35</v>
      </c>
      <c r="AC5283">
        <v>5.84660000000002</v>
      </c>
      <c r="AD5283">
        <v>-1.118058451792</v>
      </c>
      <c r="AE5283">
        <v>-5.6316100000000002</v>
      </c>
      <c r="AF5283">
        <v>-2.8884726048209299</v>
      </c>
      <c r="AG5283">
        <v>-1.118058451792</v>
      </c>
      <c r="AH5283">
        <v>7.4245377571831996</v>
      </c>
      <c r="AI5283">
        <v>97.988877773187994</v>
      </c>
      <c r="AJ5283">
        <v>111.258229769609</v>
      </c>
      <c r="AK5283">
        <v>8.0446932569404694</v>
      </c>
      <c r="AL5283">
        <v>88.782378227348104</v>
      </c>
      <c r="AM5283">
        <v>104.39393310142999</v>
      </c>
      <c r="AN5283">
        <v>1.00000002878654</v>
      </c>
    </row>
    <row r="5284" spans="1:40" x14ac:dyDescent="0.25">
      <c r="A5284" t="str">
        <f>"20190312151422929"</f>
        <v>20190312151422929</v>
      </c>
      <c r="B5284" t="str">
        <f>"1552374862926355"</f>
        <v>1552374862926355</v>
      </c>
      <c r="C5284" t="s">
        <v>40</v>
      </c>
      <c r="D5284">
        <v>4.7415019999999997</v>
      </c>
      <c r="E5284">
        <v>0.45779530000000002</v>
      </c>
      <c r="F5284" t="s">
        <v>59</v>
      </c>
      <c r="G5284">
        <v>-291.65010000000001</v>
      </c>
      <c r="H5284" s="1">
        <v>-9.4679889999999997E-6</v>
      </c>
      <c r="I5284">
        <v>-57.528019999999998</v>
      </c>
      <c r="J5284">
        <v>-297.3415</v>
      </c>
      <c r="K5284">
        <v>1.118212</v>
      </c>
      <c r="L5284">
        <v>-52.254669999999997</v>
      </c>
      <c r="M5284">
        <v>0.43251849999999997</v>
      </c>
      <c r="N5284">
        <v>0</v>
      </c>
      <c r="O5284">
        <v>-0.90153570000000005</v>
      </c>
      <c r="P5284">
        <v>0.64488540000000005</v>
      </c>
      <c r="Q5284">
        <v>1.286321E-2</v>
      </c>
      <c r="R5284">
        <v>-0.7641715</v>
      </c>
      <c r="S5284">
        <v>2.1744379999999999</v>
      </c>
      <c r="T5284">
        <v>-0.41075990000000001</v>
      </c>
      <c r="U5284">
        <v>-2.105804</v>
      </c>
      <c r="V5284">
        <v>-0.25136019999999998</v>
      </c>
      <c r="W5284">
        <v>1.9926010000000001E-2</v>
      </c>
      <c r="X5284">
        <v>0.96768849999999995</v>
      </c>
      <c r="Y5284">
        <v>-0.3399508</v>
      </c>
      <c r="Z5284">
        <v>0.13159499999999999</v>
      </c>
      <c r="AA5284">
        <v>0.93119070000000004</v>
      </c>
      <c r="AB5284">
        <v>34</v>
      </c>
      <c r="AC5284">
        <v>5.6913999999999803</v>
      </c>
      <c r="AD5284">
        <v>-1.1182214679889999</v>
      </c>
      <c r="AE5284">
        <v>-5.27334999999999</v>
      </c>
      <c r="AF5284">
        <v>-2.7924074177910501</v>
      </c>
      <c r="AG5284">
        <v>-1.1182214679889999</v>
      </c>
      <c r="AH5284">
        <v>7.0694901246053199</v>
      </c>
      <c r="AI5284">
        <v>98.369037186143302</v>
      </c>
      <c r="AJ5284">
        <v>111.553731205323</v>
      </c>
      <c r="AK5284">
        <v>7.68281517806449</v>
      </c>
      <c r="AL5284">
        <v>88.858248177906901</v>
      </c>
      <c r="AM5284">
        <v>104.56097104164699</v>
      </c>
      <c r="AN5284">
        <v>1.0000000145254</v>
      </c>
    </row>
    <row r="5285" spans="1:40" x14ac:dyDescent="0.25">
      <c r="A5285" t="str">
        <f>"20190312151422957"</f>
        <v>20190312151422957</v>
      </c>
      <c r="B5285" t="str">
        <f>"1552374862945875"</f>
        <v>1552374862945875</v>
      </c>
      <c r="C5285" t="s">
        <v>40</v>
      </c>
      <c r="D5285">
        <v>4.8806050000000001</v>
      </c>
      <c r="E5285">
        <v>0.45869729999999997</v>
      </c>
      <c r="F5285" t="s">
        <v>59</v>
      </c>
      <c r="G5285">
        <v>-291.39350000000002</v>
      </c>
      <c r="H5285" s="1">
        <v>-9.5290889999999999E-6</v>
      </c>
      <c r="I5285">
        <v>-57.85051</v>
      </c>
      <c r="J5285">
        <v>-297.14019999999999</v>
      </c>
      <c r="K5285">
        <v>1.118371</v>
      </c>
      <c r="L5285">
        <v>-52.646270000000001</v>
      </c>
      <c r="M5285">
        <v>0.44375300000000001</v>
      </c>
      <c r="N5285">
        <v>0</v>
      </c>
      <c r="O5285">
        <v>-0.89605869999999999</v>
      </c>
      <c r="P5285">
        <v>0.655628199999999</v>
      </c>
      <c r="Q5285">
        <v>1.2529820000000001E-2</v>
      </c>
      <c r="R5285">
        <v>-0.75498019999999999</v>
      </c>
      <c r="S5285">
        <v>2.2036129999999998</v>
      </c>
      <c r="T5285">
        <v>-0.41427890000000001</v>
      </c>
      <c r="U5285">
        <v>-2.0731510000000002</v>
      </c>
      <c r="V5285">
        <v>-0.25294840000000002</v>
      </c>
      <c r="W5285">
        <v>1.947977E-2</v>
      </c>
      <c r="X5285">
        <v>0.96728360000000002</v>
      </c>
      <c r="Y5285">
        <v>-0.34157700000000002</v>
      </c>
      <c r="Z5285">
        <v>0.132352</v>
      </c>
      <c r="AA5285">
        <v>0.93048810000000004</v>
      </c>
      <c r="AB5285">
        <v>34</v>
      </c>
      <c r="AC5285">
        <v>5.7466999999999704</v>
      </c>
      <c r="AD5285">
        <v>-1.1183805290889901</v>
      </c>
      <c r="AE5285">
        <v>-5.2042400000000004</v>
      </c>
      <c r="AF5285">
        <v>-2.7823175763403198</v>
      </c>
      <c r="AG5285">
        <v>-1.1183805290889901</v>
      </c>
      <c r="AH5285">
        <v>7.06695145659394</v>
      </c>
      <c r="AI5285">
        <v>98.376798096895499</v>
      </c>
      <c r="AJ5285">
        <v>111.48997240088001</v>
      </c>
      <c r="AK5285">
        <v>7.6768397790570599</v>
      </c>
      <c r="AL5285">
        <v>88.883820748219406</v>
      </c>
      <c r="AM5285">
        <v>104.65489577586899</v>
      </c>
      <c r="AN5285">
        <v>0.99999995866538505</v>
      </c>
    </row>
    <row r="5286" spans="1:40" x14ac:dyDescent="0.25">
      <c r="A5286" t="str">
        <f>"20190312151422981"</f>
        <v>20190312151422981</v>
      </c>
      <c r="B5286" t="str">
        <f>"1552374862976130"</f>
        <v>1552374862976130</v>
      </c>
      <c r="C5286" t="s">
        <v>40</v>
      </c>
      <c r="D5286">
        <v>4.7590659999999998</v>
      </c>
      <c r="E5286">
        <v>0.4598564</v>
      </c>
      <c r="F5286" t="s">
        <v>59</v>
      </c>
      <c r="G5286">
        <v>-291.10860000000002</v>
      </c>
      <c r="H5286" s="1">
        <v>-9.5987530000000001E-6</v>
      </c>
      <c r="I5286">
        <v>-58.190219999999997</v>
      </c>
      <c r="J5286">
        <v>-296.97280000000001</v>
      </c>
      <c r="K5286">
        <v>1.1185</v>
      </c>
      <c r="L5286">
        <v>-52.963349999999998</v>
      </c>
      <c r="M5286">
        <v>0.45299660000000003</v>
      </c>
      <c r="N5286">
        <v>0</v>
      </c>
      <c r="O5286">
        <v>-0.89142099999999902</v>
      </c>
      <c r="P5286">
        <v>0.66462270000000001</v>
      </c>
      <c r="Q5286">
        <v>1.162096E-2</v>
      </c>
      <c r="R5286">
        <v>-0.74708940000000001</v>
      </c>
      <c r="S5286">
        <v>2.226807</v>
      </c>
      <c r="T5286">
        <v>-0.4128907</v>
      </c>
      <c r="U5286">
        <v>-2.0467529999999998</v>
      </c>
      <c r="V5286">
        <v>-0.25450919999999999</v>
      </c>
      <c r="W5286">
        <v>1.847145E-2</v>
      </c>
      <c r="X5286">
        <v>0.96689389999999997</v>
      </c>
      <c r="Y5286">
        <v>-0.34273730000000002</v>
      </c>
      <c r="Z5286">
        <v>0.13159599999999999</v>
      </c>
      <c r="AA5286">
        <v>0.93016860000000001</v>
      </c>
      <c r="AB5286">
        <v>34</v>
      </c>
      <c r="AC5286">
        <v>5.8641999999999799</v>
      </c>
      <c r="AD5286">
        <v>-1.118509598753</v>
      </c>
      <c r="AE5286">
        <v>-5.2268699999999901</v>
      </c>
      <c r="AF5286">
        <v>-2.80311999966644</v>
      </c>
      <c r="AG5286">
        <v>-1.118509598753</v>
      </c>
      <c r="AH5286">
        <v>7.1710171658489203</v>
      </c>
      <c r="AI5286">
        <v>98.265653049099896</v>
      </c>
      <c r="AJ5286">
        <v>111.350316262185</v>
      </c>
      <c r="AK5286">
        <v>7.7802334571613203</v>
      </c>
      <c r="AL5286">
        <v>88.941603650082698</v>
      </c>
      <c r="AM5286">
        <v>104.747078426724</v>
      </c>
      <c r="AN5286">
        <v>0.99999997060347501</v>
      </c>
    </row>
    <row r="5287" spans="1:40" x14ac:dyDescent="0.25">
      <c r="A5287" t="str">
        <f>"20190312151423008"</f>
        <v>20190312151423008</v>
      </c>
      <c r="B5287" t="str">
        <f>"1552374863006387"</f>
        <v>1552374863006387</v>
      </c>
      <c r="C5287" t="s">
        <v>40</v>
      </c>
      <c r="D5287">
        <v>5.2297880000000001</v>
      </c>
      <c r="E5287">
        <v>0.4608216</v>
      </c>
      <c r="F5287" t="s">
        <v>59</v>
      </c>
      <c r="G5287">
        <v>-290.9649</v>
      </c>
      <c r="H5287" s="1">
        <v>-9.6314090000000003E-6</v>
      </c>
      <c r="I5287">
        <v>-58.386049999999997</v>
      </c>
      <c r="J5287">
        <v>-296.77850000000001</v>
      </c>
      <c r="K5287">
        <v>1.118652</v>
      </c>
      <c r="L5287">
        <v>-53.321170000000002</v>
      </c>
      <c r="M5287">
        <v>0.46362950000000003</v>
      </c>
      <c r="N5287">
        <v>0</v>
      </c>
      <c r="O5287">
        <v>-0.88593670000000002</v>
      </c>
      <c r="P5287">
        <v>0.6740604</v>
      </c>
      <c r="Q5287">
        <v>1.112927E-2</v>
      </c>
      <c r="R5287">
        <v>-0.73859229999999998</v>
      </c>
      <c r="S5287">
        <v>2.2441710000000001</v>
      </c>
      <c r="T5287">
        <v>-0.41780919999999999</v>
      </c>
      <c r="U5287">
        <v>-2.025604</v>
      </c>
      <c r="V5287">
        <v>-0.25521820000000001</v>
      </c>
      <c r="W5287">
        <v>1.7885990000000001E-2</v>
      </c>
      <c r="X5287">
        <v>0.96671799999999997</v>
      </c>
      <c r="Y5287">
        <v>-0.33978069999999999</v>
      </c>
      <c r="Z5287">
        <v>0.13260920000000001</v>
      </c>
      <c r="AA5287">
        <v>0.93110899999999996</v>
      </c>
      <c r="AB5287">
        <v>34</v>
      </c>
      <c r="AC5287">
        <v>5.8136000000000001</v>
      </c>
      <c r="AD5287">
        <v>-1.1186616314090001</v>
      </c>
      <c r="AE5287">
        <v>-5.0648799999999996</v>
      </c>
      <c r="AF5287">
        <v>-2.74470908299317</v>
      </c>
      <c r="AG5287">
        <v>-1.1186616314090001</v>
      </c>
      <c r="AH5287">
        <v>7.0350253370473004</v>
      </c>
      <c r="AI5287">
        <v>98.426392081752695</v>
      </c>
      <c r="AJ5287">
        <v>111.313200199503</v>
      </c>
      <c r="AK5287">
        <v>7.6338989572006701</v>
      </c>
      <c r="AL5287">
        <v>88.9751535767749</v>
      </c>
      <c r="AM5287">
        <v>104.788935144302</v>
      </c>
      <c r="AN5287">
        <v>0.99999996488675902</v>
      </c>
    </row>
    <row r="5288" spans="1:40" x14ac:dyDescent="0.25">
      <c r="A5288" t="str">
        <f>"20190312151423031"</f>
        <v>20190312151423031</v>
      </c>
      <c r="B5288" t="str">
        <f>"1552374863025907"</f>
        <v>1552374863025907</v>
      </c>
      <c r="C5288" t="s">
        <v>40</v>
      </c>
      <c r="D5288">
        <v>4.9628319999999997</v>
      </c>
      <c r="E5288">
        <v>0.46153040000000001</v>
      </c>
      <c r="F5288" t="s">
        <v>59</v>
      </c>
      <c r="G5288">
        <v>-290.68189999999998</v>
      </c>
      <c r="H5288" s="1">
        <v>-9.7018680000000002E-6</v>
      </c>
      <c r="I5288">
        <v>-58.710949999999997</v>
      </c>
      <c r="J5288">
        <v>-296.60270000000003</v>
      </c>
      <c r="K5288">
        <v>1.118808</v>
      </c>
      <c r="L5288">
        <v>-53.635800000000003</v>
      </c>
      <c r="M5288">
        <v>0.47318589999999999</v>
      </c>
      <c r="N5288">
        <v>0</v>
      </c>
      <c r="O5288">
        <v>-0.88086929999999997</v>
      </c>
      <c r="P5288">
        <v>0.6829655</v>
      </c>
      <c r="Q5288">
        <v>1.110093E-2</v>
      </c>
      <c r="R5288">
        <v>-0.73036639999999997</v>
      </c>
      <c r="S5288">
        <v>2.2641909999999998</v>
      </c>
      <c r="T5288">
        <v>-0.41545300000000002</v>
      </c>
      <c r="U5288">
        <v>-2.0016780000000001</v>
      </c>
      <c r="V5288">
        <v>-0.25648759999999998</v>
      </c>
      <c r="W5288">
        <v>1.775297E-2</v>
      </c>
      <c r="X5288">
        <v>0.96638449999999998</v>
      </c>
      <c r="Y5288">
        <v>-0.33933190000000002</v>
      </c>
      <c r="Z5288">
        <v>0.13144420000000001</v>
      </c>
      <c r="AA5288">
        <v>0.93143770000000004</v>
      </c>
      <c r="AB5288">
        <v>34</v>
      </c>
      <c r="AC5288">
        <v>5.9208000000000398</v>
      </c>
      <c r="AD5288">
        <v>-1.1188177018679999</v>
      </c>
      <c r="AE5288">
        <v>-5.0751499999999901</v>
      </c>
      <c r="AF5288">
        <v>-2.75743480618649</v>
      </c>
      <c r="AG5288">
        <v>-1.1188177018679999</v>
      </c>
      <c r="AH5288">
        <v>7.1260996416754496</v>
      </c>
      <c r="AI5288">
        <v>98.3302305099145</v>
      </c>
      <c r="AJ5288">
        <v>111.153879731025</v>
      </c>
      <c r="AK5288">
        <v>7.7224669545080502</v>
      </c>
      <c r="AL5288">
        <v>88.982776337566705</v>
      </c>
      <c r="AM5288">
        <v>104.864146415147</v>
      </c>
      <c r="AN5288">
        <v>1.00000002936891</v>
      </c>
    </row>
    <row r="5289" spans="1:40" x14ac:dyDescent="0.25">
      <c r="A5289" t="str">
        <f>"20190312151423062"</f>
        <v>20190312151423062</v>
      </c>
      <c r="B5289" t="str">
        <f>"1552374863056163"</f>
        <v>1552374863056163</v>
      </c>
      <c r="C5289" t="s">
        <v>40</v>
      </c>
      <c r="D5289">
        <v>4.8259850000000002</v>
      </c>
      <c r="E5289">
        <v>0.46263009999999899</v>
      </c>
      <c r="F5289" t="s">
        <v>59</v>
      </c>
      <c r="G5289">
        <v>-290.37970000000001</v>
      </c>
      <c r="H5289" s="1">
        <v>-9.7803399999999996E-6</v>
      </c>
      <c r="I5289">
        <v>-59.025300000000001</v>
      </c>
      <c r="J5289">
        <v>-296.3664</v>
      </c>
      <c r="K5289">
        <v>1.119011</v>
      </c>
      <c r="L5289">
        <v>-54.04645</v>
      </c>
      <c r="M5289">
        <v>0.48589470000000001</v>
      </c>
      <c r="N5289">
        <v>0</v>
      </c>
      <c r="O5289">
        <v>-0.87392289999999995</v>
      </c>
      <c r="P5289">
        <v>0.69484219999999997</v>
      </c>
      <c r="Q5289">
        <v>9.3018379999999998E-3</v>
      </c>
      <c r="R5289">
        <v>-0.71910220000000002</v>
      </c>
      <c r="S5289">
        <v>2.2839659999999999</v>
      </c>
      <c r="T5289">
        <v>-0.41062969999999999</v>
      </c>
      <c r="U5289">
        <v>-1.9780580000000001</v>
      </c>
      <c r="V5289">
        <v>-0.2582817</v>
      </c>
      <c r="W5289">
        <v>1.581395E-2</v>
      </c>
      <c r="X5289">
        <v>0.96594020000000003</v>
      </c>
      <c r="Y5289">
        <v>-0.33543020000000001</v>
      </c>
      <c r="Z5289">
        <v>0.1292007</v>
      </c>
      <c r="AA5289">
        <v>0.93316330000000003</v>
      </c>
      <c r="AB5289">
        <v>34</v>
      </c>
      <c r="AC5289">
        <v>5.9866999999999804</v>
      </c>
      <c r="AD5289">
        <v>-1.1190207803399901</v>
      </c>
      <c r="AE5289">
        <v>-4.9788500000000004</v>
      </c>
      <c r="AF5289">
        <v>-2.75602819485341</v>
      </c>
      <c r="AG5289">
        <v>-1.1190207803399901</v>
      </c>
      <c r="AH5289">
        <v>7.1137136685618803</v>
      </c>
      <c r="AI5289">
        <v>98.344705148180296</v>
      </c>
      <c r="AJ5289">
        <v>111.177596962655</v>
      </c>
      <c r="AK5289">
        <v>7.7105655483851496</v>
      </c>
      <c r="AL5289">
        <v>89.093889632416506</v>
      </c>
      <c r="AM5289">
        <v>104.970044557113</v>
      </c>
      <c r="AN5289">
        <v>0.99999999377276605</v>
      </c>
    </row>
    <row r="5290" spans="1:40" x14ac:dyDescent="0.25">
      <c r="A5290" t="str">
        <f>"20190312151423091"</f>
        <v>20190312151423091</v>
      </c>
      <c r="B5290" t="str">
        <f>"1552374863085443"</f>
        <v>1552374863085443</v>
      </c>
      <c r="C5290" t="s">
        <v>40</v>
      </c>
      <c r="D5290">
        <v>4.8420509999999997</v>
      </c>
      <c r="E5290">
        <v>0.46372020000000003</v>
      </c>
      <c r="F5290" t="s">
        <v>59</v>
      </c>
      <c r="G5290">
        <v>-290.03960000000001</v>
      </c>
      <c r="H5290" s="1">
        <v>-9.8687950000000008E-6</v>
      </c>
      <c r="I5290">
        <v>-59.37753</v>
      </c>
      <c r="J5290">
        <v>-296.14659999999998</v>
      </c>
      <c r="K5290">
        <v>1.1192089999999999</v>
      </c>
      <c r="L5290">
        <v>-54.415500000000002</v>
      </c>
      <c r="M5290">
        <v>0.4976102</v>
      </c>
      <c r="N5290">
        <v>0</v>
      </c>
      <c r="O5290">
        <v>-0.86730509999999905</v>
      </c>
      <c r="P5290">
        <v>0.70494999999999997</v>
      </c>
      <c r="Q5290">
        <v>9.285158E-3</v>
      </c>
      <c r="R5290">
        <v>-0.70919690000000002</v>
      </c>
      <c r="S5290">
        <v>2.3092350000000001</v>
      </c>
      <c r="T5290">
        <v>-0.40843990000000002</v>
      </c>
      <c r="U5290">
        <v>-1.9458310000000001</v>
      </c>
      <c r="V5290">
        <v>-0.25896200000000003</v>
      </c>
      <c r="W5290">
        <v>1.568903E-2</v>
      </c>
      <c r="X5290">
        <v>0.96576010000000001</v>
      </c>
      <c r="Y5290">
        <v>-0.33551510000000001</v>
      </c>
      <c r="Z5290">
        <v>0.12798850000000001</v>
      </c>
      <c r="AA5290">
        <v>0.93329980000000001</v>
      </c>
      <c r="AB5290">
        <v>34</v>
      </c>
      <c r="AC5290">
        <v>6.10699999999997</v>
      </c>
      <c r="AD5290">
        <v>-1.119218868795</v>
      </c>
      <c r="AE5290">
        <v>-4.9620300000000004</v>
      </c>
      <c r="AF5290">
        <v>-2.7716369721509002</v>
      </c>
      <c r="AG5290">
        <v>-1.119218868795</v>
      </c>
      <c r="AH5290">
        <v>7.1974957220760896</v>
      </c>
      <c r="AI5290">
        <v>98.256758702036194</v>
      </c>
      <c r="AJ5290">
        <v>111.06087296607799</v>
      </c>
      <c r="AK5290">
        <v>7.7934951755270996</v>
      </c>
      <c r="AL5290">
        <v>89.101047930133902</v>
      </c>
      <c r="AM5290">
        <v>105.010370491557</v>
      </c>
      <c r="AN5290">
        <v>1.0000000169291701</v>
      </c>
    </row>
    <row r="5291" spans="1:40" x14ac:dyDescent="0.25">
      <c r="A5291" t="str">
        <f>"20190312151423111"</f>
        <v>20190312151423111</v>
      </c>
      <c r="B5291" t="str">
        <f>"1552374863105939"</f>
        <v>1552374863105939</v>
      </c>
      <c r="C5291" t="s">
        <v>40</v>
      </c>
      <c r="D5291">
        <v>4.8521679999999998</v>
      </c>
      <c r="E5291">
        <v>0.46438750000000001</v>
      </c>
      <c r="F5291" t="s">
        <v>59</v>
      </c>
      <c r="G5291">
        <v>-289.67140000000001</v>
      </c>
      <c r="H5291" s="1">
        <v>-1.184336E-6</v>
      </c>
      <c r="I5291">
        <v>-59.746780000000001</v>
      </c>
      <c r="J5291">
        <v>-295.97829999999999</v>
      </c>
      <c r="K5291">
        <v>1.1193630000000001</v>
      </c>
      <c r="L5291">
        <v>-54.690460000000002</v>
      </c>
      <c r="M5291">
        <v>0.50652589999999997</v>
      </c>
      <c r="N5291">
        <v>0</v>
      </c>
      <c r="O5291">
        <v>-0.86212809999999995</v>
      </c>
      <c r="P5291">
        <v>0.71276300000000004</v>
      </c>
      <c r="Q5291">
        <v>1.036689E-2</v>
      </c>
      <c r="R5291">
        <v>-0.70132859999999997</v>
      </c>
      <c r="S5291">
        <v>2.3305359999999999</v>
      </c>
      <c r="T5291">
        <v>-0.4028234</v>
      </c>
      <c r="U5291">
        <v>-1.9188229999999999</v>
      </c>
      <c r="V5291">
        <v>-0.25974330000000001</v>
      </c>
      <c r="W5291">
        <v>1.667882E-2</v>
      </c>
      <c r="X5291">
        <v>0.96553370000000005</v>
      </c>
      <c r="Y5291">
        <v>-0.33665899999999999</v>
      </c>
      <c r="Z5291">
        <v>0.12585839999999901</v>
      </c>
      <c r="AA5291">
        <v>0.93317749999999999</v>
      </c>
      <c r="AB5291">
        <v>34</v>
      </c>
      <c r="AC5291">
        <v>6.3068999999999802</v>
      </c>
      <c r="AD5291">
        <v>-1.1193641843359901</v>
      </c>
      <c r="AE5291">
        <v>-5.0563200000000004</v>
      </c>
      <c r="AF5291">
        <v>-2.8223196424883601</v>
      </c>
      <c r="AG5291">
        <v>-1.1193641843359901</v>
      </c>
      <c r="AH5291">
        <v>7.4123004409454998</v>
      </c>
      <c r="AI5291">
        <v>98.033103993160296</v>
      </c>
      <c r="AJ5291">
        <v>110.844913600029</v>
      </c>
      <c r="AK5291">
        <v>8.0100350915829797</v>
      </c>
      <c r="AL5291">
        <v>89.044329738079895</v>
      </c>
      <c r="AM5291">
        <v>105.056974342557</v>
      </c>
      <c r="AN5291">
        <v>1.00000004538358</v>
      </c>
    </row>
    <row r="5292" spans="1:40" x14ac:dyDescent="0.25">
      <c r="A5292" t="str">
        <f>"20190312151423135"</f>
        <v>20190312151423135</v>
      </c>
      <c r="B5292" t="str">
        <f>"1552374863125459"</f>
        <v>1552374863125459</v>
      </c>
      <c r="C5292" t="s">
        <v>40</v>
      </c>
      <c r="D5292">
        <v>4.8963299999999998</v>
      </c>
      <c r="E5292">
        <v>0.46467809999999998</v>
      </c>
      <c r="F5292" t="s">
        <v>59</v>
      </c>
      <c r="G5292">
        <v>-289.3981</v>
      </c>
      <c r="H5292" s="1">
        <v>-1.2885550000000001E-6</v>
      </c>
      <c r="I5292">
        <v>-60.005659999999999</v>
      </c>
      <c r="J5292">
        <v>-295.78899999999999</v>
      </c>
      <c r="K5292">
        <v>1.1195360000000001</v>
      </c>
      <c r="L5292">
        <v>-54.992100000000001</v>
      </c>
      <c r="M5292">
        <v>0.51648609999999995</v>
      </c>
      <c r="N5292">
        <v>0</v>
      </c>
      <c r="O5292">
        <v>-0.85619780000000001</v>
      </c>
      <c r="P5292">
        <v>0.72114840000000002</v>
      </c>
      <c r="Q5292">
        <v>1.1059619999999999E-2</v>
      </c>
      <c r="R5292">
        <v>-0.69269259999999999</v>
      </c>
      <c r="S5292">
        <v>2.3483580000000002</v>
      </c>
      <c r="T5292">
        <v>-0.39947749999999999</v>
      </c>
      <c r="U5292">
        <v>-1.896881</v>
      </c>
      <c r="V5292">
        <v>-0.26019510000000001</v>
      </c>
      <c r="W5292">
        <v>1.7280980000000001E-2</v>
      </c>
      <c r="X5292">
        <v>0.96540139999999997</v>
      </c>
      <c r="Y5292">
        <v>-0.33464899999999997</v>
      </c>
      <c r="Z5292">
        <v>0.12420920000000001</v>
      </c>
      <c r="AA5292">
        <v>0.93412110000000004</v>
      </c>
      <c r="AB5292">
        <v>34</v>
      </c>
      <c r="AC5292">
        <v>6.3908999999999798</v>
      </c>
      <c r="AD5292">
        <v>-1.1195372885549999</v>
      </c>
      <c r="AE5292">
        <v>-5.0135599999999902</v>
      </c>
      <c r="AF5292">
        <v>-2.8289423929690098</v>
      </c>
      <c r="AG5292">
        <v>-1.1195372885549999</v>
      </c>
      <c r="AH5292">
        <v>7.4524764194987396</v>
      </c>
      <c r="AI5292">
        <v>97.994628944704104</v>
      </c>
      <c r="AJ5292">
        <v>110.786643221283</v>
      </c>
      <c r="AK5292">
        <v>8.0495766091383398</v>
      </c>
      <c r="AL5292">
        <v>89.009823485668306</v>
      </c>
      <c r="AM5292">
        <v>105.083945065972</v>
      </c>
      <c r="AN5292">
        <v>0.99999999272786499</v>
      </c>
    </row>
    <row r="5293" spans="1:40" x14ac:dyDescent="0.25">
      <c r="A5293" t="str">
        <f>"20190312151423157"</f>
        <v>20190312151423157</v>
      </c>
      <c r="B5293" t="str">
        <f>"1552374863145955"</f>
        <v>1552374863145955</v>
      </c>
      <c r="C5293" t="s">
        <v>40</v>
      </c>
      <c r="D5293">
        <v>4.8936419999999998</v>
      </c>
      <c r="E5293">
        <v>0.48428149999999998</v>
      </c>
      <c r="F5293" t="s">
        <v>59</v>
      </c>
      <c r="G5293">
        <v>-289.12310000000002</v>
      </c>
      <c r="H5293" s="1">
        <v>-1.395731E-6</v>
      </c>
      <c r="I5293">
        <v>-60.255490000000002</v>
      </c>
      <c r="J5293">
        <v>-295.60629999999998</v>
      </c>
      <c r="K5293">
        <v>1.1196980000000001</v>
      </c>
      <c r="L5293">
        <v>-55.275759999999998</v>
      </c>
      <c r="M5293">
        <v>0.52603199999999894</v>
      </c>
      <c r="N5293">
        <v>0</v>
      </c>
      <c r="O5293">
        <v>-0.850365699999999</v>
      </c>
      <c r="P5293">
        <v>0.72960219999999998</v>
      </c>
      <c r="Q5293">
        <v>9.6845820000000006E-3</v>
      </c>
      <c r="R5293">
        <v>-0.68380299999999905</v>
      </c>
      <c r="S5293">
        <v>2.3692319999999998</v>
      </c>
      <c r="T5293">
        <v>-0.39791500000000002</v>
      </c>
      <c r="U5293">
        <v>-1.8707579999999999</v>
      </c>
      <c r="V5293">
        <v>-0.2612159</v>
      </c>
      <c r="W5293">
        <v>1.580107E-2</v>
      </c>
      <c r="X5293">
        <v>0.96515110000000004</v>
      </c>
      <c r="Y5293">
        <v>-0.33455400000000002</v>
      </c>
      <c r="Z5293">
        <v>0.1231844</v>
      </c>
      <c r="AA5293">
        <v>0.93429079999999998</v>
      </c>
      <c r="AB5293">
        <v>34</v>
      </c>
      <c r="AC5293">
        <v>6.4831999999999503</v>
      </c>
      <c r="AD5293">
        <v>-1.119699395731</v>
      </c>
      <c r="AE5293">
        <v>-4.97973</v>
      </c>
      <c r="AF5293">
        <v>-2.8405485644078001</v>
      </c>
      <c r="AG5293">
        <v>-1.119699395731</v>
      </c>
      <c r="AH5293">
        <v>7.5048157183329396</v>
      </c>
      <c r="AI5293">
        <v>97.9435828271547</v>
      </c>
      <c r="AJ5293">
        <v>110.73149280145201</v>
      </c>
      <c r="AK5293">
        <v>8.1021418063186701</v>
      </c>
      <c r="AL5293">
        <v>89.0946277298236</v>
      </c>
      <c r="AM5293">
        <v>105.144157020516</v>
      </c>
      <c r="AN5293">
        <v>1.0000000330285801</v>
      </c>
    </row>
    <row r="5294" spans="1:40" x14ac:dyDescent="0.25">
      <c r="A5294" t="str">
        <f>"20190312151423180"</f>
        <v>20190312151423180</v>
      </c>
      <c r="B5294" t="str">
        <f>"1552374863176211"</f>
        <v>1552374863176211</v>
      </c>
      <c r="C5294" t="s">
        <v>40</v>
      </c>
      <c r="D5294">
        <v>4.9091589999999998</v>
      </c>
      <c r="E5294">
        <v>0.48627300000000001</v>
      </c>
      <c r="F5294" t="s">
        <v>59</v>
      </c>
      <c r="G5294">
        <v>-288.48430000000002</v>
      </c>
      <c r="H5294" s="1">
        <v>-4.0990960000000002E-6</v>
      </c>
      <c r="I5294">
        <v>-61.374070000000003</v>
      </c>
      <c r="J5294">
        <v>-295.42469999999997</v>
      </c>
      <c r="K5294">
        <v>1.1198619999999999</v>
      </c>
      <c r="L5294">
        <v>-55.550840000000001</v>
      </c>
      <c r="M5294">
        <v>0.53546830000000001</v>
      </c>
      <c r="N5294">
        <v>0</v>
      </c>
      <c r="O5294">
        <v>-0.84445509999999901</v>
      </c>
      <c r="P5294">
        <v>0.73737419999999998</v>
      </c>
      <c r="Q5294">
        <v>8.3560279999999997E-3</v>
      </c>
      <c r="R5294">
        <v>-0.6754329</v>
      </c>
      <c r="S5294">
        <v>2.2837830000000001</v>
      </c>
      <c r="T5294">
        <v>-0.35905340000000002</v>
      </c>
      <c r="U5294">
        <v>-1.9555359999999999</v>
      </c>
      <c r="V5294">
        <v>-0.26147049999999999</v>
      </c>
      <c r="W5294">
        <v>1.438741E-2</v>
      </c>
      <c r="X5294">
        <v>0.96510419999999997</v>
      </c>
      <c r="Y5294">
        <v>-0.28785500000000003</v>
      </c>
      <c r="Z5294">
        <v>0.1096259</v>
      </c>
      <c r="AA5294">
        <v>0.95137879999999997</v>
      </c>
      <c r="AB5294">
        <v>34</v>
      </c>
      <c r="AC5294">
        <v>6.9403999999999497</v>
      </c>
      <c r="AD5294">
        <v>-1.1198660990960001</v>
      </c>
      <c r="AE5294">
        <v>-5.8232299999999899</v>
      </c>
      <c r="AF5294">
        <v>-2.7016542937125299</v>
      </c>
      <c r="AG5294">
        <v>-1.1198660990960001</v>
      </c>
      <c r="AH5294">
        <v>8.50460812415829</v>
      </c>
      <c r="AI5294">
        <v>97.153081417861301</v>
      </c>
      <c r="AJ5294">
        <v>107.623463222506</v>
      </c>
      <c r="AK5294">
        <v>8.9934084388589302</v>
      </c>
      <c r="AL5294">
        <v>89.175633660849897</v>
      </c>
      <c r="AM5294">
        <v>105.158941475494</v>
      </c>
      <c r="AN5294">
        <v>0.99999996839719796</v>
      </c>
    </row>
    <row r="5295" spans="1:40" x14ac:dyDescent="0.25">
      <c r="A5295" t="str">
        <f>"20190312151423200"</f>
        <v>20190312151423200</v>
      </c>
      <c r="B5295" t="str">
        <f>"1552374863195730"</f>
        <v>1552374863195730</v>
      </c>
      <c r="C5295" t="s">
        <v>40</v>
      </c>
      <c r="D5295">
        <v>4.9972529999999997</v>
      </c>
      <c r="E5295">
        <v>0.4871007</v>
      </c>
      <c r="F5295" t="s">
        <v>59</v>
      </c>
      <c r="G5295">
        <v>-288.21409999999997</v>
      </c>
      <c r="H5295" s="1">
        <v>-4.1864430000000004E-6</v>
      </c>
      <c r="I5295">
        <v>-61.647509999999997</v>
      </c>
      <c r="J5295">
        <v>-295.24849999999998</v>
      </c>
      <c r="K5295">
        <v>1.1200349999999999</v>
      </c>
      <c r="L5295">
        <v>-55.811039999999998</v>
      </c>
      <c r="M5295">
        <v>0.54456669999999996</v>
      </c>
      <c r="N5295">
        <v>0</v>
      </c>
      <c r="O5295">
        <v>-0.83861609999999998</v>
      </c>
      <c r="P5295">
        <v>0.74471960000000004</v>
      </c>
      <c r="Q5295">
        <v>8.4850789999999995E-3</v>
      </c>
      <c r="R5295">
        <v>-0.66732389999999997</v>
      </c>
      <c r="S5295">
        <v>2.2950439999999999</v>
      </c>
      <c r="T5295">
        <v>-0.35643900000000001</v>
      </c>
      <c r="U5295">
        <v>-1.940491</v>
      </c>
      <c r="V5295">
        <v>-0.26160559999999999</v>
      </c>
      <c r="W5295">
        <v>1.443652E-2</v>
      </c>
      <c r="X5295">
        <v>0.96506689999999995</v>
      </c>
      <c r="Y5295">
        <v>-0.28355370000000002</v>
      </c>
      <c r="Z5295">
        <v>0.1082042</v>
      </c>
      <c r="AA5295">
        <v>0.95283220000000002</v>
      </c>
      <c r="AB5295">
        <v>34</v>
      </c>
      <c r="AC5295">
        <v>7.0343999999999998</v>
      </c>
      <c r="AD5295">
        <v>-1.1200391864429999</v>
      </c>
      <c r="AE5295">
        <v>-5.8364699999999896</v>
      </c>
      <c r="AF5295">
        <v>-2.6807924163453398</v>
      </c>
      <c r="AG5295">
        <v>-1.1200391864429999</v>
      </c>
      <c r="AH5295">
        <v>8.5969146219264196</v>
      </c>
      <c r="AI5295">
        <v>97.089865595523605</v>
      </c>
      <c r="AJ5295">
        <v>107.319145516809</v>
      </c>
      <c r="AK5295">
        <v>9.0745841103267502</v>
      </c>
      <c r="AL5295">
        <v>89.172819609055793</v>
      </c>
      <c r="AM5295">
        <v>105.166972484178</v>
      </c>
      <c r="AN5295">
        <v>1.0000000122683399</v>
      </c>
    </row>
    <row r="5296" spans="1:40" x14ac:dyDescent="0.25">
      <c r="A5296" t="str">
        <f>"20190312151423224"</f>
        <v>20190312151423224</v>
      </c>
      <c r="B5296" t="str">
        <f>"1552374863216226"</f>
        <v>1552374863216226</v>
      </c>
      <c r="C5296" t="s">
        <v>40</v>
      </c>
      <c r="D5296">
        <v>4.9569400000000003</v>
      </c>
      <c r="E5296">
        <v>0.48786109999999999</v>
      </c>
      <c r="F5296" t="s">
        <v>59</v>
      </c>
      <c r="G5296">
        <v>-287.92009999999999</v>
      </c>
      <c r="H5296" s="1">
        <v>-4.2900959999999997E-6</v>
      </c>
      <c r="I5296">
        <v>-61.896210000000004</v>
      </c>
      <c r="J5296">
        <v>-295.0455</v>
      </c>
      <c r="K5296">
        <v>1.12022</v>
      </c>
      <c r="L5296">
        <v>-56.103729999999999</v>
      </c>
      <c r="M5296">
        <v>0.55499639999999995</v>
      </c>
      <c r="N5296">
        <v>0</v>
      </c>
      <c r="O5296">
        <v>-0.83174969999999904</v>
      </c>
      <c r="P5296">
        <v>0.75284790000000001</v>
      </c>
      <c r="Q5296">
        <v>8.8280839999999999E-3</v>
      </c>
      <c r="R5296">
        <v>-0.65813569999999999</v>
      </c>
      <c r="S5296">
        <v>2.3120729999999998</v>
      </c>
      <c r="T5296">
        <v>-0.35336430000000002</v>
      </c>
      <c r="U5296">
        <v>-1.9198299999999999</v>
      </c>
      <c r="V5296">
        <v>-0.261409</v>
      </c>
      <c r="W5296">
        <v>1.4696849999999999E-2</v>
      </c>
      <c r="X5296">
        <v>0.96511619999999998</v>
      </c>
      <c r="Y5296">
        <v>-0.28020400000000001</v>
      </c>
      <c r="Z5296">
        <v>0.1065509</v>
      </c>
      <c r="AA5296">
        <v>0.95400870000000004</v>
      </c>
      <c r="AB5296">
        <v>34</v>
      </c>
      <c r="AC5296">
        <v>7.1254000000000097</v>
      </c>
      <c r="AD5296">
        <v>-1.120224290096</v>
      </c>
      <c r="AE5296">
        <v>-5.7924799999999896</v>
      </c>
      <c r="AF5296">
        <v>-2.6722087276588198</v>
      </c>
      <c r="AG5296">
        <v>-1.120224290096</v>
      </c>
      <c r="AH5296">
        <v>8.6445693864324493</v>
      </c>
      <c r="AI5296">
        <v>97.057692989658193</v>
      </c>
      <c r="AJ5296">
        <v>107.177421641725</v>
      </c>
      <c r="AK5296">
        <v>9.1172463946710494</v>
      </c>
      <c r="AL5296">
        <v>89.1579021815066</v>
      </c>
      <c r="AM5296">
        <v>105.155360215531</v>
      </c>
      <c r="AN5296">
        <v>0.99999997109168004</v>
      </c>
    </row>
    <row r="5297" spans="1:40" x14ac:dyDescent="0.25">
      <c r="A5297" t="str">
        <f>"20190312151423248"</f>
        <v>20190312151423248</v>
      </c>
      <c r="B5297" t="str">
        <f>"1552374863245507"</f>
        <v>1552374863245507</v>
      </c>
      <c r="C5297" t="s">
        <v>40</v>
      </c>
      <c r="D5297">
        <v>4.9312110000000002</v>
      </c>
      <c r="E5297">
        <v>0.48907990000000001</v>
      </c>
      <c r="F5297" t="s">
        <v>59</v>
      </c>
      <c r="G5297">
        <v>-287.5539</v>
      </c>
      <c r="H5297" s="1">
        <v>-4.4210289999999998E-6</v>
      </c>
      <c r="I5297">
        <v>-62.195819999999998</v>
      </c>
      <c r="J5297">
        <v>-294.82850000000002</v>
      </c>
      <c r="K5297">
        <v>1.12043</v>
      </c>
      <c r="L5297">
        <v>-56.407290000000003</v>
      </c>
      <c r="M5297">
        <v>0.56607169999999996</v>
      </c>
      <c r="N5297">
        <v>0</v>
      </c>
      <c r="O5297">
        <v>-0.82425139999999997</v>
      </c>
      <c r="P5297">
        <v>0.76179960000000002</v>
      </c>
      <c r="Q5297">
        <v>8.8971689999999999E-3</v>
      </c>
      <c r="R5297">
        <v>-0.64775159999999998</v>
      </c>
      <c r="S5297">
        <v>2.331512</v>
      </c>
      <c r="T5297">
        <v>-0.34863329999999998</v>
      </c>
      <c r="U5297">
        <v>-1.895966</v>
      </c>
      <c r="V5297">
        <v>-0.26174180000000002</v>
      </c>
      <c r="W5297">
        <v>1.4662039999999999E-2</v>
      </c>
      <c r="X5297">
        <v>0.96502659999999996</v>
      </c>
      <c r="Y5297">
        <v>-0.27732269999999998</v>
      </c>
      <c r="Z5297">
        <v>0.1043661</v>
      </c>
      <c r="AA5297">
        <v>0.95509149999999998</v>
      </c>
      <c r="AB5297">
        <v>34</v>
      </c>
      <c r="AC5297">
        <v>7.2746000000000199</v>
      </c>
      <c r="AD5297">
        <v>-1.120434421029</v>
      </c>
      <c r="AE5297">
        <v>-5.78852999999999</v>
      </c>
      <c r="AF5297">
        <v>-2.6806732531519799</v>
      </c>
      <c r="AG5297">
        <v>-1.120434421029</v>
      </c>
      <c r="AH5297">
        <v>8.7626361550963292</v>
      </c>
      <c r="AI5297">
        <v>96.971032841576601</v>
      </c>
      <c r="AJ5297">
        <v>107.009964844911</v>
      </c>
      <c r="AK5297">
        <v>9.2317481967714201</v>
      </c>
      <c r="AL5297">
        <v>89.159896922144895</v>
      </c>
      <c r="AM5297">
        <v>105.175109337084</v>
      </c>
      <c r="AN5297">
        <v>1.0000000419958699</v>
      </c>
    </row>
    <row r="5298" spans="1:40" x14ac:dyDescent="0.25">
      <c r="A5298" t="str">
        <f>"20190312151423287"</f>
        <v>20190312151423287</v>
      </c>
      <c r="B5298" t="str">
        <f>"1552374863275762"</f>
        <v>1552374863275762</v>
      </c>
      <c r="C5298" t="s">
        <v>40</v>
      </c>
      <c r="D5298">
        <v>4.9575189999999996</v>
      </c>
      <c r="E5298">
        <v>0.49061650000000001</v>
      </c>
      <c r="F5298" t="s">
        <v>59</v>
      </c>
      <c r="G5298">
        <v>-287.29129999999998</v>
      </c>
      <c r="H5298" s="1">
        <v>-4.51534E-6</v>
      </c>
      <c r="I5298">
        <v>-62.408470000000001</v>
      </c>
      <c r="J5298">
        <v>-294.47829999999999</v>
      </c>
      <c r="K5298">
        <v>1.1207450000000001</v>
      </c>
      <c r="L5298">
        <v>-56.879359999999998</v>
      </c>
      <c r="M5298">
        <v>0.58375940000000004</v>
      </c>
      <c r="N5298">
        <v>0</v>
      </c>
      <c r="O5298">
        <v>-0.81181939999999997</v>
      </c>
      <c r="P5298">
        <v>0.77684980000000003</v>
      </c>
      <c r="Q5298">
        <v>7.7086519999999999E-3</v>
      </c>
      <c r="R5298">
        <v>-0.6296387</v>
      </c>
      <c r="S5298">
        <v>2.350708</v>
      </c>
      <c r="T5298">
        <v>-0.34943960000000002</v>
      </c>
      <c r="U5298">
        <v>-1.8716429999999999</v>
      </c>
      <c r="V5298">
        <v>-0.26358670000000001</v>
      </c>
      <c r="W5298">
        <v>1.327125E-2</v>
      </c>
      <c r="X5298">
        <v>0.96454439999999997</v>
      </c>
      <c r="Y5298">
        <v>-0.26645780000000002</v>
      </c>
      <c r="Z5298">
        <v>0.10308390000000001</v>
      </c>
      <c r="AA5298">
        <v>0.95831829999999996</v>
      </c>
      <c r="AB5298">
        <v>34</v>
      </c>
      <c r="AC5298">
        <v>7.18700000000001</v>
      </c>
      <c r="AD5298">
        <v>-1.12074951534</v>
      </c>
      <c r="AE5298">
        <v>-5.5291099999999904</v>
      </c>
      <c r="AF5298">
        <v>-2.5678755569018898</v>
      </c>
      <c r="AG5298">
        <v>-1.12074951534</v>
      </c>
      <c r="AH5298">
        <v>8.5541976137366404</v>
      </c>
      <c r="AI5298">
        <v>97.152402157754906</v>
      </c>
      <c r="AJ5298">
        <v>106.70917559860101</v>
      </c>
      <c r="AK5298">
        <v>9.0013532964064193</v>
      </c>
      <c r="AL5298">
        <v>89.239591053854596</v>
      </c>
      <c r="AM5298">
        <v>105.28437029611599</v>
      </c>
      <c r="AN5298">
        <v>0.999999987032406</v>
      </c>
    </row>
    <row r="5299" spans="1:40" x14ac:dyDescent="0.25">
      <c r="A5299" t="str">
        <f>"20190312151423311"</f>
        <v>20190312151423311</v>
      </c>
      <c r="B5299" t="str">
        <f>"1552374863306019"</f>
        <v>1552374863306019</v>
      </c>
      <c r="C5299" t="s">
        <v>40</v>
      </c>
      <c r="D5299">
        <v>4.9366339999999997</v>
      </c>
      <c r="E5299">
        <v>0.50196450000000004</v>
      </c>
      <c r="F5299" t="s">
        <v>59</v>
      </c>
      <c r="G5299">
        <v>-286.92380000000003</v>
      </c>
      <c r="H5299" s="1">
        <v>-4.6560879999999999E-6</v>
      </c>
      <c r="I5299">
        <v>-62.656750000000002</v>
      </c>
      <c r="J5299">
        <v>-294.25150000000002</v>
      </c>
      <c r="K5299">
        <v>1.12094</v>
      </c>
      <c r="L5299">
        <v>-57.173029999999997</v>
      </c>
      <c r="M5299">
        <v>0.59505649999999999</v>
      </c>
      <c r="N5299">
        <v>0</v>
      </c>
      <c r="O5299">
        <v>-0.80357460000000003</v>
      </c>
      <c r="P5299">
        <v>0.78608520000000004</v>
      </c>
      <c r="Q5299">
        <v>7.1961229999999996E-3</v>
      </c>
      <c r="R5299">
        <v>-0.61807639999999997</v>
      </c>
      <c r="S5299">
        <v>2.3862000000000001</v>
      </c>
      <c r="T5299">
        <v>-0.35400320000000002</v>
      </c>
      <c r="U5299">
        <v>-1.8248599999999999</v>
      </c>
      <c r="V5299">
        <v>-0.26436330000000002</v>
      </c>
      <c r="W5299">
        <v>1.2649499999999999E-2</v>
      </c>
      <c r="X5299">
        <v>0.96434019999999998</v>
      </c>
      <c r="Y5299">
        <v>-0.27159850000000002</v>
      </c>
      <c r="Z5299">
        <v>0.103852399999999</v>
      </c>
      <c r="AA5299">
        <v>0.95679099999999995</v>
      </c>
      <c r="AB5299">
        <v>34</v>
      </c>
      <c r="AC5299">
        <v>7.3276999999999903</v>
      </c>
      <c r="AD5299">
        <v>-1.1209446560879901</v>
      </c>
      <c r="AE5299">
        <v>-5.4837199999999902</v>
      </c>
      <c r="AF5299">
        <v>-2.5866603591291502</v>
      </c>
      <c r="AG5299">
        <v>-1.1209446560879901</v>
      </c>
      <c r="AH5299">
        <v>8.6381688348052492</v>
      </c>
      <c r="AI5299">
        <v>97.086239021850204</v>
      </c>
      <c r="AJ5299">
        <v>106.670089933583</v>
      </c>
      <c r="AK5299">
        <v>9.0865444231623709</v>
      </c>
      <c r="AL5299">
        <v>89.275217702226698</v>
      </c>
      <c r="AM5299">
        <v>105.33038021943</v>
      </c>
      <c r="AN5299">
        <v>0.99999999278658902</v>
      </c>
    </row>
    <row r="5300" spans="1:40" x14ac:dyDescent="0.25">
      <c r="A5300" t="str">
        <f>"20190312151423331"</f>
        <v>20190312151423331</v>
      </c>
      <c r="B5300" t="str">
        <f>"1552374863325539"</f>
        <v>1552374863325539</v>
      </c>
      <c r="C5300" t="s">
        <v>40</v>
      </c>
      <c r="D5300">
        <v>4.9013269999999904</v>
      </c>
      <c r="E5300">
        <v>0.50379010000000002</v>
      </c>
      <c r="F5300" t="s">
        <v>59</v>
      </c>
      <c r="G5300">
        <v>-287.10840000000002</v>
      </c>
      <c r="H5300" s="1">
        <v>-4.5360630000000001E-6</v>
      </c>
      <c r="I5300">
        <v>-62.808900000000001</v>
      </c>
      <c r="J5300">
        <v>-294.06569999999999</v>
      </c>
      <c r="K5300">
        <v>1.1210960000000001</v>
      </c>
      <c r="L5300">
        <v>-57.40775</v>
      </c>
      <c r="M5300">
        <v>0.60421349999999996</v>
      </c>
      <c r="N5300">
        <v>0</v>
      </c>
      <c r="O5300">
        <v>-0.79671199999999998</v>
      </c>
      <c r="P5300">
        <v>0.7935316</v>
      </c>
      <c r="Q5300">
        <v>6.8499399999999997E-3</v>
      </c>
      <c r="R5300">
        <v>-0.60849089999999995</v>
      </c>
      <c r="S5300">
        <v>2.3573300000000001</v>
      </c>
      <c r="T5300">
        <v>-0.36992930000000002</v>
      </c>
      <c r="U5300">
        <v>-1.8599239999999999</v>
      </c>
      <c r="V5300">
        <v>-0.26502910000000002</v>
      </c>
      <c r="W5300">
        <v>1.2218E-2</v>
      </c>
      <c r="X5300">
        <v>0.96416299999999999</v>
      </c>
      <c r="Y5300">
        <v>-0.24567839999999999</v>
      </c>
      <c r="Z5300">
        <v>0.106822</v>
      </c>
      <c r="AA5300">
        <v>0.96344750000000001</v>
      </c>
      <c r="AB5300">
        <v>34</v>
      </c>
      <c r="AC5300">
        <v>6.9572999999999698</v>
      </c>
      <c r="AD5300">
        <v>-1.121100536063</v>
      </c>
      <c r="AE5300">
        <v>-5.4011500000000003</v>
      </c>
      <c r="AF5300">
        <v>-2.2433710043975199</v>
      </c>
      <c r="AG5300">
        <v>-1.121100536063</v>
      </c>
      <c r="AH5300">
        <v>8.3719648108457196</v>
      </c>
      <c r="AI5300">
        <v>97.370169741795294</v>
      </c>
      <c r="AJ5300">
        <v>105.000701069453</v>
      </c>
      <c r="AK5300">
        <v>8.7395294306599407</v>
      </c>
      <c r="AL5300">
        <v>89.299942745682102</v>
      </c>
      <c r="AM5300">
        <v>105.36985755554601</v>
      </c>
      <c r="AN5300">
        <v>0.99999999696990505</v>
      </c>
    </row>
    <row r="5301" spans="1:40" x14ac:dyDescent="0.25">
      <c r="A5301" t="str">
        <f>"20190312151423354"</f>
        <v>20190312151423354</v>
      </c>
      <c r="B5301" t="str">
        <f>"1552374863346035"</f>
        <v>1552374863346035</v>
      </c>
      <c r="C5301" t="s">
        <v>40</v>
      </c>
      <c r="D5301">
        <v>4.9444559999999997</v>
      </c>
      <c r="E5301">
        <v>0.50442019999999999</v>
      </c>
      <c r="F5301" t="s">
        <v>59</v>
      </c>
      <c r="G5301">
        <v>-286.84780000000001</v>
      </c>
      <c r="H5301" s="1">
        <v>-4.6303289999999997E-6</v>
      </c>
      <c r="I5301">
        <v>-63.016120000000001</v>
      </c>
      <c r="J5301">
        <v>-293.851</v>
      </c>
      <c r="K5301">
        <v>1.121265</v>
      </c>
      <c r="L5301">
        <v>-57.671880000000002</v>
      </c>
      <c r="M5301">
        <v>0.61469219999999902</v>
      </c>
      <c r="N5301">
        <v>0</v>
      </c>
      <c r="O5301">
        <v>-0.78865469999999904</v>
      </c>
      <c r="P5301">
        <v>0.80205969999999904</v>
      </c>
      <c r="Q5301">
        <v>6.733363E-3</v>
      </c>
      <c r="R5301">
        <v>-0.59720589999999996</v>
      </c>
      <c r="S5301">
        <v>2.3710330000000002</v>
      </c>
      <c r="T5301">
        <v>-0.36827470000000001</v>
      </c>
      <c r="U5301">
        <v>-1.8423160000000001</v>
      </c>
      <c r="V5301">
        <v>-0.26592389999999999</v>
      </c>
      <c r="W5301">
        <v>1.199771E-2</v>
      </c>
      <c r="X5301">
        <v>0.96391939999999998</v>
      </c>
      <c r="Y5301">
        <v>-0.2401385</v>
      </c>
      <c r="Z5301">
        <v>0.1053161</v>
      </c>
      <c r="AA5301">
        <v>0.9650088</v>
      </c>
      <c r="AB5301">
        <v>34</v>
      </c>
      <c r="AC5301">
        <v>7.0031999999999899</v>
      </c>
      <c r="AD5301">
        <v>-1.121269630329</v>
      </c>
      <c r="AE5301">
        <v>-5.3442399999999903</v>
      </c>
      <c r="AF5301">
        <v>-2.20255993101626</v>
      </c>
      <c r="AG5301">
        <v>-1.121269630329</v>
      </c>
      <c r="AH5301">
        <v>8.3844952194422095</v>
      </c>
      <c r="AI5301">
        <v>97.369885590177404</v>
      </c>
      <c r="AJ5301">
        <v>104.71872361577201</v>
      </c>
      <c r="AK5301">
        <v>8.7411827528353303</v>
      </c>
      <c r="AL5301">
        <v>89.312565386264794</v>
      </c>
      <c r="AM5301">
        <v>105.422995392638</v>
      </c>
      <c r="AN5301">
        <v>1.0000000376664</v>
      </c>
    </row>
    <row r="5302" spans="1:40" x14ac:dyDescent="0.25">
      <c r="A5302" t="str">
        <f>"20190312151423379"</f>
        <v>20190312151423379</v>
      </c>
      <c r="B5302" t="str">
        <f>"1552374863376291"</f>
        <v>1552374863376291</v>
      </c>
      <c r="C5302" t="s">
        <v>40</v>
      </c>
      <c r="D5302">
        <v>4.8990369999999999</v>
      </c>
      <c r="E5302">
        <v>0.45672560000000001</v>
      </c>
      <c r="F5302" t="s">
        <v>59</v>
      </c>
      <c r="G5302">
        <v>-286.46960000000001</v>
      </c>
      <c r="H5302" s="1">
        <v>-4.7767380000000001E-6</v>
      </c>
      <c r="I5302">
        <v>-63.262700000000002</v>
      </c>
      <c r="J5302">
        <v>-293.60300000000001</v>
      </c>
      <c r="K5302">
        <v>1.121459</v>
      </c>
      <c r="L5302">
        <v>-57.968200000000003</v>
      </c>
      <c r="M5302">
        <v>0.62665389999999999</v>
      </c>
      <c r="N5302">
        <v>0</v>
      </c>
      <c r="O5302">
        <v>-0.77918299999999996</v>
      </c>
      <c r="P5302">
        <v>0.81168609999999997</v>
      </c>
      <c r="Q5302">
        <v>6.9465619999999999E-3</v>
      </c>
      <c r="R5302">
        <v>-0.58405280000000004</v>
      </c>
      <c r="S5302">
        <v>2.3935240000000002</v>
      </c>
      <c r="T5302">
        <v>-0.36359229999999998</v>
      </c>
      <c r="U5302">
        <v>-1.812927</v>
      </c>
      <c r="V5302">
        <v>-0.26694020000000002</v>
      </c>
      <c r="W5302">
        <v>1.20926E-2</v>
      </c>
      <c r="X5302">
        <v>0.96363719999999997</v>
      </c>
      <c r="Y5302">
        <v>-0.23742650000000001</v>
      </c>
      <c r="Z5302">
        <v>0.10292709999999999</v>
      </c>
      <c r="AA5302">
        <v>0.96593720000000005</v>
      </c>
      <c r="AB5302">
        <v>34</v>
      </c>
      <c r="AC5302">
        <v>7.1333999999999902</v>
      </c>
      <c r="AD5302">
        <v>-1.121463776738</v>
      </c>
      <c r="AE5302">
        <v>-5.2944999999999904</v>
      </c>
      <c r="AF5302">
        <v>-2.2054574114463099</v>
      </c>
      <c r="AG5302">
        <v>-1.121463776738</v>
      </c>
      <c r="AH5302">
        <v>8.4614773330312207</v>
      </c>
      <c r="AI5302">
        <v>97.308437213738202</v>
      </c>
      <c r="AJ5302">
        <v>104.60892575318699</v>
      </c>
      <c r="AK5302">
        <v>8.8157995697293501</v>
      </c>
      <c r="AL5302">
        <v>89.307128153668799</v>
      </c>
      <c r="AM5302">
        <v>105.483432598531</v>
      </c>
      <c r="AN5302">
        <v>0.99999997728731904</v>
      </c>
    </row>
    <row r="5303" spans="1:40" x14ac:dyDescent="0.25">
      <c r="A5303" t="str">
        <f>"20190312151423398"</f>
        <v>20190312151423398</v>
      </c>
      <c r="B5303" t="str">
        <f>"1552374863395812"</f>
        <v>1552374863395812</v>
      </c>
      <c r="C5303" t="s">
        <v>40</v>
      </c>
      <c r="D5303">
        <v>4.8379779999999997</v>
      </c>
      <c r="E5303">
        <v>0.43863190000000002</v>
      </c>
      <c r="F5303" t="s">
        <v>59</v>
      </c>
      <c r="G5303">
        <v>-287.08539999999999</v>
      </c>
      <c r="H5303" s="1">
        <v>-4.7680300000000003E-6</v>
      </c>
      <c r="I5303">
        <v>-61.570790000000002</v>
      </c>
      <c r="J5303">
        <v>-293.4144</v>
      </c>
      <c r="K5303">
        <v>1.1216120000000001</v>
      </c>
      <c r="L5303">
        <v>-58.1873199999999</v>
      </c>
      <c r="M5303">
        <v>0.63565169999999904</v>
      </c>
      <c r="N5303">
        <v>0</v>
      </c>
      <c r="O5303">
        <v>-0.77185979999999998</v>
      </c>
      <c r="P5303">
        <v>0.81929599999999903</v>
      </c>
      <c r="Q5303">
        <v>7.6513669999999897E-3</v>
      </c>
      <c r="R5303">
        <v>-0.5733203</v>
      </c>
      <c r="S5303">
        <v>2.6470639999999999</v>
      </c>
      <c r="T5303">
        <v>-0.45547510000000002</v>
      </c>
      <c r="U5303">
        <v>-1.463165</v>
      </c>
      <c r="V5303">
        <v>-0.26846239999999999</v>
      </c>
      <c r="W5303">
        <v>1.26824E-2</v>
      </c>
      <c r="X5303">
        <v>0.96320660000000002</v>
      </c>
      <c r="Y5303">
        <v>-0.35828330000000003</v>
      </c>
      <c r="Z5303">
        <v>0.1329014</v>
      </c>
      <c r="AA5303">
        <v>0.92410519999999996</v>
      </c>
      <c r="AB5303">
        <v>34</v>
      </c>
      <c r="AC5303">
        <v>6.3289999999999997</v>
      </c>
      <c r="AD5303">
        <v>-1.12161676803</v>
      </c>
      <c r="AE5303">
        <v>-3.38347</v>
      </c>
      <c r="AF5303">
        <v>-2.66943465558793</v>
      </c>
      <c r="AG5303">
        <v>-1.12161676803</v>
      </c>
      <c r="AH5303">
        <v>6.4769940342154797</v>
      </c>
      <c r="AI5303">
        <v>99.096124611980201</v>
      </c>
      <c r="AJ5303">
        <v>112.398566023877</v>
      </c>
      <c r="AK5303">
        <v>7.0947415227084099</v>
      </c>
      <c r="AL5303">
        <v>89.273332473405802</v>
      </c>
      <c r="AM5303">
        <v>105.57407662479901</v>
      </c>
      <c r="AN5303">
        <v>0.99999992888353695</v>
      </c>
    </row>
    <row r="5304" spans="1:40" x14ac:dyDescent="0.25">
      <c r="A5304" t="str">
        <f>"20190312151423422"</f>
        <v>20190312151423422</v>
      </c>
      <c r="B5304" t="str">
        <f>"1552374863416306"</f>
        <v>1552374863416306</v>
      </c>
      <c r="C5304" t="s">
        <v>40</v>
      </c>
      <c r="D5304">
        <v>4.8909760000000002</v>
      </c>
      <c r="E5304">
        <v>0.42923840000000002</v>
      </c>
      <c r="F5304" t="s">
        <v>59</v>
      </c>
      <c r="G5304">
        <v>-286.5763</v>
      </c>
      <c r="H5304" s="1">
        <v>-5.0464340000000002E-6</v>
      </c>
      <c r="I5304">
        <v>-61.446289999999998</v>
      </c>
      <c r="J5304">
        <v>-293.18200000000002</v>
      </c>
      <c r="K5304">
        <v>1.121791</v>
      </c>
      <c r="L5304">
        <v>-58.45044</v>
      </c>
      <c r="M5304">
        <v>0.64661349999999995</v>
      </c>
      <c r="N5304">
        <v>0</v>
      </c>
      <c r="O5304">
        <v>-0.76269919999999902</v>
      </c>
      <c r="P5304">
        <v>0.82874910000000002</v>
      </c>
      <c r="Q5304">
        <v>7.556803E-3</v>
      </c>
      <c r="R5304">
        <v>-0.55956980000000001</v>
      </c>
      <c r="S5304">
        <v>2.7490839999999999</v>
      </c>
      <c r="T5304">
        <v>-0.45091550000000002</v>
      </c>
      <c r="U5304">
        <v>-1.310181</v>
      </c>
      <c r="V5304">
        <v>-0.27077639999999997</v>
      </c>
      <c r="W5304">
        <v>1.2430170000000001E-2</v>
      </c>
      <c r="X5304">
        <v>0.96256200000000003</v>
      </c>
      <c r="Y5304">
        <v>-0.40036270000000002</v>
      </c>
      <c r="Z5304">
        <v>0.13193729999999901</v>
      </c>
      <c r="AA5304">
        <v>0.90680890000000003</v>
      </c>
      <c r="AB5304">
        <v>34</v>
      </c>
      <c r="AC5304">
        <v>6.6057000000000103</v>
      </c>
      <c r="AD5304">
        <v>-1.121796046434</v>
      </c>
      <c r="AE5304">
        <v>-2.9958499999999999</v>
      </c>
      <c r="AF5304">
        <v>-3.0288366363576502</v>
      </c>
      <c r="AG5304">
        <v>-1.121796046434</v>
      </c>
      <c r="AH5304">
        <v>6.4036858854525898</v>
      </c>
      <c r="AI5304">
        <v>98.9986046796773</v>
      </c>
      <c r="AJ5304">
        <v>115.31336845476601</v>
      </c>
      <c r="AK5304">
        <v>7.1721315282893396</v>
      </c>
      <c r="AL5304">
        <v>89.287785368902604</v>
      </c>
      <c r="AM5304">
        <v>105.71171783100699</v>
      </c>
      <c r="AN5304">
        <v>0.99999998588359396</v>
      </c>
    </row>
    <row r="5305" spans="1:40" x14ac:dyDescent="0.25">
      <c r="A5305" t="str">
        <f>"20190312151423447"</f>
        <v>20190312151423447</v>
      </c>
      <c r="B5305" t="str">
        <f>"1552374863435827"</f>
        <v>1552374863435827</v>
      </c>
      <c r="C5305" t="s">
        <v>40</v>
      </c>
      <c r="D5305">
        <v>4.8720660000000002</v>
      </c>
      <c r="E5305">
        <v>0.4256067</v>
      </c>
      <c r="F5305" t="s">
        <v>59</v>
      </c>
      <c r="G5305">
        <v>-286.40499999999997</v>
      </c>
      <c r="H5305" s="1">
        <v>-5.1504200000000004E-6</v>
      </c>
      <c r="I5305">
        <v>-61.346319999999999</v>
      </c>
      <c r="J5305">
        <v>-292.93180000000001</v>
      </c>
      <c r="K5305">
        <v>1.121977</v>
      </c>
      <c r="L5305">
        <v>-58.725369999999998</v>
      </c>
      <c r="M5305">
        <v>0.65826169999999995</v>
      </c>
      <c r="N5305">
        <v>0</v>
      </c>
      <c r="O5305">
        <v>-0.75266829999999996</v>
      </c>
      <c r="P5305">
        <v>0.83807779999999998</v>
      </c>
      <c r="Q5305">
        <v>7.8832299999999998E-3</v>
      </c>
      <c r="R5305">
        <v>-0.54549409999999998</v>
      </c>
      <c r="S5305">
        <v>2.8126530000000001</v>
      </c>
      <c r="T5305">
        <v>-0.46557710000000002</v>
      </c>
      <c r="U5305">
        <v>-1.2018740000000001</v>
      </c>
      <c r="V5305">
        <v>-0.27224969999999998</v>
      </c>
      <c r="W5305">
        <v>1.262185E-2</v>
      </c>
      <c r="X5305">
        <v>0.96214379999999999</v>
      </c>
      <c r="Y5305">
        <v>-0.42263899999999999</v>
      </c>
      <c r="Z5305">
        <v>0.1357266</v>
      </c>
      <c r="AA5305">
        <v>0.89607729999999997</v>
      </c>
      <c r="AB5305">
        <v>34</v>
      </c>
      <c r="AC5305">
        <v>6.5268000000000299</v>
      </c>
      <c r="AD5305">
        <v>-1.12198215042</v>
      </c>
      <c r="AE5305">
        <v>-2.6209500000000001</v>
      </c>
      <c r="AF5305">
        <v>-3.1084329857495598</v>
      </c>
      <c r="AG5305">
        <v>-1.12198215042</v>
      </c>
      <c r="AH5305">
        <v>6.1140327426509202</v>
      </c>
      <c r="AI5305">
        <v>99.290263607071594</v>
      </c>
      <c r="AJ5305">
        <v>116.949221117988</v>
      </c>
      <c r="AK5305">
        <v>6.9500069029436604</v>
      </c>
      <c r="AL5305">
        <v>89.276802026850007</v>
      </c>
      <c r="AM5305">
        <v>105.799473325031</v>
      </c>
      <c r="AN5305">
        <v>0.99999995106297501</v>
      </c>
    </row>
    <row r="5306" spans="1:40" x14ac:dyDescent="0.25">
      <c r="A5306" t="str">
        <f>"20190312151423469"</f>
        <v>20190312151423469</v>
      </c>
      <c r="B5306" t="str">
        <f>"1552374863466083"</f>
        <v>1552374863466083</v>
      </c>
      <c r="C5306" t="s">
        <v>40</v>
      </c>
      <c r="D5306">
        <v>4.8970960000000003</v>
      </c>
      <c r="E5306">
        <v>0.4237109</v>
      </c>
      <c r="F5306" t="s">
        <v>59</v>
      </c>
      <c r="G5306">
        <v>-286.05650000000003</v>
      </c>
      <c r="H5306" s="1">
        <v>-5.3071939999999899E-6</v>
      </c>
      <c r="I5306">
        <v>-61.450789999999998</v>
      </c>
      <c r="J5306">
        <v>-292.6925</v>
      </c>
      <c r="K5306">
        <v>1.1221540000000001</v>
      </c>
      <c r="L5306">
        <v>-58.979610000000001</v>
      </c>
      <c r="M5306">
        <v>0.66923250000000001</v>
      </c>
      <c r="N5306">
        <v>0</v>
      </c>
      <c r="O5306">
        <v>-0.74292959999999997</v>
      </c>
      <c r="P5306">
        <v>0.84623689999999996</v>
      </c>
      <c r="Q5306">
        <v>7.2391529999999999E-3</v>
      </c>
      <c r="R5306">
        <v>-0.53275790000000001</v>
      </c>
      <c r="S5306">
        <v>2.8489070000000001</v>
      </c>
      <c r="T5306">
        <v>-0.46491650000000001</v>
      </c>
      <c r="U5306">
        <v>-1.1293329999999999</v>
      </c>
      <c r="V5306">
        <v>-0.27267560000000002</v>
      </c>
      <c r="W5306">
        <v>1.1887089999999999E-2</v>
      </c>
      <c r="X5306">
        <v>0.96203260000000002</v>
      </c>
      <c r="Y5306">
        <v>-0.43310989999999999</v>
      </c>
      <c r="Z5306">
        <v>0.134813299999999</v>
      </c>
      <c r="AA5306">
        <v>0.89120219999999895</v>
      </c>
      <c r="AB5306">
        <v>34</v>
      </c>
      <c r="AC5306">
        <v>6.6359999999999602</v>
      </c>
      <c r="AD5306">
        <v>-1.1221593071939999</v>
      </c>
      <c r="AE5306">
        <v>-2.4711799999999999</v>
      </c>
      <c r="AF5306">
        <v>-3.1963186387559701</v>
      </c>
      <c r="AG5306">
        <v>-1.1221593071939999</v>
      </c>
      <c r="AH5306">
        <v>6.1237309315509298</v>
      </c>
      <c r="AI5306">
        <v>99.227102609907902</v>
      </c>
      <c r="AJ5306">
        <v>117.56258166891899</v>
      </c>
      <c r="AK5306">
        <v>6.9982694198790698</v>
      </c>
      <c r="AL5306">
        <v>89.318903874657096</v>
      </c>
      <c r="AM5306">
        <v>105.824690194399</v>
      </c>
      <c r="AN5306">
        <v>1.0000000046033899</v>
      </c>
    </row>
    <row r="5307" spans="1:40" x14ac:dyDescent="0.25">
      <c r="A5307" t="str">
        <f>"20190312151423488"</f>
        <v>20190312151423488</v>
      </c>
      <c r="B5307" t="str">
        <f>"1552374863475843"</f>
        <v>1552374863475843</v>
      </c>
      <c r="C5307" t="s">
        <v>40</v>
      </c>
      <c r="D5307">
        <v>4.8049650000000002</v>
      </c>
      <c r="E5307">
        <v>0.42346529999999999</v>
      </c>
      <c r="F5307" t="s">
        <v>59</v>
      </c>
      <c r="G5307">
        <v>-285.88240000000002</v>
      </c>
      <c r="H5307" s="1">
        <v>-5.3823409999999998E-6</v>
      </c>
      <c r="I5307">
        <v>-61.52073</v>
      </c>
      <c r="J5307">
        <v>-292.49849999999998</v>
      </c>
      <c r="K5307">
        <v>1.122287</v>
      </c>
      <c r="L5307">
        <v>-59.180630000000001</v>
      </c>
      <c r="M5307">
        <v>0.67799929999999997</v>
      </c>
      <c r="N5307">
        <v>0</v>
      </c>
      <c r="O5307">
        <v>-0.73493739999999996</v>
      </c>
      <c r="P5307">
        <v>0.85275820000000002</v>
      </c>
      <c r="Q5307">
        <v>6.6825590000000002E-3</v>
      </c>
      <c r="R5307">
        <v>-0.52226349999999999</v>
      </c>
      <c r="S5307">
        <v>2.8740230000000002</v>
      </c>
      <c r="T5307">
        <v>-0.4735818</v>
      </c>
      <c r="U5307">
        <v>-1.0724180000000001</v>
      </c>
      <c r="V5307">
        <v>-0.27313720000000002</v>
      </c>
      <c r="W5307">
        <v>1.125819E-2</v>
      </c>
      <c r="X5307">
        <v>0.96190920000000002</v>
      </c>
      <c r="Y5307">
        <v>-0.44012590000000001</v>
      </c>
      <c r="Z5307">
        <v>0.1366792</v>
      </c>
      <c r="AA5307">
        <v>0.88747279999999995</v>
      </c>
      <c r="AB5307">
        <v>34</v>
      </c>
      <c r="AC5307">
        <v>6.6160999999999497</v>
      </c>
      <c r="AD5307">
        <v>-1.122292382341</v>
      </c>
      <c r="AE5307">
        <v>-2.3401000000000001</v>
      </c>
      <c r="AF5307">
        <v>-3.1944367549234198</v>
      </c>
      <c r="AG5307">
        <v>-1.122292382341</v>
      </c>
      <c r="AH5307">
        <v>6.05134578331241</v>
      </c>
      <c r="AI5307">
        <v>99.314264015333293</v>
      </c>
      <c r="AJ5307">
        <v>117.829064676692</v>
      </c>
      <c r="AK5307">
        <v>6.9341727813690399</v>
      </c>
      <c r="AL5307">
        <v>89.354939596448304</v>
      </c>
      <c r="AM5307">
        <v>105.852065342743</v>
      </c>
      <c r="AN5307">
        <v>0.99999999295527797</v>
      </c>
    </row>
    <row r="5308" spans="1:40" x14ac:dyDescent="0.25">
      <c r="A5308" t="str">
        <f>"20190312151423510"</f>
        <v>20190312151423510</v>
      </c>
      <c r="B5308" t="str">
        <f>"1552374863506099"</f>
        <v>1552374863506099</v>
      </c>
      <c r="C5308" t="s">
        <v>40</v>
      </c>
      <c r="D5308">
        <v>4.8473360000000003</v>
      </c>
      <c r="E5308">
        <v>0.42308820000000003</v>
      </c>
      <c r="F5308" t="s">
        <v>59</v>
      </c>
      <c r="G5308">
        <v>-285.67770000000002</v>
      </c>
      <c r="H5308" s="1">
        <v>-5.4666980000000001E-6</v>
      </c>
      <c r="I5308">
        <v>-61.625660000000003</v>
      </c>
      <c r="J5308">
        <v>-292.2688</v>
      </c>
      <c r="K5308">
        <v>1.122431</v>
      </c>
      <c r="L5308">
        <v>-59.412230000000001</v>
      </c>
      <c r="M5308">
        <v>0.688227699999999</v>
      </c>
      <c r="N5308">
        <v>0</v>
      </c>
      <c r="O5308">
        <v>-0.72536699999999998</v>
      </c>
      <c r="P5308">
        <v>0.86056200000000005</v>
      </c>
      <c r="Q5308">
        <v>6.5989469999999904E-3</v>
      </c>
      <c r="R5308">
        <v>-0.50930310000000001</v>
      </c>
      <c r="S5308">
        <v>2.887756</v>
      </c>
      <c r="T5308">
        <v>-0.47514859999999998</v>
      </c>
      <c r="U5308">
        <v>-1.035156</v>
      </c>
      <c r="V5308">
        <v>-0.27421640000000003</v>
      </c>
      <c r="W5308">
        <v>1.107557E-2</v>
      </c>
      <c r="X5308">
        <v>0.96160420000000002</v>
      </c>
      <c r="Y5308">
        <v>-0.4391042</v>
      </c>
      <c r="Z5308">
        <v>0.13596320000000001</v>
      </c>
      <c r="AA5308">
        <v>0.88808869999999895</v>
      </c>
      <c r="AB5308">
        <v>34</v>
      </c>
      <c r="AC5308">
        <v>6.5910999999999804</v>
      </c>
      <c r="AD5308">
        <v>-1.122436466698</v>
      </c>
      <c r="AE5308">
        <v>-2.2134299999999798</v>
      </c>
      <c r="AF5308">
        <v>-3.1751745951553199</v>
      </c>
      <c r="AG5308">
        <v>-1.122436466698</v>
      </c>
      <c r="AH5308">
        <v>5.9862841466098997</v>
      </c>
      <c r="AI5308">
        <v>99.405253803323802</v>
      </c>
      <c r="AJ5308">
        <v>117.941848734738</v>
      </c>
      <c r="AK5308">
        <v>6.8685657320467097</v>
      </c>
      <c r="AL5308">
        <v>89.365403589587103</v>
      </c>
      <c r="AM5308">
        <v>105.916324816683</v>
      </c>
      <c r="AN5308">
        <v>0.99999996986871198</v>
      </c>
    </row>
    <row r="5309" spans="1:40" x14ac:dyDescent="0.25">
      <c r="A5309" t="str">
        <f>"20190312151423532"</f>
        <v>20190312151423532</v>
      </c>
      <c r="B5309" t="str">
        <f>"1552374863525619"</f>
        <v>1552374863525619</v>
      </c>
      <c r="C5309" t="s">
        <v>40</v>
      </c>
      <c r="D5309">
        <v>4.8108360000000001</v>
      </c>
      <c r="E5309">
        <v>0.42342879999999999</v>
      </c>
      <c r="F5309" t="s">
        <v>59</v>
      </c>
      <c r="G5309">
        <v>-285.43830000000003</v>
      </c>
      <c r="H5309" s="1">
        <v>-5.567105E-6</v>
      </c>
      <c r="I5309">
        <v>-61.738419999999998</v>
      </c>
      <c r="J5309">
        <v>-292.02999999999997</v>
      </c>
      <c r="K5309">
        <v>1.122574</v>
      </c>
      <c r="L5309">
        <v>-59.646149999999999</v>
      </c>
      <c r="M5309">
        <v>0.69868379999999997</v>
      </c>
      <c r="N5309">
        <v>0</v>
      </c>
      <c r="O5309">
        <v>-0.71530019999999905</v>
      </c>
      <c r="P5309">
        <v>0.86806830000000001</v>
      </c>
      <c r="Q5309">
        <v>6.0087109999999999E-3</v>
      </c>
      <c r="R5309">
        <v>-0.49640859999999898</v>
      </c>
      <c r="S5309">
        <v>2.904388</v>
      </c>
      <c r="T5309">
        <v>-0.47726489999999999</v>
      </c>
      <c r="U5309">
        <v>-0.98910520000000002</v>
      </c>
      <c r="V5309">
        <v>-0.27459250000000002</v>
      </c>
      <c r="W5309">
        <v>1.0412329999999999E-2</v>
      </c>
      <c r="X5309">
        <v>0.96150429999999998</v>
      </c>
      <c r="Y5309">
        <v>-0.44026999999999999</v>
      </c>
      <c r="Z5309">
        <v>0.13544529999999999</v>
      </c>
      <c r="AA5309">
        <v>0.88759049999999995</v>
      </c>
      <c r="AB5309">
        <v>34</v>
      </c>
      <c r="AC5309">
        <v>6.5916999999999399</v>
      </c>
      <c r="AD5309">
        <v>-1.1225795671050001</v>
      </c>
      <c r="AE5309">
        <v>-2.0922699999999899</v>
      </c>
      <c r="AF5309">
        <v>-3.1699891552011601</v>
      </c>
      <c r="AG5309">
        <v>-1.1225795671050001</v>
      </c>
      <c r="AH5309">
        <v>5.9460175557153798</v>
      </c>
      <c r="AI5309">
        <v>99.458504933536702</v>
      </c>
      <c r="AJ5309">
        <v>118.06333207098101</v>
      </c>
      <c r="AK5309">
        <v>6.8311156410538203</v>
      </c>
      <c r="AL5309">
        <v>89.403406648682903</v>
      </c>
      <c r="AM5309">
        <v>105.938618520925</v>
      </c>
      <c r="AN5309">
        <v>0.99999998829538395</v>
      </c>
    </row>
    <row r="5310" spans="1:40" x14ac:dyDescent="0.25">
      <c r="A5310" t="str">
        <f>"20190312151423554"</f>
        <v>20190312151423554</v>
      </c>
      <c r="B5310" t="str">
        <f>"1552374863546115"</f>
        <v>1552374863546115</v>
      </c>
      <c r="C5310" t="s">
        <v>40</v>
      </c>
      <c r="D5310">
        <v>4.8404030000000002</v>
      </c>
      <c r="E5310">
        <v>0.42382950000000003</v>
      </c>
      <c r="F5310" t="s">
        <v>59</v>
      </c>
      <c r="G5310">
        <v>-285.17059999999998</v>
      </c>
      <c r="H5310" s="1">
        <v>-5.6775519999999899E-6</v>
      </c>
      <c r="I5310">
        <v>-61.874720000000003</v>
      </c>
      <c r="J5310">
        <v>-291.78739999999999</v>
      </c>
      <c r="K5310">
        <v>1.1226989999999999</v>
      </c>
      <c r="L5310">
        <v>-59.876950000000001</v>
      </c>
      <c r="M5310">
        <v>0.70911740000000001</v>
      </c>
      <c r="N5310">
        <v>0</v>
      </c>
      <c r="O5310">
        <v>-0.70495739999999996</v>
      </c>
      <c r="P5310">
        <v>0.87549009999999905</v>
      </c>
      <c r="Q5310">
        <v>5.9667799999999997E-3</v>
      </c>
      <c r="R5310">
        <v>-0.4831992</v>
      </c>
      <c r="S5310">
        <v>2.9172359999999999</v>
      </c>
      <c r="T5310">
        <v>-0.47741990000000001</v>
      </c>
      <c r="U5310">
        <v>-0.94778439999999997</v>
      </c>
      <c r="V5310">
        <v>-0.27503749999999999</v>
      </c>
      <c r="W5310">
        <v>1.0298369999999999E-2</v>
      </c>
      <c r="X5310">
        <v>0.96137830000000002</v>
      </c>
      <c r="Y5310">
        <v>-0.4397353</v>
      </c>
      <c r="Z5310">
        <v>0.13428119999999999</v>
      </c>
      <c r="AA5310">
        <v>0.8880323</v>
      </c>
      <c r="AB5310">
        <v>34</v>
      </c>
      <c r="AC5310">
        <v>6.6168000000000102</v>
      </c>
      <c r="AD5310">
        <v>-1.122704677552</v>
      </c>
      <c r="AE5310">
        <v>-1.9977699999999901</v>
      </c>
      <c r="AF5310">
        <v>-3.1647141977000799</v>
      </c>
      <c r="AG5310">
        <v>-1.122704677552</v>
      </c>
      <c r="AH5310">
        <v>5.9441695792091496</v>
      </c>
      <c r="AI5310">
        <v>99.465210665060795</v>
      </c>
      <c r="AJ5310">
        <v>118.031124934403</v>
      </c>
      <c r="AK5310">
        <v>6.8270809085960797</v>
      </c>
      <c r="AL5310">
        <v>89.409936408783395</v>
      </c>
      <c r="AM5310">
        <v>105.96511883354501</v>
      </c>
      <c r="AN5310">
        <v>0.99999995927089702</v>
      </c>
    </row>
    <row r="5311" spans="1:40" x14ac:dyDescent="0.25">
      <c r="A5311" t="str">
        <f>"20190312151423577"</f>
        <v>20190312151423577</v>
      </c>
      <c r="B5311" t="str">
        <f>"1552374863565635"</f>
        <v>1552374863565635</v>
      </c>
      <c r="C5311" t="s">
        <v>40</v>
      </c>
      <c r="D5311">
        <v>4.8246149999999997</v>
      </c>
      <c r="E5311">
        <v>0.42420869999999999</v>
      </c>
      <c r="F5311" t="s">
        <v>59</v>
      </c>
      <c r="G5311">
        <v>-284.899</v>
      </c>
      <c r="H5311" s="1">
        <v>-5.7882790000000002E-6</v>
      </c>
      <c r="I5311">
        <v>-62.008150000000001</v>
      </c>
      <c r="J5311">
        <v>-291.53550000000001</v>
      </c>
      <c r="K5311">
        <v>1.122819</v>
      </c>
      <c r="L5311">
        <v>-60.109470000000002</v>
      </c>
      <c r="M5311">
        <v>0.71974209999999905</v>
      </c>
      <c r="N5311">
        <v>0</v>
      </c>
      <c r="O5311">
        <v>-0.69410569999999905</v>
      </c>
      <c r="P5311">
        <v>0.88319879999999995</v>
      </c>
      <c r="Q5311">
        <v>5.5588850000000004E-3</v>
      </c>
      <c r="R5311">
        <v>-0.4689663</v>
      </c>
      <c r="S5311">
        <v>2.9296570000000002</v>
      </c>
      <c r="T5311">
        <v>-0.47748950000000001</v>
      </c>
      <c r="U5311">
        <v>-0.90640259999999995</v>
      </c>
      <c r="V5311">
        <v>-0.27598869999999998</v>
      </c>
      <c r="W5311">
        <v>9.8020099999999999E-3</v>
      </c>
      <c r="X5311">
        <v>0.96111089999999999</v>
      </c>
      <c r="Y5311">
        <v>-0.43875999999999998</v>
      </c>
      <c r="Z5311">
        <v>0.13298260000000001</v>
      </c>
      <c r="AA5311">
        <v>0.88870990000000005</v>
      </c>
      <c r="AB5311">
        <v>34</v>
      </c>
      <c r="AC5311">
        <v>6.6365000000000096</v>
      </c>
      <c r="AD5311">
        <v>-1.1228247882789999</v>
      </c>
      <c r="AE5311">
        <v>-1.8986799999999999</v>
      </c>
      <c r="AF5311">
        <v>-3.15665522445684</v>
      </c>
      <c r="AG5311">
        <v>-1.1228247882789999</v>
      </c>
      <c r="AH5311">
        <v>5.9379147791181301</v>
      </c>
      <c r="AI5311">
        <v>99.479068497302706</v>
      </c>
      <c r="AJ5311">
        <v>117.995561068128</v>
      </c>
      <c r="AK5311">
        <v>6.8179204773401398</v>
      </c>
      <c r="AL5311">
        <v>89.438377203743897</v>
      </c>
      <c r="AM5311">
        <v>106.021733259184</v>
      </c>
      <c r="AN5311">
        <v>1.00000000201327</v>
      </c>
    </row>
    <row r="5312" spans="1:40" x14ac:dyDescent="0.25">
      <c r="A5312" t="str">
        <f>"20190312151423598"</f>
        <v>20190312151423598</v>
      </c>
      <c r="B5312" t="str">
        <f>"1552374863595891"</f>
        <v>1552374863595891</v>
      </c>
      <c r="C5312" t="s">
        <v>40</v>
      </c>
      <c r="D5312">
        <v>4.8132289999999998</v>
      </c>
      <c r="E5312">
        <v>0.42467539999999998</v>
      </c>
      <c r="F5312" t="s">
        <v>59</v>
      </c>
      <c r="G5312">
        <v>-284.66809999999998</v>
      </c>
      <c r="H5312" s="1">
        <v>-5.8755669999999998E-6</v>
      </c>
      <c r="I5312">
        <v>-62.1218</v>
      </c>
      <c r="J5312">
        <v>-291.28919999999999</v>
      </c>
      <c r="K5312">
        <v>1.122932</v>
      </c>
      <c r="L5312">
        <v>-60.330170000000003</v>
      </c>
      <c r="M5312">
        <v>0.72992860000000004</v>
      </c>
      <c r="N5312">
        <v>0</v>
      </c>
      <c r="O5312">
        <v>-0.68338489999999996</v>
      </c>
      <c r="P5312">
        <v>0.89044120000000004</v>
      </c>
      <c r="Q5312">
        <v>5.2494500000000001E-3</v>
      </c>
      <c r="R5312">
        <v>-0.45506829999999998</v>
      </c>
      <c r="S5312">
        <v>2.9420169999999999</v>
      </c>
      <c r="T5312">
        <v>-0.48102270000000003</v>
      </c>
      <c r="U5312">
        <v>-0.8620911</v>
      </c>
      <c r="V5312">
        <v>-0.27683010000000002</v>
      </c>
      <c r="W5312">
        <v>9.4119760000000007E-3</v>
      </c>
      <c r="X5312">
        <v>0.96087279999999997</v>
      </c>
      <c r="Y5312">
        <v>-0.43877769999999999</v>
      </c>
      <c r="Z5312">
        <v>0.13270470000000001</v>
      </c>
      <c r="AA5312">
        <v>0.8887427</v>
      </c>
      <c r="AB5312">
        <v>34</v>
      </c>
      <c r="AC5312">
        <v>6.62110000000001</v>
      </c>
      <c r="AD5312">
        <v>-1.1229378755670001</v>
      </c>
      <c r="AE5312">
        <v>-1.7916300000000001</v>
      </c>
      <c r="AF5312">
        <v>-3.1333240081767602</v>
      </c>
      <c r="AG5312">
        <v>-1.1229378755670001</v>
      </c>
      <c r="AH5312">
        <v>5.89975332121612</v>
      </c>
      <c r="AI5312">
        <v>99.542204388119302</v>
      </c>
      <c r="AJ5312">
        <v>117.972506305332</v>
      </c>
      <c r="AK5312">
        <v>6.77390567278586</v>
      </c>
      <c r="AL5312">
        <v>89.460725543528994</v>
      </c>
      <c r="AM5312">
        <v>106.07183684047401</v>
      </c>
      <c r="AN5312">
        <v>1.0000000136690299</v>
      </c>
    </row>
    <row r="5313" spans="1:40" x14ac:dyDescent="0.25">
      <c r="A5313" t="str">
        <f>"20190312151423622"</f>
        <v>20190312151423622</v>
      </c>
      <c r="B5313" t="str">
        <f>"1552374863615411"</f>
        <v>1552374863615411</v>
      </c>
      <c r="C5313" t="s">
        <v>40</v>
      </c>
      <c r="D5313">
        <v>4.7853579999999996</v>
      </c>
      <c r="E5313">
        <v>0.42517880000000002</v>
      </c>
      <c r="F5313" t="s">
        <v>59</v>
      </c>
      <c r="G5313">
        <v>-284.48820000000001</v>
      </c>
      <c r="H5313" s="1">
        <v>-5.9424879999999999E-6</v>
      </c>
      <c r="I5313">
        <v>-62.216679999999997</v>
      </c>
      <c r="J5313">
        <v>-291.03070000000002</v>
      </c>
      <c r="K5313">
        <v>1.1230439999999999</v>
      </c>
      <c r="L5313">
        <v>-60.554839999999999</v>
      </c>
      <c r="M5313">
        <v>0.74039299999999997</v>
      </c>
      <c r="N5313">
        <v>0</v>
      </c>
      <c r="O5313">
        <v>-0.67203239999999997</v>
      </c>
      <c r="P5313">
        <v>0.89781089999999997</v>
      </c>
      <c r="Q5313">
        <v>4.6264540000000003E-3</v>
      </c>
      <c r="R5313">
        <v>-0.44035740000000001</v>
      </c>
      <c r="S5313">
        <v>2.9533079999999998</v>
      </c>
      <c r="T5313">
        <v>-0.4876335</v>
      </c>
      <c r="U5313">
        <v>-0.81921390000000005</v>
      </c>
      <c r="V5313">
        <v>-0.27778700000000001</v>
      </c>
      <c r="W5313">
        <v>8.7053300000000007E-3</v>
      </c>
      <c r="X5313">
        <v>0.96060319999999999</v>
      </c>
      <c r="Y5313">
        <v>-0.4376042</v>
      </c>
      <c r="Z5313">
        <v>0.13306270000000001</v>
      </c>
      <c r="AA5313">
        <v>0.88926759999999905</v>
      </c>
      <c r="AB5313">
        <v>34</v>
      </c>
      <c r="AC5313">
        <v>6.5425000000000102</v>
      </c>
      <c r="AD5313">
        <v>-1.1230499424880001</v>
      </c>
      <c r="AE5313">
        <v>-1.66183999999999</v>
      </c>
      <c r="AF5313">
        <v>-3.0813686527444202</v>
      </c>
      <c r="AG5313">
        <v>-1.1230499424880001</v>
      </c>
      <c r="AH5313">
        <v>5.80083604600856</v>
      </c>
      <c r="AI5313">
        <v>99.702409256603403</v>
      </c>
      <c r="AJ5313">
        <v>117.97696698655299</v>
      </c>
      <c r="AK5313">
        <v>6.6637656606539304</v>
      </c>
      <c r="AL5313">
        <v>89.501215008764305</v>
      </c>
      <c r="AM5313">
        <v>106.12879884218999</v>
      </c>
      <c r="AN5313">
        <v>0.999999953994823</v>
      </c>
    </row>
    <row r="5314" spans="1:40" x14ac:dyDescent="0.25">
      <c r="A5314" t="str">
        <f>"20190312151423644"</f>
        <v>20190312151423644</v>
      </c>
      <c r="B5314" t="str">
        <f>"1552374863635907"</f>
        <v>1552374863635907</v>
      </c>
      <c r="C5314" t="s">
        <v>40</v>
      </c>
      <c r="D5314">
        <v>4.8092699999999997</v>
      </c>
      <c r="E5314">
        <v>0.42584490000000003</v>
      </c>
      <c r="F5314" t="s">
        <v>59</v>
      </c>
      <c r="G5314">
        <v>-284.2253</v>
      </c>
      <c r="H5314" s="1">
        <v>-6.044534E-6</v>
      </c>
      <c r="I5314">
        <v>-62.331290000000003</v>
      </c>
      <c r="J5314">
        <v>-290.77359999999999</v>
      </c>
      <c r="K5314">
        <v>1.1231420000000001</v>
      </c>
      <c r="L5314">
        <v>-60.771450000000002</v>
      </c>
      <c r="M5314">
        <v>0.75057159999999901</v>
      </c>
      <c r="N5314">
        <v>0</v>
      </c>
      <c r="O5314">
        <v>-0.66064440000000002</v>
      </c>
      <c r="P5314">
        <v>0.90492640000000002</v>
      </c>
      <c r="Q5314">
        <v>4.3178440000000004E-3</v>
      </c>
      <c r="R5314">
        <v>-0.4255466</v>
      </c>
      <c r="S5314">
        <v>2.9644469999999998</v>
      </c>
      <c r="T5314">
        <v>-0.48920859999999999</v>
      </c>
      <c r="U5314">
        <v>-0.77383419999999903</v>
      </c>
      <c r="V5314">
        <v>-0.27889029999999998</v>
      </c>
      <c r="W5314">
        <v>8.3105260000000004E-3</v>
      </c>
      <c r="X5314">
        <v>0.960287</v>
      </c>
      <c r="Y5314">
        <v>-0.43751509999999999</v>
      </c>
      <c r="Z5314">
        <v>0.1321059</v>
      </c>
      <c r="AA5314">
        <v>0.88945409999999903</v>
      </c>
      <c r="AB5314">
        <v>34</v>
      </c>
      <c r="AC5314">
        <v>6.5482999999999798</v>
      </c>
      <c r="AD5314">
        <v>-1.1231480445340001</v>
      </c>
      <c r="AE5314">
        <v>-1.5598399999999999</v>
      </c>
      <c r="AF5314">
        <v>-3.0701588481381301</v>
      </c>
      <c r="AG5314">
        <v>-1.1231480445340001</v>
      </c>
      <c r="AH5314">
        <v>5.7849899407427596</v>
      </c>
      <c r="AI5314">
        <v>99.731220438584202</v>
      </c>
      <c r="AJ5314">
        <v>117.955392138517</v>
      </c>
      <c r="AK5314">
        <v>6.6448059036540901</v>
      </c>
      <c r="AL5314">
        <v>89.523836450352704</v>
      </c>
      <c r="AM5314">
        <v>106.194560256305</v>
      </c>
      <c r="AN5314">
        <v>0.99999999332274303</v>
      </c>
    </row>
    <row r="5315" spans="1:40" x14ac:dyDescent="0.25">
      <c r="A5315" t="str">
        <f>"20190312151423667"</f>
        <v>20190312151423667</v>
      </c>
      <c r="B5315" t="str">
        <f>"1552374863655427"</f>
        <v>1552374863655427</v>
      </c>
      <c r="C5315" t="s">
        <v>40</v>
      </c>
      <c r="D5315">
        <v>4.7878740000000004</v>
      </c>
      <c r="E5315">
        <v>0.42646139999999999</v>
      </c>
      <c r="F5315" t="s">
        <v>59</v>
      </c>
      <c r="G5315">
        <v>-284.0104</v>
      </c>
      <c r="H5315" s="1">
        <v>-6.1270860000000002E-6</v>
      </c>
      <c r="I5315">
        <v>-62.430050000000001</v>
      </c>
      <c r="J5315">
        <v>-290.50979999999998</v>
      </c>
      <c r="K5315">
        <v>1.123238</v>
      </c>
      <c r="L5315">
        <v>-60.986629999999998</v>
      </c>
      <c r="M5315">
        <v>0.76077450000000002</v>
      </c>
      <c r="N5315">
        <v>0</v>
      </c>
      <c r="O5315">
        <v>-0.64886840000000001</v>
      </c>
      <c r="P5315">
        <v>0.91197709999999998</v>
      </c>
      <c r="Q5315">
        <v>3.6749090000000001E-3</v>
      </c>
      <c r="R5315">
        <v>-0.41022520000000001</v>
      </c>
      <c r="S5315">
        <v>2.9745180000000002</v>
      </c>
      <c r="T5315">
        <v>-0.49396839999999997</v>
      </c>
      <c r="U5315">
        <v>-0.72946169999999899</v>
      </c>
      <c r="V5315">
        <v>-0.28010420000000003</v>
      </c>
      <c r="W5315">
        <v>7.5795569999999998E-3</v>
      </c>
      <c r="X5315">
        <v>0.95993969999999995</v>
      </c>
      <c r="Y5315">
        <v>-0.43665690000000001</v>
      </c>
      <c r="Z5315">
        <v>0.13186429999999999</v>
      </c>
      <c r="AA5315">
        <v>0.88991149999999997</v>
      </c>
      <c r="AB5315">
        <v>34</v>
      </c>
      <c r="AC5315">
        <v>6.4993999999999801</v>
      </c>
      <c r="AD5315">
        <v>-1.1232441270860001</v>
      </c>
      <c r="AE5315">
        <v>-1.4434199999999899</v>
      </c>
      <c r="AF5315">
        <v>-3.0331038646886102</v>
      </c>
      <c r="AG5315">
        <v>-1.1232441270860001</v>
      </c>
      <c r="AH5315">
        <v>5.7189488714708396</v>
      </c>
      <c r="AI5315">
        <v>99.843636209325496</v>
      </c>
      <c r="AJ5315">
        <v>117.93970717444</v>
      </c>
      <c r="AK5315">
        <v>6.5702186126125097</v>
      </c>
      <c r="AL5315">
        <v>89.565719223762201</v>
      </c>
      <c r="AM5315">
        <v>106.26690369398</v>
      </c>
      <c r="AN5315">
        <v>1.00000002008902</v>
      </c>
    </row>
    <row r="5316" spans="1:40" x14ac:dyDescent="0.25">
      <c r="A5316" t="str">
        <f>"20190312151423688"</f>
        <v>20190312151423688</v>
      </c>
      <c r="B5316" t="str">
        <f>"1552374863685684"</f>
        <v>1552374863685684</v>
      </c>
      <c r="C5316" t="s">
        <v>40</v>
      </c>
      <c r="D5316">
        <v>4.7515320000000001</v>
      </c>
      <c r="E5316">
        <v>0.42770190000000002</v>
      </c>
      <c r="F5316" t="s">
        <v>59</v>
      </c>
      <c r="G5316">
        <v>-283.78570000000002</v>
      </c>
      <c r="H5316" s="1">
        <v>-6.2013180000000003E-6</v>
      </c>
      <c r="I5316">
        <v>-62.527099999999997</v>
      </c>
      <c r="J5316">
        <v>-290.25580000000002</v>
      </c>
      <c r="K5316">
        <v>1.123324</v>
      </c>
      <c r="L5316">
        <v>-61.187190000000001</v>
      </c>
      <c r="M5316">
        <v>0.77036610000000005</v>
      </c>
      <c r="N5316">
        <v>0</v>
      </c>
      <c r="O5316">
        <v>-0.63745030000000003</v>
      </c>
      <c r="P5316">
        <v>0.91828869999999896</v>
      </c>
      <c r="Q5316">
        <v>3.1074829999999999E-3</v>
      </c>
      <c r="R5316">
        <v>-0.39589980000000002</v>
      </c>
      <c r="S5316">
        <v>2.9840390000000001</v>
      </c>
      <c r="T5316">
        <v>-0.49847170000000002</v>
      </c>
      <c r="U5316">
        <v>-0.68362429999999996</v>
      </c>
      <c r="V5316">
        <v>-0.28079890000000002</v>
      </c>
      <c r="W5316">
        <v>6.947763E-3</v>
      </c>
      <c r="X5316">
        <v>0.95974150000000003</v>
      </c>
      <c r="Y5316">
        <v>-0.43678470000000003</v>
      </c>
      <c r="Z5316">
        <v>0.13163939999999999</v>
      </c>
      <c r="AA5316">
        <v>0.88988210000000001</v>
      </c>
      <c r="AB5316">
        <v>34</v>
      </c>
      <c r="AC5316">
        <v>6.4701000000000004</v>
      </c>
      <c r="AD5316">
        <v>-1.123330201318</v>
      </c>
      <c r="AE5316">
        <v>-1.3399099999999899</v>
      </c>
      <c r="AF5316">
        <v>-3.00557210659428</v>
      </c>
      <c r="AG5316">
        <v>-1.123330201318</v>
      </c>
      <c r="AH5316">
        <v>5.6750063238764001</v>
      </c>
      <c r="AI5316">
        <v>99.922090403158407</v>
      </c>
      <c r="AJ5316">
        <v>117.906394224218</v>
      </c>
      <c r="AK5316">
        <v>6.5192814945489097</v>
      </c>
      <c r="AL5316">
        <v>89.601919308402302</v>
      </c>
      <c r="AM5316">
        <v>106.30829559655</v>
      </c>
      <c r="AN5316">
        <v>1.00000002023708</v>
      </c>
    </row>
    <row r="5317" spans="1:40" x14ac:dyDescent="0.25">
      <c r="A5317" t="str">
        <f>"20190312151423711"</f>
        <v>20190312151423711</v>
      </c>
      <c r="B5317" t="str">
        <f>"1552374863706179"</f>
        <v>1552374863706179</v>
      </c>
      <c r="C5317" t="s">
        <v>40</v>
      </c>
      <c r="D5317">
        <v>4.7765000000000004</v>
      </c>
      <c r="E5317">
        <v>0.42852839999999998</v>
      </c>
      <c r="F5317" t="s">
        <v>59</v>
      </c>
      <c r="G5317">
        <v>-283.56490000000002</v>
      </c>
      <c r="H5317" s="1">
        <v>-6.2634E-6</v>
      </c>
      <c r="I5317">
        <v>-62.632089999999998</v>
      </c>
      <c r="J5317">
        <v>-289.98820000000001</v>
      </c>
      <c r="K5317">
        <v>1.1234139999999999</v>
      </c>
      <c r="L5317">
        <v>-61.392000000000003</v>
      </c>
      <c r="M5317">
        <v>0.78022499999999995</v>
      </c>
      <c r="N5317">
        <v>0</v>
      </c>
      <c r="O5317">
        <v>-0.62534400000000001</v>
      </c>
      <c r="P5317">
        <v>0.92445770000000005</v>
      </c>
      <c r="Q5317">
        <v>3.0088279999999998E-3</v>
      </c>
      <c r="R5317">
        <v>-0.38127280000000002</v>
      </c>
      <c r="S5317">
        <v>2.9902950000000001</v>
      </c>
      <c r="T5317">
        <v>-0.50203790000000004</v>
      </c>
      <c r="U5317">
        <v>-0.64575199999999999</v>
      </c>
      <c r="V5317">
        <v>-0.28104770000000001</v>
      </c>
      <c r="W5317">
        <v>6.8047150000000002E-3</v>
      </c>
      <c r="X5317">
        <v>0.95966960000000001</v>
      </c>
      <c r="Y5317">
        <v>-0.43391289999999999</v>
      </c>
      <c r="Z5317">
        <v>0.1308539</v>
      </c>
      <c r="AA5317">
        <v>0.89140160000000002</v>
      </c>
      <c r="AB5317">
        <v>34</v>
      </c>
      <c r="AC5317">
        <v>6.4232999999999798</v>
      </c>
      <c r="AD5317">
        <v>-1.1234202633999999</v>
      </c>
      <c r="AE5317">
        <v>-1.2400899999999999</v>
      </c>
      <c r="AF5317">
        <v>-2.9621641527874698</v>
      </c>
      <c r="AG5317">
        <v>-1.1234202633999999</v>
      </c>
      <c r="AH5317">
        <v>5.6218738120251697</v>
      </c>
      <c r="AI5317">
        <v>100.025773123455</v>
      </c>
      <c r="AJ5317">
        <v>117.784736932936</v>
      </c>
      <c r="AK5317">
        <v>6.4530577802008899</v>
      </c>
      <c r="AL5317">
        <v>89.610115512523393</v>
      </c>
      <c r="AM5317">
        <v>106.323134366318</v>
      </c>
      <c r="AN5317">
        <v>0.99999992749283795</v>
      </c>
    </row>
    <row r="5318" spans="1:40" x14ac:dyDescent="0.25">
      <c r="A5318" t="str">
        <f>"20190312151423733"</f>
        <v>20190312151423733</v>
      </c>
      <c r="B5318" t="str">
        <f>"1552374863725699"</f>
        <v>1552374863725699</v>
      </c>
      <c r="C5318" t="s">
        <v>40</v>
      </c>
      <c r="D5318">
        <v>4.7966800000000003</v>
      </c>
      <c r="E5318">
        <v>0.42945870000000003</v>
      </c>
      <c r="F5318" t="s">
        <v>59</v>
      </c>
      <c r="G5318">
        <v>-283.26010000000002</v>
      </c>
      <c r="H5318" s="1">
        <v>-6.3523990000000001E-6</v>
      </c>
      <c r="I5318">
        <v>-62.747880000000002</v>
      </c>
      <c r="J5318">
        <v>-289.71719999999999</v>
      </c>
      <c r="K5318">
        <v>1.1234930000000001</v>
      </c>
      <c r="L5318">
        <v>-61.592649999999999</v>
      </c>
      <c r="M5318">
        <v>0.78994589999999998</v>
      </c>
      <c r="N5318">
        <v>0</v>
      </c>
      <c r="O5318">
        <v>-0.61301810000000001</v>
      </c>
      <c r="P5318">
        <v>0.93043900000000002</v>
      </c>
      <c r="Q5318">
        <v>2.7805170000000001E-3</v>
      </c>
      <c r="R5318">
        <v>-0.36643710000000002</v>
      </c>
      <c r="S5318">
        <v>2.9975890000000001</v>
      </c>
      <c r="T5318">
        <v>-0.5005269</v>
      </c>
      <c r="U5318">
        <v>-0.60409550000000001</v>
      </c>
      <c r="V5318">
        <v>-0.28132639999999998</v>
      </c>
      <c r="W5318">
        <v>6.5343559999999998E-3</v>
      </c>
      <c r="X5318">
        <v>0.9595899</v>
      </c>
      <c r="Y5318">
        <v>-0.43236960000000002</v>
      </c>
      <c r="Z5318">
        <v>0.12877910000000001</v>
      </c>
      <c r="AA5318">
        <v>0.892453099999999</v>
      </c>
      <c r="AB5318">
        <v>34</v>
      </c>
      <c r="AC5318">
        <v>6.4570999999999596</v>
      </c>
      <c r="AD5318">
        <v>-1.123499352399</v>
      </c>
      <c r="AE5318">
        <v>-1.15523</v>
      </c>
      <c r="AF5318">
        <v>-2.95923641151033</v>
      </c>
      <c r="AG5318">
        <v>-1.123499352399</v>
      </c>
      <c r="AH5318">
        <v>5.6439355734554297</v>
      </c>
      <c r="AI5318">
        <v>99.998460054122404</v>
      </c>
      <c r="AJ5318">
        <v>117.668986074163</v>
      </c>
      <c r="AK5318">
        <v>6.4709612648636101</v>
      </c>
      <c r="AL5318">
        <v>89.625606318277093</v>
      </c>
      <c r="AM5318">
        <v>106.339742828076</v>
      </c>
      <c r="AN5318">
        <v>1.00000000866365</v>
      </c>
    </row>
    <row r="5319" spans="1:40" x14ac:dyDescent="0.25">
      <c r="A5319" t="str">
        <f>"20190312151423755"</f>
        <v>20190312151423755</v>
      </c>
      <c r="B5319" t="str">
        <f>"1552374863746195"</f>
        <v>1552374863746195</v>
      </c>
      <c r="C5319" t="s">
        <v>40</v>
      </c>
      <c r="D5319">
        <v>4.7648979999999996</v>
      </c>
      <c r="E5319">
        <v>0.4304653</v>
      </c>
      <c r="F5319" t="s">
        <v>59</v>
      </c>
      <c r="G5319">
        <v>-283.00450000000001</v>
      </c>
      <c r="H5319" s="1">
        <v>-6.4264199999999997E-6</v>
      </c>
      <c r="I5319">
        <v>-62.850520000000003</v>
      </c>
      <c r="J5319">
        <v>-289.44240000000002</v>
      </c>
      <c r="K5319">
        <v>1.1235619999999999</v>
      </c>
      <c r="L5319">
        <v>-61.789639999999999</v>
      </c>
      <c r="M5319">
        <v>0.79954429999999999</v>
      </c>
      <c r="N5319">
        <v>0</v>
      </c>
      <c r="O5319">
        <v>-0.60044469999999905</v>
      </c>
      <c r="P5319">
        <v>0.93616440000000001</v>
      </c>
      <c r="Q5319">
        <v>3.1000300000000001E-3</v>
      </c>
      <c r="R5319">
        <v>-0.35154960000000002</v>
      </c>
      <c r="S5319">
        <v>3.004089</v>
      </c>
      <c r="T5319">
        <v>-0.50279249999999998</v>
      </c>
      <c r="U5319">
        <v>-0.56292719999999996</v>
      </c>
      <c r="V5319">
        <v>-0.28146490000000002</v>
      </c>
      <c r="W5319">
        <v>6.8199749999999998E-3</v>
      </c>
      <c r="X5319">
        <v>0.95954729999999999</v>
      </c>
      <c r="Y5319">
        <v>-0.43036659999999999</v>
      </c>
      <c r="Z5319">
        <v>0.12757839999999901</v>
      </c>
      <c r="AA5319">
        <v>0.89359299999999997</v>
      </c>
      <c r="AB5319">
        <v>34</v>
      </c>
      <c r="AC5319">
        <v>6.4379000000000097</v>
      </c>
      <c r="AD5319">
        <v>-1.1235684264200001</v>
      </c>
      <c r="AE5319">
        <v>-1.0608799999999901</v>
      </c>
      <c r="AF5319">
        <v>-2.9307693960264598</v>
      </c>
      <c r="AG5319">
        <v>-1.1235684264200001</v>
      </c>
      <c r="AH5319">
        <v>5.6183471002479797</v>
      </c>
      <c r="AI5319">
        <v>100.054506899055</v>
      </c>
      <c r="AJ5319">
        <v>117.54846568466</v>
      </c>
      <c r="AK5319">
        <v>6.4356537663549096</v>
      </c>
      <c r="AL5319">
        <v>89.609241191388904</v>
      </c>
      <c r="AM5319">
        <v>106.34804465228601</v>
      </c>
      <c r="AN5319">
        <v>1.0000000114641501</v>
      </c>
    </row>
    <row r="5320" spans="1:40" x14ac:dyDescent="0.25">
      <c r="A5320" t="str">
        <f>"20190312151423778"</f>
        <v>20190312151423778</v>
      </c>
      <c r="B5320" t="str">
        <f>"1552374863765530"</f>
        <v>1552374863765530</v>
      </c>
      <c r="C5320" t="s">
        <v>40</v>
      </c>
      <c r="D5320">
        <v>4.7707369999999996</v>
      </c>
      <c r="E5320">
        <v>0.45189509999999999</v>
      </c>
      <c r="F5320" t="s">
        <v>59</v>
      </c>
      <c r="G5320">
        <v>-282.69779999999997</v>
      </c>
      <c r="H5320" s="1">
        <v>-6.5165779999999901E-6</v>
      </c>
      <c r="I5320">
        <v>-62.962000000000003</v>
      </c>
      <c r="J5320">
        <v>-289.1737</v>
      </c>
      <c r="K5320">
        <v>1.123623</v>
      </c>
      <c r="L5320">
        <v>-61.97598</v>
      </c>
      <c r="M5320">
        <v>0.80867239999999996</v>
      </c>
      <c r="N5320">
        <v>0</v>
      </c>
      <c r="O5320">
        <v>-0.58809299999999998</v>
      </c>
      <c r="P5320">
        <v>0.94162330000000005</v>
      </c>
      <c r="Q5320">
        <v>2.6800600000000002E-3</v>
      </c>
      <c r="R5320">
        <v>-0.33665810000000002</v>
      </c>
      <c r="S5320">
        <v>3.0097659999999999</v>
      </c>
      <c r="T5320">
        <v>-0.50138950000000004</v>
      </c>
      <c r="U5320">
        <v>-0.52316279999999904</v>
      </c>
      <c r="V5320">
        <v>-0.28193249999999997</v>
      </c>
      <c r="W5320">
        <v>6.3560219999999898E-3</v>
      </c>
      <c r="X5320">
        <v>0.95941319999999997</v>
      </c>
      <c r="Y5320">
        <v>-0.42852119999999999</v>
      </c>
      <c r="Z5320">
        <v>0.1254827</v>
      </c>
      <c r="AA5320">
        <v>0.89477569999999995</v>
      </c>
      <c r="AB5320">
        <v>34</v>
      </c>
      <c r="AC5320">
        <v>6.4759000000000198</v>
      </c>
      <c r="AD5320">
        <v>-1.1236295165779999</v>
      </c>
      <c r="AE5320">
        <v>-0.98601999999998902</v>
      </c>
      <c r="AF5320">
        <v>-2.9252869344943102</v>
      </c>
      <c r="AG5320">
        <v>-1.1236295165779999</v>
      </c>
      <c r="AH5320">
        <v>5.6510489395783301</v>
      </c>
      <c r="AI5320">
        <v>100.014033164716</v>
      </c>
      <c r="AJ5320">
        <v>117.36851486003199</v>
      </c>
      <c r="AK5320">
        <v>6.4617490710455296</v>
      </c>
      <c r="AL5320">
        <v>89.635824316811906</v>
      </c>
      <c r="AM5320">
        <v>106.37591617894699</v>
      </c>
      <c r="AN5320">
        <v>1.00000001095307</v>
      </c>
    </row>
    <row r="5321" spans="1:40" x14ac:dyDescent="0.25">
      <c r="A5321" t="str">
        <f>"20190312151423800"</f>
        <v>20190312151423800</v>
      </c>
      <c r="B5321" t="str">
        <f>"1552374863795786"</f>
        <v>1552374863795786</v>
      </c>
      <c r="C5321" t="s">
        <v>40</v>
      </c>
      <c r="D5321">
        <v>4.7808469999999996</v>
      </c>
      <c r="E5321">
        <v>0.45347110000000002</v>
      </c>
      <c r="F5321" t="s">
        <v>59</v>
      </c>
      <c r="G5321">
        <v>-282.20420000000001</v>
      </c>
      <c r="H5321" s="1">
        <v>-6.623899E-6</v>
      </c>
      <c r="I5321">
        <v>-63.476550000000003</v>
      </c>
      <c r="J5321">
        <v>-288.89179999999999</v>
      </c>
      <c r="K5321">
        <v>1.1236809999999999</v>
      </c>
      <c r="L5321">
        <v>-62.165100000000002</v>
      </c>
      <c r="M5321">
        <v>0.81798269999999995</v>
      </c>
      <c r="N5321">
        <v>0</v>
      </c>
      <c r="O5321">
        <v>-0.57507209999999997</v>
      </c>
      <c r="P5321">
        <v>0.94707149999999996</v>
      </c>
      <c r="Q5321">
        <v>1.8978109999999999E-3</v>
      </c>
      <c r="R5321">
        <v>-0.32101729999999901</v>
      </c>
      <c r="S5321">
        <v>2.9595340000000001</v>
      </c>
      <c r="T5321">
        <v>-0.47714069999999997</v>
      </c>
      <c r="U5321">
        <v>-0.63720699999999997</v>
      </c>
      <c r="V5321">
        <v>-0.28243839999999998</v>
      </c>
      <c r="W5321">
        <v>5.5296769999999898E-3</v>
      </c>
      <c r="X5321">
        <v>0.9592695</v>
      </c>
      <c r="Y5321">
        <v>-0.37932739999999998</v>
      </c>
      <c r="Z5321">
        <v>0.11523899999999999</v>
      </c>
      <c r="AA5321">
        <v>0.91805809999999999</v>
      </c>
      <c r="AB5321">
        <v>34</v>
      </c>
      <c r="AC5321">
        <v>6.6875999999999696</v>
      </c>
      <c r="AD5321">
        <v>-1.1236876238989999</v>
      </c>
      <c r="AE5321">
        <v>-1.31145</v>
      </c>
      <c r="AF5321">
        <v>-2.69997661908284</v>
      </c>
      <c r="AG5321">
        <v>-1.1236876238989999</v>
      </c>
      <c r="AH5321">
        <v>6.0603670112414401</v>
      </c>
      <c r="AI5321">
        <v>99.612836301374003</v>
      </c>
      <c r="AJ5321">
        <v>114.01362782241701</v>
      </c>
      <c r="AK5321">
        <v>6.72908581685813</v>
      </c>
      <c r="AL5321">
        <v>89.683171231305096</v>
      </c>
      <c r="AM5321">
        <v>106.40604800187</v>
      </c>
      <c r="AN5321">
        <v>1.0000000003762599</v>
      </c>
    </row>
    <row r="5322" spans="1:40" x14ac:dyDescent="0.25">
      <c r="A5322" t="str">
        <f>"20190312151423822"</f>
        <v>20190312151423822</v>
      </c>
      <c r="B5322" t="str">
        <f>"1552374863815311"</f>
        <v>1552374863815311</v>
      </c>
      <c r="C5322" t="s">
        <v>40</v>
      </c>
      <c r="D5322">
        <v>4.7816780000000003</v>
      </c>
      <c r="E5322">
        <v>0.45492700000000003</v>
      </c>
      <c r="F5322" t="s">
        <v>59</v>
      </c>
      <c r="G5322">
        <v>-282.0059</v>
      </c>
      <c r="H5322" s="1">
        <v>-6.6810749999999901E-6</v>
      </c>
      <c r="I5322">
        <v>-63.558430000000001</v>
      </c>
      <c r="J5322">
        <v>-288.61630000000002</v>
      </c>
      <c r="K5322">
        <v>1.1237299999999999</v>
      </c>
      <c r="L5322">
        <v>-62.343719999999998</v>
      </c>
      <c r="M5322">
        <v>0.82681510000000003</v>
      </c>
      <c r="N5322">
        <v>0</v>
      </c>
      <c r="O5322">
        <v>-0.56229899999999999</v>
      </c>
      <c r="P5322">
        <v>0.95226920000000004</v>
      </c>
      <c r="Q5322">
        <v>1.7500689999999999E-3</v>
      </c>
      <c r="R5322">
        <v>-0.3052551</v>
      </c>
      <c r="S5322">
        <v>2.9652400000000001</v>
      </c>
      <c r="T5322">
        <v>-0.4838905</v>
      </c>
      <c r="U5322">
        <v>-0.60000609999999999</v>
      </c>
      <c r="V5322">
        <v>-0.28345679999999901</v>
      </c>
      <c r="W5322">
        <v>5.3217789999999996E-3</v>
      </c>
      <c r="X5322">
        <v>0.95897019999999999</v>
      </c>
      <c r="Y5322">
        <v>-0.37625639999999999</v>
      </c>
      <c r="Z5322">
        <v>0.11495370000000001</v>
      </c>
      <c r="AA5322">
        <v>0.91935670000000003</v>
      </c>
      <c r="AB5322">
        <v>34</v>
      </c>
      <c r="AC5322">
        <v>6.6104000000000198</v>
      </c>
      <c r="AD5322">
        <v>-1.12373668107499</v>
      </c>
      <c r="AE5322">
        <v>-1.21471</v>
      </c>
      <c r="AF5322">
        <v>-2.6391708804239702</v>
      </c>
      <c r="AG5322">
        <v>-1.12373668107499</v>
      </c>
      <c r="AH5322">
        <v>5.9819900462386997</v>
      </c>
      <c r="AI5322">
        <v>99.752131862625404</v>
      </c>
      <c r="AJ5322">
        <v>113.806405525359</v>
      </c>
      <c r="AK5322">
        <v>6.6341700293081303</v>
      </c>
      <c r="AL5322">
        <v>89.695083072815706</v>
      </c>
      <c r="AM5322">
        <v>106.466866633677</v>
      </c>
      <c r="AN5322">
        <v>0.99999996164300098</v>
      </c>
    </row>
    <row r="5323" spans="1:40" x14ac:dyDescent="0.25">
      <c r="A5323" t="str">
        <f>"20190312151423845"</f>
        <v>20190312151423845</v>
      </c>
      <c r="B5323" t="str">
        <f>"1552374863835802"</f>
        <v>1552374863835802</v>
      </c>
      <c r="C5323" t="s">
        <v>40</v>
      </c>
      <c r="D5323">
        <v>4.7869250000000001</v>
      </c>
      <c r="E5323">
        <v>0.44031100000000001</v>
      </c>
      <c r="F5323" t="s">
        <v>59</v>
      </c>
      <c r="G5323">
        <v>-281.74889999999999</v>
      </c>
      <c r="H5323" s="1">
        <v>-6.7576509999999998E-6</v>
      </c>
      <c r="I5323">
        <v>-63.642519999999998</v>
      </c>
      <c r="J5323">
        <v>-288.32209999999998</v>
      </c>
      <c r="K5323">
        <v>1.12378</v>
      </c>
      <c r="L5323">
        <v>-62.52805</v>
      </c>
      <c r="M5323">
        <v>0.83596079999999995</v>
      </c>
      <c r="N5323">
        <v>0</v>
      </c>
      <c r="O5323">
        <v>-0.54860969999999998</v>
      </c>
      <c r="P5323">
        <v>0.95724109999999996</v>
      </c>
      <c r="Q5323">
        <v>2.0195429999999999E-3</v>
      </c>
      <c r="R5323">
        <v>-0.28928510000000002</v>
      </c>
      <c r="S5323">
        <v>2.9711609999999999</v>
      </c>
      <c r="T5323">
        <v>-0.48618169999999999</v>
      </c>
      <c r="U5323">
        <v>-0.56192019999999998</v>
      </c>
      <c r="V5323">
        <v>-0.28371760000000001</v>
      </c>
      <c r="W5323">
        <v>5.5630549999999999E-3</v>
      </c>
      <c r="X5323">
        <v>0.95889170000000001</v>
      </c>
      <c r="Y5323">
        <v>-0.3728321</v>
      </c>
      <c r="Z5323">
        <v>0.11340020000000001</v>
      </c>
      <c r="AA5323">
        <v>0.92094339999999997</v>
      </c>
      <c r="AB5323">
        <v>34</v>
      </c>
      <c r="AC5323">
        <v>6.5731999999999804</v>
      </c>
      <c r="AD5323">
        <v>-1.1237867576509999</v>
      </c>
      <c r="AE5323">
        <v>-1.1144699999999901</v>
      </c>
      <c r="AF5323">
        <v>-2.60083580999216</v>
      </c>
      <c r="AG5323">
        <v>-1.1237867576509999</v>
      </c>
      <c r="AH5323">
        <v>5.9382294274653997</v>
      </c>
      <c r="AI5323">
        <v>99.834409000855402</v>
      </c>
      <c r="AJ5323">
        <v>113.652538933161</v>
      </c>
      <c r="AK5323">
        <v>6.5794993974029197</v>
      </c>
      <c r="AL5323">
        <v>89.681258769927396</v>
      </c>
      <c r="AM5323">
        <v>106.482471648207</v>
      </c>
      <c r="AN5323">
        <v>0.99999995822979004</v>
      </c>
    </row>
    <row r="5324" spans="1:40" x14ac:dyDescent="0.25">
      <c r="A5324" t="str">
        <f>"20190312151423869"</f>
        <v>20190312151423869</v>
      </c>
      <c r="B5324" t="str">
        <f>"1552374863866091"</f>
        <v>1552374863866091</v>
      </c>
      <c r="C5324" t="s">
        <v>40</v>
      </c>
      <c r="D5324">
        <v>4.7950660000000003</v>
      </c>
      <c r="E5324">
        <v>0.44160559999999899</v>
      </c>
      <c r="F5324" t="s">
        <v>59</v>
      </c>
      <c r="G5324">
        <v>-282.16090000000003</v>
      </c>
      <c r="H5324" s="1">
        <v>-6.6533520000000001E-6</v>
      </c>
      <c r="I5324">
        <v>-63.343620000000001</v>
      </c>
      <c r="J5324">
        <v>-288.03359999999998</v>
      </c>
      <c r="K5324">
        <v>1.1238239999999999</v>
      </c>
      <c r="L5324">
        <v>-62.701779999999999</v>
      </c>
      <c r="M5324">
        <v>0.84463719999999998</v>
      </c>
      <c r="N5324">
        <v>0</v>
      </c>
      <c r="O5324">
        <v>-0.53515459999999904</v>
      </c>
      <c r="P5324">
        <v>0.96159229999999996</v>
      </c>
      <c r="Q5324">
        <v>2.4399650000000001E-3</v>
      </c>
      <c r="R5324">
        <v>-0.2744722</v>
      </c>
      <c r="S5324">
        <v>3.0145569999999999</v>
      </c>
      <c r="T5324">
        <v>-0.54985019999999996</v>
      </c>
      <c r="U5324">
        <v>-0.39904790000000001</v>
      </c>
      <c r="V5324">
        <v>-0.28318450000000001</v>
      </c>
      <c r="W5324">
        <v>5.9893409999999996E-3</v>
      </c>
      <c r="X5324">
        <v>0.95904670000000003</v>
      </c>
      <c r="Y5324">
        <v>-0.40546850000000001</v>
      </c>
      <c r="Z5324">
        <v>0.12802439999999901</v>
      </c>
      <c r="AA5324">
        <v>0.90509949999999995</v>
      </c>
      <c r="AB5324">
        <v>34</v>
      </c>
      <c r="AC5324">
        <v>5.8726999999999503</v>
      </c>
      <c r="AD5324">
        <v>-1.1238306533519999</v>
      </c>
      <c r="AE5324">
        <v>-0.64183999999998698</v>
      </c>
      <c r="AF5324">
        <v>-2.5101008865726802</v>
      </c>
      <c r="AG5324">
        <v>-1.1238306533519999</v>
      </c>
      <c r="AH5324">
        <v>5.1190579987331404</v>
      </c>
      <c r="AI5324">
        <v>101.150996595674</v>
      </c>
      <c r="AJ5324">
        <v>116.120759161232</v>
      </c>
      <c r="AK5324">
        <v>5.8110546884864496</v>
      </c>
      <c r="AL5324">
        <v>89.656833970803106</v>
      </c>
      <c r="AM5324">
        <v>106.450662176215</v>
      </c>
      <c r="AN5324">
        <v>0.99999995301337596</v>
      </c>
    </row>
    <row r="5325" spans="1:40" x14ac:dyDescent="0.25">
      <c r="A5325" t="str">
        <f>"20190312151423890"</f>
        <v>20190312151423890</v>
      </c>
      <c r="B5325" t="str">
        <f>"1552374863885611"</f>
        <v>1552374863885611</v>
      </c>
      <c r="C5325" t="s">
        <v>40</v>
      </c>
      <c r="D5325">
        <v>4.8096940000000004</v>
      </c>
      <c r="E5325">
        <v>0.44254529999999997</v>
      </c>
      <c r="F5325" t="s">
        <v>59</v>
      </c>
      <c r="G5325">
        <v>-281.36709999999999</v>
      </c>
      <c r="H5325" s="1">
        <v>-6.9011659999999996E-6</v>
      </c>
      <c r="I5325">
        <v>-63.503</v>
      </c>
      <c r="J5325">
        <v>-287.75130000000001</v>
      </c>
      <c r="K5325">
        <v>1.123861</v>
      </c>
      <c r="L5325">
        <v>-62.865780000000001</v>
      </c>
      <c r="M5325">
        <v>0.85285290000000002</v>
      </c>
      <c r="N5325">
        <v>0</v>
      </c>
      <c r="O5325">
        <v>-0.52196169999999997</v>
      </c>
      <c r="P5325">
        <v>0.96554640000000003</v>
      </c>
      <c r="Q5325">
        <v>3.051846E-3</v>
      </c>
      <c r="R5325">
        <v>-0.2602139</v>
      </c>
      <c r="S5325">
        <v>3.0176090000000002</v>
      </c>
      <c r="T5325">
        <v>-0.50870369999999998</v>
      </c>
      <c r="U5325">
        <v>-0.36267090000000002</v>
      </c>
      <c r="V5325">
        <v>-0.28249010000000002</v>
      </c>
      <c r="W5325">
        <v>6.6173229999999996E-3</v>
      </c>
      <c r="X5325">
        <v>0.95924739999999997</v>
      </c>
      <c r="Y5325">
        <v>-0.40439449999999999</v>
      </c>
      <c r="Z5325">
        <v>0.11666840000000001</v>
      </c>
      <c r="AA5325">
        <v>0.90711280000000005</v>
      </c>
      <c r="AB5325">
        <v>34</v>
      </c>
      <c r="AC5325">
        <v>6.3842000000000203</v>
      </c>
      <c r="AD5325">
        <v>-1.123867901166</v>
      </c>
      <c r="AE5325">
        <v>-0.63721999999999202</v>
      </c>
      <c r="AF5325">
        <v>-2.7060950864362501</v>
      </c>
      <c r="AG5325">
        <v>-1.123867901166</v>
      </c>
      <c r="AH5325">
        <v>5.60594670361297</v>
      </c>
      <c r="AI5325">
        <v>100.23413059594699</v>
      </c>
      <c r="AJ5325">
        <v>115.767470809008</v>
      </c>
      <c r="AK5325">
        <v>6.3255567438649098</v>
      </c>
      <c r="AL5325">
        <v>89.620852557097393</v>
      </c>
      <c r="AM5325">
        <v>106.409247294921</v>
      </c>
      <c r="AN5325">
        <v>1.0000000099842199</v>
      </c>
    </row>
    <row r="5326" spans="1:40" x14ac:dyDescent="0.25">
      <c r="A5326" t="str">
        <f>"20190312151423912"</f>
        <v>20190312151423912</v>
      </c>
      <c r="B5326" t="str">
        <f>"1552374863906106"</f>
        <v>1552374863906106</v>
      </c>
      <c r="C5326" t="s">
        <v>40</v>
      </c>
      <c r="D5326">
        <v>4.978764</v>
      </c>
      <c r="E5326">
        <v>0.44428499999999999</v>
      </c>
      <c r="F5326" t="s">
        <v>59</v>
      </c>
      <c r="G5326">
        <v>-281.15879999999999</v>
      </c>
      <c r="H5326" s="1">
        <v>-6.9628770000000003E-6</v>
      </c>
      <c r="I5326">
        <v>-63.574129999999997</v>
      </c>
      <c r="J5326">
        <v>-287.45170000000002</v>
      </c>
      <c r="K5326">
        <v>1.123896</v>
      </c>
      <c r="L5326">
        <v>-63.0336</v>
      </c>
      <c r="M5326">
        <v>0.86128609999999906</v>
      </c>
      <c r="N5326">
        <v>0</v>
      </c>
      <c r="O5326">
        <v>-0.50792519999999997</v>
      </c>
      <c r="P5326">
        <v>0.96928349999999996</v>
      </c>
      <c r="Q5326">
        <v>4.410415E-3</v>
      </c>
      <c r="R5326">
        <v>-0.2459075</v>
      </c>
      <c r="S5326">
        <v>3.0211790000000001</v>
      </c>
      <c r="T5326">
        <v>-0.51504019999999995</v>
      </c>
      <c r="U5326">
        <v>-0.3246155</v>
      </c>
      <c r="V5326">
        <v>-0.28101219999999999</v>
      </c>
      <c r="W5326">
        <v>8.0249080000000007E-3</v>
      </c>
      <c r="X5326">
        <v>0.95967069999999999</v>
      </c>
      <c r="Y5326">
        <v>-0.40079930000000002</v>
      </c>
      <c r="Z5326">
        <v>0.115779199999999</v>
      </c>
      <c r="AA5326">
        <v>0.90882070000000004</v>
      </c>
      <c r="AB5326">
        <v>34</v>
      </c>
      <c r="AC5326">
        <v>6.2929000000000297</v>
      </c>
      <c r="AD5326">
        <v>-1.1239029628769901</v>
      </c>
      <c r="AE5326">
        <v>-0.54053000000000395</v>
      </c>
      <c r="AF5326">
        <v>-2.6472210656580399</v>
      </c>
      <c r="AG5326">
        <v>-1.1239029628769901</v>
      </c>
      <c r="AH5326">
        <v>5.5203065714031201</v>
      </c>
      <c r="AI5326">
        <v>100.402404038103</v>
      </c>
      <c r="AJ5326">
        <v>115.619693088056</v>
      </c>
      <c r="AK5326">
        <v>6.2245258359736804</v>
      </c>
      <c r="AL5326">
        <v>89.540201730286896</v>
      </c>
      <c r="AM5326">
        <v>106.321164575986</v>
      </c>
      <c r="AN5326">
        <v>1.00000005406786</v>
      </c>
    </row>
    <row r="5327" spans="1:40" x14ac:dyDescent="0.25">
      <c r="A5327" t="str">
        <f>"20190312151423934"</f>
        <v>20190312151423934</v>
      </c>
      <c r="B5327" t="str">
        <f>"1552374863925626"</f>
        <v>1552374863925626</v>
      </c>
      <c r="C5327" t="s">
        <v>40</v>
      </c>
      <c r="D5327">
        <v>4.8829010000000004</v>
      </c>
      <c r="E5327">
        <v>0.44521349999999998</v>
      </c>
      <c r="F5327" t="s">
        <v>59</v>
      </c>
      <c r="G5327">
        <v>-280.61369999999999</v>
      </c>
      <c r="H5327" s="1">
        <v>-7.1315990000000002E-6</v>
      </c>
      <c r="I5327">
        <v>-63.696429999999999</v>
      </c>
      <c r="J5327">
        <v>-287.17180000000002</v>
      </c>
      <c r="K5327">
        <v>1.12392</v>
      </c>
      <c r="L5327">
        <v>-63.184690000000003</v>
      </c>
      <c r="M5327">
        <v>0.86890049999999996</v>
      </c>
      <c r="N5327">
        <v>0</v>
      </c>
      <c r="O5327">
        <v>-0.49478630000000001</v>
      </c>
      <c r="P5327">
        <v>0.97245170000000003</v>
      </c>
      <c r="Q5327">
        <v>5.5449039999999998E-3</v>
      </c>
      <c r="R5327">
        <v>-0.2330393</v>
      </c>
      <c r="S5327">
        <v>3.0230100000000002</v>
      </c>
      <c r="T5327">
        <v>-0.496865</v>
      </c>
      <c r="U5327">
        <v>-0.29302979999999901</v>
      </c>
      <c r="V5327">
        <v>-0.27919579999999999</v>
      </c>
      <c r="W5327">
        <v>9.2245859999999999E-3</v>
      </c>
      <c r="X5327">
        <v>0.96018990000000004</v>
      </c>
      <c r="Y5327">
        <v>-0.3974279</v>
      </c>
      <c r="Z5327">
        <v>0.1096608</v>
      </c>
      <c r="AA5327">
        <v>0.91105740000000002</v>
      </c>
      <c r="AB5327">
        <v>34</v>
      </c>
      <c r="AC5327">
        <v>6.55810000000002</v>
      </c>
      <c r="AD5327">
        <v>-1.123927131599</v>
      </c>
      <c r="AE5327">
        <v>-0.51174000000000297</v>
      </c>
      <c r="AF5327">
        <v>-2.7210482668876499</v>
      </c>
      <c r="AG5327">
        <v>-1.123927131599</v>
      </c>
      <c r="AH5327">
        <v>5.7832951735312497</v>
      </c>
      <c r="AI5327">
        <v>99.973414770760002</v>
      </c>
      <c r="AJ5327">
        <v>115.197048555726</v>
      </c>
      <c r="AK5327">
        <v>6.4895160784195998</v>
      </c>
      <c r="AL5327">
        <v>89.471462666860702</v>
      </c>
      <c r="AM5327">
        <v>106.21292198550201</v>
      </c>
      <c r="AN5327">
        <v>1.00000001589326</v>
      </c>
    </row>
    <row r="5328" spans="1:40" x14ac:dyDescent="0.25">
      <c r="A5328" t="str">
        <f>"20190312151423956"</f>
        <v>20190312151423956</v>
      </c>
      <c r="B5328" t="str">
        <f>"1552374863946122"</f>
        <v>1552374863946122</v>
      </c>
      <c r="C5328" t="s">
        <v>40</v>
      </c>
      <c r="D5328">
        <v>4.8732879999999996</v>
      </c>
      <c r="E5328">
        <v>0.44627460000000002</v>
      </c>
      <c r="F5328" t="s">
        <v>59</v>
      </c>
      <c r="G5328">
        <v>-280.28969999999998</v>
      </c>
      <c r="H5328" s="1">
        <v>-7.2313090000000002E-6</v>
      </c>
      <c r="I5328">
        <v>-63.7742199999999</v>
      </c>
      <c r="J5328">
        <v>-286.86610000000002</v>
      </c>
      <c r="K5328">
        <v>1.1239399999999999</v>
      </c>
      <c r="L5328">
        <v>-63.343510000000002</v>
      </c>
      <c r="M5328">
        <v>0.87692539999999997</v>
      </c>
      <c r="N5328">
        <v>0</v>
      </c>
      <c r="O5328">
        <v>-0.4804196</v>
      </c>
      <c r="P5328">
        <v>0.97566470000000005</v>
      </c>
      <c r="Q5328">
        <v>5.3091950000000001E-3</v>
      </c>
      <c r="R5328">
        <v>-0.21920390000000001</v>
      </c>
      <c r="S5328">
        <v>3.0256959999999999</v>
      </c>
      <c r="T5328">
        <v>-0.49413249999999997</v>
      </c>
      <c r="U5328">
        <v>-0.25918580000000002</v>
      </c>
      <c r="V5328">
        <v>-0.2770243</v>
      </c>
      <c r="W5328">
        <v>9.0672359999999994E-3</v>
      </c>
      <c r="X5328">
        <v>0.96082009999999995</v>
      </c>
      <c r="Y5328">
        <v>-0.39290789999999998</v>
      </c>
      <c r="Z5328">
        <v>0.1066698</v>
      </c>
      <c r="AA5328">
        <v>0.91337009999999996</v>
      </c>
      <c r="AB5328">
        <v>34</v>
      </c>
      <c r="AC5328">
        <v>6.5764000000000298</v>
      </c>
      <c r="AD5328">
        <v>-1.123947231309</v>
      </c>
      <c r="AE5328">
        <v>-0.43070999999999698</v>
      </c>
      <c r="AF5328">
        <v>-2.7033819393875902</v>
      </c>
      <c r="AG5328">
        <v>-1.123947231309</v>
      </c>
      <c r="AH5328">
        <v>5.8056746022393302</v>
      </c>
      <c r="AI5328">
        <v>99.954085613586898</v>
      </c>
      <c r="AJ5328">
        <v>114.968794361631</v>
      </c>
      <c r="AK5328">
        <v>6.5021064952875802</v>
      </c>
      <c r="AL5328">
        <v>89.480478511427506</v>
      </c>
      <c r="AM5328">
        <v>106.08336518857099</v>
      </c>
      <c r="AN5328">
        <v>0.999999971061589</v>
      </c>
    </row>
    <row r="5329" spans="1:40" x14ac:dyDescent="0.25">
      <c r="A5329" t="str">
        <f>"20190312151423978"</f>
        <v>20190312151423978</v>
      </c>
      <c r="B5329" t="str">
        <f>"1552374863975912"</f>
        <v>1552374863975912</v>
      </c>
      <c r="C5329" t="s">
        <v>40</v>
      </c>
      <c r="D5329">
        <v>4.935238</v>
      </c>
      <c r="E5329">
        <v>0.44813140000000001</v>
      </c>
      <c r="F5329" t="s">
        <v>42</v>
      </c>
      <c r="G5329">
        <v>-279.947</v>
      </c>
      <c r="H5329" s="1">
        <v>-3.8864599999999997E-6</v>
      </c>
      <c r="I5329">
        <v>-63.854939999999999</v>
      </c>
      <c r="J5329">
        <v>-286.57780000000002</v>
      </c>
      <c r="K5329">
        <v>1.1239520000000001</v>
      </c>
      <c r="L5329">
        <v>-63.487609999999997</v>
      </c>
      <c r="M5329">
        <v>0.88422809999999896</v>
      </c>
      <c r="N5329">
        <v>0</v>
      </c>
      <c r="O5329">
        <v>-0.46684209999999898</v>
      </c>
      <c r="P5329">
        <v>0.97863219999999995</v>
      </c>
      <c r="Q5329">
        <v>5.5823490000000003E-3</v>
      </c>
      <c r="R5329">
        <v>-0.20554420000000001</v>
      </c>
      <c r="S5329">
        <v>3.0271910000000002</v>
      </c>
      <c r="T5329">
        <v>-0.49173220000000001</v>
      </c>
      <c r="U5329">
        <v>-0.22375490000000001</v>
      </c>
      <c r="V5329">
        <v>-0.27565200000000001</v>
      </c>
      <c r="W5329">
        <v>9.3900419999999995E-3</v>
      </c>
      <c r="X5329">
        <v>0.96121160000000005</v>
      </c>
      <c r="Y5329">
        <v>-0.38973530000000001</v>
      </c>
      <c r="Z5329">
        <v>0.1040107</v>
      </c>
      <c r="AA5329">
        <v>0.91503449999999997</v>
      </c>
      <c r="AB5329">
        <v>34</v>
      </c>
      <c r="AC5329">
        <v>6.6308000000000202</v>
      </c>
      <c r="AD5329">
        <v>-1.1239558864599899</v>
      </c>
      <c r="AE5329">
        <v>-0.36733000000000199</v>
      </c>
      <c r="AF5329">
        <v>-2.6938460590108102</v>
      </c>
      <c r="AG5329">
        <v>-1.1239558864599899</v>
      </c>
      <c r="AH5329">
        <v>5.8671657278647302</v>
      </c>
      <c r="AI5329">
        <v>99.875854994310004</v>
      </c>
      <c r="AJ5329">
        <v>114.661712514028</v>
      </c>
      <c r="AK5329">
        <v>6.5531455883862897</v>
      </c>
      <c r="AL5329">
        <v>89.4619823006351</v>
      </c>
      <c r="AM5329">
        <v>106.00159777499999</v>
      </c>
      <c r="AN5329">
        <v>0.99999996898365995</v>
      </c>
    </row>
    <row r="5330" spans="1:40" x14ac:dyDescent="0.25">
      <c r="A5330" t="str">
        <f>"20190312151424001"</f>
        <v>20190312151424001</v>
      </c>
      <c r="B5330" t="str">
        <f>"1552374863995431"</f>
        <v>1552374863995431</v>
      </c>
      <c r="C5330" t="s">
        <v>40</v>
      </c>
      <c r="D5330">
        <v>5.0461600000000004</v>
      </c>
      <c r="E5330">
        <v>0.44941609999999999</v>
      </c>
      <c r="F5330" t="s">
        <v>42</v>
      </c>
      <c r="G5330">
        <v>-279.62119999999999</v>
      </c>
      <c r="H5330" s="1">
        <v>-3.7867059999999998E-6</v>
      </c>
      <c r="I5330">
        <v>-63.937849999999997</v>
      </c>
      <c r="J5330">
        <v>-286.2722</v>
      </c>
      <c r="K5330">
        <v>1.123955</v>
      </c>
      <c r="L5330">
        <v>-63.634430000000002</v>
      </c>
      <c r="M5330">
        <v>0.89168639999999999</v>
      </c>
      <c r="N5330">
        <v>0</v>
      </c>
      <c r="O5330">
        <v>-0.45243339999999999</v>
      </c>
      <c r="P5330">
        <v>0.98156659999999996</v>
      </c>
      <c r="Q5330">
        <v>4.5266059999999999E-3</v>
      </c>
      <c r="R5330">
        <v>-0.19106819999999999</v>
      </c>
      <c r="S5330">
        <v>3.027161</v>
      </c>
      <c r="T5330">
        <v>-0.48909330000000001</v>
      </c>
      <c r="U5330">
        <v>-0.19592290000000001</v>
      </c>
      <c r="V5330">
        <v>-0.27421810000000002</v>
      </c>
      <c r="W5330">
        <v>8.3868180000000007E-3</v>
      </c>
      <c r="X5330">
        <v>0.96163089999999996</v>
      </c>
      <c r="Y5330">
        <v>-0.38355460000000002</v>
      </c>
      <c r="Z5330">
        <v>0.1009661</v>
      </c>
      <c r="AA5330">
        <v>0.91798239999999998</v>
      </c>
      <c r="AB5330">
        <v>34</v>
      </c>
      <c r="AC5330">
        <v>6.6510000000000096</v>
      </c>
      <c r="AD5330">
        <v>-1.1239587867059999</v>
      </c>
      <c r="AE5330">
        <v>-0.30341999999999503</v>
      </c>
      <c r="AF5330">
        <v>-2.66296136233959</v>
      </c>
      <c r="AG5330">
        <v>-1.1239587867059999</v>
      </c>
      <c r="AH5330">
        <v>5.9003370791170102</v>
      </c>
      <c r="AI5330">
        <v>99.849863475513899</v>
      </c>
      <c r="AJ5330">
        <v>114.290779851925</v>
      </c>
      <c r="AK5330">
        <v>6.5702834199698099</v>
      </c>
      <c r="AL5330">
        <v>89.519465065846404</v>
      </c>
      <c r="AM5330">
        <v>105.915998952663</v>
      </c>
      <c r="AN5330">
        <v>0.99999994645929102</v>
      </c>
    </row>
    <row r="5331" spans="1:40" x14ac:dyDescent="0.25">
      <c r="A5331" t="str">
        <f>"20190312151424023"</f>
        <v>20190312151424023</v>
      </c>
      <c r="B5331" t="str">
        <f>"1552374864015930"</f>
        <v>1552374864015930</v>
      </c>
      <c r="C5331" t="s">
        <v>40</v>
      </c>
      <c r="D5331">
        <v>4.9382390000000003</v>
      </c>
      <c r="E5331">
        <v>0.45070280000000001</v>
      </c>
      <c r="F5331" t="s">
        <v>42</v>
      </c>
      <c r="G5331">
        <v>-279.4135</v>
      </c>
      <c r="H5331" s="1">
        <v>-3.724098E-6</v>
      </c>
      <c r="I5331">
        <v>-63.998449999999998</v>
      </c>
      <c r="J5331">
        <v>-285.9785</v>
      </c>
      <c r="K5331">
        <v>1.1239600000000001</v>
      </c>
      <c r="L5331">
        <v>-63.769840000000002</v>
      </c>
      <c r="M5331">
        <v>0.89858499999999997</v>
      </c>
      <c r="N5331">
        <v>0</v>
      </c>
      <c r="O5331">
        <v>-0.43857259999999998</v>
      </c>
      <c r="P5331">
        <v>0.9841839</v>
      </c>
      <c r="Q5331">
        <v>3.8991160000000002E-3</v>
      </c>
      <c r="R5331">
        <v>-0.17710789999999901</v>
      </c>
      <c r="S5331">
        <v>3.027374</v>
      </c>
      <c r="T5331">
        <v>-0.49610759999999998</v>
      </c>
      <c r="U5331">
        <v>-0.16067500000000001</v>
      </c>
      <c r="V5331">
        <v>-0.27296550000000003</v>
      </c>
      <c r="W5331">
        <v>7.8055709999999999E-3</v>
      </c>
      <c r="X5331">
        <v>0.96199210000000002</v>
      </c>
      <c r="Y5331">
        <v>-0.37985989999999997</v>
      </c>
      <c r="Z5331">
        <v>0.1001295</v>
      </c>
      <c r="AA5331">
        <v>0.91960900000000001</v>
      </c>
      <c r="AB5331">
        <v>34</v>
      </c>
      <c r="AC5331">
        <v>6.5649999999999897</v>
      </c>
      <c r="AD5331">
        <v>-1.1239637240979901</v>
      </c>
      <c r="AE5331">
        <v>-0.22860999999999601</v>
      </c>
      <c r="AF5331">
        <v>-2.5980109256653798</v>
      </c>
      <c r="AG5331">
        <v>-1.1239637240979901</v>
      </c>
      <c r="AH5331">
        <v>5.82940922396332</v>
      </c>
      <c r="AI5331">
        <v>99.987990910719205</v>
      </c>
      <c r="AJ5331">
        <v>114.021247473033</v>
      </c>
      <c r="AK5331">
        <v>6.4803523919146198</v>
      </c>
      <c r="AL5331">
        <v>89.552769159288701</v>
      </c>
      <c r="AM5331">
        <v>105.8413040196</v>
      </c>
      <c r="AN5331">
        <v>0.99999994579564599</v>
      </c>
    </row>
    <row r="5332" spans="1:40" x14ac:dyDescent="0.25">
      <c r="A5332" t="str">
        <f>"20190312151424048"</f>
        <v>20190312151424048</v>
      </c>
      <c r="B5332" t="str">
        <f>"1552374864035446"</f>
        <v>1552374864035446</v>
      </c>
      <c r="C5332" t="s">
        <v>40</v>
      </c>
      <c r="D5332">
        <v>4.9467660000000002</v>
      </c>
      <c r="E5332">
        <v>0.45195819999999998</v>
      </c>
      <c r="F5332" t="s">
        <v>42</v>
      </c>
      <c r="G5332">
        <v>-279.1123</v>
      </c>
      <c r="H5332" s="1">
        <v>-3.6295580000000001E-6</v>
      </c>
      <c r="I5332">
        <v>-64.057850000000002</v>
      </c>
      <c r="J5332">
        <v>-285.64789999999999</v>
      </c>
      <c r="K5332">
        <v>1.1239669999999999</v>
      </c>
      <c r="L5332">
        <v>-63.915649999999999</v>
      </c>
      <c r="M5332">
        <v>0.90604090000000004</v>
      </c>
      <c r="N5332">
        <v>0</v>
      </c>
      <c r="O5332">
        <v>-0.4229542</v>
      </c>
      <c r="P5332">
        <v>0.9869057</v>
      </c>
      <c r="Q5332">
        <v>3.9956719999999996E-3</v>
      </c>
      <c r="R5332">
        <v>-0.161249799999999</v>
      </c>
      <c r="S5332">
        <v>3.0273129999999999</v>
      </c>
      <c r="T5332">
        <v>-0.49556230000000001</v>
      </c>
      <c r="U5332">
        <v>-0.1269836</v>
      </c>
      <c r="V5332">
        <v>-0.27179809999999999</v>
      </c>
      <c r="W5332">
        <v>7.9462319999999993E-3</v>
      </c>
      <c r="X5332">
        <v>0.96232150000000005</v>
      </c>
      <c r="Y5332">
        <v>-0.3743805</v>
      </c>
      <c r="Z5332">
        <v>9.7328890000000001E-2</v>
      </c>
      <c r="AA5332">
        <v>0.92215309999999995</v>
      </c>
      <c r="AB5332">
        <v>34</v>
      </c>
      <c r="AC5332">
        <v>6.5355999999999801</v>
      </c>
      <c r="AD5332">
        <v>-1.1239706295580001</v>
      </c>
      <c r="AE5332">
        <v>-0.14220000000000199</v>
      </c>
      <c r="AF5332">
        <v>-2.5600047528588901</v>
      </c>
      <c r="AG5332">
        <v>-1.1239706295580001</v>
      </c>
      <c r="AH5332">
        <v>5.8104925125845899</v>
      </c>
      <c r="AI5332">
        <v>100.038434628339</v>
      </c>
      <c r="AJ5332">
        <v>113.777478310983</v>
      </c>
      <c r="AK5332">
        <v>6.4481592372994898</v>
      </c>
      <c r="AL5332">
        <v>89.5447096562675</v>
      </c>
      <c r="AM5332">
        <v>105.771803092317</v>
      </c>
      <c r="AN5332">
        <v>1.0000000095644199</v>
      </c>
    </row>
    <row r="5333" spans="1:40" x14ac:dyDescent="0.25">
      <c r="A5333" t="str">
        <f>"20190312151424069"</f>
        <v>20190312151424069</v>
      </c>
      <c r="B5333" t="str">
        <f>"1552374864065703"</f>
        <v>1552374864065703</v>
      </c>
      <c r="C5333" t="s">
        <v>40</v>
      </c>
      <c r="D5333">
        <v>5.191675</v>
      </c>
      <c r="E5333">
        <v>0.45400590000000002</v>
      </c>
      <c r="F5333" t="s">
        <v>42</v>
      </c>
      <c r="G5333">
        <v>-278.76139999999998</v>
      </c>
      <c r="H5333" s="1">
        <v>-3.5177810000000001E-6</v>
      </c>
      <c r="I5333">
        <v>-64.115160000000003</v>
      </c>
      <c r="J5333">
        <v>-285.34969999999998</v>
      </c>
      <c r="K5333">
        <v>1.1239749999999999</v>
      </c>
      <c r="L5333">
        <v>-64.041110000000003</v>
      </c>
      <c r="M5333">
        <v>0.91248980000000002</v>
      </c>
      <c r="N5333">
        <v>0</v>
      </c>
      <c r="O5333">
        <v>-0.40885579999999999</v>
      </c>
      <c r="P5333">
        <v>0.98897310000000005</v>
      </c>
      <c r="Q5333">
        <v>4.3173250000000003E-3</v>
      </c>
      <c r="R5333">
        <v>-0.148033</v>
      </c>
      <c r="S5333">
        <v>3.027466</v>
      </c>
      <c r="T5333">
        <v>-0.49412159999999999</v>
      </c>
      <c r="U5333">
        <v>-8.7707519999999997E-2</v>
      </c>
      <c r="V5333">
        <v>-0.26976230000000001</v>
      </c>
      <c r="W5333">
        <v>8.3477150000000003E-3</v>
      </c>
      <c r="X5333">
        <v>0.96289069999999999</v>
      </c>
      <c r="Y5333">
        <v>-0.37225009999999997</v>
      </c>
      <c r="Z5333">
        <v>9.4835859999999994E-2</v>
      </c>
      <c r="AA5333">
        <v>0.92327459999999995</v>
      </c>
      <c r="AB5333">
        <v>34</v>
      </c>
      <c r="AC5333">
        <v>6.5883000000000003</v>
      </c>
      <c r="AD5333">
        <v>-1.123978517781</v>
      </c>
      <c r="AE5333">
        <v>-7.4049999999999699E-2</v>
      </c>
      <c r="AF5333">
        <v>-2.5520871250136601</v>
      </c>
      <c r="AG5333">
        <v>-1.123978517781</v>
      </c>
      <c r="AH5333">
        <v>5.8717579087989202</v>
      </c>
      <c r="AI5333">
        <v>99.957146163217203</v>
      </c>
      <c r="AJ5333">
        <v>113.49158075995599</v>
      </c>
      <c r="AK5333">
        <v>6.5003090189341304</v>
      </c>
      <c r="AL5333">
        <v>89.521705578891201</v>
      </c>
      <c r="AM5333">
        <v>105.650683042449</v>
      </c>
      <c r="AN5333">
        <v>0.99999994149674898</v>
      </c>
    </row>
    <row r="5334" spans="1:40" x14ac:dyDescent="0.25">
      <c r="A5334" t="str">
        <f>"20190312151424091"</f>
        <v>20190312151424091</v>
      </c>
      <c r="B5334" t="str">
        <f>"1552374864086199"</f>
        <v>1552374864086199</v>
      </c>
      <c r="C5334" t="s">
        <v>40</v>
      </c>
      <c r="D5334">
        <v>5.0002570000000004</v>
      </c>
      <c r="E5334">
        <v>0.4554511</v>
      </c>
      <c r="F5334" t="s">
        <v>42</v>
      </c>
      <c r="G5334">
        <v>-278.36320000000001</v>
      </c>
      <c r="H5334" s="1">
        <v>-3.3919300000000001E-6</v>
      </c>
      <c r="I5334">
        <v>-64.187449999999998</v>
      </c>
      <c r="J5334">
        <v>-285.0455</v>
      </c>
      <c r="K5334">
        <v>1.1239889999999999</v>
      </c>
      <c r="L5334">
        <v>-64.163539999999998</v>
      </c>
      <c r="M5334">
        <v>0.91880569999999895</v>
      </c>
      <c r="N5334">
        <v>0</v>
      </c>
      <c r="O5334">
        <v>-0.394457</v>
      </c>
      <c r="P5334">
        <v>0.99085749999999995</v>
      </c>
      <c r="Q5334">
        <v>4.8311730000000002E-3</v>
      </c>
      <c r="R5334">
        <v>-0.13482710000000001</v>
      </c>
      <c r="S5334">
        <v>3.0261230000000001</v>
      </c>
      <c r="T5334">
        <v>-0.4868324</v>
      </c>
      <c r="U5334">
        <v>-6.3385010000000006E-2</v>
      </c>
      <c r="V5334">
        <v>-0.26748470000000002</v>
      </c>
      <c r="W5334">
        <v>8.9518469999999902E-3</v>
      </c>
      <c r="X5334">
        <v>0.9635205</v>
      </c>
      <c r="Y5334">
        <v>-0.36563319999999999</v>
      </c>
      <c r="Z5334">
        <v>9.0867909999999996E-2</v>
      </c>
      <c r="AA5334">
        <v>0.92631280000000005</v>
      </c>
      <c r="AB5334">
        <v>34</v>
      </c>
      <c r="AC5334">
        <v>6.6822999999999899</v>
      </c>
      <c r="AD5334">
        <v>-1.1239923919299999</v>
      </c>
      <c r="AE5334">
        <v>-2.3910000000000702E-2</v>
      </c>
      <c r="AF5334">
        <v>-2.5422463247981399</v>
      </c>
      <c r="AG5334">
        <v>-1.1239923919299999</v>
      </c>
      <c r="AH5334">
        <v>5.9805764212697996</v>
      </c>
      <c r="AI5334">
        <v>99.812919264933896</v>
      </c>
      <c r="AJ5334">
        <v>113.02956011069899</v>
      </c>
      <c r="AK5334">
        <v>6.59497305557153</v>
      </c>
      <c r="AL5334">
        <v>89.487090085769097</v>
      </c>
      <c r="AM5334">
        <v>105.51528420192901</v>
      </c>
      <c r="AN5334">
        <v>0.99999997710952504</v>
      </c>
    </row>
    <row r="5335" spans="1:40" x14ac:dyDescent="0.25">
      <c r="A5335" t="str">
        <f>"20190312151424113"</f>
        <v>20190312151424113</v>
      </c>
      <c r="B5335" t="str">
        <f>"1552374864105722"</f>
        <v>1552374864105722</v>
      </c>
      <c r="C5335" t="s">
        <v>40</v>
      </c>
      <c r="D5335">
        <v>5.3837630000000001</v>
      </c>
      <c r="E5335">
        <v>0.45619320000000002</v>
      </c>
      <c r="F5335" t="s">
        <v>42</v>
      </c>
      <c r="G5335">
        <v>-277.92570000000001</v>
      </c>
      <c r="H5335" s="1">
        <v>-3.2506619999999999E-6</v>
      </c>
      <c r="I5335">
        <v>-64.244190000000003</v>
      </c>
      <c r="J5335">
        <v>-284.738</v>
      </c>
      <c r="K5335">
        <v>1.1240059999999901</v>
      </c>
      <c r="L5335">
        <v>-64.281710000000004</v>
      </c>
      <c r="M5335">
        <v>0.92492090000000005</v>
      </c>
      <c r="N5335">
        <v>0</v>
      </c>
      <c r="O5335">
        <v>-0.37989689999999998</v>
      </c>
      <c r="P5335">
        <v>0.99259350000000002</v>
      </c>
      <c r="Q5335">
        <v>5.9830430000000004E-3</v>
      </c>
      <c r="R5335">
        <v>-0.1213365</v>
      </c>
      <c r="S5335">
        <v>3.0253299999999999</v>
      </c>
      <c r="T5335">
        <v>-0.47760839999999999</v>
      </c>
      <c r="U5335">
        <v>-3.4271240000000001E-2</v>
      </c>
      <c r="V5335">
        <v>-0.26541300000000001</v>
      </c>
      <c r="W5335">
        <v>1.0186799999999999E-2</v>
      </c>
      <c r="X5335">
        <v>0.96408099999999997</v>
      </c>
      <c r="Y5335">
        <v>-0.36045840000000001</v>
      </c>
      <c r="Z5335">
        <v>8.6686399999999997E-2</v>
      </c>
      <c r="AA5335">
        <v>0.92873850000000002</v>
      </c>
      <c r="AB5335">
        <v>34</v>
      </c>
      <c r="AC5335">
        <v>6.8122999999999898</v>
      </c>
      <c r="AD5335">
        <v>-1.1240092506620001</v>
      </c>
      <c r="AE5335">
        <v>3.7520000000000601E-2</v>
      </c>
      <c r="AF5335">
        <v>-2.5534242027542802</v>
      </c>
      <c r="AG5335">
        <v>-1.1240092506620001</v>
      </c>
      <c r="AH5335">
        <v>6.1205906219720099</v>
      </c>
      <c r="AI5335">
        <v>99.619431356069995</v>
      </c>
      <c r="AJ5335">
        <v>112.645210045523</v>
      </c>
      <c r="AK5335">
        <v>6.7264404789276799</v>
      </c>
      <c r="AL5335">
        <v>89.416329260045003</v>
      </c>
      <c r="AM5335">
        <v>105.39231315582199</v>
      </c>
      <c r="AN5335">
        <v>1.0000000030121099</v>
      </c>
    </row>
    <row r="5336" spans="1:40" x14ac:dyDescent="0.25">
      <c r="A5336" t="str">
        <f>"20190312151424135"</f>
        <v>20190312151424135</v>
      </c>
      <c r="B5336" t="str">
        <f>"1552374864126215"</f>
        <v>1552374864126215</v>
      </c>
      <c r="C5336" t="s">
        <v>40</v>
      </c>
      <c r="D5336">
        <v>5.218737</v>
      </c>
      <c r="E5336">
        <v>0.47773969999999999</v>
      </c>
      <c r="F5336" t="s">
        <v>42</v>
      </c>
      <c r="G5336">
        <v>-277.51690000000002</v>
      </c>
      <c r="H5336" s="1">
        <v>-3.1163699999999999E-6</v>
      </c>
      <c r="I5336">
        <v>-64.2804</v>
      </c>
      <c r="J5336">
        <v>-284.42079999999999</v>
      </c>
      <c r="K5336">
        <v>1.12401</v>
      </c>
      <c r="L5336">
        <v>-64.397919999999999</v>
      </c>
      <c r="M5336">
        <v>0.93095360000000005</v>
      </c>
      <c r="N5336">
        <v>0</v>
      </c>
      <c r="O5336">
        <v>-0.36486380000000002</v>
      </c>
      <c r="P5336">
        <v>0.99423519999999999</v>
      </c>
      <c r="Q5336">
        <v>6.6838610000000001E-3</v>
      </c>
      <c r="R5336">
        <v>-0.1070147</v>
      </c>
      <c r="S5336">
        <v>3.025299</v>
      </c>
      <c r="T5336">
        <v>-0.47090340000000003</v>
      </c>
      <c r="U5336">
        <v>5.4931640000000002E-4</v>
      </c>
      <c r="V5336">
        <v>-0.26371739999999999</v>
      </c>
      <c r="W5336">
        <v>1.095542E-2</v>
      </c>
      <c r="X5336">
        <v>0.9645378</v>
      </c>
      <c r="Y5336">
        <v>-0.35653950000000001</v>
      </c>
      <c r="Z5336">
        <v>8.3027840000000006E-2</v>
      </c>
      <c r="AA5336">
        <v>0.93058370000000001</v>
      </c>
      <c r="AB5336">
        <v>34</v>
      </c>
      <c r="AC5336">
        <v>6.9038999999999602</v>
      </c>
      <c r="AD5336">
        <v>-1.12401311637</v>
      </c>
      <c r="AE5336">
        <v>0.117519999999998</v>
      </c>
      <c r="AF5336">
        <v>-2.56079325317272</v>
      </c>
      <c r="AG5336">
        <v>-1.12401311637</v>
      </c>
      <c r="AH5336">
        <v>6.2201426831708302</v>
      </c>
      <c r="AI5336">
        <v>99.486392232347995</v>
      </c>
      <c r="AJ5336">
        <v>112.376654032872</v>
      </c>
      <c r="AK5336">
        <v>6.8199151439200802</v>
      </c>
      <c r="AL5336">
        <v>89.372288131872395</v>
      </c>
      <c r="AM5336">
        <v>105.291694103419</v>
      </c>
      <c r="AN5336">
        <v>1.0000000279594801</v>
      </c>
    </row>
    <row r="5337" spans="1:40" x14ac:dyDescent="0.25">
      <c r="A5337" t="str">
        <f>"20190312151424157"</f>
        <v>20190312151424157</v>
      </c>
      <c r="B5337" t="str">
        <f>"1552374864145739"</f>
        <v>1552374864145739</v>
      </c>
      <c r="C5337" t="s">
        <v>40</v>
      </c>
      <c r="D5337">
        <v>5.1043640000000003</v>
      </c>
      <c r="E5337">
        <v>0.47849789999999998</v>
      </c>
      <c r="F5337" t="s">
        <v>42</v>
      </c>
      <c r="G5337">
        <v>-276.05810000000002</v>
      </c>
      <c r="H5337" s="1">
        <v>-2.6836719999999999E-6</v>
      </c>
      <c r="I5337">
        <v>-64.757099999999994</v>
      </c>
      <c r="J5337">
        <v>-284.11239999999998</v>
      </c>
      <c r="K5337">
        <v>1.1240049999999999</v>
      </c>
      <c r="L5337">
        <v>-64.505430000000004</v>
      </c>
      <c r="M5337">
        <v>0.93655239999999995</v>
      </c>
      <c r="N5337">
        <v>0</v>
      </c>
      <c r="O5337">
        <v>-0.35024280000000002</v>
      </c>
      <c r="P5337">
        <v>0.99565269999999995</v>
      </c>
      <c r="Q5337">
        <v>7.1181680000000002E-3</v>
      </c>
      <c r="R5337">
        <v>-9.2871339999999997E-2</v>
      </c>
      <c r="S5337">
        <v>3.006256</v>
      </c>
      <c r="T5337">
        <v>-0.40406740000000002</v>
      </c>
      <c r="U5337">
        <v>-0.12911989999999901</v>
      </c>
      <c r="V5337">
        <v>-0.26234000000000002</v>
      </c>
      <c r="W5337">
        <v>1.144271E-2</v>
      </c>
      <c r="X5337">
        <v>0.96490759999999998</v>
      </c>
      <c r="Y5337">
        <v>-0.30401519999999999</v>
      </c>
      <c r="Z5337">
        <v>6.6322049999999994E-2</v>
      </c>
      <c r="AA5337">
        <v>0.95035579999999997</v>
      </c>
      <c r="AB5337">
        <v>34</v>
      </c>
      <c r="AC5337">
        <v>8.0542999999999498</v>
      </c>
      <c r="AD5337">
        <v>-1.1240076836720001</v>
      </c>
      <c r="AE5337">
        <v>-0.25166999999999001</v>
      </c>
      <c r="AF5337">
        <v>-2.5361720692622498</v>
      </c>
      <c r="AG5337">
        <v>-1.1240076836720001</v>
      </c>
      <c r="AH5337">
        <v>7.4865216294932297</v>
      </c>
      <c r="AI5337">
        <v>98.093174103573702</v>
      </c>
      <c r="AJ5337">
        <v>108.71458526543</v>
      </c>
      <c r="AK5337">
        <v>7.9839569229004299</v>
      </c>
      <c r="AL5337">
        <v>89.3443666658534</v>
      </c>
      <c r="AM5337">
        <v>105.20997562269601</v>
      </c>
      <c r="AN5337">
        <v>0.99999994387494995</v>
      </c>
    </row>
    <row r="5338" spans="1:40" x14ac:dyDescent="0.25">
      <c r="A5338" t="str">
        <f>"20190312151424179"</f>
        <v>20190312151424179</v>
      </c>
      <c r="B5338" t="str">
        <f>"1552374864175991"</f>
        <v>1552374864175991</v>
      </c>
      <c r="C5338" t="s">
        <v>40</v>
      </c>
      <c r="D5338">
        <v>5.0371169999999896</v>
      </c>
      <c r="E5338">
        <v>0.4800373</v>
      </c>
      <c r="F5338" t="s">
        <v>42</v>
      </c>
      <c r="G5338">
        <v>-276.0487</v>
      </c>
      <c r="H5338" s="1">
        <v>-2.6796539999999999E-6</v>
      </c>
      <c r="I5338">
        <v>-64.751050000000006</v>
      </c>
      <c r="J5338">
        <v>-283.79360000000003</v>
      </c>
      <c r="K5338">
        <v>1.1239980000000001</v>
      </c>
      <c r="L5338">
        <v>-64.610929999999996</v>
      </c>
      <c r="M5338">
        <v>0.94206080000000003</v>
      </c>
      <c r="N5338">
        <v>0</v>
      </c>
      <c r="O5338">
        <v>-0.33514519999999998</v>
      </c>
      <c r="P5338">
        <v>0.9968804</v>
      </c>
      <c r="Q5338">
        <v>7.4229419999999897E-3</v>
      </c>
      <c r="R5338">
        <v>-7.8579510000000005E-2</v>
      </c>
      <c r="S5338">
        <v>3.0075989999999999</v>
      </c>
      <c r="T5338">
        <v>-0.419234</v>
      </c>
      <c r="U5338">
        <v>-9.1613769999999997E-2</v>
      </c>
      <c r="V5338">
        <v>-0.260683</v>
      </c>
      <c r="W5338">
        <v>1.1811759999999999E-2</v>
      </c>
      <c r="X5338">
        <v>0.96535219999999999</v>
      </c>
      <c r="Y5338">
        <v>-0.30031180000000002</v>
      </c>
      <c r="Z5338">
        <v>6.6556390000000007E-2</v>
      </c>
      <c r="AA5338">
        <v>0.95151620000000003</v>
      </c>
      <c r="AB5338">
        <v>34</v>
      </c>
      <c r="AC5338">
        <v>7.7449000000000296</v>
      </c>
      <c r="AD5338">
        <v>-1.1240006796539901</v>
      </c>
      <c r="AE5338">
        <v>-0.140119999999996</v>
      </c>
      <c r="AF5338">
        <v>-2.4131015117305998</v>
      </c>
      <c r="AG5338">
        <v>-1.1240006796539901</v>
      </c>
      <c r="AH5338">
        <v>7.1924206526965602</v>
      </c>
      <c r="AI5338">
        <v>98.427594236507801</v>
      </c>
      <c r="AJ5338">
        <v>108.54692066435599</v>
      </c>
      <c r="AK5338">
        <v>7.66924711292544</v>
      </c>
      <c r="AL5338">
        <v>89.323220270442107</v>
      </c>
      <c r="AM5338">
        <v>105.111672039448</v>
      </c>
      <c r="AN5338">
        <v>1.00000000710406</v>
      </c>
    </row>
    <row r="5339" spans="1:40" x14ac:dyDescent="0.25">
      <c r="A5339" t="str">
        <f>"20190312151424191"</f>
        <v>20190312151424191</v>
      </c>
      <c r="B5339" t="str">
        <f>"1552374864185751"</f>
        <v>1552374864185751</v>
      </c>
      <c r="C5339" t="s">
        <v>40</v>
      </c>
      <c r="D5339">
        <v>5.0762650000000002</v>
      </c>
      <c r="E5339">
        <v>0.4802555</v>
      </c>
      <c r="F5339" t="s">
        <v>42</v>
      </c>
      <c r="G5339">
        <v>-275.70420000000001</v>
      </c>
      <c r="H5339" s="1">
        <v>-2.5652969999999999E-6</v>
      </c>
      <c r="I5339">
        <v>-64.772540000000006</v>
      </c>
      <c r="J5339">
        <v>-283.63549999999998</v>
      </c>
      <c r="K5339">
        <v>1.1239840000000001</v>
      </c>
      <c r="L5339">
        <v>-64.661100000000005</v>
      </c>
      <c r="M5339">
        <v>0.94468850000000004</v>
      </c>
      <c r="N5339">
        <v>0</v>
      </c>
      <c r="O5339">
        <v>-0.32766479999999998</v>
      </c>
      <c r="P5339">
        <v>0.99741429999999998</v>
      </c>
      <c r="Q5339">
        <v>7.9702739999999994E-3</v>
      </c>
      <c r="R5339">
        <v>-7.1424000000000001E-2</v>
      </c>
      <c r="S5339">
        <v>3.0077820000000002</v>
      </c>
      <c r="T5339">
        <v>-0.41792370000000001</v>
      </c>
      <c r="U5339">
        <v>-6.0089110000000001E-2</v>
      </c>
      <c r="V5339">
        <v>-0.25997360000000003</v>
      </c>
      <c r="W5339">
        <v>1.2387260000000001E-2</v>
      </c>
      <c r="X5339">
        <v>0.96553619999999996</v>
      </c>
      <c r="Y5339">
        <v>-0.30280590000000002</v>
      </c>
      <c r="Z5339">
        <v>6.5562019999999999E-2</v>
      </c>
      <c r="AA5339">
        <v>0.95079449999999999</v>
      </c>
      <c r="AB5339">
        <v>34</v>
      </c>
      <c r="AC5339">
        <v>7.9312999999999603</v>
      </c>
      <c r="AD5339">
        <v>-1.123986565297</v>
      </c>
      <c r="AE5339">
        <v>-0.111440000000001</v>
      </c>
      <c r="AF5339">
        <v>-2.44469277726611</v>
      </c>
      <c r="AG5339">
        <v>-1.123986565297</v>
      </c>
      <c r="AH5339">
        <v>7.3816554967183396</v>
      </c>
      <c r="AI5339">
        <v>98.224941050336795</v>
      </c>
      <c r="AJ5339">
        <v>108.324090542219</v>
      </c>
      <c r="AK5339">
        <v>7.8567618295591304</v>
      </c>
      <c r="AL5339">
        <v>89.2902440841698</v>
      </c>
      <c r="AM5339">
        <v>105.069680307244</v>
      </c>
      <c r="AN5339">
        <v>0.999999935208851</v>
      </c>
    </row>
    <row r="5340" spans="1:40" x14ac:dyDescent="0.25">
      <c r="A5340" t="str">
        <f>"20190312151424202"</f>
        <v>20190312151424202</v>
      </c>
      <c r="B5340" t="str">
        <f>"1552374864195511"</f>
        <v>1552374864195511</v>
      </c>
      <c r="C5340" t="s">
        <v>40</v>
      </c>
      <c r="D5340">
        <v>5.0408059999999999</v>
      </c>
      <c r="E5340">
        <v>0.48045139999999997</v>
      </c>
      <c r="F5340" t="s">
        <v>42</v>
      </c>
      <c r="G5340">
        <v>-275.54989999999998</v>
      </c>
      <c r="H5340" s="1">
        <v>-2.5101739999999998E-6</v>
      </c>
      <c r="I5340">
        <v>-64.768389999999997</v>
      </c>
      <c r="J5340">
        <v>-283.47629999999998</v>
      </c>
      <c r="K5340">
        <v>1.1239629999999901</v>
      </c>
      <c r="L5340">
        <v>-64.710449999999994</v>
      </c>
      <c r="M5340">
        <v>0.94726489999999997</v>
      </c>
      <c r="N5340">
        <v>0</v>
      </c>
      <c r="O5340">
        <v>-0.32014090000000001</v>
      </c>
      <c r="P5340">
        <v>0.99791810000000003</v>
      </c>
      <c r="Q5340">
        <v>8.2316090000000008E-3</v>
      </c>
      <c r="R5340">
        <v>-6.3967380000000004E-2</v>
      </c>
      <c r="S5340">
        <v>3.00827</v>
      </c>
      <c r="T5340">
        <v>-0.4181839</v>
      </c>
      <c r="U5340">
        <v>-3.9916989999999999E-2</v>
      </c>
      <c r="V5340">
        <v>-0.25951829999999998</v>
      </c>
      <c r="W5340">
        <v>1.2666190000000001E-2</v>
      </c>
      <c r="X5340">
        <v>0.96565509999999999</v>
      </c>
      <c r="Y5340">
        <v>-0.30168640000000002</v>
      </c>
      <c r="Z5340">
        <v>6.4535679999999998E-2</v>
      </c>
      <c r="AA5340">
        <v>0.95122050000000002</v>
      </c>
      <c r="AB5340">
        <v>34</v>
      </c>
      <c r="AC5340">
        <v>7.9264000000000001</v>
      </c>
      <c r="AD5340">
        <v>-1.12396551017399</v>
      </c>
      <c r="AE5340">
        <v>-5.7940000000002101E-2</v>
      </c>
      <c r="AF5340">
        <v>-2.4339890217878399</v>
      </c>
      <c r="AG5340">
        <v>-1.12396551017399</v>
      </c>
      <c r="AH5340">
        <v>7.3793280430663399</v>
      </c>
      <c r="AI5340">
        <v>98.230602908317906</v>
      </c>
      <c r="AJ5340">
        <v>108.254562703773</v>
      </c>
      <c r="AK5340">
        <v>7.8512472508149802</v>
      </c>
      <c r="AL5340">
        <v>89.274261347063401</v>
      </c>
      <c r="AM5340">
        <v>105.04271729121101</v>
      </c>
      <c r="AN5340">
        <v>0.99999997628000703</v>
      </c>
    </row>
    <row r="5341" spans="1:40" x14ac:dyDescent="0.25">
      <c r="A5341" t="str">
        <f>"20190312151424214"</f>
        <v>20190312151424214</v>
      </c>
      <c r="B5341" t="str">
        <f>"1552374864206247"</f>
        <v>1552374864206247</v>
      </c>
      <c r="C5341" t="s">
        <v>40</v>
      </c>
      <c r="D5341">
        <v>5.1450509999999996</v>
      </c>
      <c r="E5341">
        <v>0.48075430000000002</v>
      </c>
      <c r="F5341" t="s">
        <v>42</v>
      </c>
      <c r="G5341">
        <v>-275.39330000000001</v>
      </c>
      <c r="H5341" s="1">
        <v>-2.4413939999999999E-6</v>
      </c>
      <c r="I5341">
        <v>-64.761200000000002</v>
      </c>
      <c r="J5341">
        <v>-283.31819999999999</v>
      </c>
      <c r="K5341">
        <v>1.1239399999999999</v>
      </c>
      <c r="L5341">
        <v>-64.757660000000001</v>
      </c>
      <c r="M5341">
        <v>0.94975019999999999</v>
      </c>
      <c r="N5341">
        <v>0</v>
      </c>
      <c r="O5341">
        <v>-0.31269160000000001</v>
      </c>
      <c r="P5341">
        <v>0.99834440000000002</v>
      </c>
      <c r="Q5341">
        <v>8.6041869999999993E-3</v>
      </c>
      <c r="R5341">
        <v>-5.68759E-2</v>
      </c>
      <c r="S5341">
        <v>3.0085449999999998</v>
      </c>
      <c r="T5341">
        <v>-0.418346</v>
      </c>
      <c r="U5341">
        <v>-1.8890379999999998E-2</v>
      </c>
      <c r="V5341">
        <v>-0.25880690000000001</v>
      </c>
      <c r="W5341">
        <v>1.3067179999999999E-2</v>
      </c>
      <c r="X5341">
        <v>0.9658407</v>
      </c>
      <c r="Y5341">
        <v>-0.30092930000000001</v>
      </c>
      <c r="Z5341">
        <v>6.3528660000000001E-2</v>
      </c>
      <c r="AA5341">
        <v>0.95152809999999999</v>
      </c>
      <c r="AB5341">
        <v>34</v>
      </c>
      <c r="AC5341">
        <v>7.9248999999999796</v>
      </c>
      <c r="AD5341">
        <v>-1.123942441394</v>
      </c>
      <c r="AE5341">
        <v>-3.5400000000009799E-3</v>
      </c>
      <c r="AF5341">
        <v>-2.4261337384133501</v>
      </c>
      <c r="AG5341">
        <v>-1.123942441394</v>
      </c>
      <c r="AH5341">
        <v>7.3800858701800696</v>
      </c>
      <c r="AI5341">
        <v>98.232251413694897</v>
      </c>
      <c r="AJ5341">
        <v>108.19779277446401</v>
      </c>
      <c r="AK5341">
        <v>7.8495247613766903</v>
      </c>
      <c r="AL5341">
        <v>89.251284435143802</v>
      </c>
      <c r="AM5341">
        <v>105.000590256314</v>
      </c>
      <c r="AN5341">
        <v>1.00000001022862</v>
      </c>
    </row>
    <row r="5342" spans="1:40" x14ac:dyDescent="0.25">
      <c r="A5342" t="str">
        <f>"20190312151424237"</f>
        <v>20190312151424237</v>
      </c>
      <c r="B5342" t="str">
        <f>"1552374864225767"</f>
        <v>1552374864225767</v>
      </c>
      <c r="C5342" t="s">
        <v>40</v>
      </c>
      <c r="D5342">
        <v>5.0630280000000001</v>
      </c>
      <c r="E5342">
        <v>0.48149839999999999</v>
      </c>
      <c r="F5342" t="s">
        <v>42</v>
      </c>
      <c r="G5342">
        <v>-275.21899999999999</v>
      </c>
      <c r="H5342" s="1">
        <v>-2.3658860000000001E-6</v>
      </c>
      <c r="I5342">
        <v>-64.757900000000006</v>
      </c>
      <c r="J5342">
        <v>-282.97930000000002</v>
      </c>
      <c r="K5342">
        <v>1.123872</v>
      </c>
      <c r="L5342">
        <v>-64.854889999999997</v>
      </c>
      <c r="M5342">
        <v>0.95484910000000001</v>
      </c>
      <c r="N5342">
        <v>0</v>
      </c>
      <c r="O5342">
        <v>-0.29675820000000003</v>
      </c>
      <c r="P5342">
        <v>0.99910330000000003</v>
      </c>
      <c r="Q5342">
        <v>7.2963180000000004E-3</v>
      </c>
      <c r="R5342">
        <v>-4.1709330000000003E-2</v>
      </c>
      <c r="S5342">
        <v>3.0085449999999998</v>
      </c>
      <c r="T5342">
        <v>-0.41749930000000002</v>
      </c>
      <c r="U5342" s="1">
        <v>-9.1552730000000004E-5</v>
      </c>
      <c r="V5342">
        <v>-0.25726860000000001</v>
      </c>
      <c r="W5342">
        <v>1.182273E-2</v>
      </c>
      <c r="X5342">
        <v>0.9662676</v>
      </c>
      <c r="Y5342">
        <v>-0.2911899</v>
      </c>
      <c r="Z5342">
        <v>6.062261E-2</v>
      </c>
      <c r="AA5342">
        <v>0.9547426</v>
      </c>
      <c r="AB5342">
        <v>34</v>
      </c>
      <c r="AC5342">
        <v>7.7603000000000204</v>
      </c>
      <c r="AD5342">
        <v>-1.123874365886</v>
      </c>
      <c r="AE5342">
        <v>9.6989999999991E-2</v>
      </c>
      <c r="AF5342">
        <v>-2.3465713987645498</v>
      </c>
      <c r="AG5342">
        <v>-1.123874365886</v>
      </c>
      <c r="AH5342">
        <v>7.2302404558160198</v>
      </c>
      <c r="AI5342">
        <v>98.410199892456404</v>
      </c>
      <c r="AJ5342">
        <v>107.98081606920201</v>
      </c>
      <c r="AK5342">
        <v>7.6841309182440503</v>
      </c>
      <c r="AL5342">
        <v>89.322591681723694</v>
      </c>
      <c r="AM5342">
        <v>104.90911834842299</v>
      </c>
      <c r="AN5342">
        <v>0.99999999215018598</v>
      </c>
    </row>
    <row r="5343" spans="1:40" x14ac:dyDescent="0.25">
      <c r="A5343" t="str">
        <f>"20190312151424251"</f>
        <v>20190312151424251</v>
      </c>
      <c r="B5343" t="str">
        <f>"1552374864246264"</f>
        <v>1552374864246264</v>
      </c>
      <c r="C5343" t="s">
        <v>40</v>
      </c>
      <c r="D5343">
        <v>5.1179370000000004</v>
      </c>
      <c r="E5343">
        <v>0.49842710000000001</v>
      </c>
      <c r="F5343" t="s">
        <v>42</v>
      </c>
      <c r="G5343">
        <v>-274.93560000000002</v>
      </c>
      <c r="H5343" s="1">
        <v>-2.2428649999999998E-6</v>
      </c>
      <c r="I5343">
        <v>-64.751390000000001</v>
      </c>
      <c r="J5343">
        <v>-282.79219999999998</v>
      </c>
      <c r="K5343">
        <v>1.123828</v>
      </c>
      <c r="L5343">
        <v>-64.906130000000005</v>
      </c>
      <c r="M5343">
        <v>0.95752669999999995</v>
      </c>
      <c r="N5343">
        <v>0</v>
      </c>
      <c r="O5343">
        <v>-0.28800229999999999</v>
      </c>
      <c r="P5343">
        <v>0.99941579999999997</v>
      </c>
      <c r="Q5343">
        <v>6.0366630000000003E-3</v>
      </c>
      <c r="R5343">
        <v>-3.3643569999999998E-2</v>
      </c>
      <c r="S5343">
        <v>3.0073850000000002</v>
      </c>
      <c r="T5343">
        <v>-0.42019649999999997</v>
      </c>
      <c r="U5343">
        <v>3.8696290000000001E-2</v>
      </c>
      <c r="V5343">
        <v>-0.25617669999999998</v>
      </c>
      <c r="W5343">
        <v>1.0609250000000001E-2</v>
      </c>
      <c r="X5343">
        <v>0.96657170000000003</v>
      </c>
      <c r="Y5343">
        <v>-0.29472340000000002</v>
      </c>
      <c r="Z5343">
        <v>6.0120140000000002E-2</v>
      </c>
      <c r="AA5343">
        <v>0.95368949999999997</v>
      </c>
      <c r="AB5343">
        <v>34</v>
      </c>
      <c r="AC5343">
        <v>7.8565999999999496</v>
      </c>
      <c r="AD5343">
        <v>-1.123830242865</v>
      </c>
      <c r="AE5343">
        <v>0.15474000000000299</v>
      </c>
      <c r="AF5343">
        <v>-2.3627973745037001</v>
      </c>
      <c r="AG5343">
        <v>-1.123830242865</v>
      </c>
      <c r="AH5343">
        <v>7.3291707809678597</v>
      </c>
      <c r="AI5343">
        <v>98.303141471317403</v>
      </c>
      <c r="AJ5343">
        <v>107.868420042187</v>
      </c>
      <c r="AK5343">
        <v>7.7821944324420897</v>
      </c>
      <c r="AL5343">
        <v>89.392123319813095</v>
      </c>
      <c r="AM5343">
        <v>104.84417666027799</v>
      </c>
      <c r="AN5343">
        <v>0.99999995452467005</v>
      </c>
    </row>
    <row r="5344" spans="1:40" x14ac:dyDescent="0.25">
      <c r="A5344" t="str">
        <f>"20190312151424262"</f>
        <v>20190312151424262</v>
      </c>
      <c r="B5344" t="str">
        <f>"1552374864256024"</f>
        <v>1552374864256024</v>
      </c>
      <c r="C5344" t="s">
        <v>40</v>
      </c>
      <c r="D5344">
        <v>5.0867509999999996</v>
      </c>
      <c r="E5344">
        <v>0.50081640000000005</v>
      </c>
      <c r="F5344" t="s">
        <v>42</v>
      </c>
      <c r="G5344">
        <v>-274.2439</v>
      </c>
      <c r="H5344" s="1">
        <v>-2.0270529999999998E-6</v>
      </c>
      <c r="I5344">
        <v>-65.115319999999997</v>
      </c>
      <c r="J5344">
        <v>-282.60640000000001</v>
      </c>
      <c r="K5344">
        <v>1.1237760000000001</v>
      </c>
      <c r="L5344">
        <v>-64.95523</v>
      </c>
      <c r="M5344">
        <v>0.96009169999999999</v>
      </c>
      <c r="N5344">
        <v>0</v>
      </c>
      <c r="O5344">
        <v>-0.27933370000000002</v>
      </c>
      <c r="P5344">
        <v>0.99964960000000003</v>
      </c>
      <c r="Q5344">
        <v>4.7523269999999998E-3</v>
      </c>
      <c r="R5344">
        <v>-2.6042900000000001E-2</v>
      </c>
      <c r="S5344">
        <v>3.0016780000000001</v>
      </c>
      <c r="T5344">
        <v>-0.39462530000000001</v>
      </c>
      <c r="U5344">
        <v>-7.3455809999999996E-2</v>
      </c>
      <c r="V5344">
        <v>-0.25474380000000002</v>
      </c>
      <c r="W5344">
        <v>9.3857509999999995E-3</v>
      </c>
      <c r="X5344">
        <v>0.96696300000000002</v>
      </c>
      <c r="Y5344">
        <v>-0.25128070000000002</v>
      </c>
      <c r="Z5344">
        <v>5.2604970000000001E-2</v>
      </c>
      <c r="AA5344">
        <v>0.96648369999999995</v>
      </c>
      <c r="AB5344">
        <v>34</v>
      </c>
      <c r="AC5344">
        <v>8.3625000000000096</v>
      </c>
      <c r="AD5344">
        <v>-1.123778027053</v>
      </c>
      <c r="AE5344">
        <v>-0.16008999999999601</v>
      </c>
      <c r="AF5344">
        <v>-2.1437423190369</v>
      </c>
      <c r="AG5344">
        <v>-1.123778027053</v>
      </c>
      <c r="AH5344">
        <v>7.9311054110738697</v>
      </c>
      <c r="AI5344">
        <v>97.7888025808967</v>
      </c>
      <c r="AJ5344">
        <v>105.12535590948799</v>
      </c>
      <c r="AK5344">
        <v>8.2922217303978307</v>
      </c>
      <c r="AL5344">
        <v>89.462228168033505</v>
      </c>
      <c r="AM5344">
        <v>104.759069955643</v>
      </c>
      <c r="AN5344">
        <v>0.999999969664636</v>
      </c>
    </row>
    <row r="5345" spans="1:40" x14ac:dyDescent="0.25">
      <c r="A5345" t="str">
        <f>"20190312151424276"</f>
        <v>20190312151424276</v>
      </c>
      <c r="B5345" t="str">
        <f>"1552374864265783"</f>
        <v>1552374864265783</v>
      </c>
      <c r="C5345" t="s">
        <v>40</v>
      </c>
      <c r="D5345">
        <v>5.0383310000000003</v>
      </c>
      <c r="E5345">
        <v>0.50157829999999903</v>
      </c>
      <c r="F5345" t="s">
        <v>42</v>
      </c>
      <c r="G5345">
        <v>-273.8338</v>
      </c>
      <c r="H5345" s="1">
        <v>-1.8612460000000001E-6</v>
      </c>
      <c r="I5345">
        <v>-65.16086</v>
      </c>
      <c r="J5345">
        <v>-282.42189999999999</v>
      </c>
      <c r="K5345">
        <v>1.1237250000000001</v>
      </c>
      <c r="L5345">
        <v>-65.001800000000003</v>
      </c>
      <c r="M5345">
        <v>0.96253820000000001</v>
      </c>
      <c r="N5345">
        <v>0</v>
      </c>
      <c r="O5345">
        <v>-0.27078439999999998</v>
      </c>
      <c r="P5345">
        <v>0.99981920000000002</v>
      </c>
      <c r="Q5345">
        <v>3.4074320000000002E-3</v>
      </c>
      <c r="R5345">
        <v>-1.8721740000000001E-2</v>
      </c>
      <c r="S5345">
        <v>3.001007</v>
      </c>
      <c r="T5345">
        <v>-0.38443240000000001</v>
      </c>
      <c r="U5345">
        <v>-7.0343020000000006E-2</v>
      </c>
      <c r="V5345">
        <v>-0.25317869999999998</v>
      </c>
      <c r="W5345">
        <v>8.1097819999999994E-3</v>
      </c>
      <c r="X5345">
        <v>0.96738550000000001</v>
      </c>
      <c r="Y5345">
        <v>-0.24402309999999999</v>
      </c>
      <c r="Z5345">
        <v>4.9752049999999999E-2</v>
      </c>
      <c r="AA5345">
        <v>0.96849240000000003</v>
      </c>
      <c r="AB5345">
        <v>34</v>
      </c>
      <c r="AC5345">
        <v>8.5880999999999901</v>
      </c>
      <c r="AD5345">
        <v>-1.1237268612459901</v>
      </c>
      <c r="AE5345">
        <v>-0.15905999999999601</v>
      </c>
      <c r="AF5345">
        <v>-2.1360760654087101</v>
      </c>
      <c r="AG5345">
        <v>-1.1237268612459901</v>
      </c>
      <c r="AH5345">
        <v>8.17042255919886</v>
      </c>
      <c r="AI5345">
        <v>97.5794583756159</v>
      </c>
      <c r="AJ5345">
        <v>104.651475935001</v>
      </c>
      <c r="AK5345">
        <v>8.5194710992973892</v>
      </c>
      <c r="AL5345">
        <v>89.535338608525393</v>
      </c>
      <c r="AM5345">
        <v>104.666184984051</v>
      </c>
      <c r="AN5345">
        <v>0.99999996415401304</v>
      </c>
    </row>
    <row r="5346" spans="1:40" x14ac:dyDescent="0.25">
      <c r="A5346" t="str">
        <f>"20190312151424289"</f>
        <v>20190312151424289</v>
      </c>
      <c r="B5346" t="str">
        <f>"1552374864286280"</f>
        <v>1552374864286280</v>
      </c>
      <c r="C5346" t="s">
        <v>40</v>
      </c>
      <c r="D5346">
        <v>5.0559659999999997</v>
      </c>
      <c r="E5346">
        <v>0.50260689999999997</v>
      </c>
      <c r="F5346" t="s">
        <v>42</v>
      </c>
      <c r="G5346">
        <v>-273.32260000000002</v>
      </c>
      <c r="H5346" s="1">
        <v>-1.643782E-6</v>
      </c>
      <c r="I5346">
        <v>-65.169110000000003</v>
      </c>
      <c r="J5346">
        <v>-282.24020000000002</v>
      </c>
      <c r="K5346">
        <v>1.1236649999999999</v>
      </c>
      <c r="L5346">
        <v>-65.046569999999903</v>
      </c>
      <c r="M5346">
        <v>0.96486159999999999</v>
      </c>
      <c r="N5346">
        <v>0</v>
      </c>
      <c r="O5346">
        <v>-0.26238640000000002</v>
      </c>
      <c r="P5346">
        <v>0.99992709999999996</v>
      </c>
      <c r="Q5346">
        <v>2.5503209999999999E-3</v>
      </c>
      <c r="R5346">
        <v>-1.181364E-2</v>
      </c>
      <c r="S5346">
        <v>3.0007929999999998</v>
      </c>
      <c r="T5346">
        <v>-0.37058600000000003</v>
      </c>
      <c r="U5346">
        <v>-5.5175780000000001E-2</v>
      </c>
      <c r="V5346">
        <v>-0.2514015</v>
      </c>
      <c r="W5346">
        <v>7.332084E-3</v>
      </c>
      <c r="X5346">
        <v>0.96785509999999997</v>
      </c>
      <c r="Y5346">
        <v>-0.24084649999999999</v>
      </c>
      <c r="Z5346">
        <v>4.6787509999999997E-2</v>
      </c>
      <c r="AA5346">
        <v>0.96943489999999999</v>
      </c>
      <c r="AB5346">
        <v>34</v>
      </c>
      <c r="AC5346">
        <v>8.9175999999999895</v>
      </c>
      <c r="AD5346">
        <v>-1.123666643782</v>
      </c>
      <c r="AE5346">
        <v>-0.122540000000014</v>
      </c>
      <c r="AF5346">
        <v>-2.1871207774199801</v>
      </c>
      <c r="AG5346">
        <v>-1.123666643782</v>
      </c>
      <c r="AH5346">
        <v>8.5022783663385102</v>
      </c>
      <c r="AI5346">
        <v>97.293839825885897</v>
      </c>
      <c r="AJ5346">
        <v>104.425960117692</v>
      </c>
      <c r="AK5346">
        <v>8.8506983588911403</v>
      </c>
      <c r="AL5346">
        <v>89.579898760969897</v>
      </c>
      <c r="AM5346">
        <v>104.560861520469</v>
      </c>
      <c r="AN5346">
        <v>0.99999998412702096</v>
      </c>
    </row>
    <row r="5347" spans="1:40" x14ac:dyDescent="0.25">
      <c r="A5347" t="str">
        <f>"20190312151424302"</f>
        <v>20190312151424302</v>
      </c>
      <c r="B5347" t="str">
        <f>"1552374864296039"</f>
        <v>1552374864296039</v>
      </c>
      <c r="C5347" t="s">
        <v>40</v>
      </c>
      <c r="D5347">
        <v>5.0692839999999997</v>
      </c>
      <c r="E5347">
        <v>0.50309250000000005</v>
      </c>
      <c r="F5347" t="s">
        <v>42</v>
      </c>
      <c r="G5347">
        <v>-272.6225</v>
      </c>
      <c r="H5347" s="1">
        <v>-1.347209E-6</v>
      </c>
      <c r="I5347">
        <v>-65.186160000000001</v>
      </c>
      <c r="J5347">
        <v>-282.03050000000002</v>
      </c>
      <c r="K5347">
        <v>1.1235889999999999</v>
      </c>
      <c r="L5347">
        <v>-65.095889999999997</v>
      </c>
      <c r="M5347">
        <v>0.96742700000000004</v>
      </c>
      <c r="N5347">
        <v>0</v>
      </c>
      <c r="O5347">
        <v>-0.25276569999999998</v>
      </c>
      <c r="P5347">
        <v>0.99998410000000004</v>
      </c>
      <c r="Q5347">
        <v>1.7145909999999999E-3</v>
      </c>
      <c r="R5347">
        <v>-5.3940419999999999E-3</v>
      </c>
      <c r="S5347">
        <v>3.0005799999999998</v>
      </c>
      <c r="T5347">
        <v>-0.3505665</v>
      </c>
      <c r="U5347">
        <v>-4.3548580000000003E-2</v>
      </c>
      <c r="V5347">
        <v>-0.2479471</v>
      </c>
      <c r="W5347">
        <v>6.6464100000000002E-3</v>
      </c>
      <c r="X5347">
        <v>0.96875080000000002</v>
      </c>
      <c r="Y5347">
        <v>-0.23543459999999999</v>
      </c>
      <c r="Z5347">
        <v>4.2881349999999999E-2</v>
      </c>
      <c r="AA5347">
        <v>0.97094369999999997</v>
      </c>
      <c r="AB5347">
        <v>34</v>
      </c>
      <c r="AC5347">
        <v>9.4080000000000101</v>
      </c>
      <c r="AD5347">
        <v>-1.1235903472090001</v>
      </c>
      <c r="AE5347">
        <v>-9.0270000000003806E-2</v>
      </c>
      <c r="AF5347">
        <v>-2.25869923280694</v>
      </c>
      <c r="AG5347">
        <v>-1.1235903472090001</v>
      </c>
      <c r="AH5347">
        <v>8.99694316339313</v>
      </c>
      <c r="AI5347">
        <v>96.906419144111794</v>
      </c>
      <c r="AJ5347">
        <v>104.09295093192</v>
      </c>
      <c r="AK5347">
        <v>9.3439372738664197</v>
      </c>
      <c r="AL5347">
        <v>89.619185964160295</v>
      </c>
      <c r="AM5347">
        <v>104.356388853431</v>
      </c>
      <c r="AN5347">
        <v>1.0000000258324599</v>
      </c>
    </row>
    <row r="5348" spans="1:40" x14ac:dyDescent="0.25">
      <c r="A5348" t="str">
        <f>"20190312151424314"</f>
        <v>20190312151424314</v>
      </c>
      <c r="B5348" t="str">
        <f>"1552374864305799"</f>
        <v>1552374864305799</v>
      </c>
      <c r="C5348" t="s">
        <v>40</v>
      </c>
      <c r="D5348">
        <v>5.1787879999999999</v>
      </c>
      <c r="E5348">
        <v>0.50407069999999998</v>
      </c>
      <c r="F5348" t="s">
        <v>42</v>
      </c>
      <c r="G5348">
        <v>-272.27109999999999</v>
      </c>
      <c r="H5348" s="1">
        <v>-1.197079E-6</v>
      </c>
      <c r="I5348">
        <v>-65.188900000000004</v>
      </c>
      <c r="J5348">
        <v>-281.86750000000001</v>
      </c>
      <c r="K5348">
        <v>1.123526</v>
      </c>
      <c r="L5348">
        <v>-65.132450000000006</v>
      </c>
      <c r="M5348">
        <v>0.96933259999999999</v>
      </c>
      <c r="N5348">
        <v>0</v>
      </c>
      <c r="O5348">
        <v>-0.2453574</v>
      </c>
      <c r="P5348">
        <v>0.99999870000000002</v>
      </c>
      <c r="Q5348">
        <v>1.5867629999999999E-3</v>
      </c>
      <c r="R5348">
        <v>4.7602469999999999E-4</v>
      </c>
      <c r="S5348">
        <v>3.0004580000000001</v>
      </c>
      <c r="T5348">
        <v>-0.34544049999999998</v>
      </c>
      <c r="U5348">
        <v>-2.8594970000000001E-2</v>
      </c>
      <c r="V5348">
        <v>-0.2462174</v>
      </c>
      <c r="W5348">
        <v>6.5996809999999996E-3</v>
      </c>
      <c r="X5348">
        <v>0.9691921</v>
      </c>
      <c r="Y5348">
        <v>-0.23299909999999999</v>
      </c>
      <c r="Z5348">
        <v>4.1297529999999999E-2</v>
      </c>
      <c r="AA5348">
        <v>0.97159969999999996</v>
      </c>
      <c r="AB5348">
        <v>34</v>
      </c>
      <c r="AC5348">
        <v>9.5964000000000098</v>
      </c>
      <c r="AD5348">
        <v>-1.123527197079</v>
      </c>
      <c r="AE5348">
        <v>-5.6449999999998099E-2</v>
      </c>
      <c r="AF5348">
        <v>-2.26895208050425</v>
      </c>
      <c r="AG5348">
        <v>-1.123527197079</v>
      </c>
      <c r="AH5348">
        <v>9.1908804479747293</v>
      </c>
      <c r="AI5348">
        <v>96.768244338521498</v>
      </c>
      <c r="AJ5348">
        <v>103.867329550825</v>
      </c>
      <c r="AK5348">
        <v>9.5332439555046005</v>
      </c>
      <c r="AL5348">
        <v>89.621863366834006</v>
      </c>
      <c r="AM5348">
        <v>104.25410748631499</v>
      </c>
      <c r="AN5348">
        <v>0.99999994527723401</v>
      </c>
    </row>
    <row r="5349" spans="1:40" x14ac:dyDescent="0.25">
      <c r="A5349" t="str">
        <f>"20190312151424325"</f>
        <v>20190312151424325</v>
      </c>
      <c r="B5349" t="str">
        <f>"1552374864315559"</f>
        <v>1552374864315559</v>
      </c>
      <c r="C5349" t="s">
        <v>40</v>
      </c>
      <c r="D5349">
        <v>5.0579269999999896</v>
      </c>
      <c r="E5349">
        <v>0.50459140000000002</v>
      </c>
      <c r="F5349" t="s">
        <v>42</v>
      </c>
      <c r="G5349">
        <v>-271.95260000000002</v>
      </c>
      <c r="H5349" s="1">
        <v>-1.06208E-6</v>
      </c>
      <c r="I5349">
        <v>-65.196280000000002</v>
      </c>
      <c r="J5349">
        <v>-281.70650000000001</v>
      </c>
      <c r="K5349">
        <v>1.1234599999999999</v>
      </c>
      <c r="L5349">
        <v>-65.168090000000007</v>
      </c>
      <c r="M5349">
        <v>0.9711552</v>
      </c>
      <c r="N5349">
        <v>0</v>
      </c>
      <c r="O5349">
        <v>-0.23804210000000001</v>
      </c>
      <c r="P5349">
        <v>0.9999787</v>
      </c>
      <c r="Q5349">
        <v>1.5390720000000001E-3</v>
      </c>
      <c r="R5349">
        <v>6.3572949999999998E-3</v>
      </c>
      <c r="S5349">
        <v>3.0005799999999998</v>
      </c>
      <c r="T5349">
        <v>-0.34001479999999901</v>
      </c>
      <c r="U5349">
        <v>-1.9317629999999999E-2</v>
      </c>
      <c r="V5349">
        <v>-0.24460689999999999</v>
      </c>
      <c r="W5349">
        <v>6.6301980000000003E-3</v>
      </c>
      <c r="X5349">
        <v>0.96959969999999995</v>
      </c>
      <c r="Y5349">
        <v>-0.22884289999999999</v>
      </c>
      <c r="Z5349">
        <v>3.9612840000000003E-2</v>
      </c>
      <c r="AA5349">
        <v>0.97265699999999999</v>
      </c>
      <c r="AB5349">
        <v>34</v>
      </c>
      <c r="AC5349">
        <v>9.7538999999999803</v>
      </c>
      <c r="AD5349">
        <v>-1.1234610620799901</v>
      </c>
      <c r="AE5349">
        <v>-2.8189999999995E-2</v>
      </c>
      <c r="AF5349">
        <v>-2.2646402245848898</v>
      </c>
      <c r="AG5349">
        <v>-1.1234610620799901</v>
      </c>
      <c r="AH5349">
        <v>9.3560565640487905</v>
      </c>
      <c r="AI5349">
        <v>96.656776088436303</v>
      </c>
      <c r="AJ5349">
        <v>103.606779783042</v>
      </c>
      <c r="AK5349">
        <v>9.6915713140077706</v>
      </c>
      <c r="AL5349">
        <v>89.6201148678891</v>
      </c>
      <c r="AM5349">
        <v>104.158921115213</v>
      </c>
      <c r="AN5349">
        <v>1.0000000366466</v>
      </c>
    </row>
    <row r="5350" spans="1:40" x14ac:dyDescent="0.25">
      <c r="A5350" t="str">
        <f>"20190312151424337"</f>
        <v>20190312151424337</v>
      </c>
      <c r="B5350" t="str">
        <f>"1552374864326295"</f>
        <v>1552374864326295</v>
      </c>
      <c r="C5350" t="s">
        <v>40</v>
      </c>
      <c r="D5350">
        <v>5.0329280000000001</v>
      </c>
      <c r="E5350">
        <v>0.50494300000000003</v>
      </c>
      <c r="F5350" t="s">
        <v>42</v>
      </c>
      <c r="G5350">
        <v>-271.65050000000002</v>
      </c>
      <c r="H5350" s="1">
        <v>-9.3116169999999995E-7</v>
      </c>
      <c r="I5350">
        <v>-65.190280000000001</v>
      </c>
      <c r="J5350">
        <v>-281.53919999999999</v>
      </c>
      <c r="K5350">
        <v>1.1233789999999999</v>
      </c>
      <c r="L5350">
        <v>-65.202819999999903</v>
      </c>
      <c r="M5350">
        <v>0.97296170000000004</v>
      </c>
      <c r="N5350">
        <v>0</v>
      </c>
      <c r="O5350">
        <v>-0.2305489</v>
      </c>
      <c r="P5350">
        <v>0.99992259999999999</v>
      </c>
      <c r="Q5350">
        <v>1.4387060000000001E-3</v>
      </c>
      <c r="R5350">
        <v>1.2360299999999999E-2</v>
      </c>
      <c r="S5350">
        <v>3.00061</v>
      </c>
      <c r="T5350">
        <v>-0.33523019999999998</v>
      </c>
      <c r="U5350">
        <v>-6.6223139999999998E-3</v>
      </c>
      <c r="V5350">
        <v>-0.24294859999999999</v>
      </c>
      <c r="W5350">
        <v>6.6125560000000003E-3</v>
      </c>
      <c r="X5350">
        <v>0.97001669999999995</v>
      </c>
      <c r="Y5350">
        <v>-0.225605</v>
      </c>
      <c r="Z5350">
        <v>3.8065429999999997E-2</v>
      </c>
      <c r="AA5350">
        <v>0.97347490000000003</v>
      </c>
      <c r="AB5350">
        <v>34</v>
      </c>
      <c r="AC5350">
        <v>9.8886999999999698</v>
      </c>
      <c r="AD5350">
        <v>-1.1233799311616901</v>
      </c>
      <c r="AE5350">
        <v>1.25399999999871E-2</v>
      </c>
      <c r="AF5350">
        <v>-2.26304506950405</v>
      </c>
      <c r="AG5350">
        <v>-1.1233799311616901</v>
      </c>
      <c r="AH5350">
        <v>9.4968015197932196</v>
      </c>
      <c r="AI5350">
        <v>96.564063610699094</v>
      </c>
      <c r="AJ5350">
        <v>103.403355875787</v>
      </c>
      <c r="AK5350">
        <v>9.8271356235014</v>
      </c>
      <c r="AL5350">
        <v>89.621125716006006</v>
      </c>
      <c r="AM5350">
        <v>104.060947402073</v>
      </c>
      <c r="AN5350">
        <v>1.0000000732088401</v>
      </c>
    </row>
    <row r="5351" spans="1:40" x14ac:dyDescent="0.25">
      <c r="A5351" t="str">
        <f>"20190312151424347"</f>
        <v>20190312151424347</v>
      </c>
      <c r="B5351" t="str">
        <f>"1552374864336056"</f>
        <v>1552374864336056</v>
      </c>
      <c r="C5351" t="s">
        <v>40</v>
      </c>
      <c r="D5351">
        <v>5.0514970000000003</v>
      </c>
      <c r="E5351">
        <v>0.5057142</v>
      </c>
      <c r="F5351" t="s">
        <v>42</v>
      </c>
      <c r="G5351">
        <v>-271.32889999999998</v>
      </c>
      <c r="H5351" s="1">
        <v>-7.8984759999999897E-7</v>
      </c>
      <c r="I5351">
        <v>-65.175200000000004</v>
      </c>
      <c r="J5351">
        <v>-281.37920000000003</v>
      </c>
      <c r="K5351">
        <v>1.123299</v>
      </c>
      <c r="L5351">
        <v>-65.235569999999996</v>
      </c>
      <c r="M5351">
        <v>0.97462890000000002</v>
      </c>
      <c r="N5351">
        <v>0</v>
      </c>
      <c r="O5351">
        <v>-0.22339729999999999</v>
      </c>
      <c r="P5351">
        <v>0.99984510000000004</v>
      </c>
      <c r="Q5351">
        <v>9.3220360000000003E-4</v>
      </c>
      <c r="R5351">
        <v>1.7574039999999999E-2</v>
      </c>
      <c r="S5351">
        <v>3.00061</v>
      </c>
      <c r="T5351">
        <v>-0.33013959999999998</v>
      </c>
      <c r="U5351">
        <v>8.1176759999999903E-3</v>
      </c>
      <c r="V5351">
        <v>-0.24086389999999999</v>
      </c>
      <c r="W5351">
        <v>6.2058209999999898E-3</v>
      </c>
      <c r="X5351">
        <v>0.97053900000000004</v>
      </c>
      <c r="Y5351">
        <v>-0.22337570000000001</v>
      </c>
      <c r="Z5351">
        <v>3.660339E-2</v>
      </c>
      <c r="AA5351">
        <v>0.97404489999999999</v>
      </c>
      <c r="AB5351">
        <v>34</v>
      </c>
      <c r="AC5351">
        <v>10.0503</v>
      </c>
      <c r="AD5351">
        <v>-1.1232997898476</v>
      </c>
      <c r="AE5351">
        <v>6.0369999999991798E-2</v>
      </c>
      <c r="AF5351">
        <v>-2.2758407643713499</v>
      </c>
      <c r="AG5351">
        <v>-1.1232997898476</v>
      </c>
      <c r="AH5351">
        <v>9.6620716672292808</v>
      </c>
      <c r="AI5351">
        <v>96.456234217098796</v>
      </c>
      <c r="AJ5351">
        <v>103.254072687226</v>
      </c>
      <c r="AK5351">
        <v>9.9898389629323301</v>
      </c>
      <c r="AL5351">
        <v>89.644430344819497</v>
      </c>
      <c r="AM5351">
        <v>103.937808695562</v>
      </c>
      <c r="AN5351">
        <v>0.99999994052924501</v>
      </c>
    </row>
    <row r="5352" spans="1:40" x14ac:dyDescent="0.25">
      <c r="A5352" t="str">
        <f>"20190312151424358"</f>
        <v>20190312151424358</v>
      </c>
      <c r="B5352" t="str">
        <f>"1552374864355576"</f>
        <v>1552374864355576</v>
      </c>
      <c r="C5352" t="s">
        <v>40</v>
      </c>
      <c r="D5352">
        <v>5.2456670000000001</v>
      </c>
      <c r="E5352">
        <v>0.5063474</v>
      </c>
      <c r="F5352" t="s">
        <v>42</v>
      </c>
      <c r="G5352">
        <v>-271.09589999999997</v>
      </c>
      <c r="H5352" s="1">
        <v>-6.9030819999999902E-7</v>
      </c>
      <c r="I5352">
        <v>-65.177099999999996</v>
      </c>
      <c r="J5352">
        <v>-281.21359999999999</v>
      </c>
      <c r="K5352">
        <v>1.1232070000000001</v>
      </c>
      <c r="L5352">
        <v>-65.267700000000005</v>
      </c>
      <c r="M5352">
        <v>0.97627710000000001</v>
      </c>
      <c r="N5352">
        <v>0</v>
      </c>
      <c r="O5352">
        <v>-0.21608359999999999</v>
      </c>
      <c r="P5352">
        <v>0.99974580000000002</v>
      </c>
      <c r="Q5352">
        <v>1.737513E-4</v>
      </c>
      <c r="R5352">
        <v>2.2554620000000001E-2</v>
      </c>
      <c r="S5352">
        <v>3.0004580000000001</v>
      </c>
      <c r="T5352">
        <v>-0.32775559999999998</v>
      </c>
      <c r="U5352">
        <v>1.7059330000000001E-2</v>
      </c>
      <c r="V5352">
        <v>-0.23839469999999999</v>
      </c>
      <c r="W5352">
        <v>5.5630559999999898E-3</v>
      </c>
      <c r="X5352">
        <v>0.97115240000000003</v>
      </c>
      <c r="Y5352">
        <v>-0.21907789999999999</v>
      </c>
      <c r="Z5352">
        <v>3.5328409999999998E-2</v>
      </c>
      <c r="AA5352">
        <v>0.97506760000000003</v>
      </c>
      <c r="AB5352">
        <v>34</v>
      </c>
      <c r="AC5352">
        <v>10.117699999999999</v>
      </c>
      <c r="AD5352">
        <v>-1.1232076903082</v>
      </c>
      <c r="AE5352">
        <v>9.0600000000009104E-2</v>
      </c>
      <c r="AF5352">
        <v>-2.24724377903933</v>
      </c>
      <c r="AG5352">
        <v>-1.1232076903082</v>
      </c>
      <c r="AH5352">
        <v>9.7390272510112101</v>
      </c>
      <c r="AI5352">
        <v>96.411865301103902</v>
      </c>
      <c r="AJ5352">
        <v>102.993365331143</v>
      </c>
      <c r="AK5352">
        <v>10.057850263050099</v>
      </c>
      <c r="AL5352">
        <v>89.681258720304001</v>
      </c>
      <c r="AM5352">
        <v>103.79203149527299</v>
      </c>
      <c r="AN5352">
        <v>0.99999998230295395</v>
      </c>
    </row>
    <row r="5353" spans="1:40" x14ac:dyDescent="0.25">
      <c r="A5353" t="str">
        <f>"20190312151424370"</f>
        <v>20190312151424370</v>
      </c>
      <c r="B5353" t="str">
        <f>"1552374864366311"</f>
        <v>1552374864366311</v>
      </c>
      <c r="C5353" t="s">
        <v>40</v>
      </c>
      <c r="D5353">
        <v>5.1978330000000001</v>
      </c>
      <c r="E5353">
        <v>0.50662949999999995</v>
      </c>
      <c r="F5353" t="s">
        <v>42</v>
      </c>
      <c r="G5353">
        <v>-270.6463</v>
      </c>
      <c r="H5353" s="1">
        <v>-4.9688870000000005E-7</v>
      </c>
      <c r="I5353">
        <v>-65.174610000000001</v>
      </c>
      <c r="J5353">
        <v>-281.05470000000003</v>
      </c>
      <c r="K5353">
        <v>1.1231199999999999</v>
      </c>
      <c r="L5353">
        <v>-65.297669999999997</v>
      </c>
      <c r="M5353">
        <v>0.97779430000000001</v>
      </c>
      <c r="N5353">
        <v>0</v>
      </c>
      <c r="O5353">
        <v>-0.20911109999999999</v>
      </c>
      <c r="P5353">
        <v>0.99962209999999996</v>
      </c>
      <c r="Q5353" s="1">
        <v>-5.224347E-5</v>
      </c>
      <c r="R5353">
        <v>2.749002E-2</v>
      </c>
      <c r="S5353">
        <v>3.0002439999999999</v>
      </c>
      <c r="T5353">
        <v>-0.31890049999999998</v>
      </c>
      <c r="U5353">
        <v>2.6428219999999999E-2</v>
      </c>
      <c r="V5353">
        <v>-0.23624970000000001</v>
      </c>
      <c r="W5353">
        <v>5.4405110000000003E-3</v>
      </c>
      <c r="X5353">
        <v>0.97167709999999996</v>
      </c>
      <c r="Y5353">
        <v>-0.21535760000000001</v>
      </c>
      <c r="Z5353">
        <v>3.345981E-2</v>
      </c>
      <c r="AA5353">
        <v>0.97596190000000005</v>
      </c>
      <c r="AB5353">
        <v>34</v>
      </c>
      <c r="AC5353">
        <v>10.4084</v>
      </c>
      <c r="AD5353">
        <v>-1.1231204968887001</v>
      </c>
      <c r="AE5353">
        <v>0.12305999999999501</v>
      </c>
      <c r="AF5353">
        <v>-2.2706241615640401</v>
      </c>
      <c r="AG5353">
        <v>-1.1231204968887001</v>
      </c>
      <c r="AH5353">
        <v>10.035675472483099</v>
      </c>
      <c r="AI5353">
        <v>96.229389734835095</v>
      </c>
      <c r="AJ5353">
        <v>102.748819504583</v>
      </c>
      <c r="AK5353">
        <v>10.3504548654931</v>
      </c>
      <c r="AL5353">
        <v>89.688280128956805</v>
      </c>
      <c r="AM5353">
        <v>103.665506578356</v>
      </c>
      <c r="AN5353">
        <v>0.99999995328721902</v>
      </c>
    </row>
    <row r="5354" spans="1:40" x14ac:dyDescent="0.25">
      <c r="A5354" t="str">
        <f>"20190312151424381"</f>
        <v>20190312151424381</v>
      </c>
      <c r="B5354" t="str">
        <f>"1552374864376072"</f>
        <v>1552374864376072</v>
      </c>
      <c r="C5354" t="s">
        <v>40</v>
      </c>
      <c r="D5354">
        <v>5.0512639999999998</v>
      </c>
      <c r="E5354">
        <v>0.50662949999999995</v>
      </c>
      <c r="F5354" t="s">
        <v>42</v>
      </c>
      <c r="G5354">
        <v>-270.34620000000001</v>
      </c>
      <c r="H5354" s="1">
        <v>-3.646984E-7</v>
      </c>
      <c r="I5354">
        <v>-65.159099999999995</v>
      </c>
      <c r="J5354">
        <v>-280.87560000000002</v>
      </c>
      <c r="K5354">
        <v>1.123016</v>
      </c>
      <c r="L5354">
        <v>-65.330019999999905</v>
      </c>
      <c r="M5354">
        <v>0.97942940000000001</v>
      </c>
      <c r="N5354">
        <v>0</v>
      </c>
      <c r="O5354">
        <v>-0.20131660000000001</v>
      </c>
      <c r="P5354">
        <v>0.99944639999999996</v>
      </c>
      <c r="Q5354">
        <v>1.520673E-4</v>
      </c>
      <c r="R5354">
        <v>3.3271299999999997E-2</v>
      </c>
      <c r="S5354">
        <v>3.0000610000000001</v>
      </c>
      <c r="T5354">
        <v>-0.31464910000000001</v>
      </c>
      <c r="U5354">
        <v>3.8818360000000003E-2</v>
      </c>
      <c r="V5354">
        <v>-0.23413600000000001</v>
      </c>
      <c r="W5354">
        <v>5.7509269999999899E-3</v>
      </c>
      <c r="X5354">
        <v>0.97218689999999996</v>
      </c>
      <c r="Y5354">
        <v>-0.2117366</v>
      </c>
      <c r="Z5354">
        <v>3.2027999999999897E-2</v>
      </c>
      <c r="AA5354">
        <v>0.97680180000000005</v>
      </c>
      <c r="AB5354">
        <v>34</v>
      </c>
      <c r="AC5354">
        <v>10.529400000000001</v>
      </c>
      <c r="AD5354">
        <v>-1.1230163646983999</v>
      </c>
      <c r="AE5354">
        <v>0.17091999999999499</v>
      </c>
      <c r="AF5354">
        <v>-2.2616437999066301</v>
      </c>
      <c r="AG5354">
        <v>-1.1230163646983999</v>
      </c>
      <c r="AH5354">
        <v>10.1637836371078</v>
      </c>
      <c r="AI5354">
        <v>96.155784603210805</v>
      </c>
      <c r="AJ5354">
        <v>102.54505803276599</v>
      </c>
      <c r="AK5354">
        <v>10.472759724875599</v>
      </c>
      <c r="AL5354">
        <v>89.670494356120699</v>
      </c>
      <c r="AM5354">
        <v>103.540925854482</v>
      </c>
      <c r="AN5354">
        <v>1.00000005409448</v>
      </c>
    </row>
    <row r="5355" spans="1:40" x14ac:dyDescent="0.25">
      <c r="A5355" t="str">
        <f>"20190312151424393"</f>
        <v>20190312151424393</v>
      </c>
      <c r="B5355" t="str">
        <f>"1552374864385832"</f>
        <v>1552374864385832</v>
      </c>
      <c r="C5355" t="s">
        <v>40</v>
      </c>
      <c r="D5355">
        <v>5.035215</v>
      </c>
      <c r="E5355">
        <v>0.51617840000000004</v>
      </c>
      <c r="F5355" t="s">
        <v>42</v>
      </c>
      <c r="G5355">
        <v>-270.14780000000002</v>
      </c>
      <c r="H5355" s="1">
        <v>-2.7298369999999997E-7</v>
      </c>
      <c r="I5355">
        <v>-65.129530000000003</v>
      </c>
      <c r="J5355">
        <v>-280.70800000000003</v>
      </c>
      <c r="K5355">
        <v>1.1229169999999999</v>
      </c>
      <c r="L5355">
        <v>-65.358800000000002</v>
      </c>
      <c r="M5355">
        <v>0.98088310000000001</v>
      </c>
      <c r="N5355">
        <v>0</v>
      </c>
      <c r="O5355">
        <v>-0.1941118</v>
      </c>
      <c r="P5355">
        <v>0.99923859999999998</v>
      </c>
      <c r="Q5355">
        <v>5.5811930000000004E-4</v>
      </c>
      <c r="R5355">
        <v>3.901189E-2</v>
      </c>
      <c r="S5355">
        <v>2.9998170000000002</v>
      </c>
      <c r="T5355">
        <v>-0.31402790000000003</v>
      </c>
      <c r="U5355">
        <v>5.6060789999999999E-2</v>
      </c>
      <c r="V5355">
        <v>-0.23258570000000001</v>
      </c>
      <c r="W5355">
        <v>6.2415830000000002E-3</v>
      </c>
      <c r="X5355">
        <v>0.97255590000000003</v>
      </c>
      <c r="Y5355">
        <v>-0.2102251</v>
      </c>
      <c r="Z5355">
        <v>3.114898E-2</v>
      </c>
      <c r="AA5355">
        <v>0.97715660000000004</v>
      </c>
      <c r="AB5355">
        <v>34</v>
      </c>
      <c r="AC5355">
        <v>10.560199999999901</v>
      </c>
      <c r="AD5355">
        <v>-1.12291727298369</v>
      </c>
      <c r="AE5355">
        <v>0.229269999999999</v>
      </c>
      <c r="AF5355">
        <v>-2.2495376754600702</v>
      </c>
      <c r="AG5355">
        <v>-1.12291727298369</v>
      </c>
      <c r="AH5355">
        <v>10.1995195982468</v>
      </c>
      <c r="AI5355">
        <v>96.136372606331193</v>
      </c>
      <c r="AJ5355">
        <v>102.437653076305</v>
      </c>
      <c r="AK5355">
        <v>10.504835219569101</v>
      </c>
      <c r="AL5355">
        <v>89.642381322450703</v>
      </c>
      <c r="AM5355">
        <v>103.449617267185</v>
      </c>
      <c r="AN5355">
        <v>1.0000000219138201</v>
      </c>
    </row>
    <row r="5356" spans="1:40" x14ac:dyDescent="0.25">
      <c r="A5356" t="str">
        <f>"20190312151424404"</f>
        <v>20190312151424404</v>
      </c>
      <c r="B5356" t="str">
        <f>"1552374864395591"</f>
        <v>1552374864395591</v>
      </c>
      <c r="C5356" t="s">
        <v>40</v>
      </c>
      <c r="D5356">
        <v>5.0675689999999998</v>
      </c>
      <c r="E5356">
        <v>0.51658609999999905</v>
      </c>
      <c r="F5356" t="s">
        <v>42</v>
      </c>
      <c r="G5356">
        <v>-267.5136</v>
      </c>
      <c r="H5356" s="1">
        <v>-3.3315019999999998E-6</v>
      </c>
      <c r="I5356">
        <v>-65.379249999999999</v>
      </c>
      <c r="J5356">
        <v>-280.54320000000001</v>
      </c>
      <c r="K5356">
        <v>1.1228129999999901</v>
      </c>
      <c r="L5356">
        <v>-65.386469999999903</v>
      </c>
      <c r="M5356">
        <v>0.9822533</v>
      </c>
      <c r="N5356">
        <v>0</v>
      </c>
      <c r="O5356">
        <v>-0.1870569</v>
      </c>
      <c r="P5356">
        <v>0.99901079999999998</v>
      </c>
      <c r="Q5356">
        <v>1.2503010000000001E-3</v>
      </c>
      <c r="R5356">
        <v>4.444932E-2</v>
      </c>
      <c r="S5356">
        <v>3.0025940000000002</v>
      </c>
      <c r="T5356">
        <v>-0.25553940000000003</v>
      </c>
      <c r="U5356">
        <v>-4.6691889999999998E-3</v>
      </c>
      <c r="V5356">
        <v>-0.23090910000000001</v>
      </c>
      <c r="W5356">
        <v>7.0226259999999997E-3</v>
      </c>
      <c r="X5356">
        <v>0.97294999999999998</v>
      </c>
      <c r="Y5356">
        <v>-0.1842106</v>
      </c>
      <c r="Z5356">
        <v>2.3645579999999999E-2</v>
      </c>
      <c r="AA5356">
        <v>0.98260239999999999</v>
      </c>
      <c r="AB5356">
        <v>34</v>
      </c>
      <c r="AC5356">
        <v>13.0296</v>
      </c>
      <c r="AD5356">
        <v>-1.1228163315020001</v>
      </c>
      <c r="AE5356">
        <v>7.2199999999895603E-3</v>
      </c>
      <c r="AF5356">
        <v>-2.4265786834452698</v>
      </c>
      <c r="AG5356">
        <v>-1.1228163315020001</v>
      </c>
      <c r="AH5356">
        <v>12.7038821576392</v>
      </c>
      <c r="AI5356">
        <v>94.961646933651494</v>
      </c>
      <c r="AJ5356">
        <v>100.81385336841601</v>
      </c>
      <c r="AK5356">
        <v>12.9822040692797</v>
      </c>
      <c r="AL5356">
        <v>89.5976298682411</v>
      </c>
      <c r="AM5356">
        <v>103.350935253508</v>
      </c>
      <c r="AN5356">
        <v>1.0000000161193701</v>
      </c>
    </row>
    <row r="5357" spans="1:40" x14ac:dyDescent="0.25">
      <c r="A5357" t="str">
        <f>"20190312151424415"</f>
        <v>20190312151424415</v>
      </c>
      <c r="B5357" t="str">
        <f>"1552374864406329"</f>
        <v>1552374864406329</v>
      </c>
      <c r="C5357" t="s">
        <v>40</v>
      </c>
      <c r="D5357">
        <v>5.1724430000000003</v>
      </c>
      <c r="E5357">
        <v>0.51590599999999998</v>
      </c>
      <c r="F5357" t="s">
        <v>42</v>
      </c>
      <c r="G5357">
        <v>-267.50439999999998</v>
      </c>
      <c r="H5357" s="1">
        <v>-3.3233349999999999E-6</v>
      </c>
      <c r="I5357">
        <v>-65.350899999999996</v>
      </c>
      <c r="J5357">
        <v>-280.39120000000003</v>
      </c>
      <c r="K5357">
        <v>1.1227129999999901</v>
      </c>
      <c r="L5357">
        <v>-65.41019</v>
      </c>
      <c r="M5357">
        <v>0.9834484</v>
      </c>
      <c r="N5357">
        <v>0</v>
      </c>
      <c r="O5357">
        <v>-0.18067059999999999</v>
      </c>
      <c r="P5357">
        <v>0.99877070000000001</v>
      </c>
      <c r="Q5357">
        <v>1.462706E-3</v>
      </c>
      <c r="R5357">
        <v>4.9552020000000002E-2</v>
      </c>
      <c r="S5357">
        <v>3.0029599999999999</v>
      </c>
      <c r="T5357">
        <v>-0.2585964</v>
      </c>
      <c r="U5357">
        <v>8.178711E-3</v>
      </c>
      <c r="V5357">
        <v>-0.2295625</v>
      </c>
      <c r="W5357">
        <v>7.3120579999999998E-3</v>
      </c>
      <c r="X5357">
        <v>0.97326650000000003</v>
      </c>
      <c r="Y5357">
        <v>-0.18202860000000001</v>
      </c>
      <c r="Z5357">
        <v>2.3290419999999999E-2</v>
      </c>
      <c r="AA5357">
        <v>0.98301740000000004</v>
      </c>
      <c r="AB5357">
        <v>34</v>
      </c>
      <c r="AC5357">
        <v>12.886799999999999</v>
      </c>
      <c r="AD5357">
        <v>-1.1227163233349999</v>
      </c>
      <c r="AE5357">
        <v>5.92900000000042E-2</v>
      </c>
      <c r="AF5357">
        <v>-2.3688188809818498</v>
      </c>
      <c r="AG5357">
        <v>-1.1227163233349999</v>
      </c>
      <c r="AH5357">
        <v>12.5685821146468</v>
      </c>
      <c r="AI5357">
        <v>95.016664152273606</v>
      </c>
      <c r="AJ5357">
        <v>100.673415382274</v>
      </c>
      <c r="AK5357">
        <v>12.839044014497301</v>
      </c>
      <c r="AL5357">
        <v>89.581046222032697</v>
      </c>
      <c r="AM5357">
        <v>103.27167636018</v>
      </c>
      <c r="AN5357">
        <v>1.00000004381034</v>
      </c>
    </row>
    <row r="5358" spans="1:40" x14ac:dyDescent="0.25">
      <c r="A5358" t="str">
        <f>"20190312151424425"</f>
        <v>20190312151424425</v>
      </c>
      <c r="B5358" t="str">
        <f>"1552374864416087"</f>
        <v>1552374864416087</v>
      </c>
      <c r="C5358" t="s">
        <v>40</v>
      </c>
      <c r="D5358">
        <v>5.2701169999999999</v>
      </c>
      <c r="E5358">
        <v>0.51467969999999996</v>
      </c>
      <c r="F5358" t="s">
        <v>64</v>
      </c>
      <c r="G5358">
        <v>-267.24470000000002</v>
      </c>
      <c r="H5358" s="1">
        <v>-3.2231460000000001E-6</v>
      </c>
      <c r="I5358">
        <v>-65.284390000000002</v>
      </c>
      <c r="J5358">
        <v>-280.2312</v>
      </c>
      <c r="K5358">
        <v>1.122609</v>
      </c>
      <c r="L5358">
        <v>-65.434969999999893</v>
      </c>
      <c r="M5358">
        <v>0.98465809999999998</v>
      </c>
      <c r="N5358">
        <v>0</v>
      </c>
      <c r="O5358">
        <v>-0.17395949999999999</v>
      </c>
      <c r="P5358">
        <v>0.99848879999999995</v>
      </c>
      <c r="Q5358">
        <v>1.2707E-3</v>
      </c>
      <c r="R5358">
        <v>5.4942100000000001E-2</v>
      </c>
      <c r="S5358">
        <v>3.0026549999999999</v>
      </c>
      <c r="T5358">
        <v>-0.25642779999999998</v>
      </c>
      <c r="U5358">
        <v>2.8717039999999999E-2</v>
      </c>
      <c r="V5358">
        <v>-0.22816929999999999</v>
      </c>
      <c r="W5358">
        <v>7.2000049999999998E-3</v>
      </c>
      <c r="X5358">
        <v>0.97359479999999998</v>
      </c>
      <c r="Y5358">
        <v>-0.1820938</v>
      </c>
      <c r="Z5358">
        <v>2.2537390000000001E-2</v>
      </c>
      <c r="AA5358">
        <v>0.98302290000000003</v>
      </c>
      <c r="AB5358">
        <v>34</v>
      </c>
      <c r="AC5358">
        <v>12.9864999999999</v>
      </c>
      <c r="AD5358">
        <v>-1.1226122231460001</v>
      </c>
      <c r="AE5358">
        <v>0.15057999999999</v>
      </c>
      <c r="AF5358">
        <v>-2.3897639111714502</v>
      </c>
      <c r="AG5358">
        <v>-1.1226122231460001</v>
      </c>
      <c r="AH5358">
        <v>12.667609816537301</v>
      </c>
      <c r="AI5358">
        <v>94.9770231153433</v>
      </c>
      <c r="AJ5358">
        <v>100.68337874015199</v>
      </c>
      <c r="AK5358">
        <v>12.9398442115323</v>
      </c>
      <c r="AL5358">
        <v>89.587466516903504</v>
      </c>
      <c r="AM5358">
        <v>103.189663403765</v>
      </c>
      <c r="AN5358">
        <v>0.99999995206076298</v>
      </c>
    </row>
    <row r="5359" spans="1:40" x14ac:dyDescent="0.25">
      <c r="A5359" t="str">
        <f>"20190312151424438"</f>
        <v>20190312151424438</v>
      </c>
      <c r="B5359" t="str">
        <f>"1552374864425848"</f>
        <v>1552374864425848</v>
      </c>
      <c r="C5359" t="s">
        <v>40</v>
      </c>
      <c r="D5359">
        <v>5.1917039999999997</v>
      </c>
      <c r="E5359">
        <v>0.51524420000000004</v>
      </c>
      <c r="F5359" t="s">
        <v>64</v>
      </c>
      <c r="G5359">
        <v>-266.98930000000001</v>
      </c>
      <c r="H5359" s="1">
        <v>-3.1204409999999999E-6</v>
      </c>
      <c r="I5359">
        <v>-65.195409999999995</v>
      </c>
      <c r="J5359">
        <v>-280.05040000000002</v>
      </c>
      <c r="K5359">
        <v>1.1224860000000001</v>
      </c>
      <c r="L5359">
        <v>-65.46078</v>
      </c>
      <c r="M5359">
        <v>0.98594329999999997</v>
      </c>
      <c r="N5359">
        <v>0</v>
      </c>
      <c r="O5359">
        <v>-0.16652420000000001</v>
      </c>
      <c r="P5359">
        <v>0.9981546</v>
      </c>
      <c r="Q5359">
        <v>8.6567359999999995E-4</v>
      </c>
      <c r="R5359">
        <v>6.0720789999999997E-2</v>
      </c>
      <c r="S5359">
        <v>3.001862</v>
      </c>
      <c r="T5359">
        <v>-0.25448779999999999</v>
      </c>
      <c r="U5359">
        <v>5.4290770000000002E-2</v>
      </c>
      <c r="V5359">
        <v>-0.22644239999999999</v>
      </c>
      <c r="W5359">
        <v>6.8929289999999999E-3</v>
      </c>
      <c r="X5359">
        <v>0.97400019999999998</v>
      </c>
      <c r="Y5359">
        <v>-0.18309220000000001</v>
      </c>
      <c r="Z5359">
        <v>2.1794359999999999E-2</v>
      </c>
      <c r="AA5359">
        <v>0.98285409999999995</v>
      </c>
      <c r="AB5359">
        <v>34</v>
      </c>
      <c r="AC5359">
        <v>13.0611</v>
      </c>
      <c r="AD5359">
        <v>-1.1224891204409999</v>
      </c>
      <c r="AE5359">
        <v>0.26537000000000399</v>
      </c>
      <c r="AF5359">
        <v>-2.4189958860754799</v>
      </c>
      <c r="AG5359">
        <v>-1.1224891204409999</v>
      </c>
      <c r="AH5359">
        <v>12.740442863861</v>
      </c>
      <c r="AI5359">
        <v>94.947079007637797</v>
      </c>
      <c r="AJ5359">
        <v>100.750639082384</v>
      </c>
      <c r="AK5359">
        <v>13.016543599960199</v>
      </c>
      <c r="AL5359">
        <v>89.605061144713702</v>
      </c>
      <c r="AM5359">
        <v>103.088027006373</v>
      </c>
      <c r="AN5359">
        <v>1.0000000312939901</v>
      </c>
    </row>
    <row r="5360" spans="1:40" x14ac:dyDescent="0.25">
      <c r="A5360" t="str">
        <f>"20190312151424450"</f>
        <v>20190312151424450</v>
      </c>
      <c r="B5360" t="str">
        <f>"1552374864446343"</f>
        <v>1552374864446343</v>
      </c>
      <c r="C5360" t="s">
        <v>40</v>
      </c>
      <c r="D5360">
        <v>4.9976529999999997</v>
      </c>
      <c r="E5360">
        <v>0.51721779999999995</v>
      </c>
      <c r="F5360" t="s">
        <v>64</v>
      </c>
      <c r="G5360">
        <v>-267.00979999999998</v>
      </c>
      <c r="H5360" s="1">
        <v>-3.122931E-6</v>
      </c>
      <c r="I5360">
        <v>-65.169969999999907</v>
      </c>
      <c r="J5360">
        <v>-279.87639999999999</v>
      </c>
      <c r="K5360">
        <v>1.122363</v>
      </c>
      <c r="L5360">
        <v>-65.484859999999998</v>
      </c>
      <c r="M5360">
        <v>0.98711700000000002</v>
      </c>
      <c r="N5360">
        <v>0</v>
      </c>
      <c r="O5360">
        <v>-0.15942219999999999</v>
      </c>
      <c r="P5360">
        <v>0.99783860000000002</v>
      </c>
      <c r="Q5360" s="1">
        <v>-4.1582619999999999E-5</v>
      </c>
      <c r="R5360">
        <v>6.5716469999999999E-2</v>
      </c>
      <c r="S5360">
        <v>3.0016780000000001</v>
      </c>
      <c r="T5360">
        <v>-0.25837470000000001</v>
      </c>
      <c r="U5360">
        <v>6.692505E-2</v>
      </c>
      <c r="V5360">
        <v>-0.22427449999999999</v>
      </c>
      <c r="W5360">
        <v>6.0966269999999899E-3</v>
      </c>
      <c r="X5360">
        <v>0.97450689999999995</v>
      </c>
      <c r="Y5360">
        <v>-0.18015010000000001</v>
      </c>
      <c r="Z5360">
        <v>2.1396809999999999E-2</v>
      </c>
      <c r="AA5360">
        <v>0.98340640000000001</v>
      </c>
      <c r="AB5360">
        <v>34</v>
      </c>
      <c r="AC5360">
        <v>12.8666</v>
      </c>
      <c r="AD5360">
        <v>-1.122366122931</v>
      </c>
      <c r="AE5360">
        <v>0.314890000000005</v>
      </c>
      <c r="AF5360">
        <v>-2.3444442181080598</v>
      </c>
      <c r="AG5360">
        <v>-1.122366122931</v>
      </c>
      <c r="AH5360">
        <v>12.5563199826345</v>
      </c>
      <c r="AI5360">
        <v>95.021570493412796</v>
      </c>
      <c r="AJ5360">
        <v>100.5761594639</v>
      </c>
      <c r="AK5360">
        <v>12.822530792009401</v>
      </c>
      <c r="AL5360">
        <v>89.650686825423605</v>
      </c>
      <c r="AM5360">
        <v>102.96046542900901</v>
      </c>
      <c r="AN5360">
        <v>0.99999995917931706</v>
      </c>
    </row>
    <row r="5361" spans="1:40" x14ac:dyDescent="0.25">
      <c r="A5361" t="str">
        <f>"20190312151424462"</f>
        <v>20190312151424462</v>
      </c>
      <c r="B5361" t="str">
        <f>"1552374864456104"</f>
        <v>1552374864456104</v>
      </c>
      <c r="C5361" t="s">
        <v>40</v>
      </c>
      <c r="D5361">
        <v>5.0428389999999998</v>
      </c>
      <c r="E5361">
        <v>0.51788710000000004</v>
      </c>
      <c r="F5361" t="s">
        <v>64</v>
      </c>
      <c r="G5361">
        <v>-267.2253</v>
      </c>
      <c r="H5361" s="1">
        <v>-3.202628E-6</v>
      </c>
      <c r="I5361">
        <v>-65.205860000000001</v>
      </c>
      <c r="J5361">
        <v>-279.6789</v>
      </c>
      <c r="K5361">
        <v>1.12222</v>
      </c>
      <c r="L5361">
        <v>-65.510710000000003</v>
      </c>
      <c r="M5361">
        <v>0.98837010000000003</v>
      </c>
      <c r="N5361">
        <v>0</v>
      </c>
      <c r="O5361">
        <v>-0.15146189999999901</v>
      </c>
      <c r="P5361">
        <v>0.99745320000000004</v>
      </c>
      <c r="Q5361">
        <v>-1.053582E-3</v>
      </c>
      <c r="R5361">
        <v>7.1317889999999995E-2</v>
      </c>
      <c r="S5361">
        <v>3.002167</v>
      </c>
      <c r="T5361">
        <v>-0.26634289999999999</v>
      </c>
      <c r="U5361">
        <v>6.6192630000000002E-2</v>
      </c>
      <c r="V5361">
        <v>-0.22185769999999999</v>
      </c>
      <c r="W5361">
        <v>5.2082939999999996E-3</v>
      </c>
      <c r="X5361">
        <v>0.97506519999999997</v>
      </c>
      <c r="Y5361">
        <v>-0.17196029999999901</v>
      </c>
      <c r="Z5361">
        <v>2.0989130000000002E-2</v>
      </c>
      <c r="AA5361">
        <v>0.98488030000000004</v>
      </c>
      <c r="AB5361">
        <v>34</v>
      </c>
      <c r="AC5361">
        <v>12.4535999999999</v>
      </c>
      <c r="AD5361">
        <v>-1.1222232026279999</v>
      </c>
      <c r="AE5361">
        <v>0.30485000000000101</v>
      </c>
      <c r="AF5361">
        <v>-2.1701401507478901</v>
      </c>
      <c r="AG5361">
        <v>-1.1222232026279999</v>
      </c>
      <c r="AH5361">
        <v>12.164996550607199</v>
      </c>
      <c r="AI5361">
        <v>95.189164066118494</v>
      </c>
      <c r="AJ5361">
        <v>100.11471806008799</v>
      </c>
      <c r="AK5361">
        <v>12.407902089664001</v>
      </c>
      <c r="AL5361">
        <v>89.701585402534803</v>
      </c>
      <c r="AM5361">
        <v>102.81834422311699</v>
      </c>
      <c r="AN5361">
        <v>1.0000000548133501</v>
      </c>
    </row>
    <row r="5362" spans="1:40" x14ac:dyDescent="0.25">
      <c r="A5362" t="str">
        <f>"20190312151424476"</f>
        <v>20190312151424476</v>
      </c>
      <c r="B5362" t="str">
        <f>"1552374864465863"</f>
        <v>1552374864465863</v>
      </c>
      <c r="C5362" t="s">
        <v>40</v>
      </c>
      <c r="D5362">
        <v>4.9928220000000003</v>
      </c>
      <c r="E5362">
        <v>0.51871990000000001</v>
      </c>
      <c r="F5362" t="s">
        <v>64</v>
      </c>
      <c r="G5362">
        <v>-267.19369999999998</v>
      </c>
      <c r="H5362" s="1">
        <v>-3.1886580000000002E-6</v>
      </c>
      <c r="I5362">
        <v>-65.187869999999904</v>
      </c>
      <c r="J5362">
        <v>-279.49619999999999</v>
      </c>
      <c r="K5362">
        <v>1.1220859999999999</v>
      </c>
      <c r="L5362">
        <v>-65.532869999999903</v>
      </c>
      <c r="M5362">
        <v>0.9894522</v>
      </c>
      <c r="N5362">
        <v>0</v>
      </c>
      <c r="O5362">
        <v>-0.14422689999999999</v>
      </c>
      <c r="P5362">
        <v>0.99708750000000002</v>
      </c>
      <c r="Q5362">
        <v>-2.1649619999999999E-3</v>
      </c>
      <c r="R5362">
        <v>7.6235049999999999E-2</v>
      </c>
      <c r="S5362">
        <v>3.0018009999999999</v>
      </c>
      <c r="T5362">
        <v>-0.26981280000000002</v>
      </c>
      <c r="U5362">
        <v>7.76062E-2</v>
      </c>
      <c r="V5362">
        <v>-0.21949469999999999</v>
      </c>
      <c r="W5362">
        <v>4.2150529999999999E-3</v>
      </c>
      <c r="X5362">
        <v>0.97560460000000004</v>
      </c>
      <c r="Y5362">
        <v>-0.16850809999999999</v>
      </c>
      <c r="Z5362">
        <v>2.0465130000000002E-2</v>
      </c>
      <c r="AA5362">
        <v>0.98548780000000002</v>
      </c>
      <c r="AB5362">
        <v>34</v>
      </c>
      <c r="AC5362">
        <v>12.3025</v>
      </c>
      <c r="AD5362">
        <v>-1.122089188658</v>
      </c>
      <c r="AE5362">
        <v>0.34499999999999797</v>
      </c>
      <c r="AF5362">
        <v>-2.0984627339567501</v>
      </c>
      <c r="AG5362">
        <v>-1.122089188658</v>
      </c>
      <c r="AH5362">
        <v>12.0241370062245</v>
      </c>
      <c r="AI5362">
        <v>95.252451740320794</v>
      </c>
      <c r="AJ5362">
        <v>99.899606411148199</v>
      </c>
      <c r="AK5362">
        <v>12.2573447670189</v>
      </c>
      <c r="AL5362">
        <v>89.758494540631901</v>
      </c>
      <c r="AM5362">
        <v>102.67947038463799</v>
      </c>
      <c r="AN5362">
        <v>1.00000001277052</v>
      </c>
    </row>
    <row r="5363" spans="1:40" x14ac:dyDescent="0.25">
      <c r="A5363" t="str">
        <f>"20190312151424489"</f>
        <v>20190312151424489</v>
      </c>
      <c r="B5363" t="str">
        <f>"1552374864486360"</f>
        <v>1552374864486360</v>
      </c>
      <c r="C5363" t="s">
        <v>40</v>
      </c>
      <c r="D5363">
        <v>4.9757660000000001</v>
      </c>
      <c r="E5363">
        <v>0.52039990000000003</v>
      </c>
      <c r="F5363" t="s">
        <v>42</v>
      </c>
      <c r="G5363">
        <v>-267.18310000000002</v>
      </c>
      <c r="H5363" s="1">
        <v>-3.183894E-6</v>
      </c>
      <c r="I5363">
        <v>-65.181280000000001</v>
      </c>
      <c r="J5363">
        <v>-279.30160000000001</v>
      </c>
      <c r="K5363">
        <v>1.1219410000000001</v>
      </c>
      <c r="L5363">
        <v>-65.555509999999998</v>
      </c>
      <c r="M5363">
        <v>0.99053570000000002</v>
      </c>
      <c r="N5363">
        <v>0</v>
      </c>
      <c r="O5363">
        <v>-0.1365912</v>
      </c>
      <c r="P5363">
        <v>0.99668440000000003</v>
      </c>
      <c r="Q5363">
        <v>-2.449096E-3</v>
      </c>
      <c r="R5363">
        <v>8.1329739999999998E-2</v>
      </c>
      <c r="S5363">
        <v>3.0016479999999999</v>
      </c>
      <c r="T5363">
        <v>-0.27353909999999998</v>
      </c>
      <c r="U5363">
        <v>8.5693359999999996E-2</v>
      </c>
      <c r="V5363">
        <v>-0.2169452</v>
      </c>
      <c r="W5363">
        <v>4.0586529999999997E-3</v>
      </c>
      <c r="X5363">
        <v>0.97617529999999997</v>
      </c>
      <c r="Y5363">
        <v>-0.1635762</v>
      </c>
      <c r="Z5363">
        <v>1.9833529999999999E-2</v>
      </c>
      <c r="AA5363">
        <v>0.98633130000000002</v>
      </c>
      <c r="AB5363">
        <v>34</v>
      </c>
      <c r="AC5363">
        <v>12.1184999999999</v>
      </c>
      <c r="AD5363">
        <v>-1.1219441838940001</v>
      </c>
      <c r="AE5363">
        <v>0.37422999999999701</v>
      </c>
      <c r="AF5363">
        <v>-2.00895005782494</v>
      </c>
      <c r="AG5363">
        <v>-1.1219441838940001</v>
      </c>
      <c r="AH5363">
        <v>11.852285173334399</v>
      </c>
      <c r="AI5363">
        <v>95.331935516380199</v>
      </c>
      <c r="AJ5363">
        <v>99.620142096128205</v>
      </c>
      <c r="AK5363">
        <v>12.0735787120741</v>
      </c>
      <c r="AL5363">
        <v>89.767455663547096</v>
      </c>
      <c r="AM5363">
        <v>102.52977843768601</v>
      </c>
      <c r="AN5363">
        <v>0.99999995439865097</v>
      </c>
    </row>
    <row r="5364" spans="1:40" x14ac:dyDescent="0.25">
      <c r="A5364" t="str">
        <f>"20190312151424504"</f>
        <v>20190312151424504</v>
      </c>
      <c r="B5364" t="str">
        <f>"1552374864496119"</f>
        <v>1552374864496119</v>
      </c>
      <c r="C5364" t="s">
        <v>40</v>
      </c>
      <c r="D5364">
        <v>4.9342410000000001</v>
      </c>
      <c r="E5364">
        <v>0.52099870000000004</v>
      </c>
      <c r="F5364" t="s">
        <v>42</v>
      </c>
      <c r="G5364">
        <v>-266.97500000000002</v>
      </c>
      <c r="H5364" s="1">
        <v>-3.1157749999999998E-6</v>
      </c>
      <c r="I5364">
        <v>-65.196460000000002</v>
      </c>
      <c r="J5364">
        <v>-279.06849999999997</v>
      </c>
      <c r="K5364">
        <v>1.1217629999999901</v>
      </c>
      <c r="L5364">
        <v>-65.580629999999999</v>
      </c>
      <c r="M5364">
        <v>0.99173469999999997</v>
      </c>
      <c r="N5364">
        <v>0</v>
      </c>
      <c r="O5364">
        <v>-0.12759970000000001</v>
      </c>
      <c r="P5364">
        <v>0.99635149999999995</v>
      </c>
      <c r="Q5364">
        <v>-3.196614E-3</v>
      </c>
      <c r="R5364">
        <v>8.5288420000000004E-2</v>
      </c>
      <c r="S5364">
        <v>3.002167</v>
      </c>
      <c r="T5364">
        <v>-0.27325129999999997</v>
      </c>
      <c r="U5364">
        <v>8.7432860000000001E-2</v>
      </c>
      <c r="V5364">
        <v>-0.2119413</v>
      </c>
      <c r="W5364">
        <v>3.5284130000000002E-3</v>
      </c>
      <c r="X5364">
        <v>0.97727600000000003</v>
      </c>
      <c r="Y5364">
        <v>-0.15526289999999901</v>
      </c>
      <c r="Z5364">
        <v>1.861987E-2</v>
      </c>
      <c r="AA5364">
        <v>0.98769770000000001</v>
      </c>
      <c r="AB5364">
        <v>34</v>
      </c>
      <c r="AC5364">
        <v>12.093499999999899</v>
      </c>
      <c r="AD5364">
        <v>-1.1217661157750001</v>
      </c>
      <c r="AE5364">
        <v>0.38416999999999701</v>
      </c>
      <c r="AF5364">
        <v>-1.9078964639431799</v>
      </c>
      <c r="AG5364">
        <v>-1.1217661157750001</v>
      </c>
      <c r="AH5364">
        <v>11.843800978183999</v>
      </c>
      <c r="AI5364">
        <v>95.3420735560141</v>
      </c>
      <c r="AJ5364">
        <v>99.151058995798394</v>
      </c>
      <c r="AK5364">
        <v>12.048819433723001</v>
      </c>
      <c r="AL5364">
        <v>89.797836401632097</v>
      </c>
      <c r="AM5364">
        <v>102.236219383183</v>
      </c>
      <c r="AN5364">
        <v>0.99999997225999304</v>
      </c>
    </row>
    <row r="5365" spans="1:40" x14ac:dyDescent="0.25">
      <c r="A5365" t="str">
        <f>"20190312151424516"</f>
        <v>20190312151424516</v>
      </c>
      <c r="B5365" t="str">
        <f>"1552374864505879"</f>
        <v>1552374864505879</v>
      </c>
      <c r="C5365" t="s">
        <v>40</v>
      </c>
      <c r="D5365">
        <v>4.9382000000000001</v>
      </c>
      <c r="E5365">
        <v>0.52160509999999904</v>
      </c>
      <c r="F5365" t="s">
        <v>64</v>
      </c>
      <c r="G5365">
        <v>-266.85480000000001</v>
      </c>
      <c r="H5365" s="1">
        <v>-3.0751360000000001E-6</v>
      </c>
      <c r="I5365">
        <v>-65.197900000000004</v>
      </c>
      <c r="J5365">
        <v>-278.89859999999999</v>
      </c>
      <c r="K5365">
        <v>1.121642</v>
      </c>
      <c r="L5365">
        <v>-65.597200000000001</v>
      </c>
      <c r="M5365">
        <v>0.99254129999999996</v>
      </c>
      <c r="N5365">
        <v>0</v>
      </c>
      <c r="O5365">
        <v>-0.12116879999999999</v>
      </c>
      <c r="P5365">
        <v>0.99601130000000004</v>
      </c>
      <c r="Q5365">
        <v>-3.6798809999999999E-3</v>
      </c>
      <c r="R5365">
        <v>8.9151469999999997E-2</v>
      </c>
      <c r="S5365">
        <v>3.002014</v>
      </c>
      <c r="T5365">
        <v>-0.27571899999999999</v>
      </c>
      <c r="U5365">
        <v>9.4055180000000002E-2</v>
      </c>
      <c r="V5365">
        <v>-0.2093797</v>
      </c>
      <c r="W5365">
        <v>3.1631580000000001E-3</v>
      </c>
      <c r="X5365">
        <v>0.97782930000000001</v>
      </c>
      <c r="Y5365">
        <v>-0.1510609</v>
      </c>
      <c r="Z5365">
        <v>1.800914E-2</v>
      </c>
      <c r="AA5365">
        <v>0.98836040000000003</v>
      </c>
      <c r="AB5365">
        <v>34</v>
      </c>
      <c r="AC5365">
        <v>12.0437999999999</v>
      </c>
      <c r="AD5365">
        <v>-1.1216450751360001</v>
      </c>
      <c r="AE5365">
        <v>0.39929999999999599</v>
      </c>
      <c r="AF5365">
        <v>-1.83988116320145</v>
      </c>
      <c r="AG5365">
        <v>-1.1216450751360001</v>
      </c>
      <c r="AH5365">
        <v>11.8043867496395</v>
      </c>
      <c r="AI5365">
        <v>95.363536368491395</v>
      </c>
      <c r="AJ5365">
        <v>98.8590793392828</v>
      </c>
      <c r="AK5365">
        <v>11.9994498584037</v>
      </c>
      <c r="AL5365">
        <v>89.818764094825795</v>
      </c>
      <c r="AM5365">
        <v>102.08606491743301</v>
      </c>
      <c r="AN5365">
        <v>1.0000000021395501</v>
      </c>
    </row>
    <row r="5366" spans="1:40" x14ac:dyDescent="0.25">
      <c r="A5366" t="str">
        <f>"20190312151424527"</f>
        <v>20190312151424527</v>
      </c>
      <c r="B5366" t="str">
        <f>"1552374864515640"</f>
        <v>1552374864515640</v>
      </c>
      <c r="C5366" t="s">
        <v>40</v>
      </c>
      <c r="D5366">
        <v>4.9156279999999999</v>
      </c>
      <c r="E5366">
        <v>0.52223729999999902</v>
      </c>
      <c r="F5366" t="s">
        <v>64</v>
      </c>
      <c r="G5366">
        <v>-266.7466</v>
      </c>
      <c r="H5366" s="1">
        <v>-3.0368869999999999E-6</v>
      </c>
      <c r="I5366">
        <v>-65.189840000000004</v>
      </c>
      <c r="J5366">
        <v>-278.72730000000001</v>
      </c>
      <c r="K5366">
        <v>1.121521</v>
      </c>
      <c r="L5366">
        <v>-65.613399999999999</v>
      </c>
      <c r="M5366">
        <v>0.99330770000000002</v>
      </c>
      <c r="N5366">
        <v>0</v>
      </c>
      <c r="O5366">
        <v>-0.1147213</v>
      </c>
      <c r="P5366">
        <v>0.99569390000000002</v>
      </c>
      <c r="Q5366">
        <v>-4.0548449999999996E-3</v>
      </c>
      <c r="R5366">
        <v>9.2614840000000004E-2</v>
      </c>
      <c r="S5366">
        <v>3.0019840000000002</v>
      </c>
      <c r="T5366">
        <v>-0.27708749999999999</v>
      </c>
      <c r="U5366">
        <v>0.1006165</v>
      </c>
      <c r="V5366">
        <v>-0.20641860000000001</v>
      </c>
      <c r="W5366">
        <v>2.9199719999999998E-3</v>
      </c>
      <c r="X5366">
        <v>0.97845939999999998</v>
      </c>
      <c r="Y5366">
        <v>-0.14683379999999999</v>
      </c>
      <c r="Z5366">
        <v>1.731224E-2</v>
      </c>
      <c r="AA5366">
        <v>0.98900969999999999</v>
      </c>
      <c r="AB5366">
        <v>34</v>
      </c>
      <c r="AC5366">
        <v>11.980700000000001</v>
      </c>
      <c r="AD5366">
        <v>-1.1215240368870001</v>
      </c>
      <c r="AE5366">
        <v>0.423559999999994</v>
      </c>
      <c r="AF5366">
        <v>-1.77975094255133</v>
      </c>
      <c r="AG5366">
        <v>-1.1215240368870001</v>
      </c>
      <c r="AH5366">
        <v>11.750152086237399</v>
      </c>
      <c r="AI5366">
        <v>95.391106439934504</v>
      </c>
      <c r="AJ5366">
        <v>98.612906661439794</v>
      </c>
      <c r="AK5366">
        <v>11.936976318672</v>
      </c>
      <c r="AL5366">
        <v>89.832697687190304</v>
      </c>
      <c r="AM5366">
        <v>101.9126069173</v>
      </c>
      <c r="AN5366">
        <v>0.9999999810554</v>
      </c>
    </row>
    <row r="5367" spans="1:40" x14ac:dyDescent="0.25">
      <c r="A5367" t="str">
        <f>"20190312151424549"</f>
        <v>20190312151424549</v>
      </c>
      <c r="B5367" t="str">
        <f>"1552374864545895"</f>
        <v>1552374864545895</v>
      </c>
      <c r="C5367" t="s">
        <v>40</v>
      </c>
      <c r="D5367">
        <v>5.0237509999999999</v>
      </c>
      <c r="E5367">
        <v>0.52319850000000001</v>
      </c>
      <c r="F5367" t="s">
        <v>64</v>
      </c>
      <c r="G5367">
        <v>-266.59910000000002</v>
      </c>
      <c r="H5367" s="1">
        <v>-2.9859990000000001E-6</v>
      </c>
      <c r="I5367">
        <v>-65.186000000000007</v>
      </c>
      <c r="J5367">
        <v>-278.4006</v>
      </c>
      <c r="K5367">
        <v>1.121283</v>
      </c>
      <c r="L5367">
        <v>-65.640780000000007</v>
      </c>
      <c r="M5367">
        <v>0.99462450000000002</v>
      </c>
      <c r="N5367">
        <v>0</v>
      </c>
      <c r="O5367">
        <v>-0.1026884</v>
      </c>
      <c r="P5367">
        <v>0.99513229999999997</v>
      </c>
      <c r="Q5367">
        <v>-3.8779499999999998E-3</v>
      </c>
      <c r="R5367">
        <v>9.8474229999999996E-2</v>
      </c>
      <c r="S5367">
        <v>3.0019840000000002</v>
      </c>
      <c r="T5367">
        <v>-0.27760030000000002</v>
      </c>
      <c r="U5367">
        <v>0.1057739</v>
      </c>
      <c r="V5367">
        <v>-0.2003336</v>
      </c>
      <c r="W5367">
        <v>3.355799E-3</v>
      </c>
      <c r="X5367">
        <v>0.97972199999999998</v>
      </c>
      <c r="Y5367">
        <v>-0.13664089999999901</v>
      </c>
      <c r="Z5367">
        <v>1.5767590000000001E-2</v>
      </c>
      <c r="AA5367">
        <v>0.99049509999999996</v>
      </c>
      <c r="AB5367">
        <v>34</v>
      </c>
      <c r="AC5367">
        <v>11.8014999999999</v>
      </c>
      <c r="AD5367">
        <v>-1.1212859859990001</v>
      </c>
      <c r="AE5367">
        <v>0.45477999999999902</v>
      </c>
      <c r="AF5367">
        <v>-1.6494915562950001</v>
      </c>
      <c r="AG5367">
        <v>-1.1212859859990001</v>
      </c>
      <c r="AH5367">
        <v>11.587943530036499</v>
      </c>
      <c r="AI5367">
        <v>95.472093049886894</v>
      </c>
      <c r="AJ5367">
        <v>98.101371333619696</v>
      </c>
      <c r="AK5367">
        <v>11.758339164695</v>
      </c>
      <c r="AL5367">
        <v>89.807726520484394</v>
      </c>
      <c r="AM5367">
        <v>101.556533635267</v>
      </c>
      <c r="AN5367">
        <v>1.00000000497994</v>
      </c>
    </row>
    <row r="5368" spans="1:40" x14ac:dyDescent="0.25">
      <c r="A5368" t="str">
        <f>"20190312151424560"</f>
        <v>20190312151424560</v>
      </c>
      <c r="B5368" t="str">
        <f>"1552374864555656"</f>
        <v>1552374864555656</v>
      </c>
      <c r="C5368" t="s">
        <v>40</v>
      </c>
      <c r="D5368">
        <v>5.0332559999999997</v>
      </c>
      <c r="E5368">
        <v>0.52358779999999905</v>
      </c>
      <c r="F5368" t="s">
        <v>42</v>
      </c>
      <c r="G5368">
        <v>-266.89760000000001</v>
      </c>
      <c r="H5368" s="1">
        <v>-3.0895299999999998E-6</v>
      </c>
      <c r="I5368">
        <v>-65.197069999999997</v>
      </c>
      <c r="J5368">
        <v>-278.23680000000002</v>
      </c>
      <c r="K5368">
        <v>1.121173</v>
      </c>
      <c r="L5368">
        <v>-65.653049999999993</v>
      </c>
      <c r="M5368">
        <v>0.99521959999999998</v>
      </c>
      <c r="N5368">
        <v>0</v>
      </c>
      <c r="O5368">
        <v>-9.6752959999999999E-2</v>
      </c>
      <c r="P5368">
        <v>0.99484470000000003</v>
      </c>
      <c r="Q5368">
        <v>-3.685584E-3</v>
      </c>
      <c r="R5368">
        <v>0.1013435</v>
      </c>
      <c r="S5368">
        <v>3.002075</v>
      </c>
      <c r="T5368">
        <v>-0.29263339999999999</v>
      </c>
      <c r="U5368">
        <v>0.1157837</v>
      </c>
      <c r="V5368">
        <v>-0.1973183</v>
      </c>
      <c r="W5368">
        <v>3.672893E-3</v>
      </c>
      <c r="X5368">
        <v>0.9803326</v>
      </c>
      <c r="Y5368">
        <v>-0.1339562</v>
      </c>
      <c r="Z5368">
        <v>1.5910540000000001E-2</v>
      </c>
      <c r="AA5368">
        <v>0.9908595</v>
      </c>
      <c r="AB5368">
        <v>34</v>
      </c>
      <c r="AC5368">
        <v>11.3392</v>
      </c>
      <c r="AD5368">
        <v>-1.12117608953</v>
      </c>
      <c r="AE5368">
        <v>0.455979999999996</v>
      </c>
      <c r="AF5368">
        <v>-1.53604563912964</v>
      </c>
      <c r="AG5368">
        <v>-1.12117608953</v>
      </c>
      <c r="AH5368">
        <v>11.133202681507999</v>
      </c>
      <c r="AI5368">
        <v>95.697011593118901</v>
      </c>
      <c r="AJ5368">
        <v>97.855492377189805</v>
      </c>
      <c r="AK5368">
        <v>11.2944532393897</v>
      </c>
      <c r="AL5368">
        <v>89.789558260218101</v>
      </c>
      <c r="AM5368">
        <v>101.38026188948299</v>
      </c>
      <c r="AN5368">
        <v>1.0000000041403101</v>
      </c>
    </row>
    <row r="5369" spans="1:40" x14ac:dyDescent="0.25">
      <c r="A5369" t="str">
        <f>"20190312151424572"</f>
        <v>20190312151424572</v>
      </c>
      <c r="B5369" t="str">
        <f>"1552374864566392"</f>
        <v>1552374864566392</v>
      </c>
      <c r="C5369" t="s">
        <v>40</v>
      </c>
      <c r="D5369">
        <v>5.0519600000000002</v>
      </c>
      <c r="E5369">
        <v>0.52399830000000003</v>
      </c>
      <c r="F5369" t="s">
        <v>42</v>
      </c>
      <c r="G5369">
        <v>-266.87520000000001</v>
      </c>
      <c r="H5369" s="1">
        <v>-3.0813390000000001E-6</v>
      </c>
      <c r="I5369">
        <v>-65.193759999999997</v>
      </c>
      <c r="J5369">
        <v>-278.06439999999998</v>
      </c>
      <c r="K5369">
        <v>1.121067</v>
      </c>
      <c r="L5369">
        <v>-65.664919999999995</v>
      </c>
      <c r="M5369">
        <v>0.99580199999999996</v>
      </c>
      <c r="N5369">
        <v>0</v>
      </c>
      <c r="O5369">
        <v>-9.0567049999999996E-2</v>
      </c>
      <c r="P5369">
        <v>0.99451449999999997</v>
      </c>
      <c r="Q5369">
        <v>-3.2264889999999999E-3</v>
      </c>
      <c r="R5369">
        <v>0.10455010000000001</v>
      </c>
      <c r="S5369">
        <v>3.0020449999999999</v>
      </c>
      <c r="T5369">
        <v>-0.2962458</v>
      </c>
      <c r="U5369">
        <v>0.121337899999999</v>
      </c>
      <c r="V5369">
        <v>-0.19439909999999999</v>
      </c>
      <c r="W5369">
        <v>4.2527229999999999E-3</v>
      </c>
      <c r="X5369">
        <v>0.98091329999999999</v>
      </c>
      <c r="Y5369">
        <v>-0.1296525</v>
      </c>
      <c r="Z5369">
        <v>1.528673E-2</v>
      </c>
      <c r="AA5369">
        <v>0.99144169999999998</v>
      </c>
      <c r="AB5369">
        <v>34</v>
      </c>
      <c r="AC5369">
        <v>11.1891999999999</v>
      </c>
      <c r="AD5369">
        <v>-1.121070081339</v>
      </c>
      <c r="AE5369">
        <v>0.47115999999999703</v>
      </c>
      <c r="AF5369">
        <v>-1.46797523803999</v>
      </c>
      <c r="AG5369">
        <v>-1.121070081339</v>
      </c>
      <c r="AH5369">
        <v>10.9904014607813</v>
      </c>
      <c r="AI5369">
        <v>95.773359433189697</v>
      </c>
      <c r="AJ5369">
        <v>97.6079011291108</v>
      </c>
      <c r="AK5369">
        <v>11.1445355980371</v>
      </c>
      <c r="AL5369">
        <v>89.756336185926301</v>
      </c>
      <c r="AM5369">
        <v>101.209725525854</v>
      </c>
      <c r="AN5369">
        <v>0.999999998925307</v>
      </c>
    </row>
    <row r="5370" spans="1:40" x14ac:dyDescent="0.25">
      <c r="A5370" t="str">
        <f>"20190312151424582"</f>
        <v>20190312151424582</v>
      </c>
      <c r="B5370" t="str">
        <f>"1552374864576152"</f>
        <v>1552374864576152</v>
      </c>
      <c r="C5370" t="s">
        <v>40</v>
      </c>
      <c r="D5370">
        <v>5.0176160000000003</v>
      </c>
      <c r="E5370">
        <v>0.52440520000000002</v>
      </c>
      <c r="F5370" t="s">
        <v>42</v>
      </c>
      <c r="G5370">
        <v>-266.7946</v>
      </c>
      <c r="H5370" s="1">
        <v>-3.052514E-6</v>
      </c>
      <c r="I5370">
        <v>-65.186000000000007</v>
      </c>
      <c r="J5370">
        <v>-277.8938</v>
      </c>
      <c r="K5370">
        <v>1.12096</v>
      </c>
      <c r="L5370">
        <v>-65.675839999999994</v>
      </c>
      <c r="M5370">
        <v>0.99633609999999995</v>
      </c>
      <c r="N5370">
        <v>0</v>
      </c>
      <c r="O5370">
        <v>-8.4492220000000007E-2</v>
      </c>
      <c r="P5370">
        <v>0.99420710000000001</v>
      </c>
      <c r="Q5370">
        <v>-3.0293220000000001E-3</v>
      </c>
      <c r="R5370">
        <v>0.10743809999999999</v>
      </c>
      <c r="S5370">
        <v>3.0021969999999998</v>
      </c>
      <c r="T5370">
        <v>-0.29864410000000002</v>
      </c>
      <c r="U5370">
        <v>0.1275635</v>
      </c>
      <c r="V5370">
        <v>-0.1912692</v>
      </c>
      <c r="W5370">
        <v>4.5736320000000002E-3</v>
      </c>
      <c r="X5370">
        <v>0.98152700000000004</v>
      </c>
      <c r="Y5370">
        <v>-0.12568770000000001</v>
      </c>
      <c r="Z5370">
        <v>1.461062E-2</v>
      </c>
      <c r="AA5370">
        <v>0.99196229999999996</v>
      </c>
      <c r="AB5370">
        <v>34</v>
      </c>
      <c r="AC5370">
        <v>11.0991999999999</v>
      </c>
      <c r="AD5370">
        <v>-1.120963052514</v>
      </c>
      <c r="AE5370">
        <v>0.489840000000001</v>
      </c>
      <c r="AF5370">
        <v>-1.4115961543315001</v>
      </c>
      <c r="AG5370">
        <v>-1.120963052514</v>
      </c>
      <c r="AH5370">
        <v>10.907076846589399</v>
      </c>
      <c r="AI5370">
        <v>95.819710695637497</v>
      </c>
      <c r="AJ5370">
        <v>97.374242158474601</v>
      </c>
      <c r="AK5370">
        <v>11.055020904793899</v>
      </c>
      <c r="AL5370">
        <v>89.737949285798294</v>
      </c>
      <c r="AM5370">
        <v>101.02697887490299</v>
      </c>
      <c r="AN5370">
        <v>1.00000003835365</v>
      </c>
    </row>
    <row r="5371" spans="1:40" x14ac:dyDescent="0.25">
      <c r="A5371" t="str">
        <f>"20190312151424594"</f>
        <v>20190312151424594</v>
      </c>
      <c r="B5371" t="str">
        <f>"1552374864585912"</f>
        <v>1552374864585912</v>
      </c>
      <c r="C5371" t="s">
        <v>40</v>
      </c>
      <c r="D5371">
        <v>5.0008460000000001</v>
      </c>
      <c r="E5371">
        <v>0.52440520000000002</v>
      </c>
      <c r="F5371" t="s">
        <v>42</v>
      </c>
      <c r="G5371">
        <v>-266.72370000000001</v>
      </c>
      <c r="H5371" s="1">
        <v>-3.027515E-6</v>
      </c>
      <c r="I5371">
        <v>-65.180949999999996</v>
      </c>
      <c r="J5371">
        <v>-277.72359999999998</v>
      </c>
      <c r="K5371">
        <v>1.12086</v>
      </c>
      <c r="L5371">
        <v>-65.685360000000003</v>
      </c>
      <c r="M5371">
        <v>0.99682530000000003</v>
      </c>
      <c r="N5371">
        <v>0</v>
      </c>
      <c r="O5371">
        <v>-7.851487E-2</v>
      </c>
      <c r="P5371">
        <v>0.99387809999999999</v>
      </c>
      <c r="Q5371">
        <v>-2.5911300000000001E-3</v>
      </c>
      <c r="R5371">
        <v>0.1104528</v>
      </c>
      <c r="S5371">
        <v>3.0021969999999998</v>
      </c>
      <c r="T5371">
        <v>-0.30128260000000001</v>
      </c>
      <c r="U5371">
        <v>0.13299559999999999</v>
      </c>
      <c r="V5371">
        <v>-0.18837029999999999</v>
      </c>
      <c r="W5371">
        <v>5.1253260000000004E-3</v>
      </c>
      <c r="X5371">
        <v>0.98208470000000003</v>
      </c>
      <c r="Y5371">
        <v>-0.1215609</v>
      </c>
      <c r="Z5371">
        <v>1.3935049999999999E-2</v>
      </c>
      <c r="AA5371">
        <v>0.99248619999999999</v>
      </c>
      <c r="AB5371">
        <v>34</v>
      </c>
      <c r="AC5371">
        <v>10.999899999999901</v>
      </c>
      <c r="AD5371">
        <v>-1.120863027515</v>
      </c>
      <c r="AE5371">
        <v>0.50441000000000702</v>
      </c>
      <c r="AF5371">
        <v>-1.3525693567261401</v>
      </c>
      <c r="AG5371">
        <v>-1.120863027515</v>
      </c>
      <c r="AH5371">
        <v>10.814279309984</v>
      </c>
      <c r="AI5371">
        <v>95.871956066841904</v>
      </c>
      <c r="AJ5371">
        <v>97.129108476520202</v>
      </c>
      <c r="AK5371">
        <v>10.9560218503594</v>
      </c>
      <c r="AL5371">
        <v>89.706339165406604</v>
      </c>
      <c r="AM5371">
        <v>100.85783638908001</v>
      </c>
      <c r="AN5371">
        <v>0.99999999843139298</v>
      </c>
    </row>
    <row r="5372" spans="1:40" x14ac:dyDescent="0.25">
      <c r="A5372" t="str">
        <f>"20190312151424604"</f>
        <v>20190312151424604</v>
      </c>
      <c r="B5372" t="str">
        <f>"1552374864595671"</f>
        <v>1552374864595671</v>
      </c>
      <c r="C5372" t="s">
        <v>40</v>
      </c>
      <c r="D5372">
        <v>4.9770339999999997</v>
      </c>
      <c r="E5372">
        <v>0.53346190000000004</v>
      </c>
      <c r="F5372" t="s">
        <v>64</v>
      </c>
      <c r="G5372">
        <v>-266.50209999999998</v>
      </c>
      <c r="H5372" s="1">
        <v>-2.9474229999999999E-6</v>
      </c>
      <c r="I5372">
        <v>-65.154619999999994</v>
      </c>
      <c r="J5372">
        <v>-277.5727</v>
      </c>
      <c r="K5372">
        <v>1.1207769999999999</v>
      </c>
      <c r="L5372">
        <v>-65.693479999999994</v>
      </c>
      <c r="M5372">
        <v>0.99722770000000005</v>
      </c>
      <c r="N5372">
        <v>0</v>
      </c>
      <c r="O5372">
        <v>-7.3232210000000006E-2</v>
      </c>
      <c r="P5372">
        <v>0.99361299999999997</v>
      </c>
      <c r="Q5372">
        <v>-2.177568E-3</v>
      </c>
      <c r="R5372">
        <v>0.1128219</v>
      </c>
      <c r="S5372">
        <v>3.0019529999999999</v>
      </c>
      <c r="T5372">
        <v>-0.29985070000000003</v>
      </c>
      <c r="U5372">
        <v>0.14196779999999901</v>
      </c>
      <c r="V5372">
        <v>-0.18551799999999999</v>
      </c>
      <c r="W5372">
        <v>5.6479319999999996E-3</v>
      </c>
      <c r="X5372">
        <v>0.98262470000000002</v>
      </c>
      <c r="Y5372">
        <v>-0.1193126</v>
      </c>
      <c r="Z5372">
        <v>1.323218E-2</v>
      </c>
      <c r="AA5372">
        <v>0.9927686</v>
      </c>
      <c r="AB5372">
        <v>34</v>
      </c>
      <c r="AC5372">
        <v>11.070600000000001</v>
      </c>
      <c r="AD5372">
        <v>-1.120779947423</v>
      </c>
      <c r="AE5372">
        <v>0.538860000000013</v>
      </c>
      <c r="AF5372">
        <v>-1.33456176854912</v>
      </c>
      <c r="AG5372">
        <v>-1.120779947423</v>
      </c>
      <c r="AH5372">
        <v>10.8900513422656</v>
      </c>
      <c r="AI5372">
        <v>95.832735214887705</v>
      </c>
      <c r="AJ5372">
        <v>96.9866871880525</v>
      </c>
      <c r="AK5372">
        <v>11.0286182743714</v>
      </c>
      <c r="AL5372">
        <v>89.6763956337509</v>
      </c>
      <c r="AM5372">
        <v>100.691506255373</v>
      </c>
      <c r="AN5372">
        <v>1.00000006425498</v>
      </c>
    </row>
    <row r="5373" spans="1:40" x14ac:dyDescent="0.25">
      <c r="A5373" t="str">
        <f>"20190312151424616"</f>
        <v>20190312151424616</v>
      </c>
      <c r="B5373" t="str">
        <f>"1552374864606408"</f>
        <v>1552374864606408</v>
      </c>
      <c r="C5373" t="s">
        <v>40</v>
      </c>
      <c r="D5373">
        <v>4.9626669999999997</v>
      </c>
      <c r="E5373">
        <v>0.53374670000000002</v>
      </c>
      <c r="F5373" t="s">
        <v>42</v>
      </c>
      <c r="G5373">
        <v>-268.67200000000003</v>
      </c>
      <c r="H5373" s="1">
        <v>-3.7403480000000001E-6</v>
      </c>
      <c r="I5373">
        <v>-65.461919999999907</v>
      </c>
      <c r="J5373">
        <v>-277.40410000000003</v>
      </c>
      <c r="K5373">
        <v>1.120684</v>
      </c>
      <c r="L5373">
        <v>-65.700900000000004</v>
      </c>
      <c r="M5373">
        <v>0.99763749999999995</v>
      </c>
      <c r="N5373">
        <v>0</v>
      </c>
      <c r="O5373">
        <v>-6.7422029999999994E-2</v>
      </c>
      <c r="P5373">
        <v>0.99328760000000005</v>
      </c>
      <c r="Q5373">
        <v>-1.887002E-3</v>
      </c>
      <c r="R5373">
        <v>0.11565449999999999</v>
      </c>
      <c r="S5373">
        <v>3.0096129999999999</v>
      </c>
      <c r="T5373">
        <v>-0.37897059999999999</v>
      </c>
      <c r="U5373">
        <v>7.8277589999999994E-2</v>
      </c>
      <c r="V5373">
        <v>-0.18260190000000001</v>
      </c>
      <c r="W5373">
        <v>6.0484680000000004E-3</v>
      </c>
      <c r="X5373">
        <v>0.98316840000000005</v>
      </c>
      <c r="Y5373">
        <v>-9.2087569999999994E-2</v>
      </c>
      <c r="Z5373">
        <v>1.42268E-2</v>
      </c>
      <c r="AA5373">
        <v>0.99564929999999996</v>
      </c>
      <c r="AB5373">
        <v>34</v>
      </c>
      <c r="AC5373">
        <v>8.7321000000000009</v>
      </c>
      <c r="AD5373">
        <v>-1.120687740348</v>
      </c>
      <c r="AE5373">
        <v>0.23898000000001199</v>
      </c>
      <c r="AF5373">
        <v>-0.81382826167634703</v>
      </c>
      <c r="AG5373">
        <v>-1.120687740348</v>
      </c>
      <c r="AH5373">
        <v>8.5553004011899301</v>
      </c>
      <c r="AI5373">
        <v>97.429713361725206</v>
      </c>
      <c r="AJ5373">
        <v>95.433945578238905</v>
      </c>
      <c r="AK5373">
        <v>8.6666846259380002</v>
      </c>
      <c r="AL5373">
        <v>89.653446222370405</v>
      </c>
      <c r="AM5373">
        <v>100.521543851641</v>
      </c>
      <c r="AN5373">
        <v>1.00000007030365</v>
      </c>
    </row>
    <row r="5374" spans="1:40" x14ac:dyDescent="0.25">
      <c r="A5374" t="str">
        <f>"20190312151424627"</f>
        <v>20190312151424627</v>
      </c>
      <c r="B5374" t="str">
        <f>"1552374864616168"</f>
        <v>1552374864616168</v>
      </c>
      <c r="C5374" t="s">
        <v>40</v>
      </c>
      <c r="D5374">
        <v>4.9771700000000001</v>
      </c>
      <c r="E5374">
        <v>0.534358</v>
      </c>
      <c r="F5374" t="s">
        <v>42</v>
      </c>
      <c r="G5374">
        <v>-268.30700000000002</v>
      </c>
      <c r="H5374" s="1">
        <v>-3.6132649999999999E-6</v>
      </c>
      <c r="I5374">
        <v>-65.445599999999999</v>
      </c>
      <c r="J5374">
        <v>-277.23270000000002</v>
      </c>
      <c r="K5374">
        <v>1.1205889999999901</v>
      </c>
      <c r="L5374">
        <v>-65.708069999999907</v>
      </c>
      <c r="M5374">
        <v>0.99801839999999997</v>
      </c>
      <c r="N5374">
        <v>0</v>
      </c>
      <c r="O5374">
        <v>-6.1533570000000003E-2</v>
      </c>
      <c r="P5374">
        <v>0.9929578</v>
      </c>
      <c r="Q5374">
        <v>-8.7730679999999995E-4</v>
      </c>
      <c r="R5374">
        <v>0.11846669999999999</v>
      </c>
      <c r="S5374">
        <v>3.009735</v>
      </c>
      <c r="T5374">
        <v>-0.37077339999999998</v>
      </c>
      <c r="U5374">
        <v>8.4442139999999999E-2</v>
      </c>
      <c r="V5374">
        <v>-0.17960960000000001</v>
      </c>
      <c r="W5374">
        <v>7.1709190000000004E-3</v>
      </c>
      <c r="X5374">
        <v>0.98371180000000003</v>
      </c>
      <c r="Y5374">
        <v>-8.837441E-2</v>
      </c>
      <c r="Z5374">
        <v>1.297101E-2</v>
      </c>
      <c r="AA5374">
        <v>0.99600290000000002</v>
      </c>
      <c r="AB5374">
        <v>34</v>
      </c>
      <c r="AC5374">
        <v>8.9257000000000009</v>
      </c>
      <c r="AD5374">
        <v>-1.1205926132649999</v>
      </c>
      <c r="AE5374">
        <v>0.26246999999999299</v>
      </c>
      <c r="AF5374">
        <v>-0.79867242066130695</v>
      </c>
      <c r="AG5374">
        <v>-1.1205926132649999</v>
      </c>
      <c r="AH5374">
        <v>8.7547577389105999</v>
      </c>
      <c r="AI5374">
        <v>97.264249662269606</v>
      </c>
      <c r="AJ5374">
        <v>95.212507802879898</v>
      </c>
      <c r="AK5374">
        <v>8.8622451166419598</v>
      </c>
      <c r="AL5374">
        <v>89.589133071588506</v>
      </c>
      <c r="AM5374">
        <v>100.347290250463</v>
      </c>
      <c r="AN5374">
        <v>0.99999996797535096</v>
      </c>
    </row>
    <row r="5375" spans="1:40" x14ac:dyDescent="0.25">
      <c r="A5375" t="str">
        <f>"20190312151424638"</f>
        <v>20190312151424638</v>
      </c>
      <c r="B5375" t="str">
        <f>"1552374864625928"</f>
        <v>1552374864625928</v>
      </c>
      <c r="C5375" t="s">
        <v>40</v>
      </c>
      <c r="D5375">
        <v>5.0030029999999996</v>
      </c>
      <c r="E5375">
        <v>0.53474219999999995</v>
      </c>
      <c r="F5375" t="s">
        <v>42</v>
      </c>
      <c r="G5375">
        <v>-268.0847</v>
      </c>
      <c r="H5375" s="1">
        <v>-3.5366589999999999E-6</v>
      </c>
      <c r="I5375">
        <v>-65.440190000000001</v>
      </c>
      <c r="J5375">
        <v>-277.06270000000001</v>
      </c>
      <c r="K5375">
        <v>1.120495</v>
      </c>
      <c r="L5375">
        <v>-65.713709999999907</v>
      </c>
      <c r="M5375">
        <v>0.99835739999999995</v>
      </c>
      <c r="N5375">
        <v>0</v>
      </c>
      <c r="O5375">
        <v>-5.5769230000000003E-2</v>
      </c>
      <c r="P5375">
        <v>0.99260630000000005</v>
      </c>
      <c r="Q5375">
        <v>-2.0742509999999999E-4</v>
      </c>
      <c r="R5375">
        <v>0.1213776</v>
      </c>
      <c r="S5375">
        <v>3.010437</v>
      </c>
      <c r="T5375">
        <v>-0.36876639999999999</v>
      </c>
      <c r="U5375">
        <v>8.8134770000000001E-2</v>
      </c>
      <c r="V5375">
        <v>-0.1768286</v>
      </c>
      <c r="W5375">
        <v>7.9443259999999998E-3</v>
      </c>
      <c r="X5375">
        <v>0.98420960000000002</v>
      </c>
      <c r="Y5375">
        <v>-8.3925040000000006E-2</v>
      </c>
      <c r="Z5375">
        <v>1.1923949999999999E-2</v>
      </c>
      <c r="AA5375">
        <v>0.99640070000000003</v>
      </c>
      <c r="AB5375">
        <v>34</v>
      </c>
      <c r="AC5375">
        <v>8.9779999999999998</v>
      </c>
      <c r="AD5375">
        <v>-1.1204985366589999</v>
      </c>
      <c r="AE5375">
        <v>0.27351999999998999</v>
      </c>
      <c r="AF5375">
        <v>-0.76197579687992001</v>
      </c>
      <c r="AG5375">
        <v>-1.1204985366589999</v>
      </c>
      <c r="AH5375">
        <v>8.8116444300673393</v>
      </c>
      <c r="AI5375">
        <v>97.220242370633002</v>
      </c>
      <c r="AJ5375">
        <v>94.942285481029998</v>
      </c>
      <c r="AK5375">
        <v>8.9152230284846201</v>
      </c>
      <c r="AL5375">
        <v>89.544818861758799</v>
      </c>
      <c r="AM5375">
        <v>100.185413755689</v>
      </c>
      <c r="AN5375">
        <v>1.0000000014128501</v>
      </c>
    </row>
    <row r="5376" spans="1:40" x14ac:dyDescent="0.25">
      <c r="A5376" t="str">
        <f>"20190312151424651"</f>
        <v>20190312151424651</v>
      </c>
      <c r="B5376" t="str">
        <f>"1552374864646424"</f>
        <v>1552374864646424</v>
      </c>
      <c r="C5376" t="s">
        <v>40</v>
      </c>
      <c r="D5376">
        <v>4.9238410000000004</v>
      </c>
      <c r="E5376">
        <v>0.53503679999999998</v>
      </c>
      <c r="F5376" t="s">
        <v>42</v>
      </c>
      <c r="G5376">
        <v>-267.8648</v>
      </c>
      <c r="H5376" s="1">
        <v>-3.4593449999999998E-6</v>
      </c>
      <c r="I5376">
        <v>-65.426319999999905</v>
      </c>
      <c r="J5376">
        <v>-276.88490000000002</v>
      </c>
      <c r="K5376">
        <v>1.120403</v>
      </c>
      <c r="L5376">
        <v>-65.718869999999995</v>
      </c>
      <c r="M5376">
        <v>0.99867450000000002</v>
      </c>
      <c r="N5376">
        <v>0</v>
      </c>
      <c r="O5376">
        <v>-4.9775029999999998E-2</v>
      </c>
      <c r="P5376">
        <v>0.99225750000000001</v>
      </c>
      <c r="Q5376">
        <v>5.1962120000000002E-4</v>
      </c>
      <c r="R5376">
        <v>0.124198</v>
      </c>
      <c r="S5376">
        <v>3.0107729999999999</v>
      </c>
      <c r="T5376">
        <v>-0.3667743</v>
      </c>
      <c r="U5376">
        <v>9.4055180000000002E-2</v>
      </c>
      <c r="V5376">
        <v>-0.17373469999999999</v>
      </c>
      <c r="W5376">
        <v>8.7830540000000002E-3</v>
      </c>
      <c r="X5376">
        <v>0.98475330000000005</v>
      </c>
      <c r="Y5376">
        <v>-7.9982120000000004E-2</v>
      </c>
      <c r="Z5376">
        <v>1.0892270000000001E-2</v>
      </c>
      <c r="AA5376">
        <v>0.99673679999999998</v>
      </c>
      <c r="AB5376">
        <v>34</v>
      </c>
      <c r="AC5376">
        <v>9.02010000000001</v>
      </c>
      <c r="AD5376">
        <v>-1.120406459345</v>
      </c>
      <c r="AE5376">
        <v>0.29255000000000497</v>
      </c>
      <c r="AF5376">
        <v>-0.72995126091018003</v>
      </c>
      <c r="AG5376">
        <v>-1.120406459345</v>
      </c>
      <c r="AH5376">
        <v>8.8578333391762296</v>
      </c>
      <c r="AI5376">
        <v>97.184826313285001</v>
      </c>
      <c r="AJ5376">
        <v>94.710953051402399</v>
      </c>
      <c r="AK5376">
        <v>8.9582002066301296</v>
      </c>
      <c r="AL5376">
        <v>89.496761591673007</v>
      </c>
      <c r="AM5376">
        <v>100.005424030144</v>
      </c>
      <c r="AN5376">
        <v>0.99999997494127302</v>
      </c>
    </row>
    <row r="5377" spans="1:40" x14ac:dyDescent="0.25">
      <c r="A5377" t="str">
        <f>"20190312151424663"</f>
        <v>20190312151424663</v>
      </c>
      <c r="B5377" t="str">
        <f>"1552374864656184"</f>
        <v>1552374864656184</v>
      </c>
      <c r="C5377" t="s">
        <v>40</v>
      </c>
      <c r="D5377">
        <v>4.9581210000000002</v>
      </c>
      <c r="E5377">
        <v>0.5355896</v>
      </c>
      <c r="F5377" t="s">
        <v>41</v>
      </c>
      <c r="G5377">
        <v>-275.94439999999997</v>
      </c>
      <c r="H5377">
        <v>1.0057739999999999</v>
      </c>
      <c r="I5377">
        <v>-65.68777</v>
      </c>
      <c r="J5377">
        <v>-276.68579999999997</v>
      </c>
      <c r="K5377">
        <v>1.120298</v>
      </c>
      <c r="L5377">
        <v>-65.72354</v>
      </c>
      <c r="M5377">
        <v>0.99898439999999999</v>
      </c>
      <c r="N5377">
        <v>0</v>
      </c>
      <c r="O5377">
        <v>-4.311773E-2</v>
      </c>
      <c r="P5377">
        <v>0.99178679999999997</v>
      </c>
      <c r="Q5377">
        <v>1.1802430000000001E-3</v>
      </c>
      <c r="R5377">
        <v>0.1278966</v>
      </c>
      <c r="S5377">
        <v>3.011047</v>
      </c>
      <c r="T5377">
        <v>-0.3674384</v>
      </c>
      <c r="U5377">
        <v>0.1002502</v>
      </c>
      <c r="V5377">
        <v>-0.1708576</v>
      </c>
      <c r="W5377">
        <v>9.5497740000000005E-3</v>
      </c>
      <c r="X5377">
        <v>0.9852495</v>
      </c>
      <c r="Y5377">
        <v>-7.5463420000000003E-2</v>
      </c>
      <c r="Z5377">
        <v>9.827077E-3</v>
      </c>
      <c r="AA5377">
        <v>0.99710019999999999</v>
      </c>
      <c r="AB5377">
        <v>34</v>
      </c>
      <c r="AC5377">
        <v>0.74139999999999795</v>
      </c>
      <c r="AD5377">
        <v>-0.114524</v>
      </c>
      <c r="AE5377">
        <v>3.5769999999999399E-2</v>
      </c>
      <c r="AF5377">
        <v>-6.6132624131423901E-2</v>
      </c>
      <c r="AG5377">
        <v>-0.114524</v>
      </c>
      <c r="AH5377">
        <v>0.72198078045533798</v>
      </c>
      <c r="AI5377">
        <v>98.976466161817299</v>
      </c>
      <c r="AJ5377">
        <v>95.233623986282794</v>
      </c>
      <c r="AK5377">
        <v>0.73399285956840699</v>
      </c>
      <c r="AL5377">
        <v>89.452829963429096</v>
      </c>
      <c r="AM5377">
        <v>99.838138074932999</v>
      </c>
      <c r="AN5377">
        <v>1.00000004745572</v>
      </c>
    </row>
    <row r="5378" spans="1:40" x14ac:dyDescent="0.25">
      <c r="A5378" t="str">
        <f>"20190312151424676"</f>
        <v>20190312151424676</v>
      </c>
      <c r="B5378" t="str">
        <f>"1552374864665944"</f>
        <v>1552374864665944</v>
      </c>
      <c r="C5378" t="s">
        <v>40</v>
      </c>
      <c r="D5378">
        <v>4.9145659999999998</v>
      </c>
      <c r="E5378">
        <v>0.536053</v>
      </c>
      <c r="F5378" t="s">
        <v>42</v>
      </c>
      <c r="G5378">
        <v>-267.4871</v>
      </c>
      <c r="H5378" s="1">
        <v>-3.3255549999999998E-6</v>
      </c>
      <c r="I5378">
        <v>-65.396569999999997</v>
      </c>
      <c r="J5378">
        <v>-276.49930000000001</v>
      </c>
      <c r="K5378">
        <v>1.1202000000000001</v>
      </c>
      <c r="L5378">
        <v>-65.726259999999996</v>
      </c>
      <c r="M5378">
        <v>0.9992316</v>
      </c>
      <c r="N5378">
        <v>0</v>
      </c>
      <c r="O5378">
        <v>-3.6954960000000002E-2</v>
      </c>
      <c r="P5378">
        <v>0.99135359999999995</v>
      </c>
      <c r="Q5378">
        <v>1.8257670000000001E-3</v>
      </c>
      <c r="R5378">
        <v>0.13120490000000001</v>
      </c>
      <c r="S5378">
        <v>3.0114749999999999</v>
      </c>
      <c r="T5378">
        <v>-0.36676750000000002</v>
      </c>
      <c r="U5378">
        <v>0.1070251</v>
      </c>
      <c r="V5378">
        <v>-0.16808149999999999</v>
      </c>
      <c r="W5378">
        <v>1.0295510000000001E-2</v>
      </c>
      <c r="X5378">
        <v>0.98571929999999996</v>
      </c>
      <c r="Y5378">
        <v>-7.1625709999999995E-2</v>
      </c>
      <c r="Z5378">
        <v>8.8273599999999994E-3</v>
      </c>
      <c r="AA5378">
        <v>0.99739250000000002</v>
      </c>
      <c r="AB5378">
        <v>34</v>
      </c>
      <c r="AC5378">
        <v>9.0122</v>
      </c>
      <c r="AD5378">
        <v>-1.1202033255549999</v>
      </c>
      <c r="AE5378">
        <v>0.32968999999999898</v>
      </c>
      <c r="AF5378">
        <v>-0.65247136106349701</v>
      </c>
      <c r="AG5378">
        <v>-1.1202033255549999</v>
      </c>
      <c r="AH5378">
        <v>8.8571963643057092</v>
      </c>
      <c r="AI5378">
        <v>97.188870223178597</v>
      </c>
      <c r="AJ5378">
        <v>94.213122327761795</v>
      </c>
      <c r="AK5378">
        <v>8.95156420987208</v>
      </c>
      <c r="AL5378">
        <v>89.4101002857726</v>
      </c>
      <c r="AM5378">
        <v>99.676810271232398</v>
      </c>
      <c r="AN5378">
        <v>0.99999996328044904</v>
      </c>
    </row>
    <row r="5379" spans="1:40" x14ac:dyDescent="0.25">
      <c r="A5379" t="str">
        <f>"20190312151424690"</f>
        <v>20190312151424690</v>
      </c>
      <c r="B5379" t="str">
        <f>"1552374864686439"</f>
        <v>1552374864686439</v>
      </c>
      <c r="C5379" t="s">
        <v>40</v>
      </c>
      <c r="D5379">
        <v>4.9355250000000002</v>
      </c>
      <c r="E5379">
        <v>0.53688329999999995</v>
      </c>
      <c r="F5379" t="s">
        <v>41</v>
      </c>
      <c r="G5379">
        <v>-275.6345</v>
      </c>
      <c r="H5379">
        <v>1.015431</v>
      </c>
      <c r="I5379">
        <v>-65.693659999999994</v>
      </c>
      <c r="J5379">
        <v>-276.29570000000001</v>
      </c>
      <c r="K5379">
        <v>1.120093</v>
      </c>
      <c r="L5379">
        <v>-65.728359999999995</v>
      </c>
      <c r="M5379">
        <v>0.99945680000000003</v>
      </c>
      <c r="N5379">
        <v>0</v>
      </c>
      <c r="O5379">
        <v>-3.0273000000000001E-2</v>
      </c>
      <c r="P5379">
        <v>0.99088540000000003</v>
      </c>
      <c r="Q5379">
        <v>2.1051960000000002E-3</v>
      </c>
      <c r="R5379">
        <v>0.1346917</v>
      </c>
      <c r="S5379">
        <v>3.011841</v>
      </c>
      <c r="T5379">
        <v>-0.36474879999999998</v>
      </c>
      <c r="U5379">
        <v>0.11322019999999999</v>
      </c>
      <c r="V5379">
        <v>-0.16496189999999999</v>
      </c>
      <c r="W5379">
        <v>1.0686019999999999E-2</v>
      </c>
      <c r="X5379">
        <v>0.98624210000000001</v>
      </c>
      <c r="Y5379">
        <v>-6.7091590000000006E-2</v>
      </c>
      <c r="Z5379">
        <v>7.6983579999999998E-3</v>
      </c>
      <c r="AA5379">
        <v>0.99771710000000002</v>
      </c>
      <c r="AB5379">
        <v>34</v>
      </c>
      <c r="AC5379">
        <v>0.661200000000007</v>
      </c>
      <c r="AD5379">
        <v>-0.10466200000000001</v>
      </c>
      <c r="AE5379">
        <v>3.47000000000008E-2</v>
      </c>
      <c r="AF5379">
        <v>-5.3368762060605E-2</v>
      </c>
      <c r="AG5379">
        <v>-0.10466200000000001</v>
      </c>
      <c r="AH5379">
        <v>0.64376055251804698</v>
      </c>
      <c r="AI5379">
        <v>99.203272317432805</v>
      </c>
      <c r="AJ5379">
        <v>94.739073343247995</v>
      </c>
      <c r="AK5379">
        <v>0.654392854473689</v>
      </c>
      <c r="AL5379">
        <v>89.3877245314997</v>
      </c>
      <c r="AM5379">
        <v>99.495567882410498</v>
      </c>
      <c r="AN5379">
        <v>1.00000004964372</v>
      </c>
    </row>
    <row r="5380" spans="1:40" x14ac:dyDescent="0.25">
      <c r="A5380" t="str">
        <f>"20190312151424705"</f>
        <v>20190312151424705</v>
      </c>
      <c r="B5380" t="str">
        <f>"1552374864696200"</f>
        <v>1552374864696200</v>
      </c>
      <c r="C5380" t="s">
        <v>40</v>
      </c>
      <c r="D5380">
        <v>4.9475100000000003</v>
      </c>
      <c r="E5380">
        <v>0.53729059999999995</v>
      </c>
      <c r="F5380" t="s">
        <v>41</v>
      </c>
      <c r="G5380">
        <v>-275.35230000000001</v>
      </c>
      <c r="H5380">
        <v>1.0056130000000001</v>
      </c>
      <c r="I5380">
        <v>-65.691829999999996</v>
      </c>
      <c r="J5380">
        <v>-276.06040000000002</v>
      </c>
      <c r="K5380">
        <v>1.1199760000000001</v>
      </c>
      <c r="L5380">
        <v>-65.729309999999998</v>
      </c>
      <c r="M5380">
        <v>0.99965959999999998</v>
      </c>
      <c r="N5380">
        <v>0</v>
      </c>
      <c r="O5380">
        <v>-2.2622610000000001E-2</v>
      </c>
      <c r="P5380">
        <v>0.9906914</v>
      </c>
      <c r="Q5380">
        <v>3.2157819999999999E-3</v>
      </c>
      <c r="R5380">
        <v>0.13609089999999999</v>
      </c>
      <c r="S5380">
        <v>3.012451</v>
      </c>
      <c r="T5380">
        <v>-0.3659171</v>
      </c>
      <c r="U5380">
        <v>0.117218</v>
      </c>
      <c r="V5380">
        <v>-0.15882959999999999</v>
      </c>
      <c r="W5380">
        <v>1.199485E-2</v>
      </c>
      <c r="X5380">
        <v>0.98723320000000003</v>
      </c>
      <c r="Y5380">
        <v>-6.086635E-2</v>
      </c>
      <c r="Z5380">
        <v>6.4189470000000004E-3</v>
      </c>
      <c r="AA5380">
        <v>0.99812529999999999</v>
      </c>
      <c r="AB5380">
        <v>34</v>
      </c>
      <c r="AC5380">
        <v>0.70810000000000095</v>
      </c>
      <c r="AD5380">
        <v>-0.11436300000000001</v>
      </c>
      <c r="AE5380">
        <v>3.7479999999987898E-2</v>
      </c>
      <c r="AF5380">
        <v>-5.2134722577510999E-2</v>
      </c>
      <c r="AG5380">
        <v>-0.11436300000000001</v>
      </c>
      <c r="AH5380">
        <v>0.689145026301488</v>
      </c>
      <c r="AI5380">
        <v>99.395947522466301</v>
      </c>
      <c r="AJ5380">
        <v>94.326259980348794</v>
      </c>
      <c r="AK5380">
        <v>0.700512521189531</v>
      </c>
      <c r="AL5380">
        <v>89.312729275703006</v>
      </c>
      <c r="AM5380">
        <v>99.139631198345995</v>
      </c>
      <c r="AN5380">
        <v>1.0000000547224499</v>
      </c>
    </row>
    <row r="5381" spans="1:40" x14ac:dyDescent="0.25">
      <c r="A5381" t="str">
        <f>"20190312151424716"</f>
        <v>20190312151424716</v>
      </c>
      <c r="B5381" t="str">
        <f>"1552374864705960"</f>
        <v>1552374864705960</v>
      </c>
      <c r="C5381" t="s">
        <v>40</v>
      </c>
      <c r="D5381">
        <v>4.9279999999999999</v>
      </c>
      <c r="E5381">
        <v>0.53753629999999997</v>
      </c>
      <c r="F5381" t="s">
        <v>41</v>
      </c>
      <c r="G5381">
        <v>-275.0566</v>
      </c>
      <c r="H5381">
        <v>0.99908149999999996</v>
      </c>
      <c r="I5381">
        <v>-65.689930000000004</v>
      </c>
      <c r="J5381">
        <v>-275.88529999999997</v>
      </c>
      <c r="K5381">
        <v>1.11988</v>
      </c>
      <c r="L5381">
        <v>-65.728300000000004</v>
      </c>
      <c r="M5381">
        <v>0.99977099999999997</v>
      </c>
      <c r="N5381">
        <v>0</v>
      </c>
      <c r="O5381">
        <v>-1.7013210000000001E-2</v>
      </c>
      <c r="P5381">
        <v>0.99035470000000003</v>
      </c>
      <c r="Q5381">
        <v>3.921613E-3</v>
      </c>
      <c r="R5381">
        <v>0.13849990000000001</v>
      </c>
      <c r="S5381">
        <v>3.0130919999999999</v>
      </c>
      <c r="T5381">
        <v>-0.36297800000000002</v>
      </c>
      <c r="U5381">
        <v>0.1183777</v>
      </c>
      <c r="V5381">
        <v>-0.15570519999999999</v>
      </c>
      <c r="W5381">
        <v>1.2804940000000001E-2</v>
      </c>
      <c r="X5381">
        <v>0.9877205</v>
      </c>
      <c r="Y5381">
        <v>-5.5728140000000002E-2</v>
      </c>
      <c r="Z5381">
        <v>5.3849689999999999E-3</v>
      </c>
      <c r="AA5381">
        <v>0.99843139999999997</v>
      </c>
      <c r="AB5381">
        <v>34</v>
      </c>
      <c r="AC5381">
        <v>0.82869999999996902</v>
      </c>
      <c r="AD5381">
        <v>-0.120798499999999</v>
      </c>
      <c r="AE5381">
        <v>3.8370000000000397E-2</v>
      </c>
      <c r="AF5381">
        <v>-5.1375170329367698E-2</v>
      </c>
      <c r="AG5381">
        <v>-0.120798499999999</v>
      </c>
      <c r="AH5381">
        <v>0.81073708637729303</v>
      </c>
      <c r="AI5381">
        <v>98.457912228238101</v>
      </c>
      <c r="AJ5381">
        <v>93.625897843247401</v>
      </c>
      <c r="AK5381">
        <v>0.82129550647508398</v>
      </c>
      <c r="AL5381">
        <v>89.266310879421894</v>
      </c>
      <c r="AM5381">
        <v>98.958438959250998</v>
      </c>
      <c r="AN5381">
        <v>0.99999993095784401</v>
      </c>
    </row>
    <row r="5382" spans="1:40" x14ac:dyDescent="0.25">
      <c r="A5382" t="str">
        <f>"20190312151424728"</f>
        <v>20190312151424728</v>
      </c>
      <c r="B5382" t="str">
        <f>"1552374864715720"</f>
        <v>1552374864715720</v>
      </c>
      <c r="C5382" t="s">
        <v>40</v>
      </c>
      <c r="D5382">
        <v>4.896916</v>
      </c>
      <c r="E5382">
        <v>0.53778959999999998</v>
      </c>
      <c r="F5382" t="s">
        <v>41</v>
      </c>
      <c r="G5382">
        <v>-275.04579999999999</v>
      </c>
      <c r="H5382">
        <v>1.0188729999999999</v>
      </c>
      <c r="I5382">
        <v>-65.693849999999998</v>
      </c>
      <c r="J5382">
        <v>-275.72840000000002</v>
      </c>
      <c r="K5382">
        <v>1.119796</v>
      </c>
      <c r="L5382">
        <v>-65.727109999999996</v>
      </c>
      <c r="M5382">
        <v>0.99984399999999996</v>
      </c>
      <c r="N5382">
        <v>0</v>
      </c>
      <c r="O5382">
        <v>-1.1999309999999999E-2</v>
      </c>
      <c r="P5382">
        <v>0.99006380000000005</v>
      </c>
      <c r="Q5382">
        <v>4.6275129999999998E-3</v>
      </c>
      <c r="R5382">
        <v>0.1405428</v>
      </c>
      <c r="S5382">
        <v>3.013306</v>
      </c>
      <c r="T5382">
        <v>-0.362618</v>
      </c>
      <c r="U5382">
        <v>0.12390139999999999</v>
      </c>
      <c r="V5382">
        <v>-0.152804</v>
      </c>
      <c r="W5382">
        <v>1.360596E-2</v>
      </c>
      <c r="X5382">
        <v>0.98816280000000001</v>
      </c>
      <c r="Y5382">
        <v>-5.2605230000000003E-2</v>
      </c>
      <c r="Z5382">
        <v>4.5909089999999998E-3</v>
      </c>
      <c r="AA5382">
        <v>0.99860479999999996</v>
      </c>
      <c r="AB5382">
        <v>34</v>
      </c>
      <c r="AC5382">
        <v>0.68260000000003596</v>
      </c>
      <c r="AD5382">
        <v>-0.100923</v>
      </c>
      <c r="AE5382">
        <v>3.3259999999998499E-2</v>
      </c>
      <c r="AF5382">
        <v>-4.05643898013145E-2</v>
      </c>
      <c r="AG5382">
        <v>-0.100923</v>
      </c>
      <c r="AH5382">
        <v>0.66759278631469998</v>
      </c>
      <c r="AI5382">
        <v>98.580977029406796</v>
      </c>
      <c r="AJ5382">
        <v>93.477141143991602</v>
      </c>
      <c r="AK5382">
        <v>0.67639563126056501</v>
      </c>
      <c r="AL5382">
        <v>89.220411823868403</v>
      </c>
      <c r="AM5382">
        <v>98.790278140394307</v>
      </c>
      <c r="AN5382">
        <v>0.99999995193367897</v>
      </c>
    </row>
    <row r="5383" spans="1:40" x14ac:dyDescent="0.25">
      <c r="A5383" t="str">
        <f>"20190312151424739"</f>
        <v>20190312151424739</v>
      </c>
      <c r="B5383" t="str">
        <f>"1552374864736216"</f>
        <v>1552374864736216</v>
      </c>
      <c r="C5383" t="s">
        <v>40</v>
      </c>
      <c r="D5383">
        <v>5.2423120000000001</v>
      </c>
      <c r="E5383">
        <v>0.53772439999999999</v>
      </c>
      <c r="F5383" t="s">
        <v>41</v>
      </c>
      <c r="G5383">
        <v>-274.75529999999998</v>
      </c>
      <c r="H5383">
        <v>1.003136</v>
      </c>
      <c r="I5383">
        <v>-65.685890000000001</v>
      </c>
      <c r="J5383">
        <v>-275.55329999999998</v>
      </c>
      <c r="K5383">
        <v>1.119704</v>
      </c>
      <c r="L5383">
        <v>-65.724549999999994</v>
      </c>
      <c r="M5383">
        <v>0.99989530000000004</v>
      </c>
      <c r="N5383">
        <v>0</v>
      </c>
      <c r="O5383">
        <v>-6.468845E-3</v>
      </c>
      <c r="P5383">
        <v>0.98964819999999998</v>
      </c>
      <c r="Q5383">
        <v>5.2704290000000001E-3</v>
      </c>
      <c r="R5383">
        <v>0.1434183</v>
      </c>
      <c r="S5383">
        <v>3.0135800000000001</v>
      </c>
      <c r="T5383">
        <v>-0.36143819999999999</v>
      </c>
      <c r="U5383">
        <v>0.1278687</v>
      </c>
      <c r="V5383">
        <v>-0.15022170000000001</v>
      </c>
      <c r="W5383">
        <v>1.433544E-2</v>
      </c>
      <c r="X5383">
        <v>0.98854839999999999</v>
      </c>
      <c r="Y5383">
        <v>-4.8462360000000003E-2</v>
      </c>
      <c r="Z5383">
        <v>3.6673600000000002E-3</v>
      </c>
      <c r="AA5383">
        <v>0.99881830000000005</v>
      </c>
      <c r="AB5383">
        <v>34</v>
      </c>
      <c r="AC5383">
        <v>0.79800000000000104</v>
      </c>
      <c r="AD5383">
        <v>-0.116568</v>
      </c>
      <c r="AE5383">
        <v>3.8659999999992999E-2</v>
      </c>
      <c r="AF5383">
        <v>-4.2908329388585499E-2</v>
      </c>
      <c r="AG5383">
        <v>-0.116568</v>
      </c>
      <c r="AH5383">
        <v>0.78110503236136997</v>
      </c>
      <c r="AI5383">
        <v>98.475287039052404</v>
      </c>
      <c r="AJ5383">
        <v>93.144260555920795</v>
      </c>
      <c r="AK5383">
        <v>0.79091990424769099</v>
      </c>
      <c r="AL5383">
        <v>89.178611656972294</v>
      </c>
      <c r="AM5383">
        <v>98.640669285661602</v>
      </c>
      <c r="AN5383">
        <v>1.0000000015667201</v>
      </c>
    </row>
    <row r="5384" spans="1:40" x14ac:dyDescent="0.25">
      <c r="A5384" t="str">
        <f>"20190312151424749"</f>
        <v>20190312151424749</v>
      </c>
      <c r="B5384" t="str">
        <f>"1552374864745976"</f>
        <v>1552374864745976</v>
      </c>
      <c r="C5384" t="s">
        <v>40</v>
      </c>
      <c r="D5384">
        <v>5.0029719999999998</v>
      </c>
      <c r="E5384">
        <v>0.5216326</v>
      </c>
      <c r="F5384" t="s">
        <v>41</v>
      </c>
      <c r="G5384">
        <v>-274.74439999999998</v>
      </c>
      <c r="H5384">
        <v>1.0229619999999999</v>
      </c>
      <c r="I5384">
        <v>-65.687839999999994</v>
      </c>
      <c r="J5384">
        <v>-275.3974</v>
      </c>
      <c r="K5384">
        <v>1.119618</v>
      </c>
      <c r="L5384">
        <v>-65.721649999999997</v>
      </c>
      <c r="M5384">
        <v>0.9999152</v>
      </c>
      <c r="N5384">
        <v>0</v>
      </c>
      <c r="O5384">
        <v>-1.5798639999999901E-3</v>
      </c>
      <c r="P5384">
        <v>0.98940110000000003</v>
      </c>
      <c r="Q5384">
        <v>5.4137079999999997E-3</v>
      </c>
      <c r="R5384">
        <v>0.1451085</v>
      </c>
      <c r="S5384">
        <v>3.0134889999999999</v>
      </c>
      <c r="T5384">
        <v>-0.36056880000000002</v>
      </c>
      <c r="U5384">
        <v>0.1369629</v>
      </c>
      <c r="V5384">
        <v>-0.1470764</v>
      </c>
      <c r="W5384">
        <v>1.457813E-2</v>
      </c>
      <c r="X5384">
        <v>0.9890177</v>
      </c>
      <c r="Y5384">
        <v>-4.6638159999999998E-2</v>
      </c>
      <c r="Z5384">
        <v>2.9671139999999999E-3</v>
      </c>
      <c r="AA5384">
        <v>0.9989074</v>
      </c>
      <c r="AB5384">
        <v>34</v>
      </c>
      <c r="AC5384">
        <v>0.65300000000002001</v>
      </c>
      <c r="AD5384">
        <v>-9.6655999999999798E-2</v>
      </c>
      <c r="AE5384">
        <v>3.3809999999988301E-2</v>
      </c>
      <c r="AF5384">
        <v>-3.4096653910961901E-2</v>
      </c>
      <c r="AG5384">
        <v>-9.6655999999999798E-2</v>
      </c>
      <c r="AH5384">
        <v>0.63898342651709295</v>
      </c>
      <c r="AI5384">
        <v>98.589614201026805</v>
      </c>
      <c r="AJ5384">
        <v>93.054450618164694</v>
      </c>
      <c r="AK5384">
        <v>0.64715128332365202</v>
      </c>
      <c r="AL5384">
        <v>89.164705089712299</v>
      </c>
      <c r="AM5384">
        <v>98.458442898593105</v>
      </c>
      <c r="AN5384">
        <v>1.00000000011227</v>
      </c>
    </row>
    <row r="5385" spans="1:40" x14ac:dyDescent="0.25">
      <c r="A5385" t="str">
        <f>"20190312151424761"</f>
        <v>20190312151424761</v>
      </c>
      <c r="B5385" t="str">
        <f>"1552374864755735"</f>
        <v>1552374864755735</v>
      </c>
      <c r="C5385" t="s">
        <v>40</v>
      </c>
      <c r="D5385">
        <v>8.2850000000000001</v>
      </c>
      <c r="E5385">
        <v>0.51710119999999904</v>
      </c>
      <c r="F5385" t="s">
        <v>42</v>
      </c>
      <c r="G5385">
        <v>-264.03640000000001</v>
      </c>
      <c r="H5385" s="1">
        <v>-1.886452E-6</v>
      </c>
      <c r="I5385">
        <v>-64.704189999999997</v>
      </c>
      <c r="J5385">
        <v>-275.22609999999997</v>
      </c>
      <c r="K5385">
        <v>1.119521</v>
      </c>
      <c r="L5385">
        <v>-65.717559999999906</v>
      </c>
      <c r="M5385">
        <v>0.99990959999999995</v>
      </c>
      <c r="N5385">
        <v>0</v>
      </c>
      <c r="O5385">
        <v>3.7417499999999999E-3</v>
      </c>
      <c r="P5385">
        <v>0.98909219999999998</v>
      </c>
      <c r="Q5385">
        <v>5.5643250000000002E-3</v>
      </c>
      <c r="R5385">
        <v>0.1471935</v>
      </c>
      <c r="S5385">
        <v>2.9944459999999999</v>
      </c>
      <c r="T5385">
        <v>-0.29509970000000002</v>
      </c>
      <c r="U5385">
        <v>0.26815800000000001</v>
      </c>
      <c r="V5385">
        <v>-0.14389649999999901</v>
      </c>
      <c r="W5385">
        <v>1.4829399999999901E-2</v>
      </c>
      <c r="X5385">
        <v>0.98948159999999996</v>
      </c>
      <c r="Y5385">
        <v>-8.5076239999999997E-2</v>
      </c>
      <c r="Z5385">
        <v>3.8065299999999998E-3</v>
      </c>
      <c r="AA5385">
        <v>0.99636720000000001</v>
      </c>
      <c r="AB5385">
        <v>34</v>
      </c>
      <c r="AC5385">
        <v>11.189699999999901</v>
      </c>
      <c r="AD5385">
        <v>-1.1195228864519999</v>
      </c>
      <c r="AE5385">
        <v>1.0133699999999899</v>
      </c>
      <c r="AF5385">
        <v>-0.96193977679615905</v>
      </c>
      <c r="AG5385">
        <v>-1.1195228864519999</v>
      </c>
      <c r="AH5385">
        <v>11.083372976622901</v>
      </c>
      <c r="AI5385">
        <v>95.746382107231298</v>
      </c>
      <c r="AJ5385">
        <v>94.960342193058196</v>
      </c>
      <c r="AK5385">
        <v>11.1812260582821</v>
      </c>
      <c r="AL5385">
        <v>89.1503068015125</v>
      </c>
      <c r="AM5385">
        <v>98.274299612568996</v>
      </c>
      <c r="AN5385">
        <v>0.999999975277584</v>
      </c>
    </row>
    <row r="5386" spans="1:40" x14ac:dyDescent="0.25">
      <c r="A5386" t="str">
        <f>"20190312151424773"</f>
        <v>20190312151424773</v>
      </c>
      <c r="B5386" t="str">
        <f>"1552374864766472"</f>
        <v>1552374864766472</v>
      </c>
      <c r="C5386" t="s">
        <v>40</v>
      </c>
      <c r="D5386">
        <v>5.2389089999999996</v>
      </c>
      <c r="E5386">
        <v>0.51519859999999995</v>
      </c>
      <c r="F5386" t="s">
        <v>42</v>
      </c>
      <c r="G5386">
        <v>-262.46390000000002</v>
      </c>
      <c r="H5386" s="1">
        <v>-1.1295440000000001E-6</v>
      </c>
      <c r="I5386">
        <v>-64.394819999999996</v>
      </c>
      <c r="J5386">
        <v>-275.04730000000001</v>
      </c>
      <c r="K5386">
        <v>1.1194170000000001</v>
      </c>
      <c r="L5386">
        <v>-65.712220000000002</v>
      </c>
      <c r="M5386">
        <v>0.9998745</v>
      </c>
      <c r="N5386">
        <v>0</v>
      </c>
      <c r="O5386">
        <v>9.2234159999999999E-3</v>
      </c>
      <c r="P5386">
        <v>0.98873650000000002</v>
      </c>
      <c r="Q5386">
        <v>5.4198459999999999E-3</v>
      </c>
      <c r="R5386">
        <v>0.1495706</v>
      </c>
      <c r="S5386">
        <v>2.9884339999999998</v>
      </c>
      <c r="T5386">
        <v>-0.26215090000000002</v>
      </c>
      <c r="U5386">
        <v>0.30972290000000002</v>
      </c>
      <c r="V5386">
        <v>-0.140842299999999</v>
      </c>
      <c r="W5386">
        <v>1.478315E-2</v>
      </c>
      <c r="X5386">
        <v>0.98992170000000002</v>
      </c>
      <c r="Y5386">
        <v>-9.3588480000000002E-2</v>
      </c>
      <c r="Z5386">
        <v>3.280767E-3</v>
      </c>
      <c r="AA5386">
        <v>0.99560559999999998</v>
      </c>
      <c r="AB5386">
        <v>34</v>
      </c>
      <c r="AC5386">
        <v>12.5833999999999</v>
      </c>
      <c r="AD5386">
        <v>-1.119418129544</v>
      </c>
      <c r="AE5386">
        <v>1.3173999999999999</v>
      </c>
      <c r="AF5386">
        <v>-1.19194179380488</v>
      </c>
      <c r="AG5386">
        <v>-1.119418129544</v>
      </c>
      <c r="AH5386">
        <v>12.497187802805399</v>
      </c>
      <c r="AI5386">
        <v>95.095527842215503</v>
      </c>
      <c r="AJ5386">
        <v>95.448207745138703</v>
      </c>
      <c r="AK5386">
        <v>12.603710769736001</v>
      </c>
      <c r="AL5386">
        <v>89.152957071268006</v>
      </c>
      <c r="AM5386">
        <v>98.097479968359906</v>
      </c>
      <c r="AN5386">
        <v>1.00000003356205</v>
      </c>
    </row>
    <row r="5387" spans="1:40" x14ac:dyDescent="0.25">
      <c r="A5387" t="str">
        <f>"20190312151424783"</f>
        <v>20190312151424783</v>
      </c>
      <c r="B5387" t="str">
        <f>"1552374864776232"</f>
        <v>1552374864776232</v>
      </c>
      <c r="C5387" t="s">
        <v>40</v>
      </c>
      <c r="D5387">
        <v>5.0904559999999996</v>
      </c>
      <c r="E5387">
        <v>0.51410069999999997</v>
      </c>
      <c r="F5387" t="s">
        <v>64</v>
      </c>
      <c r="G5387">
        <v>-261.57339999999999</v>
      </c>
      <c r="H5387" s="1">
        <v>-6.9974929999999995E-7</v>
      </c>
      <c r="I5387">
        <v>-64.215239999999994</v>
      </c>
      <c r="J5387">
        <v>-274.89139999999998</v>
      </c>
      <c r="K5387">
        <v>1.119324</v>
      </c>
      <c r="L5387">
        <v>-65.707149999999999</v>
      </c>
      <c r="M5387">
        <v>0.99981969999999998</v>
      </c>
      <c r="N5387">
        <v>0</v>
      </c>
      <c r="O5387">
        <v>1.396946E-2</v>
      </c>
      <c r="P5387">
        <v>0.98856940000000004</v>
      </c>
      <c r="Q5387">
        <v>5.4621670000000004E-3</v>
      </c>
      <c r="R5387">
        <v>0.15066860000000001</v>
      </c>
      <c r="S5387">
        <v>2.9853519999999998</v>
      </c>
      <c r="T5387">
        <v>-0.24802450000000001</v>
      </c>
      <c r="U5387">
        <v>0.33166499999999999</v>
      </c>
      <c r="V5387">
        <v>-0.1372399</v>
      </c>
      <c r="W5387">
        <v>1.4934289999999999E-2</v>
      </c>
      <c r="X5387">
        <v>0.99042520000000001</v>
      </c>
      <c r="Y5387">
        <v>-9.6242300000000003E-2</v>
      </c>
      <c r="Z5387">
        <v>2.8239739999999999E-3</v>
      </c>
      <c r="AA5387">
        <v>0.99535390000000001</v>
      </c>
      <c r="AB5387">
        <v>34</v>
      </c>
      <c r="AC5387">
        <v>13.3179999999999</v>
      </c>
      <c r="AD5387">
        <v>-1.1193246997493</v>
      </c>
      <c r="AE5387">
        <v>1.4919099999999801</v>
      </c>
      <c r="AF5387">
        <v>-1.29665801160514</v>
      </c>
      <c r="AG5387">
        <v>-1.1193246997493</v>
      </c>
      <c r="AH5387">
        <v>13.2451425523642</v>
      </c>
      <c r="AI5387">
        <v>94.807618260991006</v>
      </c>
      <c r="AJ5387">
        <v>95.591261118437899</v>
      </c>
      <c r="AK5387">
        <v>13.355448738809899</v>
      </c>
      <c r="AL5387">
        <v>89.144296359802595</v>
      </c>
      <c r="AM5387">
        <v>97.889048276063704</v>
      </c>
      <c r="AN5387">
        <v>0.99999994998242503</v>
      </c>
    </row>
    <row r="5388" spans="1:40" x14ac:dyDescent="0.25">
      <c r="A5388" t="str">
        <f>"20190312151424794"</f>
        <v>20190312151424794</v>
      </c>
      <c r="B5388" t="str">
        <f>"1552374864785992"</f>
        <v>1552374864785992</v>
      </c>
      <c r="C5388" t="s">
        <v>40</v>
      </c>
      <c r="D5388">
        <v>4.9880820000000003</v>
      </c>
      <c r="E5388">
        <v>0.5138646</v>
      </c>
      <c r="F5388" t="s">
        <v>42</v>
      </c>
      <c r="G5388">
        <v>-261.05</v>
      </c>
      <c r="H5388" s="1">
        <v>-4.4822880000000003E-7</v>
      </c>
      <c r="I5388">
        <v>-64.113829999999993</v>
      </c>
      <c r="J5388">
        <v>-274.72739999999999</v>
      </c>
      <c r="K5388">
        <v>1.1192150000000001</v>
      </c>
      <c r="L5388">
        <v>-65.700590000000005</v>
      </c>
      <c r="M5388">
        <v>0.99973920000000005</v>
      </c>
      <c r="N5388">
        <v>0</v>
      </c>
      <c r="O5388">
        <v>1.8871599999999999E-2</v>
      </c>
      <c r="P5388">
        <v>0.98821510000000001</v>
      </c>
      <c r="Q5388">
        <v>6.5846409999999996E-3</v>
      </c>
      <c r="R5388">
        <v>0.15292979999999901</v>
      </c>
      <c r="S5388">
        <v>2.983673</v>
      </c>
      <c r="T5388">
        <v>-0.2412831</v>
      </c>
      <c r="U5388">
        <v>0.34344479999999999</v>
      </c>
      <c r="V5388">
        <v>-0.13467109999999999</v>
      </c>
      <c r="W5388">
        <v>1.6139110000000002E-2</v>
      </c>
      <c r="X5388">
        <v>0.9907589</v>
      </c>
      <c r="Y5388">
        <v>-9.5337030000000003E-2</v>
      </c>
      <c r="Z5388">
        <v>2.3176870000000001E-3</v>
      </c>
      <c r="AA5388">
        <v>0.9954423</v>
      </c>
      <c r="AB5388">
        <v>34</v>
      </c>
      <c r="AC5388">
        <v>13.677399999999899</v>
      </c>
      <c r="AD5388">
        <v>-1.1192154482287999</v>
      </c>
      <c r="AE5388">
        <v>1.58675999999999</v>
      </c>
      <c r="AF5388">
        <v>-1.3196226629382399</v>
      </c>
      <c r="AG5388">
        <v>-1.1192154482287999</v>
      </c>
      <c r="AH5388">
        <v>13.6149550092707</v>
      </c>
      <c r="AI5388">
        <v>94.677602551674596</v>
      </c>
      <c r="AJ5388">
        <v>95.536071866641706</v>
      </c>
      <c r="AK5388">
        <v>13.724468918561399</v>
      </c>
      <c r="AL5388">
        <v>89.075256952134893</v>
      </c>
      <c r="AM5388">
        <v>97.740616078745006</v>
      </c>
      <c r="AN5388">
        <v>0.99999998698800596</v>
      </c>
    </row>
    <row r="5389" spans="1:40" x14ac:dyDescent="0.25">
      <c r="A5389" t="str">
        <f>"20190312151424806"</f>
        <v>20190312151424806</v>
      </c>
      <c r="B5389" t="str">
        <f>"1552374864795752"</f>
        <v>1552374864795752</v>
      </c>
      <c r="C5389" t="s">
        <v>40</v>
      </c>
      <c r="D5389">
        <v>4.9991890000000003</v>
      </c>
      <c r="E5389">
        <v>0.51377600000000001</v>
      </c>
      <c r="F5389" t="s">
        <v>42</v>
      </c>
      <c r="G5389">
        <v>-260.06400000000002</v>
      </c>
      <c r="H5389" s="1">
        <v>1.29221E-8</v>
      </c>
      <c r="I5389">
        <v>-63.970480000000002</v>
      </c>
      <c r="J5389">
        <v>-274.55349999999999</v>
      </c>
      <c r="K5389">
        <v>1.1191009999999999</v>
      </c>
      <c r="L5389">
        <v>-65.693299999999994</v>
      </c>
      <c r="M5389">
        <v>0.99962870000000004</v>
      </c>
      <c r="N5389">
        <v>0</v>
      </c>
      <c r="O5389">
        <v>2.4038210000000001E-2</v>
      </c>
      <c r="P5389">
        <v>0.98778189999999999</v>
      </c>
      <c r="Q5389">
        <v>7.56894199999999E-3</v>
      </c>
      <c r="R5389">
        <v>0.15565860000000001</v>
      </c>
      <c r="S5389">
        <v>2.9828489999999999</v>
      </c>
      <c r="T5389">
        <v>-0.22767219999999999</v>
      </c>
      <c r="U5389">
        <v>0.35192869999999998</v>
      </c>
      <c r="V5389">
        <v>-0.13230529999999999</v>
      </c>
      <c r="W5389">
        <v>1.7201830000000001E-2</v>
      </c>
      <c r="X5389">
        <v>0.99105969999999999</v>
      </c>
      <c r="Y5389">
        <v>-9.3065040000000002E-2</v>
      </c>
      <c r="Z5389">
        <v>1.7091579999999999E-3</v>
      </c>
      <c r="AA5389">
        <v>0.99565859999999995</v>
      </c>
      <c r="AB5389">
        <v>34</v>
      </c>
      <c r="AC5389">
        <v>14.4894999999999</v>
      </c>
      <c r="AD5389">
        <v>-1.1191009870778901</v>
      </c>
      <c r="AE5389">
        <v>1.72281999999999</v>
      </c>
      <c r="AF5389">
        <v>-1.3659570333211599</v>
      </c>
      <c r="AG5389">
        <v>-1.1191009870778901</v>
      </c>
      <c r="AH5389">
        <v>14.4417808600352</v>
      </c>
      <c r="AI5389">
        <v>94.411414064715302</v>
      </c>
      <c r="AJ5389">
        <v>95.403172543679702</v>
      </c>
      <c r="AK5389">
        <v>14.549338818153799</v>
      </c>
      <c r="AL5389">
        <v>89.014359090718003</v>
      </c>
      <c r="AM5389">
        <v>97.603959206740299</v>
      </c>
      <c r="AN5389">
        <v>0.99999996216376297</v>
      </c>
    </row>
    <row r="5390" spans="1:40" x14ac:dyDescent="0.25">
      <c r="A5390" t="str">
        <f>"20190312151424817"</f>
        <v>20190312151424817</v>
      </c>
      <c r="B5390" t="str">
        <f>"1552374864806488"</f>
        <v>1552374864806488</v>
      </c>
      <c r="C5390" t="s">
        <v>40</v>
      </c>
      <c r="D5390">
        <v>4.9601509999999998</v>
      </c>
      <c r="E5390">
        <v>0.51388409999999995</v>
      </c>
      <c r="F5390" t="s">
        <v>65</v>
      </c>
      <c r="G5390">
        <v>-259.25540000000001</v>
      </c>
      <c r="H5390" s="1">
        <v>-3.6352809999999998E-6</v>
      </c>
      <c r="I5390">
        <v>-63.844009999999997</v>
      </c>
      <c r="J5390">
        <v>-274.38200000000001</v>
      </c>
      <c r="K5390">
        <v>1.118973</v>
      </c>
      <c r="L5390">
        <v>-65.684780000000003</v>
      </c>
      <c r="M5390">
        <v>0.99949710000000003</v>
      </c>
      <c r="N5390">
        <v>0</v>
      </c>
      <c r="O5390">
        <v>2.9009980000000001E-2</v>
      </c>
      <c r="P5390">
        <v>0.98737750000000002</v>
      </c>
      <c r="Q5390">
        <v>8.6112500000000008E-3</v>
      </c>
      <c r="R5390">
        <v>0.15815079999999901</v>
      </c>
      <c r="S5390">
        <v>2.981995</v>
      </c>
      <c r="T5390">
        <v>-0.21814220000000001</v>
      </c>
      <c r="U5390">
        <v>0.36047360000000001</v>
      </c>
      <c r="V5390">
        <v>-0.1298945</v>
      </c>
      <c r="W5390">
        <v>1.8322700000000001E-2</v>
      </c>
      <c r="X5390">
        <v>0.99135850000000003</v>
      </c>
      <c r="Y5390">
        <v>-9.0993439999999995E-2</v>
      </c>
      <c r="Z5390">
        <v>1.201066E-3</v>
      </c>
      <c r="AA5390">
        <v>0.99585069999999998</v>
      </c>
      <c r="AB5390">
        <v>34</v>
      </c>
      <c r="AC5390">
        <v>15.1265999999999</v>
      </c>
      <c r="AD5390">
        <v>-1.118976635281</v>
      </c>
      <c r="AE5390">
        <v>1.84077</v>
      </c>
      <c r="AF5390">
        <v>-1.3936219410596999</v>
      </c>
      <c r="AG5390">
        <v>-1.118976635281</v>
      </c>
      <c r="AH5390">
        <v>15.0922553932289</v>
      </c>
      <c r="AI5390">
        <v>94.222392491864696</v>
      </c>
      <c r="AJ5390">
        <v>95.275742993574298</v>
      </c>
      <c r="AK5390">
        <v>15.1977124488968</v>
      </c>
      <c r="AL5390">
        <v>88.950127859491701</v>
      </c>
      <c r="AM5390">
        <v>97.464756283546507</v>
      </c>
      <c r="AN5390">
        <v>0.99999998899389497</v>
      </c>
    </row>
    <row r="5391" spans="1:40" x14ac:dyDescent="0.25">
      <c r="A5391" t="str">
        <f>"20190312151424828"</f>
        <v>20190312151424828</v>
      </c>
      <c r="B5391" t="str">
        <f>"1552374864816248"</f>
        <v>1552374864816248</v>
      </c>
      <c r="C5391" t="s">
        <v>40</v>
      </c>
      <c r="D5391">
        <v>4.9660960000000003</v>
      </c>
      <c r="E5391">
        <v>0.51394849999999903</v>
      </c>
      <c r="F5391" t="s">
        <v>65</v>
      </c>
      <c r="G5391">
        <v>-258.39179999999999</v>
      </c>
      <c r="H5391" s="1">
        <v>-3.324556E-6</v>
      </c>
      <c r="I5391">
        <v>-63.718089999999997</v>
      </c>
      <c r="J5391">
        <v>-274.21809999999999</v>
      </c>
      <c r="K5391">
        <v>1.118851</v>
      </c>
      <c r="L5391">
        <v>-65.676270000000002</v>
      </c>
      <c r="M5391">
        <v>0.9993495</v>
      </c>
      <c r="N5391">
        <v>0</v>
      </c>
      <c r="O5391">
        <v>3.3723699999999898E-2</v>
      </c>
      <c r="P5391">
        <v>0.98695149999999998</v>
      </c>
      <c r="Q5391">
        <v>9.1801390000000004E-3</v>
      </c>
      <c r="R5391">
        <v>0.16075639999999999</v>
      </c>
      <c r="S5391">
        <v>2.9814449999999999</v>
      </c>
      <c r="T5391">
        <v>-0.2086383</v>
      </c>
      <c r="U5391">
        <v>0.3666992</v>
      </c>
      <c r="V5391">
        <v>-0.12784309999999999</v>
      </c>
      <c r="W5391">
        <v>1.896012E-2</v>
      </c>
      <c r="X5391">
        <v>0.99161310000000003</v>
      </c>
      <c r="Y5391">
        <v>-8.8398660000000004E-2</v>
      </c>
      <c r="Z5391">
        <v>7.3079320000000005E-4</v>
      </c>
      <c r="AA5391">
        <v>0.99608490000000005</v>
      </c>
      <c r="AB5391">
        <v>34</v>
      </c>
      <c r="AC5391">
        <v>15.8263</v>
      </c>
      <c r="AD5391">
        <v>-1.1188543245559901</v>
      </c>
      <c r="AE5391">
        <v>1.95817999999999</v>
      </c>
      <c r="AF5391">
        <v>-1.41632907034448</v>
      </c>
      <c r="AG5391">
        <v>-1.1188543245559901</v>
      </c>
      <c r="AH5391">
        <v>15.805535379513</v>
      </c>
      <c r="AI5391">
        <v>94.033036572122398</v>
      </c>
      <c r="AJ5391">
        <v>95.120580157190503</v>
      </c>
      <c r="AK5391">
        <v>15.908261113903</v>
      </c>
      <c r="AL5391">
        <v>88.913599984582206</v>
      </c>
      <c r="AM5391">
        <v>97.346299308323196</v>
      </c>
      <c r="AN5391">
        <v>0.99999994222981503</v>
      </c>
    </row>
    <row r="5392" spans="1:40" x14ac:dyDescent="0.25">
      <c r="A5392" t="str">
        <f>"20190312151424840"</f>
        <v>20190312151424840</v>
      </c>
      <c r="B5392" t="str">
        <f>"1552374864835767"</f>
        <v>1552374864835767</v>
      </c>
      <c r="C5392" t="s">
        <v>40</v>
      </c>
      <c r="D5392">
        <v>5.0055750000000003</v>
      </c>
      <c r="E5392">
        <v>0.51424519999999996</v>
      </c>
      <c r="F5392" t="s">
        <v>65</v>
      </c>
      <c r="G5392">
        <v>-257.93009999999998</v>
      </c>
      <c r="H5392" s="1">
        <v>-3.1561900000000001E-6</v>
      </c>
      <c r="I5392">
        <v>-63.63391</v>
      </c>
      <c r="J5392">
        <v>-274.02969999999999</v>
      </c>
      <c r="K5392">
        <v>1.118698</v>
      </c>
      <c r="L5392">
        <v>-65.665409999999994</v>
      </c>
      <c r="M5392">
        <v>0.99915639999999994</v>
      </c>
      <c r="N5392">
        <v>0</v>
      </c>
      <c r="O5392">
        <v>3.9036599999999998E-2</v>
      </c>
      <c r="P5392">
        <v>0.98604020000000003</v>
      </c>
      <c r="Q5392">
        <v>8.6948240000000003E-3</v>
      </c>
      <c r="R5392">
        <v>0.1662815</v>
      </c>
      <c r="S5392">
        <v>2.9806819999999998</v>
      </c>
      <c r="T5392">
        <v>-0.20474890000000001</v>
      </c>
      <c r="U5392">
        <v>0.37374879999999999</v>
      </c>
      <c r="V5392">
        <v>-0.12810569999999999</v>
      </c>
      <c r="W5392">
        <v>1.848909E-2</v>
      </c>
      <c r="X5392">
        <v>0.99158820000000003</v>
      </c>
      <c r="Y5392">
        <v>-8.5477139999999993E-2</v>
      </c>
      <c r="Z5392">
        <v>2.5492389999999998E-4</v>
      </c>
      <c r="AA5392">
        <v>0.99634009999999995</v>
      </c>
      <c r="AB5392">
        <v>34</v>
      </c>
      <c r="AC5392">
        <v>16.099599999999999</v>
      </c>
      <c r="AD5392">
        <v>-1.11870115619</v>
      </c>
      <c r="AE5392">
        <v>2.0314999999999901</v>
      </c>
      <c r="AF5392">
        <v>-1.3947975337805301</v>
      </c>
      <c r="AG5392">
        <v>-1.11870115619</v>
      </c>
      <c r="AH5392">
        <v>16.0901646689681</v>
      </c>
      <c r="AI5392">
        <v>93.962392002825496</v>
      </c>
      <c r="AJ5392">
        <v>94.954376443396896</v>
      </c>
      <c r="AK5392">
        <v>16.189204783176098</v>
      </c>
      <c r="AL5392">
        <v>88.940592850856305</v>
      </c>
      <c r="AM5392">
        <v>97.361406679192896</v>
      </c>
      <c r="AN5392">
        <v>1.0000000376003699</v>
      </c>
    </row>
    <row r="5393" spans="1:40" x14ac:dyDescent="0.25">
      <c r="A5393" t="str">
        <f>"20190312151424852"</f>
        <v>20190312151424852</v>
      </c>
      <c r="B5393" t="str">
        <f>"1552374864846505"</f>
        <v>1552374864846505</v>
      </c>
      <c r="C5393" t="s">
        <v>40</v>
      </c>
      <c r="D5393">
        <v>7.8252149999999903</v>
      </c>
      <c r="E5393">
        <v>0.51416399999999995</v>
      </c>
      <c r="F5393" t="s">
        <v>65</v>
      </c>
      <c r="G5393">
        <v>-257.5385</v>
      </c>
      <c r="H5393" s="1">
        <v>-3.007353E-6</v>
      </c>
      <c r="I5393">
        <v>-63.517240000000001</v>
      </c>
      <c r="J5393">
        <v>-273.86279999999999</v>
      </c>
      <c r="K5393">
        <v>1.1185670000000001</v>
      </c>
      <c r="L5393">
        <v>-65.655000000000001</v>
      </c>
      <c r="M5393">
        <v>0.9989654</v>
      </c>
      <c r="N5393">
        <v>0</v>
      </c>
      <c r="O5393">
        <v>4.3656729999999998E-2</v>
      </c>
      <c r="P5393">
        <v>0.98574600000000001</v>
      </c>
      <c r="Q5393">
        <v>8.3703059999999992E-3</v>
      </c>
      <c r="R5393">
        <v>0.16803209999999999</v>
      </c>
      <c r="S5393">
        <v>2.9788510000000001</v>
      </c>
      <c r="T5393">
        <v>-0.202075</v>
      </c>
      <c r="U5393">
        <v>0.38803100000000001</v>
      </c>
      <c r="V5393">
        <v>-0.12526680000000001</v>
      </c>
      <c r="W5393">
        <v>1.8251659999999999E-2</v>
      </c>
      <c r="X5393">
        <v>0.99195520000000004</v>
      </c>
      <c r="Y5393">
        <v>-8.5658170000000006E-2</v>
      </c>
      <c r="Z5393" s="1">
        <v>-5.3300519999999997E-5</v>
      </c>
      <c r="AA5393">
        <v>0.9963246</v>
      </c>
      <c r="AB5393">
        <v>34</v>
      </c>
      <c r="AC5393">
        <v>16.324299999999901</v>
      </c>
      <c r="AD5393">
        <v>-1.1185700073530001</v>
      </c>
      <c r="AE5393">
        <v>2.1377599999999899</v>
      </c>
      <c r="AF5393">
        <v>-1.4164596616066101</v>
      </c>
      <c r="AG5393">
        <v>-1.1185700073530001</v>
      </c>
      <c r="AH5393">
        <v>16.326703692072801</v>
      </c>
      <c r="AI5393">
        <v>93.904684187587193</v>
      </c>
      <c r="AJ5393">
        <v>94.958407909290301</v>
      </c>
      <c r="AK5393">
        <v>16.426162372357499</v>
      </c>
      <c r="AL5393">
        <v>88.954198850833095</v>
      </c>
      <c r="AM5393">
        <v>97.197368602502706</v>
      </c>
      <c r="AN5393">
        <v>1.00000000654101</v>
      </c>
    </row>
    <row r="5394" spans="1:40" x14ac:dyDescent="0.25">
      <c r="A5394" t="str">
        <f>"20190312151424868"</f>
        <v>20190312151424868</v>
      </c>
      <c r="B5394" t="str">
        <f>"1552374864856264"</f>
        <v>1552374864856264</v>
      </c>
      <c r="C5394" t="s">
        <v>40</v>
      </c>
      <c r="D5394">
        <v>5.0129289999999997</v>
      </c>
      <c r="E5394">
        <v>0.51446130000000001</v>
      </c>
      <c r="F5394" t="s">
        <v>65</v>
      </c>
      <c r="G5394">
        <v>-257.4393</v>
      </c>
      <c r="H5394" s="1">
        <v>-2.9690509999999998E-6</v>
      </c>
      <c r="I5394">
        <v>-63.483350000000002</v>
      </c>
      <c r="J5394">
        <v>-273.63010000000003</v>
      </c>
      <c r="K5394">
        <v>1.118377</v>
      </c>
      <c r="L5394">
        <v>-65.639499999999998</v>
      </c>
      <c r="M5394">
        <v>0.99866900000000003</v>
      </c>
      <c r="N5394">
        <v>0</v>
      </c>
      <c r="O5394">
        <v>4.9987320000000002E-2</v>
      </c>
      <c r="P5394">
        <v>0.98510310000000001</v>
      </c>
      <c r="Q5394">
        <v>7.8771599999999994E-3</v>
      </c>
      <c r="R5394">
        <v>0.1717842</v>
      </c>
      <c r="S5394">
        <v>2.9779360000000001</v>
      </c>
      <c r="T5394">
        <v>-0.20282149999999999</v>
      </c>
      <c r="U5394">
        <v>0.39376830000000002</v>
      </c>
      <c r="V5394">
        <v>-0.12273580000000001</v>
      </c>
      <c r="W5394">
        <v>1.784546E-2</v>
      </c>
      <c r="X5394">
        <v>0.99227889999999996</v>
      </c>
      <c r="Y5394">
        <v>-8.129248E-2</v>
      </c>
      <c r="Z5394">
        <v>-6.2915849999999995E-4</v>
      </c>
      <c r="AA5394">
        <v>0.99669010000000002</v>
      </c>
      <c r="AB5394">
        <v>34</v>
      </c>
      <c r="AC5394">
        <v>16.190799999999999</v>
      </c>
      <c r="AD5394">
        <v>-1.1183799690509999</v>
      </c>
      <c r="AE5394">
        <v>2.15614999999999</v>
      </c>
      <c r="AF5394">
        <v>-1.3377821861903301</v>
      </c>
      <c r="AG5394">
        <v>-1.1183799690509999</v>
      </c>
      <c r="AH5394">
        <v>16.202384427691801</v>
      </c>
      <c r="AI5394">
        <v>93.935265851443702</v>
      </c>
      <c r="AJ5394">
        <v>94.720033767236302</v>
      </c>
      <c r="AK5394">
        <v>16.295941092050299</v>
      </c>
      <c r="AL5394">
        <v>88.977476157077703</v>
      </c>
      <c r="AM5394">
        <v>97.051148528988094</v>
      </c>
      <c r="AN5394">
        <v>0.99999997621473002</v>
      </c>
    </row>
    <row r="5395" spans="1:40" x14ac:dyDescent="0.25">
      <c r="A5395" t="str">
        <f>"20190312151424883"</f>
        <v>20190312151424883</v>
      </c>
      <c r="B5395" t="str">
        <f>"1552374864875783"</f>
        <v>1552374864875783</v>
      </c>
      <c r="C5395" t="s">
        <v>40</v>
      </c>
      <c r="D5395">
        <v>5.0080390000000001</v>
      </c>
      <c r="E5395">
        <v>0.51461899999999905</v>
      </c>
      <c r="F5395" t="s">
        <v>65</v>
      </c>
      <c r="G5395">
        <v>-257.18329999999997</v>
      </c>
      <c r="H5395" s="1">
        <v>-2.872751E-6</v>
      </c>
      <c r="I5395">
        <v>-63.414659999999998</v>
      </c>
      <c r="J5395">
        <v>-273.39589999999998</v>
      </c>
      <c r="K5395">
        <v>1.1181810000000001</v>
      </c>
      <c r="L5395">
        <v>-65.622469999999893</v>
      </c>
      <c r="M5395">
        <v>0.99834140000000005</v>
      </c>
      <c r="N5395">
        <v>0</v>
      </c>
      <c r="O5395">
        <v>5.6157869999999999E-2</v>
      </c>
      <c r="P5395">
        <v>0.98451670000000002</v>
      </c>
      <c r="Q5395">
        <v>7.3821969999999897E-3</v>
      </c>
      <c r="R5395">
        <v>0.17513570000000001</v>
      </c>
      <c r="S5395">
        <v>2.9767459999999999</v>
      </c>
      <c r="T5395">
        <v>-0.20241870000000001</v>
      </c>
      <c r="U5395">
        <v>0.40267940000000002</v>
      </c>
      <c r="V5395">
        <v>-0.1199602</v>
      </c>
      <c r="W5395">
        <v>1.7443549999999999E-2</v>
      </c>
      <c r="X5395">
        <v>0.99262539999999999</v>
      </c>
      <c r="Y5395">
        <v>-7.8137199999999907E-2</v>
      </c>
      <c r="Z5395">
        <v>-1.150711E-3</v>
      </c>
      <c r="AA5395">
        <v>0.99694190000000005</v>
      </c>
      <c r="AB5395">
        <v>34</v>
      </c>
      <c r="AC5395">
        <v>16.212599999999998</v>
      </c>
      <c r="AD5395">
        <v>-1.1181838727509901</v>
      </c>
      <c r="AE5395">
        <v>2.2078099999999901</v>
      </c>
      <c r="AF5395">
        <v>-1.2877727970709401</v>
      </c>
      <c r="AG5395">
        <v>-1.1181838727509901</v>
      </c>
      <c r="AH5395">
        <v>16.235184148964599</v>
      </c>
      <c r="AI5395">
        <v>93.927676186051201</v>
      </c>
      <c r="AJ5395">
        <v>94.535198760681396</v>
      </c>
      <c r="AK5395">
        <v>16.324518317578299</v>
      </c>
      <c r="AL5395">
        <v>89.0005074696262</v>
      </c>
      <c r="AM5395">
        <v>96.890859449921294</v>
      </c>
      <c r="AN5395">
        <v>0.99999995587290003</v>
      </c>
    </row>
    <row r="5396" spans="1:40" x14ac:dyDescent="0.25">
      <c r="A5396" t="str">
        <f>"20190312151424896"</f>
        <v>20190312151424896</v>
      </c>
      <c r="B5396" t="str">
        <f>"1552374864886519"</f>
        <v>1552374864886519</v>
      </c>
      <c r="C5396" t="s">
        <v>40</v>
      </c>
      <c r="D5396">
        <v>5.0078889999999996</v>
      </c>
      <c r="E5396">
        <v>0.51487910000000003</v>
      </c>
      <c r="F5396" t="s">
        <v>65</v>
      </c>
      <c r="G5396">
        <v>-257.09339999999997</v>
      </c>
      <c r="H5396" s="1">
        <v>-2.8358800000000001E-6</v>
      </c>
      <c r="I5396">
        <v>-63.367719999999998</v>
      </c>
      <c r="J5396">
        <v>-273.20519999999999</v>
      </c>
      <c r="K5396">
        <v>1.1180099999999999</v>
      </c>
      <c r="L5396">
        <v>-65.607419999999905</v>
      </c>
      <c r="M5396">
        <v>0.99805560000000004</v>
      </c>
      <c r="N5396">
        <v>0</v>
      </c>
      <c r="O5396">
        <v>6.103252E-2</v>
      </c>
      <c r="P5396">
        <v>0.98460530000000002</v>
      </c>
      <c r="Q5396">
        <v>7.3929499999999997E-3</v>
      </c>
      <c r="R5396">
        <v>0.1746373</v>
      </c>
      <c r="S5396">
        <v>2.9754939999999999</v>
      </c>
      <c r="T5396">
        <v>-0.20408789999999999</v>
      </c>
      <c r="U5396">
        <v>0.41152949999999999</v>
      </c>
      <c r="V5396">
        <v>-0.1146016</v>
      </c>
      <c r="W5396">
        <v>1.759612E-2</v>
      </c>
      <c r="X5396">
        <v>0.99325569999999996</v>
      </c>
      <c r="Y5396">
        <v>-7.6249730000000002E-2</v>
      </c>
      <c r="Z5396">
        <v>-1.556006E-3</v>
      </c>
      <c r="AA5396">
        <v>0.99708750000000002</v>
      </c>
      <c r="AB5396">
        <v>34</v>
      </c>
      <c r="AC5396">
        <v>16.111799999999999</v>
      </c>
      <c r="AD5396">
        <v>-1.1180128358800001</v>
      </c>
      <c r="AE5396">
        <v>2.2396999999999898</v>
      </c>
      <c r="AF5396">
        <v>-1.24621468212466</v>
      </c>
      <c r="AG5396">
        <v>-1.1180128358800001</v>
      </c>
      <c r="AH5396">
        <v>16.142211794980401</v>
      </c>
      <c r="AI5396">
        <v>93.950272801506102</v>
      </c>
      <c r="AJ5396">
        <v>94.414604992847899</v>
      </c>
      <c r="AK5396">
        <v>16.2288017231445</v>
      </c>
      <c r="AL5396">
        <v>88.991764572762605</v>
      </c>
      <c r="AM5396">
        <v>96.581669873159797</v>
      </c>
      <c r="AN5396">
        <v>1.0000000178720501</v>
      </c>
    </row>
    <row r="5397" spans="1:40" x14ac:dyDescent="0.25">
      <c r="A5397" t="str">
        <f>"20190312151424908"</f>
        <v>20190312151424908</v>
      </c>
      <c r="B5397" t="str">
        <f>"1552374864896280"</f>
        <v>1552374864896280</v>
      </c>
      <c r="C5397" t="s">
        <v>40</v>
      </c>
      <c r="D5397">
        <v>5.0824009999999999</v>
      </c>
      <c r="E5397">
        <v>0.51477119999999998</v>
      </c>
      <c r="F5397" t="s">
        <v>65</v>
      </c>
      <c r="G5397">
        <v>-256.80040000000002</v>
      </c>
      <c r="H5397" s="1">
        <v>-2.7150869999999999E-6</v>
      </c>
      <c r="I5397">
        <v>-63.3589699999999</v>
      </c>
      <c r="J5397">
        <v>-273.02140000000003</v>
      </c>
      <c r="K5397">
        <v>1.1178410000000001</v>
      </c>
      <c r="L5397">
        <v>-65.592439999999996</v>
      </c>
      <c r="M5397">
        <v>0.99776279999999995</v>
      </c>
      <c r="N5397">
        <v>0</v>
      </c>
      <c r="O5397">
        <v>6.5653110000000001E-2</v>
      </c>
      <c r="P5397">
        <v>0.98420540000000001</v>
      </c>
      <c r="Q5397">
        <v>8.0587260000000004E-3</v>
      </c>
      <c r="R5397">
        <v>0.17684710000000001</v>
      </c>
      <c r="S5397">
        <v>2.9760439999999999</v>
      </c>
      <c r="T5397">
        <v>-0.20282169999999999</v>
      </c>
      <c r="U5397">
        <v>0.40789789999999998</v>
      </c>
      <c r="V5397">
        <v>-0.1122374</v>
      </c>
      <c r="W5397">
        <v>1.8335089999999998E-2</v>
      </c>
      <c r="X5397">
        <v>0.99351230000000001</v>
      </c>
      <c r="Y5397">
        <v>-7.0436750000000006E-2</v>
      </c>
      <c r="Z5397">
        <v>-2.0551469999999998E-3</v>
      </c>
      <c r="AA5397">
        <v>0.99751409999999996</v>
      </c>
      <c r="AB5397">
        <v>34</v>
      </c>
      <c r="AC5397">
        <v>16.221</v>
      </c>
      <c r="AD5397">
        <v>-1.117843715087</v>
      </c>
      <c r="AE5397">
        <v>2.2334700000000001</v>
      </c>
      <c r="AF5397">
        <v>-1.158208677253</v>
      </c>
      <c r="AG5397">
        <v>-1.117843715087</v>
      </c>
      <c r="AH5397">
        <v>16.256875359702601</v>
      </c>
      <c r="AI5397">
        <v>93.923626205219506</v>
      </c>
      <c r="AJ5397">
        <v>94.075108656606105</v>
      </c>
      <c r="AK5397">
        <v>16.336371028240301</v>
      </c>
      <c r="AL5397">
        <v>88.949417909461701</v>
      </c>
      <c r="AM5397">
        <v>96.445395759318799</v>
      </c>
      <c r="AN5397">
        <v>1.00000004986767</v>
      </c>
    </row>
    <row r="5398" spans="1:40" x14ac:dyDescent="0.25">
      <c r="A5398" t="str">
        <f>"20190312151424920"</f>
        <v>20190312151424920</v>
      </c>
      <c r="B5398" t="str">
        <f>"1552374864915800"</f>
        <v>1552374864915800</v>
      </c>
      <c r="C5398" t="s">
        <v>40</v>
      </c>
      <c r="D5398">
        <v>5.0158740000000002</v>
      </c>
      <c r="E5398">
        <v>0.5150266</v>
      </c>
      <c r="F5398" t="s">
        <v>65</v>
      </c>
      <c r="G5398">
        <v>-256.4513</v>
      </c>
      <c r="H5398" s="1">
        <v>-2.5477359999999999E-6</v>
      </c>
      <c r="I5398">
        <v>-63.279719999999998</v>
      </c>
      <c r="J5398">
        <v>-272.84179999999998</v>
      </c>
      <c r="K5398">
        <v>1.1176680000000001</v>
      </c>
      <c r="L5398">
        <v>-65.576809999999995</v>
      </c>
      <c r="M5398">
        <v>0.99746670000000004</v>
      </c>
      <c r="N5398">
        <v>0</v>
      </c>
      <c r="O5398">
        <v>7.0012000000000005E-2</v>
      </c>
      <c r="P5398">
        <v>0.98384300000000002</v>
      </c>
      <c r="Q5398">
        <v>8.7266080000000003E-3</v>
      </c>
      <c r="R5398">
        <v>0.17882089999999901</v>
      </c>
      <c r="S5398">
        <v>2.9751889999999999</v>
      </c>
      <c r="T5398">
        <v>-0.20071140000000001</v>
      </c>
      <c r="U5398">
        <v>0.41525269999999997</v>
      </c>
      <c r="V5398">
        <v>-0.1098948</v>
      </c>
      <c r="W5398">
        <v>1.9074540000000001E-2</v>
      </c>
      <c r="X5398">
        <v>0.99376019999999998</v>
      </c>
      <c r="Y5398">
        <v>-6.8550390000000003E-2</v>
      </c>
      <c r="Z5398">
        <v>-2.38835E-3</v>
      </c>
      <c r="AA5398">
        <v>0.9976448</v>
      </c>
      <c r="AB5398">
        <v>34</v>
      </c>
      <c r="AC5398">
        <v>16.3904999999999</v>
      </c>
      <c r="AD5398">
        <v>-1.1176705477360001</v>
      </c>
      <c r="AE5398">
        <v>2.2970899999999901</v>
      </c>
      <c r="AF5398">
        <v>-1.13863719398551</v>
      </c>
      <c r="AG5398">
        <v>-1.1176705477360001</v>
      </c>
      <c r="AH5398">
        <v>16.436156178592199</v>
      </c>
      <c r="AI5398">
        <v>93.880892844194605</v>
      </c>
      <c r="AJ5398">
        <v>93.962911942522098</v>
      </c>
      <c r="AK5398">
        <v>16.513416122652501</v>
      </c>
      <c r="AL5398">
        <v>88.907043100452597</v>
      </c>
      <c r="AM5398">
        <v>96.310403911142302</v>
      </c>
      <c r="AN5398">
        <v>1.0000000201236401</v>
      </c>
    </row>
    <row r="5399" spans="1:40" x14ac:dyDescent="0.25">
      <c r="A5399" t="str">
        <f>"20190312151424931"</f>
        <v>20190312151424931</v>
      </c>
      <c r="B5399" t="str">
        <f>"1552374864926537"</f>
        <v>1552374864926537</v>
      </c>
      <c r="C5399" t="s">
        <v>40</v>
      </c>
      <c r="D5399">
        <v>5.1028500000000001</v>
      </c>
      <c r="E5399">
        <v>0.51504050000000001</v>
      </c>
      <c r="F5399" t="s">
        <v>65</v>
      </c>
      <c r="G5399">
        <v>-256.30439999999999</v>
      </c>
      <c r="H5399" s="1">
        <v>-2.477532E-6</v>
      </c>
      <c r="I5399">
        <v>-63.247390000000003</v>
      </c>
      <c r="J5399">
        <v>-272.68130000000002</v>
      </c>
      <c r="K5399">
        <v>1.1175109999999999</v>
      </c>
      <c r="L5399">
        <v>-65.562380000000005</v>
      </c>
      <c r="M5399">
        <v>0.99719259999999998</v>
      </c>
      <c r="N5399">
        <v>0</v>
      </c>
      <c r="O5399">
        <v>7.3818019999999998E-2</v>
      </c>
      <c r="P5399">
        <v>0.98358049999999997</v>
      </c>
      <c r="Q5399">
        <v>9.3899480000000004E-3</v>
      </c>
      <c r="R5399">
        <v>0.1802261</v>
      </c>
      <c r="S5399">
        <v>2.9748839999999999</v>
      </c>
      <c r="T5399">
        <v>-0.20105609999999999</v>
      </c>
      <c r="U5399">
        <v>0.41903689999999999</v>
      </c>
      <c r="V5399">
        <v>-0.10752689999999999</v>
      </c>
      <c r="W5399">
        <v>1.98073E-2</v>
      </c>
      <c r="X5399">
        <v>0.99400480000000002</v>
      </c>
      <c r="Y5399">
        <v>-6.6015699999999997E-2</v>
      </c>
      <c r="Z5399">
        <v>-2.7321170000000001E-3</v>
      </c>
      <c r="AA5399">
        <v>0.9978148</v>
      </c>
      <c r="AB5399">
        <v>34</v>
      </c>
      <c r="AC5399">
        <v>16.376899999999999</v>
      </c>
      <c r="AD5399">
        <v>-1.1175134775319999</v>
      </c>
      <c r="AE5399">
        <v>2.3149899999999999</v>
      </c>
      <c r="AF5399">
        <v>-1.09467007095244</v>
      </c>
      <c r="AG5399">
        <v>-1.1175134775319999</v>
      </c>
      <c r="AH5399">
        <v>16.428117867070299</v>
      </c>
      <c r="AI5399">
        <v>93.882933829814803</v>
      </c>
      <c r="AJ5399">
        <v>93.812207508802402</v>
      </c>
      <c r="AK5399">
        <v>16.502429990490999</v>
      </c>
      <c r="AL5399">
        <v>88.865051032471001</v>
      </c>
      <c r="AM5399">
        <v>96.173987957640193</v>
      </c>
      <c r="AN5399">
        <v>0.99999995288996901</v>
      </c>
    </row>
    <row r="5400" spans="1:40" x14ac:dyDescent="0.25">
      <c r="A5400" t="str">
        <f>"20190312151424941"</f>
        <v>20190312151424941</v>
      </c>
      <c r="B5400" t="str">
        <f>"1552374864936296"</f>
        <v>1552374864936296</v>
      </c>
      <c r="C5400" t="s">
        <v>40</v>
      </c>
      <c r="D5400">
        <v>5.0720199999999904</v>
      </c>
      <c r="E5400">
        <v>0.51512290000000005</v>
      </c>
      <c r="F5400" t="s">
        <v>65</v>
      </c>
      <c r="G5400">
        <v>-256.16730000000001</v>
      </c>
      <c r="H5400" s="1">
        <v>-2.4112420000000002E-6</v>
      </c>
      <c r="I5400">
        <v>-63.213880000000003</v>
      </c>
      <c r="J5400">
        <v>-272.52069999999998</v>
      </c>
      <c r="K5400">
        <v>1.1173569999999999</v>
      </c>
      <c r="L5400">
        <v>-65.547419999999903</v>
      </c>
      <c r="M5400">
        <v>0.99691050000000003</v>
      </c>
      <c r="N5400">
        <v>0</v>
      </c>
      <c r="O5400">
        <v>7.7537780000000001E-2</v>
      </c>
      <c r="P5400">
        <v>0.98334160000000004</v>
      </c>
      <c r="Q5400">
        <v>9.9892149999999992E-3</v>
      </c>
      <c r="R5400">
        <v>0.1814926</v>
      </c>
      <c r="S5400">
        <v>2.9744570000000001</v>
      </c>
      <c r="T5400">
        <v>-0.2012832</v>
      </c>
      <c r="U5400">
        <v>0.4230042</v>
      </c>
      <c r="V5400">
        <v>-0.10510170000000001</v>
      </c>
      <c r="W5400">
        <v>2.0475690000000001E-2</v>
      </c>
      <c r="X5400">
        <v>0.99425070000000004</v>
      </c>
      <c r="Y5400">
        <v>-6.3631080000000007E-2</v>
      </c>
      <c r="Z5400">
        <v>-3.064448E-3</v>
      </c>
      <c r="AA5400">
        <v>0.99796879999999999</v>
      </c>
      <c r="AB5400">
        <v>34</v>
      </c>
      <c r="AC5400">
        <v>16.353399999999901</v>
      </c>
      <c r="AD5400">
        <v>-1.117359411242</v>
      </c>
      <c r="AE5400">
        <v>2.3335399999999802</v>
      </c>
      <c r="AF5400">
        <v>-1.0535870373452301</v>
      </c>
      <c r="AG5400">
        <v>-1.117359411242</v>
      </c>
      <c r="AH5400">
        <v>16.410030570084</v>
      </c>
      <c r="AI5400">
        <v>93.887279662551094</v>
      </c>
      <c r="AJ5400">
        <v>93.673567162617104</v>
      </c>
      <c r="AK5400">
        <v>16.481736589638999</v>
      </c>
      <c r="AL5400">
        <v>88.826747433254795</v>
      </c>
      <c r="AM5400">
        <v>96.034295512924501</v>
      </c>
      <c r="AN5400">
        <v>1.0000000378371701</v>
      </c>
    </row>
    <row r="5401" spans="1:40" x14ac:dyDescent="0.25">
      <c r="A5401" t="str">
        <f>"20190312151424951"</f>
        <v>20190312151424951</v>
      </c>
      <c r="B5401" t="str">
        <f>"1552374864946056"</f>
        <v>1552374864946056</v>
      </c>
      <c r="C5401" t="s">
        <v>40</v>
      </c>
      <c r="D5401">
        <v>5.1099540000000001</v>
      </c>
      <c r="E5401">
        <v>0.51517069999999998</v>
      </c>
      <c r="F5401" t="s">
        <v>65</v>
      </c>
      <c r="G5401">
        <v>-256.07330000000002</v>
      </c>
      <c r="H5401" s="1">
        <v>-2.3658330000000001E-6</v>
      </c>
      <c r="I5401">
        <v>-63.191000000000003</v>
      </c>
      <c r="J5401">
        <v>-272.36930000000001</v>
      </c>
      <c r="K5401">
        <v>1.1172</v>
      </c>
      <c r="L5401">
        <v>-65.532749999999993</v>
      </c>
      <c r="M5401">
        <v>0.99664070000000005</v>
      </c>
      <c r="N5401">
        <v>0</v>
      </c>
      <c r="O5401">
        <v>8.0935839999999995E-2</v>
      </c>
      <c r="P5401">
        <v>0.983209</v>
      </c>
      <c r="Q5401">
        <v>1.024107E-2</v>
      </c>
      <c r="R5401">
        <v>0.1821962</v>
      </c>
      <c r="S5401">
        <v>2.9742130000000002</v>
      </c>
      <c r="T5401">
        <v>-0.20205400000000001</v>
      </c>
      <c r="U5401">
        <v>0.42611690000000002</v>
      </c>
      <c r="V5401">
        <v>-0.1024197</v>
      </c>
      <c r="W5401">
        <v>2.0799390000000001E-2</v>
      </c>
      <c r="X5401">
        <v>0.99452379999999996</v>
      </c>
      <c r="Y5401">
        <v>-6.1276959999999998E-2</v>
      </c>
      <c r="Z5401">
        <v>-3.383839E-3</v>
      </c>
      <c r="AA5401">
        <v>0.99811510000000003</v>
      </c>
      <c r="AB5401">
        <v>34</v>
      </c>
      <c r="AC5401">
        <v>16.2959999999999</v>
      </c>
      <c r="AD5401">
        <v>-1.1172023658329999</v>
      </c>
      <c r="AE5401">
        <v>2.34174999999999</v>
      </c>
      <c r="AF5401">
        <v>-1.0103796968198</v>
      </c>
      <c r="AG5401">
        <v>-1.1172023658329999</v>
      </c>
      <c r="AH5401">
        <v>16.356753873970501</v>
      </c>
      <c r="AI5401">
        <v>93.899949016661907</v>
      </c>
      <c r="AJ5401">
        <v>93.534749611518905</v>
      </c>
      <c r="AK5401">
        <v>16.425967416003701</v>
      </c>
      <c r="AL5401">
        <v>88.808196793111904</v>
      </c>
      <c r="AM5401">
        <v>95.879801149230204</v>
      </c>
      <c r="AN5401">
        <v>0.99999999916945004</v>
      </c>
    </row>
    <row r="5402" spans="1:40" x14ac:dyDescent="0.25">
      <c r="A5402" t="str">
        <f>"20190312151424962"</f>
        <v>20190312151424962</v>
      </c>
      <c r="B5402" t="str">
        <f>"1552374864955815"</f>
        <v>1552374864955815</v>
      </c>
      <c r="C5402" t="s">
        <v>40</v>
      </c>
      <c r="D5402">
        <v>5.5076859999999996</v>
      </c>
      <c r="E5402">
        <v>0.51532479999999903</v>
      </c>
      <c r="F5402" t="s">
        <v>65</v>
      </c>
      <c r="G5402">
        <v>-256.07499999999999</v>
      </c>
      <c r="H5402" s="1">
        <v>-2.3662030000000002E-6</v>
      </c>
      <c r="I5402">
        <v>-63.189459999999997</v>
      </c>
      <c r="J5402">
        <v>-272.19810000000001</v>
      </c>
      <c r="K5402">
        <v>1.117019</v>
      </c>
      <c r="L5402">
        <v>-65.515720000000002</v>
      </c>
      <c r="M5402">
        <v>0.99632810000000005</v>
      </c>
      <c r="N5402">
        <v>0</v>
      </c>
      <c r="O5402">
        <v>8.4699919999999998E-2</v>
      </c>
      <c r="P5402">
        <v>0.98298890000000005</v>
      </c>
      <c r="Q5402">
        <v>1.0407400000000001E-2</v>
      </c>
      <c r="R5402">
        <v>0.18337039999999999</v>
      </c>
      <c r="S5402">
        <v>2.974091</v>
      </c>
      <c r="T5402">
        <v>-0.2039154</v>
      </c>
      <c r="U5402">
        <v>0.42770390000000003</v>
      </c>
      <c r="V5402">
        <v>-9.9844260000000004E-2</v>
      </c>
      <c r="W5402">
        <v>2.103681E-2</v>
      </c>
      <c r="X5402">
        <v>0.99478069999999996</v>
      </c>
      <c r="Y5402">
        <v>-5.8050740000000003E-2</v>
      </c>
      <c r="Z5402">
        <v>-3.7798889999999998E-3</v>
      </c>
      <c r="AA5402">
        <v>0.99830649999999999</v>
      </c>
      <c r="AB5402">
        <v>34</v>
      </c>
      <c r="AC5402">
        <v>16.123100000000001</v>
      </c>
      <c r="AD5402">
        <v>-1.117021366203</v>
      </c>
      <c r="AE5402">
        <v>2.32626</v>
      </c>
      <c r="AF5402">
        <v>-0.94771122214871895</v>
      </c>
      <c r="AG5402">
        <v>-1.117021366203</v>
      </c>
      <c r="AH5402">
        <v>16.186095880724899</v>
      </c>
      <c r="AI5402">
        <v>93.941061084118402</v>
      </c>
      <c r="AJ5402">
        <v>93.350896377703194</v>
      </c>
      <c r="AK5402">
        <v>16.2522488644852</v>
      </c>
      <c r="AL5402">
        <v>88.794590691987906</v>
      </c>
      <c r="AM5402">
        <v>95.731474774439405</v>
      </c>
      <c r="AN5402">
        <v>1.0000000323611999</v>
      </c>
    </row>
    <row r="5403" spans="1:40" x14ac:dyDescent="0.25">
      <c r="A5403" t="str">
        <f>"20190312151424974"</f>
        <v>20190312151424974</v>
      </c>
      <c r="B5403" t="str">
        <f>"1552374864966552"</f>
        <v>1552374864966552</v>
      </c>
      <c r="C5403" t="s">
        <v>40</v>
      </c>
      <c r="D5403">
        <v>5.3076499999999998</v>
      </c>
      <c r="E5403">
        <v>0.51547209999999999</v>
      </c>
      <c r="F5403" t="s">
        <v>65</v>
      </c>
      <c r="G5403">
        <v>-255.8554</v>
      </c>
      <c r="H5403" s="1">
        <v>-2.2639750000000002E-6</v>
      </c>
      <c r="I5403">
        <v>-63.153239999999997</v>
      </c>
      <c r="J5403">
        <v>-272.03519999999997</v>
      </c>
      <c r="K5403">
        <v>1.1168439999999999</v>
      </c>
      <c r="L5403">
        <v>-65.498809999999906</v>
      </c>
      <c r="M5403">
        <v>0.99603120000000001</v>
      </c>
      <c r="N5403">
        <v>0</v>
      </c>
      <c r="O5403">
        <v>8.8125499999999996E-2</v>
      </c>
      <c r="P5403">
        <v>0.98279050000000001</v>
      </c>
      <c r="Q5403">
        <v>1.0578489999999999E-2</v>
      </c>
      <c r="R5403">
        <v>0.1844211</v>
      </c>
      <c r="S5403">
        <v>2.9738769999999999</v>
      </c>
      <c r="T5403">
        <v>-0.203265</v>
      </c>
      <c r="U5403">
        <v>0.42990109999999898</v>
      </c>
      <c r="V5403">
        <v>-9.7479830000000003E-2</v>
      </c>
      <c r="W5403">
        <v>2.127279E-2</v>
      </c>
      <c r="X5403">
        <v>0.99501010000000001</v>
      </c>
      <c r="Y5403">
        <v>-5.5363820000000001E-2</v>
      </c>
      <c r="Z5403">
        <v>-4.0904359999999898E-3</v>
      </c>
      <c r="AA5403">
        <v>0.99845779999999995</v>
      </c>
      <c r="AB5403">
        <v>34</v>
      </c>
      <c r="AC5403">
        <v>16.179799999999901</v>
      </c>
      <c r="AD5403">
        <v>-1.1168462639750001</v>
      </c>
      <c r="AE5403">
        <v>2.3455699999999799</v>
      </c>
      <c r="AF5403">
        <v>-0.90624966449588495</v>
      </c>
      <c r="AG5403">
        <v>-1.1168462639750001</v>
      </c>
      <c r="AH5403">
        <v>16.247738362997499</v>
      </c>
      <c r="AI5403">
        <v>93.926160922839401</v>
      </c>
      <c r="AJ5403">
        <v>93.192477216719496</v>
      </c>
      <c r="AK5403">
        <v>16.311273277833699</v>
      </c>
      <c r="AL5403">
        <v>88.781066936731307</v>
      </c>
      <c r="AM5403">
        <v>95.5953366101906</v>
      </c>
      <c r="AN5403">
        <v>0.999999973976611</v>
      </c>
    </row>
    <row r="5404" spans="1:40" x14ac:dyDescent="0.25">
      <c r="A5404" t="str">
        <f>"20190312151424987"</f>
        <v>20190312151424987</v>
      </c>
      <c r="B5404" t="str">
        <f>"1552374864976313"</f>
        <v>1552374864976313</v>
      </c>
      <c r="C5404" t="s">
        <v>40</v>
      </c>
      <c r="D5404">
        <v>5.1648329999999998</v>
      </c>
      <c r="E5404">
        <v>0.51570519999999997</v>
      </c>
      <c r="F5404" t="s">
        <v>65</v>
      </c>
      <c r="G5404">
        <v>-255.60599999999999</v>
      </c>
      <c r="H5404" s="1">
        <v>-2.1479900000000002E-6</v>
      </c>
      <c r="I5404">
        <v>-63.112879999999997</v>
      </c>
      <c r="J5404">
        <v>-271.8571</v>
      </c>
      <c r="K5404">
        <v>1.1166480000000001</v>
      </c>
      <c r="L5404">
        <v>-65.480099999999993</v>
      </c>
      <c r="M5404">
        <v>0.99569799999999997</v>
      </c>
      <c r="N5404">
        <v>0</v>
      </c>
      <c r="O5404">
        <v>9.1817659999999995E-2</v>
      </c>
      <c r="P5404">
        <v>0.98260959999999997</v>
      </c>
      <c r="Q5404">
        <v>1.059532E-2</v>
      </c>
      <c r="R5404">
        <v>0.18538160000000001</v>
      </c>
      <c r="S5404">
        <v>2.9736940000000001</v>
      </c>
      <c r="T5404">
        <v>-0.2021493</v>
      </c>
      <c r="U5404">
        <v>0.43185420000000002</v>
      </c>
      <c r="V5404">
        <v>-9.4752089999999997E-2</v>
      </c>
      <c r="W5404">
        <v>2.1362409999999998E-2</v>
      </c>
      <c r="X5404">
        <v>0.99527169999999998</v>
      </c>
      <c r="Y5404">
        <v>-5.2327070000000003E-2</v>
      </c>
      <c r="Z5404">
        <v>-4.4184580000000001E-3</v>
      </c>
      <c r="AA5404">
        <v>0.99862019999999996</v>
      </c>
      <c r="AB5404">
        <v>34</v>
      </c>
      <c r="AC5404">
        <v>16.251100000000001</v>
      </c>
      <c r="AD5404">
        <v>-1.11665014799</v>
      </c>
      <c r="AE5404">
        <v>2.3672199999999801</v>
      </c>
      <c r="AF5404">
        <v>-0.86098471422256095</v>
      </c>
      <c r="AG5404">
        <v>-1.11665014799</v>
      </c>
      <c r="AH5404">
        <v>16.324339507708999</v>
      </c>
      <c r="AI5404">
        <v>93.907750251095905</v>
      </c>
      <c r="AJ5404">
        <v>93.019119051237595</v>
      </c>
      <c r="AK5404">
        <v>16.3851232096094</v>
      </c>
      <c r="AL5404">
        <v>88.775930995145799</v>
      </c>
      <c r="AM5404">
        <v>95.438295836964301</v>
      </c>
      <c r="AN5404">
        <v>1.0000000339706301</v>
      </c>
    </row>
    <row r="5405" spans="1:40" x14ac:dyDescent="0.25">
      <c r="A5405" t="str">
        <f>"20190312151424997"</f>
        <v>20190312151424997</v>
      </c>
      <c r="B5405" t="str">
        <f>"1552374864986073"</f>
        <v>1552374864986073</v>
      </c>
      <c r="C5405" t="s">
        <v>40</v>
      </c>
      <c r="D5405">
        <v>5.0957249999999998</v>
      </c>
      <c r="E5405">
        <v>0.51593230000000001</v>
      </c>
      <c r="F5405" t="s">
        <v>65</v>
      </c>
      <c r="G5405">
        <v>-255.6489</v>
      </c>
      <c r="H5405" s="1">
        <v>-2.1680269999999999E-6</v>
      </c>
      <c r="I5405">
        <v>-63.12021</v>
      </c>
      <c r="J5405">
        <v>-271.67329999999998</v>
      </c>
      <c r="K5405">
        <v>1.1164369999999999</v>
      </c>
      <c r="L5405">
        <v>-65.45984</v>
      </c>
      <c r="M5405">
        <v>0.9953613</v>
      </c>
      <c r="N5405">
        <v>0</v>
      </c>
      <c r="O5405">
        <v>9.5402029999999999E-2</v>
      </c>
      <c r="P5405">
        <v>0.98244730000000002</v>
      </c>
      <c r="Q5405">
        <v>1.099172E-2</v>
      </c>
      <c r="R5405">
        <v>0.18621650000000001</v>
      </c>
      <c r="S5405">
        <v>2.9736020000000001</v>
      </c>
      <c r="T5405">
        <v>-0.20486389999999999</v>
      </c>
      <c r="U5405">
        <v>0.43295289999999997</v>
      </c>
      <c r="V5405">
        <v>-9.2009629999999995E-2</v>
      </c>
      <c r="W5405">
        <v>2.1830559999999999E-2</v>
      </c>
      <c r="X5405">
        <v>0.99551880000000004</v>
      </c>
      <c r="Y5405">
        <v>-4.9115020000000002E-2</v>
      </c>
      <c r="Z5405">
        <v>-4.8313219999999999E-3</v>
      </c>
      <c r="AA5405">
        <v>0.99878140000000004</v>
      </c>
      <c r="AB5405">
        <v>34</v>
      </c>
      <c r="AC5405">
        <v>16.024399999999901</v>
      </c>
      <c r="AD5405">
        <v>-1.1164391680270001</v>
      </c>
      <c r="AE5405">
        <v>2.3396300000000001</v>
      </c>
      <c r="AF5405">
        <v>-0.796294016671802</v>
      </c>
      <c r="AG5405">
        <v>-1.1164391680270001</v>
      </c>
      <c r="AH5405">
        <v>16.098011274328002</v>
      </c>
      <c r="AI5405">
        <v>93.962430424446893</v>
      </c>
      <c r="AJ5405">
        <v>92.831848521891203</v>
      </c>
      <c r="AK5405">
        <v>16.156314170171498</v>
      </c>
      <c r="AL5405">
        <v>88.749101693293099</v>
      </c>
      <c r="AM5405">
        <v>95.280492136333905</v>
      </c>
      <c r="AN5405">
        <v>1.00000001325804</v>
      </c>
    </row>
    <row r="5406" spans="1:40" x14ac:dyDescent="0.25">
      <c r="A5406" t="str">
        <f>"20190312151425008"</f>
        <v>20190312151425008</v>
      </c>
      <c r="B5406" t="str">
        <f>"1552374864995832"</f>
        <v>1552374864995832</v>
      </c>
      <c r="C5406" t="s">
        <v>40</v>
      </c>
      <c r="D5406">
        <v>5.4402049999999997</v>
      </c>
      <c r="E5406">
        <v>0.51611409999999902</v>
      </c>
      <c r="F5406" t="s">
        <v>65</v>
      </c>
      <c r="G5406">
        <v>-255.5686</v>
      </c>
      <c r="H5406" s="1">
        <v>-2.131476E-6</v>
      </c>
      <c r="I5406">
        <v>-63.110779999999998</v>
      </c>
      <c r="J5406">
        <v>-271.52289999999999</v>
      </c>
      <c r="K5406">
        <v>1.1162650000000001</v>
      </c>
      <c r="L5406">
        <v>-65.443079999999995</v>
      </c>
      <c r="M5406">
        <v>0.99508050000000003</v>
      </c>
      <c r="N5406">
        <v>0</v>
      </c>
      <c r="O5406">
        <v>9.829098E-2</v>
      </c>
      <c r="P5406">
        <v>0.98241900000000004</v>
      </c>
      <c r="Q5406">
        <v>1.10478E-2</v>
      </c>
      <c r="R5406">
        <v>0.18636269999999999</v>
      </c>
      <c r="S5406">
        <v>2.9736940000000001</v>
      </c>
      <c r="T5406">
        <v>-0.20614730000000001</v>
      </c>
      <c r="U5406">
        <v>0.43374629999999997</v>
      </c>
      <c r="V5406">
        <v>-8.9258610000000002E-2</v>
      </c>
      <c r="W5406">
        <v>2.1952119999999999E-2</v>
      </c>
      <c r="X5406">
        <v>0.9957665</v>
      </c>
      <c r="Y5406">
        <v>-4.6486319999999998E-2</v>
      </c>
      <c r="Z5406">
        <v>-5.1493809999999998E-3</v>
      </c>
      <c r="AA5406">
        <v>0.99890570000000001</v>
      </c>
      <c r="AB5406">
        <v>34</v>
      </c>
      <c r="AC5406">
        <v>15.9542999999999</v>
      </c>
      <c r="AD5406">
        <v>-1.116267131476</v>
      </c>
      <c r="AE5406">
        <v>2.3323</v>
      </c>
      <c r="AF5406">
        <v>-0.74912981287667102</v>
      </c>
      <c r="AG5406">
        <v>-1.116267131476</v>
      </c>
      <c r="AH5406">
        <v>16.029467066858899</v>
      </c>
      <c r="AI5406">
        <v>93.979228548295694</v>
      </c>
      <c r="AJ5406">
        <v>92.675745139469498</v>
      </c>
      <c r="AK5406">
        <v>16.0857409600201</v>
      </c>
      <c r="AL5406">
        <v>88.742135080391506</v>
      </c>
      <c r="AM5406">
        <v>95.122194752858107</v>
      </c>
      <c r="AN5406">
        <v>0.99999995877693704</v>
      </c>
    </row>
    <row r="5407" spans="1:40" x14ac:dyDescent="0.25">
      <c r="A5407" t="str">
        <f>"20190312151425019"</f>
        <v>20190312151425019</v>
      </c>
      <c r="B5407" t="str">
        <f>"1552374865016328"</f>
        <v>1552374865016328</v>
      </c>
      <c r="C5407" t="s">
        <v>40</v>
      </c>
      <c r="D5407">
        <v>5.0736819999999998</v>
      </c>
      <c r="E5407">
        <v>0.51648530000000004</v>
      </c>
      <c r="F5407" t="s">
        <v>65</v>
      </c>
      <c r="G5407">
        <v>-255.39089999999999</v>
      </c>
      <c r="H5407" s="1">
        <v>-2.0519269999999999E-6</v>
      </c>
      <c r="I5407">
        <v>-63.095869999999998</v>
      </c>
      <c r="J5407">
        <v>-271.3544</v>
      </c>
      <c r="K5407">
        <v>1.1160699999999999</v>
      </c>
      <c r="L5407">
        <v>-65.423680000000004</v>
      </c>
      <c r="M5407">
        <v>0.99477090000000001</v>
      </c>
      <c r="N5407">
        <v>0</v>
      </c>
      <c r="O5407">
        <v>0.10137880000000001</v>
      </c>
      <c r="P5407">
        <v>0.9823518</v>
      </c>
      <c r="Q5407">
        <v>1.14894E-2</v>
      </c>
      <c r="R5407">
        <v>0.18668979999999999</v>
      </c>
      <c r="S5407">
        <v>2.973938</v>
      </c>
      <c r="T5407">
        <v>-0.2057842</v>
      </c>
      <c r="U5407">
        <v>0.4327087</v>
      </c>
      <c r="V5407">
        <v>-8.6495760000000005E-2</v>
      </c>
      <c r="W5407">
        <v>2.2459349999999999E-2</v>
      </c>
      <c r="X5407">
        <v>0.99599899999999997</v>
      </c>
      <c r="Y5407">
        <v>-4.3047540000000002E-2</v>
      </c>
      <c r="Z5407">
        <v>-5.469036E-3</v>
      </c>
      <c r="AA5407">
        <v>0.99905809999999995</v>
      </c>
      <c r="AB5407">
        <v>34</v>
      </c>
      <c r="AC5407">
        <v>15.9635</v>
      </c>
      <c r="AD5407">
        <v>-1.116072051927</v>
      </c>
      <c r="AE5407">
        <v>2.3278099999999999</v>
      </c>
      <c r="AF5407">
        <v>-0.69400892922887403</v>
      </c>
      <c r="AG5407">
        <v>-1.116072051927</v>
      </c>
      <c r="AH5407">
        <v>16.040477593803299</v>
      </c>
      <c r="AI5407">
        <v>93.976430532978</v>
      </c>
      <c r="AJ5407">
        <v>92.477419900807107</v>
      </c>
      <c r="AK5407">
        <v>16.094228364735201</v>
      </c>
      <c r="AL5407">
        <v>88.713065791681601</v>
      </c>
      <c r="AM5407">
        <v>94.963297656153102</v>
      </c>
      <c r="AN5407">
        <v>0.99999997345069902</v>
      </c>
    </row>
    <row r="5408" spans="1:40" x14ac:dyDescent="0.25">
      <c r="A5408" t="str">
        <f>"20190312151425029"</f>
        <v>20190312151425029</v>
      </c>
      <c r="B5408" t="str">
        <f>"1552374865026088"</f>
        <v>1552374865026088</v>
      </c>
      <c r="C5408" t="s">
        <v>40</v>
      </c>
      <c r="D5408">
        <v>5.0820999999999996</v>
      </c>
      <c r="E5408">
        <v>0.51664869999999996</v>
      </c>
      <c r="F5408" t="s">
        <v>65</v>
      </c>
      <c r="G5408">
        <v>-255.37809999999999</v>
      </c>
      <c r="H5408" s="1">
        <v>-2.049746E-6</v>
      </c>
      <c r="I5408">
        <v>-63.110700000000001</v>
      </c>
      <c r="J5408">
        <v>-271.2</v>
      </c>
      <c r="K5408">
        <v>1.115896</v>
      </c>
      <c r="L5408">
        <v>-65.40558</v>
      </c>
      <c r="M5408">
        <v>0.99448599999999998</v>
      </c>
      <c r="N5408">
        <v>0</v>
      </c>
      <c r="O5408">
        <v>0.1041382</v>
      </c>
      <c r="P5408">
        <v>0.98234589999999999</v>
      </c>
      <c r="Q5408">
        <v>1.1623E-2</v>
      </c>
      <c r="R5408">
        <v>0.1867115</v>
      </c>
      <c r="S5408">
        <v>2.9744869999999999</v>
      </c>
      <c r="T5408">
        <v>-0.2077917</v>
      </c>
      <c r="U5408">
        <v>0.4306335</v>
      </c>
      <c r="V5408">
        <v>-8.3745710000000001E-2</v>
      </c>
      <c r="W5408">
        <v>2.2654810000000001E-2</v>
      </c>
      <c r="X5408">
        <v>0.99622960000000005</v>
      </c>
      <c r="Y5408">
        <v>-3.9584040000000001E-2</v>
      </c>
      <c r="Z5408">
        <v>-5.8318729999999996E-3</v>
      </c>
      <c r="AA5408">
        <v>0.99919919999999995</v>
      </c>
      <c r="AB5408">
        <v>34</v>
      </c>
      <c r="AC5408">
        <v>15.821899999999999</v>
      </c>
      <c r="AD5408">
        <v>-1.115898049746</v>
      </c>
      <c r="AE5408">
        <v>2.2948799999999898</v>
      </c>
      <c r="AF5408">
        <v>-0.63153363234178195</v>
      </c>
      <c r="AG5408">
        <v>-1.115898049746</v>
      </c>
      <c r="AH5408">
        <v>15.8974143874966</v>
      </c>
      <c r="AI5408">
        <v>94.012061677784104</v>
      </c>
      <c r="AJ5408">
        <v>92.2749105316297</v>
      </c>
      <c r="AK5408">
        <v>15.9490390743138</v>
      </c>
      <c r="AL5408">
        <v>88.701863942707902</v>
      </c>
      <c r="AM5408">
        <v>94.805138321768496</v>
      </c>
      <c r="AN5408">
        <v>1.00000000013785</v>
      </c>
    </row>
    <row r="5409" spans="1:40" x14ac:dyDescent="0.25">
      <c r="A5409" t="str">
        <f>"20190312151425041"</f>
        <v>20190312151425041</v>
      </c>
      <c r="B5409" t="str">
        <f>"1552374865035848"</f>
        <v>1552374865035848</v>
      </c>
      <c r="C5409" t="s">
        <v>40</v>
      </c>
      <c r="D5409">
        <v>5.8673440000000001</v>
      </c>
      <c r="E5409">
        <v>0.51679710000000001</v>
      </c>
      <c r="F5409" t="s">
        <v>65</v>
      </c>
      <c r="G5409">
        <v>-255.34270000000001</v>
      </c>
      <c r="H5409" s="1">
        <v>-2.0359860000000001E-6</v>
      </c>
      <c r="I5409">
        <v>-63.117069999999998</v>
      </c>
      <c r="J5409">
        <v>-271.0222</v>
      </c>
      <c r="K5409">
        <v>1.115694</v>
      </c>
      <c r="L5409">
        <v>-65.384339999999995</v>
      </c>
      <c r="M5409">
        <v>0.99416260000000001</v>
      </c>
      <c r="N5409">
        <v>0</v>
      </c>
      <c r="O5409">
        <v>0.1071853</v>
      </c>
      <c r="P5409">
        <v>0.98226519999999995</v>
      </c>
      <c r="Q5409">
        <v>1.180694E-2</v>
      </c>
      <c r="R5409">
        <v>0.18712519999999999</v>
      </c>
      <c r="S5409">
        <v>2.9747919999999999</v>
      </c>
      <c r="T5409">
        <v>-0.20934079999999999</v>
      </c>
      <c r="U5409">
        <v>0.42932130000000002</v>
      </c>
      <c r="V5409">
        <v>-8.1103739999999994E-2</v>
      </c>
      <c r="W5409">
        <v>2.2898410000000001E-2</v>
      </c>
      <c r="X5409">
        <v>0.99644259999999996</v>
      </c>
      <c r="Y5409">
        <v>-3.6093460000000001E-2</v>
      </c>
      <c r="Z5409">
        <v>-6.208285E-3</v>
      </c>
      <c r="AA5409">
        <v>0.99932909999999997</v>
      </c>
      <c r="AB5409">
        <v>34</v>
      </c>
      <c r="AC5409">
        <v>15.6794999999999</v>
      </c>
      <c r="AD5409">
        <v>-1.115696035986</v>
      </c>
      <c r="AE5409">
        <v>2.2672700000000101</v>
      </c>
      <c r="AF5409">
        <v>-0.57063663518713004</v>
      </c>
      <c r="AG5409">
        <v>-1.115696035986</v>
      </c>
      <c r="AH5409">
        <v>15.7540614080448</v>
      </c>
      <c r="AI5409">
        <v>94.048253897907401</v>
      </c>
      <c r="AJ5409">
        <v>92.074435447043797</v>
      </c>
      <c r="AK5409">
        <v>15.803824051873599</v>
      </c>
      <c r="AL5409">
        <v>88.687903074717497</v>
      </c>
      <c r="AM5409">
        <v>94.653234314686202</v>
      </c>
      <c r="AN5409">
        <v>1.0000000044586299</v>
      </c>
    </row>
    <row r="5410" spans="1:40" x14ac:dyDescent="0.25">
      <c r="A5410" t="str">
        <f>"20190312151425053"</f>
        <v>20190312151425053</v>
      </c>
      <c r="B5410" t="str">
        <f>"1552374865045608"</f>
        <v>1552374865045608</v>
      </c>
      <c r="C5410" t="s">
        <v>40</v>
      </c>
      <c r="D5410">
        <v>5.1429519999999904</v>
      </c>
      <c r="E5410">
        <v>0.51695000000000002</v>
      </c>
      <c r="F5410" t="s">
        <v>65</v>
      </c>
      <c r="G5410">
        <v>-255.041</v>
      </c>
      <c r="H5410" s="1">
        <v>-1.8978770000000001E-6</v>
      </c>
      <c r="I5410">
        <v>-63.078110000000002</v>
      </c>
      <c r="J5410">
        <v>-270.85270000000003</v>
      </c>
      <c r="K5410">
        <v>1.115502</v>
      </c>
      <c r="L5410">
        <v>-65.363529999999997</v>
      </c>
      <c r="M5410">
        <v>0.9938591</v>
      </c>
      <c r="N5410">
        <v>0</v>
      </c>
      <c r="O5410">
        <v>0.1099667</v>
      </c>
      <c r="P5410">
        <v>0.98230740000000005</v>
      </c>
      <c r="Q5410">
        <v>1.209084E-2</v>
      </c>
      <c r="R5410">
        <v>0.18688540000000001</v>
      </c>
      <c r="S5410">
        <v>2.9748230000000002</v>
      </c>
      <c r="T5410">
        <v>-0.20768049999999999</v>
      </c>
      <c r="U5410">
        <v>0.42929079999999997</v>
      </c>
      <c r="V5410">
        <v>-7.8064699999999904E-2</v>
      </c>
      <c r="W5410">
        <v>2.3245450000000001E-2</v>
      </c>
      <c r="X5410">
        <v>0.99667729999999999</v>
      </c>
      <c r="Y5410">
        <v>-3.3295970000000001E-2</v>
      </c>
      <c r="Z5410">
        <v>-6.4474850000000002E-3</v>
      </c>
      <c r="AA5410">
        <v>0.9994248</v>
      </c>
      <c r="AB5410">
        <v>34</v>
      </c>
      <c r="AC5410">
        <v>15.8117</v>
      </c>
      <c r="AD5410">
        <v>-1.115503897877</v>
      </c>
      <c r="AE5410">
        <v>2.28542000000001</v>
      </c>
      <c r="AF5410">
        <v>-0.53008099427265698</v>
      </c>
      <c r="AG5410">
        <v>-1.115503897877</v>
      </c>
      <c r="AH5410">
        <v>15.889663307132899</v>
      </c>
      <c r="AI5410">
        <v>94.013528398155003</v>
      </c>
      <c r="AJ5410">
        <v>91.910685201541696</v>
      </c>
      <c r="AK5410">
        <v>15.9375887392263</v>
      </c>
      <c r="AL5410">
        <v>88.668013906146598</v>
      </c>
      <c r="AM5410">
        <v>94.478545693890098</v>
      </c>
      <c r="AN5410">
        <v>1.00000004433354</v>
      </c>
    </row>
    <row r="5411" spans="1:40" x14ac:dyDescent="0.25">
      <c r="A5411" t="str">
        <f>"20190312151425065"</f>
        <v>20190312151425065</v>
      </c>
      <c r="B5411" t="str">
        <f>"1552374865056344"</f>
        <v>1552374865056344</v>
      </c>
      <c r="C5411" t="s">
        <v>40</v>
      </c>
      <c r="D5411">
        <v>5.3532229999999998</v>
      </c>
      <c r="E5411">
        <v>0.51713169999999997</v>
      </c>
      <c r="F5411" t="s">
        <v>65</v>
      </c>
      <c r="G5411">
        <v>-254.78049999999999</v>
      </c>
      <c r="H5411" s="1">
        <v>-1.781047E-6</v>
      </c>
      <c r="I5411">
        <v>-63.055230000000002</v>
      </c>
      <c r="J5411">
        <v>-270.66969999999998</v>
      </c>
      <c r="K5411">
        <v>1.115297</v>
      </c>
      <c r="L5411">
        <v>-65.340819999999994</v>
      </c>
      <c r="M5411">
        <v>0.99353190000000002</v>
      </c>
      <c r="N5411">
        <v>0</v>
      </c>
      <c r="O5411">
        <v>0.1128875</v>
      </c>
      <c r="P5411">
        <v>0.9822611</v>
      </c>
      <c r="Q5411">
        <v>1.2811380000000001E-2</v>
      </c>
      <c r="R5411">
        <v>0.18708130000000001</v>
      </c>
      <c r="S5411">
        <v>2.97525</v>
      </c>
      <c r="T5411">
        <v>-0.2065003</v>
      </c>
      <c r="U5411">
        <v>0.4273071</v>
      </c>
      <c r="V5411">
        <v>-7.5331739999999994E-2</v>
      </c>
      <c r="W5411">
        <v>2.4022959999999999E-2</v>
      </c>
      <c r="X5411">
        <v>0.99686909999999895</v>
      </c>
      <c r="Y5411">
        <v>-2.9698080000000002E-2</v>
      </c>
      <c r="Z5411">
        <v>-6.7341889999999998E-3</v>
      </c>
      <c r="AA5411">
        <v>0.99953619999999999</v>
      </c>
      <c r="AB5411">
        <v>34</v>
      </c>
      <c r="AC5411">
        <v>15.889199999999899</v>
      </c>
      <c r="AD5411">
        <v>-1.1152987810470001</v>
      </c>
      <c r="AE5411">
        <v>2.2855899999999898</v>
      </c>
      <c r="AF5411">
        <v>-0.47485830731304302</v>
      </c>
      <c r="AG5411">
        <v>-1.1152987810470001</v>
      </c>
      <c r="AH5411">
        <v>15.9685698470365</v>
      </c>
      <c r="AI5411">
        <v>93.993482940949903</v>
      </c>
      <c r="AJ5411">
        <v>91.703306033489696</v>
      </c>
      <c r="AK5411">
        <v>16.014512316730499</v>
      </c>
      <c r="AL5411">
        <v>88.623453341101296</v>
      </c>
      <c r="AM5411">
        <v>94.321533114914899</v>
      </c>
      <c r="AN5411">
        <v>0.99999998809669899</v>
      </c>
    </row>
    <row r="5412" spans="1:40" x14ac:dyDescent="0.25">
      <c r="A5412" t="str">
        <f>"20190312151425086"</f>
        <v>20190312151425086</v>
      </c>
      <c r="B5412" t="str">
        <f>"1552374865075863"</f>
        <v>1552374865075863</v>
      </c>
      <c r="C5412" t="s">
        <v>40</v>
      </c>
      <c r="D5412">
        <v>8.2732709999999994</v>
      </c>
      <c r="E5412">
        <v>0.51753590000000005</v>
      </c>
      <c r="F5412" t="s">
        <v>65</v>
      </c>
      <c r="G5412">
        <v>-254.3168</v>
      </c>
      <c r="H5412" s="1">
        <v>-1.569239E-6</v>
      </c>
      <c r="I5412">
        <v>-62.997219999999999</v>
      </c>
      <c r="J5412">
        <v>-270.35520000000002</v>
      </c>
      <c r="K5412">
        <v>1.1149519999999999</v>
      </c>
      <c r="L5412">
        <v>-65.300600000000003</v>
      </c>
      <c r="M5412">
        <v>0.99299170000000003</v>
      </c>
      <c r="N5412">
        <v>0</v>
      </c>
      <c r="O5412">
        <v>0.1175477</v>
      </c>
      <c r="P5412">
        <v>0.98243550000000002</v>
      </c>
      <c r="Q5412">
        <v>1.405668E-2</v>
      </c>
      <c r="R5412">
        <v>0.1860735</v>
      </c>
      <c r="S5412">
        <v>2.9756469999999999</v>
      </c>
      <c r="T5412">
        <v>-0.20294490000000001</v>
      </c>
      <c r="U5412">
        <v>0.42645260000000001</v>
      </c>
      <c r="V5412">
        <v>-6.9626930000000004E-2</v>
      </c>
      <c r="W5412">
        <v>2.5375330000000001E-2</v>
      </c>
      <c r="X5412">
        <v>0.99725030000000003</v>
      </c>
      <c r="Y5412">
        <v>-2.472311E-2</v>
      </c>
      <c r="Z5412">
        <v>-7.0993949999999997E-3</v>
      </c>
      <c r="AA5412">
        <v>0.99966909999999998</v>
      </c>
      <c r="AB5412">
        <v>34</v>
      </c>
      <c r="AC5412">
        <v>16.038399999999999</v>
      </c>
      <c r="AD5412">
        <v>-1.114953569239</v>
      </c>
      <c r="AE5412">
        <v>2.3033800000000002</v>
      </c>
      <c r="AF5412">
        <v>-0.40009586937054797</v>
      </c>
      <c r="AG5412">
        <v>-1.114953569239</v>
      </c>
      <c r="AH5412">
        <v>16.121633362325301</v>
      </c>
      <c r="AI5412">
        <v>93.954996718714796</v>
      </c>
      <c r="AJ5412">
        <v>91.421636361734997</v>
      </c>
      <c r="AK5412">
        <v>16.165093888854699</v>
      </c>
      <c r="AL5412">
        <v>88.5459445963196</v>
      </c>
      <c r="AM5412">
        <v>93.993847771274403</v>
      </c>
      <c r="AN5412">
        <v>0.99999998880196095</v>
      </c>
    </row>
    <row r="5413" spans="1:40" x14ac:dyDescent="0.25">
      <c r="A5413" t="str">
        <f>"20190312151425096"</f>
        <v>20190312151425096</v>
      </c>
      <c r="B5413" t="str">
        <f>"1552374865085624"</f>
        <v>1552374865085624</v>
      </c>
      <c r="C5413" t="s">
        <v>40</v>
      </c>
      <c r="D5413">
        <v>5.0975010000000003</v>
      </c>
      <c r="E5413">
        <v>0.51772390000000001</v>
      </c>
      <c r="F5413" t="s">
        <v>65</v>
      </c>
      <c r="G5413">
        <v>-253.64449999999999</v>
      </c>
      <c r="H5413" s="1">
        <v>-1.268515E-6</v>
      </c>
      <c r="I5413">
        <v>-62.942010000000003</v>
      </c>
      <c r="J5413">
        <v>-270.19159999999999</v>
      </c>
      <c r="K5413">
        <v>1.1147659999999999</v>
      </c>
      <c r="L5413">
        <v>-65.279079999999993</v>
      </c>
      <c r="M5413">
        <v>0.99272570000000004</v>
      </c>
      <c r="N5413">
        <v>0</v>
      </c>
      <c r="O5413">
        <v>0.11977500000000001</v>
      </c>
      <c r="P5413">
        <v>0.98249580000000003</v>
      </c>
      <c r="Q5413">
        <v>1.5002089999999999E-2</v>
      </c>
      <c r="R5413">
        <v>0.1856795</v>
      </c>
      <c r="S5413">
        <v>2.9768979999999998</v>
      </c>
      <c r="T5413">
        <v>-0.19862079999999999</v>
      </c>
      <c r="U5413">
        <v>0.42016599999999998</v>
      </c>
      <c r="V5413">
        <v>-6.6990079999999994E-2</v>
      </c>
      <c r="W5413">
        <v>2.6367769999999999E-2</v>
      </c>
      <c r="X5413">
        <v>0.99740519999999999</v>
      </c>
      <c r="Y5413">
        <v>-2.0357219999999999E-2</v>
      </c>
      <c r="Z5413">
        <v>-7.2379439999999996E-3</v>
      </c>
      <c r="AA5413">
        <v>0.99976659999999995</v>
      </c>
      <c r="AB5413">
        <v>34</v>
      </c>
      <c r="AC5413">
        <v>16.5471</v>
      </c>
      <c r="AD5413">
        <v>-1.1147672685150001</v>
      </c>
      <c r="AE5413">
        <v>2.33707000000001</v>
      </c>
      <c r="AF5413">
        <v>-0.33666772558090102</v>
      </c>
      <c r="AG5413">
        <v>-1.1147672685150001</v>
      </c>
      <c r="AH5413">
        <v>16.633885566548201</v>
      </c>
      <c r="AI5413">
        <v>93.833323984493802</v>
      </c>
      <c r="AJ5413">
        <v>91.159500967352898</v>
      </c>
      <c r="AK5413">
        <v>16.674597454254201</v>
      </c>
      <c r="AL5413">
        <v>88.489062994836203</v>
      </c>
      <c r="AM5413">
        <v>93.842463336197</v>
      </c>
      <c r="AN5413">
        <v>1.0000000315501001</v>
      </c>
    </row>
    <row r="5414" spans="1:40" x14ac:dyDescent="0.25">
      <c r="A5414" t="str">
        <f>"20190312151425108"</f>
        <v>20190312151425108</v>
      </c>
      <c r="B5414" t="str">
        <f>"1552374865096360"</f>
        <v>1552374865096360</v>
      </c>
      <c r="C5414" t="s">
        <v>40</v>
      </c>
      <c r="D5414">
        <v>5.1076689999999996</v>
      </c>
      <c r="E5414">
        <v>0.51792629999999995</v>
      </c>
      <c r="F5414" t="s">
        <v>65</v>
      </c>
      <c r="G5414">
        <v>-253.19540000000001</v>
      </c>
      <c r="H5414" s="1">
        <v>-1.065621E-6</v>
      </c>
      <c r="I5414">
        <v>-62.896019999999901</v>
      </c>
      <c r="J5414">
        <v>-270.01940000000002</v>
      </c>
      <c r="K5414">
        <v>1.1145780000000001</v>
      </c>
      <c r="L5414">
        <v>-65.256290000000007</v>
      </c>
      <c r="M5414">
        <v>0.99244489999999996</v>
      </c>
      <c r="N5414">
        <v>0</v>
      </c>
      <c r="O5414">
        <v>0.1220822</v>
      </c>
      <c r="P5414">
        <v>0.98258999999999996</v>
      </c>
      <c r="Q5414">
        <v>1.564459E-2</v>
      </c>
      <c r="R5414">
        <v>0.18512780000000001</v>
      </c>
      <c r="S5414">
        <v>2.977509</v>
      </c>
      <c r="T5414">
        <v>-0.19529179999999999</v>
      </c>
      <c r="U5414">
        <v>0.41748049999999998</v>
      </c>
      <c r="V5414">
        <v>-6.4107430000000007E-2</v>
      </c>
      <c r="W5414">
        <v>2.7059420000000001E-2</v>
      </c>
      <c r="X5414">
        <v>0.99757609999999997</v>
      </c>
      <c r="Y5414">
        <v>-1.7125029999999999E-2</v>
      </c>
      <c r="Z5414">
        <v>-7.3703400000000004E-3</v>
      </c>
      <c r="AA5414">
        <v>0.9998262</v>
      </c>
      <c r="AB5414">
        <v>34</v>
      </c>
      <c r="AC5414">
        <v>16.824000000000002</v>
      </c>
      <c r="AD5414">
        <v>-1.114579065621</v>
      </c>
      <c r="AE5414">
        <v>2.3602700000000101</v>
      </c>
      <c r="AF5414">
        <v>-0.28731183214765199</v>
      </c>
      <c r="AG5414">
        <v>-1.114579065621</v>
      </c>
      <c r="AH5414">
        <v>16.913505822364101</v>
      </c>
      <c r="AI5414">
        <v>93.769727202448195</v>
      </c>
      <c r="AJ5414">
        <v>90.973196947967097</v>
      </c>
      <c r="AK5414">
        <v>16.952625572033298</v>
      </c>
      <c r="AL5414">
        <v>88.4494202119145</v>
      </c>
      <c r="AM5414">
        <v>93.676953916698693</v>
      </c>
      <c r="AN5414">
        <v>1.0000000250415699</v>
      </c>
    </row>
    <row r="5415" spans="1:40" x14ac:dyDescent="0.25">
      <c r="A5415" t="str">
        <f>"20190312151425118"</f>
        <v>20190312151425118</v>
      </c>
      <c r="B5415" t="str">
        <f>"1552374865106120"</f>
        <v>1552374865106120</v>
      </c>
      <c r="C5415" t="s">
        <v>40</v>
      </c>
      <c r="D5415">
        <v>5.1039050000000001</v>
      </c>
      <c r="E5415">
        <v>0.51814890000000002</v>
      </c>
      <c r="F5415" t="s">
        <v>65</v>
      </c>
      <c r="G5415">
        <v>-252.8109</v>
      </c>
      <c r="H5415" s="1">
        <v>-8.9333699999999995E-7</v>
      </c>
      <c r="I5415">
        <v>-62.862879999999997</v>
      </c>
      <c r="J5415">
        <v>-269.86070000000001</v>
      </c>
      <c r="K5415">
        <v>1.1144099999999999</v>
      </c>
      <c r="L5415">
        <v>-65.234889999999993</v>
      </c>
      <c r="M5415">
        <v>0.99219570000000001</v>
      </c>
      <c r="N5415">
        <v>0</v>
      </c>
      <c r="O5415">
        <v>0.12409249999999999</v>
      </c>
      <c r="P5415">
        <v>0.98279229999999995</v>
      </c>
      <c r="Q5415">
        <v>1.6524219999999999E-2</v>
      </c>
      <c r="R5415">
        <v>0.1839742</v>
      </c>
      <c r="S5415">
        <v>2.97818</v>
      </c>
      <c r="T5415">
        <v>-0.1928945</v>
      </c>
      <c r="U5415">
        <v>0.4142151</v>
      </c>
      <c r="V5415">
        <v>-6.0914679999999999E-2</v>
      </c>
      <c r="W5415">
        <v>2.798747E-2</v>
      </c>
      <c r="X5415">
        <v>0.99775049999999998</v>
      </c>
      <c r="Y5415">
        <v>-1.3998210000000001E-2</v>
      </c>
      <c r="Z5415">
        <v>-7.5079439999999999E-3</v>
      </c>
      <c r="AA5415">
        <v>0.99987380000000003</v>
      </c>
      <c r="AB5415">
        <v>34</v>
      </c>
      <c r="AC5415">
        <v>17.049800000000001</v>
      </c>
      <c r="AD5415">
        <v>-1.1144108933370001</v>
      </c>
      <c r="AE5415">
        <v>2.37201</v>
      </c>
      <c r="AF5415">
        <v>-0.23677117101376399</v>
      </c>
      <c r="AG5415">
        <v>-1.1144108933370001</v>
      </c>
      <c r="AH5415">
        <v>17.140529621023799</v>
      </c>
      <c r="AI5415">
        <v>93.719560377690499</v>
      </c>
      <c r="AJ5415">
        <v>90.791406470516193</v>
      </c>
      <c r="AK5415">
        <v>17.178350558648201</v>
      </c>
      <c r="AL5415">
        <v>88.396226636547496</v>
      </c>
      <c r="AM5415">
        <v>93.493686453713906</v>
      </c>
      <c r="AN5415">
        <v>0.99999997848337596</v>
      </c>
    </row>
    <row r="5416" spans="1:40" x14ac:dyDescent="0.25">
      <c r="A5416" t="str">
        <f>"20190312151425129"</f>
        <v>20190312151425129</v>
      </c>
      <c r="B5416" t="str">
        <f>"1552374865125640"</f>
        <v>1552374865125640</v>
      </c>
      <c r="C5416" t="s">
        <v>40</v>
      </c>
      <c r="D5416">
        <v>5.1231470000000003</v>
      </c>
      <c r="E5416">
        <v>0.51859279999999996</v>
      </c>
      <c r="F5416" t="s">
        <v>65</v>
      </c>
      <c r="G5416">
        <v>-252.3837</v>
      </c>
      <c r="H5416" s="1">
        <v>-7.0400740000000001E-7</v>
      </c>
      <c r="I5416">
        <v>-62.835740000000001</v>
      </c>
      <c r="J5416">
        <v>-269.69479999999999</v>
      </c>
      <c r="K5416">
        <v>1.1142379999999901</v>
      </c>
      <c r="L5416">
        <v>-65.212339999999998</v>
      </c>
      <c r="M5416">
        <v>0.99193900000000002</v>
      </c>
      <c r="N5416">
        <v>0</v>
      </c>
      <c r="O5416">
        <v>0.126130399999999</v>
      </c>
      <c r="P5416">
        <v>0.98292639999999998</v>
      </c>
      <c r="Q5416">
        <v>1.6936690000000001E-2</v>
      </c>
      <c r="R5416">
        <v>0.18321879999999999</v>
      </c>
      <c r="S5416">
        <v>2.979187</v>
      </c>
      <c r="T5416">
        <v>-0.18996540000000001</v>
      </c>
      <c r="U5416">
        <v>0.4089661</v>
      </c>
      <c r="V5416">
        <v>-5.8090509999999998E-2</v>
      </c>
      <c r="W5416">
        <v>2.8442189999999999E-2</v>
      </c>
      <c r="X5416">
        <v>0.99790610000000002</v>
      </c>
      <c r="Y5416">
        <v>-1.0174030000000001E-2</v>
      </c>
      <c r="Z5416">
        <v>-7.6419280000000001E-3</v>
      </c>
      <c r="AA5416">
        <v>0.99991909999999895</v>
      </c>
      <c r="AB5416">
        <v>34</v>
      </c>
      <c r="AC5416">
        <v>17.3110999999999</v>
      </c>
      <c r="AD5416">
        <v>-1.11423870400739</v>
      </c>
      <c r="AE5416">
        <v>2.3765999999999901</v>
      </c>
      <c r="AF5416">
        <v>-0.173294484036734</v>
      </c>
      <c r="AG5416">
        <v>-1.11423870400739</v>
      </c>
      <c r="AH5416">
        <v>17.4018501181109</v>
      </c>
      <c r="AI5416">
        <v>93.663460513015906</v>
      </c>
      <c r="AJ5416">
        <v>90.570555100783096</v>
      </c>
      <c r="AK5416">
        <v>17.438347008845199</v>
      </c>
      <c r="AL5416">
        <v>88.3701627981862</v>
      </c>
      <c r="AM5416">
        <v>93.331565077470202</v>
      </c>
      <c r="AN5416">
        <v>1.00000002497063</v>
      </c>
    </row>
    <row r="5417" spans="1:40" x14ac:dyDescent="0.25">
      <c r="A5417" t="str">
        <f>"20190312151425142"</f>
        <v>20190312151425142</v>
      </c>
      <c r="B5417" t="str">
        <f>"1552374865136376"</f>
        <v>1552374865136376</v>
      </c>
      <c r="C5417" t="s">
        <v>40</v>
      </c>
      <c r="D5417">
        <v>5.0993599999999999</v>
      </c>
      <c r="E5417">
        <v>0.51882329999999999</v>
      </c>
      <c r="F5417" t="s">
        <v>65</v>
      </c>
      <c r="G5417">
        <v>-252.22300000000001</v>
      </c>
      <c r="H5417" s="1">
        <v>-6.381193E-7</v>
      </c>
      <c r="I5417">
        <v>-62.84948</v>
      </c>
      <c r="J5417">
        <v>-269.50920000000002</v>
      </c>
      <c r="K5417">
        <v>1.1140399999999999</v>
      </c>
      <c r="L5417">
        <v>-65.18674</v>
      </c>
      <c r="M5417">
        <v>0.99166209999999999</v>
      </c>
      <c r="N5417">
        <v>0</v>
      </c>
      <c r="O5417">
        <v>0.12829119999999999</v>
      </c>
      <c r="P5417">
        <v>0.98290120000000003</v>
      </c>
      <c r="Q5417">
        <v>1.764278E-2</v>
      </c>
      <c r="R5417">
        <v>0.1832869</v>
      </c>
      <c r="S5417">
        <v>2.9802550000000001</v>
      </c>
      <c r="T5417">
        <v>-0.19006149999999999</v>
      </c>
      <c r="U5417">
        <v>0.40304570000000001</v>
      </c>
      <c r="V5417">
        <v>-5.5980269999999999E-2</v>
      </c>
      <c r="W5417">
        <v>2.9180979999999999E-2</v>
      </c>
      <c r="X5417">
        <v>0.99800529999999998</v>
      </c>
      <c r="Y5417">
        <v>-6.0096480000000002E-3</v>
      </c>
      <c r="Z5417">
        <v>-7.9120200000000005E-3</v>
      </c>
      <c r="AA5417">
        <v>0.99995060000000002</v>
      </c>
      <c r="AB5417">
        <v>34</v>
      </c>
      <c r="AC5417">
        <v>17.286200000000001</v>
      </c>
      <c r="AD5417">
        <v>-1.1140406381193</v>
      </c>
      <c r="AE5417">
        <v>2.3372599999999899</v>
      </c>
      <c r="AF5417">
        <v>-9.9705527918019607E-2</v>
      </c>
      <c r="AG5417">
        <v>-1.1140406381193</v>
      </c>
      <c r="AH5417">
        <v>17.372348281730002</v>
      </c>
      <c r="AI5417">
        <v>93.669135467799094</v>
      </c>
      <c r="AJ5417">
        <v>90.328835407120906</v>
      </c>
      <c r="AK5417">
        <v>17.4083173384853</v>
      </c>
      <c r="AL5417">
        <v>88.327815543155594</v>
      </c>
      <c r="AM5417">
        <v>93.210479605570896</v>
      </c>
      <c r="AN5417">
        <v>0.99999994952556004</v>
      </c>
    </row>
    <row r="5418" spans="1:40" x14ac:dyDescent="0.25">
      <c r="A5418" t="str">
        <f>"20190312151425152"</f>
        <v>20190312151425152</v>
      </c>
      <c r="B5418" t="str">
        <f>"1552374865146136"</f>
        <v>1552374865146136</v>
      </c>
      <c r="C5418" t="s">
        <v>40</v>
      </c>
      <c r="D5418">
        <v>5.1081580000000004</v>
      </c>
      <c r="E5418">
        <v>0.51902309999999996</v>
      </c>
      <c r="F5418" t="s">
        <v>65</v>
      </c>
      <c r="G5418">
        <v>-251.98580000000001</v>
      </c>
      <c r="H5418" s="1">
        <v>-5.3139369999999896E-7</v>
      </c>
      <c r="I5418">
        <v>-62.827150000000003</v>
      </c>
      <c r="J5418">
        <v>-269.35210000000001</v>
      </c>
      <c r="K5418">
        <v>1.1138760000000001</v>
      </c>
      <c r="L5418">
        <v>-65.164789999999996</v>
      </c>
      <c r="M5418">
        <v>0.99143879999999995</v>
      </c>
      <c r="N5418">
        <v>0</v>
      </c>
      <c r="O5418">
        <v>0.1300065</v>
      </c>
      <c r="P5418">
        <v>0.98333429999999999</v>
      </c>
      <c r="Q5418">
        <v>1.841686E-2</v>
      </c>
      <c r="R5418">
        <v>0.18087149999999999</v>
      </c>
      <c r="S5418">
        <v>2.9807429999999999</v>
      </c>
      <c r="T5418">
        <v>-0.18949930000000001</v>
      </c>
      <c r="U5418">
        <v>0.40136719999999998</v>
      </c>
      <c r="V5418">
        <v>-5.1797870000000003E-2</v>
      </c>
      <c r="W5418">
        <v>3.0007929999999999E-2</v>
      </c>
      <c r="X5418">
        <v>0.99820660000000005</v>
      </c>
      <c r="Y5418">
        <v>-3.7113509999999999E-3</v>
      </c>
      <c r="Z5418">
        <v>-8.0677170000000003E-3</v>
      </c>
      <c r="AA5418">
        <v>0.99996050000000003</v>
      </c>
      <c r="AB5418">
        <v>34</v>
      </c>
      <c r="AC5418">
        <v>17.366299999999899</v>
      </c>
      <c r="AD5418">
        <v>-1.1138765313937</v>
      </c>
      <c r="AE5418">
        <v>2.3376399999999902</v>
      </c>
      <c r="AF5418">
        <v>-5.96584663923867E-2</v>
      </c>
      <c r="AG5418">
        <v>-1.1138765313937</v>
      </c>
      <c r="AH5418">
        <v>17.4523034335933</v>
      </c>
      <c r="AI5418">
        <v>93.6518736073252</v>
      </c>
      <c r="AJ5418">
        <v>90.195857528806798</v>
      </c>
      <c r="AK5418">
        <v>17.487915118676</v>
      </c>
      <c r="AL5418">
        <v>88.280414042809198</v>
      </c>
      <c r="AM5418">
        <v>92.970467102959006</v>
      </c>
      <c r="AN5418">
        <v>0.99999995574149003</v>
      </c>
    </row>
    <row r="5419" spans="1:40" x14ac:dyDescent="0.25">
      <c r="A5419" t="str">
        <f>"20190312151425163"</f>
        <v>20190312151425163</v>
      </c>
      <c r="B5419" t="str">
        <f>"1552374865155897"</f>
        <v>1552374865155897</v>
      </c>
      <c r="C5419" t="s">
        <v>40</v>
      </c>
      <c r="D5419">
        <v>5.0783329999999998</v>
      </c>
      <c r="E5419">
        <v>0.51920519999999903</v>
      </c>
      <c r="F5419" t="s">
        <v>65</v>
      </c>
      <c r="G5419">
        <v>-251.75989999999999</v>
      </c>
      <c r="H5419" s="1">
        <v>-4.3967049999999998E-7</v>
      </c>
      <c r="I5419">
        <v>-62.8504199999999</v>
      </c>
      <c r="J5419">
        <v>-269.18759999999997</v>
      </c>
      <c r="K5419">
        <v>1.1137030000000001</v>
      </c>
      <c r="L5419">
        <v>-65.141660000000002</v>
      </c>
      <c r="M5419">
        <v>0.99120960000000002</v>
      </c>
      <c r="N5419">
        <v>0</v>
      </c>
      <c r="O5419">
        <v>0.1317448</v>
      </c>
      <c r="P5419">
        <v>0.98360590000000003</v>
      </c>
      <c r="Q5419">
        <v>1.886695E-2</v>
      </c>
      <c r="R5419">
        <v>0.179342</v>
      </c>
      <c r="S5419">
        <v>2.9822389999999999</v>
      </c>
      <c r="T5419">
        <v>-0.18882499999999999</v>
      </c>
      <c r="U5419">
        <v>0.39233400000000002</v>
      </c>
      <c r="V5419">
        <v>-4.8485939999999998E-2</v>
      </c>
      <c r="W5419">
        <v>3.0498850000000001E-2</v>
      </c>
      <c r="X5419">
        <v>0.99835810000000003</v>
      </c>
      <c r="Y5419">
        <v>1.0738189999999999E-3</v>
      </c>
      <c r="Z5419">
        <v>-8.2960759999999995E-3</v>
      </c>
      <c r="AA5419">
        <v>0.99996499999999999</v>
      </c>
      <c r="AB5419">
        <v>34</v>
      </c>
      <c r="AC5419">
        <v>17.427699999999898</v>
      </c>
      <c r="AD5419">
        <v>-1.1137034396704999</v>
      </c>
      <c r="AE5419">
        <v>2.2912400000000002</v>
      </c>
      <c r="AF5419">
        <v>2.48119917863092E-2</v>
      </c>
      <c r="AG5419">
        <v>-1.1137034396704999</v>
      </c>
      <c r="AH5419">
        <v>17.507372150028601</v>
      </c>
      <c r="AI5419">
        <v>93.639871106784298</v>
      </c>
      <c r="AJ5419">
        <v>89.918798695390095</v>
      </c>
      <c r="AK5419">
        <v>17.542777162868699</v>
      </c>
      <c r="AL5419">
        <v>88.252273560411993</v>
      </c>
      <c r="AM5419">
        <v>92.780423873156906</v>
      </c>
      <c r="AN5419">
        <v>0.99999998103230703</v>
      </c>
    </row>
    <row r="5420" spans="1:40" x14ac:dyDescent="0.25">
      <c r="A5420" t="str">
        <f>"20190312151425175"</f>
        <v>20190312151425175</v>
      </c>
      <c r="B5420" t="str">
        <f>"1552374865165656"</f>
        <v>1552374865165656</v>
      </c>
      <c r="C5420" t="s">
        <v>40</v>
      </c>
      <c r="D5420">
        <v>5.3659540000000003</v>
      </c>
      <c r="E5420">
        <v>0.51935679999999995</v>
      </c>
      <c r="F5420" t="s">
        <v>65</v>
      </c>
      <c r="G5420">
        <v>-251.6336</v>
      </c>
      <c r="H5420" s="1">
        <v>-3.8968389999999999E-7</v>
      </c>
      <c r="I5420">
        <v>-62.869340000000001</v>
      </c>
      <c r="J5420">
        <v>-269.0172</v>
      </c>
      <c r="K5420">
        <v>1.113521</v>
      </c>
      <c r="L5420">
        <v>-65.117400000000004</v>
      </c>
      <c r="M5420">
        <v>0.99098940000000002</v>
      </c>
      <c r="N5420">
        <v>0</v>
      </c>
      <c r="O5420">
        <v>0.13339200000000001</v>
      </c>
      <c r="P5420">
        <v>0.98389990000000005</v>
      </c>
      <c r="Q5420">
        <v>1.9338879999999999E-2</v>
      </c>
      <c r="R5420">
        <v>0.17767140000000001</v>
      </c>
      <c r="S5420">
        <v>2.983215</v>
      </c>
      <c r="T5420">
        <v>-0.1892684</v>
      </c>
      <c r="U5420">
        <v>0.3861694</v>
      </c>
      <c r="V5420">
        <v>-4.512211E-2</v>
      </c>
      <c r="W5420">
        <v>3.1009769999999999E-2</v>
      </c>
      <c r="X5420">
        <v>0.99850000000000005</v>
      </c>
      <c r="Y5420">
        <v>4.7981819999999998E-3</v>
      </c>
      <c r="Z5420">
        <v>-8.5345839999999996E-3</v>
      </c>
      <c r="AA5420">
        <v>0.99995210000000001</v>
      </c>
      <c r="AB5420">
        <v>34</v>
      </c>
      <c r="AC5420">
        <v>17.383600000000001</v>
      </c>
      <c r="AD5420">
        <v>-1.11352138968389</v>
      </c>
      <c r="AE5420">
        <v>2.2480600000000002</v>
      </c>
      <c r="AF5420">
        <v>9.0670298495795804E-2</v>
      </c>
      <c r="AG5420">
        <v>-1.11352138968389</v>
      </c>
      <c r="AH5420">
        <v>17.4576680369596</v>
      </c>
      <c r="AI5420">
        <v>93.649565788394895</v>
      </c>
      <c r="AJ5420">
        <v>89.702424246512606</v>
      </c>
      <c r="AK5420">
        <v>17.4933794412913</v>
      </c>
      <c r="AL5420">
        <v>88.222986056029299</v>
      </c>
      <c r="AM5420">
        <v>92.587429922729001</v>
      </c>
      <c r="AN5420">
        <v>0.99999993032315004</v>
      </c>
    </row>
    <row r="5421" spans="1:40" x14ac:dyDescent="0.25">
      <c r="A5421" t="str">
        <f>"20190312151425186"</f>
        <v>20190312151425186</v>
      </c>
      <c r="B5421" t="str">
        <f>"1552374865175501"</f>
        <v>1552374865175501</v>
      </c>
      <c r="C5421" t="s">
        <v>40</v>
      </c>
      <c r="D5421">
        <v>5.1602300000000003</v>
      </c>
      <c r="E5421">
        <v>0.51949420000000002</v>
      </c>
      <c r="F5421" t="s">
        <v>65</v>
      </c>
      <c r="G5421">
        <v>-251.3254</v>
      </c>
      <c r="H5421" s="1">
        <v>-2.5663780000000001E-7</v>
      </c>
      <c r="I5421">
        <v>-62.865600000000001</v>
      </c>
      <c r="J5421">
        <v>-268.84930000000003</v>
      </c>
      <c r="K5421">
        <v>1.113335</v>
      </c>
      <c r="L5421">
        <v>-65.093379999999996</v>
      </c>
      <c r="M5421">
        <v>0.99077530000000003</v>
      </c>
      <c r="N5421">
        <v>0</v>
      </c>
      <c r="O5421">
        <v>0.1349754</v>
      </c>
      <c r="P5421">
        <v>0.98420240000000003</v>
      </c>
      <c r="Q5421">
        <v>1.9839869999999999E-2</v>
      </c>
      <c r="R5421">
        <v>0.17593310000000001</v>
      </c>
      <c r="S5421">
        <v>2.9841609999999998</v>
      </c>
      <c r="T5421">
        <v>-0.18782260000000001</v>
      </c>
      <c r="U5421">
        <v>0.37982179999999999</v>
      </c>
      <c r="V5421">
        <v>-4.1752589999999999E-2</v>
      </c>
      <c r="W5421">
        <v>3.1547390000000002E-2</v>
      </c>
      <c r="X5421">
        <v>0.99862980000000001</v>
      </c>
      <c r="Y5421">
        <v>8.5229309999999992E-3</v>
      </c>
      <c r="Z5421">
        <v>-8.6829960000000001E-3</v>
      </c>
      <c r="AA5421">
        <v>0.99992599999999998</v>
      </c>
      <c r="AB5421">
        <v>34</v>
      </c>
      <c r="AC5421">
        <v>17.523900000000001</v>
      </c>
      <c r="AD5421">
        <v>-1.1133352566378001</v>
      </c>
      <c r="AE5421">
        <v>2.2277800000000099</v>
      </c>
      <c r="AF5421">
        <v>0.15745212374047601</v>
      </c>
      <c r="AG5421">
        <v>-1.1133352566378001</v>
      </c>
      <c r="AH5421">
        <v>17.594344143174801</v>
      </c>
      <c r="AI5421">
        <v>93.620591423755698</v>
      </c>
      <c r="AJ5421">
        <v>89.487272655388594</v>
      </c>
      <c r="AK5421">
        <v>17.630236878539499</v>
      </c>
      <c r="AL5421">
        <v>88.1921677378472</v>
      </c>
      <c r="AM5421">
        <v>92.394135159689398</v>
      </c>
      <c r="AN5421">
        <v>0.99999999701777997</v>
      </c>
    </row>
    <row r="5422" spans="1:40" x14ac:dyDescent="0.25">
      <c r="A5422" t="str">
        <f>"20190312151425196"</f>
        <v>20190312151425196</v>
      </c>
      <c r="B5422" t="str">
        <f>"1552374865186237"</f>
        <v>1552374865186237</v>
      </c>
      <c r="C5422" t="s">
        <v>40</v>
      </c>
      <c r="D5422">
        <v>5.1000300000000003</v>
      </c>
      <c r="E5422">
        <v>0.51963879999999996</v>
      </c>
      <c r="F5422" t="s">
        <v>41</v>
      </c>
      <c r="G5422">
        <v>-267.82380000000001</v>
      </c>
      <c r="H5422">
        <v>1.0493859999999999</v>
      </c>
      <c r="I5422">
        <v>-64.965130000000002</v>
      </c>
      <c r="J5422">
        <v>-268.67579999999998</v>
      </c>
      <c r="K5422">
        <v>1.11314</v>
      </c>
      <c r="L5422">
        <v>-65.068269999999998</v>
      </c>
      <c r="M5422">
        <v>0.99057569999999995</v>
      </c>
      <c r="N5422">
        <v>0</v>
      </c>
      <c r="O5422">
        <v>0.1364341</v>
      </c>
      <c r="P5422">
        <v>0.98450859999999996</v>
      </c>
      <c r="Q5422">
        <v>2.03226E-2</v>
      </c>
      <c r="R5422">
        <v>0.174155</v>
      </c>
      <c r="S5422">
        <v>2.9851380000000001</v>
      </c>
      <c r="T5422">
        <v>-0.18617929999999999</v>
      </c>
      <c r="U5422">
        <v>0.37344359999999999</v>
      </c>
      <c r="V5422">
        <v>-3.8467500000000002E-2</v>
      </c>
      <c r="W5422">
        <v>3.2064009999999997E-2</v>
      </c>
      <c r="X5422">
        <v>0.99874529999999995</v>
      </c>
      <c r="Y5422">
        <v>1.213447E-2</v>
      </c>
      <c r="Z5422">
        <v>-8.8074329999999999E-3</v>
      </c>
      <c r="AA5422">
        <v>0.99988759999999999</v>
      </c>
      <c r="AB5422">
        <v>34</v>
      </c>
      <c r="AC5422">
        <v>0.851999999999975</v>
      </c>
      <c r="AD5422">
        <v>-6.3753999999999797E-2</v>
      </c>
      <c r="AE5422">
        <v>0.103139999999996</v>
      </c>
      <c r="AF5422">
        <v>1.3997654207797999E-2</v>
      </c>
      <c r="AG5422">
        <v>-6.3753999999999797E-2</v>
      </c>
      <c r="AH5422">
        <v>0.853395323979526</v>
      </c>
      <c r="AI5422">
        <v>94.271846371974604</v>
      </c>
      <c r="AJ5422">
        <v>89.060301157675298</v>
      </c>
      <c r="AK5422">
        <v>0.85588789326023396</v>
      </c>
      <c r="AL5422">
        <v>88.162552635795194</v>
      </c>
      <c r="AM5422">
        <v>92.205703996602793</v>
      </c>
      <c r="AN5422">
        <v>1.0000000117828101</v>
      </c>
    </row>
    <row r="5423" spans="1:40" x14ac:dyDescent="0.25">
      <c r="A5423" t="str">
        <f>"20190312151425208"</f>
        <v>20190312151425208</v>
      </c>
      <c r="B5423" t="str">
        <f>"1552374865205756"</f>
        <v>1552374865205756</v>
      </c>
      <c r="C5423" t="s">
        <v>40</v>
      </c>
      <c r="D5423">
        <v>5.1543929999999998</v>
      </c>
      <c r="E5423">
        <v>0.51990559999999997</v>
      </c>
      <c r="F5423" t="s">
        <v>65</v>
      </c>
      <c r="G5423">
        <v>-250.7</v>
      </c>
      <c r="H5423" s="1">
        <v>1.3009300000000001E-8</v>
      </c>
      <c r="I5423">
        <v>-62.859540000000003</v>
      </c>
      <c r="J5423">
        <v>-268.50970000000001</v>
      </c>
      <c r="K5423">
        <v>1.112957</v>
      </c>
      <c r="L5423">
        <v>-65.0441</v>
      </c>
      <c r="M5423">
        <v>0.9903883</v>
      </c>
      <c r="N5423">
        <v>0</v>
      </c>
      <c r="O5423">
        <v>0.137788299999999</v>
      </c>
      <c r="P5423">
        <v>0.98482289999999995</v>
      </c>
      <c r="Q5423">
        <v>2.0975859999999999E-2</v>
      </c>
      <c r="R5423">
        <v>0.17229059999999999</v>
      </c>
      <c r="S5423">
        <v>2.986145</v>
      </c>
      <c r="T5423">
        <v>-0.1849142</v>
      </c>
      <c r="U5423">
        <v>0.36691279999999998</v>
      </c>
      <c r="V5423">
        <v>-3.5202379999999998E-2</v>
      </c>
      <c r="W5423">
        <v>3.2747440000000003E-2</v>
      </c>
      <c r="X5423">
        <v>0.99884360000000005</v>
      </c>
      <c r="Y5423">
        <v>1.5691409999999999E-2</v>
      </c>
      <c r="Z5423">
        <v>-8.9383969999999903E-3</v>
      </c>
      <c r="AA5423">
        <v>0.99983690000000003</v>
      </c>
      <c r="AB5423">
        <v>34</v>
      </c>
      <c r="AC5423">
        <v>17.809699999999999</v>
      </c>
      <c r="AD5423">
        <v>-1.1129569869906999</v>
      </c>
      <c r="AE5423">
        <v>2.1845599999999901</v>
      </c>
      <c r="AF5423">
        <v>0.289313655378169</v>
      </c>
      <c r="AG5423">
        <v>-1.1129569869906999</v>
      </c>
      <c r="AH5423">
        <v>17.8720701458866</v>
      </c>
      <c r="AI5423">
        <v>93.562943590865203</v>
      </c>
      <c r="AJ5423">
        <v>89.072575055116999</v>
      </c>
      <c r="AK5423">
        <v>17.9090275265178</v>
      </c>
      <c r="AL5423">
        <v>88.123374513315696</v>
      </c>
      <c r="AM5423">
        <v>92.018447488053994</v>
      </c>
      <c r="AN5423">
        <v>1.0000000698225799</v>
      </c>
    </row>
    <row r="5424" spans="1:40" x14ac:dyDescent="0.25">
      <c r="A5424" t="str">
        <f>"20190312151425218"</f>
        <v>20190312151425218</v>
      </c>
      <c r="B5424" t="str">
        <f>"1552374865215517"</f>
        <v>1552374865215517</v>
      </c>
      <c r="C5424" t="s">
        <v>40</v>
      </c>
      <c r="D5424">
        <v>5.1141639999999997</v>
      </c>
      <c r="E5424">
        <v>0.52001600000000003</v>
      </c>
      <c r="F5424" t="s">
        <v>41</v>
      </c>
      <c r="G5424">
        <v>-267.51280000000003</v>
      </c>
      <c r="H5424">
        <v>1.051307</v>
      </c>
      <c r="I5424">
        <v>-64.924369999999996</v>
      </c>
      <c r="J5424">
        <v>-268.3503</v>
      </c>
      <c r="K5424">
        <v>1.112784</v>
      </c>
      <c r="L5424">
        <v>-65.020750000000007</v>
      </c>
      <c r="M5424">
        <v>0.9902223</v>
      </c>
      <c r="N5424">
        <v>0</v>
      </c>
      <c r="O5424">
        <v>0.1389774</v>
      </c>
      <c r="P5424">
        <v>0.98512849999999996</v>
      </c>
      <c r="Q5424">
        <v>2.1663169999999999E-2</v>
      </c>
      <c r="R5424">
        <v>0.1704484</v>
      </c>
      <c r="S5424">
        <v>2.9873349999999999</v>
      </c>
      <c r="T5424">
        <v>-0.18476690000000001</v>
      </c>
      <c r="U5424">
        <v>0.35913089999999998</v>
      </c>
      <c r="V5424">
        <v>-3.2126080000000001E-2</v>
      </c>
      <c r="W5424">
        <v>3.3459919999999997E-2</v>
      </c>
      <c r="X5424">
        <v>0.99892360000000002</v>
      </c>
      <c r="Y5424">
        <v>1.949797E-2</v>
      </c>
      <c r="Z5424">
        <v>-9.1191050000000006E-3</v>
      </c>
      <c r="AA5424">
        <v>0.99976830000000005</v>
      </c>
      <c r="AB5424">
        <v>34</v>
      </c>
      <c r="AC5424">
        <v>0.83749999999997704</v>
      </c>
      <c r="AD5424">
        <v>-6.1476999999999997E-2</v>
      </c>
      <c r="AE5424">
        <v>9.6380000000010499E-2</v>
      </c>
      <c r="AF5424">
        <v>2.0846606921750499E-2</v>
      </c>
      <c r="AG5424">
        <v>-6.1476999999999997E-2</v>
      </c>
      <c r="AH5424">
        <v>0.83830889390796404</v>
      </c>
      <c r="AI5424">
        <v>94.192960134530395</v>
      </c>
      <c r="AJ5424">
        <v>88.575493487711597</v>
      </c>
      <c r="AK5424">
        <v>0.84081853223768999</v>
      </c>
      <c r="AL5424">
        <v>88.082529907955305</v>
      </c>
      <c r="AM5424">
        <v>91.842037344267695</v>
      </c>
      <c r="AN5424">
        <v>1.0000000049497599</v>
      </c>
    </row>
    <row r="5425" spans="1:40" x14ac:dyDescent="0.25">
      <c r="A5425" t="str">
        <f>"20190312151425231"</f>
        <v>20190312151425231</v>
      </c>
      <c r="B5425" t="str">
        <f>"1552374865226253"</f>
        <v>1552374865226253</v>
      </c>
      <c r="C5425" t="s">
        <v>40</v>
      </c>
      <c r="D5425">
        <v>5.0829019999999998</v>
      </c>
      <c r="E5425">
        <v>0.52011409999999902</v>
      </c>
      <c r="F5425" t="s">
        <v>65</v>
      </c>
      <c r="G5425">
        <v>-250.31280000000001</v>
      </c>
      <c r="H5425" s="1">
        <v>1.716061E-7</v>
      </c>
      <c r="I5425">
        <v>-62.893189999999997</v>
      </c>
      <c r="J5425">
        <v>-268.18</v>
      </c>
      <c r="K5425">
        <v>1.1126049999999901</v>
      </c>
      <c r="L5425">
        <v>-64.995699999999999</v>
      </c>
      <c r="M5425">
        <v>0.99005290000000001</v>
      </c>
      <c r="N5425">
        <v>0</v>
      </c>
      <c r="O5425">
        <v>0.14017950000000001</v>
      </c>
      <c r="P5425">
        <v>0.98544569999999998</v>
      </c>
      <c r="Q5425">
        <v>2.222522E-2</v>
      </c>
      <c r="R5425">
        <v>0.1685315</v>
      </c>
      <c r="S5425">
        <v>2.9883120000000001</v>
      </c>
      <c r="T5425">
        <v>-0.18435779999999999</v>
      </c>
      <c r="U5425">
        <v>0.35247800000000001</v>
      </c>
      <c r="V5425">
        <v>-2.8959700000000001E-2</v>
      </c>
      <c r="W5425">
        <v>3.4046569999999998E-2</v>
      </c>
      <c r="X5425">
        <v>0.99900060000000002</v>
      </c>
      <c r="Y5425">
        <v>2.293777E-2</v>
      </c>
      <c r="Z5425">
        <v>-9.2761479999999997E-3</v>
      </c>
      <c r="AA5425">
        <v>0.99969390000000002</v>
      </c>
      <c r="AB5425">
        <v>34</v>
      </c>
      <c r="AC5425">
        <v>17.867199999999901</v>
      </c>
      <c r="AD5425">
        <v>-1.1126048283938901</v>
      </c>
      <c r="AE5425">
        <v>2.1025099999999899</v>
      </c>
      <c r="AF5425">
        <v>0.42143783448690503</v>
      </c>
      <c r="AG5425">
        <v>-1.1126048283938901</v>
      </c>
      <c r="AH5425">
        <v>17.916978730528701</v>
      </c>
      <c r="AI5425">
        <v>93.552398615174596</v>
      </c>
      <c r="AJ5425">
        <v>88.652554212284699</v>
      </c>
      <c r="AK5425">
        <v>17.956436901086999</v>
      </c>
      <c r="AL5425">
        <v>88.048898196643094</v>
      </c>
      <c r="AM5425">
        <v>91.660463502447698</v>
      </c>
      <c r="AN5425">
        <v>1.0000000159766</v>
      </c>
    </row>
    <row r="5426" spans="1:40" x14ac:dyDescent="0.25">
      <c r="A5426" t="str">
        <f>"20190312151425241"</f>
        <v>20190312151425241</v>
      </c>
      <c r="B5426" t="str">
        <f>"1552374865236013"</f>
        <v>1552374865236013</v>
      </c>
      <c r="C5426" t="s">
        <v>40</v>
      </c>
      <c r="D5426">
        <v>5.0916449999999998</v>
      </c>
      <c r="E5426">
        <v>0.52016779999999996</v>
      </c>
      <c r="F5426" t="s">
        <v>65</v>
      </c>
      <c r="G5426">
        <v>-250.11099999999999</v>
      </c>
      <c r="H5426" s="1">
        <v>2.5546339999999998E-7</v>
      </c>
      <c r="I5426">
        <v>-62.90551</v>
      </c>
      <c r="J5426">
        <v>-267.9973</v>
      </c>
      <c r="K5426">
        <v>1.1124130000000001</v>
      </c>
      <c r="L5426">
        <v>-64.968689999999995</v>
      </c>
      <c r="M5426">
        <v>0.98988350000000003</v>
      </c>
      <c r="N5426">
        <v>0</v>
      </c>
      <c r="O5426">
        <v>0.1413729</v>
      </c>
      <c r="P5426">
        <v>0.98569879999999999</v>
      </c>
      <c r="Q5426">
        <v>2.2823469999999998E-2</v>
      </c>
      <c r="R5426">
        <v>0.16696449999999999</v>
      </c>
      <c r="S5426">
        <v>2.9892880000000002</v>
      </c>
      <c r="T5426">
        <v>-0.18406610000000001</v>
      </c>
      <c r="U5426">
        <v>0.34579470000000001</v>
      </c>
      <c r="V5426">
        <v>-2.615613E-2</v>
      </c>
      <c r="W5426">
        <v>3.4663720000000002E-2</v>
      </c>
      <c r="X5426">
        <v>0.99905670000000002</v>
      </c>
      <c r="Y5426">
        <v>2.6378240000000001E-2</v>
      </c>
      <c r="Z5426">
        <v>-9.437829E-3</v>
      </c>
      <c r="AA5426">
        <v>0.99960749999999998</v>
      </c>
      <c r="AB5426">
        <v>34</v>
      </c>
      <c r="AC5426">
        <v>17.886299999999999</v>
      </c>
      <c r="AD5426">
        <v>-1.1124127445366001</v>
      </c>
      <c r="AE5426">
        <v>2.0631800000000098</v>
      </c>
      <c r="AF5426">
        <v>0.48451585121903801</v>
      </c>
      <c r="AG5426">
        <v>-1.1124127445366001</v>
      </c>
      <c r="AH5426">
        <v>17.929887308137701</v>
      </c>
      <c r="AI5426">
        <v>93.548923304199505</v>
      </c>
      <c r="AJ5426">
        <v>88.452084019804204</v>
      </c>
      <c r="AK5426">
        <v>17.9708952644772</v>
      </c>
      <c r="AL5426">
        <v>88.013517195140295</v>
      </c>
      <c r="AM5426">
        <v>91.499708266795594</v>
      </c>
      <c r="AN5426">
        <v>1.00000000321785</v>
      </c>
    </row>
    <row r="5427" spans="1:40" x14ac:dyDescent="0.25">
      <c r="A5427" t="str">
        <f>"20190312151425254"</f>
        <v>20190312151425254</v>
      </c>
      <c r="B5427" t="str">
        <f>"1552374865245773"</f>
        <v>1552374865245773</v>
      </c>
      <c r="C5427" t="s">
        <v>40</v>
      </c>
      <c r="D5427">
        <v>5.1447890000000003</v>
      </c>
      <c r="E5427">
        <v>0.52016779999999996</v>
      </c>
      <c r="F5427" t="s">
        <v>66</v>
      </c>
      <c r="G5427">
        <v>-249.86320000000001</v>
      </c>
      <c r="H5427" s="1">
        <v>-3.6776179999999998E-6</v>
      </c>
      <c r="I5427">
        <v>-62.904049999999998</v>
      </c>
      <c r="J5427">
        <v>-267.8304</v>
      </c>
      <c r="K5427">
        <v>1.1122449999999999</v>
      </c>
      <c r="L5427">
        <v>-64.943849999999998</v>
      </c>
      <c r="M5427">
        <v>0.9897435</v>
      </c>
      <c r="N5427">
        <v>0</v>
      </c>
      <c r="O5427">
        <v>0.14235059999999999</v>
      </c>
      <c r="P5427">
        <v>0.98602800000000002</v>
      </c>
      <c r="Q5427">
        <v>2.3290979999999999E-2</v>
      </c>
      <c r="R5427">
        <v>0.1649447</v>
      </c>
      <c r="S5427">
        <v>2.9901119999999999</v>
      </c>
      <c r="T5427">
        <v>-0.18342420000000001</v>
      </c>
      <c r="U5427">
        <v>0.34042359999999999</v>
      </c>
      <c r="V5427">
        <v>-2.3111030000000001E-2</v>
      </c>
      <c r="W5427">
        <v>3.5149310000000003E-2</v>
      </c>
      <c r="X5427">
        <v>0.99911479999999997</v>
      </c>
      <c r="Y5427">
        <v>2.9164599999999902E-2</v>
      </c>
      <c r="Z5427">
        <v>-9.5477879999999998E-3</v>
      </c>
      <c r="AA5427">
        <v>0.999529</v>
      </c>
      <c r="AB5427">
        <v>34</v>
      </c>
      <c r="AC5427">
        <v>17.967199999999899</v>
      </c>
      <c r="AD5427">
        <v>-1.1122486776180001</v>
      </c>
      <c r="AE5427">
        <v>2.0398000000000001</v>
      </c>
      <c r="AF5427">
        <v>0.53677091987797199</v>
      </c>
      <c r="AG5427">
        <v>-1.1122486776180001</v>
      </c>
      <c r="AH5427">
        <v>18.006463100378799</v>
      </c>
      <c r="AI5427">
        <v>93.533070410413998</v>
      </c>
      <c r="AJ5427">
        <v>88.292524017535996</v>
      </c>
      <c r="AK5427">
        <v>18.048765429430102</v>
      </c>
      <c r="AL5427">
        <v>87.985677942278699</v>
      </c>
      <c r="AM5427">
        <v>91.325101362669301</v>
      </c>
      <c r="AN5427">
        <v>0.99999998864008799</v>
      </c>
    </row>
    <row r="5428" spans="1:40" x14ac:dyDescent="0.25">
      <c r="A5428" t="str">
        <f>"20190312151425267"</f>
        <v>20190312151425267</v>
      </c>
      <c r="B5428" t="str">
        <f>"1552374865255532"</f>
        <v>1552374865255532</v>
      </c>
      <c r="C5428" t="s">
        <v>40</v>
      </c>
      <c r="D5428">
        <v>5.2417759999999998</v>
      </c>
      <c r="E5428">
        <v>0.53906239999999905</v>
      </c>
      <c r="F5428" t="s">
        <v>66</v>
      </c>
      <c r="G5428">
        <v>-249.53980000000001</v>
      </c>
      <c r="H5428" s="1">
        <v>-3.5669760000000001E-6</v>
      </c>
      <c r="I5428">
        <v>-62.900579999999998</v>
      </c>
      <c r="J5428">
        <v>-267.6352</v>
      </c>
      <c r="K5428">
        <v>1.1120540000000001</v>
      </c>
      <c r="L5428">
        <v>-64.914760000000001</v>
      </c>
      <c r="M5428">
        <v>0.98958780000000002</v>
      </c>
      <c r="N5428">
        <v>0</v>
      </c>
      <c r="O5428">
        <v>0.143429799999999</v>
      </c>
      <c r="P5428">
        <v>0.98630569999999895</v>
      </c>
      <c r="Q5428">
        <v>2.3748479999999999E-2</v>
      </c>
      <c r="R5428">
        <v>0.16320870000000001</v>
      </c>
      <c r="S5428">
        <v>2.990875</v>
      </c>
      <c r="T5428">
        <v>-0.18187519999999999</v>
      </c>
      <c r="U5428">
        <v>0.33410640000000003</v>
      </c>
      <c r="V5428">
        <v>-2.024925E-2</v>
      </c>
      <c r="W5428">
        <v>3.5621559999999997E-2</v>
      </c>
      <c r="X5428">
        <v>0.99916020000000005</v>
      </c>
      <c r="Y5428">
        <v>3.2365339999999999E-2</v>
      </c>
      <c r="Z5428">
        <v>-9.6278709999999997E-3</v>
      </c>
      <c r="AA5428">
        <v>0.99942969999999998</v>
      </c>
      <c r="AB5428">
        <v>34</v>
      </c>
      <c r="AC5428">
        <v>18.095399999999898</v>
      </c>
      <c r="AD5428">
        <v>-1.112057566976</v>
      </c>
      <c r="AE5428">
        <v>2.0141799999999899</v>
      </c>
      <c r="AF5428">
        <v>0.60001659578425903</v>
      </c>
      <c r="AG5428">
        <v>-1.112057566976</v>
      </c>
      <c r="AH5428">
        <v>18.1295568079756</v>
      </c>
      <c r="AI5428">
        <v>93.5081793723337</v>
      </c>
      <c r="AJ5428">
        <v>88.1044283061307</v>
      </c>
      <c r="AK5428">
        <v>18.1735390609836</v>
      </c>
      <c r="AL5428">
        <v>87.9586031107293</v>
      </c>
      <c r="AM5428">
        <v>91.161012781675595</v>
      </c>
      <c r="AN5428">
        <v>1.0000000164632099</v>
      </c>
    </row>
    <row r="5429" spans="1:40" x14ac:dyDescent="0.25">
      <c r="A5429" t="str">
        <f>"20190312151425278"</f>
        <v>20190312151425278</v>
      </c>
      <c r="B5429" t="str">
        <f>"1552374865276029"</f>
        <v>1552374865276029</v>
      </c>
      <c r="C5429" t="s">
        <v>40</v>
      </c>
      <c r="D5429">
        <v>5.1631349999999996</v>
      </c>
      <c r="E5429">
        <v>0.55212640000000002</v>
      </c>
      <c r="F5429" t="s">
        <v>41</v>
      </c>
      <c r="G5429">
        <v>-266.62090000000001</v>
      </c>
      <c r="H5429">
        <v>1.0309330000000001</v>
      </c>
      <c r="I5429">
        <v>-64.854609999999994</v>
      </c>
      <c r="J5429">
        <v>-267.44200000000001</v>
      </c>
      <c r="K5429">
        <v>1.111874</v>
      </c>
      <c r="L5429">
        <v>-64.885769999999994</v>
      </c>
      <c r="M5429">
        <v>0.98945649999999996</v>
      </c>
      <c r="N5429">
        <v>0</v>
      </c>
      <c r="O5429">
        <v>0.14433389999999999</v>
      </c>
      <c r="P5429">
        <v>0.9865794</v>
      </c>
      <c r="Q5429">
        <v>2.4286889999999998E-2</v>
      </c>
      <c r="R5429">
        <v>0.1614669</v>
      </c>
      <c r="S5429">
        <v>3.0178219999999998</v>
      </c>
      <c r="T5429">
        <v>-0.2413824</v>
      </c>
      <c r="U5429">
        <v>0.17935179999999901</v>
      </c>
      <c r="V5429">
        <v>-1.755936E-2</v>
      </c>
      <c r="W5429">
        <v>3.6171000000000002E-2</v>
      </c>
      <c r="X5429">
        <v>0.9991913</v>
      </c>
      <c r="Y5429">
        <v>8.4660310000000003E-2</v>
      </c>
      <c r="Z5429">
        <v>-1.485173E-2</v>
      </c>
      <c r="AA5429">
        <v>0.99629920000000005</v>
      </c>
      <c r="AB5429">
        <v>34</v>
      </c>
      <c r="AC5429">
        <v>0.82110000000000105</v>
      </c>
      <c r="AD5429">
        <v>-8.0940999999999902E-2</v>
      </c>
      <c r="AE5429">
        <v>3.1159999999999799E-2</v>
      </c>
      <c r="AF5429">
        <v>8.6844713744887697E-2</v>
      </c>
      <c r="AG5429">
        <v>-8.0940999999999902E-2</v>
      </c>
      <c r="AH5429">
        <v>0.809147412221355</v>
      </c>
      <c r="AI5429">
        <v>95.680027547528198</v>
      </c>
      <c r="AJ5429">
        <v>83.873971305540195</v>
      </c>
      <c r="AK5429">
        <v>0.81780987062455202</v>
      </c>
      <c r="AL5429">
        <v>87.927102105586599</v>
      </c>
      <c r="AM5429">
        <v>91.006787858394105</v>
      </c>
      <c r="AN5429">
        <v>0.99999996318014905</v>
      </c>
    </row>
    <row r="5430" spans="1:40" x14ac:dyDescent="0.25">
      <c r="A5430" t="str">
        <f>"20190312151425291"</f>
        <v>20190312151425291</v>
      </c>
      <c r="B5430" t="str">
        <f>"1552374865285790"</f>
        <v>1552374865285790</v>
      </c>
      <c r="C5430" t="s">
        <v>40</v>
      </c>
      <c r="D5430">
        <v>5.2272850000000002</v>
      </c>
      <c r="E5430">
        <v>0.5567356</v>
      </c>
      <c r="F5430" t="s">
        <v>41</v>
      </c>
      <c r="G5430">
        <v>-266.61070000000001</v>
      </c>
      <c r="H5430">
        <v>1.0458559999999999</v>
      </c>
      <c r="I5430">
        <v>-64.866460000000004</v>
      </c>
      <c r="J5430">
        <v>-267.26830000000001</v>
      </c>
      <c r="K5430">
        <v>1.1117170000000001</v>
      </c>
      <c r="L5430">
        <v>-64.859650000000002</v>
      </c>
      <c r="M5430">
        <v>0.98934710000000003</v>
      </c>
      <c r="N5430">
        <v>0</v>
      </c>
      <c r="O5430">
        <v>0.1450823</v>
      </c>
      <c r="P5430">
        <v>0.98694230000000005</v>
      </c>
      <c r="Q5430">
        <v>2.4575059999999999E-2</v>
      </c>
      <c r="R5430">
        <v>0.15918940000000001</v>
      </c>
      <c r="S5430">
        <v>3.035126</v>
      </c>
      <c r="T5430">
        <v>-0.24106340000000001</v>
      </c>
      <c r="U5430">
        <v>7.0953370000000002E-2</v>
      </c>
      <c r="V5430">
        <v>-1.44841E-2</v>
      </c>
      <c r="W5430">
        <v>3.647073E-2</v>
      </c>
      <c r="X5430">
        <v>0.9992297</v>
      </c>
      <c r="Y5430">
        <v>0.1210947</v>
      </c>
      <c r="Z5430">
        <v>-1.6269459999999999E-2</v>
      </c>
      <c r="AA5430">
        <v>0.99250760000000005</v>
      </c>
      <c r="AB5430">
        <v>34</v>
      </c>
      <c r="AC5430">
        <v>0.65760000000000196</v>
      </c>
      <c r="AD5430">
        <v>-6.58610000000001E-2</v>
      </c>
      <c r="AE5430">
        <v>-6.8100000000015301E-3</v>
      </c>
      <c r="AF5430">
        <v>0.10113653521402099</v>
      </c>
      <c r="AG5430">
        <v>-6.58610000000001E-2</v>
      </c>
      <c r="AH5430">
        <v>0.64320213551152405</v>
      </c>
      <c r="AI5430">
        <v>95.775974994210799</v>
      </c>
      <c r="AJ5430">
        <v>81.064027661578805</v>
      </c>
      <c r="AK5430">
        <v>0.65442742699453105</v>
      </c>
      <c r="AL5430">
        <v>87.909917471095099</v>
      </c>
      <c r="AM5430">
        <v>90.830459387608499</v>
      </c>
      <c r="AN5430">
        <v>0.99999994833081496</v>
      </c>
    </row>
    <row r="5431" spans="1:40" x14ac:dyDescent="0.25">
      <c r="A5431" t="str">
        <f>"20190312151425301"</f>
        <v>20190312151425301</v>
      </c>
      <c r="B5431" t="str">
        <f>"1552374865295549"</f>
        <v>1552374865295549</v>
      </c>
      <c r="C5431" t="s">
        <v>40</v>
      </c>
      <c r="D5431">
        <v>5.0724390000000001</v>
      </c>
      <c r="E5431">
        <v>0.55940459999999903</v>
      </c>
      <c r="F5431" t="s">
        <v>41</v>
      </c>
      <c r="G5431">
        <v>-266.3064</v>
      </c>
      <c r="H5431">
        <v>1.039561</v>
      </c>
      <c r="I5431">
        <v>-64.851050000000001</v>
      </c>
      <c r="J5431">
        <v>-267.11070000000001</v>
      </c>
      <c r="K5431">
        <v>1.111575</v>
      </c>
      <c r="L5431">
        <v>-64.835939999999994</v>
      </c>
      <c r="M5431">
        <v>0.98925750000000001</v>
      </c>
      <c r="N5431">
        <v>0</v>
      </c>
      <c r="O5431">
        <v>0.1456944</v>
      </c>
      <c r="P5431">
        <v>0.98728899999999997</v>
      </c>
      <c r="Q5431">
        <v>2.5086420000000002E-2</v>
      </c>
      <c r="R5431">
        <v>0.156944</v>
      </c>
      <c r="S5431">
        <v>3.0408940000000002</v>
      </c>
      <c r="T5431">
        <v>-0.22810079999999999</v>
      </c>
      <c r="U5431">
        <v>2.7709959999999999E-2</v>
      </c>
      <c r="V5431">
        <v>-1.1583070000000001E-2</v>
      </c>
      <c r="W5431">
        <v>3.6991089999999997E-2</v>
      </c>
      <c r="X5431">
        <v>0.99924840000000004</v>
      </c>
      <c r="Y5431">
        <v>0.1358954</v>
      </c>
      <c r="Z5431">
        <v>-1.5972380000000001E-2</v>
      </c>
      <c r="AA5431">
        <v>0.99059439999999999</v>
      </c>
      <c r="AB5431">
        <v>34</v>
      </c>
      <c r="AC5431">
        <v>0.80430000000001201</v>
      </c>
      <c r="AD5431">
        <v>-7.2013999999999995E-2</v>
      </c>
      <c r="AE5431">
        <v>-1.5109999999992799E-2</v>
      </c>
      <c r="AF5431">
        <v>0.13108858570601101</v>
      </c>
      <c r="AG5431">
        <v>-7.2013999999999995E-2</v>
      </c>
      <c r="AH5431">
        <v>0.78720639872273301</v>
      </c>
      <c r="AI5431">
        <v>95.156282888753097</v>
      </c>
      <c r="AJ5431">
        <v>80.545643475511994</v>
      </c>
      <c r="AK5431">
        <v>0.80128905376799997</v>
      </c>
      <c r="AL5431">
        <v>87.880082879866094</v>
      </c>
      <c r="AM5431">
        <v>90.664130462407599</v>
      </c>
      <c r="AN5431">
        <v>0.99999993657628405</v>
      </c>
    </row>
    <row r="5432" spans="1:40" x14ac:dyDescent="0.25">
      <c r="A5432" t="str">
        <f>"20190312151425311"</f>
        <v>20190312151425311</v>
      </c>
      <c r="B5432" t="str">
        <f>"1552374865306285"</f>
        <v>1552374865306285</v>
      </c>
      <c r="C5432" t="s">
        <v>40</v>
      </c>
      <c r="D5432">
        <v>4.7013769999999999</v>
      </c>
      <c r="E5432">
        <v>0.56153589999999998</v>
      </c>
      <c r="F5432" t="s">
        <v>65</v>
      </c>
      <c r="G5432">
        <v>-250.82499999999999</v>
      </c>
      <c r="H5432" s="1">
        <v>-4.8018020000000004E-7</v>
      </c>
      <c r="I5432">
        <v>-64.836269999999999</v>
      </c>
      <c r="J5432">
        <v>-266.96879999999999</v>
      </c>
      <c r="K5432">
        <v>1.1114489999999999</v>
      </c>
      <c r="L5432">
        <v>-64.814509999999999</v>
      </c>
      <c r="M5432">
        <v>0.98918510000000004</v>
      </c>
      <c r="N5432">
        <v>0</v>
      </c>
      <c r="O5432">
        <v>0.14618490000000001</v>
      </c>
      <c r="P5432">
        <v>0.9876376</v>
      </c>
      <c r="Q5432">
        <v>2.5690890000000001E-2</v>
      </c>
      <c r="R5432">
        <v>0.15463579999999999</v>
      </c>
      <c r="S5432">
        <v>3.0438839999999998</v>
      </c>
      <c r="T5432">
        <v>-0.20775869999999999</v>
      </c>
      <c r="U5432" s="1">
        <v>-6.1035159999999999E-5</v>
      </c>
      <c r="V5432">
        <v>-8.7444410000000004E-3</v>
      </c>
      <c r="W5432">
        <v>3.7602919999999998E-2</v>
      </c>
      <c r="X5432">
        <v>0.99925450000000005</v>
      </c>
      <c r="Y5432">
        <v>0.14553820000000001</v>
      </c>
      <c r="Z5432">
        <v>-1.4900989999999999E-2</v>
      </c>
      <c r="AA5432">
        <v>0.98924040000000002</v>
      </c>
      <c r="AB5432">
        <v>34</v>
      </c>
      <c r="AC5432">
        <v>16.143799999999999</v>
      </c>
      <c r="AD5432">
        <v>-1.1114494801802</v>
      </c>
      <c r="AE5432">
        <v>-2.1760000000000401E-2</v>
      </c>
      <c r="AF5432">
        <v>2.3704389389944001</v>
      </c>
      <c r="AG5432">
        <v>-1.1114494801802</v>
      </c>
      <c r="AH5432">
        <v>15.891840255843301</v>
      </c>
      <c r="AI5432">
        <v>93.957023051789605</v>
      </c>
      <c r="AJ5432">
        <v>81.516267087416196</v>
      </c>
      <c r="AK5432">
        <v>16.1060512673881</v>
      </c>
      <c r="AL5432">
        <v>87.845003330130297</v>
      </c>
      <c r="AM5432">
        <v>90.501380554034995</v>
      </c>
      <c r="AN5432">
        <v>1.00000000030558</v>
      </c>
    </row>
    <row r="5433" spans="1:40" x14ac:dyDescent="0.25">
      <c r="A5433" t="str">
        <f>"20190312151425320"</f>
        <v>20190312151425320</v>
      </c>
      <c r="B5433" t="str">
        <f>"1552374865316046"</f>
        <v>1552374865316046</v>
      </c>
      <c r="C5433" t="s">
        <v>40</v>
      </c>
      <c r="D5433">
        <v>5.1179009999999998</v>
      </c>
      <c r="E5433">
        <v>0.56225899999999995</v>
      </c>
      <c r="F5433" t="s">
        <v>66</v>
      </c>
      <c r="G5433">
        <v>-249.11359999999999</v>
      </c>
      <c r="H5433" s="1">
        <v>-3.786181E-6</v>
      </c>
      <c r="I5433">
        <v>-64.953980000000001</v>
      </c>
      <c r="J5433">
        <v>-266.81720000000001</v>
      </c>
      <c r="K5433">
        <v>1.111318</v>
      </c>
      <c r="L5433">
        <v>-64.791600000000003</v>
      </c>
      <c r="M5433">
        <v>0.98911539999999998</v>
      </c>
      <c r="N5433">
        <v>0</v>
      </c>
      <c r="O5433">
        <v>0.1466566</v>
      </c>
      <c r="P5433">
        <v>0.98799910000000002</v>
      </c>
      <c r="Q5433">
        <v>2.623234E-2</v>
      </c>
      <c r="R5433">
        <v>0.15221660000000001</v>
      </c>
      <c r="S5433">
        <v>3.0462039999999999</v>
      </c>
      <c r="T5433">
        <v>-0.18962090000000001</v>
      </c>
      <c r="U5433">
        <v>-2.3803709999999999E-2</v>
      </c>
      <c r="V5433">
        <v>-5.8115419999999899E-3</v>
      </c>
      <c r="W5433">
        <v>3.815089E-2</v>
      </c>
      <c r="X5433">
        <v>0.99925509999999995</v>
      </c>
      <c r="Y5433">
        <v>0.1538119</v>
      </c>
      <c r="Z5433">
        <v>-1.3879849999999999E-2</v>
      </c>
      <c r="AA5433">
        <v>0.98800270000000001</v>
      </c>
      <c r="AB5433">
        <v>34</v>
      </c>
      <c r="AC5433">
        <v>17.703600000000002</v>
      </c>
      <c r="AD5433">
        <v>-1.1113217861810001</v>
      </c>
      <c r="AE5433">
        <v>-0.162379999999998</v>
      </c>
      <c r="AF5433">
        <v>2.7463377278462402</v>
      </c>
      <c r="AG5433">
        <v>-1.1113217861810001</v>
      </c>
      <c r="AH5433">
        <v>17.419698610687199</v>
      </c>
      <c r="AI5433">
        <v>93.605923713096601</v>
      </c>
      <c r="AJ5433">
        <v>81.0406628843714</v>
      </c>
      <c r="AK5433">
        <v>17.6698417286349</v>
      </c>
      <c r="AL5433">
        <v>87.813584436072105</v>
      </c>
      <c r="AM5433">
        <v>90.333221291432693</v>
      </c>
      <c r="AN5433">
        <v>1.0000000096521</v>
      </c>
    </row>
    <row r="5434" spans="1:40" x14ac:dyDescent="0.25">
      <c r="A5434" t="str">
        <f>"20190312151425331"</f>
        <v>20190312151425331</v>
      </c>
      <c r="B5434" t="str">
        <f>"1552374865325805"</f>
        <v>1552374865325805</v>
      </c>
      <c r="C5434" t="s">
        <v>40</v>
      </c>
      <c r="D5434">
        <v>5.1650470000000004</v>
      </c>
      <c r="E5434">
        <v>0.56342209999999904</v>
      </c>
      <c r="F5434" t="s">
        <v>66</v>
      </c>
      <c r="G5434">
        <v>-248.1566</v>
      </c>
      <c r="H5434" s="1">
        <v>-3.4716989999999999E-6</v>
      </c>
      <c r="I5434">
        <v>-65.017119999999906</v>
      </c>
      <c r="J5434">
        <v>-266.66070000000002</v>
      </c>
      <c r="K5434">
        <v>1.1111899999999999</v>
      </c>
      <c r="L5434">
        <v>-64.767910000000001</v>
      </c>
      <c r="M5434">
        <v>0.98905299999999996</v>
      </c>
      <c r="N5434">
        <v>0</v>
      </c>
      <c r="O5434">
        <v>0.14707819999999999</v>
      </c>
      <c r="P5434">
        <v>0.98833380000000004</v>
      </c>
      <c r="Q5434">
        <v>2.6595890000000001E-2</v>
      </c>
      <c r="R5434">
        <v>0.1499646</v>
      </c>
      <c r="S5434">
        <v>3.046967</v>
      </c>
      <c r="T5434">
        <v>-0.18146039999999999</v>
      </c>
      <c r="U5434">
        <v>-3.6834720000000001E-2</v>
      </c>
      <c r="V5434">
        <v>-3.0974380000000001E-3</v>
      </c>
      <c r="W5434">
        <v>3.8517309999999999E-2</v>
      </c>
      <c r="X5434">
        <v>0.99925319999999995</v>
      </c>
      <c r="Y5434">
        <v>0.15849449999999901</v>
      </c>
      <c r="Z5434">
        <v>-1.3444889999999999E-2</v>
      </c>
      <c r="AA5434">
        <v>0.98726829999999999</v>
      </c>
      <c r="AB5434">
        <v>34</v>
      </c>
      <c r="AC5434">
        <v>18.504100000000001</v>
      </c>
      <c r="AD5434">
        <v>-1.111193471699</v>
      </c>
      <c r="AE5434">
        <v>-0.24920999999999</v>
      </c>
      <c r="AF5434">
        <v>2.9575790874053398</v>
      </c>
      <c r="AG5434">
        <v>-1.111193471699</v>
      </c>
      <c r="AH5434">
        <v>18.200558734654201</v>
      </c>
      <c r="AI5434">
        <v>93.448602190996297</v>
      </c>
      <c r="AJ5434">
        <v>80.770149661971999</v>
      </c>
      <c r="AK5434">
        <v>18.472746499732999</v>
      </c>
      <c r="AL5434">
        <v>87.792574801756203</v>
      </c>
      <c r="AM5434">
        <v>90.177602189616593</v>
      </c>
      <c r="AN5434">
        <v>1.0000000675010099</v>
      </c>
    </row>
    <row r="5435" spans="1:40" x14ac:dyDescent="0.25">
      <c r="A5435" t="str">
        <f>"20190312151425342"</f>
        <v>20190312151425342</v>
      </c>
      <c r="B5435" t="str">
        <f>"1552374865335565"</f>
        <v>1552374865335565</v>
      </c>
      <c r="C5435" t="s">
        <v>40</v>
      </c>
      <c r="D5435">
        <v>5.0871430000000002</v>
      </c>
      <c r="E5435">
        <v>0.56387980000000004</v>
      </c>
      <c r="F5435" t="s">
        <v>66</v>
      </c>
      <c r="G5435">
        <v>-248.58629999999999</v>
      </c>
      <c r="H5435" s="1">
        <v>-3.629496E-6</v>
      </c>
      <c r="I5435">
        <v>-65.082319999999996</v>
      </c>
      <c r="J5435">
        <v>-266.48599999999999</v>
      </c>
      <c r="K5435">
        <v>1.1110439999999999</v>
      </c>
      <c r="L5435">
        <v>-64.741489999999999</v>
      </c>
      <c r="M5435">
        <v>0.98899190000000003</v>
      </c>
      <c r="N5435">
        <v>0</v>
      </c>
      <c r="O5435">
        <v>0.14748810000000001</v>
      </c>
      <c r="P5435">
        <v>0.98860979999999998</v>
      </c>
      <c r="Q5435">
        <v>2.7066969999999999E-2</v>
      </c>
      <c r="R5435">
        <v>0.1480484</v>
      </c>
      <c r="S5435">
        <v>3.048492</v>
      </c>
      <c r="T5435">
        <v>-0.18741830000000001</v>
      </c>
      <c r="U5435">
        <v>-5.3039549999999998E-2</v>
      </c>
      <c r="V5435">
        <v>-7.3454899999999895E-4</v>
      </c>
      <c r="W5435">
        <v>3.8988549999999997E-2</v>
      </c>
      <c r="X5435">
        <v>0.9992394</v>
      </c>
      <c r="Y5435">
        <v>0.16409499999999999</v>
      </c>
      <c r="Z5435">
        <v>-1.4075870000000001E-2</v>
      </c>
      <c r="AA5435">
        <v>0.98634409999999895</v>
      </c>
      <c r="AB5435">
        <v>34</v>
      </c>
      <c r="AC5435">
        <v>17.8996999999999</v>
      </c>
      <c r="AD5435">
        <v>-1.1110476294959899</v>
      </c>
      <c r="AE5435">
        <v>-0.34082999999999603</v>
      </c>
      <c r="AF5435">
        <v>2.96586001218652</v>
      </c>
      <c r="AG5435">
        <v>-1.1110476294959899</v>
      </c>
      <c r="AH5435">
        <v>17.585915834791301</v>
      </c>
      <c r="AI5435">
        <v>93.564834381363795</v>
      </c>
      <c r="AJ5435">
        <v>80.427162977024295</v>
      </c>
      <c r="AK5435">
        <v>17.868832871658402</v>
      </c>
      <c r="AL5435">
        <v>87.765554320281495</v>
      </c>
      <c r="AM5435">
        <v>90.042118585360598</v>
      </c>
      <c r="AN5435">
        <v>1.0000000125528401</v>
      </c>
    </row>
    <row r="5436" spans="1:40" x14ac:dyDescent="0.25">
      <c r="A5436" t="str">
        <f>"20190312151425353"</f>
        <v>20190312151425353</v>
      </c>
      <c r="B5436" t="str">
        <f>"1552374865346301"</f>
        <v>1552374865346301</v>
      </c>
      <c r="C5436" t="s">
        <v>40</v>
      </c>
      <c r="D5436">
        <v>5.0845649999999996</v>
      </c>
      <c r="E5436">
        <v>0.5643283</v>
      </c>
      <c r="F5436" t="s">
        <v>66</v>
      </c>
      <c r="G5436">
        <v>-248.62809999999999</v>
      </c>
      <c r="H5436" s="1">
        <v>-3.6483610000000001E-6</v>
      </c>
      <c r="I5436">
        <v>-65.108540000000005</v>
      </c>
      <c r="J5436">
        <v>-266.32569999999998</v>
      </c>
      <c r="K5436">
        <v>1.1109089999999999</v>
      </c>
      <c r="L5436">
        <v>-64.717219999999998</v>
      </c>
      <c r="M5436">
        <v>0.98894890000000002</v>
      </c>
      <c r="N5436">
        <v>0</v>
      </c>
      <c r="O5436">
        <v>0.14777579999999901</v>
      </c>
      <c r="P5436">
        <v>0.98889490000000002</v>
      </c>
      <c r="Q5436">
        <v>2.7973290000000001E-2</v>
      </c>
      <c r="R5436">
        <v>0.14596039999999999</v>
      </c>
      <c r="S5436">
        <v>3.0491329999999999</v>
      </c>
      <c r="T5436">
        <v>-0.18970529999999999</v>
      </c>
      <c r="U5436">
        <v>-6.268311E-2</v>
      </c>
      <c r="V5436">
        <v>1.673606E-3</v>
      </c>
      <c r="W5436">
        <v>3.9894310000000002E-2</v>
      </c>
      <c r="X5436">
        <v>0.99920249999999999</v>
      </c>
      <c r="Y5436">
        <v>0.1674746</v>
      </c>
      <c r="Z5436">
        <v>-1.436718E-2</v>
      </c>
      <c r="AA5436">
        <v>0.98577170000000003</v>
      </c>
      <c r="AB5436">
        <v>34</v>
      </c>
      <c r="AC5436">
        <v>17.697599999999898</v>
      </c>
      <c r="AD5436">
        <v>-1.1109126483609999</v>
      </c>
      <c r="AE5436">
        <v>-0.391320000000007</v>
      </c>
      <c r="AF5436">
        <v>2.9907076703239599</v>
      </c>
      <c r="AG5436">
        <v>-1.1109126483609999</v>
      </c>
      <c r="AH5436">
        <v>17.376999054368799</v>
      </c>
      <c r="AI5436">
        <v>93.605084392486802</v>
      </c>
      <c r="AJ5436">
        <v>80.234649956379698</v>
      </c>
      <c r="AK5436">
        <v>17.667443375235599</v>
      </c>
      <c r="AL5436">
        <v>87.713617644372505</v>
      </c>
      <c r="AM5436">
        <v>89.904032995617499</v>
      </c>
      <c r="AN5436">
        <v>0.99999999646683402</v>
      </c>
    </row>
    <row r="5437" spans="1:40" x14ac:dyDescent="0.25">
      <c r="A5437" t="str">
        <f>"20190312151425363"</f>
        <v>20190312151425363</v>
      </c>
      <c r="B5437" t="str">
        <f>"1552374865356061"</f>
        <v>1552374865356061</v>
      </c>
      <c r="C5437" t="s">
        <v>40</v>
      </c>
      <c r="D5437">
        <v>5.1842509999999997</v>
      </c>
      <c r="E5437">
        <v>0.56491169999999902</v>
      </c>
      <c r="F5437" t="s">
        <v>66</v>
      </c>
      <c r="G5437">
        <v>-248.50200000000001</v>
      </c>
      <c r="H5437" s="1">
        <v>-3.6113890000000002E-6</v>
      </c>
      <c r="I5437">
        <v>-65.141999999999996</v>
      </c>
      <c r="J5437">
        <v>-266.16140000000001</v>
      </c>
      <c r="K5437">
        <v>1.1107769999999999</v>
      </c>
      <c r="L5437">
        <v>-64.692319999999995</v>
      </c>
      <c r="M5437">
        <v>0.98890979999999995</v>
      </c>
      <c r="N5437">
        <v>0</v>
      </c>
      <c r="O5437">
        <v>0.14803859999999999</v>
      </c>
      <c r="P5437">
        <v>0.98916610000000005</v>
      </c>
      <c r="Q5437">
        <v>2.857591E-2</v>
      </c>
      <c r="R5437">
        <v>0.143992799999999</v>
      </c>
      <c r="S5437">
        <v>3.0498050000000001</v>
      </c>
      <c r="T5437">
        <v>-0.19008729999999999</v>
      </c>
      <c r="U5437">
        <v>-7.2692870000000007E-2</v>
      </c>
      <c r="V5437">
        <v>3.9374730000000004E-3</v>
      </c>
      <c r="W5437">
        <v>4.0494639999999998E-2</v>
      </c>
      <c r="X5437">
        <v>0.99917199999999995</v>
      </c>
      <c r="Y5437">
        <v>0.17095539999999901</v>
      </c>
      <c r="Z5437">
        <v>-1.4517530000000001E-2</v>
      </c>
      <c r="AA5437">
        <v>0.98517180000000004</v>
      </c>
      <c r="AB5437">
        <v>34</v>
      </c>
      <c r="AC5437">
        <v>17.659400000000002</v>
      </c>
      <c r="AD5437">
        <v>-1.110780611389</v>
      </c>
      <c r="AE5437">
        <v>-0.44968000000000002</v>
      </c>
      <c r="AF5437">
        <v>3.0471349937122501</v>
      </c>
      <c r="AG5437">
        <v>-1.110780611389</v>
      </c>
      <c r="AH5437">
        <v>17.329699367366</v>
      </c>
      <c r="AI5437">
        <v>93.612202261181594</v>
      </c>
      <c r="AJ5437">
        <v>80.027445585098306</v>
      </c>
      <c r="AK5437">
        <v>17.630579837311899</v>
      </c>
      <c r="AL5437">
        <v>87.679193463561802</v>
      </c>
      <c r="AM5437">
        <v>89.774213631843395</v>
      </c>
      <c r="AN5437">
        <v>1.0000000025731699</v>
      </c>
    </row>
    <row r="5438" spans="1:40" x14ac:dyDescent="0.25">
      <c r="A5438" t="str">
        <f>"20190312151425375"</f>
        <v>20190312151425375</v>
      </c>
      <c r="B5438" t="str">
        <f>"1552374865365821"</f>
        <v>1552374865365821</v>
      </c>
      <c r="C5438" t="s">
        <v>40</v>
      </c>
      <c r="D5438">
        <v>5.10039</v>
      </c>
      <c r="E5438">
        <v>0.56501349999999995</v>
      </c>
      <c r="F5438" t="s">
        <v>66</v>
      </c>
      <c r="G5438">
        <v>-248.4051</v>
      </c>
      <c r="H5438" s="1">
        <v>-3.584795E-6</v>
      </c>
      <c r="I5438">
        <v>-65.17792</v>
      </c>
      <c r="J5438">
        <v>-265.99419999999998</v>
      </c>
      <c r="K5438">
        <v>1.110644</v>
      </c>
      <c r="L5438">
        <v>-64.667050000000003</v>
      </c>
      <c r="M5438">
        <v>0.98888419999999999</v>
      </c>
      <c r="N5438">
        <v>0</v>
      </c>
      <c r="O5438">
        <v>0.14821089999999901</v>
      </c>
      <c r="P5438">
        <v>0.98941639999999997</v>
      </c>
      <c r="Q5438">
        <v>2.9047199999999999E-2</v>
      </c>
      <c r="R5438">
        <v>0.1421685</v>
      </c>
      <c r="S5438">
        <v>3.0505369999999998</v>
      </c>
      <c r="T5438">
        <v>-0.19083249999999999</v>
      </c>
      <c r="U5438">
        <v>-8.3435060000000005E-2</v>
      </c>
      <c r="V5438">
        <v>5.9649309999999997E-3</v>
      </c>
      <c r="W5438">
        <v>4.0962030000000003E-2</v>
      </c>
      <c r="X5438">
        <v>0.99914289999999994</v>
      </c>
      <c r="Y5438">
        <v>0.17457510000000001</v>
      </c>
      <c r="Z5438">
        <v>-1.4694560000000001E-2</v>
      </c>
      <c r="AA5438">
        <v>0.98453420000000003</v>
      </c>
      <c r="AB5438">
        <v>34</v>
      </c>
      <c r="AC5438">
        <v>17.589099999999899</v>
      </c>
      <c r="AD5438">
        <v>-1.1106475847949999</v>
      </c>
      <c r="AE5438">
        <v>-0.51086999999999705</v>
      </c>
      <c r="AF5438">
        <v>3.0999582634765601</v>
      </c>
      <c r="AG5438">
        <v>-1.1106475847949999</v>
      </c>
      <c r="AH5438">
        <v>17.250370264312799</v>
      </c>
      <c r="AI5438">
        <v>93.625923057749603</v>
      </c>
      <c r="AJ5438">
        <v>79.812461749911506</v>
      </c>
      <c r="AK5438">
        <v>17.561849377238001</v>
      </c>
      <c r="AL5438">
        <v>87.652391747858303</v>
      </c>
      <c r="AM5438">
        <v>89.657945513966695</v>
      </c>
      <c r="AN5438">
        <v>1.0000000014619801</v>
      </c>
    </row>
    <row r="5439" spans="1:40" x14ac:dyDescent="0.25">
      <c r="A5439" t="str">
        <f>"20190312151425387"</f>
        <v>20190312151425387</v>
      </c>
      <c r="B5439" t="str">
        <f>"1552374865375581"</f>
        <v>1552374865375581</v>
      </c>
      <c r="C5439" t="s">
        <v>40</v>
      </c>
      <c r="D5439">
        <v>5.0972670000000004</v>
      </c>
      <c r="E5439">
        <v>0.56513539999999995</v>
      </c>
      <c r="F5439" t="s">
        <v>66</v>
      </c>
      <c r="G5439">
        <v>-248.35730000000001</v>
      </c>
      <c r="H5439" s="1">
        <v>-3.5701220000000001E-6</v>
      </c>
      <c r="I5439">
        <v>-65.186940000000007</v>
      </c>
      <c r="J5439">
        <v>-265.81790000000001</v>
      </c>
      <c r="K5439">
        <v>1.1105050000000001</v>
      </c>
      <c r="L5439">
        <v>-64.640410000000003</v>
      </c>
      <c r="M5439">
        <v>0.98886110000000005</v>
      </c>
      <c r="N5439">
        <v>0</v>
      </c>
      <c r="O5439">
        <v>0.14836540000000001</v>
      </c>
      <c r="P5439">
        <v>0.98967579999999999</v>
      </c>
      <c r="Q5439">
        <v>2.9535019999999999E-2</v>
      </c>
      <c r="R5439">
        <v>0.14024829999999999</v>
      </c>
      <c r="S5439">
        <v>3.050659</v>
      </c>
      <c r="T5439">
        <v>-0.19210959999999999</v>
      </c>
      <c r="U5439">
        <v>-8.9935299999999996E-2</v>
      </c>
      <c r="V5439">
        <v>8.0717629999999992E-3</v>
      </c>
      <c r="W5439">
        <v>4.144465E-2</v>
      </c>
      <c r="X5439">
        <v>0.9991082</v>
      </c>
      <c r="Y5439">
        <v>0.17681040000000001</v>
      </c>
      <c r="Z5439">
        <v>-1.487198E-2</v>
      </c>
      <c r="AA5439">
        <v>0.98413249999999997</v>
      </c>
      <c r="AB5439">
        <v>34</v>
      </c>
      <c r="AC5439">
        <v>17.460599999999999</v>
      </c>
      <c r="AD5439">
        <v>-1.1105085701220001</v>
      </c>
      <c r="AE5439">
        <v>-0.54653000000000396</v>
      </c>
      <c r="AF5439">
        <v>3.1186099637582099</v>
      </c>
      <c r="AG5439">
        <v>-1.1105085701220001</v>
      </c>
      <c r="AH5439">
        <v>17.117065502120301</v>
      </c>
      <c r="AI5439">
        <v>93.652039991124596</v>
      </c>
      <c r="AJ5439">
        <v>79.6743651657372</v>
      </c>
      <c r="AK5439">
        <v>17.4342447153366</v>
      </c>
      <c r="AL5439">
        <v>87.624716161553906</v>
      </c>
      <c r="AM5439">
        <v>89.537119311413704</v>
      </c>
      <c r="AN5439">
        <v>1.0000000038393899</v>
      </c>
    </row>
    <row r="5440" spans="1:40" x14ac:dyDescent="0.25">
      <c r="A5440" t="str">
        <f>"20190312151425397"</f>
        <v>20190312151425397</v>
      </c>
      <c r="B5440" t="str">
        <f>"1552374865386317"</f>
        <v>1552374865386317</v>
      </c>
      <c r="C5440" t="s">
        <v>40</v>
      </c>
      <c r="D5440">
        <v>4.8683730000000001</v>
      </c>
      <c r="E5440">
        <v>0.56497089999999905</v>
      </c>
      <c r="F5440" t="s">
        <v>66</v>
      </c>
      <c r="G5440">
        <v>-248.54060000000001</v>
      </c>
      <c r="H5440" s="1">
        <v>-3.632817E-6</v>
      </c>
      <c r="I5440">
        <v>-65.188719999999904</v>
      </c>
      <c r="J5440">
        <v>-265.65350000000001</v>
      </c>
      <c r="K5440">
        <v>1.1103829999999999</v>
      </c>
      <c r="L5440">
        <v>-64.615600000000001</v>
      </c>
      <c r="M5440">
        <v>0.98885290000000003</v>
      </c>
      <c r="N5440">
        <v>0</v>
      </c>
      <c r="O5440">
        <v>0.14842079999999999</v>
      </c>
      <c r="P5440">
        <v>0.9899464</v>
      </c>
      <c r="Q5440">
        <v>2.9734549999999998E-2</v>
      </c>
      <c r="R5440">
        <v>0.1382832</v>
      </c>
      <c r="S5440">
        <v>3.0508730000000002</v>
      </c>
      <c r="T5440">
        <v>-0.19609679999999999</v>
      </c>
      <c r="U5440">
        <v>-9.6832280000000007E-2</v>
      </c>
      <c r="V5440">
        <v>1.012332E-2</v>
      </c>
      <c r="W5440">
        <v>4.1638559999999998E-2</v>
      </c>
      <c r="X5440">
        <v>0.99908140000000001</v>
      </c>
      <c r="Y5440">
        <v>0.1790543</v>
      </c>
      <c r="Z5440">
        <v>-1.525438E-2</v>
      </c>
      <c r="AA5440">
        <v>0.98372099999999996</v>
      </c>
      <c r="AB5440">
        <v>34</v>
      </c>
      <c r="AC5440">
        <v>17.1128999999999</v>
      </c>
      <c r="AD5440">
        <v>-1.110386632817</v>
      </c>
      <c r="AE5440">
        <v>-0.57311999999998797</v>
      </c>
      <c r="AF5440">
        <v>3.09384995876816</v>
      </c>
      <c r="AG5440">
        <v>-1.110386632817</v>
      </c>
      <c r="AH5440">
        <v>16.767750509966501</v>
      </c>
      <c r="AI5440">
        <v>93.725972092735404</v>
      </c>
      <c r="AJ5440">
        <v>79.545823321826205</v>
      </c>
      <c r="AK5440">
        <v>17.086905021278501</v>
      </c>
      <c r="AL5440">
        <v>87.613596203671705</v>
      </c>
      <c r="AM5440">
        <v>89.419463057247597</v>
      </c>
      <c r="AN5440">
        <v>0.99999994755632604</v>
      </c>
    </row>
    <row r="5441" spans="1:40" x14ac:dyDescent="0.25">
      <c r="A5441" t="str">
        <f>"20190312151425408"</f>
        <v>20190312151425408</v>
      </c>
      <c r="B5441" t="str">
        <f>"1552374865405836"</f>
        <v>1552374865405836</v>
      </c>
      <c r="C5441" t="s">
        <v>40</v>
      </c>
      <c r="D5441">
        <v>5.0818989999999999</v>
      </c>
      <c r="E5441">
        <v>0.56442950000000003</v>
      </c>
      <c r="F5441" t="s">
        <v>66</v>
      </c>
      <c r="G5441">
        <v>-248.30350000000001</v>
      </c>
      <c r="H5441" s="1">
        <v>-3.552936E-6</v>
      </c>
      <c r="I5441">
        <v>-65.193349999999995</v>
      </c>
      <c r="J5441">
        <v>-265.48480000000001</v>
      </c>
      <c r="K5441">
        <v>1.1102609999999999</v>
      </c>
      <c r="L5441">
        <v>-64.590180000000004</v>
      </c>
      <c r="M5441">
        <v>0.98884850000000002</v>
      </c>
      <c r="N5441">
        <v>0</v>
      </c>
      <c r="O5441">
        <v>0.1484491</v>
      </c>
      <c r="P5441">
        <v>0.99016000000000004</v>
      </c>
      <c r="Q5441">
        <v>2.986625E-2</v>
      </c>
      <c r="R5441">
        <v>0.13671539999999999</v>
      </c>
      <c r="S5441">
        <v>3.0505369999999998</v>
      </c>
      <c r="T5441">
        <v>-0.19523119999999999</v>
      </c>
      <c r="U5441">
        <v>-0.101593</v>
      </c>
      <c r="V5441">
        <v>1.174623E-2</v>
      </c>
      <c r="W5441">
        <v>4.176386E-2</v>
      </c>
      <c r="X5441">
        <v>0.99905849999999996</v>
      </c>
      <c r="Y5441">
        <v>0.1806218</v>
      </c>
      <c r="Z5441">
        <v>-1.524064E-2</v>
      </c>
      <c r="AA5441">
        <v>0.98343460000000005</v>
      </c>
      <c r="AB5441">
        <v>34</v>
      </c>
      <c r="AC5441">
        <v>17.181299999999901</v>
      </c>
      <c r="AD5441">
        <v>-1.110264552936</v>
      </c>
      <c r="AE5441">
        <v>-0.60316999999999099</v>
      </c>
      <c r="AF5441">
        <v>3.1341434755753101</v>
      </c>
      <c r="AG5441">
        <v>-1.110264552936</v>
      </c>
      <c r="AH5441">
        <v>16.831161330639301</v>
      </c>
      <c r="AI5441">
        <v>93.710440356959793</v>
      </c>
      <c r="AJ5441">
        <v>79.451720204732993</v>
      </c>
      <c r="AK5441">
        <v>17.1564429425509</v>
      </c>
      <c r="AL5441">
        <v>87.606411013527605</v>
      </c>
      <c r="AM5441">
        <v>89.326387397921195</v>
      </c>
      <c r="AN5441">
        <v>1.0000000401717799</v>
      </c>
    </row>
    <row r="5442" spans="1:40" x14ac:dyDescent="0.25">
      <c r="A5442" t="str">
        <f>"20190312151425419"</f>
        <v>20190312151425419</v>
      </c>
      <c r="B5442" t="str">
        <f>"1552374865415597"</f>
        <v>1552374865415597</v>
      </c>
      <c r="C5442" t="s">
        <v>40</v>
      </c>
      <c r="D5442">
        <v>5.0536580000000004</v>
      </c>
      <c r="E5442">
        <v>0.56417629999999996</v>
      </c>
      <c r="F5442" t="s">
        <v>66</v>
      </c>
      <c r="G5442">
        <v>-248.0384</v>
      </c>
      <c r="H5442" s="1">
        <v>-3.4593859999999999E-6</v>
      </c>
      <c r="I5442">
        <v>-65.174430000000001</v>
      </c>
      <c r="J5442">
        <v>-265.31779999999998</v>
      </c>
      <c r="K5442">
        <v>1.110152</v>
      </c>
      <c r="L5442">
        <v>-64.565060000000003</v>
      </c>
      <c r="M5442">
        <v>0.98885389999999995</v>
      </c>
      <c r="N5442">
        <v>0</v>
      </c>
      <c r="O5442">
        <v>0.14841460000000001</v>
      </c>
      <c r="P5442">
        <v>0.99039140000000003</v>
      </c>
      <c r="Q5442">
        <v>3.0383219999999999E-2</v>
      </c>
      <c r="R5442">
        <v>0.1349147</v>
      </c>
      <c r="S5442">
        <v>3.0497740000000002</v>
      </c>
      <c r="T5442">
        <v>-0.1940837</v>
      </c>
      <c r="U5442">
        <v>-0.10214230000000001</v>
      </c>
      <c r="V5442">
        <v>1.353738E-2</v>
      </c>
      <c r="W5442">
        <v>4.227363E-2</v>
      </c>
      <c r="X5442">
        <v>0.99901439999999997</v>
      </c>
      <c r="Y5442">
        <v>0.18077969999999999</v>
      </c>
      <c r="Z5442">
        <v>-1.5157840000000001E-2</v>
      </c>
      <c r="AA5442">
        <v>0.98340680000000003</v>
      </c>
      <c r="AB5442">
        <v>34</v>
      </c>
      <c r="AC5442">
        <v>17.2793999999999</v>
      </c>
      <c r="AD5442">
        <v>-1.1101554593859999</v>
      </c>
      <c r="AE5442">
        <v>-0.60936999999999797</v>
      </c>
      <c r="AF5442">
        <v>3.1543126081717299</v>
      </c>
      <c r="AG5442">
        <v>-1.1101554593859999</v>
      </c>
      <c r="AH5442">
        <v>16.927775314360801</v>
      </c>
      <c r="AI5442">
        <v>93.688875214906602</v>
      </c>
      <c r="AJ5442">
        <v>79.4445936408856</v>
      </c>
      <c r="AK5442">
        <v>17.254903948372402</v>
      </c>
      <c r="AL5442">
        <v>87.577177540462202</v>
      </c>
      <c r="AM5442">
        <v>89.223647556784002</v>
      </c>
      <c r="AN5442">
        <v>1.0000000459289899</v>
      </c>
    </row>
    <row r="5443" spans="1:40" x14ac:dyDescent="0.25">
      <c r="A5443" t="str">
        <f>"20190312151425431"</f>
        <v>20190312151425431</v>
      </c>
      <c r="B5443" t="str">
        <f>"1552374865426336"</f>
        <v>1552374865426336</v>
      </c>
      <c r="C5443" t="s">
        <v>40</v>
      </c>
      <c r="D5443">
        <v>5.0913370000000002</v>
      </c>
      <c r="E5443">
        <v>0.56415869999999901</v>
      </c>
      <c r="F5443" t="s">
        <v>66</v>
      </c>
      <c r="G5443">
        <v>-247.71019999999999</v>
      </c>
      <c r="H5443" s="1">
        <v>-3.3477409999999998E-6</v>
      </c>
      <c r="I5443">
        <v>-65.174700000000001</v>
      </c>
      <c r="J5443">
        <v>-265.14819999999997</v>
      </c>
      <c r="K5443">
        <v>1.1100399999999999</v>
      </c>
      <c r="L5443">
        <v>-64.539580000000001</v>
      </c>
      <c r="M5443">
        <v>0.98886600000000002</v>
      </c>
      <c r="N5443">
        <v>0</v>
      </c>
      <c r="O5443">
        <v>0.1483342</v>
      </c>
      <c r="P5443">
        <v>0.99057110000000004</v>
      </c>
      <c r="Q5443">
        <v>3.0694099999999998E-2</v>
      </c>
      <c r="R5443">
        <v>0.1335182</v>
      </c>
      <c r="S5443">
        <v>3.0493769999999998</v>
      </c>
      <c r="T5443">
        <v>-0.1922624</v>
      </c>
      <c r="U5443">
        <v>-0.1055908</v>
      </c>
      <c r="V5443">
        <v>1.4874979999999999E-2</v>
      </c>
      <c r="W5443">
        <v>4.2576620000000003E-2</v>
      </c>
      <c r="X5443">
        <v>0.9989825</v>
      </c>
      <c r="Y5443">
        <v>0.18182519999999999</v>
      </c>
      <c r="Z5443">
        <v>-1.5045630000000001E-2</v>
      </c>
      <c r="AA5443">
        <v>0.98321570000000003</v>
      </c>
      <c r="AB5443">
        <v>34</v>
      </c>
      <c r="AC5443">
        <v>17.437999999999899</v>
      </c>
      <c r="AD5443">
        <v>-1.1100433477410001</v>
      </c>
      <c r="AE5443">
        <v>-0.63512000000000002</v>
      </c>
      <c r="AF5443">
        <v>3.2019693110039702</v>
      </c>
      <c r="AG5443">
        <v>-1.1100433477410001</v>
      </c>
      <c r="AH5443">
        <v>17.081718312013699</v>
      </c>
      <c r="AI5443">
        <v>93.6546218405921</v>
      </c>
      <c r="AJ5443">
        <v>79.383108311256905</v>
      </c>
      <c r="AK5443">
        <v>17.414646255191599</v>
      </c>
      <c r="AL5443">
        <v>87.559801820719599</v>
      </c>
      <c r="AM5443">
        <v>89.146921397362803</v>
      </c>
      <c r="AN5443">
        <v>1.0000000344534301</v>
      </c>
    </row>
    <row r="5444" spans="1:40" x14ac:dyDescent="0.25">
      <c r="A5444" t="str">
        <f>"20190312151425442"</f>
        <v>20190312151425442</v>
      </c>
      <c r="B5444" t="str">
        <f>"1552374865436093"</f>
        <v>1552374865436093</v>
      </c>
      <c r="C5444" t="s">
        <v>40</v>
      </c>
      <c r="D5444">
        <v>5.0828790000000001</v>
      </c>
      <c r="E5444">
        <v>0.56410179999999999</v>
      </c>
      <c r="F5444" t="s">
        <v>66</v>
      </c>
      <c r="G5444">
        <v>-247.73699999999999</v>
      </c>
      <c r="H5444" s="1">
        <v>-3.3553619999999999E-6</v>
      </c>
      <c r="I5444">
        <v>-65.16628</v>
      </c>
      <c r="J5444">
        <v>-264.97280000000001</v>
      </c>
      <c r="K5444">
        <v>1.109931</v>
      </c>
      <c r="L5444">
        <v>-64.513339999999999</v>
      </c>
      <c r="M5444">
        <v>0.98888509999999996</v>
      </c>
      <c r="N5444">
        <v>0</v>
      </c>
      <c r="O5444">
        <v>0.1482069</v>
      </c>
      <c r="P5444">
        <v>0.99075170000000001</v>
      </c>
      <c r="Q5444">
        <v>3.1133939999999999E-2</v>
      </c>
      <c r="R5444">
        <v>0.1320684</v>
      </c>
      <c r="S5444">
        <v>3.0494080000000001</v>
      </c>
      <c r="T5444">
        <v>-0.19441369999999999</v>
      </c>
      <c r="U5444">
        <v>-0.1097717</v>
      </c>
      <c r="V5444">
        <v>1.621794E-2</v>
      </c>
      <c r="W5444">
        <v>4.3008230000000001E-2</v>
      </c>
      <c r="X5444">
        <v>0.99894309999999997</v>
      </c>
      <c r="Y5444">
        <v>0.18302760000000001</v>
      </c>
      <c r="Z5444">
        <v>-1.524359E-2</v>
      </c>
      <c r="AA5444">
        <v>0.98298960000000002</v>
      </c>
      <c r="AB5444">
        <v>34</v>
      </c>
      <c r="AC5444">
        <v>17.235800000000001</v>
      </c>
      <c r="AD5444">
        <v>-1.109934355362</v>
      </c>
      <c r="AE5444">
        <v>-0.65294000000000096</v>
      </c>
      <c r="AF5444">
        <v>3.1871745157735099</v>
      </c>
      <c r="AG5444">
        <v>-1.109934355362</v>
      </c>
      <c r="AH5444">
        <v>16.878754781443501</v>
      </c>
      <c r="AI5444">
        <v>93.697161564819396</v>
      </c>
      <c r="AJ5444">
        <v>79.306880711380103</v>
      </c>
      <c r="AK5444">
        <v>17.212855621288199</v>
      </c>
      <c r="AL5444">
        <v>87.5350496889982</v>
      </c>
      <c r="AM5444">
        <v>89.069879068624303</v>
      </c>
      <c r="AN5444">
        <v>1.00000002323159</v>
      </c>
    </row>
    <row r="5445" spans="1:40" x14ac:dyDescent="0.25">
      <c r="A5445" t="str">
        <f>"20190312151425454"</f>
        <v>20190312151425454</v>
      </c>
      <c r="B5445" t="str">
        <f>"1552374865445853"</f>
        <v>1552374865445853</v>
      </c>
      <c r="C5445" t="s">
        <v>40</v>
      </c>
      <c r="D5445">
        <v>5.0652879999999998</v>
      </c>
      <c r="E5445">
        <v>0.56400260000000002</v>
      </c>
      <c r="F5445" t="s">
        <v>66</v>
      </c>
      <c r="G5445">
        <v>-247.65369999999999</v>
      </c>
      <c r="H5445" s="1">
        <v>-3.325754E-6</v>
      </c>
      <c r="I5445">
        <v>-65.159279999999995</v>
      </c>
      <c r="J5445">
        <v>-264.80619999999999</v>
      </c>
      <c r="K5445">
        <v>1.109836</v>
      </c>
      <c r="L5445">
        <v>-64.488460000000003</v>
      </c>
      <c r="M5445">
        <v>0.98891249999999997</v>
      </c>
      <c r="N5445">
        <v>0</v>
      </c>
      <c r="O5445">
        <v>0.14802479999999901</v>
      </c>
      <c r="P5445">
        <v>0.99094990000000005</v>
      </c>
      <c r="Q5445">
        <v>3.1425450000000001E-2</v>
      </c>
      <c r="R5445">
        <v>0.1305027</v>
      </c>
      <c r="S5445">
        <v>3.0493160000000001</v>
      </c>
      <c r="T5445">
        <v>-0.1954215</v>
      </c>
      <c r="U5445">
        <v>-0.11373900000000001</v>
      </c>
      <c r="V5445">
        <v>1.762184E-2</v>
      </c>
      <c r="W5445">
        <v>4.3291209999999997E-2</v>
      </c>
      <c r="X5445">
        <v>0.99890710000000005</v>
      </c>
      <c r="Y5445">
        <v>0.1841159</v>
      </c>
      <c r="Z5445">
        <v>-1.534602E-2</v>
      </c>
      <c r="AA5445">
        <v>0.98278469999999996</v>
      </c>
      <c r="AB5445">
        <v>34</v>
      </c>
      <c r="AC5445">
        <v>17.1525</v>
      </c>
      <c r="AD5445">
        <v>-1.109839325754</v>
      </c>
      <c r="AE5445">
        <v>-0.67082000000000597</v>
      </c>
      <c r="AF5445">
        <v>3.1892710873218402</v>
      </c>
      <c r="AG5445">
        <v>-1.109839325754</v>
      </c>
      <c r="AH5445">
        <v>16.794007273713898</v>
      </c>
      <c r="AI5445">
        <v>93.714719258817297</v>
      </c>
      <c r="AJ5445">
        <v>79.247269540161497</v>
      </c>
      <c r="AK5445">
        <v>17.130145174719701</v>
      </c>
      <c r="AL5445">
        <v>87.518821022066405</v>
      </c>
      <c r="AM5445">
        <v>88.989343112439499</v>
      </c>
      <c r="AN5445">
        <v>1.0000000262693201</v>
      </c>
    </row>
    <row r="5446" spans="1:40" x14ac:dyDescent="0.25">
      <c r="A5446" t="str">
        <f>"20190312151425466"</f>
        <v>20190312151425466</v>
      </c>
      <c r="B5446" t="str">
        <f>"1552374865455613"</f>
        <v>1552374865455613</v>
      </c>
      <c r="C5446" t="s">
        <v>40</v>
      </c>
      <c r="D5446">
        <v>5.0822839999999996</v>
      </c>
      <c r="E5446">
        <v>0.56391049999999998</v>
      </c>
      <c r="F5446" t="s">
        <v>66</v>
      </c>
      <c r="G5446">
        <v>-247.65770000000001</v>
      </c>
      <c r="H5446" s="1">
        <v>-3.3254680000000001E-6</v>
      </c>
      <c r="I5446">
        <v>-65.149879999999996</v>
      </c>
      <c r="J5446">
        <v>-264.62610000000001</v>
      </c>
      <c r="K5446">
        <v>1.109734</v>
      </c>
      <c r="L5446">
        <v>-64.461579999999998</v>
      </c>
      <c r="M5446">
        <v>0.98894530000000003</v>
      </c>
      <c r="N5446">
        <v>0</v>
      </c>
      <c r="O5446">
        <v>0.14780489999999999</v>
      </c>
      <c r="P5446">
        <v>0.99108180000000001</v>
      </c>
      <c r="Q5446">
        <v>3.1892139999999999E-2</v>
      </c>
      <c r="R5446">
        <v>0.129383</v>
      </c>
      <c r="S5446">
        <v>3.0491329999999999</v>
      </c>
      <c r="T5446">
        <v>-0.1973375</v>
      </c>
      <c r="U5446">
        <v>-0.1176147</v>
      </c>
      <c r="V5446">
        <v>1.8537410000000001E-2</v>
      </c>
      <c r="W5446">
        <v>4.3748540000000002E-2</v>
      </c>
      <c r="X5446">
        <v>0.99887060000000005</v>
      </c>
      <c r="Y5446">
        <v>0.18513170000000001</v>
      </c>
      <c r="Z5446">
        <v>-1.5515670000000001E-2</v>
      </c>
      <c r="AA5446">
        <v>0.9825912</v>
      </c>
      <c r="AB5446">
        <v>34</v>
      </c>
      <c r="AC5446">
        <v>16.968399999999999</v>
      </c>
      <c r="AD5446">
        <v>-1.1097373254680001</v>
      </c>
      <c r="AE5446">
        <v>-0.68830000000001201</v>
      </c>
      <c r="AF5446">
        <v>3.1753690434174402</v>
      </c>
      <c r="AG5446">
        <v>-1.1097373254680001</v>
      </c>
      <c r="AH5446">
        <v>16.609335929467701</v>
      </c>
      <c r="AI5446">
        <v>93.754682262988695</v>
      </c>
      <c r="AJ5446">
        <v>79.176806328668903</v>
      </c>
      <c r="AK5446">
        <v>16.946519569260801</v>
      </c>
      <c r="AL5446">
        <v>87.492593085959797</v>
      </c>
      <c r="AM5446">
        <v>88.936805782633201</v>
      </c>
      <c r="AN5446">
        <v>1.00000002293299</v>
      </c>
    </row>
    <row r="5447" spans="1:40" x14ac:dyDescent="0.25">
      <c r="A5447" t="str">
        <f>"20190312151425478"</f>
        <v>20190312151425478</v>
      </c>
      <c r="B5447" t="str">
        <f>"1552374865466349"</f>
        <v>1552374865466349</v>
      </c>
      <c r="C5447" t="s">
        <v>40</v>
      </c>
      <c r="D5447">
        <v>5.0777289999999997</v>
      </c>
      <c r="E5447">
        <v>0.56387830000000005</v>
      </c>
      <c r="F5447" t="s">
        <v>66</v>
      </c>
      <c r="G5447">
        <v>-247.58189999999999</v>
      </c>
      <c r="H5447" s="1">
        <v>-3.2968700000000002E-6</v>
      </c>
      <c r="I5447">
        <v>-65.134159999999994</v>
      </c>
      <c r="J5447">
        <v>-264.43869999999998</v>
      </c>
      <c r="K5447">
        <v>1.109634</v>
      </c>
      <c r="L5447">
        <v>-64.433779999999999</v>
      </c>
      <c r="M5447">
        <v>0.98899139999999996</v>
      </c>
      <c r="N5447">
        <v>0</v>
      </c>
      <c r="O5447">
        <v>0.14749699999999999</v>
      </c>
      <c r="P5447">
        <v>0.99118419999999896</v>
      </c>
      <c r="Q5447">
        <v>3.2198709999999998E-2</v>
      </c>
      <c r="R5447">
        <v>0.12851979999999999</v>
      </c>
      <c r="S5447">
        <v>3.0490719999999998</v>
      </c>
      <c r="T5447">
        <v>-0.19852300000000001</v>
      </c>
      <c r="U5447">
        <v>-0.1203308</v>
      </c>
      <c r="V5447">
        <v>1.9106140000000001E-2</v>
      </c>
      <c r="W5447">
        <v>4.404628E-2</v>
      </c>
      <c r="X5447">
        <v>0.99884680000000003</v>
      </c>
      <c r="Y5447">
        <v>0.18569160000000001</v>
      </c>
      <c r="Z5447">
        <v>-1.56072E-2</v>
      </c>
      <c r="AA5447">
        <v>0.98248409999999997</v>
      </c>
      <c r="AB5447">
        <v>34</v>
      </c>
      <c r="AC5447">
        <v>16.8567999999999</v>
      </c>
      <c r="AD5447">
        <v>-1.1096372968699999</v>
      </c>
      <c r="AE5447">
        <v>-0.70037999999999501</v>
      </c>
      <c r="AF5447">
        <v>3.1655274836728502</v>
      </c>
      <c r="AG5447">
        <v>-1.1096372968699999</v>
      </c>
      <c r="AH5447">
        <v>16.497726251790301</v>
      </c>
      <c r="AI5447">
        <v>93.779184997461499</v>
      </c>
      <c r="AJ5447">
        <v>79.1382942016524</v>
      </c>
      <c r="AK5447">
        <v>16.835285285955401</v>
      </c>
      <c r="AL5447">
        <v>87.475517384927798</v>
      </c>
      <c r="AM5447">
        <v>88.904168585793798</v>
      </c>
      <c r="AN5447">
        <v>1.00000002461888</v>
      </c>
    </row>
    <row r="5448" spans="1:40" x14ac:dyDescent="0.25">
      <c r="A5448" t="str">
        <f>"20190312151425489"</f>
        <v>20190312151425489</v>
      </c>
      <c r="B5448" t="str">
        <f>"1552374865485869"</f>
        <v>1552374865485869</v>
      </c>
      <c r="C5448" t="s">
        <v>40</v>
      </c>
      <c r="D5448">
        <v>5.0629150000000003</v>
      </c>
      <c r="E5448">
        <v>0.56380620000000004</v>
      </c>
      <c r="F5448" t="s">
        <v>66</v>
      </c>
      <c r="G5448">
        <v>-247.49019999999999</v>
      </c>
      <c r="H5448" s="1">
        <v>-3.2624229999999999E-6</v>
      </c>
      <c r="I5448">
        <v>-65.115819999999999</v>
      </c>
      <c r="J5448">
        <v>-264.26220000000001</v>
      </c>
      <c r="K5448">
        <v>1.109542</v>
      </c>
      <c r="L5448">
        <v>-64.407679999999999</v>
      </c>
      <c r="M5448">
        <v>0.98903799999999997</v>
      </c>
      <c r="N5448">
        <v>0</v>
      </c>
      <c r="O5448">
        <v>0.1471846</v>
      </c>
      <c r="P5448">
        <v>0.99130269999999998</v>
      </c>
      <c r="Q5448">
        <v>3.257297E-2</v>
      </c>
      <c r="R5448">
        <v>0.12750719999999999</v>
      </c>
      <c r="S5448">
        <v>3.049042</v>
      </c>
      <c r="T5448">
        <v>-0.19962469999999999</v>
      </c>
      <c r="U5448">
        <v>-0.12271120000000001</v>
      </c>
      <c r="V5448">
        <v>1.9819659999999999E-2</v>
      </c>
      <c r="W5448">
        <v>4.4412130000000001E-2</v>
      </c>
      <c r="X5448">
        <v>0.9988167</v>
      </c>
      <c r="Y5448">
        <v>0.18613930000000001</v>
      </c>
      <c r="Z5448">
        <v>-1.568802E-2</v>
      </c>
      <c r="AA5448">
        <v>0.98239810000000005</v>
      </c>
      <c r="AB5448">
        <v>34</v>
      </c>
      <c r="AC5448">
        <v>16.771999999999998</v>
      </c>
      <c r="AD5448">
        <v>-1.109545262423</v>
      </c>
      <c r="AE5448">
        <v>-0.70813999999999999</v>
      </c>
      <c r="AF5448">
        <v>3.1553953632141098</v>
      </c>
      <c r="AG5448">
        <v>-1.109545262423</v>
      </c>
      <c r="AH5448">
        <v>16.413372173588701</v>
      </c>
      <c r="AI5448">
        <v>93.797977997759901</v>
      </c>
      <c r="AJ5448">
        <v>79.117914569252903</v>
      </c>
      <c r="AK5448">
        <v>16.750713319029</v>
      </c>
      <c r="AL5448">
        <v>87.454535200562702</v>
      </c>
      <c r="AM5448">
        <v>88.863220990146303</v>
      </c>
      <c r="AN5448">
        <v>1.00000002820627</v>
      </c>
    </row>
    <row r="5449" spans="1:40" x14ac:dyDescent="0.25">
      <c r="A5449" t="str">
        <f>"20190312151425501"</f>
        <v>20190312151425501</v>
      </c>
      <c r="B5449" t="str">
        <f>"1552374865495629"</f>
        <v>1552374865495629</v>
      </c>
      <c r="C5449" t="s">
        <v>40</v>
      </c>
      <c r="D5449">
        <v>5.0775880000000004</v>
      </c>
      <c r="E5449">
        <v>0.56376289999999996</v>
      </c>
      <c r="F5449" t="s">
        <v>66</v>
      </c>
      <c r="G5449">
        <v>-247.655</v>
      </c>
      <c r="H5449" s="1">
        <v>-3.3138989999999999E-6</v>
      </c>
      <c r="I5449">
        <v>-65.089770000000001</v>
      </c>
      <c r="J5449">
        <v>-264.08640000000003</v>
      </c>
      <c r="K5449">
        <v>1.1094539999999999</v>
      </c>
      <c r="L5449">
        <v>-64.381810000000002</v>
      </c>
      <c r="M5449">
        <v>0.98909000000000002</v>
      </c>
      <c r="N5449">
        <v>0</v>
      </c>
      <c r="O5449">
        <v>0.1468352</v>
      </c>
      <c r="P5449">
        <v>0.99136389999999996</v>
      </c>
      <c r="Q5449">
        <v>3.2876450000000002E-2</v>
      </c>
      <c r="R5449">
        <v>0.1269535</v>
      </c>
      <c r="S5449">
        <v>3.0491329999999999</v>
      </c>
      <c r="T5449">
        <v>-0.2037168</v>
      </c>
      <c r="U5449">
        <v>-0.1252441</v>
      </c>
      <c r="V5449">
        <v>2.0032970000000001E-2</v>
      </c>
      <c r="W5449">
        <v>4.4707959999999998E-2</v>
      </c>
      <c r="X5449">
        <v>0.9987992</v>
      </c>
      <c r="Y5449">
        <v>0.1865762</v>
      </c>
      <c r="Z5449">
        <v>-1.5999719999999999E-2</v>
      </c>
      <c r="AA5449">
        <v>0.98231020000000002</v>
      </c>
      <c r="AB5449">
        <v>34</v>
      </c>
      <c r="AC5449">
        <v>16.4314</v>
      </c>
      <c r="AD5449">
        <v>-1.109457313899</v>
      </c>
      <c r="AE5449">
        <v>-0.70795999999999903</v>
      </c>
      <c r="AF5449">
        <v>3.09906009155746</v>
      </c>
      <c r="AG5449">
        <v>-1.109457313899</v>
      </c>
      <c r="AH5449">
        <v>16.076157852160101</v>
      </c>
      <c r="AI5449">
        <v>93.876718624651005</v>
      </c>
      <c r="AJ5449">
        <v>79.088728285203103</v>
      </c>
      <c r="AK5449">
        <v>16.409689828574301</v>
      </c>
      <c r="AL5449">
        <v>87.437568418546803</v>
      </c>
      <c r="AM5449">
        <v>88.850969489940098</v>
      </c>
      <c r="AN5449">
        <v>0.99999998174751104</v>
      </c>
    </row>
    <row r="5450" spans="1:40" x14ac:dyDescent="0.25">
      <c r="A5450" t="str">
        <f>"20190312151425511"</f>
        <v>20190312151425511</v>
      </c>
      <c r="B5450" t="str">
        <f>"1552374865506365"</f>
        <v>1552374865506365</v>
      </c>
      <c r="C5450" t="s">
        <v>40</v>
      </c>
      <c r="D5450">
        <v>5.0615680000000003</v>
      </c>
      <c r="E5450">
        <v>0.56375730000000002</v>
      </c>
      <c r="F5450" t="s">
        <v>66</v>
      </c>
      <c r="G5450">
        <v>-247.60509999999999</v>
      </c>
      <c r="H5450" s="1">
        <v>-3.2927260000000001E-6</v>
      </c>
      <c r="I5450">
        <v>-65.066130000000001</v>
      </c>
      <c r="J5450">
        <v>-263.94400000000002</v>
      </c>
      <c r="K5450">
        <v>1.1093839999999999</v>
      </c>
      <c r="L5450">
        <v>-64.360869999999906</v>
      </c>
      <c r="M5450">
        <v>0.98913549999999995</v>
      </c>
      <c r="N5450">
        <v>0</v>
      </c>
      <c r="O5450">
        <v>0.14652780000000001</v>
      </c>
      <c r="P5450">
        <v>0.99146250000000002</v>
      </c>
      <c r="Q5450">
        <v>3.2947259999999999E-2</v>
      </c>
      <c r="R5450">
        <v>0.12616150000000001</v>
      </c>
      <c r="S5450">
        <v>3.0491640000000002</v>
      </c>
      <c r="T5450">
        <v>-0.2052581</v>
      </c>
      <c r="U5450">
        <v>-0.12661739999999999</v>
      </c>
      <c r="V5450">
        <v>2.052793E-2</v>
      </c>
      <c r="W5450">
        <v>4.4773220000000002E-2</v>
      </c>
      <c r="X5450">
        <v>0.99878630000000002</v>
      </c>
      <c r="Y5450">
        <v>0.18670139999999999</v>
      </c>
      <c r="Z5450">
        <v>-1.6103969999999999E-2</v>
      </c>
      <c r="AA5450">
        <v>0.98228470000000001</v>
      </c>
      <c r="AB5450">
        <v>34</v>
      </c>
      <c r="AC5450">
        <v>16.338899999999999</v>
      </c>
      <c r="AD5450">
        <v>-1.109387292726</v>
      </c>
      <c r="AE5450">
        <v>-0.70526000000000899</v>
      </c>
      <c r="AF5450">
        <v>3.0777553795434098</v>
      </c>
      <c r="AG5450">
        <v>-1.109387292726</v>
      </c>
      <c r="AH5450">
        <v>15.9856145637445</v>
      </c>
      <c r="AI5450">
        <v>93.898537616176498</v>
      </c>
      <c r="AJ5450">
        <v>79.102034863166196</v>
      </c>
      <c r="AK5450">
        <v>16.316960235355499</v>
      </c>
      <c r="AL5450">
        <v>87.433825736310098</v>
      </c>
      <c r="AM5450">
        <v>88.822572775436001</v>
      </c>
      <c r="AN5450">
        <v>1.00000005510347</v>
      </c>
    </row>
    <row r="5451" spans="1:40" x14ac:dyDescent="0.25">
      <c r="A5451" t="str">
        <f>"20190312151425521"</f>
        <v>20190312151425521</v>
      </c>
      <c r="B5451" t="str">
        <f>"1552374865516125"</f>
        <v>1552374865516125</v>
      </c>
      <c r="C5451" t="s">
        <v>40</v>
      </c>
      <c r="D5451">
        <v>5.055453</v>
      </c>
      <c r="E5451">
        <v>0.56367460000000003</v>
      </c>
      <c r="F5451" t="s">
        <v>66</v>
      </c>
      <c r="G5451">
        <v>-247.58930000000001</v>
      </c>
      <c r="H5451" s="1">
        <v>-3.2849059999999998E-6</v>
      </c>
      <c r="I5451">
        <v>-65.052409999999995</v>
      </c>
      <c r="J5451">
        <v>-263.79090000000002</v>
      </c>
      <c r="K5451">
        <v>1.1093120000000001</v>
      </c>
      <c r="L5451">
        <v>-64.338470000000001</v>
      </c>
      <c r="M5451">
        <v>0.98918740000000005</v>
      </c>
      <c r="N5451">
        <v>0</v>
      </c>
      <c r="O5451">
        <v>0.146176799999999</v>
      </c>
      <c r="P5451">
        <v>0.99157980000000001</v>
      </c>
      <c r="Q5451">
        <v>3.3508200000000002E-2</v>
      </c>
      <c r="R5451">
        <v>0.1250858</v>
      </c>
      <c r="S5451">
        <v>3.0490719999999998</v>
      </c>
      <c r="T5451">
        <v>-0.20682809999999999</v>
      </c>
      <c r="U5451">
        <v>-0.12893679999999999</v>
      </c>
      <c r="V5451">
        <v>2.12631E-2</v>
      </c>
      <c r="W5451">
        <v>4.5326739999999997E-2</v>
      </c>
      <c r="X5451">
        <v>0.99874589999999996</v>
      </c>
      <c r="Y5451">
        <v>0.18708830000000001</v>
      </c>
      <c r="Z5451">
        <v>-1.621672E-2</v>
      </c>
      <c r="AA5451">
        <v>0.98220929999999995</v>
      </c>
      <c r="AB5451">
        <v>34</v>
      </c>
      <c r="AC5451">
        <v>16.201599999999999</v>
      </c>
      <c r="AD5451">
        <v>-1.109315284906</v>
      </c>
      <c r="AE5451">
        <v>-0.71393999999999302</v>
      </c>
      <c r="AF5451">
        <v>3.0604150669459602</v>
      </c>
      <c r="AG5451">
        <v>-1.109315284906</v>
      </c>
      <c r="AH5451">
        <v>15.849019470132999</v>
      </c>
      <c r="AI5451">
        <v>93.931366029010107</v>
      </c>
      <c r="AJ5451">
        <v>79.070809087407</v>
      </c>
      <c r="AK5451">
        <v>16.179868322949002</v>
      </c>
      <c r="AL5451">
        <v>87.402079010510505</v>
      </c>
      <c r="AM5451">
        <v>88.780368585790697</v>
      </c>
      <c r="AN5451">
        <v>1.0000000027737199</v>
      </c>
    </row>
    <row r="5452" spans="1:40" x14ac:dyDescent="0.25">
      <c r="A5452" t="str">
        <f>"20190312151425532"</f>
        <v>20190312151425532</v>
      </c>
      <c r="B5452" t="str">
        <f>"1552374865525885"</f>
        <v>1552374865525885</v>
      </c>
      <c r="C5452" t="s">
        <v>40</v>
      </c>
      <c r="D5452">
        <v>5.081099</v>
      </c>
      <c r="E5452">
        <v>0.56368289999999999</v>
      </c>
      <c r="F5452" t="s">
        <v>66</v>
      </c>
      <c r="G5452">
        <v>-247.51050000000001</v>
      </c>
      <c r="H5452" s="1">
        <v>-3.2557430000000001E-6</v>
      </c>
      <c r="I5452">
        <v>-65.039249999999996</v>
      </c>
      <c r="J5452">
        <v>-263.61880000000002</v>
      </c>
      <c r="K5452">
        <v>1.10924</v>
      </c>
      <c r="L5452">
        <v>-64.313389999999998</v>
      </c>
      <c r="M5452">
        <v>0.98925019999999997</v>
      </c>
      <c r="N5452">
        <v>0</v>
      </c>
      <c r="O5452">
        <v>0.1457522</v>
      </c>
      <c r="P5452">
        <v>0.99170049999999998</v>
      </c>
      <c r="Q5452">
        <v>3.363642E-2</v>
      </c>
      <c r="R5452">
        <v>0.1240921</v>
      </c>
      <c r="S5452">
        <v>3.049042</v>
      </c>
      <c r="T5452">
        <v>-0.20775569999999999</v>
      </c>
      <c r="U5452">
        <v>-0.13125609999999999</v>
      </c>
      <c r="V5452">
        <v>2.1843060000000001E-2</v>
      </c>
      <c r="W5452">
        <v>4.5447729999999999E-2</v>
      </c>
      <c r="X5452">
        <v>0.9987279</v>
      </c>
      <c r="Y5452">
        <v>0.1874063</v>
      </c>
      <c r="Z5452">
        <v>-1.627143E-2</v>
      </c>
      <c r="AA5452">
        <v>0.98214769999999896</v>
      </c>
      <c r="AB5452">
        <v>34</v>
      </c>
      <c r="AC5452">
        <v>16.1083</v>
      </c>
      <c r="AD5452">
        <v>-1.1092432557430001</v>
      </c>
      <c r="AE5452">
        <v>-0.72585999999999695</v>
      </c>
      <c r="AF5452">
        <v>3.0516511052006599</v>
      </c>
      <c r="AG5452">
        <v>-1.1092432557430001</v>
      </c>
      <c r="AH5452">
        <v>15.7558923766984</v>
      </c>
      <c r="AI5452">
        <v>93.953843460953493</v>
      </c>
      <c r="AJ5452">
        <v>79.038494166658396</v>
      </c>
      <c r="AK5452">
        <v>16.086986655504699</v>
      </c>
      <c r="AL5452">
        <v>87.395139679578904</v>
      </c>
      <c r="AM5452">
        <v>88.747090514974204</v>
      </c>
      <c r="AN5452">
        <v>1.00000001683536</v>
      </c>
    </row>
    <row r="5453" spans="1:40" x14ac:dyDescent="0.25">
      <c r="A5453" t="str">
        <f>"20190312151425543"</f>
        <v>20190312151425543</v>
      </c>
      <c r="B5453" t="str">
        <f>"1552374865535644"</f>
        <v>1552374865535644</v>
      </c>
      <c r="C5453" t="s">
        <v>40</v>
      </c>
      <c r="D5453">
        <v>5.0543750000000003</v>
      </c>
      <c r="E5453">
        <v>0.56359429999999999</v>
      </c>
      <c r="F5453" t="s">
        <v>66</v>
      </c>
      <c r="G5453">
        <v>-247.51560000000001</v>
      </c>
      <c r="H5453" s="1">
        <v>-3.2544480000000002E-6</v>
      </c>
      <c r="I5453">
        <v>-65.022189999999995</v>
      </c>
      <c r="J5453">
        <v>-263.45339999999999</v>
      </c>
      <c r="K5453">
        <v>1.1091709999999999</v>
      </c>
      <c r="L5453">
        <v>-64.289400000000001</v>
      </c>
      <c r="M5453">
        <v>0.98931290000000005</v>
      </c>
      <c r="N5453">
        <v>0</v>
      </c>
      <c r="O5453">
        <v>0.14532490000000001</v>
      </c>
      <c r="P5453">
        <v>0.99177910000000002</v>
      </c>
      <c r="Q5453">
        <v>3.4012760000000003E-2</v>
      </c>
      <c r="R5453">
        <v>0.1233587</v>
      </c>
      <c r="S5453">
        <v>3.0489809999999999</v>
      </c>
      <c r="T5453">
        <v>-0.21002409999999999</v>
      </c>
      <c r="U5453">
        <v>-0.13421629999999901</v>
      </c>
      <c r="V5453">
        <v>2.2156499999999999E-2</v>
      </c>
      <c r="W5453">
        <v>4.5817839999999999E-2</v>
      </c>
      <c r="X5453">
        <v>0.99870409999999998</v>
      </c>
      <c r="Y5453">
        <v>0.18791740000000001</v>
      </c>
      <c r="Z5453">
        <v>-1.6437210000000001E-2</v>
      </c>
      <c r="AA5453">
        <v>0.98204729999999996</v>
      </c>
      <c r="AB5453">
        <v>34</v>
      </c>
      <c r="AC5453">
        <v>15.9377999999999</v>
      </c>
      <c r="AD5453">
        <v>-1.1091742544480001</v>
      </c>
      <c r="AE5453">
        <v>-0.73279000000000805</v>
      </c>
      <c r="AF5453">
        <v>3.0267033376880499</v>
      </c>
      <c r="AG5453">
        <v>-1.1091742544480001</v>
      </c>
      <c r="AH5453">
        <v>15.586747756683501</v>
      </c>
      <c r="AI5453">
        <v>93.995990597731307</v>
      </c>
      <c r="AJ5453">
        <v>79.010816220048795</v>
      </c>
      <c r="AK5453">
        <v>15.916592168287201</v>
      </c>
      <c r="AL5453">
        <v>87.373911865679304</v>
      </c>
      <c r="AM5453">
        <v>88.729087296103899</v>
      </c>
      <c r="AN5453">
        <v>1.0000000321556599</v>
      </c>
    </row>
    <row r="5454" spans="1:40" x14ac:dyDescent="0.25">
      <c r="A5454" t="str">
        <f>"20190312151425554"</f>
        <v>20190312151425554</v>
      </c>
      <c r="B5454" t="str">
        <f>"1552374865546382"</f>
        <v>1552374865546382</v>
      </c>
      <c r="C5454" t="s">
        <v>40</v>
      </c>
      <c r="D5454">
        <v>5.0399839999999996</v>
      </c>
      <c r="E5454">
        <v>0.56346909999999995</v>
      </c>
      <c r="F5454" t="s">
        <v>66</v>
      </c>
      <c r="G5454">
        <v>-247.4247</v>
      </c>
      <c r="H5454" s="1">
        <v>-3.2200099999999999E-6</v>
      </c>
      <c r="I5454">
        <v>-65.002300000000005</v>
      </c>
      <c r="J5454">
        <v>-263.28699999999998</v>
      </c>
      <c r="K5454">
        <v>1.1091059999999999</v>
      </c>
      <c r="L5454">
        <v>-64.265349999999998</v>
      </c>
      <c r="M5454">
        <v>0.98938170000000003</v>
      </c>
      <c r="N5454">
        <v>0</v>
      </c>
      <c r="O5454">
        <v>0.14485709999999999</v>
      </c>
      <c r="P5454">
        <v>0.99184989999999995</v>
      </c>
      <c r="Q5454">
        <v>3.4471330000000001E-2</v>
      </c>
      <c r="R5454">
        <v>0.1226617</v>
      </c>
      <c r="S5454">
        <v>3.0490110000000001</v>
      </c>
      <c r="T5454">
        <v>-0.2109895</v>
      </c>
      <c r="U5454">
        <v>-0.13562009999999999</v>
      </c>
      <c r="V5454">
        <v>2.2391580000000001E-2</v>
      </c>
      <c r="W5454">
        <v>4.6270840000000001E-2</v>
      </c>
      <c r="X5454">
        <v>0.99867799999999995</v>
      </c>
      <c r="Y5454">
        <v>0.1878978</v>
      </c>
      <c r="Z5454">
        <v>-1.6479540000000001E-2</v>
      </c>
      <c r="AA5454">
        <v>0.98205030000000004</v>
      </c>
      <c r="AB5454">
        <v>34</v>
      </c>
      <c r="AC5454">
        <v>15.862299999999999</v>
      </c>
      <c r="AD5454">
        <v>-1.1091092200099999</v>
      </c>
      <c r="AE5454">
        <v>-0.73695000000000699</v>
      </c>
      <c r="AF5454">
        <v>3.0124081213024199</v>
      </c>
      <c r="AG5454">
        <v>-1.1091092200099999</v>
      </c>
      <c r="AH5454">
        <v>15.512533454925601</v>
      </c>
      <c r="AI5454">
        <v>94.014805397052001</v>
      </c>
      <c r="AJ5454">
        <v>79.010403186207597</v>
      </c>
      <c r="AK5454">
        <v>15.8411937726103</v>
      </c>
      <c r="AL5454">
        <v>87.3479293964607</v>
      </c>
      <c r="AM5454">
        <v>88.715573876466806</v>
      </c>
      <c r="AN5454">
        <v>1.00000006058659</v>
      </c>
    </row>
    <row r="5455" spans="1:40" x14ac:dyDescent="0.25">
      <c r="A5455" t="str">
        <f>"20190312151425564"</f>
        <v>20190312151425564</v>
      </c>
      <c r="B5455" t="str">
        <f>"1552374865556144"</f>
        <v>1552374865556144</v>
      </c>
      <c r="C5455" t="s">
        <v>40</v>
      </c>
      <c r="D5455">
        <v>5.1095569999999997</v>
      </c>
      <c r="E5455">
        <v>0.56340119999999905</v>
      </c>
      <c r="F5455" t="s">
        <v>66</v>
      </c>
      <c r="G5455">
        <v>-247.37010000000001</v>
      </c>
      <c r="H5455" s="1">
        <v>-3.1971939999999999E-6</v>
      </c>
      <c r="I5455">
        <v>-64.978549999999998</v>
      </c>
      <c r="J5455">
        <v>-263.12049999999999</v>
      </c>
      <c r="K5455">
        <v>1.1090500000000001</v>
      </c>
      <c r="L5455">
        <v>-64.241389999999996</v>
      </c>
      <c r="M5455">
        <v>0.98945159999999999</v>
      </c>
      <c r="N5455">
        <v>0</v>
      </c>
      <c r="O5455">
        <v>0.1443787</v>
      </c>
      <c r="P5455">
        <v>0.99190140000000004</v>
      </c>
      <c r="Q5455">
        <v>3.4505000000000001E-2</v>
      </c>
      <c r="R5455">
        <v>0.12223349999999999</v>
      </c>
      <c r="S5455">
        <v>3.0489199999999999</v>
      </c>
      <c r="T5455">
        <v>-0.2124519</v>
      </c>
      <c r="U5455">
        <v>-0.1366272</v>
      </c>
      <c r="V5455">
        <v>2.2346649999999999E-2</v>
      </c>
      <c r="W5455">
        <v>4.6298939999999997E-2</v>
      </c>
      <c r="X5455">
        <v>0.9986777</v>
      </c>
      <c r="Y5455">
        <v>0.1877385</v>
      </c>
      <c r="Z5455">
        <v>-1.6555319999999998E-2</v>
      </c>
      <c r="AA5455">
        <v>0.98207949999999999</v>
      </c>
      <c r="AB5455">
        <v>34</v>
      </c>
      <c r="AC5455">
        <v>15.7503999999999</v>
      </c>
      <c r="AD5455">
        <v>-1.1090531971940001</v>
      </c>
      <c r="AE5455">
        <v>-0.73716000000000204</v>
      </c>
      <c r="AF5455">
        <v>2.98883041759413</v>
      </c>
      <c r="AG5455">
        <v>-1.1090531971940001</v>
      </c>
      <c r="AH5455">
        <v>15.4027119605806</v>
      </c>
      <c r="AI5455">
        <v>94.043243016329399</v>
      </c>
      <c r="AJ5455">
        <v>79.018473434339398</v>
      </c>
      <c r="AK5455">
        <v>15.7291653306828</v>
      </c>
      <c r="AL5455">
        <v>87.346317647087304</v>
      </c>
      <c r="AM5455">
        <v>88.718149906038406</v>
      </c>
      <c r="AN5455">
        <v>1.0000000565443099</v>
      </c>
    </row>
    <row r="5456" spans="1:40" x14ac:dyDescent="0.25">
      <c r="A5456" t="str">
        <f>"20190312151425577"</f>
        <v>20190312151425577</v>
      </c>
      <c r="B5456" t="str">
        <f>"1552374865565901"</f>
        <v>1552374865565901</v>
      </c>
      <c r="C5456" t="s">
        <v>40</v>
      </c>
      <c r="D5456">
        <v>5.0988170000000004</v>
      </c>
      <c r="E5456">
        <v>0.56335709999999894</v>
      </c>
      <c r="F5456" t="s">
        <v>66</v>
      </c>
      <c r="G5456">
        <v>-247.29</v>
      </c>
      <c r="H5456" s="1">
        <v>-3.165652E-6</v>
      </c>
      <c r="I5456">
        <v>-64.95438</v>
      </c>
      <c r="J5456">
        <v>-262.93630000000002</v>
      </c>
      <c r="K5456">
        <v>1.1089869999999999</v>
      </c>
      <c r="L5456">
        <v>-64.215029999999999</v>
      </c>
      <c r="M5456">
        <v>0.98953590000000002</v>
      </c>
      <c r="N5456">
        <v>0</v>
      </c>
      <c r="O5456">
        <v>0.14380009999999999</v>
      </c>
      <c r="P5456">
        <v>0.99194629999999995</v>
      </c>
      <c r="Q5456">
        <v>3.4565310000000002E-2</v>
      </c>
      <c r="R5456">
        <v>0.1218509</v>
      </c>
      <c r="S5456">
        <v>3.0488590000000002</v>
      </c>
      <c r="T5456">
        <v>-0.21359649999999999</v>
      </c>
      <c r="U5456">
        <v>-0.13732910000000001</v>
      </c>
      <c r="V5456">
        <v>2.2154429999999999E-2</v>
      </c>
      <c r="W5456">
        <v>4.6355140000000003E-2</v>
      </c>
      <c r="X5456">
        <v>0.99867930000000005</v>
      </c>
      <c r="Y5456">
        <v>0.1873843</v>
      </c>
      <c r="Z5456">
        <v>-1.6591979999999999E-2</v>
      </c>
      <c r="AA5456">
        <v>0.98214659999999998</v>
      </c>
      <c r="AB5456">
        <v>34</v>
      </c>
      <c r="AC5456">
        <v>15.6463</v>
      </c>
      <c r="AD5456">
        <v>-1.108990165652</v>
      </c>
      <c r="AE5456">
        <v>-0.73935000000000095</v>
      </c>
      <c r="AF5456">
        <v>2.9668901058687802</v>
      </c>
      <c r="AG5456">
        <v>-1.108990165652</v>
      </c>
      <c r="AH5456">
        <v>15.3006391497929</v>
      </c>
      <c r="AI5456">
        <v>94.070000925083406</v>
      </c>
      <c r="AJ5456">
        <v>79.026173039578296</v>
      </c>
      <c r="AK5456">
        <v>15.625039343310201</v>
      </c>
      <c r="AL5456">
        <v>87.343093962661598</v>
      </c>
      <c r="AM5456">
        <v>88.7291744468274</v>
      </c>
      <c r="AN5456">
        <v>0.99999998101076704</v>
      </c>
    </row>
    <row r="5457" spans="1:40" x14ac:dyDescent="0.25">
      <c r="A5457" t="str">
        <f>"20190312151425588"</f>
        <v>20190312151425588</v>
      </c>
      <c r="B5457" t="str">
        <f>"1552374865575515"</f>
        <v>1552374865575515</v>
      </c>
      <c r="C5457" t="s">
        <v>40</v>
      </c>
      <c r="D5457">
        <v>5.090802</v>
      </c>
      <c r="E5457">
        <v>0.56328819999999902</v>
      </c>
      <c r="F5457" t="s">
        <v>66</v>
      </c>
      <c r="G5457">
        <v>-247.20959999999999</v>
      </c>
      <c r="H5457" s="1">
        <v>-3.1335810000000001E-6</v>
      </c>
      <c r="I5457">
        <v>-64.927750000000003</v>
      </c>
      <c r="J5457">
        <v>-262.77640000000002</v>
      </c>
      <c r="K5457">
        <v>1.108932</v>
      </c>
      <c r="L5457">
        <v>-64.1922</v>
      </c>
      <c r="M5457">
        <v>0.9896104</v>
      </c>
      <c r="N5457">
        <v>0</v>
      </c>
      <c r="O5457">
        <v>0.14328669999999999</v>
      </c>
      <c r="P5457">
        <v>0.99202140000000005</v>
      </c>
      <c r="Q5457">
        <v>3.461032E-2</v>
      </c>
      <c r="R5457">
        <v>0.1212259</v>
      </c>
      <c r="S5457">
        <v>3.0488279999999999</v>
      </c>
      <c r="T5457">
        <v>-0.2149925</v>
      </c>
      <c r="U5457">
        <v>-0.13818359999999999</v>
      </c>
      <c r="V5457">
        <v>2.2271340000000001E-2</v>
      </c>
      <c r="W5457">
        <v>4.6395159999999998E-2</v>
      </c>
      <c r="X5457">
        <v>0.99867490000000003</v>
      </c>
      <c r="Y5457">
        <v>0.18714130000000001</v>
      </c>
      <c r="Z5457">
        <v>-1.665581E-2</v>
      </c>
      <c r="AA5457">
        <v>0.98219179999999995</v>
      </c>
      <c r="AB5457">
        <v>34</v>
      </c>
      <c r="AC5457">
        <v>15.566800000000001</v>
      </c>
      <c r="AD5457">
        <v>-1.108935133581</v>
      </c>
      <c r="AE5457">
        <v>-0.73555000000000303</v>
      </c>
      <c r="AF5457">
        <v>2.9437253507179202</v>
      </c>
      <c r="AG5457">
        <v>-1.108935133581</v>
      </c>
      <c r="AH5457">
        <v>15.2236611100648</v>
      </c>
      <c r="AI5457">
        <v>94.090720529553494</v>
      </c>
      <c r="AJ5457">
        <v>79.056057916554707</v>
      </c>
      <c r="AK5457">
        <v>15.5452601671715</v>
      </c>
      <c r="AL5457">
        <v>87.340798671944398</v>
      </c>
      <c r="AM5457">
        <v>88.722464828773695</v>
      </c>
      <c r="AN5457">
        <v>1.0000000396734099</v>
      </c>
    </row>
    <row r="5458" spans="1:40" x14ac:dyDescent="0.25">
      <c r="A5458" t="str">
        <f>"20190312151425598"</f>
        <v>20190312151425598</v>
      </c>
      <c r="B5458" t="str">
        <f>"1552374865596011"</f>
        <v>1552374865596011</v>
      </c>
      <c r="C5458" t="s">
        <v>40</v>
      </c>
      <c r="D5458">
        <v>4.997414</v>
      </c>
      <c r="E5458">
        <v>0.56301499999999904</v>
      </c>
      <c r="F5458" t="s">
        <v>66</v>
      </c>
      <c r="G5458">
        <v>-247.1651</v>
      </c>
      <c r="H5458" s="1">
        <v>-3.1145220000000002E-6</v>
      </c>
      <c r="I5458">
        <v>-64.905819999999906</v>
      </c>
      <c r="J5458">
        <v>-262.60849999999999</v>
      </c>
      <c r="K5458">
        <v>1.108886</v>
      </c>
      <c r="L5458">
        <v>-64.168430000000001</v>
      </c>
      <c r="M5458">
        <v>0.98969339999999995</v>
      </c>
      <c r="N5458">
        <v>0</v>
      </c>
      <c r="O5458">
        <v>0.14271220000000001</v>
      </c>
      <c r="P5458">
        <v>0.99206050000000001</v>
      </c>
      <c r="Q5458">
        <v>3.4575509999999997E-2</v>
      </c>
      <c r="R5458">
        <v>0.1209162</v>
      </c>
      <c r="S5458">
        <v>3.048737</v>
      </c>
      <c r="T5458">
        <v>-0.21656359999999999</v>
      </c>
      <c r="U5458">
        <v>-0.13937379999999999</v>
      </c>
      <c r="V5458">
        <v>2.20092E-2</v>
      </c>
      <c r="W5458">
        <v>4.6357519999999999E-2</v>
      </c>
      <c r="X5458">
        <v>0.99868239999999997</v>
      </c>
      <c r="Y5458">
        <v>0.1869449</v>
      </c>
      <c r="Z5458">
        <v>-1.6730189999999999E-2</v>
      </c>
      <c r="AA5458">
        <v>0.98222790000000004</v>
      </c>
      <c r="AB5458">
        <v>34</v>
      </c>
      <c r="AC5458">
        <v>15.443399999999899</v>
      </c>
      <c r="AD5458">
        <v>-1.1088891145219999</v>
      </c>
      <c r="AE5458">
        <v>-0.73738999999999</v>
      </c>
      <c r="AF5458">
        <v>2.91894223231585</v>
      </c>
      <c r="AG5458">
        <v>-1.1088891145219999</v>
      </c>
      <c r="AH5458">
        <v>15.1023739892292</v>
      </c>
      <c r="AI5458">
        <v>94.123357154160104</v>
      </c>
      <c r="AJ5458">
        <v>79.060923448915204</v>
      </c>
      <c r="AK5458">
        <v>15.421788447986501</v>
      </c>
      <c r="AL5458">
        <v>87.342957450080306</v>
      </c>
      <c r="AM5458">
        <v>88.73750636314</v>
      </c>
      <c r="AN5458">
        <v>0.99999998030747395</v>
      </c>
    </row>
    <row r="5459" spans="1:40" x14ac:dyDescent="0.25">
      <c r="A5459" t="str">
        <f>"20190312151425609"</f>
        <v>20190312151425609</v>
      </c>
      <c r="B5459" t="str">
        <f>"1552374865605771"</f>
        <v>1552374865605771</v>
      </c>
      <c r="C5459" t="s">
        <v>40</v>
      </c>
      <c r="D5459">
        <v>5.0107100000000004</v>
      </c>
      <c r="E5459">
        <v>0.52676829999999997</v>
      </c>
      <c r="F5459" t="s">
        <v>66</v>
      </c>
      <c r="G5459">
        <v>-247.08500000000001</v>
      </c>
      <c r="H5459" s="1">
        <v>-3.0810869999999999E-6</v>
      </c>
      <c r="I5459">
        <v>-64.870959999999997</v>
      </c>
      <c r="J5459">
        <v>-262.43970000000002</v>
      </c>
      <c r="K5459">
        <v>1.1088309999999999</v>
      </c>
      <c r="L5459">
        <v>-64.144589999999994</v>
      </c>
      <c r="M5459">
        <v>0.98977890000000002</v>
      </c>
      <c r="N5459">
        <v>0</v>
      </c>
      <c r="O5459">
        <v>0.14211860000000001</v>
      </c>
      <c r="P5459">
        <v>0.99209179999999997</v>
      </c>
      <c r="Q5459">
        <v>3.444941E-2</v>
      </c>
      <c r="R5459">
        <v>0.12069439999999999</v>
      </c>
      <c r="S5459">
        <v>3.0484010000000001</v>
      </c>
      <c r="T5459">
        <v>-0.2177558</v>
      </c>
      <c r="U5459">
        <v>-0.13797000000000001</v>
      </c>
      <c r="V5459">
        <v>2.1639519999999999E-2</v>
      </c>
      <c r="W5459">
        <v>4.622892E-2</v>
      </c>
      <c r="X5459">
        <v>0.99869640000000004</v>
      </c>
      <c r="Y5459">
        <v>0.18590409999999999</v>
      </c>
      <c r="Z5459">
        <v>-1.6744820000000001E-2</v>
      </c>
      <c r="AA5459">
        <v>0.9824252</v>
      </c>
      <c r="AB5459">
        <v>34</v>
      </c>
      <c r="AC5459">
        <v>15.354699999999999</v>
      </c>
      <c r="AD5459">
        <v>-1.1088340810870001</v>
      </c>
      <c r="AE5459">
        <v>-0.72636999999998797</v>
      </c>
      <c r="AF5459">
        <v>2.8863189046386499</v>
      </c>
      <c r="AG5459">
        <v>-1.1088340810870001</v>
      </c>
      <c r="AH5459">
        <v>15.0174439544904</v>
      </c>
      <c r="AI5459">
        <v>94.147219129493905</v>
      </c>
      <c r="AJ5459">
        <v>79.120547773525004</v>
      </c>
      <c r="AK5459">
        <v>15.332448361723401</v>
      </c>
      <c r="AL5459">
        <v>87.350333490255196</v>
      </c>
      <c r="AM5459">
        <v>88.758722683311504</v>
      </c>
      <c r="AN5459">
        <v>0.99999994062157604</v>
      </c>
    </row>
    <row r="5460" spans="1:40" x14ac:dyDescent="0.25">
      <c r="A5460" t="str">
        <f>"20190312151425621"</f>
        <v>20190312151425621</v>
      </c>
      <c r="B5460" t="str">
        <f>"1552374865615531"</f>
        <v>1552374865615531</v>
      </c>
      <c r="C5460" t="s">
        <v>40</v>
      </c>
      <c r="D5460">
        <v>5.0084200000000001</v>
      </c>
      <c r="E5460">
        <v>0.51531329999999997</v>
      </c>
      <c r="F5460" t="s">
        <v>41</v>
      </c>
      <c r="G5460">
        <v>-261.45159999999998</v>
      </c>
      <c r="H5460">
        <v>1.052986</v>
      </c>
      <c r="I5460">
        <v>-64.096050000000005</v>
      </c>
      <c r="J5460">
        <v>-262.25869999999998</v>
      </c>
      <c r="K5460">
        <v>1.1087750000000001</v>
      </c>
      <c r="L5460">
        <v>-64.119200000000006</v>
      </c>
      <c r="M5460">
        <v>0.98987369999999997</v>
      </c>
      <c r="N5460">
        <v>0</v>
      </c>
      <c r="O5460">
        <v>0.1414561</v>
      </c>
      <c r="P5460">
        <v>0.99211099999999997</v>
      </c>
      <c r="Q5460">
        <v>3.4227649999999998E-2</v>
      </c>
      <c r="R5460">
        <v>0.120599</v>
      </c>
      <c r="S5460">
        <v>3.0117189999999998</v>
      </c>
      <c r="T5460">
        <v>-0.170073</v>
      </c>
      <c r="U5460">
        <v>0.14862059999999999</v>
      </c>
      <c r="V5460">
        <v>2.1073270000000002E-2</v>
      </c>
      <c r="W5460">
        <v>4.6005520000000001E-2</v>
      </c>
      <c r="X5460">
        <v>0.99871889999999997</v>
      </c>
      <c r="Y5460">
        <v>9.2132779999999997E-2</v>
      </c>
      <c r="Z5460">
        <v>-1.054807E-2</v>
      </c>
      <c r="AA5460">
        <v>0.99569090000000005</v>
      </c>
      <c r="AB5460">
        <v>34</v>
      </c>
      <c r="AC5460">
        <v>0.80709999999999105</v>
      </c>
      <c r="AD5460">
        <v>-5.5788999999999998E-2</v>
      </c>
      <c r="AE5460">
        <v>2.31500000000011E-2</v>
      </c>
      <c r="AF5460">
        <v>9.0826432790840697E-2</v>
      </c>
      <c r="AG5460">
        <v>-5.5788999999999998E-2</v>
      </c>
      <c r="AH5460">
        <v>0.79844621658093196</v>
      </c>
      <c r="AI5460">
        <v>93.9713431522962</v>
      </c>
      <c r="AJ5460">
        <v>83.510273538579398</v>
      </c>
      <c r="AK5460">
        <v>0.80552977237772705</v>
      </c>
      <c r="AL5460">
        <v>87.363147199947505</v>
      </c>
      <c r="AM5460">
        <v>88.7912211427209</v>
      </c>
      <c r="AN5460">
        <v>1.00000001589808</v>
      </c>
    </row>
    <row r="5461" spans="1:40" x14ac:dyDescent="0.25">
      <c r="A5461" t="str">
        <f>"20190312151425633"</f>
        <v>20190312151425633</v>
      </c>
      <c r="B5461" t="str">
        <f>"1552374865626267"</f>
        <v>1552374865626267</v>
      </c>
      <c r="C5461" t="s">
        <v>40</v>
      </c>
      <c r="D5461">
        <v>4.9785579999999996</v>
      </c>
      <c r="E5461">
        <v>0.50587959999999998</v>
      </c>
      <c r="F5461" t="s">
        <v>66</v>
      </c>
      <c r="G5461">
        <v>-243.57040000000001</v>
      </c>
      <c r="H5461" s="1">
        <v>-1.1167489999999999E-6</v>
      </c>
      <c r="I5461">
        <v>-62.630859999999998</v>
      </c>
      <c r="J5461">
        <v>-262.09320000000002</v>
      </c>
      <c r="K5461">
        <v>1.108733</v>
      </c>
      <c r="L5461">
        <v>-64.096100000000007</v>
      </c>
      <c r="M5461">
        <v>0.98996379999999995</v>
      </c>
      <c r="N5461">
        <v>0</v>
      </c>
      <c r="O5461">
        <v>0.14082459999999999</v>
      </c>
      <c r="P5461">
        <v>0.99212180000000005</v>
      </c>
      <c r="Q5461">
        <v>3.3654879999999998E-2</v>
      </c>
      <c r="R5461">
        <v>0.12067310000000001</v>
      </c>
      <c r="S5461">
        <v>3.0009160000000001</v>
      </c>
      <c r="T5461">
        <v>-0.17804400000000001</v>
      </c>
      <c r="U5461">
        <v>0.23898320000000001</v>
      </c>
      <c r="V5461">
        <v>2.0367690000000001E-2</v>
      </c>
      <c r="W5461">
        <v>4.5432010000000002E-2</v>
      </c>
      <c r="X5461">
        <v>0.99875970000000003</v>
      </c>
      <c r="Y5461">
        <v>6.1444529999999997E-2</v>
      </c>
      <c r="Z5461">
        <v>-1.012095E-2</v>
      </c>
      <c r="AA5461">
        <v>0.99805920000000004</v>
      </c>
      <c r="AB5461">
        <v>34</v>
      </c>
      <c r="AC5461">
        <v>18.5228</v>
      </c>
      <c r="AD5461">
        <v>-1.1087341167489999</v>
      </c>
      <c r="AE5461">
        <v>1.4652400000000001</v>
      </c>
      <c r="AF5461">
        <v>1.15390379111782</v>
      </c>
      <c r="AG5461">
        <v>-1.1087341167489999</v>
      </c>
      <c r="AH5461">
        <v>18.478745647697501</v>
      </c>
      <c r="AI5461">
        <v>93.427000223936801</v>
      </c>
      <c r="AJ5461">
        <v>86.426809215621901</v>
      </c>
      <c r="AK5461">
        <v>18.5479062433769</v>
      </c>
      <c r="AL5461">
        <v>87.396041059494195</v>
      </c>
      <c r="AM5461">
        <v>88.831730051493807</v>
      </c>
      <c r="AN5461">
        <v>0.99999992433633</v>
      </c>
    </row>
    <row r="5462" spans="1:40" x14ac:dyDescent="0.25">
      <c r="A5462" t="str">
        <f>"20190312151425643"</f>
        <v>20190312151425643</v>
      </c>
      <c r="B5462" t="str">
        <f>"1552374865636026"</f>
        <v>1552374865636026</v>
      </c>
      <c r="C5462" t="s">
        <v>40</v>
      </c>
      <c r="D5462">
        <v>5.0100480000000003</v>
      </c>
      <c r="E5462">
        <v>0.4992163</v>
      </c>
      <c r="F5462" t="s">
        <v>66</v>
      </c>
      <c r="G5462">
        <v>-243.63659999999999</v>
      </c>
      <c r="H5462" s="1">
        <v>-1.0197200000000001E-6</v>
      </c>
      <c r="I5462">
        <v>-62.159489999999998</v>
      </c>
      <c r="J5462">
        <v>-261.91719999999998</v>
      </c>
      <c r="K5462">
        <v>1.108681</v>
      </c>
      <c r="L5462">
        <v>-64.071659999999994</v>
      </c>
      <c r="M5462">
        <v>0.99006119999999997</v>
      </c>
      <c r="N5462">
        <v>0</v>
      </c>
      <c r="O5462">
        <v>0.1401387</v>
      </c>
      <c r="P5462">
        <v>0.99210690000000001</v>
      </c>
      <c r="Q5462">
        <v>3.3131149999999998E-2</v>
      </c>
      <c r="R5462">
        <v>0.1209397</v>
      </c>
      <c r="S5462">
        <v>2.99173</v>
      </c>
      <c r="T5462">
        <v>-0.17971980000000001</v>
      </c>
      <c r="U5462">
        <v>0.31390380000000001</v>
      </c>
      <c r="V5462">
        <v>1.9413570000000002E-2</v>
      </c>
      <c r="W5462">
        <v>4.4908030000000002E-2</v>
      </c>
      <c r="X5462">
        <v>0.99880250000000004</v>
      </c>
      <c r="Y5462">
        <v>3.5750980000000002E-2</v>
      </c>
      <c r="Z5462">
        <v>-9.4222850000000007E-3</v>
      </c>
      <c r="AA5462">
        <v>0.99931630000000005</v>
      </c>
      <c r="AB5462">
        <v>34</v>
      </c>
      <c r="AC5462">
        <v>18.2806</v>
      </c>
      <c r="AD5462">
        <v>-1.10868201972</v>
      </c>
      <c r="AE5462">
        <v>1.9121699999999799</v>
      </c>
      <c r="AF5462">
        <v>0.66627683022625295</v>
      </c>
      <c r="AG5462">
        <v>-1.10868201972</v>
      </c>
      <c r="AH5462">
        <v>18.301579325820398</v>
      </c>
      <c r="AI5462">
        <v>93.464365891787907</v>
      </c>
      <c r="AJ5462">
        <v>87.915043395987894</v>
      </c>
      <c r="AK5462">
        <v>18.347231574672101</v>
      </c>
      <c r="AL5462">
        <v>87.426093840534307</v>
      </c>
      <c r="AM5462">
        <v>88.886490989200695</v>
      </c>
      <c r="AN5462">
        <v>1.00000002593243</v>
      </c>
    </row>
    <row r="5463" spans="1:40" x14ac:dyDescent="0.25">
      <c r="A5463" t="str">
        <f>"20190312151425655"</f>
        <v>20190312151425655</v>
      </c>
      <c r="B5463" t="str">
        <f>"1552374865645787"</f>
        <v>1552374865645787</v>
      </c>
      <c r="C5463" t="s">
        <v>40</v>
      </c>
      <c r="D5463">
        <v>5.3476359999999996</v>
      </c>
      <c r="E5463">
        <v>0.49528810000000001</v>
      </c>
      <c r="F5463" t="s">
        <v>66</v>
      </c>
      <c r="G5463">
        <v>-243.77619999999999</v>
      </c>
      <c r="H5463" s="1">
        <v>-9.9418119999999993E-7</v>
      </c>
      <c r="I5463">
        <v>-61.83831</v>
      </c>
      <c r="J5463">
        <v>-261.7602</v>
      </c>
      <c r="K5463">
        <v>1.108635</v>
      </c>
      <c r="L5463">
        <v>-64.050049999999999</v>
      </c>
      <c r="M5463">
        <v>0.99015249999999999</v>
      </c>
      <c r="N5463">
        <v>0</v>
      </c>
      <c r="O5463">
        <v>0.13949230000000001</v>
      </c>
      <c r="P5463">
        <v>0.99209159999999996</v>
      </c>
      <c r="Q5463">
        <v>3.2969169999999999E-2</v>
      </c>
      <c r="R5463">
        <v>0.1211108</v>
      </c>
      <c r="S5463">
        <v>2.9851380000000001</v>
      </c>
      <c r="T5463">
        <v>-0.18243599999999999</v>
      </c>
      <c r="U5463">
        <v>0.36749270000000001</v>
      </c>
      <c r="V5463">
        <v>1.859392E-2</v>
      </c>
      <c r="W5463">
        <v>4.4746540000000001E-2</v>
      </c>
      <c r="X5463">
        <v>0.99882530000000003</v>
      </c>
      <c r="Y5463">
        <v>1.7181020000000002E-2</v>
      </c>
      <c r="Z5463">
        <v>-8.9693789999999995E-3</v>
      </c>
      <c r="AA5463">
        <v>0.99981220000000004</v>
      </c>
      <c r="AB5463">
        <v>34</v>
      </c>
      <c r="AC5463">
        <v>17.984000000000002</v>
      </c>
      <c r="AD5463">
        <v>-1.1086359941812001</v>
      </c>
      <c r="AE5463">
        <v>2.21173999999999</v>
      </c>
      <c r="AF5463">
        <v>0.31750333448943402</v>
      </c>
      <c r="AG5463">
        <v>-1.1086359941812001</v>
      </c>
      <c r="AH5463">
        <v>18.049122657753799</v>
      </c>
      <c r="AI5463">
        <v>93.514335455356601</v>
      </c>
      <c r="AJ5463">
        <v>88.992210020203999</v>
      </c>
      <c r="AK5463">
        <v>18.0859257670059</v>
      </c>
      <c r="AL5463">
        <v>87.435355736969797</v>
      </c>
      <c r="AM5463">
        <v>88.933517101530498</v>
      </c>
      <c r="AN5463">
        <v>0.99999998331151396</v>
      </c>
    </row>
    <row r="5464" spans="1:40" x14ac:dyDescent="0.25">
      <c r="A5464" t="str">
        <f>"20190312151425666"</f>
        <v>20190312151425666</v>
      </c>
      <c r="B5464" t="str">
        <f>"1552374865655547"</f>
        <v>1552374865655547</v>
      </c>
      <c r="C5464" t="s">
        <v>40</v>
      </c>
      <c r="D5464">
        <v>5.17509</v>
      </c>
      <c r="E5464">
        <v>0.49333120000000003</v>
      </c>
      <c r="F5464" t="s">
        <v>66</v>
      </c>
      <c r="G5464">
        <v>-243.26429999999999</v>
      </c>
      <c r="H5464" s="1">
        <v>-7.0414500000000004E-7</v>
      </c>
      <c r="I5464">
        <v>-61.573590000000003</v>
      </c>
      <c r="J5464">
        <v>-261.58670000000001</v>
      </c>
      <c r="K5464">
        <v>1.1085879999999999</v>
      </c>
      <c r="L5464">
        <v>-64.026179999999997</v>
      </c>
      <c r="M5464">
        <v>0.99025379999999996</v>
      </c>
      <c r="N5464">
        <v>0</v>
      </c>
      <c r="O5464">
        <v>0.1387707</v>
      </c>
      <c r="P5464">
        <v>0.99204590000000004</v>
      </c>
      <c r="Q5464">
        <v>3.2838109999999997E-2</v>
      </c>
      <c r="R5464">
        <v>0.1215176</v>
      </c>
      <c r="S5464">
        <v>2.9811100000000001</v>
      </c>
      <c r="T5464">
        <v>-0.1786866</v>
      </c>
      <c r="U5464">
        <v>0.39913939999999998</v>
      </c>
      <c r="V5464">
        <v>1.74617E-2</v>
      </c>
      <c r="W5464">
        <v>4.4616009999999998E-2</v>
      </c>
      <c r="X5464">
        <v>0.99885159999999995</v>
      </c>
      <c r="Y5464">
        <v>5.8790459999999998E-3</v>
      </c>
      <c r="Z5464">
        <v>-8.4102680000000003E-3</v>
      </c>
      <c r="AA5464">
        <v>0.99994740000000004</v>
      </c>
      <c r="AB5464">
        <v>34</v>
      </c>
      <c r="AC5464">
        <v>18.322399999999998</v>
      </c>
      <c r="AD5464">
        <v>-1.108588704145</v>
      </c>
      <c r="AE5464">
        <v>2.4525899999999998</v>
      </c>
      <c r="AF5464">
        <v>0.113525409398465</v>
      </c>
      <c r="AG5464">
        <v>-1.108588704145</v>
      </c>
      <c r="AH5464">
        <v>18.419226633501399</v>
      </c>
      <c r="AI5464">
        <v>93.444212068484802</v>
      </c>
      <c r="AJ5464">
        <v>89.646866581683796</v>
      </c>
      <c r="AK5464">
        <v>18.452906727933801</v>
      </c>
      <c r="AL5464">
        <v>87.442842097723698</v>
      </c>
      <c r="AM5464">
        <v>88.998470031079407</v>
      </c>
      <c r="AN5464">
        <v>1.0000000090688801</v>
      </c>
    </row>
    <row r="5465" spans="1:40" x14ac:dyDescent="0.25">
      <c r="A5465" t="str">
        <f>"20190312151425677"</f>
        <v>20190312151425677</v>
      </c>
      <c r="B5465" t="str">
        <f>"1552374865666283"</f>
        <v>1552374865666283</v>
      </c>
      <c r="C5465" t="s">
        <v>40</v>
      </c>
      <c r="D5465">
        <v>4.9394559999999998</v>
      </c>
      <c r="E5465">
        <v>0.49144379999999999</v>
      </c>
      <c r="F5465" t="s">
        <v>66</v>
      </c>
      <c r="G5465">
        <v>-243.2448</v>
      </c>
      <c r="H5465" s="1">
        <v>-6.6694609999999996E-7</v>
      </c>
      <c r="I5465">
        <v>-61.465330000000002</v>
      </c>
      <c r="J5465">
        <v>-261.40899999999999</v>
      </c>
      <c r="K5465">
        <v>1.108536</v>
      </c>
      <c r="L5465">
        <v>-64.002009999999999</v>
      </c>
      <c r="M5465">
        <v>0.9903634</v>
      </c>
      <c r="N5465">
        <v>0</v>
      </c>
      <c r="O5465">
        <v>0.1379862</v>
      </c>
      <c r="P5465">
        <v>0.99204130000000001</v>
      </c>
      <c r="Q5465">
        <v>3.2472290000000001E-2</v>
      </c>
      <c r="R5465">
        <v>0.1216537</v>
      </c>
      <c r="S5465">
        <v>2.979095</v>
      </c>
      <c r="T5465">
        <v>-0.18005679999999999</v>
      </c>
      <c r="U5465">
        <v>0.41592410000000002</v>
      </c>
      <c r="V5465">
        <v>1.653897E-2</v>
      </c>
      <c r="W5465">
        <v>4.425159E-2</v>
      </c>
      <c r="X5465">
        <v>0.99888350000000004</v>
      </c>
      <c r="Y5465">
        <v>-5.236657E-4</v>
      </c>
      <c r="Z5465">
        <v>-8.2373280000000004E-3</v>
      </c>
      <c r="AA5465">
        <v>0.99996589999999996</v>
      </c>
      <c r="AB5465">
        <v>34</v>
      </c>
      <c r="AC5465">
        <v>18.164199999999902</v>
      </c>
      <c r="AD5465">
        <v>-1.1085366669461001</v>
      </c>
      <c r="AE5465">
        <v>2.5366799999999898</v>
      </c>
      <c r="AF5465">
        <v>-5.8052955800742502E-3</v>
      </c>
      <c r="AG5465">
        <v>-1.1085366669461001</v>
      </c>
      <c r="AH5465">
        <v>18.273712509836098</v>
      </c>
      <c r="AI5465">
        <v>93.471474662925004</v>
      </c>
      <c r="AJ5465">
        <v>90.018202044285999</v>
      </c>
      <c r="AK5465">
        <v>18.3073060862476</v>
      </c>
      <c r="AL5465">
        <v>87.463742429160902</v>
      </c>
      <c r="AM5465">
        <v>89.051414307188693</v>
      </c>
      <c r="AN5465">
        <v>0.99999999365921899</v>
      </c>
    </row>
    <row r="5466" spans="1:40" x14ac:dyDescent="0.25">
      <c r="A5466" t="str">
        <f>"20190312151425690"</f>
        <v>20190312151425690</v>
      </c>
      <c r="B5466" t="str">
        <f>"1552374865685506"</f>
        <v>1552374865685506</v>
      </c>
      <c r="C5466" t="s">
        <v>40</v>
      </c>
      <c r="D5466">
        <v>4.976019</v>
      </c>
      <c r="E5466">
        <v>0.488564</v>
      </c>
      <c r="F5466" t="s">
        <v>66</v>
      </c>
      <c r="G5466">
        <v>-242.9453</v>
      </c>
      <c r="H5466" s="1">
        <v>-5.0162359999999899E-7</v>
      </c>
      <c r="I5466">
        <v>-61.32676</v>
      </c>
      <c r="J5466">
        <v>-261.2373</v>
      </c>
      <c r="K5466">
        <v>1.1084849999999999</v>
      </c>
      <c r="L5466">
        <v>-63.978789999999996</v>
      </c>
      <c r="M5466">
        <v>0.99047059999999998</v>
      </c>
      <c r="N5466">
        <v>0</v>
      </c>
      <c r="O5466">
        <v>0.13721529999999901</v>
      </c>
      <c r="P5466">
        <v>0.99201719999999904</v>
      </c>
      <c r="Q5466">
        <v>3.2481860000000001E-2</v>
      </c>
      <c r="R5466">
        <v>0.12184970000000001</v>
      </c>
      <c r="S5466">
        <v>2.9769899999999998</v>
      </c>
      <c r="T5466">
        <v>-0.1787349</v>
      </c>
      <c r="U5466">
        <v>0.43133539999999998</v>
      </c>
      <c r="V5466">
        <v>1.5569049999999999E-2</v>
      </c>
      <c r="W5466">
        <v>4.4262070000000001E-2</v>
      </c>
      <c r="X5466">
        <v>0.99889859999999997</v>
      </c>
      <c r="Y5466">
        <v>-6.4574970000000004E-3</v>
      </c>
      <c r="Z5466">
        <v>-7.9564960000000004E-3</v>
      </c>
      <c r="AA5466">
        <v>0.99994749999999999</v>
      </c>
      <c r="AB5466">
        <v>34</v>
      </c>
      <c r="AC5466">
        <v>18.292000000000002</v>
      </c>
      <c r="AD5466">
        <v>-1.1084855016235999</v>
      </c>
      <c r="AE5466">
        <v>2.6520299999999999</v>
      </c>
      <c r="AF5466">
        <v>-0.116404979884774</v>
      </c>
      <c r="AG5466">
        <v>-1.1084855016235999</v>
      </c>
      <c r="AH5466">
        <v>18.416641705079702</v>
      </c>
      <c r="AI5466">
        <v>93.444371049300003</v>
      </c>
      <c r="AJ5466">
        <v>90.362141228233796</v>
      </c>
      <c r="AK5466">
        <v>18.450338260312002</v>
      </c>
      <c r="AL5466">
        <v>87.463141319448894</v>
      </c>
      <c r="AM5466">
        <v>89.107047870509007</v>
      </c>
      <c r="AN5466">
        <v>0.99999996962027304</v>
      </c>
    </row>
    <row r="5467" spans="1:40" x14ac:dyDescent="0.25">
      <c r="A5467" t="str">
        <f>"20190312151425701"</f>
        <v>20190312151425701</v>
      </c>
      <c r="B5467" t="str">
        <f>"1552374865696242"</f>
        <v>1552374865696242</v>
      </c>
      <c r="C5467" t="s">
        <v>40</v>
      </c>
      <c r="D5467">
        <v>5.1690440000000004</v>
      </c>
      <c r="E5467">
        <v>0.48752390000000001</v>
      </c>
      <c r="F5467" t="s">
        <v>66</v>
      </c>
      <c r="G5467">
        <v>-242.57939999999999</v>
      </c>
      <c r="H5467" s="1">
        <v>-2.9130729999999998E-7</v>
      </c>
      <c r="I5467">
        <v>-61.126289999999997</v>
      </c>
      <c r="J5467">
        <v>-261.0478</v>
      </c>
      <c r="K5467">
        <v>1.108433</v>
      </c>
      <c r="L5467">
        <v>-63.953310000000002</v>
      </c>
      <c r="M5467">
        <v>0.99059260000000005</v>
      </c>
      <c r="N5467">
        <v>0</v>
      </c>
      <c r="O5467">
        <v>0.13633139999999999</v>
      </c>
      <c r="P5467">
        <v>0.99198470000000005</v>
      </c>
      <c r="Q5467">
        <v>3.2413989999999997E-2</v>
      </c>
      <c r="R5467">
        <v>0.1221313</v>
      </c>
      <c r="S5467">
        <v>2.974091</v>
      </c>
      <c r="T5467">
        <v>-0.17669370000000001</v>
      </c>
      <c r="U5467">
        <v>0.45468140000000001</v>
      </c>
      <c r="V5467">
        <v>1.4399489999999999E-2</v>
      </c>
      <c r="W5467">
        <v>4.4196819999999998E-2</v>
      </c>
      <c r="X5467">
        <v>0.99891909999999895</v>
      </c>
      <c r="Y5467">
        <v>-1.514535E-2</v>
      </c>
      <c r="Z5467">
        <v>-7.5598729999999999E-3</v>
      </c>
      <c r="AA5467">
        <v>0.99985670000000004</v>
      </c>
      <c r="AB5467">
        <v>34</v>
      </c>
      <c r="AC5467">
        <v>18.468399999999999</v>
      </c>
      <c r="AD5467">
        <v>-1.1084332913073001</v>
      </c>
      <c r="AE5467">
        <v>2.8270199999999899</v>
      </c>
      <c r="AF5467">
        <v>-0.28163080840832899</v>
      </c>
      <c r="AG5467">
        <v>-1.1084332913073001</v>
      </c>
      <c r="AH5467">
        <v>18.615858520204402</v>
      </c>
      <c r="AI5467">
        <v>93.407117409127906</v>
      </c>
      <c r="AJ5467">
        <v>90.866735520367101</v>
      </c>
      <c r="AK5467">
        <v>18.6509551690467</v>
      </c>
      <c r="AL5467">
        <v>87.466883700268696</v>
      </c>
      <c r="AM5467">
        <v>89.174134456174102</v>
      </c>
      <c r="AN5467">
        <v>1.00000003627759</v>
      </c>
    </row>
    <row r="5468" spans="1:40" x14ac:dyDescent="0.25">
      <c r="A5468" t="str">
        <f>"20190312151425711"</f>
        <v>20190312151425711</v>
      </c>
      <c r="B5468" t="str">
        <f>"1552374865706002"</f>
        <v>1552374865706002</v>
      </c>
      <c r="C5468" t="s">
        <v>40</v>
      </c>
      <c r="D5468">
        <v>5.1283459999999996</v>
      </c>
      <c r="E5468">
        <v>0.48660110000000001</v>
      </c>
      <c r="F5468" t="s">
        <v>66</v>
      </c>
      <c r="G5468">
        <v>-242.43180000000001</v>
      </c>
      <c r="H5468" s="1">
        <v>-2.0763469999999999E-7</v>
      </c>
      <c r="I5468">
        <v>-61.049770000000002</v>
      </c>
      <c r="J5468">
        <v>-260.8913</v>
      </c>
      <c r="K5468">
        <v>1.1083860000000001</v>
      </c>
      <c r="L5468">
        <v>-63.932459999999999</v>
      </c>
      <c r="M5468">
        <v>0.99069609999999997</v>
      </c>
      <c r="N5468">
        <v>0</v>
      </c>
      <c r="O5468">
        <v>0.13557710000000001</v>
      </c>
      <c r="P5468">
        <v>0.9919327</v>
      </c>
      <c r="Q5468">
        <v>3.2384110000000001E-2</v>
      </c>
      <c r="R5468">
        <v>0.1225596</v>
      </c>
      <c r="S5468">
        <v>2.9729610000000002</v>
      </c>
      <c r="T5468">
        <v>-0.17701629999999999</v>
      </c>
      <c r="U5468">
        <v>0.46368409999999899</v>
      </c>
      <c r="V5468">
        <v>1.3212049999999999E-2</v>
      </c>
      <c r="W5468">
        <v>4.4170130000000002E-2</v>
      </c>
      <c r="X5468">
        <v>0.99893670000000001</v>
      </c>
      <c r="Y5468">
        <v>-1.8913510000000001E-2</v>
      </c>
      <c r="Z5468">
        <v>-7.4188739999999998E-3</v>
      </c>
      <c r="AA5468">
        <v>0.99979359999999995</v>
      </c>
      <c r="AB5468">
        <v>34</v>
      </c>
      <c r="AC5468">
        <v>18.459499999999899</v>
      </c>
      <c r="AD5468">
        <v>-1.1083862076347</v>
      </c>
      <c r="AE5468">
        <v>2.8826900000000002</v>
      </c>
      <c r="AF5468">
        <v>-0.35197025214087602</v>
      </c>
      <c r="AG5468">
        <v>-1.1083862076347</v>
      </c>
      <c r="AH5468">
        <v>18.614376957197901</v>
      </c>
      <c r="AI5468">
        <v>93.407024954814105</v>
      </c>
      <c r="AJ5468">
        <v>91.083249100666507</v>
      </c>
      <c r="AK5468">
        <v>18.650668420952801</v>
      </c>
      <c r="AL5468">
        <v>87.468414440571493</v>
      </c>
      <c r="AM5468">
        <v>89.242243709768204</v>
      </c>
      <c r="AN5468">
        <v>1.0000000446281501</v>
      </c>
    </row>
    <row r="5469" spans="1:40" x14ac:dyDescent="0.25">
      <c r="A5469" t="str">
        <f>"20190312151425721"</f>
        <v>20190312151425721</v>
      </c>
      <c r="B5469" t="str">
        <f>"1552374865715763"</f>
        <v>1552374865715763</v>
      </c>
      <c r="C5469" t="s">
        <v>40</v>
      </c>
      <c r="D5469">
        <v>4.9969020000000004</v>
      </c>
      <c r="E5469">
        <v>0.48600900000000002</v>
      </c>
      <c r="F5469" t="s">
        <v>66</v>
      </c>
      <c r="G5469">
        <v>-242.27789999999999</v>
      </c>
      <c r="H5469" s="1">
        <v>-1.215382E-7</v>
      </c>
      <c r="I5469">
        <v>-60.974330000000002</v>
      </c>
      <c r="J5469">
        <v>-260.72919999999999</v>
      </c>
      <c r="K5469">
        <v>1.1083379999999901</v>
      </c>
      <c r="L5469">
        <v>-63.91095</v>
      </c>
      <c r="M5469">
        <v>0.99080500000000005</v>
      </c>
      <c r="N5469">
        <v>0</v>
      </c>
      <c r="O5469">
        <v>0.134778799999999</v>
      </c>
      <c r="P5469">
        <v>0.99185959999999995</v>
      </c>
      <c r="Q5469">
        <v>3.2561359999999998E-2</v>
      </c>
      <c r="R5469">
        <v>0.1231025</v>
      </c>
      <c r="S5469">
        <v>2.971832</v>
      </c>
      <c r="T5469">
        <v>-0.17696629999999899</v>
      </c>
      <c r="U5469">
        <v>0.47228999999999999</v>
      </c>
      <c r="V5469">
        <v>1.186446E-2</v>
      </c>
      <c r="W5469">
        <v>4.4351160000000001E-2</v>
      </c>
      <c r="X5469">
        <v>0.99894550000000004</v>
      </c>
      <c r="Y5469">
        <v>-2.259427E-2</v>
      </c>
      <c r="Z5469">
        <v>-7.2620799999999998E-3</v>
      </c>
      <c r="AA5469">
        <v>0.99971840000000001</v>
      </c>
      <c r="AB5469">
        <v>34</v>
      </c>
      <c r="AC5469">
        <v>18.4513</v>
      </c>
      <c r="AD5469">
        <v>-1.10833812153819</v>
      </c>
      <c r="AE5469">
        <v>2.9366199999999898</v>
      </c>
      <c r="AF5469">
        <v>-0.421320677674421</v>
      </c>
      <c r="AG5469">
        <v>-1.10833812153819</v>
      </c>
      <c r="AH5469">
        <v>18.613242028702899</v>
      </c>
      <c r="AI5469">
        <v>93.406821712649105</v>
      </c>
      <c r="AJ5469">
        <v>91.296699148379204</v>
      </c>
      <c r="AK5469">
        <v>18.650970573247999</v>
      </c>
      <c r="AL5469">
        <v>87.4580317742858</v>
      </c>
      <c r="AM5469">
        <v>89.319530922494707</v>
      </c>
      <c r="AN5469">
        <v>0.99999995138734199</v>
      </c>
    </row>
    <row r="5470" spans="1:40" x14ac:dyDescent="0.25">
      <c r="A5470" t="str">
        <f>"20190312151425734"</f>
        <v>20190312151425734</v>
      </c>
      <c r="B5470" t="str">
        <f>"1552374865725523"</f>
        <v>1552374865725523</v>
      </c>
      <c r="C5470" t="s">
        <v>40</v>
      </c>
      <c r="D5470">
        <v>4.9991629999999896</v>
      </c>
      <c r="E5470">
        <v>0.48549290000000001</v>
      </c>
      <c r="F5470" t="s">
        <v>66</v>
      </c>
      <c r="G5470">
        <v>-241.9485</v>
      </c>
      <c r="H5470" s="1">
        <v>4.340393E-8</v>
      </c>
      <c r="I5470">
        <v>-60.885590000000001</v>
      </c>
      <c r="J5470">
        <v>-260.56040000000002</v>
      </c>
      <c r="K5470">
        <v>1.1082909999999999</v>
      </c>
      <c r="L5470">
        <v>-63.88879</v>
      </c>
      <c r="M5470">
        <v>0.99092230000000003</v>
      </c>
      <c r="N5470">
        <v>0</v>
      </c>
      <c r="O5470">
        <v>0.1339138</v>
      </c>
      <c r="P5470">
        <v>0.99181649999999999</v>
      </c>
      <c r="Q5470">
        <v>3.2628980000000002E-2</v>
      </c>
      <c r="R5470">
        <v>0.1234321</v>
      </c>
      <c r="S5470">
        <v>2.9709469999999998</v>
      </c>
      <c r="T5470">
        <v>-0.17532979999999901</v>
      </c>
      <c r="U5470">
        <v>0.47857670000000002</v>
      </c>
      <c r="V5470">
        <v>1.0665060000000001E-2</v>
      </c>
      <c r="W5470">
        <v>4.4422610000000001E-2</v>
      </c>
      <c r="X5470">
        <v>0.99895590000000001</v>
      </c>
      <c r="Y5470">
        <v>-2.5565830000000001E-2</v>
      </c>
      <c r="Z5470">
        <v>-7.0585659999999996E-3</v>
      </c>
      <c r="AA5470">
        <v>0.99964819999999999</v>
      </c>
      <c r="AB5470">
        <v>34</v>
      </c>
      <c r="AC5470">
        <v>18.611899999999999</v>
      </c>
      <c r="AD5470">
        <v>-1.1082909565960699</v>
      </c>
      <c r="AE5470">
        <v>3.0032000000000001</v>
      </c>
      <c r="AF5470">
        <v>-0.481916009216456</v>
      </c>
      <c r="AG5470">
        <v>-1.1082909565960699</v>
      </c>
      <c r="AH5470">
        <v>18.781529423644699</v>
      </c>
      <c r="AI5470">
        <v>93.3759775205084</v>
      </c>
      <c r="AJ5470">
        <v>91.469832165650999</v>
      </c>
      <c r="AK5470">
        <v>18.820371924477001</v>
      </c>
      <c r="AL5470">
        <v>87.453934078202906</v>
      </c>
      <c r="AM5470">
        <v>89.388321635379896</v>
      </c>
      <c r="AN5470">
        <v>1.0000000009644101</v>
      </c>
    </row>
    <row r="5471" spans="1:40" x14ac:dyDescent="0.25">
      <c r="A5471" t="str">
        <f>"20190312151425745"</f>
        <v>20190312151425745</v>
      </c>
      <c r="B5471" t="str">
        <f>"1552374865736258"</f>
        <v>1552374865736258</v>
      </c>
      <c r="C5471" t="s">
        <v>40</v>
      </c>
      <c r="D5471">
        <v>5.1529129999999999</v>
      </c>
      <c r="E5471">
        <v>0.4849619</v>
      </c>
      <c r="F5471" t="s">
        <v>66</v>
      </c>
      <c r="G5471">
        <v>-241.79499999999999</v>
      </c>
      <c r="H5471" s="1">
        <v>1.2327110000000001E-7</v>
      </c>
      <c r="I5471">
        <v>-60.832909999999998</v>
      </c>
      <c r="J5471">
        <v>-260.38549999999998</v>
      </c>
      <c r="K5471">
        <v>1.1082399999999999</v>
      </c>
      <c r="L5471">
        <v>-63.865940000000002</v>
      </c>
      <c r="M5471">
        <v>0.99104499999999995</v>
      </c>
      <c r="N5471">
        <v>0</v>
      </c>
      <c r="O5471">
        <v>0.1330025</v>
      </c>
      <c r="P5471">
        <v>0.99180109999999999</v>
      </c>
      <c r="Q5471">
        <v>3.246636E-2</v>
      </c>
      <c r="R5471">
        <v>0.12359879999999999</v>
      </c>
      <c r="S5471">
        <v>2.970367</v>
      </c>
      <c r="T5471">
        <v>-0.17543049999999999</v>
      </c>
      <c r="U5471">
        <v>0.48370360000000001</v>
      </c>
      <c r="V5471">
        <v>9.5836280000000003E-3</v>
      </c>
      <c r="W5471">
        <v>4.4263499999999997E-2</v>
      </c>
      <c r="X5471">
        <v>0.99897389999999997</v>
      </c>
      <c r="Y5471">
        <v>-2.8191170000000002E-2</v>
      </c>
      <c r="Z5471">
        <v>-6.9330540000000001E-3</v>
      </c>
      <c r="AA5471">
        <v>0.99957850000000004</v>
      </c>
      <c r="AB5471">
        <v>34</v>
      </c>
      <c r="AC5471">
        <v>18.590499999999899</v>
      </c>
      <c r="AD5471">
        <v>-1.1082398767288999</v>
      </c>
      <c r="AE5471">
        <v>3.0330300000000001</v>
      </c>
      <c r="AF5471">
        <v>-0.53148382879991996</v>
      </c>
      <c r="AG5471">
        <v>-1.1082398767288999</v>
      </c>
      <c r="AH5471">
        <v>18.763789352529098</v>
      </c>
      <c r="AI5471">
        <v>93.378764136704405</v>
      </c>
      <c r="AJ5471">
        <v>91.622467602521695</v>
      </c>
      <c r="AK5471">
        <v>18.8040012111979</v>
      </c>
      <c r="AL5471">
        <v>87.463059327678494</v>
      </c>
      <c r="AM5471">
        <v>89.450351413294001</v>
      </c>
      <c r="AN5471">
        <v>0.99999997811954999</v>
      </c>
    </row>
    <row r="5472" spans="1:40" x14ac:dyDescent="0.25">
      <c r="A5472" t="str">
        <f>"20190312151425755"</f>
        <v>20190312151425755</v>
      </c>
      <c r="B5472" t="str">
        <f>"1552374865746019"</f>
        <v>1552374865746019</v>
      </c>
      <c r="C5472" t="s">
        <v>40</v>
      </c>
      <c r="D5472">
        <v>5.0275059999999998</v>
      </c>
      <c r="E5472">
        <v>0.48453499999999999</v>
      </c>
      <c r="F5472" t="s">
        <v>66</v>
      </c>
      <c r="G5472">
        <v>-241.76730000000001</v>
      </c>
      <c r="H5472" s="1">
        <v>1.4276839999999999E-7</v>
      </c>
      <c r="I5472">
        <v>-60.804259999999999</v>
      </c>
      <c r="J5472">
        <v>-260.21980000000002</v>
      </c>
      <c r="K5472">
        <v>1.10819</v>
      </c>
      <c r="L5472">
        <v>-63.844569999999997</v>
      </c>
      <c r="M5472">
        <v>0.99116680000000001</v>
      </c>
      <c r="N5472">
        <v>0</v>
      </c>
      <c r="O5472">
        <v>0.1320916</v>
      </c>
      <c r="P5472">
        <v>0.99174260000000003</v>
      </c>
      <c r="Q5472">
        <v>3.2733890000000002E-2</v>
      </c>
      <c r="R5472">
        <v>0.1239981</v>
      </c>
      <c r="S5472">
        <v>2.9696959999999999</v>
      </c>
      <c r="T5472">
        <v>-0.1767695</v>
      </c>
      <c r="U5472">
        <v>0.48834230000000001</v>
      </c>
      <c r="V5472">
        <v>8.267847E-3</v>
      </c>
      <c r="W5472">
        <v>4.453551E-2</v>
      </c>
      <c r="X5472">
        <v>0.99897360000000002</v>
      </c>
      <c r="Y5472">
        <v>-3.0663269999999999E-2</v>
      </c>
      <c r="Z5472">
        <v>-6.8601699999999996E-3</v>
      </c>
      <c r="AA5472">
        <v>0.99950620000000001</v>
      </c>
      <c r="AB5472">
        <v>34</v>
      </c>
      <c r="AC5472">
        <v>18.452500000000001</v>
      </c>
      <c r="AD5472">
        <v>-1.1081898572316</v>
      </c>
      <c r="AE5472">
        <v>3.0403099999999901</v>
      </c>
      <c r="AF5472">
        <v>-0.57405869176804802</v>
      </c>
      <c r="AG5472">
        <v>-1.1081898572316</v>
      </c>
      <c r="AH5472">
        <v>18.627007407971899</v>
      </c>
      <c r="AI5472">
        <v>93.403113577565705</v>
      </c>
      <c r="AJ5472">
        <v>91.765218225552701</v>
      </c>
      <c r="AK5472">
        <v>18.668771601739198</v>
      </c>
      <c r="AL5472">
        <v>87.447459002597299</v>
      </c>
      <c r="AM5472">
        <v>89.525811369684305</v>
      </c>
      <c r="AN5472">
        <v>1.0000000112209599</v>
      </c>
    </row>
    <row r="5473" spans="1:40" x14ac:dyDescent="0.25">
      <c r="A5473" t="str">
        <f>"20190312151425766"</f>
        <v>20190312151425766</v>
      </c>
      <c r="B5473" t="str">
        <f>"1552374865755779"</f>
        <v>1552374865755779</v>
      </c>
      <c r="C5473" t="s">
        <v>40</v>
      </c>
      <c r="D5473">
        <v>5.0463440000000004</v>
      </c>
      <c r="E5473">
        <v>0.48406680000000002</v>
      </c>
      <c r="F5473" t="s">
        <v>66</v>
      </c>
      <c r="G5473">
        <v>-241.56880000000001</v>
      </c>
      <c r="H5473" s="1">
        <v>2.4283989999999998E-7</v>
      </c>
      <c r="I5473">
        <v>-60.748179999999998</v>
      </c>
      <c r="J5473">
        <v>-260.05680000000001</v>
      </c>
      <c r="K5473">
        <v>1.108142</v>
      </c>
      <c r="L5473">
        <v>-63.82358</v>
      </c>
      <c r="M5473">
        <v>0.99128689999999997</v>
      </c>
      <c r="N5473">
        <v>0</v>
      </c>
      <c r="O5473">
        <v>0.13118729999999901</v>
      </c>
      <c r="P5473">
        <v>0.99168920000000005</v>
      </c>
      <c r="Q5473">
        <v>3.2607200000000003E-2</v>
      </c>
      <c r="R5473">
        <v>0.1244562</v>
      </c>
      <c r="S5473">
        <v>2.969147</v>
      </c>
      <c r="T5473">
        <v>-0.17641809999999999</v>
      </c>
      <c r="U5473">
        <v>0.49291990000000002</v>
      </c>
      <c r="V5473">
        <v>6.8999680000000002E-3</v>
      </c>
      <c r="W5473">
        <v>4.4414519999999999E-2</v>
      </c>
      <c r="X5473">
        <v>0.99898929999999997</v>
      </c>
      <c r="Y5473">
        <v>-3.3098339999999997E-2</v>
      </c>
      <c r="Z5473">
        <v>-6.7222799999999997E-3</v>
      </c>
      <c r="AA5473">
        <v>0.99942949999999997</v>
      </c>
      <c r="AB5473">
        <v>34</v>
      </c>
      <c r="AC5473">
        <v>18.488</v>
      </c>
      <c r="AD5473">
        <v>-1.1081417571601</v>
      </c>
      <c r="AE5473">
        <v>3.0754000000000001</v>
      </c>
      <c r="AF5473">
        <v>-0.62108537271784203</v>
      </c>
      <c r="AG5473">
        <v>-1.1081417571601</v>
      </c>
      <c r="AH5473">
        <v>18.666422920376899</v>
      </c>
      <c r="AI5473">
        <v>93.395531273462197</v>
      </c>
      <c r="AJ5473">
        <v>91.905691699754101</v>
      </c>
      <c r="AK5473">
        <v>18.709598334452199</v>
      </c>
      <c r="AL5473">
        <v>87.454397904550802</v>
      </c>
      <c r="AM5473">
        <v>89.604267274252706</v>
      </c>
      <c r="AN5473">
        <v>0.99999994032985795</v>
      </c>
    </row>
    <row r="5474" spans="1:40" x14ac:dyDescent="0.25">
      <c r="A5474" t="str">
        <f>"20190312151425778"</f>
        <v>20190312151425778</v>
      </c>
      <c r="B5474" t="str">
        <f>"1552374865765539"</f>
        <v>1552374865765539</v>
      </c>
      <c r="C5474" t="s">
        <v>40</v>
      </c>
      <c r="D5474">
        <v>5.2366449999999896</v>
      </c>
      <c r="E5474">
        <v>0.48369509999999999</v>
      </c>
      <c r="F5474" t="s">
        <v>66</v>
      </c>
      <c r="G5474">
        <v>-241.63820000000001</v>
      </c>
      <c r="H5474" s="1">
        <v>2.1688450000000001E-7</v>
      </c>
      <c r="I5474">
        <v>-60.733879999999999</v>
      </c>
      <c r="J5474">
        <v>-259.87779999999998</v>
      </c>
      <c r="K5474">
        <v>1.1080859999999999</v>
      </c>
      <c r="L5474">
        <v>-63.800870000000003</v>
      </c>
      <c r="M5474">
        <v>0.99142439999999998</v>
      </c>
      <c r="N5474">
        <v>0</v>
      </c>
      <c r="O5474">
        <v>0.13014419999999999</v>
      </c>
      <c r="P5474">
        <v>0.99162240000000001</v>
      </c>
      <c r="Q5474">
        <v>3.2826519999999998E-2</v>
      </c>
      <c r="R5474">
        <v>0.12493020000000001</v>
      </c>
      <c r="S5474">
        <v>2.9685060000000001</v>
      </c>
      <c r="T5474">
        <v>-0.17859839999999999</v>
      </c>
      <c r="U5474">
        <v>0.49795529999999999</v>
      </c>
      <c r="V5474">
        <v>5.3768269999999998E-3</v>
      </c>
      <c r="W5474">
        <v>4.4640779999999998E-2</v>
      </c>
      <c r="X5474">
        <v>0.9989886</v>
      </c>
      <c r="Y5474">
        <v>-3.5831590000000003E-2</v>
      </c>
      <c r="Z5474">
        <v>-6.6623969999999996E-3</v>
      </c>
      <c r="AA5474">
        <v>0.99933559999999999</v>
      </c>
      <c r="AB5474">
        <v>34</v>
      </c>
      <c r="AC5474">
        <v>18.2395999999999</v>
      </c>
      <c r="AD5474">
        <v>-1.1080857831155</v>
      </c>
      <c r="AE5474">
        <v>3.0669899999999899</v>
      </c>
      <c r="AF5474">
        <v>-0.66457197407159796</v>
      </c>
      <c r="AG5474">
        <v>-1.1080857831155</v>
      </c>
      <c r="AH5474">
        <v>18.417525079242299</v>
      </c>
      <c r="AI5474">
        <v>93.440801959127597</v>
      </c>
      <c r="AJ5474">
        <v>92.066545648220796</v>
      </c>
      <c r="AK5474">
        <v>18.462793397966198</v>
      </c>
      <c r="AL5474">
        <v>87.441421356132807</v>
      </c>
      <c r="AM5474">
        <v>89.691621586553893</v>
      </c>
      <c r="AN5474">
        <v>0.99999996621877696</v>
      </c>
    </row>
    <row r="5475" spans="1:40" x14ac:dyDescent="0.25">
      <c r="A5475" t="str">
        <f>"20190312151425789"</f>
        <v>20190312151425789</v>
      </c>
      <c r="B5475" t="str">
        <f>"1552374865785812"</f>
        <v>1552374865785812</v>
      </c>
      <c r="C5475" t="s">
        <v>40</v>
      </c>
      <c r="D5475">
        <v>5.1644310000000004</v>
      </c>
      <c r="E5475">
        <v>0.48330139999999999</v>
      </c>
      <c r="F5475" t="s">
        <v>66</v>
      </c>
      <c r="G5475">
        <v>-241.43610000000001</v>
      </c>
      <c r="H5475" s="1">
        <v>3.1791459999999998E-7</v>
      </c>
      <c r="I5475">
        <v>-60.679949999999998</v>
      </c>
      <c r="J5475">
        <v>-259.71010000000001</v>
      </c>
      <c r="K5475">
        <v>1.1080350000000001</v>
      </c>
      <c r="L5475">
        <v>-63.779690000000002</v>
      </c>
      <c r="M5475">
        <v>0.9915543</v>
      </c>
      <c r="N5475">
        <v>0</v>
      </c>
      <c r="O5475">
        <v>0.12914990000000001</v>
      </c>
      <c r="P5475">
        <v>0.99157399999999996</v>
      </c>
      <c r="Q5475">
        <v>3.3062469999999997E-2</v>
      </c>
      <c r="R5475">
        <v>0.12525069999999999</v>
      </c>
      <c r="S5475">
        <v>2.9679259999999998</v>
      </c>
      <c r="T5475">
        <v>-0.17833070000000001</v>
      </c>
      <c r="U5475">
        <v>0.50225829999999905</v>
      </c>
      <c r="V5475">
        <v>4.0572960000000002E-3</v>
      </c>
      <c r="W5475">
        <v>4.4882779999999997E-2</v>
      </c>
      <c r="X5475">
        <v>0.99898399999999998</v>
      </c>
      <c r="Y5475">
        <v>-3.8267919999999997E-2</v>
      </c>
      <c r="Z5475">
        <v>-6.5215439999999998E-3</v>
      </c>
      <c r="AA5475">
        <v>0.99924619999999997</v>
      </c>
      <c r="AB5475">
        <v>34</v>
      </c>
      <c r="AC5475">
        <v>18.274000000000001</v>
      </c>
      <c r="AD5475">
        <v>-1.1080346820853999</v>
      </c>
      <c r="AE5475">
        <v>3.0997400000000002</v>
      </c>
      <c r="AF5475">
        <v>-0.71098447888891403</v>
      </c>
      <c r="AG5475">
        <v>-1.1080346820853999</v>
      </c>
      <c r="AH5475">
        <v>18.455340250806099</v>
      </c>
      <c r="AI5475">
        <v>93.433299178375606</v>
      </c>
      <c r="AJ5475">
        <v>92.206205597389499</v>
      </c>
      <c r="AK5475">
        <v>18.502238339156399</v>
      </c>
      <c r="AL5475">
        <v>87.427541898128695</v>
      </c>
      <c r="AM5475">
        <v>89.767298916838499</v>
      </c>
      <c r="AN5475">
        <v>0.99999997892367898</v>
      </c>
    </row>
    <row r="5476" spans="1:40" x14ac:dyDescent="0.25">
      <c r="A5476" t="str">
        <f>"20190312151425800"</f>
        <v>20190312151425800</v>
      </c>
      <c r="B5476" t="str">
        <f>"1552374865795572"</f>
        <v>1552374865795572</v>
      </c>
      <c r="C5476" t="s">
        <v>40</v>
      </c>
      <c r="D5476">
        <v>5.0577649999999998</v>
      </c>
      <c r="E5476">
        <v>0.48308139999999999</v>
      </c>
      <c r="F5476" t="s">
        <v>66</v>
      </c>
      <c r="G5476">
        <v>-241.30840000000001</v>
      </c>
      <c r="H5476" s="1">
        <v>3.8324679999999998E-7</v>
      </c>
      <c r="I5476">
        <v>-60.640309999999999</v>
      </c>
      <c r="J5476">
        <v>-259.54250000000002</v>
      </c>
      <c r="K5476">
        <v>1.1079829999999999</v>
      </c>
      <c r="L5476">
        <v>-63.758789999999998</v>
      </c>
      <c r="M5476">
        <v>0.99168710000000004</v>
      </c>
      <c r="N5476">
        <v>0</v>
      </c>
      <c r="O5476">
        <v>0.12812660000000001</v>
      </c>
      <c r="P5476">
        <v>0.99154569999999997</v>
      </c>
      <c r="Q5476">
        <v>3.3377169999999998E-2</v>
      </c>
      <c r="R5476">
        <v>0.125392</v>
      </c>
      <c r="S5476">
        <v>2.9674990000000001</v>
      </c>
      <c r="T5476">
        <v>-0.1786848</v>
      </c>
      <c r="U5476">
        <v>0.50625609999999999</v>
      </c>
      <c r="V5476">
        <v>2.8889190000000002E-3</v>
      </c>
      <c r="W5476">
        <v>4.5203359999999998E-2</v>
      </c>
      <c r="X5476">
        <v>0.99897360000000002</v>
      </c>
      <c r="Y5476">
        <v>-4.0625870000000001E-2</v>
      </c>
      <c r="Z5476">
        <v>-6.4036709999999997E-3</v>
      </c>
      <c r="AA5476">
        <v>0.99915390000000004</v>
      </c>
      <c r="AB5476">
        <v>34</v>
      </c>
      <c r="AC5476">
        <v>18.234100000000002</v>
      </c>
      <c r="AD5476">
        <v>-1.1079826167532001</v>
      </c>
      <c r="AE5476">
        <v>3.1184799999999999</v>
      </c>
      <c r="AF5476">
        <v>-0.75363263630975896</v>
      </c>
      <c r="AG5476">
        <v>-1.1079826167532001</v>
      </c>
      <c r="AH5476">
        <v>18.4173086023156</v>
      </c>
      <c r="AI5476">
        <v>93.439884645488206</v>
      </c>
      <c r="AJ5476">
        <v>92.343224727558294</v>
      </c>
      <c r="AK5476">
        <v>18.465991546149599</v>
      </c>
      <c r="AL5476">
        <v>87.409155336056997</v>
      </c>
      <c r="AM5476">
        <v>89.834307528613095</v>
      </c>
      <c r="AN5476">
        <v>0.99999997155261799</v>
      </c>
    </row>
    <row r="5477" spans="1:40" x14ac:dyDescent="0.25">
      <c r="A5477" t="str">
        <f>"20190312151425812"</f>
        <v>20190312151425812</v>
      </c>
      <c r="B5477" t="str">
        <f>"1552374865806309"</f>
        <v>1552374865806309</v>
      </c>
      <c r="C5477" t="s">
        <v>40</v>
      </c>
      <c r="D5477">
        <v>5.2688540000000001</v>
      </c>
      <c r="E5477">
        <v>0.48317260000000001</v>
      </c>
      <c r="F5477" t="s">
        <v>66</v>
      </c>
      <c r="G5477">
        <v>-241.05969999999999</v>
      </c>
      <c r="H5477" s="1">
        <v>5.0316919999999998E-7</v>
      </c>
      <c r="I5477">
        <v>-60.590649999999997</v>
      </c>
      <c r="J5477">
        <v>-259.3596</v>
      </c>
      <c r="K5477">
        <v>1.1079289999999999</v>
      </c>
      <c r="L5477">
        <v>-63.736150000000002</v>
      </c>
      <c r="M5477">
        <v>0.99183460000000001</v>
      </c>
      <c r="N5477">
        <v>0</v>
      </c>
      <c r="O5477">
        <v>0.1269795</v>
      </c>
      <c r="P5477">
        <v>0.99152490000000004</v>
      </c>
      <c r="Q5477">
        <v>3.3287690000000002E-2</v>
      </c>
      <c r="R5477">
        <v>0.1255802</v>
      </c>
      <c r="S5477">
        <v>2.9672550000000002</v>
      </c>
      <c r="T5477">
        <v>-0.1778766</v>
      </c>
      <c r="U5477">
        <v>0.508606</v>
      </c>
      <c r="V5477">
        <v>1.5494560000000001E-3</v>
      </c>
      <c r="W5477">
        <v>4.5121429999999997E-2</v>
      </c>
      <c r="X5477">
        <v>0.99898030000000004</v>
      </c>
      <c r="Y5477">
        <v>-4.2557169999999998E-2</v>
      </c>
      <c r="Z5477">
        <v>-6.24992E-3</v>
      </c>
      <c r="AA5477">
        <v>0.99907449999999998</v>
      </c>
      <c r="AB5477">
        <v>34</v>
      </c>
      <c r="AC5477">
        <v>18.299900000000001</v>
      </c>
      <c r="AD5477">
        <v>-1.1079284968308001</v>
      </c>
      <c r="AE5477">
        <v>3.1455000000000002</v>
      </c>
      <c r="AF5477">
        <v>-0.79333497530711905</v>
      </c>
      <c r="AG5477">
        <v>-1.1079284968308001</v>
      </c>
      <c r="AH5477">
        <v>18.485377126149501</v>
      </c>
      <c r="AI5477">
        <v>93.426795534486104</v>
      </c>
      <c r="AJ5477">
        <v>92.457448891920905</v>
      </c>
      <c r="AK5477">
        <v>18.535534883922399</v>
      </c>
      <c r="AL5477">
        <v>87.413854427008104</v>
      </c>
      <c r="AM5477">
        <v>89.911132163316594</v>
      </c>
      <c r="AN5477">
        <v>0.999999992023615</v>
      </c>
    </row>
    <row r="5478" spans="1:40" x14ac:dyDescent="0.25">
      <c r="A5478" t="str">
        <f>"20190312151425823"</f>
        <v>20190312151425823</v>
      </c>
      <c r="B5478" t="str">
        <f>"1552374865816068"</f>
        <v>1552374865816068</v>
      </c>
      <c r="C5478" t="s">
        <v>40</v>
      </c>
      <c r="D5478">
        <v>5.2054640000000001</v>
      </c>
      <c r="E5478">
        <v>0.48320930000000001</v>
      </c>
      <c r="F5478" t="s">
        <v>66</v>
      </c>
      <c r="G5478">
        <v>-241.4659</v>
      </c>
      <c r="H5478" s="1">
        <v>3.0765500000000001E-7</v>
      </c>
      <c r="I5478">
        <v>-60.670450000000002</v>
      </c>
      <c r="J5478">
        <v>-259.1866</v>
      </c>
      <c r="K5478">
        <v>1.1078779999999999</v>
      </c>
      <c r="L5478">
        <v>-63.714970000000001</v>
      </c>
      <c r="M5478">
        <v>0.99197550000000001</v>
      </c>
      <c r="N5478">
        <v>0</v>
      </c>
      <c r="O5478">
        <v>0.12587390000000001</v>
      </c>
      <c r="P5478">
        <v>0.9915117</v>
      </c>
      <c r="Q5478">
        <v>3.3481709999999998E-2</v>
      </c>
      <c r="R5478">
        <v>0.1256323</v>
      </c>
      <c r="S5478">
        <v>2.9674070000000001</v>
      </c>
      <c r="T5478">
        <v>-0.1837345</v>
      </c>
      <c r="U5478">
        <v>0.50839230000000002</v>
      </c>
      <c r="V5478">
        <v>3.8870229999999999E-4</v>
      </c>
      <c r="W5478">
        <v>4.5321979999999998E-2</v>
      </c>
      <c r="X5478">
        <v>0.99897239999999998</v>
      </c>
      <c r="Y5478">
        <v>-4.3598119999999997E-2</v>
      </c>
      <c r="Z5478">
        <v>-6.3559949999999997E-3</v>
      </c>
      <c r="AA5478">
        <v>0.9990289</v>
      </c>
      <c r="AB5478">
        <v>34</v>
      </c>
      <c r="AC5478">
        <v>17.720699999999901</v>
      </c>
      <c r="AD5478">
        <v>-1.107877692345</v>
      </c>
      <c r="AE5478">
        <v>3.0445199999999901</v>
      </c>
      <c r="AF5478">
        <v>-0.78658474463007599</v>
      </c>
      <c r="AG5478">
        <v>-1.107877692345</v>
      </c>
      <c r="AH5478">
        <v>17.895047306873298</v>
      </c>
      <c r="AI5478">
        <v>93.539236522647499</v>
      </c>
      <c r="AJ5478">
        <v>92.516841331838407</v>
      </c>
      <c r="AK5478">
        <v>17.946554729443601</v>
      </c>
      <c r="AL5478">
        <v>87.402352127348294</v>
      </c>
      <c r="AM5478">
        <v>89.977706090625603</v>
      </c>
      <c r="AN5478">
        <v>1.0000000444611701</v>
      </c>
    </row>
    <row r="5479" spans="1:40" x14ac:dyDescent="0.25">
      <c r="A5479" t="str">
        <f>"20190312151425833"</f>
        <v>20190312151425833</v>
      </c>
      <c r="B5479" t="str">
        <f>"1552374865825828"</f>
        <v>1552374865825828</v>
      </c>
      <c r="C5479" t="s">
        <v>40</v>
      </c>
      <c r="D5479">
        <v>5.2610060000000001</v>
      </c>
      <c r="E5479">
        <v>0.48323450000000001</v>
      </c>
      <c r="F5479" t="s">
        <v>66</v>
      </c>
      <c r="G5479">
        <v>-241.41489999999999</v>
      </c>
      <c r="H5479" s="1">
        <v>3.2946290000000002E-7</v>
      </c>
      <c r="I5479">
        <v>-60.670830000000002</v>
      </c>
      <c r="J5479">
        <v>-259.036</v>
      </c>
      <c r="K5479">
        <v>1.1078319999999999</v>
      </c>
      <c r="L5479">
        <v>-63.696809999999999</v>
      </c>
      <c r="M5479">
        <v>0.99210129999999996</v>
      </c>
      <c r="N5479">
        <v>0</v>
      </c>
      <c r="O5479">
        <v>0.124878</v>
      </c>
      <c r="P5479">
        <v>0.99147799999999997</v>
      </c>
      <c r="Q5479">
        <v>3.345472E-2</v>
      </c>
      <c r="R5479">
        <v>0.12590489999999999</v>
      </c>
      <c r="S5479">
        <v>2.9675289999999999</v>
      </c>
      <c r="T5479">
        <v>-0.18499389999999999</v>
      </c>
      <c r="U5479">
        <v>0.5083008</v>
      </c>
      <c r="V5479">
        <v>-8.8440269999999997E-4</v>
      </c>
      <c r="W5479">
        <v>4.5302450000000001E-2</v>
      </c>
      <c r="X5479">
        <v>0.998973</v>
      </c>
      <c r="Y5479">
        <v>-4.4562659999999997E-2</v>
      </c>
      <c r="Z5479">
        <v>-6.3085370000000003E-3</v>
      </c>
      <c r="AA5479">
        <v>0.99898670000000001</v>
      </c>
      <c r="AB5479">
        <v>34</v>
      </c>
      <c r="AC5479">
        <v>17.621099999999998</v>
      </c>
      <c r="AD5479">
        <v>-1.1078316705371001</v>
      </c>
      <c r="AE5479">
        <v>3.0259799999999899</v>
      </c>
      <c r="AF5479">
        <v>-0.798581235416293</v>
      </c>
      <c r="AG5479">
        <v>-1.1078316705371001</v>
      </c>
      <c r="AH5479">
        <v>17.7927364450635</v>
      </c>
      <c r="AI5479">
        <v>93.5592421024392</v>
      </c>
      <c r="AJ5479">
        <v>92.569849102922703</v>
      </c>
      <c r="AK5479">
        <v>17.845069156584898</v>
      </c>
      <c r="AL5479">
        <v>87.4034723422794</v>
      </c>
      <c r="AM5479">
        <v>90.050724623049106</v>
      </c>
      <c r="AN5479">
        <v>1.00000007443656</v>
      </c>
    </row>
    <row r="5480" spans="1:40" x14ac:dyDescent="0.25">
      <c r="A5480" t="str">
        <f>"20190312151425844"</f>
        <v>20190312151425844</v>
      </c>
      <c r="B5480" t="str">
        <f>"1552374865835588"</f>
        <v>1552374865835588</v>
      </c>
      <c r="C5480" t="s">
        <v>40</v>
      </c>
      <c r="D5480">
        <v>5.047523</v>
      </c>
      <c r="E5480">
        <v>0.48303190000000001</v>
      </c>
      <c r="F5480" t="s">
        <v>66</v>
      </c>
      <c r="G5480">
        <v>-241.79300000000001</v>
      </c>
      <c r="H5480" s="1">
        <v>1.4886E-7</v>
      </c>
      <c r="I5480">
        <v>-60.73995</v>
      </c>
      <c r="J5480">
        <v>-258.86599999999999</v>
      </c>
      <c r="K5480">
        <v>1.107782</v>
      </c>
      <c r="L5480">
        <v>-63.67633</v>
      </c>
      <c r="M5480">
        <v>0.9922434</v>
      </c>
      <c r="N5480">
        <v>0</v>
      </c>
      <c r="O5480">
        <v>0.1237438</v>
      </c>
      <c r="P5480">
        <v>0.99145729999999999</v>
      </c>
      <c r="Q5480">
        <v>3.3677119999999998E-2</v>
      </c>
      <c r="R5480">
        <v>0.12600929999999999</v>
      </c>
      <c r="S5480">
        <v>2.9676209999999998</v>
      </c>
      <c r="T5480">
        <v>-0.19066420000000001</v>
      </c>
      <c r="U5480">
        <v>0.50888059999999902</v>
      </c>
      <c r="V5480">
        <v>-2.1266940000000002E-3</v>
      </c>
      <c r="W5480">
        <v>4.553252E-2</v>
      </c>
      <c r="X5480">
        <v>0.99896059999999998</v>
      </c>
      <c r="Y5480">
        <v>-4.5893539999999997E-2</v>
      </c>
      <c r="Z5480">
        <v>-6.3873200000000002E-3</v>
      </c>
      <c r="AA5480">
        <v>0.99892590000000003</v>
      </c>
      <c r="AB5480">
        <v>34</v>
      </c>
      <c r="AC5480">
        <v>17.072999999999901</v>
      </c>
      <c r="AD5480">
        <v>-1.1077818511399999</v>
      </c>
      <c r="AE5480">
        <v>2.9363800000000002</v>
      </c>
      <c r="AF5480">
        <v>-0.79772008815976803</v>
      </c>
      <c r="AG5480">
        <v>-1.1077818511399999</v>
      </c>
      <c r="AH5480">
        <v>17.234671753937299</v>
      </c>
      <c r="AI5480">
        <v>93.673782174657504</v>
      </c>
      <c r="AJ5480">
        <v>92.650087977898593</v>
      </c>
      <c r="AK5480">
        <v>17.2886508564068</v>
      </c>
      <c r="AL5480">
        <v>87.390276509868698</v>
      </c>
      <c r="AM5480">
        <v>90.121977189521502</v>
      </c>
      <c r="AN5480">
        <v>1.0000000067786301</v>
      </c>
    </row>
    <row r="5481" spans="1:40" x14ac:dyDescent="0.25">
      <c r="A5481" t="str">
        <f>"20190312151425857"</f>
        <v>20190312151425857</v>
      </c>
      <c r="B5481" t="str">
        <f>"1552374865846323"</f>
        <v>1552374865846323</v>
      </c>
      <c r="C5481" t="s">
        <v>40</v>
      </c>
      <c r="D5481">
        <v>5.0309019999999904</v>
      </c>
      <c r="E5481">
        <v>0.48287479999999999</v>
      </c>
      <c r="F5481" t="s">
        <v>66</v>
      </c>
      <c r="G5481">
        <v>-241.70490000000001</v>
      </c>
      <c r="H5481" s="1">
        <v>1.9135090000000001E-7</v>
      </c>
      <c r="I5481">
        <v>-60.722230000000003</v>
      </c>
      <c r="J5481">
        <v>-258.68009999999998</v>
      </c>
      <c r="K5481">
        <v>1.1077300000000001</v>
      </c>
      <c r="L5481">
        <v>-63.654389999999999</v>
      </c>
      <c r="M5481">
        <v>0.99240309999999998</v>
      </c>
      <c r="N5481">
        <v>0</v>
      </c>
      <c r="O5481">
        <v>0.122457</v>
      </c>
      <c r="P5481">
        <v>0.99147620000000003</v>
      </c>
      <c r="Q5481">
        <v>3.3772339999999998E-2</v>
      </c>
      <c r="R5481">
        <v>0.12583510000000001</v>
      </c>
      <c r="S5481">
        <v>2.967438</v>
      </c>
      <c r="T5481">
        <v>-0.191554</v>
      </c>
      <c r="U5481">
        <v>0.51080320000000001</v>
      </c>
      <c r="V5481">
        <v>-3.2413160000000002E-3</v>
      </c>
      <c r="W5481">
        <v>4.5634939999999999E-2</v>
      </c>
      <c r="X5481">
        <v>0.99895290000000003</v>
      </c>
      <c r="Y5481">
        <v>-4.7822789999999997E-2</v>
      </c>
      <c r="Z5481">
        <v>-6.2738029999999997E-3</v>
      </c>
      <c r="AA5481">
        <v>0.99883619999999995</v>
      </c>
      <c r="AB5481">
        <v>34</v>
      </c>
      <c r="AC5481">
        <v>16.975199999999901</v>
      </c>
      <c r="AD5481">
        <v>-1.1077298086491001</v>
      </c>
      <c r="AE5481">
        <v>2.9321599999999899</v>
      </c>
      <c r="AF5481">
        <v>-0.82778809027144695</v>
      </c>
      <c r="AG5481">
        <v>-1.1077298086491001</v>
      </c>
      <c r="AH5481">
        <v>17.135657313837601</v>
      </c>
      <c r="AI5481">
        <v>93.694426941417007</v>
      </c>
      <c r="AJ5481">
        <v>92.765690307131706</v>
      </c>
      <c r="AK5481">
        <v>17.1913655661394</v>
      </c>
      <c r="AL5481">
        <v>87.384402087128507</v>
      </c>
      <c r="AM5481">
        <v>90.185907739124303</v>
      </c>
      <c r="AN5481">
        <v>0.99999997514831196</v>
      </c>
    </row>
    <row r="5482" spans="1:40" x14ac:dyDescent="0.25">
      <c r="A5482" t="str">
        <f>"20190312151425871"</f>
        <v>20190312151425871</v>
      </c>
      <c r="B5482" t="str">
        <f>"1552374865865844"</f>
        <v>1552374865865844</v>
      </c>
      <c r="C5482" t="s">
        <v>40</v>
      </c>
      <c r="D5482">
        <v>5.0352319999999997</v>
      </c>
      <c r="E5482">
        <v>0.48258659999999998</v>
      </c>
      <c r="F5482" t="s">
        <v>66</v>
      </c>
      <c r="G5482">
        <v>-241.5164</v>
      </c>
      <c r="H5482" s="1">
        <v>2.7925410000000001E-7</v>
      </c>
      <c r="I5482">
        <v>-60.695900000000002</v>
      </c>
      <c r="J5482">
        <v>-258.46390000000002</v>
      </c>
      <c r="K5482">
        <v>1.1076699999999999</v>
      </c>
      <c r="L5482">
        <v>-63.629060000000003</v>
      </c>
      <c r="M5482">
        <v>0.99258970000000002</v>
      </c>
      <c r="N5482">
        <v>0</v>
      </c>
      <c r="O5482">
        <v>0.1209356</v>
      </c>
      <c r="P5482">
        <v>0.99152580000000001</v>
      </c>
      <c r="Q5482">
        <v>3.3545930000000002E-2</v>
      </c>
      <c r="R5482">
        <v>0.12550500000000001</v>
      </c>
      <c r="S5482">
        <v>2.9673919999999998</v>
      </c>
      <c r="T5482">
        <v>-0.19151260000000001</v>
      </c>
      <c r="U5482">
        <v>0.5114746</v>
      </c>
      <c r="V5482">
        <v>-4.4345840000000001E-3</v>
      </c>
      <c r="W5482">
        <v>4.541676E-2</v>
      </c>
      <c r="X5482">
        <v>0.99895829999999997</v>
      </c>
      <c r="Y5482">
        <v>-4.9569420000000003E-2</v>
      </c>
      <c r="Z5482">
        <v>-6.1201729999999996E-3</v>
      </c>
      <c r="AA5482">
        <v>0.99875190000000003</v>
      </c>
      <c r="AB5482">
        <v>34</v>
      </c>
      <c r="AC5482">
        <v>16.947500000000002</v>
      </c>
      <c r="AD5482">
        <v>-1.1076697207458901</v>
      </c>
      <c r="AE5482">
        <v>2.9331599999999902</v>
      </c>
      <c r="AF5482">
        <v>-0.85836865195799095</v>
      </c>
      <c r="AG5482">
        <v>-1.1076697207458901</v>
      </c>
      <c r="AH5482">
        <v>17.106890569616699</v>
      </c>
      <c r="AI5482">
        <v>93.700083263891898</v>
      </c>
      <c r="AJ5482">
        <v>92.872508517066706</v>
      </c>
      <c r="AK5482">
        <v>17.164190453201101</v>
      </c>
      <c r="AL5482">
        <v>87.3969159628097</v>
      </c>
      <c r="AM5482">
        <v>90.2543462305498</v>
      </c>
      <c r="AN5482">
        <v>1.0000000163815199</v>
      </c>
    </row>
    <row r="5483" spans="1:40" x14ac:dyDescent="0.25">
      <c r="A5483" t="str">
        <f>"20190312151425883"</f>
        <v>20190312151425883</v>
      </c>
      <c r="B5483" t="str">
        <f>"1552374865876113"</f>
        <v>1552374865876113</v>
      </c>
      <c r="C5483" t="s">
        <v>40</v>
      </c>
      <c r="D5483">
        <v>5.0655979999999996</v>
      </c>
      <c r="E5483">
        <v>0.4824755</v>
      </c>
      <c r="F5483" t="s">
        <v>66</v>
      </c>
      <c r="G5483">
        <v>-241.6268</v>
      </c>
      <c r="H5483" s="1">
        <v>2.257249E-7</v>
      </c>
      <c r="I5483">
        <v>-60.719009999999997</v>
      </c>
      <c r="J5483">
        <v>-258.25880000000001</v>
      </c>
      <c r="K5483">
        <v>1.107612</v>
      </c>
      <c r="L5483">
        <v>-63.605379999999997</v>
      </c>
      <c r="M5483">
        <v>0.99276830000000005</v>
      </c>
      <c r="N5483">
        <v>0</v>
      </c>
      <c r="O5483">
        <v>0.1194587</v>
      </c>
      <c r="P5483">
        <v>0.99155780000000004</v>
      </c>
      <c r="Q5483">
        <v>3.3702059999999999E-2</v>
      </c>
      <c r="R5483">
        <v>0.12520870000000001</v>
      </c>
      <c r="S5483">
        <v>2.9673310000000002</v>
      </c>
      <c r="T5483">
        <v>-0.19521279999999999</v>
      </c>
      <c r="U5483">
        <v>0.51284790000000002</v>
      </c>
      <c r="V5483">
        <v>-5.6163389999999997E-3</v>
      </c>
      <c r="W5483">
        <v>4.5582060000000001E-2</v>
      </c>
      <c r="X5483">
        <v>0.99894479999999997</v>
      </c>
      <c r="Y5483">
        <v>-5.1506049999999998E-2</v>
      </c>
      <c r="Z5483">
        <v>-6.0795099999999998E-3</v>
      </c>
      <c r="AA5483">
        <v>0.99865420000000005</v>
      </c>
      <c r="AB5483">
        <v>34</v>
      </c>
      <c r="AC5483">
        <v>16.632000000000001</v>
      </c>
      <c r="AD5483">
        <v>-1.1076117742750999</v>
      </c>
      <c r="AE5483">
        <v>2.8863699999999999</v>
      </c>
      <c r="AF5483">
        <v>-0.87495446169649305</v>
      </c>
      <c r="AG5483">
        <v>-1.1076117742750999</v>
      </c>
      <c r="AH5483">
        <v>16.785444809292599</v>
      </c>
      <c r="AI5483">
        <v>93.770167826717199</v>
      </c>
      <c r="AJ5483">
        <v>92.983886848757805</v>
      </c>
      <c r="AK5483">
        <v>16.844687785719401</v>
      </c>
      <c r="AL5483">
        <v>87.387435084158</v>
      </c>
      <c r="AM5483">
        <v>90.3221290410292</v>
      </c>
      <c r="AN5483">
        <v>0.99999999045232302</v>
      </c>
    </row>
    <row r="5484" spans="1:40" x14ac:dyDescent="0.25">
      <c r="A5484" t="str">
        <f>"20190312151425899"</f>
        <v>20190312151425899</v>
      </c>
      <c r="B5484" t="str">
        <f>"1552374865895632"</f>
        <v>1552374865895632</v>
      </c>
      <c r="C5484" t="s">
        <v>40</v>
      </c>
      <c r="D5484">
        <v>5.0577959999999997</v>
      </c>
      <c r="E5484">
        <v>0.4822786</v>
      </c>
      <c r="F5484" t="s">
        <v>66</v>
      </c>
      <c r="G5484">
        <v>-241.524</v>
      </c>
      <c r="H5484" s="1">
        <v>2.7131639999999999E-7</v>
      </c>
      <c r="I5484">
        <v>-60.713360000000002</v>
      </c>
      <c r="J5484">
        <v>-258.0378</v>
      </c>
      <c r="K5484">
        <v>1.107553</v>
      </c>
      <c r="L5484">
        <v>-63.580319999999901</v>
      </c>
      <c r="M5484">
        <v>0.99296390000000001</v>
      </c>
      <c r="N5484">
        <v>0</v>
      </c>
      <c r="O5484">
        <v>0.11782330000000001</v>
      </c>
      <c r="P5484">
        <v>0.99163869999999998</v>
      </c>
      <c r="Q5484">
        <v>3.3687210000000002E-2</v>
      </c>
      <c r="R5484">
        <v>0.1245719</v>
      </c>
      <c r="S5484">
        <v>2.9674990000000001</v>
      </c>
      <c r="T5484">
        <v>-0.19640759999999999</v>
      </c>
      <c r="U5484">
        <v>0.51281739999999998</v>
      </c>
      <c r="V5484">
        <v>-6.6142579999999996E-3</v>
      </c>
      <c r="W5484">
        <v>4.557539E-2</v>
      </c>
      <c r="X5484">
        <v>0.99893900000000002</v>
      </c>
      <c r="Y5484">
        <v>-5.3126340000000001E-2</v>
      </c>
      <c r="Z5484">
        <v>-5.9569150000000001E-3</v>
      </c>
      <c r="AA5484">
        <v>0.99856999999999996</v>
      </c>
      <c r="AB5484">
        <v>34</v>
      </c>
      <c r="AC5484">
        <v>16.5138</v>
      </c>
      <c r="AD5484">
        <v>-1.1075527286836</v>
      </c>
      <c r="AE5484">
        <v>2.86695999999999</v>
      </c>
      <c r="AF5484">
        <v>-0.897222849251198</v>
      </c>
      <c r="AG5484">
        <v>-1.1075527286836</v>
      </c>
      <c r="AH5484">
        <v>16.663813221607001</v>
      </c>
      <c r="AI5484">
        <v>93.797061303914901</v>
      </c>
      <c r="AJ5484">
        <v>93.081977173900299</v>
      </c>
      <c r="AK5484">
        <v>16.724663015219001</v>
      </c>
      <c r="AL5484">
        <v>87.387817656871306</v>
      </c>
      <c r="AM5484">
        <v>90.379366037344894</v>
      </c>
      <c r="AN5484">
        <v>0.99999999515177096</v>
      </c>
    </row>
    <row r="5485" spans="1:40" x14ac:dyDescent="0.25">
      <c r="A5485" t="str">
        <f>"20190312151425913"</f>
        <v>20190312151425913</v>
      </c>
      <c r="B5485" t="str">
        <f>"1552374865906369"</f>
        <v>1552374865906369</v>
      </c>
      <c r="C5485" t="s">
        <v>40</v>
      </c>
      <c r="D5485">
        <v>5.0459630000000004</v>
      </c>
      <c r="E5485">
        <v>0.48219200000000001</v>
      </c>
      <c r="F5485" t="s">
        <v>66</v>
      </c>
      <c r="G5485">
        <v>-241.63730000000001</v>
      </c>
      <c r="H5485" s="1">
        <v>2.1351100000000001E-7</v>
      </c>
      <c r="I5485">
        <v>-60.747999999999998</v>
      </c>
      <c r="J5485">
        <v>-257.81849999999997</v>
      </c>
      <c r="K5485">
        <v>1.107504</v>
      </c>
      <c r="L5485">
        <v>-63.555790000000002</v>
      </c>
      <c r="M5485">
        <v>0.99315799999999999</v>
      </c>
      <c r="N5485">
        <v>0</v>
      </c>
      <c r="O5485">
        <v>0.11617479999999999</v>
      </c>
      <c r="P5485">
        <v>0.99159419999999998</v>
      </c>
      <c r="Q5485">
        <v>3.3579240000000003E-2</v>
      </c>
      <c r="R5485">
        <v>0.1249547</v>
      </c>
      <c r="S5485">
        <v>2.9677579999999999</v>
      </c>
      <c r="T5485">
        <v>-0.2004175</v>
      </c>
      <c r="U5485">
        <v>0.51251219999999997</v>
      </c>
      <c r="V5485">
        <v>-8.6529769999999992E-3</v>
      </c>
      <c r="W5485">
        <v>4.5481069999999998E-2</v>
      </c>
      <c r="X5485">
        <v>0.99892769999999997</v>
      </c>
      <c r="Y5485">
        <v>-5.4668219999999997E-2</v>
      </c>
      <c r="Z5485">
        <v>-5.9169189999999997E-3</v>
      </c>
      <c r="AA5485">
        <v>0.99848709999999996</v>
      </c>
      <c r="AB5485">
        <v>34</v>
      </c>
      <c r="AC5485">
        <v>16.181199999999901</v>
      </c>
      <c r="AD5485">
        <v>-1.1075037864890001</v>
      </c>
      <c r="AE5485">
        <v>2.80778999999999</v>
      </c>
      <c r="AF5485">
        <v>-0.90468116043982205</v>
      </c>
      <c r="AG5485">
        <v>-1.1075037864890001</v>
      </c>
      <c r="AH5485">
        <v>16.323601742727501</v>
      </c>
      <c r="AI5485">
        <v>93.875456634495904</v>
      </c>
      <c r="AJ5485">
        <v>93.172182209377198</v>
      </c>
      <c r="AK5485">
        <v>16.386121764905798</v>
      </c>
      <c r="AL5485">
        <v>87.393227353923393</v>
      </c>
      <c r="AM5485">
        <v>90.496298843897307</v>
      </c>
      <c r="AN5485">
        <v>0.99999997578329802</v>
      </c>
    </row>
    <row r="5486" spans="1:40" x14ac:dyDescent="0.25">
      <c r="A5486" t="str">
        <f>"20190312151425934"</f>
        <v>20190312151425934</v>
      </c>
      <c r="B5486" t="str">
        <f>"1552374865925888"</f>
        <v>1552374865925888</v>
      </c>
      <c r="C5486" t="s">
        <v>40</v>
      </c>
      <c r="D5486">
        <v>5.0461010000000002</v>
      </c>
      <c r="E5486">
        <v>0.48202640000000002</v>
      </c>
      <c r="F5486" t="s">
        <v>66</v>
      </c>
      <c r="G5486">
        <v>-241.57749999999999</v>
      </c>
      <c r="H5486" s="1">
        <v>2.4126290000000002E-7</v>
      </c>
      <c r="I5486">
        <v>-60.740160000000003</v>
      </c>
      <c r="J5486">
        <v>-257.49709999999999</v>
      </c>
      <c r="K5486">
        <v>1.1074299999999999</v>
      </c>
      <c r="L5486">
        <v>-63.5205699999999</v>
      </c>
      <c r="M5486">
        <v>0.99344330000000003</v>
      </c>
      <c r="N5486">
        <v>0</v>
      </c>
      <c r="O5486">
        <v>0.11370950000000001</v>
      </c>
      <c r="P5486">
        <v>0.99170210000000003</v>
      </c>
      <c r="Q5486">
        <v>3.3749719999999997E-2</v>
      </c>
      <c r="R5486">
        <v>0.1240491</v>
      </c>
      <c r="S5486">
        <v>2.967422</v>
      </c>
      <c r="T5486">
        <v>-0.20235339999999999</v>
      </c>
      <c r="U5486">
        <v>0.51443479999999997</v>
      </c>
      <c r="V5486">
        <v>-1.0212850000000001E-2</v>
      </c>
      <c r="W5486">
        <v>4.5664940000000001E-2</v>
      </c>
      <c r="X5486">
        <v>0.99890460000000003</v>
      </c>
      <c r="Y5486">
        <v>-5.778345E-2</v>
      </c>
      <c r="Z5486">
        <v>-5.7038549999999999E-3</v>
      </c>
      <c r="AA5486">
        <v>0.9983128</v>
      </c>
      <c r="AB5486">
        <v>34</v>
      </c>
      <c r="AC5486">
        <v>15.919600000000001</v>
      </c>
      <c r="AD5486">
        <v>-1.10742975873709</v>
      </c>
      <c r="AE5486">
        <v>2.7804099999999901</v>
      </c>
      <c r="AF5486">
        <v>-0.94758707012238697</v>
      </c>
      <c r="AG5486">
        <v>-1.10742975873709</v>
      </c>
      <c r="AH5486">
        <v>16.057110292278601</v>
      </c>
      <c r="AI5486">
        <v>93.938507836157896</v>
      </c>
      <c r="AJ5486">
        <v>93.377310338492805</v>
      </c>
      <c r="AK5486">
        <v>16.1231235455292</v>
      </c>
      <c r="AL5486">
        <v>87.382681470522698</v>
      </c>
      <c r="AM5486">
        <v>90.585774471515407</v>
      </c>
      <c r="AN5486">
        <v>0.99999999447574295</v>
      </c>
    </row>
    <row r="5487" spans="1:40" x14ac:dyDescent="0.25">
      <c r="A5487" t="str">
        <f>"20190312151425944"</f>
        <v>20190312151425944</v>
      </c>
      <c r="B5487" t="str">
        <f>"1552374865935649"</f>
        <v>1552374865935649</v>
      </c>
      <c r="C5487" t="s">
        <v>40</v>
      </c>
      <c r="D5487">
        <v>5.0728869999999997</v>
      </c>
      <c r="E5487">
        <v>0.48199239999999999</v>
      </c>
      <c r="F5487" t="s">
        <v>66</v>
      </c>
      <c r="G5487">
        <v>-241.42160000000001</v>
      </c>
      <c r="H5487" s="1">
        <v>3.0783929999999998E-7</v>
      </c>
      <c r="I5487">
        <v>-60.741190000000003</v>
      </c>
      <c r="J5487">
        <v>-257.32639999999998</v>
      </c>
      <c r="K5487">
        <v>1.1073949999999999</v>
      </c>
      <c r="L5487">
        <v>-63.502139999999997</v>
      </c>
      <c r="M5487">
        <v>0.99359410000000004</v>
      </c>
      <c r="N5487">
        <v>0</v>
      </c>
      <c r="O5487">
        <v>0.1123841</v>
      </c>
      <c r="P5487">
        <v>0.99178109999999997</v>
      </c>
      <c r="Q5487">
        <v>3.3278330000000002E-2</v>
      </c>
      <c r="R5487">
        <v>0.12354370000000001</v>
      </c>
      <c r="S5487">
        <v>2.9678800000000001</v>
      </c>
      <c r="T5487">
        <v>-0.2044561</v>
      </c>
      <c r="U5487">
        <v>0.51312259999999998</v>
      </c>
      <c r="V5487">
        <v>-1.1034240000000001E-2</v>
      </c>
      <c r="W5487">
        <v>4.5200980000000002E-2</v>
      </c>
      <c r="X5487">
        <v>0.99891700000000005</v>
      </c>
      <c r="Y5487">
        <v>-5.8658330000000002E-2</v>
      </c>
      <c r="Z5487">
        <v>-5.6428429999999998E-3</v>
      </c>
      <c r="AA5487">
        <v>0.99826219999999999</v>
      </c>
      <c r="AB5487">
        <v>34</v>
      </c>
      <c r="AC5487">
        <v>15.9047999999999</v>
      </c>
      <c r="AD5487">
        <v>-1.1073946921606901</v>
      </c>
      <c r="AE5487">
        <v>2.7609499999999998</v>
      </c>
      <c r="AF5487">
        <v>-0.951406839118215</v>
      </c>
      <c r="AG5487">
        <v>-1.1073946921606901</v>
      </c>
      <c r="AH5487">
        <v>16.038855704052999</v>
      </c>
      <c r="AI5487">
        <v>93.9427810949324</v>
      </c>
      <c r="AJ5487">
        <v>93.394743051626904</v>
      </c>
      <c r="AK5487">
        <v>16.105166570799</v>
      </c>
      <c r="AL5487">
        <v>87.409291985795093</v>
      </c>
      <c r="AM5487">
        <v>90.6328750737093</v>
      </c>
      <c r="AN5487">
        <v>1.0000000279671599</v>
      </c>
    </row>
    <row r="5488" spans="1:40" x14ac:dyDescent="0.25">
      <c r="A5488" t="str">
        <f>"20190312151425956"</f>
        <v>20190312151425956</v>
      </c>
      <c r="B5488" t="str">
        <f>"1552374865946384"</f>
        <v>1552374865946384</v>
      </c>
      <c r="C5488" t="s">
        <v>40</v>
      </c>
      <c r="D5488">
        <v>5.088292</v>
      </c>
      <c r="E5488">
        <v>0.4818886</v>
      </c>
      <c r="F5488" t="s">
        <v>66</v>
      </c>
      <c r="G5488">
        <v>-241.48099999999999</v>
      </c>
      <c r="H5488" s="1">
        <v>2.74892E-7</v>
      </c>
      <c r="I5488">
        <v>-60.76923</v>
      </c>
      <c r="J5488">
        <v>-257.15339999999998</v>
      </c>
      <c r="K5488">
        <v>1.1073630000000001</v>
      </c>
      <c r="L5488">
        <v>-63.483829999999998</v>
      </c>
      <c r="M5488">
        <v>0.99374709999999999</v>
      </c>
      <c r="N5488">
        <v>0</v>
      </c>
      <c r="O5488">
        <v>0.1110221</v>
      </c>
      <c r="P5488">
        <v>0.99186580000000002</v>
      </c>
      <c r="Q5488">
        <v>3.3188570000000001E-2</v>
      </c>
      <c r="R5488">
        <v>0.12288490000000001</v>
      </c>
      <c r="S5488">
        <v>2.9680629999999999</v>
      </c>
      <c r="T5488">
        <v>-0.2074317</v>
      </c>
      <c r="U5488">
        <v>0.51190190000000002</v>
      </c>
      <c r="V5488">
        <v>-1.1736379999999999E-2</v>
      </c>
      <c r="W5488">
        <v>4.5117150000000002E-2</v>
      </c>
      <c r="X5488">
        <v>0.99891280000000005</v>
      </c>
      <c r="Y5488">
        <v>-5.9615700000000001E-2</v>
      </c>
      <c r="Z5488">
        <v>-5.5980119999999899E-3</v>
      </c>
      <c r="AA5488">
        <v>0.99820569999999997</v>
      </c>
      <c r="AB5488">
        <v>34</v>
      </c>
      <c r="AC5488">
        <v>15.6723999999999</v>
      </c>
      <c r="AD5488">
        <v>-1.1073627251079901</v>
      </c>
      <c r="AE5488">
        <v>2.7145999999999901</v>
      </c>
      <c r="AF5488">
        <v>-0.95309092999503398</v>
      </c>
      <c r="AG5488">
        <v>-1.1073627251079901</v>
      </c>
      <c r="AH5488">
        <v>15.8003165949072</v>
      </c>
      <c r="AI5488">
        <v>94.001760274649698</v>
      </c>
      <c r="AJ5488">
        <v>93.451956099918704</v>
      </c>
      <c r="AK5488">
        <v>15.867723183402701</v>
      </c>
      <c r="AL5488">
        <v>87.414100029468997</v>
      </c>
      <c r="AM5488">
        <v>90.673145945572898</v>
      </c>
      <c r="AN5488">
        <v>1.00000004092173</v>
      </c>
    </row>
    <row r="5489" spans="1:40" x14ac:dyDescent="0.25">
      <c r="A5489" t="str">
        <f>"20190312151425967"</f>
        <v>20190312151425967</v>
      </c>
      <c r="B5489" t="str">
        <f>"1552374865956145"</f>
        <v>1552374865956145</v>
      </c>
      <c r="C5489" t="s">
        <v>40</v>
      </c>
      <c r="D5489">
        <v>5.0837059999999896</v>
      </c>
      <c r="E5489">
        <v>0.48182999999999998</v>
      </c>
      <c r="F5489" t="s">
        <v>66</v>
      </c>
      <c r="G5489">
        <v>-241.4117</v>
      </c>
      <c r="H5489" s="1">
        <v>3.0296130000000001E-7</v>
      </c>
      <c r="I5489">
        <v>-60.775509999999997</v>
      </c>
      <c r="J5489">
        <v>-256.98329999999999</v>
      </c>
      <c r="K5489">
        <v>1.107335</v>
      </c>
      <c r="L5489">
        <v>-63.465969999999999</v>
      </c>
      <c r="M5489">
        <v>0.99389609999999995</v>
      </c>
      <c r="N5489">
        <v>0</v>
      </c>
      <c r="O5489">
        <v>0.1096796</v>
      </c>
      <c r="P5489">
        <v>0.99194749999999998</v>
      </c>
      <c r="Q5489">
        <v>3.3016740000000003E-2</v>
      </c>
      <c r="R5489">
        <v>0.122271699999999</v>
      </c>
      <c r="S5489">
        <v>2.9683229999999998</v>
      </c>
      <c r="T5489">
        <v>-0.2088093</v>
      </c>
      <c r="U5489">
        <v>0.51068119999999995</v>
      </c>
      <c r="V5489">
        <v>-1.2466669999999999E-2</v>
      </c>
      <c r="W5489">
        <v>4.4951850000000002E-2</v>
      </c>
      <c r="X5489">
        <v>0.9989114</v>
      </c>
      <c r="Y5489">
        <v>-6.0547080000000003E-2</v>
      </c>
      <c r="Z5489">
        <v>-5.5095980000000001E-3</v>
      </c>
      <c r="AA5489">
        <v>0.99815010000000004</v>
      </c>
      <c r="AB5489">
        <v>34</v>
      </c>
      <c r="AC5489">
        <v>15.571599999999901</v>
      </c>
      <c r="AD5489">
        <v>-1.1073346970386999</v>
      </c>
      <c r="AE5489">
        <v>2.6904599999999999</v>
      </c>
      <c r="AF5489">
        <v>-0.96149759791935796</v>
      </c>
      <c r="AG5489">
        <v>-1.1073346970386999</v>
      </c>
      <c r="AH5489">
        <v>15.6956805955724</v>
      </c>
      <c r="AI5489">
        <v>94.028021009785107</v>
      </c>
      <c r="AJ5489">
        <v>93.505486636005401</v>
      </c>
      <c r="AK5489">
        <v>15.764043171734199</v>
      </c>
      <c r="AL5489">
        <v>87.423580627129098</v>
      </c>
      <c r="AM5489">
        <v>90.715028874433798</v>
      </c>
      <c r="AN5489">
        <v>1.0000000358646299</v>
      </c>
    </row>
    <row r="5490" spans="1:40" x14ac:dyDescent="0.25">
      <c r="A5490" t="str">
        <f>"20190312151425978"</f>
        <v>20190312151425978</v>
      </c>
      <c r="B5490" t="str">
        <f>"1552374865975665"</f>
        <v>1552374865975665</v>
      </c>
      <c r="C5490" t="s">
        <v>40</v>
      </c>
      <c r="D5490">
        <v>5.1812360000000002</v>
      </c>
      <c r="E5490">
        <v>0.481715</v>
      </c>
      <c r="F5490" t="s">
        <v>66</v>
      </c>
      <c r="G5490">
        <v>-241.3751</v>
      </c>
      <c r="H5490" s="1">
        <v>3.1530799999999998E-7</v>
      </c>
      <c r="I5490">
        <v>-60.788220000000003</v>
      </c>
      <c r="J5490">
        <v>-256.80610000000001</v>
      </c>
      <c r="K5490">
        <v>1.1073109999999999</v>
      </c>
      <c r="L5490">
        <v>-63.447719999999997</v>
      </c>
      <c r="M5490">
        <v>0.99405089999999996</v>
      </c>
      <c r="N5490">
        <v>0</v>
      </c>
      <c r="O5490">
        <v>0.1082683</v>
      </c>
      <c r="P5490">
        <v>0.99208940000000001</v>
      </c>
      <c r="Q5490">
        <v>3.273686E-2</v>
      </c>
      <c r="R5490">
        <v>0.1211908</v>
      </c>
      <c r="S5490">
        <v>2.9685820000000001</v>
      </c>
      <c r="T5490">
        <v>-0.21060709999999999</v>
      </c>
      <c r="U5490">
        <v>0.50927730000000004</v>
      </c>
      <c r="V5490">
        <v>-1.279453E-2</v>
      </c>
      <c r="W5490">
        <v>4.4675560000000003E-2</v>
      </c>
      <c r="X5490">
        <v>0.99891960000000002</v>
      </c>
      <c r="Y5490">
        <v>-6.148758E-2</v>
      </c>
      <c r="Z5490">
        <v>-5.4252509999999999E-3</v>
      </c>
      <c r="AA5490">
        <v>0.99809309999999996</v>
      </c>
      <c r="AB5490">
        <v>34</v>
      </c>
      <c r="AC5490">
        <v>15.430999999999999</v>
      </c>
      <c r="AD5490">
        <v>-1.107310684692</v>
      </c>
      <c r="AE5490">
        <v>2.6595</v>
      </c>
      <c r="AF5490">
        <v>-0.96821688063499201</v>
      </c>
      <c r="AG5490">
        <v>-1.107310684692</v>
      </c>
      <c r="AH5490">
        <v>15.550474477756399</v>
      </c>
      <c r="AI5490">
        <v>94.065169865139893</v>
      </c>
      <c r="AJ5490">
        <v>93.562799428041799</v>
      </c>
      <c r="AK5490">
        <v>15.6198859587301</v>
      </c>
      <c r="AL5490">
        <v>87.439426670624698</v>
      </c>
      <c r="AM5490">
        <v>90.733825310763507</v>
      </c>
      <c r="AN5490">
        <v>0.99999998646169697</v>
      </c>
    </row>
    <row r="5491" spans="1:40" x14ac:dyDescent="0.25">
      <c r="A5491" t="str">
        <f>"20190312151425992"</f>
        <v>20190312151425992</v>
      </c>
      <c r="B5491" t="str">
        <f>"1552374865986401"</f>
        <v>1552374865986401</v>
      </c>
      <c r="C5491" t="s">
        <v>40</v>
      </c>
      <c r="D5491">
        <v>5.0610850000000003</v>
      </c>
      <c r="E5491">
        <v>0.48167510000000002</v>
      </c>
      <c r="F5491" t="s">
        <v>66</v>
      </c>
      <c r="G5491">
        <v>-241.36279999999999</v>
      </c>
      <c r="H5491" s="1">
        <v>3.1467040000000002E-7</v>
      </c>
      <c r="I5491">
        <v>-60.810419999999901</v>
      </c>
      <c r="J5491">
        <v>-256.61290000000002</v>
      </c>
      <c r="K5491">
        <v>1.1072879999999901</v>
      </c>
      <c r="L5491">
        <v>-63.428069999999998</v>
      </c>
      <c r="M5491">
        <v>0.99421780000000004</v>
      </c>
      <c r="N5491">
        <v>0</v>
      </c>
      <c r="O5491">
        <v>0.10672470000000001</v>
      </c>
      <c r="P5491">
        <v>0.99221300000000001</v>
      </c>
      <c r="Q5491">
        <v>3.269412E-2</v>
      </c>
      <c r="R5491">
        <v>0.1201856</v>
      </c>
      <c r="S5491">
        <v>2.9690400000000001</v>
      </c>
      <c r="T5491">
        <v>-0.21288489999999999</v>
      </c>
      <c r="U5491">
        <v>0.507019</v>
      </c>
      <c r="V5491">
        <v>-1.333137E-2</v>
      </c>
      <c r="W5491">
        <v>4.4637929999999999E-2</v>
      </c>
      <c r="X5491">
        <v>0.99891430000000003</v>
      </c>
      <c r="Y5491">
        <v>-6.2270779999999998E-2</v>
      </c>
      <c r="Z5491">
        <v>-5.3467640000000004E-3</v>
      </c>
      <c r="AA5491">
        <v>0.99804499999999996</v>
      </c>
      <c r="AB5491">
        <v>34</v>
      </c>
      <c r="AC5491">
        <v>15.2501</v>
      </c>
      <c r="AD5491">
        <v>-1.1072876853296001</v>
      </c>
      <c r="AE5491">
        <v>2.6176499999999998</v>
      </c>
      <c r="AF5491">
        <v>-0.97005276800025397</v>
      </c>
      <c r="AG5491">
        <v>-1.1072876853296001</v>
      </c>
      <c r="AH5491">
        <v>15.363696694326601</v>
      </c>
      <c r="AI5491">
        <v>94.114112180053993</v>
      </c>
      <c r="AJ5491">
        <v>93.612818518816695</v>
      </c>
      <c r="AK5491">
        <v>15.434061827855</v>
      </c>
      <c r="AL5491">
        <v>87.441584961210395</v>
      </c>
      <c r="AM5491">
        <v>90.764616035440994</v>
      </c>
      <c r="AN5491">
        <v>1.0000000244826199</v>
      </c>
    </row>
    <row r="5492" spans="1:40" x14ac:dyDescent="0.25">
      <c r="A5492" t="str">
        <f>"20190312151426002"</f>
        <v>20190312151426002</v>
      </c>
      <c r="B5492" t="str">
        <f>"1552374865996161"</f>
        <v>1552374865996161</v>
      </c>
      <c r="C5492" t="s">
        <v>40</v>
      </c>
      <c r="D5492">
        <v>5.0892239999999997</v>
      </c>
      <c r="E5492">
        <v>0.48161969999999998</v>
      </c>
      <c r="F5492" t="s">
        <v>66</v>
      </c>
      <c r="G5492">
        <v>-241.1611</v>
      </c>
      <c r="H5492" s="1">
        <v>4.0291099999999997E-7</v>
      </c>
      <c r="I5492">
        <v>-60.804000000000002</v>
      </c>
      <c r="J5492">
        <v>-256.44670000000002</v>
      </c>
      <c r="K5492">
        <v>1.107267</v>
      </c>
      <c r="L5492">
        <v>-63.411380000000001</v>
      </c>
      <c r="M5492">
        <v>0.99435989999999996</v>
      </c>
      <c r="N5492">
        <v>0</v>
      </c>
      <c r="O5492">
        <v>0.105392899999999</v>
      </c>
      <c r="P5492">
        <v>0.99236210000000002</v>
      </c>
      <c r="Q5492">
        <v>3.2439379999999997E-2</v>
      </c>
      <c r="R5492">
        <v>0.1190177</v>
      </c>
      <c r="S5492">
        <v>2.9694669999999999</v>
      </c>
      <c r="T5492">
        <v>-0.21279439999999999</v>
      </c>
      <c r="U5492">
        <v>0.50427250000000001</v>
      </c>
      <c r="V5492">
        <v>-1.3492519999999999E-2</v>
      </c>
      <c r="W5492">
        <v>4.4385460000000002E-2</v>
      </c>
      <c r="X5492">
        <v>0.99892340000000002</v>
      </c>
      <c r="Y5492">
        <v>-6.268232E-2</v>
      </c>
      <c r="Z5492">
        <v>-5.2357949999999997E-3</v>
      </c>
      <c r="AA5492">
        <v>0.99801980000000001</v>
      </c>
      <c r="AB5492">
        <v>34</v>
      </c>
      <c r="AC5492">
        <v>15.285600000000001</v>
      </c>
      <c r="AD5492">
        <v>-1.1072665970890001</v>
      </c>
      <c r="AE5492">
        <v>2.60738</v>
      </c>
      <c r="AF5492">
        <v>-0.97676896052190798</v>
      </c>
      <c r="AG5492">
        <v>-1.1072665970890001</v>
      </c>
      <c r="AH5492">
        <v>15.3967681523221</v>
      </c>
      <c r="AI5492">
        <v>94.105150089215201</v>
      </c>
      <c r="AJ5492">
        <v>93.629972234597901</v>
      </c>
      <c r="AK5492">
        <v>15.467403998590999</v>
      </c>
      <c r="AL5492">
        <v>87.456064812518903</v>
      </c>
      <c r="AM5492">
        <v>90.773850570855402</v>
      </c>
      <c r="AN5492">
        <v>1.00000003811146</v>
      </c>
    </row>
    <row r="5493" spans="1:40" x14ac:dyDescent="0.25">
      <c r="A5493" t="str">
        <f>"20190312151426012"</f>
        <v>20190312151426012</v>
      </c>
      <c r="B5493" t="str">
        <f>"1552374866005920"</f>
        <v>1552374866005920</v>
      </c>
      <c r="C5493" t="s">
        <v>40</v>
      </c>
      <c r="D5493">
        <v>5.1086939999999998</v>
      </c>
      <c r="E5493">
        <v>0.48155229999999999</v>
      </c>
      <c r="F5493" t="s">
        <v>66</v>
      </c>
      <c r="G5493">
        <v>-241.1422</v>
      </c>
      <c r="H5493" s="1">
        <v>4.0459079999999999E-7</v>
      </c>
      <c r="I5493">
        <v>-60.828169999999901</v>
      </c>
      <c r="J5493">
        <v>-256.28980000000001</v>
      </c>
      <c r="K5493">
        <v>1.107253</v>
      </c>
      <c r="L5493">
        <v>-63.395870000000002</v>
      </c>
      <c r="M5493">
        <v>0.99449270000000001</v>
      </c>
      <c r="N5493">
        <v>0</v>
      </c>
      <c r="O5493">
        <v>0.1041314</v>
      </c>
      <c r="P5493">
        <v>0.99248930000000002</v>
      </c>
      <c r="Q5493">
        <v>3.2268060000000001E-2</v>
      </c>
      <c r="R5493">
        <v>0.11799850000000001</v>
      </c>
      <c r="S5493">
        <v>2.969986</v>
      </c>
      <c r="T5493">
        <v>-0.21487500000000001</v>
      </c>
      <c r="U5493">
        <v>0.50128170000000005</v>
      </c>
      <c r="V5493">
        <v>-1.3732690000000001E-2</v>
      </c>
      <c r="W5493">
        <v>4.4217770000000003E-2</v>
      </c>
      <c r="X5493">
        <v>0.99892749999999997</v>
      </c>
      <c r="Y5493">
        <v>-6.2940869999999996E-2</v>
      </c>
      <c r="Z5493">
        <v>-5.1874670000000003E-3</v>
      </c>
      <c r="AA5493">
        <v>0.9980038</v>
      </c>
      <c r="AB5493">
        <v>34</v>
      </c>
      <c r="AC5493">
        <v>15.147600000000001</v>
      </c>
      <c r="AD5493">
        <v>-1.1072525954091901</v>
      </c>
      <c r="AE5493">
        <v>2.5676999999999999</v>
      </c>
      <c r="AF5493">
        <v>-0.97124226422306004</v>
      </c>
      <c r="AG5493">
        <v>-1.1072525954091901</v>
      </c>
      <c r="AH5493">
        <v>15.2534098855085</v>
      </c>
      <c r="AI5493">
        <v>94.143484983205994</v>
      </c>
      <c r="AJ5493">
        <v>93.643320402041894</v>
      </c>
      <c r="AK5493">
        <v>15.3243542435296</v>
      </c>
      <c r="AL5493">
        <v>87.4656820214379</v>
      </c>
      <c r="AM5493">
        <v>90.7876203389214</v>
      </c>
      <c r="AN5493">
        <v>0.99999997410732899</v>
      </c>
    </row>
    <row r="5494" spans="1:40" x14ac:dyDescent="0.25">
      <c r="A5494" t="str">
        <f>"20190312151426023"</f>
        <v>20190312151426023</v>
      </c>
      <c r="B5494" t="str">
        <f>"1552374866015680"</f>
        <v>1552374866015680</v>
      </c>
      <c r="C5494" t="s">
        <v>40</v>
      </c>
      <c r="D5494">
        <v>5.0566570000000004</v>
      </c>
      <c r="E5494">
        <v>0.48149789999999998</v>
      </c>
      <c r="F5494" t="s">
        <v>66</v>
      </c>
      <c r="G5494">
        <v>-241.11619999999999</v>
      </c>
      <c r="H5494" s="1">
        <v>4.1040189999999998E-7</v>
      </c>
      <c r="I5494">
        <v>-60.848100000000002</v>
      </c>
      <c r="J5494">
        <v>-256.12479999999999</v>
      </c>
      <c r="K5494">
        <v>1.1072390000000001</v>
      </c>
      <c r="L5494">
        <v>-63.379730000000002</v>
      </c>
      <c r="M5494">
        <v>0.99463080000000004</v>
      </c>
      <c r="N5494">
        <v>0</v>
      </c>
      <c r="O5494">
        <v>0.1028041</v>
      </c>
      <c r="P5494">
        <v>0.99258840000000004</v>
      </c>
      <c r="Q5494">
        <v>3.2238790000000003E-2</v>
      </c>
      <c r="R5494">
        <v>0.11716940000000001</v>
      </c>
      <c r="S5494">
        <v>2.9704280000000001</v>
      </c>
      <c r="T5494">
        <v>-0.2167598</v>
      </c>
      <c r="U5494">
        <v>0.49874879999999999</v>
      </c>
      <c r="V5494">
        <v>-1.423046E-2</v>
      </c>
      <c r="W5494">
        <v>4.4192519999999999E-2</v>
      </c>
      <c r="X5494">
        <v>0.99892170000000002</v>
      </c>
      <c r="Y5494">
        <v>-6.3418009999999997E-2</v>
      </c>
      <c r="Z5494">
        <v>-5.1200079999999997E-3</v>
      </c>
      <c r="AA5494">
        <v>0.99797389999999997</v>
      </c>
      <c r="AB5494">
        <v>34</v>
      </c>
      <c r="AC5494">
        <v>15.008599999999999</v>
      </c>
      <c r="AD5494">
        <v>-1.1072385895980901</v>
      </c>
      <c r="AE5494">
        <v>2.5316299999999998</v>
      </c>
      <c r="AF5494">
        <v>-0.97002689525943397</v>
      </c>
      <c r="AG5494">
        <v>-1.1072385895980901</v>
      </c>
      <c r="AH5494">
        <v>15.109389290941399</v>
      </c>
      <c r="AI5494">
        <v>94.182648132287795</v>
      </c>
      <c r="AJ5494">
        <v>93.673363334705002</v>
      </c>
      <c r="AK5494">
        <v>15.1809279761494</v>
      </c>
      <c r="AL5494">
        <v>87.467130281375304</v>
      </c>
      <c r="AM5494">
        <v>90.816170225276693</v>
      </c>
      <c r="AN5494">
        <v>1.00000002377332</v>
      </c>
    </row>
    <row r="5495" spans="1:40" x14ac:dyDescent="0.25">
      <c r="A5495" t="str">
        <f>"20190312151426034"</f>
        <v>20190312151426034</v>
      </c>
      <c r="B5495" t="str">
        <f>"1552374866026416"</f>
        <v>1552374866026416</v>
      </c>
      <c r="C5495" t="s">
        <v>40</v>
      </c>
      <c r="D5495">
        <v>5.0726690000000003</v>
      </c>
      <c r="E5495">
        <v>0.48140880000000003</v>
      </c>
      <c r="F5495" t="s">
        <v>66</v>
      </c>
      <c r="G5495">
        <v>-241.035</v>
      </c>
      <c r="H5495" s="1">
        <v>4.4297250000000002E-7</v>
      </c>
      <c r="I5495">
        <v>-60.856769999999997</v>
      </c>
      <c r="J5495">
        <v>-255.9615</v>
      </c>
      <c r="K5495">
        <v>1.107232</v>
      </c>
      <c r="L5495">
        <v>-63.364069999999998</v>
      </c>
      <c r="M5495">
        <v>0.99476589999999998</v>
      </c>
      <c r="N5495">
        <v>0</v>
      </c>
      <c r="O5495">
        <v>0.1014876</v>
      </c>
      <c r="P5495">
        <v>0.99273009999999995</v>
      </c>
      <c r="Q5495">
        <v>3.1899440000000001E-2</v>
      </c>
      <c r="R5495">
        <v>0.1160586</v>
      </c>
      <c r="S5495">
        <v>2.9708709999999998</v>
      </c>
      <c r="T5495">
        <v>-0.2179912</v>
      </c>
      <c r="U5495">
        <v>0.49670409999999998</v>
      </c>
      <c r="V5495">
        <v>-1.443502E-2</v>
      </c>
      <c r="W5495">
        <v>4.3855730000000002E-2</v>
      </c>
      <c r="X5495">
        <v>0.99893359999999998</v>
      </c>
      <c r="Y5495">
        <v>-6.4042520000000006E-2</v>
      </c>
      <c r="Z5495">
        <v>-5.0308669999999996E-3</v>
      </c>
      <c r="AA5495">
        <v>0.99793449999999995</v>
      </c>
      <c r="AB5495">
        <v>34</v>
      </c>
      <c r="AC5495">
        <v>14.926500000000001</v>
      </c>
      <c r="AD5495">
        <v>-1.1072315570275</v>
      </c>
      <c r="AE5495">
        <v>2.5072999999999999</v>
      </c>
      <c r="AF5495">
        <v>-0.97417764017588204</v>
      </c>
      <c r="AG5495">
        <v>-1.1072315570275</v>
      </c>
      <c r="AH5495">
        <v>15.023500017173401</v>
      </c>
      <c r="AI5495">
        <v>94.206274849763005</v>
      </c>
      <c r="AJ5495">
        <v>93.710069819540294</v>
      </c>
      <c r="AK5495">
        <v>15.095712522484799</v>
      </c>
      <c r="AL5495">
        <v>87.486445633987699</v>
      </c>
      <c r="AM5495">
        <v>90.8278910254989</v>
      </c>
      <c r="AN5495">
        <v>1.0000000160325899</v>
      </c>
    </row>
    <row r="5496" spans="1:40" x14ac:dyDescent="0.25">
      <c r="A5496" t="str">
        <f>"20190312151426046"</f>
        <v>20190312151426046</v>
      </c>
      <c r="B5496" t="str">
        <f>"1552374866036176"</f>
        <v>1552374866036176</v>
      </c>
      <c r="C5496" t="s">
        <v>40</v>
      </c>
      <c r="D5496">
        <v>5.0941400000000003</v>
      </c>
      <c r="E5496">
        <v>0.48133619999999999</v>
      </c>
      <c r="F5496" t="s">
        <v>66</v>
      </c>
      <c r="G5496">
        <v>-240.9931</v>
      </c>
      <c r="H5496" s="1">
        <v>4.5603669999999999E-7</v>
      </c>
      <c r="I5496">
        <v>-60.875140000000002</v>
      </c>
      <c r="J5496">
        <v>-255.77209999999999</v>
      </c>
      <c r="K5496">
        <v>1.1072200000000001</v>
      </c>
      <c r="L5496">
        <v>-63.346069999999997</v>
      </c>
      <c r="M5496">
        <v>0.99492040000000004</v>
      </c>
      <c r="N5496">
        <v>0</v>
      </c>
      <c r="O5496">
        <v>9.9960720000000003E-2</v>
      </c>
      <c r="P5496">
        <v>0.99286439999999998</v>
      </c>
      <c r="Q5496">
        <v>3.183097E-2</v>
      </c>
      <c r="R5496">
        <v>0.114922</v>
      </c>
      <c r="S5496">
        <v>2.9712679999999998</v>
      </c>
      <c r="T5496">
        <v>-0.21978900000000001</v>
      </c>
      <c r="U5496">
        <v>0.49404910000000002</v>
      </c>
      <c r="V5496">
        <v>-1.482327E-2</v>
      </c>
      <c r="W5496">
        <v>4.379094E-2</v>
      </c>
      <c r="X5496">
        <v>0.99893080000000001</v>
      </c>
      <c r="Y5496">
        <v>-6.4680810000000005E-2</v>
      </c>
      <c r="Z5496">
        <v>-4.9374750000000002E-3</v>
      </c>
      <c r="AA5496">
        <v>0.99789380000000005</v>
      </c>
      <c r="AB5496">
        <v>34</v>
      </c>
      <c r="AC5496">
        <v>14.7789999999999</v>
      </c>
      <c r="AD5496">
        <v>-1.1072195439632999</v>
      </c>
      <c r="AE5496">
        <v>2.4709299999999899</v>
      </c>
      <c r="AF5496">
        <v>-0.97580046808930299</v>
      </c>
      <c r="AG5496">
        <v>-1.1072195439632999</v>
      </c>
      <c r="AH5496">
        <v>14.870783954284001</v>
      </c>
      <c r="AI5496">
        <v>94.249054854599194</v>
      </c>
      <c r="AJ5496">
        <v>93.754288311187594</v>
      </c>
      <c r="AK5496">
        <v>14.9438394359364</v>
      </c>
      <c r="AL5496">
        <v>87.490161506332299</v>
      </c>
      <c r="AM5496">
        <v>90.850157466780004</v>
      </c>
      <c r="AN5496">
        <v>1.0000000594741001</v>
      </c>
    </row>
    <row r="5497" spans="1:40" x14ac:dyDescent="0.25">
      <c r="A5497" t="str">
        <f>"20190312151426056"</f>
        <v>20190312151426056</v>
      </c>
      <c r="B5497" t="str">
        <f>"1552374866045936"</f>
        <v>1552374866045936</v>
      </c>
      <c r="C5497" t="s">
        <v>40</v>
      </c>
      <c r="D5497">
        <v>5.1739319999999998</v>
      </c>
      <c r="E5497">
        <v>0.48121770000000003</v>
      </c>
      <c r="F5497" t="s">
        <v>66</v>
      </c>
      <c r="G5497">
        <v>-240.8809</v>
      </c>
      <c r="H5497" s="1">
        <v>5.0159339999999998E-7</v>
      </c>
      <c r="I5497">
        <v>-60.884770000000003</v>
      </c>
      <c r="J5497">
        <v>-255.6079</v>
      </c>
      <c r="K5497">
        <v>1.10721</v>
      </c>
      <c r="L5497">
        <v>-63.33081</v>
      </c>
      <c r="M5497">
        <v>0.99505259999999995</v>
      </c>
      <c r="N5497">
        <v>0</v>
      </c>
      <c r="O5497">
        <v>9.8636810000000005E-2</v>
      </c>
      <c r="P5497">
        <v>0.99299970000000004</v>
      </c>
      <c r="Q5497">
        <v>3.1772080000000001E-2</v>
      </c>
      <c r="R5497">
        <v>0.1137649</v>
      </c>
      <c r="S5497">
        <v>2.9717709999999999</v>
      </c>
      <c r="T5497">
        <v>-0.22096360000000001</v>
      </c>
      <c r="U5497">
        <v>0.49118040000000002</v>
      </c>
      <c r="V5497">
        <v>-1.4988110000000001E-2</v>
      </c>
      <c r="W5497">
        <v>4.3734259999999997E-2</v>
      </c>
      <c r="X5497">
        <v>0.99893080000000001</v>
      </c>
      <c r="Y5497">
        <v>-6.5040260000000003E-2</v>
      </c>
      <c r="Z5497">
        <v>-4.8532929999999998E-3</v>
      </c>
      <c r="AA5497">
        <v>0.99787090000000001</v>
      </c>
      <c r="AB5497">
        <v>34</v>
      </c>
      <c r="AC5497">
        <v>14.727</v>
      </c>
      <c r="AD5497">
        <v>-1.1072094984066001</v>
      </c>
      <c r="AE5497">
        <v>2.44604</v>
      </c>
      <c r="AF5497">
        <v>-0.97601470362203602</v>
      </c>
      <c r="AG5497">
        <v>-1.1072094984066001</v>
      </c>
      <c r="AH5497">
        <v>14.8149685373882</v>
      </c>
      <c r="AI5497">
        <v>94.264892869141704</v>
      </c>
      <c r="AJ5497">
        <v>93.769216879475806</v>
      </c>
      <c r="AK5497">
        <v>14.8883111983479</v>
      </c>
      <c r="AL5497">
        <v>87.493412086451698</v>
      </c>
      <c r="AM5497">
        <v>90.859610107385095</v>
      </c>
      <c r="AN5497">
        <v>1.0000000360638699</v>
      </c>
    </row>
    <row r="5498" spans="1:40" x14ac:dyDescent="0.25">
      <c r="A5498" t="str">
        <f>"20190312151426068"</f>
        <v>20190312151426068</v>
      </c>
      <c r="B5498" t="str">
        <f>"1552374866055696"</f>
        <v>1552374866055696</v>
      </c>
      <c r="C5498" t="s">
        <v>40</v>
      </c>
      <c r="D5498">
        <v>5.054856</v>
      </c>
      <c r="E5498">
        <v>0.4811628</v>
      </c>
      <c r="F5498" t="s">
        <v>66</v>
      </c>
      <c r="G5498">
        <v>-240.82490000000001</v>
      </c>
      <c r="H5498" s="1">
        <v>5.2130039999999996E-7</v>
      </c>
      <c r="I5498">
        <v>-60.901040000000002</v>
      </c>
      <c r="J5498">
        <v>-255.4408</v>
      </c>
      <c r="K5498">
        <v>1.1072040000000001</v>
      </c>
      <c r="L5498">
        <v>-63.315370000000001</v>
      </c>
      <c r="M5498">
        <v>0.9951854</v>
      </c>
      <c r="N5498">
        <v>0</v>
      </c>
      <c r="O5498">
        <v>9.7289310000000004E-2</v>
      </c>
      <c r="P5498">
        <v>0.99312560000000005</v>
      </c>
      <c r="Q5498">
        <v>3.1552770000000001E-2</v>
      </c>
      <c r="R5498">
        <v>0.11272210000000001</v>
      </c>
      <c r="S5498">
        <v>2.972305</v>
      </c>
      <c r="T5498">
        <v>-0.22261880000000001</v>
      </c>
      <c r="U5498">
        <v>0.4885254</v>
      </c>
      <c r="V5498">
        <v>-1.529168E-2</v>
      </c>
      <c r="W5498">
        <v>4.3517970000000003E-2</v>
      </c>
      <c r="X5498">
        <v>0.99893560000000003</v>
      </c>
      <c r="Y5498">
        <v>-6.549133E-2</v>
      </c>
      <c r="Z5498">
        <v>-4.772999E-3</v>
      </c>
      <c r="AA5498">
        <v>0.99784170000000005</v>
      </c>
      <c r="AB5498">
        <v>34</v>
      </c>
      <c r="AC5498">
        <v>14.6158999999999</v>
      </c>
      <c r="AD5498">
        <v>-1.1072034786995999</v>
      </c>
      <c r="AE5498">
        <v>2.4143299999999899</v>
      </c>
      <c r="AF5498">
        <v>-0.97535571659397202</v>
      </c>
      <c r="AG5498">
        <v>-1.1072034786995999</v>
      </c>
      <c r="AH5498">
        <v>14.6993468054388</v>
      </c>
      <c r="AI5498">
        <v>94.298157594579905</v>
      </c>
      <c r="AJ5498">
        <v>93.796220851981701</v>
      </c>
      <c r="AK5498">
        <v>14.7732195145032</v>
      </c>
      <c r="AL5498">
        <v>87.505816287683899</v>
      </c>
      <c r="AM5498">
        <v>90.877013791601797</v>
      </c>
      <c r="AN5498">
        <v>0.99999999106875104</v>
      </c>
    </row>
    <row r="5499" spans="1:40" x14ac:dyDescent="0.25">
      <c r="A5499" t="str">
        <f>"20190312151426079"</f>
        <v>20190312151426079</v>
      </c>
      <c r="B5499" t="str">
        <f>"1552374866075725"</f>
        <v>1552374866075725</v>
      </c>
      <c r="C5499" t="s">
        <v>40</v>
      </c>
      <c r="D5499">
        <v>5.0946709999999999</v>
      </c>
      <c r="E5499">
        <v>0.48100720000000002</v>
      </c>
      <c r="F5499" t="s">
        <v>66</v>
      </c>
      <c r="G5499">
        <v>-240.76050000000001</v>
      </c>
      <c r="H5499" s="1">
        <v>5.4490159999999899E-7</v>
      </c>
      <c r="I5499">
        <v>-60.916229999999999</v>
      </c>
      <c r="J5499">
        <v>-255.25450000000001</v>
      </c>
      <c r="K5499">
        <v>1.1071959999999901</v>
      </c>
      <c r="L5499">
        <v>-63.298520000000003</v>
      </c>
      <c r="M5499">
        <v>0.99533090000000002</v>
      </c>
      <c r="N5499">
        <v>0</v>
      </c>
      <c r="O5499">
        <v>9.5788269999999995E-2</v>
      </c>
      <c r="P5499">
        <v>0.99327350000000003</v>
      </c>
      <c r="Q5499">
        <v>3.1329179999999998E-2</v>
      </c>
      <c r="R5499">
        <v>0.11147459999999999</v>
      </c>
      <c r="S5499">
        <v>2.9727329999999998</v>
      </c>
      <c r="T5499">
        <v>-0.22420680000000001</v>
      </c>
      <c r="U5499">
        <v>0.4858093</v>
      </c>
      <c r="V5499">
        <v>-1.5543329999999999E-2</v>
      </c>
      <c r="W5499">
        <v>4.3296929999999997E-2</v>
      </c>
      <c r="X5499">
        <v>0.99894130000000003</v>
      </c>
      <c r="Y5499">
        <v>-6.6080970000000003E-2</v>
      </c>
      <c r="Z5499">
        <v>-4.6731630000000001E-3</v>
      </c>
      <c r="AA5499">
        <v>0.99780329999999995</v>
      </c>
      <c r="AB5499">
        <v>34</v>
      </c>
      <c r="AC5499">
        <v>14.494</v>
      </c>
      <c r="AD5499">
        <v>-1.10719545509839</v>
      </c>
      <c r="AE5499">
        <v>2.38228999999999</v>
      </c>
      <c r="AF5499">
        <v>-0.97732786494436397</v>
      </c>
      <c r="AG5499">
        <v>-1.10719545509839</v>
      </c>
      <c r="AH5499">
        <v>14.5727535912816</v>
      </c>
      <c r="AI5499">
        <v>94.3351184175622</v>
      </c>
      <c r="AJ5499">
        <v>93.836820118811701</v>
      </c>
      <c r="AK5499">
        <v>14.647395630746001</v>
      </c>
      <c r="AL5499">
        <v>87.518492843042097</v>
      </c>
      <c r="AM5499">
        <v>90.891439114615594</v>
      </c>
      <c r="AN5499">
        <v>0.99999997005030095</v>
      </c>
    </row>
    <row r="5500" spans="1:40" x14ac:dyDescent="0.25">
      <c r="A5500" t="str">
        <f>"20190312151426091"</f>
        <v>20190312151426091</v>
      </c>
      <c r="B5500" t="str">
        <f>"1552374866086462"</f>
        <v>1552374866086462</v>
      </c>
      <c r="C5500" t="s">
        <v>40</v>
      </c>
      <c r="D5500">
        <v>5.1826309999999998</v>
      </c>
      <c r="E5500">
        <v>0.48095149999999998</v>
      </c>
      <c r="F5500" t="s">
        <v>66</v>
      </c>
      <c r="G5500">
        <v>-240.7619</v>
      </c>
      <c r="H5500" s="1">
        <v>5.3715809999999996E-7</v>
      </c>
      <c r="I5500">
        <v>-60.943100000000001</v>
      </c>
      <c r="J5500">
        <v>-255.0873</v>
      </c>
      <c r="K5500">
        <v>1.1071879999999901</v>
      </c>
      <c r="L5500">
        <v>-63.283630000000002</v>
      </c>
      <c r="M5500">
        <v>0.99545969999999995</v>
      </c>
      <c r="N5500">
        <v>0</v>
      </c>
      <c r="O5500">
        <v>9.4440800000000005E-2</v>
      </c>
      <c r="P5500">
        <v>0.99339250000000001</v>
      </c>
      <c r="Q5500">
        <v>3.1151439999999999E-2</v>
      </c>
      <c r="R5500">
        <v>0.1104593</v>
      </c>
      <c r="S5500">
        <v>2.9732509999999999</v>
      </c>
      <c r="T5500">
        <v>-0.2271475</v>
      </c>
      <c r="U5500">
        <v>0.48321530000000001</v>
      </c>
      <c r="V5500">
        <v>-1.58745E-2</v>
      </c>
      <c r="W5500">
        <v>4.3122569999999999E-2</v>
      </c>
      <c r="X5500">
        <v>0.99894369999999999</v>
      </c>
      <c r="Y5500">
        <v>-6.6553029999999999E-2</v>
      </c>
      <c r="Z5500">
        <v>-4.6145910000000004E-3</v>
      </c>
      <c r="AA5500">
        <v>0.9977722</v>
      </c>
      <c r="AB5500">
        <v>34</v>
      </c>
      <c r="AC5500">
        <v>14.3254</v>
      </c>
      <c r="AD5500">
        <v>-1.1071874628418901</v>
      </c>
      <c r="AE5500">
        <v>2.3405300000000002</v>
      </c>
      <c r="AF5500">
        <v>-0.97141800999310401</v>
      </c>
      <c r="AG5500">
        <v>-1.1071874628418901</v>
      </c>
      <c r="AH5500">
        <v>14.398646355413799</v>
      </c>
      <c r="AI5500">
        <v>94.387186107961895</v>
      </c>
      <c r="AJ5500">
        <v>93.859663965536498</v>
      </c>
      <c r="AK5500">
        <v>14.473787821309401</v>
      </c>
      <c r="AL5500">
        <v>87.528492437270202</v>
      </c>
      <c r="AM5500">
        <v>90.910426984401099</v>
      </c>
      <c r="AN5500">
        <v>1.0000000357816701</v>
      </c>
    </row>
    <row r="5501" spans="1:40" x14ac:dyDescent="0.25">
      <c r="A5501" t="str">
        <f>"20190312151426102"</f>
        <v>20190312151426102</v>
      </c>
      <c r="B5501" t="str">
        <f>"1552374866096220"</f>
        <v>1552374866096220</v>
      </c>
      <c r="C5501" t="s">
        <v>40</v>
      </c>
      <c r="D5501">
        <v>5.0485419999999896</v>
      </c>
      <c r="E5501">
        <v>0.48086970000000001</v>
      </c>
      <c r="F5501" t="s">
        <v>66</v>
      </c>
      <c r="G5501">
        <v>-240.6224</v>
      </c>
      <c r="H5501" s="1">
        <v>5.9618570000000001E-7</v>
      </c>
      <c r="I5501">
        <v>-60.946119999999901</v>
      </c>
      <c r="J5501">
        <v>-254.91409999999999</v>
      </c>
      <c r="K5501">
        <v>1.1071770000000001</v>
      </c>
      <c r="L5501">
        <v>-63.268430000000002</v>
      </c>
      <c r="M5501">
        <v>0.99559089999999995</v>
      </c>
      <c r="N5501">
        <v>0</v>
      </c>
      <c r="O5501">
        <v>9.3046130000000005E-2</v>
      </c>
      <c r="P5501">
        <v>0.99351480000000003</v>
      </c>
      <c r="Q5501">
        <v>3.1010869999999999E-2</v>
      </c>
      <c r="R5501">
        <v>0.1093933</v>
      </c>
      <c r="S5501">
        <v>2.9736630000000002</v>
      </c>
      <c r="T5501">
        <v>-0.22761380000000001</v>
      </c>
      <c r="U5501">
        <v>0.48052980000000001</v>
      </c>
      <c r="V5501">
        <v>-1.6202310000000001E-2</v>
      </c>
      <c r="W5501">
        <v>4.2984420000000002E-2</v>
      </c>
      <c r="X5501">
        <v>0.99894430000000001</v>
      </c>
      <c r="Y5501">
        <v>-6.7045899999999894E-2</v>
      </c>
      <c r="Z5501">
        <v>-4.4999269999999999E-3</v>
      </c>
      <c r="AA5501">
        <v>0.99773970000000001</v>
      </c>
      <c r="AB5501">
        <v>34</v>
      </c>
      <c r="AC5501">
        <v>14.291699999999899</v>
      </c>
      <c r="AD5501">
        <v>-1.1071764038142999</v>
      </c>
      <c r="AE5501">
        <v>2.3223099999999999</v>
      </c>
      <c r="AF5501">
        <v>-0.97664205748052701</v>
      </c>
      <c r="AG5501">
        <v>-1.1071764038142999</v>
      </c>
      <c r="AH5501">
        <v>14.3618118799464</v>
      </c>
      <c r="AI5501">
        <v>94.398191731697693</v>
      </c>
      <c r="AJ5501">
        <v>93.890278679509507</v>
      </c>
      <c r="AK5501">
        <v>14.43749665879</v>
      </c>
      <c r="AL5501">
        <v>87.536414971025806</v>
      </c>
      <c r="AM5501">
        <v>90.929223570802407</v>
      </c>
      <c r="AN5501">
        <v>0.99999994485727906</v>
      </c>
    </row>
    <row r="5502" spans="1:40" x14ac:dyDescent="0.25">
      <c r="A5502" t="str">
        <f>"20190312151426114"</f>
        <v>20190312151426114</v>
      </c>
      <c r="B5502" t="str">
        <f>"1552374866105981"</f>
        <v>1552374866105981</v>
      </c>
      <c r="C5502" t="s">
        <v>40</v>
      </c>
      <c r="D5502">
        <v>5.0501630000000004</v>
      </c>
      <c r="E5502">
        <v>0.48078320000000002</v>
      </c>
      <c r="F5502" t="s">
        <v>66</v>
      </c>
      <c r="G5502">
        <v>-240.4649</v>
      </c>
      <c r="H5502" s="1">
        <v>6.6357900000000004E-7</v>
      </c>
      <c r="I5502">
        <v>-60.946809999999999</v>
      </c>
      <c r="J5502">
        <v>-254.73060000000001</v>
      </c>
      <c r="K5502">
        <v>1.10717</v>
      </c>
      <c r="L5502">
        <v>-63.252659999999999</v>
      </c>
      <c r="M5502">
        <v>0.9957279</v>
      </c>
      <c r="N5502">
        <v>0</v>
      </c>
      <c r="O5502">
        <v>9.1568739999999996E-2</v>
      </c>
      <c r="P5502">
        <v>0.99362660000000003</v>
      </c>
      <c r="Q5502">
        <v>3.0894729999999999E-2</v>
      </c>
      <c r="R5502">
        <v>0.1084048</v>
      </c>
      <c r="S5502">
        <v>2.974075</v>
      </c>
      <c r="T5502">
        <v>-0.22788910000000001</v>
      </c>
      <c r="U5502">
        <v>0.4778442</v>
      </c>
      <c r="V5502">
        <v>-1.6691109999999999E-2</v>
      </c>
      <c r="W5502">
        <v>4.2872939999999998E-2</v>
      </c>
      <c r="X5502">
        <v>0.99894110000000003</v>
      </c>
      <c r="Y5502">
        <v>-6.7620810000000003E-2</v>
      </c>
      <c r="Z5502">
        <v>-4.3717209999999899E-3</v>
      </c>
      <c r="AA5502">
        <v>0.99770150000000002</v>
      </c>
      <c r="AB5502">
        <v>34</v>
      </c>
      <c r="AC5502">
        <v>14.265700000000001</v>
      </c>
      <c r="AD5502">
        <v>-1.107169336421</v>
      </c>
      <c r="AE5502">
        <v>2.3058499999999902</v>
      </c>
      <c r="AF5502">
        <v>-0.98400071780074205</v>
      </c>
      <c r="AG5502">
        <v>-1.107169336421</v>
      </c>
      <c r="AH5502">
        <v>14.332782514521501</v>
      </c>
      <c r="AI5502">
        <v>94.406842280501394</v>
      </c>
      <c r="AJ5502">
        <v>93.927413230564895</v>
      </c>
      <c r="AK5502">
        <v>14.409119888484399</v>
      </c>
      <c r="AL5502">
        <v>87.542808338314501</v>
      </c>
      <c r="AM5502">
        <v>90.957254813024804</v>
      </c>
      <c r="AN5502">
        <v>1.00000000170324</v>
      </c>
    </row>
    <row r="5503" spans="1:40" x14ac:dyDescent="0.25">
      <c r="A5503" t="str">
        <f>"20190312151426124"</f>
        <v>20190312151426124</v>
      </c>
      <c r="B5503" t="str">
        <f>"1552374866115741"</f>
        <v>1552374866115741</v>
      </c>
      <c r="C5503" t="s">
        <v>40</v>
      </c>
      <c r="D5503">
        <v>5.3392790000000003</v>
      </c>
      <c r="E5503">
        <v>0.48067720000000003</v>
      </c>
      <c r="F5503" t="s">
        <v>66</v>
      </c>
      <c r="G5503">
        <v>-240.28299999999999</v>
      </c>
      <c r="H5503" s="1">
        <v>7.4284379999999997E-7</v>
      </c>
      <c r="I5503">
        <v>-60.94211</v>
      </c>
      <c r="J5503">
        <v>-254.56100000000001</v>
      </c>
      <c r="K5503">
        <v>1.107162</v>
      </c>
      <c r="L5503">
        <v>-63.238190000000003</v>
      </c>
      <c r="M5503">
        <v>0.99585250000000003</v>
      </c>
      <c r="N5503">
        <v>0</v>
      </c>
      <c r="O5503">
        <v>9.0203169999999999E-2</v>
      </c>
      <c r="P5503">
        <v>0.9937532</v>
      </c>
      <c r="Q5503">
        <v>3.0859749999999998E-2</v>
      </c>
      <c r="R5503">
        <v>0.107249</v>
      </c>
      <c r="S5503">
        <v>2.9744419999999998</v>
      </c>
      <c r="T5503">
        <v>-0.2279419</v>
      </c>
      <c r="U5503">
        <v>0.47567749999999998</v>
      </c>
      <c r="V5503">
        <v>-1.6898340000000001E-2</v>
      </c>
      <c r="W5503">
        <v>4.2840070000000001E-2</v>
      </c>
      <c r="X5503">
        <v>0.99893900000000002</v>
      </c>
      <c r="Y5503">
        <v>-6.8255529999999995E-2</v>
      </c>
      <c r="Z5503">
        <v>-4.24523E-3</v>
      </c>
      <c r="AA5503">
        <v>0.99765879999999996</v>
      </c>
      <c r="AB5503">
        <v>34</v>
      </c>
      <c r="AC5503">
        <v>14.277999999999899</v>
      </c>
      <c r="AD5503">
        <v>-1.1071612571562</v>
      </c>
      <c r="AE5503">
        <v>2.2960799999999999</v>
      </c>
      <c r="AF5503">
        <v>-0.992886980045809</v>
      </c>
      <c r="AG5503">
        <v>-1.1071612571562</v>
      </c>
      <c r="AH5503">
        <v>14.342845539454601</v>
      </c>
      <c r="AI5503">
        <v>94.403558605024102</v>
      </c>
      <c r="AJ5503">
        <v>93.959996759738203</v>
      </c>
      <c r="AK5503">
        <v>14.4197381659011</v>
      </c>
      <c r="AL5503">
        <v>87.544693318376702</v>
      </c>
      <c r="AM5503">
        <v>90.969139481650103</v>
      </c>
      <c r="AN5503">
        <v>0.99999997560667897</v>
      </c>
    </row>
    <row r="5504" spans="1:40" x14ac:dyDescent="0.25">
      <c r="A5504" t="str">
        <f>"20190312151426135"</f>
        <v>20190312151426135</v>
      </c>
      <c r="B5504" t="str">
        <f>"1552374866125501"</f>
        <v>1552374866125501</v>
      </c>
      <c r="C5504" t="s">
        <v>40</v>
      </c>
      <c r="D5504">
        <v>5.0619509999999996</v>
      </c>
      <c r="E5504">
        <v>0.48057450000000002</v>
      </c>
      <c r="F5504" t="s">
        <v>66</v>
      </c>
      <c r="G5504">
        <v>-240.12569999999999</v>
      </c>
      <c r="H5504" s="1">
        <v>8.1016700000000003E-7</v>
      </c>
      <c r="I5504">
        <v>-60.942709999999998</v>
      </c>
      <c r="J5504">
        <v>-254.41650000000001</v>
      </c>
      <c r="K5504">
        <v>1.1071549999999999</v>
      </c>
      <c r="L5504">
        <v>-63.226199999999999</v>
      </c>
      <c r="M5504">
        <v>0.99595719999999999</v>
      </c>
      <c r="N5504">
        <v>0</v>
      </c>
      <c r="O5504">
        <v>8.9041019999999999E-2</v>
      </c>
      <c r="P5504">
        <v>0.99383569999999999</v>
      </c>
      <c r="Q5504">
        <v>3.0566349999999999E-2</v>
      </c>
      <c r="R5504">
        <v>0.1065663</v>
      </c>
      <c r="S5504">
        <v>2.9748990000000002</v>
      </c>
      <c r="T5504">
        <v>-0.22817000000000001</v>
      </c>
      <c r="U5504">
        <v>0.473053</v>
      </c>
      <c r="V5504">
        <v>-1.7378689999999999E-2</v>
      </c>
      <c r="W5504">
        <v>4.2550419999999999E-2</v>
      </c>
      <c r="X5504">
        <v>0.99894320000000003</v>
      </c>
      <c r="Y5504">
        <v>-6.8533520000000001E-2</v>
      </c>
      <c r="Z5504">
        <v>-4.1507250000000001E-3</v>
      </c>
      <c r="AA5504">
        <v>0.99764019999999998</v>
      </c>
      <c r="AB5504">
        <v>34</v>
      </c>
      <c r="AC5504">
        <v>14.290800000000001</v>
      </c>
      <c r="AD5504">
        <v>-1.107154189833</v>
      </c>
      <c r="AE5504">
        <v>2.28349</v>
      </c>
      <c r="AF5504">
        <v>-0.99603206270340505</v>
      </c>
      <c r="AG5504">
        <v>-1.107154189833</v>
      </c>
      <c r="AH5504">
        <v>14.353361496610001</v>
      </c>
      <c r="AI5504">
        <v>94.400266132851797</v>
      </c>
      <c r="AJ5504">
        <v>93.969599267942201</v>
      </c>
      <c r="AK5504">
        <v>14.4304142879671</v>
      </c>
      <c r="AL5504">
        <v>87.561304337856598</v>
      </c>
      <c r="AM5504">
        <v>90.996678443636497</v>
      </c>
      <c r="AN5504">
        <v>1.0000000369672599</v>
      </c>
    </row>
    <row r="5505" spans="1:40" x14ac:dyDescent="0.25">
      <c r="A5505" t="str">
        <f>"20190312151426145"</f>
        <v>20190312151426145</v>
      </c>
      <c r="B5505" t="str">
        <f>"1552374866136237"</f>
        <v>1552374866136237</v>
      </c>
      <c r="C5505" t="s">
        <v>40</v>
      </c>
      <c r="D5505">
        <v>5.0705049999999998</v>
      </c>
      <c r="E5505">
        <v>0.48044229999999999</v>
      </c>
      <c r="F5505" t="s">
        <v>66</v>
      </c>
      <c r="G5505">
        <v>-240.03919999999999</v>
      </c>
      <c r="H5505" s="1">
        <v>8.4647089999999996E-7</v>
      </c>
      <c r="I5505">
        <v>-60.945790000000002</v>
      </c>
      <c r="J5505">
        <v>-254.23580000000001</v>
      </c>
      <c r="K5505">
        <v>1.1071470000000001</v>
      </c>
      <c r="L5505">
        <v>-63.211269999999899</v>
      </c>
      <c r="M5505">
        <v>0.99608620000000003</v>
      </c>
      <c r="N5505">
        <v>0</v>
      </c>
      <c r="O5505">
        <v>8.7586479999999994E-2</v>
      </c>
      <c r="P5505">
        <v>0.99397349999999995</v>
      </c>
      <c r="Q5505">
        <v>3.0414139999999999E-2</v>
      </c>
      <c r="R5505">
        <v>0.1053186</v>
      </c>
      <c r="S5505">
        <v>2.9750519999999998</v>
      </c>
      <c r="T5505">
        <v>-0.229099</v>
      </c>
      <c r="U5505">
        <v>0.47186280000000003</v>
      </c>
      <c r="V5505">
        <v>-1.7583629999999999E-2</v>
      </c>
      <c r="W5505">
        <v>4.2400350000000003E-2</v>
      </c>
      <c r="X5505">
        <v>0.998946</v>
      </c>
      <c r="Y5505">
        <v>-6.9586460000000003E-2</v>
      </c>
      <c r="Z5505">
        <v>-4.0168449999999998E-3</v>
      </c>
      <c r="AA5505">
        <v>0.9975678</v>
      </c>
      <c r="AB5505">
        <v>34</v>
      </c>
      <c r="AC5505">
        <v>14.1966</v>
      </c>
      <c r="AD5505">
        <v>-1.1071461535290901</v>
      </c>
      <c r="AE5505">
        <v>2.2654799999999802</v>
      </c>
      <c r="AF5505">
        <v>-1.0072804502161901</v>
      </c>
      <c r="AG5505">
        <v>-1.1071461535290901</v>
      </c>
      <c r="AH5505">
        <v>14.255922651944701</v>
      </c>
      <c r="AI5505">
        <v>94.429802038278893</v>
      </c>
      <c r="AJ5505">
        <v>94.041629889156994</v>
      </c>
      <c r="AK5505">
        <v>14.3342846758703</v>
      </c>
      <c r="AL5505">
        <v>87.569910495121604</v>
      </c>
      <c r="AM5505">
        <v>91.008426638324806</v>
      </c>
      <c r="AN5505">
        <v>1.0000000423200399</v>
      </c>
    </row>
    <row r="5506" spans="1:40" x14ac:dyDescent="0.25">
      <c r="A5506" t="str">
        <f>"20190312151426157"</f>
        <v>20190312151426157</v>
      </c>
      <c r="B5506" t="str">
        <f>"1552374866145997"</f>
        <v>1552374866145997</v>
      </c>
      <c r="C5506" t="s">
        <v>40</v>
      </c>
      <c r="D5506">
        <v>5.2331469999999998</v>
      </c>
      <c r="E5506">
        <v>0.48029100000000002</v>
      </c>
      <c r="F5506" t="s">
        <v>67</v>
      </c>
      <c r="G5506">
        <v>-239.88040000000001</v>
      </c>
      <c r="H5506" s="1">
        <v>-3.3363780000000002E-6</v>
      </c>
      <c r="I5506">
        <v>-60.947200000000002</v>
      </c>
      <c r="J5506">
        <v>-254.05670000000001</v>
      </c>
      <c r="K5506">
        <v>1.1071420000000001</v>
      </c>
      <c r="L5506">
        <v>-63.196899999999999</v>
      </c>
      <c r="M5506">
        <v>0.99621150000000003</v>
      </c>
      <c r="N5506">
        <v>0</v>
      </c>
      <c r="O5506">
        <v>8.6146089999999995E-2</v>
      </c>
      <c r="P5506">
        <v>0.994062</v>
      </c>
      <c r="Q5506">
        <v>3.0429709999999999E-2</v>
      </c>
      <c r="R5506">
        <v>0.10447339999999999</v>
      </c>
      <c r="S5506">
        <v>2.9754939999999999</v>
      </c>
      <c r="T5506">
        <v>-0.22948289999999999</v>
      </c>
      <c r="U5506">
        <v>0.46926879999999999</v>
      </c>
      <c r="V5506">
        <v>-1.8178550000000002E-2</v>
      </c>
      <c r="W5506">
        <v>4.2420359999999997E-2</v>
      </c>
      <c r="X5506">
        <v>0.9989344</v>
      </c>
      <c r="Y5506">
        <v>-7.0151889999999995E-2</v>
      </c>
      <c r="Z5506">
        <v>-3.892099E-3</v>
      </c>
      <c r="AA5506">
        <v>0.99752870000000005</v>
      </c>
      <c r="AB5506">
        <v>34</v>
      </c>
      <c r="AC5506">
        <v>14.1762999999999</v>
      </c>
      <c r="AD5506">
        <v>-1.1071453363779999</v>
      </c>
      <c r="AE5506">
        <v>2.24969999999999</v>
      </c>
      <c r="AF5506">
        <v>-1.0139836510840201</v>
      </c>
      <c r="AG5506">
        <v>-1.1071453363779999</v>
      </c>
      <c r="AH5506">
        <v>14.2327310556896</v>
      </c>
      <c r="AI5506">
        <v>94.436805292985397</v>
      </c>
      <c r="AJ5506">
        <v>94.075042929068204</v>
      </c>
      <c r="AK5506">
        <v>14.311693363963601</v>
      </c>
      <c r="AL5506">
        <v>87.568762727842397</v>
      </c>
      <c r="AM5506">
        <v>91.042550181520795</v>
      </c>
      <c r="AN5506">
        <v>0.99999994106299395</v>
      </c>
    </row>
    <row r="5507" spans="1:40" x14ac:dyDescent="0.25">
      <c r="A5507" t="str">
        <f>"20190312151426168"</f>
        <v>20190312151426168</v>
      </c>
      <c r="B5507" t="str">
        <f>"1552374866165517"</f>
        <v>1552374866165517</v>
      </c>
      <c r="C5507" t="s">
        <v>40</v>
      </c>
      <c r="D5507">
        <v>5.1367200000000004</v>
      </c>
      <c r="E5507">
        <v>0.48045880000000002</v>
      </c>
      <c r="F5507" t="s">
        <v>67</v>
      </c>
      <c r="G5507">
        <v>-239.7758</v>
      </c>
      <c r="H5507" s="1">
        <v>-3.3013929999999999E-6</v>
      </c>
      <c r="I5507">
        <v>-60.950659999999999</v>
      </c>
      <c r="J5507">
        <v>-253.8939</v>
      </c>
      <c r="K5507">
        <v>1.107132</v>
      </c>
      <c r="L5507">
        <v>-63.183929999999997</v>
      </c>
      <c r="M5507">
        <v>0.99632410000000005</v>
      </c>
      <c r="N5507">
        <v>0</v>
      </c>
      <c r="O5507">
        <v>8.4836239999999993E-2</v>
      </c>
      <c r="P5507">
        <v>0.99419329999999995</v>
      </c>
      <c r="Q5507">
        <v>2.9894250000000001E-2</v>
      </c>
      <c r="R5507">
        <v>0.1033737</v>
      </c>
      <c r="S5507">
        <v>2.9758</v>
      </c>
      <c r="T5507">
        <v>-0.2307022</v>
      </c>
      <c r="U5507">
        <v>0.46804810000000002</v>
      </c>
      <c r="V5507">
        <v>-1.8389030000000001E-2</v>
      </c>
      <c r="W5507">
        <v>4.1887250000000001E-2</v>
      </c>
      <c r="X5507">
        <v>0.99895310000000004</v>
      </c>
      <c r="Y5507">
        <v>-7.1042419999999995E-2</v>
      </c>
      <c r="Z5507">
        <v>-3.778043E-3</v>
      </c>
      <c r="AA5507">
        <v>0.99746610000000002</v>
      </c>
      <c r="AB5507">
        <v>34</v>
      </c>
      <c r="AC5507">
        <v>14.118099999999901</v>
      </c>
      <c r="AD5507">
        <v>-1.1071353013930001</v>
      </c>
      <c r="AE5507">
        <v>2.2332700000000001</v>
      </c>
      <c r="AF5507">
        <v>-1.0212795162055099</v>
      </c>
      <c r="AG5507">
        <v>-1.1071353013930001</v>
      </c>
      <c r="AH5507">
        <v>14.171648457234999</v>
      </c>
      <c r="AI5507">
        <v>94.455551712526102</v>
      </c>
      <c r="AJ5507">
        <v>94.121893378834301</v>
      </c>
      <c r="AK5507">
        <v>14.2514694127049</v>
      </c>
      <c r="AL5507">
        <v>87.599334992102399</v>
      </c>
      <c r="AM5507">
        <v>91.054598880951502</v>
      </c>
      <c r="AN5507">
        <v>0.99999999706825604</v>
      </c>
    </row>
    <row r="5508" spans="1:40" x14ac:dyDescent="0.25">
      <c r="A5508" t="str">
        <f>"20190312151426179"</f>
        <v>20190312151426179</v>
      </c>
      <c r="B5508" t="str">
        <f>"1552374866176253"</f>
        <v>1552374866176253</v>
      </c>
      <c r="C5508" t="s">
        <v>40</v>
      </c>
      <c r="D5508">
        <v>5.0692360000000001</v>
      </c>
      <c r="E5508">
        <v>0.50190310000000005</v>
      </c>
      <c r="F5508" t="s">
        <v>67</v>
      </c>
      <c r="G5508">
        <v>-239.74260000000001</v>
      </c>
      <c r="H5508" s="1">
        <v>-3.295397E-6</v>
      </c>
      <c r="I5508">
        <v>-60.980539999999998</v>
      </c>
      <c r="J5508">
        <v>-253.72559999999999</v>
      </c>
      <c r="K5508">
        <v>1.1071279999999999</v>
      </c>
      <c r="L5508">
        <v>-63.170810000000003</v>
      </c>
      <c r="M5508">
        <v>0.99643839999999995</v>
      </c>
      <c r="N5508">
        <v>0</v>
      </c>
      <c r="O5508">
        <v>8.3482180000000003E-2</v>
      </c>
      <c r="P5508">
        <v>0.9943071</v>
      </c>
      <c r="Q5508">
        <v>2.9654090000000001E-2</v>
      </c>
      <c r="R5508">
        <v>0.1023438</v>
      </c>
      <c r="S5508">
        <v>2.9763489999999999</v>
      </c>
      <c r="T5508">
        <v>-0.23285600000000001</v>
      </c>
      <c r="U5508">
        <v>0.46340940000000003</v>
      </c>
      <c r="V5508">
        <v>-1.8712639999999999E-2</v>
      </c>
      <c r="W5508">
        <v>4.1649989999999998E-2</v>
      </c>
      <c r="X5508">
        <v>0.99895699999999998</v>
      </c>
      <c r="Y5508">
        <v>-7.0849620000000002E-2</v>
      </c>
      <c r="Z5508">
        <v>-3.7160359999999998E-3</v>
      </c>
      <c r="AA5508">
        <v>0.99748009999999998</v>
      </c>
      <c r="AB5508">
        <v>34</v>
      </c>
      <c r="AC5508">
        <v>13.982999999999899</v>
      </c>
      <c r="AD5508">
        <v>-1.1071312953970001</v>
      </c>
      <c r="AE5508">
        <v>2.1902699999999902</v>
      </c>
      <c r="AF5508">
        <v>-1.0090353619908601</v>
      </c>
      <c r="AG5508">
        <v>-1.1071312953970001</v>
      </c>
      <c r="AH5508">
        <v>14.0311887634443</v>
      </c>
      <c r="AI5508">
        <v>94.500004197652402</v>
      </c>
      <c r="AJ5508">
        <v>94.113273240397405</v>
      </c>
      <c r="AK5508">
        <v>14.110923080450901</v>
      </c>
      <c r="AL5508">
        <v>87.612940836579199</v>
      </c>
      <c r="AM5508">
        <v>91.073149212113194</v>
      </c>
      <c r="AN5508">
        <v>0.99999998620588404</v>
      </c>
    </row>
    <row r="5509" spans="1:40" x14ac:dyDescent="0.25">
      <c r="A5509" t="str">
        <f>"20190312151426190"</f>
        <v>20190312151426190</v>
      </c>
      <c r="B5509" t="str">
        <f>"1552374866186027"</f>
        <v>1552374866186027</v>
      </c>
      <c r="C5509" t="s">
        <v>40</v>
      </c>
      <c r="D5509">
        <v>5.0666640000000003</v>
      </c>
      <c r="E5509">
        <v>0.50285829999999998</v>
      </c>
      <c r="F5509" t="s">
        <v>66</v>
      </c>
      <c r="G5509">
        <v>-240.48439999999999</v>
      </c>
      <c r="H5509" s="1">
        <v>4.0492429999999998E-7</v>
      </c>
      <c r="I5509">
        <v>-61.887410000000003</v>
      </c>
      <c r="J5509">
        <v>-253.54650000000001</v>
      </c>
      <c r="K5509">
        <v>1.107124</v>
      </c>
      <c r="L5509">
        <v>-63.1571</v>
      </c>
      <c r="M5509">
        <v>0.9965581</v>
      </c>
      <c r="N5509">
        <v>0</v>
      </c>
      <c r="O5509">
        <v>8.2040669999999996E-2</v>
      </c>
      <c r="P5509">
        <v>0.99442900000000001</v>
      </c>
      <c r="Q5509">
        <v>2.9552769999999999E-2</v>
      </c>
      <c r="R5509">
        <v>0.1011823</v>
      </c>
      <c r="S5509">
        <v>2.9947509999999999</v>
      </c>
      <c r="T5509">
        <v>-0.25039820000000002</v>
      </c>
      <c r="U5509">
        <v>0.29025269999999997</v>
      </c>
      <c r="V5509">
        <v>-1.8990900000000002E-2</v>
      </c>
      <c r="W5509">
        <v>4.1550900000000002E-2</v>
      </c>
      <c r="X5509">
        <v>0.99895590000000001</v>
      </c>
      <c r="Y5509">
        <v>-1.471123E-2</v>
      </c>
      <c r="Z5509">
        <v>-6.207176E-3</v>
      </c>
      <c r="AA5509">
        <v>0.99987250000000005</v>
      </c>
      <c r="AB5509">
        <v>34</v>
      </c>
      <c r="AC5509">
        <v>13.062099999999999</v>
      </c>
      <c r="AD5509">
        <v>-1.1071235950756999</v>
      </c>
      <c r="AE5509">
        <v>1.26969</v>
      </c>
      <c r="AF5509">
        <v>-0.192341257238061</v>
      </c>
      <c r="AG5509">
        <v>-1.1071235950756999</v>
      </c>
      <c r="AH5509">
        <v>13.029506974797201</v>
      </c>
      <c r="AI5509">
        <v>94.856257689431303</v>
      </c>
      <c r="AJ5509">
        <v>90.845737439591005</v>
      </c>
      <c r="AK5509">
        <v>13.0778732911853</v>
      </c>
      <c r="AL5509">
        <v>87.618623253259699</v>
      </c>
      <c r="AM5509">
        <v>91.089104498877205</v>
      </c>
      <c r="AN5509">
        <v>1.00000001085921</v>
      </c>
    </row>
    <row r="5510" spans="1:40" x14ac:dyDescent="0.25">
      <c r="A5510" t="str">
        <f>"20190312151426202"</f>
        <v>20190312151426202</v>
      </c>
      <c r="B5510" t="str">
        <f>"1552374866195773"</f>
        <v>1552374866195773</v>
      </c>
      <c r="C5510" t="s">
        <v>40</v>
      </c>
      <c r="D5510">
        <v>5.0710199999999999</v>
      </c>
      <c r="E5510">
        <v>0.50336930000000002</v>
      </c>
      <c r="F5510" t="s">
        <v>41</v>
      </c>
      <c r="G5510">
        <v>-252.60059999999999</v>
      </c>
      <c r="H5510">
        <v>1.028656</v>
      </c>
      <c r="I5510">
        <v>-63.068890000000003</v>
      </c>
      <c r="J5510">
        <v>-253.36959999999999</v>
      </c>
      <c r="K5510">
        <v>1.1071260000000001</v>
      </c>
      <c r="L5510">
        <v>-63.143799999999999</v>
      </c>
      <c r="M5510">
        <v>0.99667419999999995</v>
      </c>
      <c r="N5510">
        <v>0</v>
      </c>
      <c r="O5510">
        <v>8.0617649999999999E-2</v>
      </c>
      <c r="P5510">
        <v>0.99454469999999995</v>
      </c>
      <c r="Q5510">
        <v>2.9354109999999999E-2</v>
      </c>
      <c r="R5510">
        <v>0.10009609999999999</v>
      </c>
      <c r="S5510">
        <v>2.9957729999999998</v>
      </c>
      <c r="T5510">
        <v>-0.2485501</v>
      </c>
      <c r="U5510">
        <v>0.27926640000000003</v>
      </c>
      <c r="V5510">
        <v>-1.9326880000000001E-2</v>
      </c>
      <c r="W5510">
        <v>4.135556E-2</v>
      </c>
      <c r="X5510">
        <v>0.9989576</v>
      </c>
      <c r="Y5510">
        <v>-1.24715E-2</v>
      </c>
      <c r="Z5510">
        <v>-6.136201E-3</v>
      </c>
      <c r="AA5510">
        <v>0.9999034</v>
      </c>
      <c r="AB5510">
        <v>34</v>
      </c>
      <c r="AC5510">
        <v>0.76900000000000501</v>
      </c>
      <c r="AD5510">
        <v>-7.8469999999999998E-2</v>
      </c>
      <c r="AE5510">
        <v>7.4909999999995494E-2</v>
      </c>
      <c r="AF5510">
        <v>-1.25374674888646E-2</v>
      </c>
      <c r="AG5510">
        <v>-7.8469999999999998E-2</v>
      </c>
      <c r="AH5510">
        <v>0.76464906271932997</v>
      </c>
      <c r="AI5510">
        <v>95.858527972725199</v>
      </c>
      <c r="AJ5510">
        <v>90.939358517372099</v>
      </c>
      <c r="AK5510">
        <v>0.76876714166812798</v>
      </c>
      <c r="AL5510">
        <v>87.629825128812499</v>
      </c>
      <c r="AM5510">
        <v>91.108365883531206</v>
      </c>
      <c r="AN5510">
        <v>1.0000000486156</v>
      </c>
    </row>
    <row r="5511" spans="1:40" x14ac:dyDescent="0.25">
      <c r="A5511" t="str">
        <f>"20190312151426213"</f>
        <v>20190312151426213</v>
      </c>
      <c r="B5511" t="str">
        <f>"1552374866205532"</f>
        <v>1552374866205532</v>
      </c>
      <c r="C5511" t="s">
        <v>40</v>
      </c>
      <c r="D5511">
        <v>5.0862089999999904</v>
      </c>
      <c r="E5511">
        <v>0.50354209999999899</v>
      </c>
      <c r="F5511" t="s">
        <v>67</v>
      </c>
      <c r="G5511">
        <v>-239.92070000000001</v>
      </c>
      <c r="H5511" s="1">
        <v>-3.523099E-6</v>
      </c>
      <c r="I5511">
        <v>-61.922460000000001</v>
      </c>
      <c r="J5511">
        <v>-253.20920000000001</v>
      </c>
      <c r="K5511">
        <v>1.1071230000000001</v>
      </c>
      <c r="L5511">
        <v>-63.132019999999997</v>
      </c>
      <c r="M5511">
        <v>0.99677780000000005</v>
      </c>
      <c r="N5511">
        <v>0</v>
      </c>
      <c r="O5511">
        <v>7.9327090000000003E-2</v>
      </c>
      <c r="P5511">
        <v>0.99462340000000005</v>
      </c>
      <c r="Q5511">
        <v>2.9329770000000002E-2</v>
      </c>
      <c r="R5511">
        <v>9.9319379999999999E-2</v>
      </c>
      <c r="S5511">
        <v>2.9963380000000002</v>
      </c>
      <c r="T5511">
        <v>-0.24666350000000001</v>
      </c>
      <c r="U5511">
        <v>0.27209470000000002</v>
      </c>
      <c r="V5511">
        <v>-1.9840389999999999E-2</v>
      </c>
      <c r="W5511">
        <v>4.1333170000000002E-2</v>
      </c>
      <c r="X5511">
        <v>0.99894839999999996</v>
      </c>
      <c r="Y5511">
        <v>-1.137152E-2</v>
      </c>
      <c r="Z5511">
        <v>-6.0291659999999999E-3</v>
      </c>
      <c r="AA5511">
        <v>0.9999171</v>
      </c>
      <c r="AB5511">
        <v>34</v>
      </c>
      <c r="AC5511">
        <v>13.288500000000001</v>
      </c>
      <c r="AD5511">
        <v>-1.1071265230989999</v>
      </c>
      <c r="AE5511">
        <v>1.20955999999999</v>
      </c>
      <c r="AF5511">
        <v>-0.150499141525747</v>
      </c>
      <c r="AG5511">
        <v>-1.1071265230989999</v>
      </c>
      <c r="AH5511">
        <v>13.251348754735901</v>
      </c>
      <c r="AI5511">
        <v>94.775561766828005</v>
      </c>
      <c r="AJ5511">
        <v>90.650695643608998</v>
      </c>
      <c r="AK5511">
        <v>13.2983691838281</v>
      </c>
      <c r="AL5511">
        <v>87.631108937641599</v>
      </c>
      <c r="AM5511">
        <v>91.137817701278905</v>
      </c>
      <c r="AN5511">
        <v>0.99999998894008002</v>
      </c>
    </row>
    <row r="5512" spans="1:40" x14ac:dyDescent="0.25">
      <c r="A5512" t="str">
        <f>"20190312151426224"</f>
        <v>20190312151426224</v>
      </c>
      <c r="B5512" t="str">
        <f>"1552374866216269"</f>
        <v>1552374866216269</v>
      </c>
      <c r="C5512" t="s">
        <v>40</v>
      </c>
      <c r="D5512">
        <v>5.0289390000000003</v>
      </c>
      <c r="E5512">
        <v>0.50340240000000003</v>
      </c>
      <c r="F5512" t="s">
        <v>41</v>
      </c>
      <c r="G5512">
        <v>-252.2903</v>
      </c>
      <c r="H5512">
        <v>1.0311859999999999</v>
      </c>
      <c r="I5512">
        <v>-63.049840000000003</v>
      </c>
      <c r="J5512">
        <v>-253.03620000000001</v>
      </c>
      <c r="K5512">
        <v>1.107121</v>
      </c>
      <c r="L5512">
        <v>-63.11938</v>
      </c>
      <c r="M5512">
        <v>0.99688770000000004</v>
      </c>
      <c r="N5512">
        <v>0</v>
      </c>
      <c r="O5512">
        <v>7.793456E-2</v>
      </c>
      <c r="P5512">
        <v>0.99473429999999996</v>
      </c>
      <c r="Q5512">
        <v>2.9266960000000002E-2</v>
      </c>
      <c r="R5512">
        <v>9.8220779999999994E-2</v>
      </c>
      <c r="S5512">
        <v>2.9967350000000001</v>
      </c>
      <c r="T5512">
        <v>-0.24756729999999999</v>
      </c>
      <c r="U5512">
        <v>0.26843260000000002</v>
      </c>
      <c r="V5512">
        <v>-2.013243E-2</v>
      </c>
      <c r="W5512">
        <v>4.1271229999999999E-2</v>
      </c>
      <c r="X5512">
        <v>0.99894510000000003</v>
      </c>
      <c r="Y5512">
        <v>-1.154079E-2</v>
      </c>
      <c r="Z5512">
        <v>-5.929676E-3</v>
      </c>
      <c r="AA5512">
        <v>0.99991580000000002</v>
      </c>
      <c r="AB5512">
        <v>34</v>
      </c>
      <c r="AC5512">
        <v>0.745900000000006</v>
      </c>
      <c r="AD5512">
        <v>-7.5934999999999794E-2</v>
      </c>
      <c r="AE5512">
        <v>6.9540000000003405E-2</v>
      </c>
      <c r="AF5512">
        <v>-1.10791385916078E-2</v>
      </c>
      <c r="AG5512">
        <v>-7.5934999999999794E-2</v>
      </c>
      <c r="AH5512">
        <v>0.74143304180653802</v>
      </c>
      <c r="AI5512">
        <v>95.846998015150007</v>
      </c>
      <c r="AJ5512">
        <v>90.856099749190605</v>
      </c>
      <c r="AK5512">
        <v>0.74539373958963995</v>
      </c>
      <c r="AL5512">
        <v>87.634660826642204</v>
      </c>
      <c r="AM5512">
        <v>91.154565085821304</v>
      </c>
      <c r="AN5512">
        <v>0.99999997098871296</v>
      </c>
    </row>
    <row r="5513" spans="1:40" x14ac:dyDescent="0.25">
      <c r="A5513" t="str">
        <f>"20190312151426234"</f>
        <v>20190312151426234</v>
      </c>
      <c r="B5513" t="str">
        <f>"1552374866226029"</f>
        <v>1552374866226029</v>
      </c>
      <c r="C5513" t="s">
        <v>40</v>
      </c>
      <c r="D5513">
        <v>5.0682470000000004</v>
      </c>
      <c r="E5513">
        <v>0.50327770000000005</v>
      </c>
      <c r="F5513" t="s">
        <v>67</v>
      </c>
      <c r="G5513">
        <v>-239.6448</v>
      </c>
      <c r="H5513" s="1">
        <v>-3.4303660000000001E-6</v>
      </c>
      <c r="I5513">
        <v>-61.929110000000001</v>
      </c>
      <c r="J5513">
        <v>-252.87010000000001</v>
      </c>
      <c r="K5513">
        <v>1.1071139999999999</v>
      </c>
      <c r="L5513">
        <v>-63.107700000000001</v>
      </c>
      <c r="M5513">
        <v>0.99699139999999997</v>
      </c>
      <c r="N5513">
        <v>0</v>
      </c>
      <c r="O5513">
        <v>7.6597600000000002E-2</v>
      </c>
      <c r="P5513">
        <v>0.99483739999999998</v>
      </c>
      <c r="Q5513">
        <v>2.9111379999999999E-2</v>
      </c>
      <c r="R5513">
        <v>9.7219029999999998E-2</v>
      </c>
      <c r="S5513">
        <v>2.9968569999999999</v>
      </c>
      <c r="T5513">
        <v>-0.2477627</v>
      </c>
      <c r="U5513">
        <v>0.26635740000000002</v>
      </c>
      <c r="V5513">
        <v>-2.0466950000000001E-2</v>
      </c>
      <c r="W5513">
        <v>4.1114009999999999E-2</v>
      </c>
      <c r="X5513">
        <v>0.99894479999999997</v>
      </c>
      <c r="Y5513">
        <v>-1.218491E-2</v>
      </c>
      <c r="Z5513">
        <v>-5.7980949999999996E-3</v>
      </c>
      <c r="AA5513">
        <v>0.99990889999999999</v>
      </c>
      <c r="AB5513">
        <v>34</v>
      </c>
      <c r="AC5513">
        <v>13.225300000000001</v>
      </c>
      <c r="AD5513">
        <v>-1.1071174303660001</v>
      </c>
      <c r="AE5513">
        <v>1.17859</v>
      </c>
      <c r="AF5513">
        <v>-0.16091054446031899</v>
      </c>
      <c r="AG5513">
        <v>-1.1071174303660001</v>
      </c>
      <c r="AH5513">
        <v>13.185054210653901</v>
      </c>
      <c r="AI5513">
        <v>94.799374559611095</v>
      </c>
      <c r="AJ5513">
        <v>90.699203602780102</v>
      </c>
      <c r="AK5513">
        <v>13.2324319664157</v>
      </c>
      <c r="AL5513">
        <v>87.643676556250796</v>
      </c>
      <c r="AM5513">
        <v>91.173744342488803</v>
      </c>
      <c r="AN5513">
        <v>0.99999998565381099</v>
      </c>
    </row>
    <row r="5514" spans="1:40" x14ac:dyDescent="0.25">
      <c r="A5514" t="str">
        <f>"20190312151426247"</f>
        <v>20190312151426247</v>
      </c>
      <c r="B5514" t="str">
        <f>"1552374866235790"</f>
        <v>1552374866235790</v>
      </c>
      <c r="C5514" t="s">
        <v>40</v>
      </c>
      <c r="D5514">
        <v>5.0408580000000001</v>
      </c>
      <c r="E5514">
        <v>0.50330109999999995</v>
      </c>
      <c r="F5514" t="s">
        <v>41</v>
      </c>
      <c r="G5514">
        <v>-251.9804</v>
      </c>
      <c r="H5514">
        <v>1.0328310000000001</v>
      </c>
      <c r="I5514">
        <v>-63.029290000000003</v>
      </c>
      <c r="J5514">
        <v>-252.68119999999999</v>
      </c>
      <c r="K5514">
        <v>1.1071120000000001</v>
      </c>
      <c r="L5514">
        <v>-63.094450000000002</v>
      </c>
      <c r="M5514">
        <v>0.99710699999999997</v>
      </c>
      <c r="N5514">
        <v>0</v>
      </c>
      <c r="O5514">
        <v>7.5077729999999995E-2</v>
      </c>
      <c r="P5514">
        <v>0.99495100000000003</v>
      </c>
      <c r="Q5514">
        <v>2.9040659999999999E-2</v>
      </c>
      <c r="R5514">
        <v>9.607077E-2</v>
      </c>
      <c r="S5514">
        <v>2.9970400000000001</v>
      </c>
      <c r="T5514">
        <v>-0.25014209999999998</v>
      </c>
      <c r="U5514">
        <v>0.26437379999999999</v>
      </c>
      <c r="V5514">
        <v>-2.0837120000000001E-2</v>
      </c>
      <c r="W5514">
        <v>4.1042059999999998E-2</v>
      </c>
      <c r="X5514">
        <v>0.9989401</v>
      </c>
      <c r="Y5514">
        <v>-1.304314E-2</v>
      </c>
      <c r="Z5514">
        <v>-5.6918439999999997E-3</v>
      </c>
      <c r="AA5514">
        <v>0.99989870000000003</v>
      </c>
      <c r="AB5514">
        <v>34</v>
      </c>
      <c r="AC5514">
        <v>0.70079999999998599</v>
      </c>
      <c r="AD5514">
        <v>-7.4281E-2</v>
      </c>
      <c r="AE5514">
        <v>6.5159999999998705E-2</v>
      </c>
      <c r="AF5514">
        <v>-1.22217572579617E-2</v>
      </c>
      <c r="AG5514">
        <v>-7.4281E-2</v>
      </c>
      <c r="AH5514">
        <v>0.69596223763998</v>
      </c>
      <c r="AI5514">
        <v>96.091261301802703</v>
      </c>
      <c r="AJ5514">
        <v>91.006064842874196</v>
      </c>
      <c r="AK5514">
        <v>0.70002176718465103</v>
      </c>
      <c r="AL5514">
        <v>87.647802456438598</v>
      </c>
      <c r="AM5514">
        <v>91.1949724745146</v>
      </c>
      <c r="AN5514">
        <v>0.999999979823473</v>
      </c>
    </row>
    <row r="5515" spans="1:40" x14ac:dyDescent="0.25">
      <c r="A5515" t="str">
        <f>"20190312151426257"</f>
        <v>20190312151426257</v>
      </c>
      <c r="B5515" t="str">
        <f>"1552374866245549"</f>
        <v>1552374866245549</v>
      </c>
      <c r="C5515" t="s">
        <v>40</v>
      </c>
      <c r="D5515">
        <v>5.1253989999999998</v>
      </c>
      <c r="E5515">
        <v>0.5030135</v>
      </c>
      <c r="F5515" t="s">
        <v>41</v>
      </c>
      <c r="G5515">
        <v>-251.679</v>
      </c>
      <c r="H5515">
        <v>1.023528</v>
      </c>
      <c r="I5515">
        <v>-63.007420000000003</v>
      </c>
      <c r="J5515">
        <v>-252.51490000000001</v>
      </c>
      <c r="K5515">
        <v>1.1071089999999999</v>
      </c>
      <c r="L5515">
        <v>-63.083159999999999</v>
      </c>
      <c r="M5515">
        <v>0.99720690000000001</v>
      </c>
      <c r="N5515">
        <v>0</v>
      </c>
      <c r="O5515">
        <v>7.3739410000000005E-2</v>
      </c>
      <c r="P5515">
        <v>0.99501969999999995</v>
      </c>
      <c r="Q5515">
        <v>2.9144759999999999E-2</v>
      </c>
      <c r="R5515">
        <v>9.5322840000000006E-2</v>
      </c>
      <c r="S5515">
        <v>2.99736</v>
      </c>
      <c r="T5515">
        <v>-0.24990609999999999</v>
      </c>
      <c r="U5515">
        <v>0.26071169999999999</v>
      </c>
      <c r="V5515">
        <v>-2.1426730000000001E-2</v>
      </c>
      <c r="W5515">
        <v>4.1145929999999997E-2</v>
      </c>
      <c r="X5515">
        <v>0.99892340000000002</v>
      </c>
      <c r="Y5515">
        <v>-1.3158049999999999E-2</v>
      </c>
      <c r="Z5515">
        <v>-5.5707090000000001E-3</v>
      </c>
      <c r="AA5515">
        <v>0.99989790000000001</v>
      </c>
      <c r="AB5515">
        <v>34</v>
      </c>
      <c r="AC5515">
        <v>0.83590000000000897</v>
      </c>
      <c r="AD5515">
        <v>-8.35810000000001E-2</v>
      </c>
      <c r="AE5515">
        <v>7.5740000000003194E-2</v>
      </c>
      <c r="AF5515">
        <v>-1.3754263174320901E-2</v>
      </c>
      <c r="AG5515">
        <v>-8.35810000000001E-2</v>
      </c>
      <c r="AH5515">
        <v>0.83096914427759605</v>
      </c>
      <c r="AI5515">
        <v>95.742857343602196</v>
      </c>
      <c r="AJ5515">
        <v>90.948277416519701</v>
      </c>
      <c r="AK5515">
        <v>0.83527521336258304</v>
      </c>
      <c r="AL5515">
        <v>87.641846220507801</v>
      </c>
      <c r="AM5515">
        <v>91.228795891162406</v>
      </c>
      <c r="AN5515">
        <v>1.0000000256907999</v>
      </c>
    </row>
    <row r="5516" spans="1:40" x14ac:dyDescent="0.25">
      <c r="A5516" t="str">
        <f>"20190312151426268"</f>
        <v>20190312151426268</v>
      </c>
      <c r="B5516" t="str">
        <f>"1552374866266045"</f>
        <v>1552374866266045</v>
      </c>
      <c r="C5516" t="s">
        <v>40</v>
      </c>
      <c r="D5516">
        <v>5.0664439999999997</v>
      </c>
      <c r="E5516">
        <v>0.50272419999999995</v>
      </c>
      <c r="F5516" t="s">
        <v>67</v>
      </c>
      <c r="G5516">
        <v>-239.131</v>
      </c>
      <c r="H5516" s="1">
        <v>-3.253536E-6</v>
      </c>
      <c r="I5516">
        <v>-61.917839999999998</v>
      </c>
      <c r="J5516">
        <v>-252.34219999999999</v>
      </c>
      <c r="K5516">
        <v>1.107111</v>
      </c>
      <c r="L5516">
        <v>-63.07159</v>
      </c>
      <c r="M5516">
        <v>0.99730890000000005</v>
      </c>
      <c r="N5516">
        <v>0</v>
      </c>
      <c r="O5516">
        <v>7.23496E-2</v>
      </c>
      <c r="P5516">
        <v>0.99511819999999895</v>
      </c>
      <c r="Q5516">
        <v>2.9131580000000001E-2</v>
      </c>
      <c r="R5516">
        <v>9.4294160000000002E-2</v>
      </c>
      <c r="S5516">
        <v>2.9972840000000001</v>
      </c>
      <c r="T5516">
        <v>-0.24793509999999999</v>
      </c>
      <c r="U5516">
        <v>0.26095580000000002</v>
      </c>
      <c r="V5516">
        <v>-2.1786360000000001E-2</v>
      </c>
      <c r="W5516">
        <v>4.1130689999999998E-2</v>
      </c>
      <c r="X5516">
        <v>0.99891620000000003</v>
      </c>
      <c r="Y5516">
        <v>-1.46217E-2</v>
      </c>
      <c r="Z5516">
        <v>-5.3525669999999999E-3</v>
      </c>
      <c r="AA5516">
        <v>0.99987879999999996</v>
      </c>
      <c r="AB5516">
        <v>34</v>
      </c>
      <c r="AC5516">
        <v>13.2112</v>
      </c>
      <c r="AD5516">
        <v>-1.1071142535359999</v>
      </c>
      <c r="AE5516">
        <v>1.1537499999999901</v>
      </c>
      <c r="AF5516">
        <v>-0.19348530192104299</v>
      </c>
      <c r="AG5516">
        <v>-1.1071142535359999</v>
      </c>
      <c r="AH5516">
        <v>13.168276099884199</v>
      </c>
      <c r="AI5516">
        <v>94.805287160321896</v>
      </c>
      <c r="AJ5516">
        <v>90.841802938303402</v>
      </c>
      <c r="AK5516">
        <v>13.216150497600401</v>
      </c>
      <c r="AL5516">
        <v>87.642720032857895</v>
      </c>
      <c r="AM5516">
        <v>91.249422736315495</v>
      </c>
      <c r="AN5516">
        <v>0.99999997688218201</v>
      </c>
    </row>
    <row r="5517" spans="1:40" x14ac:dyDescent="0.25">
      <c r="A5517" t="str">
        <f>"20190312151426279"</f>
        <v>20190312151426279</v>
      </c>
      <c r="B5517" t="str">
        <f>"1552374866275805"</f>
        <v>1552374866275805</v>
      </c>
      <c r="C5517" t="s">
        <v>40</v>
      </c>
      <c r="D5517">
        <v>5.0377029999999996</v>
      </c>
      <c r="E5517">
        <v>0.50267200000000001</v>
      </c>
      <c r="F5517" t="s">
        <v>41</v>
      </c>
      <c r="G5517">
        <v>-251.3674</v>
      </c>
      <c r="H5517">
        <v>1.0267959999999901</v>
      </c>
      <c r="I5517">
        <v>-62.987139999999997</v>
      </c>
      <c r="J5517">
        <v>-252.17779999999999</v>
      </c>
      <c r="K5517">
        <v>1.1071089999999999</v>
      </c>
      <c r="L5517">
        <v>-63.060879999999997</v>
      </c>
      <c r="M5517">
        <v>0.99740379999999995</v>
      </c>
      <c r="N5517">
        <v>0</v>
      </c>
      <c r="O5517">
        <v>7.1026370000000005E-2</v>
      </c>
      <c r="P5517">
        <v>0.99518839999999997</v>
      </c>
      <c r="Q5517">
        <v>2.909312E-2</v>
      </c>
      <c r="R5517">
        <v>9.3558779999999994E-2</v>
      </c>
      <c r="S5517">
        <v>2.9972840000000001</v>
      </c>
      <c r="T5517">
        <v>-0.2467964</v>
      </c>
      <c r="U5517">
        <v>0.26025389999999998</v>
      </c>
      <c r="V5517">
        <v>-2.23737E-2</v>
      </c>
      <c r="W5517">
        <v>4.1092089999999998E-2</v>
      </c>
      <c r="X5517">
        <v>0.99890480000000004</v>
      </c>
      <c r="Y5517">
        <v>-1.5706060000000001E-2</v>
      </c>
      <c r="Z5517">
        <v>-5.175453E-3</v>
      </c>
      <c r="AA5517">
        <v>0.99986330000000001</v>
      </c>
      <c r="AB5517">
        <v>34</v>
      </c>
      <c r="AC5517">
        <v>0.81039999999998702</v>
      </c>
      <c r="AD5517">
        <v>-8.0313000000000301E-2</v>
      </c>
      <c r="AE5517">
        <v>7.3740000000000805E-2</v>
      </c>
      <c r="AF5517">
        <v>-1.58356615763183E-2</v>
      </c>
      <c r="AG5517">
        <v>-8.0313000000000301E-2</v>
      </c>
      <c r="AH5517">
        <v>0.80574232444867</v>
      </c>
      <c r="AI5517">
        <v>95.691108608604296</v>
      </c>
      <c r="AJ5517">
        <v>91.125917993304597</v>
      </c>
      <c r="AK5517">
        <v>0.80988989347596196</v>
      </c>
      <c r="AL5517">
        <v>87.644933507223797</v>
      </c>
      <c r="AM5517">
        <v>91.283109536877106</v>
      </c>
      <c r="AN5517">
        <v>0.99999997088764803</v>
      </c>
    </row>
    <row r="5518" spans="1:40" x14ac:dyDescent="0.25">
      <c r="A5518" t="str">
        <f>"20190312151426292"</f>
        <v>20190312151426292</v>
      </c>
      <c r="B5518" t="str">
        <f>"1552374866285565"</f>
        <v>1552374866285565</v>
      </c>
      <c r="C5518" t="s">
        <v>40</v>
      </c>
      <c r="D5518">
        <v>5.0399949999999896</v>
      </c>
      <c r="E5518">
        <v>0.50266920000000004</v>
      </c>
      <c r="F5518" t="s">
        <v>67</v>
      </c>
      <c r="G5518">
        <v>-238.7372</v>
      </c>
      <c r="H5518" s="1">
        <v>-3.1167219999999999E-6</v>
      </c>
      <c r="I5518">
        <v>-61.902169999999998</v>
      </c>
      <c r="J5518">
        <v>-251.98679999999999</v>
      </c>
      <c r="K5518">
        <v>1.1071040000000001</v>
      </c>
      <c r="L5518">
        <v>-63.048679999999997</v>
      </c>
      <c r="M5518">
        <v>0.99751230000000002</v>
      </c>
      <c r="N5518">
        <v>0</v>
      </c>
      <c r="O5518">
        <v>6.9489040000000002E-2</v>
      </c>
      <c r="P5518">
        <v>0.99527429999999995</v>
      </c>
      <c r="Q5518">
        <v>2.939976E-2</v>
      </c>
      <c r="R5518">
        <v>9.2547080000000004E-2</v>
      </c>
      <c r="S5518">
        <v>2.9974210000000001</v>
      </c>
      <c r="T5518">
        <v>-0.2468989</v>
      </c>
      <c r="U5518">
        <v>0.25839230000000002</v>
      </c>
      <c r="V5518">
        <v>-2.2896880000000001E-2</v>
      </c>
      <c r="W5518">
        <v>4.1397490000000002E-2</v>
      </c>
      <c r="X5518">
        <v>0.9988804</v>
      </c>
      <c r="Y5518">
        <v>-1.6618770000000001E-2</v>
      </c>
      <c r="Z5518">
        <v>-5.0143039999999998E-3</v>
      </c>
      <c r="AA5518">
        <v>0.99984930000000005</v>
      </c>
      <c r="AB5518">
        <v>34</v>
      </c>
      <c r="AC5518">
        <v>13.2495999999999</v>
      </c>
      <c r="AD5518">
        <v>-1.1071071167219999</v>
      </c>
      <c r="AE5518">
        <v>1.1465099999999999</v>
      </c>
      <c r="AF5518">
        <v>-0.22143694460094199</v>
      </c>
      <c r="AG5518">
        <v>-1.1071071167219999</v>
      </c>
      <c r="AH5518">
        <v>13.2057270648568</v>
      </c>
      <c r="AI5518">
        <v>94.791536703058</v>
      </c>
      <c r="AJ5518">
        <v>90.960659974919096</v>
      </c>
      <c r="AK5518">
        <v>13.2539031156797</v>
      </c>
      <c r="AL5518">
        <v>87.627420628761598</v>
      </c>
      <c r="AM5518">
        <v>91.313135071168404</v>
      </c>
      <c r="AN5518">
        <v>1.0000000363980901</v>
      </c>
    </row>
    <row r="5519" spans="1:40" x14ac:dyDescent="0.25">
      <c r="A5519" t="str">
        <f>"20190312151426304"</f>
        <v>20190312151426304</v>
      </c>
      <c r="B5519" t="str">
        <f>"1552374866296301"</f>
        <v>1552374866296301</v>
      </c>
      <c r="C5519" t="s">
        <v>40</v>
      </c>
      <c r="D5519">
        <v>5.0602609999999997</v>
      </c>
      <c r="E5519">
        <v>0.50258840000000005</v>
      </c>
      <c r="F5519" t="s">
        <v>41</v>
      </c>
      <c r="G5519">
        <v>-251.0556</v>
      </c>
      <c r="H5519">
        <v>1.0303690000000001</v>
      </c>
      <c r="I5519">
        <v>-62.96951</v>
      </c>
      <c r="J5519">
        <v>-251.80840000000001</v>
      </c>
      <c r="K5519">
        <v>1.1071009999999999</v>
      </c>
      <c r="L5519">
        <v>-63.03745</v>
      </c>
      <c r="M5519">
        <v>0.99761120000000003</v>
      </c>
      <c r="N5519">
        <v>0</v>
      </c>
      <c r="O5519">
        <v>6.8052619999999994E-2</v>
      </c>
      <c r="P5519">
        <v>0.99533899999999997</v>
      </c>
      <c r="Q5519">
        <v>2.930491E-2</v>
      </c>
      <c r="R5519">
        <v>9.1876479999999996E-2</v>
      </c>
      <c r="S5519">
        <v>2.9978030000000002</v>
      </c>
      <c r="T5519">
        <v>-0.24686469999999999</v>
      </c>
      <c r="U5519">
        <v>0.25534059999999997</v>
      </c>
      <c r="V5519">
        <v>-2.3662860000000001E-2</v>
      </c>
      <c r="W5519">
        <v>4.1303630000000001E-2</v>
      </c>
      <c r="X5519">
        <v>0.99886640000000004</v>
      </c>
      <c r="Y5519">
        <v>-1.703093E-2</v>
      </c>
      <c r="Z5519">
        <v>-4.8788319999999996E-3</v>
      </c>
      <c r="AA5519">
        <v>0.99984309999999998</v>
      </c>
      <c r="AB5519">
        <v>34</v>
      </c>
      <c r="AC5519">
        <v>0.75280000000000702</v>
      </c>
      <c r="AD5519">
        <v>-7.6731999999999995E-2</v>
      </c>
      <c r="AE5519">
        <v>6.7940000000000098E-2</v>
      </c>
      <c r="AF5519">
        <v>-1.63800518300872E-2</v>
      </c>
      <c r="AG5519">
        <v>-7.6731999999999995E-2</v>
      </c>
      <c r="AH5519">
        <v>0.74797014602067302</v>
      </c>
      <c r="AI5519">
        <v>95.855916573938302</v>
      </c>
      <c r="AJ5519">
        <v>91.254539176498099</v>
      </c>
      <c r="AK5519">
        <v>0.75207409559174598</v>
      </c>
      <c r="AL5519">
        <v>87.632802934697395</v>
      </c>
      <c r="AM5519">
        <v>91.357066842760403</v>
      </c>
      <c r="AN5519">
        <v>1.00000000292175</v>
      </c>
    </row>
    <row r="5520" spans="1:40" x14ac:dyDescent="0.25">
      <c r="A5520" t="str">
        <f>"20190312151426315"</f>
        <v>20190312151426315</v>
      </c>
      <c r="B5520" t="str">
        <f>"1552374866306061"</f>
        <v>1552374866306061</v>
      </c>
      <c r="C5520" t="s">
        <v>40</v>
      </c>
      <c r="D5520">
        <v>5.076149</v>
      </c>
      <c r="E5520">
        <v>0.50248199999999998</v>
      </c>
      <c r="F5520" t="s">
        <v>67</v>
      </c>
      <c r="G5520">
        <v>-238.3914</v>
      </c>
      <c r="H5520" s="1">
        <v>-2.9909E-6</v>
      </c>
      <c r="I5520">
        <v>-61.901449999999997</v>
      </c>
      <c r="J5520">
        <v>-251.631</v>
      </c>
      <c r="K5520">
        <v>1.1071</v>
      </c>
      <c r="L5520">
        <v>-63.026699999999998</v>
      </c>
      <c r="M5520">
        <v>0.99770780000000003</v>
      </c>
      <c r="N5520">
        <v>0</v>
      </c>
      <c r="O5520">
        <v>6.6624539999999996E-2</v>
      </c>
      <c r="P5520">
        <v>0.99541460000000004</v>
      </c>
      <c r="Q5520">
        <v>2.906363E-2</v>
      </c>
      <c r="R5520">
        <v>9.1134569999999998E-2</v>
      </c>
      <c r="S5520">
        <v>2.9979100000000001</v>
      </c>
      <c r="T5520">
        <v>-0.24737419999999999</v>
      </c>
      <c r="U5520">
        <v>0.2538147</v>
      </c>
      <c r="V5520">
        <v>-2.434944E-2</v>
      </c>
      <c r="W5520">
        <v>4.106303E-2</v>
      </c>
      <c r="X5520">
        <v>0.99885979999999996</v>
      </c>
      <c r="Y5520">
        <v>-1.7946710000000001E-2</v>
      </c>
      <c r="Z5520">
        <v>-4.7341010000000001E-3</v>
      </c>
      <c r="AA5520">
        <v>0.99982769999999999</v>
      </c>
      <c r="AB5520">
        <v>34</v>
      </c>
      <c r="AC5520">
        <v>13.2395999999999</v>
      </c>
      <c r="AD5520">
        <v>-1.1071029909000001</v>
      </c>
      <c r="AE5520">
        <v>1.1252500000000001</v>
      </c>
      <c r="AF5520">
        <v>-0.23894649606811899</v>
      </c>
      <c r="AG5520">
        <v>-1.1071029909000001</v>
      </c>
      <c r="AH5520">
        <v>13.1935605072883</v>
      </c>
      <c r="AI5520">
        <v>94.795805137006894</v>
      </c>
      <c r="AJ5520">
        <v>91.037561406370202</v>
      </c>
      <c r="AK5520">
        <v>13.2420848554871</v>
      </c>
      <c r="AL5520">
        <v>87.646599959693404</v>
      </c>
      <c r="AM5520">
        <v>91.396436110596298</v>
      </c>
      <c r="AN5520">
        <v>0.99999998385856703</v>
      </c>
    </row>
    <row r="5521" spans="1:40" x14ac:dyDescent="0.25">
      <c r="A5521" t="str">
        <f>"20190312151426327"</f>
        <v>20190312151426327</v>
      </c>
      <c r="B5521" t="str">
        <f>"1552374866315821"</f>
        <v>1552374866315821</v>
      </c>
      <c r="C5521" t="s">
        <v>40</v>
      </c>
      <c r="D5521">
        <v>5.0418669999999999</v>
      </c>
      <c r="E5521">
        <v>0.50234040000000002</v>
      </c>
      <c r="F5521" t="s">
        <v>41</v>
      </c>
      <c r="G5521">
        <v>-250.7353</v>
      </c>
      <c r="H5521">
        <v>1.033015</v>
      </c>
      <c r="I5521">
        <v>-62.951390000000004</v>
      </c>
      <c r="J5521">
        <v>-251.44839999999999</v>
      </c>
      <c r="K5521">
        <v>1.1070979999999999</v>
      </c>
      <c r="L5521">
        <v>-63.015749999999997</v>
      </c>
      <c r="M5521">
        <v>0.99780480000000005</v>
      </c>
      <c r="N5521">
        <v>0</v>
      </c>
      <c r="O5521">
        <v>6.5154980000000001E-2</v>
      </c>
      <c r="P5521">
        <v>0.99547359999999896</v>
      </c>
      <c r="Q5521">
        <v>2.9093529999999999E-2</v>
      </c>
      <c r="R5521">
        <v>9.0475719999999996E-2</v>
      </c>
      <c r="S5521">
        <v>2.9979399999999998</v>
      </c>
      <c r="T5521">
        <v>-0.24796199999999999</v>
      </c>
      <c r="U5521">
        <v>0.25219730000000001</v>
      </c>
      <c r="V5521">
        <v>-2.5159569999999999E-2</v>
      </c>
      <c r="W5521">
        <v>4.1093989999999997E-2</v>
      </c>
      <c r="X5521">
        <v>0.99883849999999996</v>
      </c>
      <c r="Y5521">
        <v>-1.887556E-2</v>
      </c>
      <c r="Z5521">
        <v>-4.5863450000000004E-3</v>
      </c>
      <c r="AA5521">
        <v>0.99981140000000002</v>
      </c>
      <c r="AB5521">
        <v>34</v>
      </c>
      <c r="AC5521">
        <v>0.71309999999999696</v>
      </c>
      <c r="AD5521">
        <v>-7.4082999999999899E-2</v>
      </c>
      <c r="AE5521">
        <v>6.4359999999993506E-2</v>
      </c>
      <c r="AF5521">
        <v>-1.75698508048759E-2</v>
      </c>
      <c r="AG5521">
        <v>-7.4082999999999899E-2</v>
      </c>
      <c r="AH5521">
        <v>0.70819652812830702</v>
      </c>
      <c r="AI5521">
        <v>95.970051497717506</v>
      </c>
      <c r="AJ5521">
        <v>91.421175898199394</v>
      </c>
      <c r="AK5521">
        <v>0.712277553345109</v>
      </c>
      <c r="AL5521">
        <v>87.644824703180902</v>
      </c>
      <c r="AM5521">
        <v>91.442908355368203</v>
      </c>
      <c r="AN5521">
        <v>1.0000000345294699</v>
      </c>
    </row>
    <row r="5522" spans="1:40" x14ac:dyDescent="0.25">
      <c r="A5522" t="str">
        <f>"20190312151426336"</f>
        <v>20190312151426336</v>
      </c>
      <c r="B5522" t="str">
        <f>"1552374866325581"</f>
        <v>1552374866325581</v>
      </c>
      <c r="C5522" t="s">
        <v>40</v>
      </c>
      <c r="D5522">
        <v>5.0415269999999897</v>
      </c>
      <c r="E5522">
        <v>0.50223490000000004</v>
      </c>
      <c r="F5522" t="s">
        <v>41</v>
      </c>
      <c r="G5522">
        <v>-250.44239999999999</v>
      </c>
      <c r="H5522">
        <v>1.0236379999999901</v>
      </c>
      <c r="I5522">
        <v>-62.931629999999998</v>
      </c>
      <c r="J5522">
        <v>-251.30250000000001</v>
      </c>
      <c r="K5522">
        <v>1.1070990000000001</v>
      </c>
      <c r="L5522">
        <v>-63.007289999999998</v>
      </c>
      <c r="M5522">
        <v>0.99788080000000001</v>
      </c>
      <c r="N5522">
        <v>0</v>
      </c>
      <c r="O5522">
        <v>6.398094E-2</v>
      </c>
      <c r="P5522">
        <v>0.99553760000000002</v>
      </c>
      <c r="Q5522">
        <v>2.8980410000000002E-2</v>
      </c>
      <c r="R5522">
        <v>8.9806090000000005E-2</v>
      </c>
      <c r="S5522">
        <v>2.998062</v>
      </c>
      <c r="T5522">
        <v>-0.2485511</v>
      </c>
      <c r="U5522">
        <v>0.25131229999999999</v>
      </c>
      <c r="V5522">
        <v>-2.5663600000000002E-2</v>
      </c>
      <c r="W5522">
        <v>4.0981089999999998E-2</v>
      </c>
      <c r="X5522">
        <v>0.99883029999999995</v>
      </c>
      <c r="Y5522">
        <v>-1.9749240000000001E-2</v>
      </c>
      <c r="Z5522">
        <v>-4.4642739999999998E-3</v>
      </c>
      <c r="AA5522">
        <v>0.99979499999999999</v>
      </c>
      <c r="AB5522">
        <v>34</v>
      </c>
      <c r="AC5522">
        <v>0.86010000000001696</v>
      </c>
      <c r="AD5522">
        <v>-8.3461000000000202E-2</v>
      </c>
      <c r="AE5522">
        <v>7.5659999999999103E-2</v>
      </c>
      <c r="AF5522">
        <v>-2.0281585198078701E-2</v>
      </c>
      <c r="AG5522">
        <v>-8.3461000000000202E-2</v>
      </c>
      <c r="AH5522">
        <v>0.85518797926999501</v>
      </c>
      <c r="AI5522">
        <v>95.572500776623102</v>
      </c>
      <c r="AJ5522">
        <v>91.358568492698595</v>
      </c>
      <c r="AK5522">
        <v>0.85949029145595601</v>
      </c>
      <c r="AL5522">
        <v>87.651298814113204</v>
      </c>
      <c r="AM5522">
        <v>91.471814104354095</v>
      </c>
      <c r="AN5522">
        <v>1.00000001915031</v>
      </c>
    </row>
    <row r="5523" spans="1:40" x14ac:dyDescent="0.25">
      <c r="A5523" t="str">
        <f>"20190312151426347"</f>
        <v>20190312151426347</v>
      </c>
      <c r="B5523" t="str">
        <f>"1552374866336317"</f>
        <v>1552374866336317</v>
      </c>
      <c r="C5523" t="s">
        <v>40</v>
      </c>
      <c r="D5523">
        <v>5.0033120000000002</v>
      </c>
      <c r="E5523">
        <v>0.50208399999999997</v>
      </c>
      <c r="F5523" t="s">
        <v>67</v>
      </c>
      <c r="G5523">
        <v>-238.0086</v>
      </c>
      <c r="H5523" s="1">
        <v>-2.8256999999999999E-6</v>
      </c>
      <c r="I5523">
        <v>-61.8979</v>
      </c>
      <c r="J5523">
        <v>-251.13839999999999</v>
      </c>
      <c r="K5523">
        <v>1.1070990000000001</v>
      </c>
      <c r="L5523">
        <v>-62.997860000000003</v>
      </c>
      <c r="M5523">
        <v>0.99796479999999999</v>
      </c>
      <c r="N5523">
        <v>0</v>
      </c>
      <c r="O5523">
        <v>6.2659900000000004E-2</v>
      </c>
      <c r="P5523">
        <v>0.99560369999999998</v>
      </c>
      <c r="Q5523">
        <v>2.8449240000000001E-2</v>
      </c>
      <c r="R5523">
        <v>8.9242849999999999E-2</v>
      </c>
      <c r="S5523">
        <v>2.998138</v>
      </c>
      <c r="T5523">
        <v>-0.2496814</v>
      </c>
      <c r="U5523">
        <v>0.25018309999999999</v>
      </c>
      <c r="V5523">
        <v>-2.6423350000000002E-2</v>
      </c>
      <c r="W5523">
        <v>4.0451279999999999E-2</v>
      </c>
      <c r="X5523">
        <v>0.99883200000000005</v>
      </c>
      <c r="Y5523">
        <v>-2.0690340000000002E-2</v>
      </c>
      <c r="Z5523">
        <v>-4.3360930000000001E-3</v>
      </c>
      <c r="AA5523">
        <v>0.99977649999999996</v>
      </c>
      <c r="AB5523">
        <v>34</v>
      </c>
      <c r="AC5523">
        <v>13.1297999999999</v>
      </c>
      <c r="AD5523">
        <v>-1.10710182569999</v>
      </c>
      <c r="AE5523">
        <v>1.0999599999999901</v>
      </c>
      <c r="AF5523">
        <v>-0.27310049424843902</v>
      </c>
      <c r="AG5523">
        <v>-1.10710182569999</v>
      </c>
      <c r="AH5523">
        <v>13.0805713100783</v>
      </c>
      <c r="AI5523">
        <v>94.836770615909103</v>
      </c>
      <c r="AJ5523">
        <v>91.196066465285895</v>
      </c>
      <c r="AK5523">
        <v>13.1301791355058</v>
      </c>
      <c r="AL5523">
        <v>87.681679681766994</v>
      </c>
      <c r="AM5523">
        <v>91.515363361223507</v>
      </c>
      <c r="AN5523">
        <v>0.99999993185142799</v>
      </c>
    </row>
    <row r="5524" spans="1:40" x14ac:dyDescent="0.25">
      <c r="A5524" t="str">
        <f>"20190312151426358"</f>
        <v>20190312151426358</v>
      </c>
      <c r="B5524" t="str">
        <f>"1552374866346077"</f>
        <v>1552374866346077</v>
      </c>
      <c r="C5524" t="s">
        <v>40</v>
      </c>
      <c r="D5524">
        <v>5.0516420000000002</v>
      </c>
      <c r="E5524">
        <v>0.50194629999999996</v>
      </c>
      <c r="F5524" t="s">
        <v>41</v>
      </c>
      <c r="G5524">
        <v>-250.1336</v>
      </c>
      <c r="H5524">
        <v>1.022764</v>
      </c>
      <c r="I5524">
        <v>-62.914250000000003</v>
      </c>
      <c r="J5524">
        <v>-250.96039999999999</v>
      </c>
      <c r="K5524">
        <v>1.1070979999999999</v>
      </c>
      <c r="L5524">
        <v>-62.988010000000003</v>
      </c>
      <c r="M5524">
        <v>0.99805359999999999</v>
      </c>
      <c r="N5524">
        <v>0</v>
      </c>
      <c r="O5524">
        <v>6.1227829999999997E-2</v>
      </c>
      <c r="P5524">
        <v>0.99569569999999996</v>
      </c>
      <c r="Q5524">
        <v>2.8272370000000002E-2</v>
      </c>
      <c r="R5524">
        <v>8.8266280000000003E-2</v>
      </c>
      <c r="S5524">
        <v>2.998062</v>
      </c>
      <c r="T5524">
        <v>-0.25160470000000001</v>
      </c>
      <c r="U5524">
        <v>0.2497559</v>
      </c>
      <c r="V5524">
        <v>-2.6877910000000001E-2</v>
      </c>
      <c r="W5524">
        <v>4.0274049999999999E-2</v>
      </c>
      <c r="X5524">
        <v>0.99882709999999997</v>
      </c>
      <c r="Y5524">
        <v>-2.1978330000000001E-2</v>
      </c>
      <c r="Z5524">
        <v>-4.196216E-3</v>
      </c>
      <c r="AA5524">
        <v>0.99974969999999996</v>
      </c>
      <c r="AB5524">
        <v>34</v>
      </c>
      <c r="AC5524">
        <v>0.82679999999999099</v>
      </c>
      <c r="AD5524">
        <v>-8.4333999999999895E-2</v>
      </c>
      <c r="AE5524">
        <v>7.3759999999992901E-2</v>
      </c>
      <c r="AF5524">
        <v>-2.27599482401293E-2</v>
      </c>
      <c r="AG5524">
        <v>-8.4333999999999895E-2</v>
      </c>
      <c r="AH5524">
        <v>0.82128774427268503</v>
      </c>
      <c r="AI5524">
        <v>95.860638664138804</v>
      </c>
      <c r="AJ5524">
        <v>91.587403817466097</v>
      </c>
      <c r="AK5524">
        <v>0.82591997051312904</v>
      </c>
      <c r="AL5524">
        <v>87.691842648936301</v>
      </c>
      <c r="AM5524">
        <v>91.541427193948707</v>
      </c>
      <c r="AN5524">
        <v>0.99999999842189002</v>
      </c>
    </row>
    <row r="5525" spans="1:40" x14ac:dyDescent="0.25">
      <c r="A5525" t="str">
        <f>"20190312151426369"</f>
        <v>20190312151426369</v>
      </c>
      <c r="B5525" t="str">
        <f>"1552374866365597"</f>
        <v>1552374866365597</v>
      </c>
      <c r="C5525" t="s">
        <v>40</v>
      </c>
      <c r="D5525">
        <v>5.0250729999999999</v>
      </c>
      <c r="E5525">
        <v>0.50173599999999996</v>
      </c>
      <c r="F5525" t="s">
        <v>67</v>
      </c>
      <c r="G5525">
        <v>-237.7885</v>
      </c>
      <c r="H5525" s="1">
        <v>-2.7316170000000001E-6</v>
      </c>
      <c r="I5525">
        <v>-61.89913</v>
      </c>
      <c r="J5525">
        <v>-250.80119999999999</v>
      </c>
      <c r="K5525">
        <v>1.1070930000000001</v>
      </c>
      <c r="L5525">
        <v>-62.979340000000001</v>
      </c>
      <c r="M5525">
        <v>0.99813149999999995</v>
      </c>
      <c r="N5525">
        <v>0</v>
      </c>
      <c r="O5525">
        <v>5.994625E-2</v>
      </c>
      <c r="P5525">
        <v>0.99574169999999995</v>
      </c>
      <c r="Q5525">
        <v>2.8344459999999998E-2</v>
      </c>
      <c r="R5525">
        <v>8.7721080000000007E-2</v>
      </c>
      <c r="S5525">
        <v>2.998154</v>
      </c>
      <c r="T5525">
        <v>-0.25199510000000003</v>
      </c>
      <c r="U5525">
        <v>0.24783330000000001</v>
      </c>
      <c r="V5525">
        <v>-2.7613189999999999E-2</v>
      </c>
      <c r="W5525">
        <v>4.0347899999999999E-2</v>
      </c>
      <c r="X5525">
        <v>0.99880409999999997</v>
      </c>
      <c r="Y5525">
        <v>-2.2616529999999999E-2</v>
      </c>
      <c r="Z5525">
        <v>-4.0689130000000004E-3</v>
      </c>
      <c r="AA5525">
        <v>0.99973599999999996</v>
      </c>
      <c r="AB5525">
        <v>34</v>
      </c>
      <c r="AC5525">
        <v>13.012699999999899</v>
      </c>
      <c r="AD5525">
        <v>-1.107095731617</v>
      </c>
      <c r="AE5525">
        <v>1.0802099999999899</v>
      </c>
      <c r="AF5525">
        <v>-0.29602189900572601</v>
      </c>
      <c r="AG5525">
        <v>-1.107095731617</v>
      </c>
      <c r="AH5525">
        <v>12.960881368215199</v>
      </c>
      <c r="AI5525">
        <v>94.8809870546187</v>
      </c>
      <c r="AJ5525">
        <v>91.308387655139398</v>
      </c>
      <c r="AK5525">
        <v>13.0114463363841</v>
      </c>
      <c r="AL5525">
        <v>87.687607999876803</v>
      </c>
      <c r="AM5525">
        <v>91.583610190773598</v>
      </c>
      <c r="AN5525">
        <v>1.0000000357365899</v>
      </c>
    </row>
    <row r="5526" spans="1:40" x14ac:dyDescent="0.25">
      <c r="A5526" t="str">
        <f>"20190312151426380"</f>
        <v>20190312151426380</v>
      </c>
      <c r="B5526" t="str">
        <f>"1552374866376333"</f>
        <v>1552374866376333</v>
      </c>
      <c r="C5526" t="s">
        <v>40</v>
      </c>
      <c r="D5526">
        <v>5.0438859999999996</v>
      </c>
      <c r="E5526">
        <v>0.50164179999999903</v>
      </c>
      <c r="F5526" t="s">
        <v>41</v>
      </c>
      <c r="G5526">
        <v>-249.82249999999999</v>
      </c>
      <c r="H5526">
        <v>1.0248010000000001</v>
      </c>
      <c r="I5526">
        <v>-62.898620000000001</v>
      </c>
      <c r="J5526">
        <v>-250.6189</v>
      </c>
      <c r="K5526">
        <v>1.107091</v>
      </c>
      <c r="L5526">
        <v>-62.969700000000003</v>
      </c>
      <c r="M5526">
        <v>0.99821850000000001</v>
      </c>
      <c r="N5526">
        <v>0</v>
      </c>
      <c r="O5526">
        <v>5.8479419999999997E-2</v>
      </c>
      <c r="P5526">
        <v>0.99581609999999998</v>
      </c>
      <c r="Q5526">
        <v>2.8120309999999999E-2</v>
      </c>
      <c r="R5526">
        <v>8.6946019999999999E-2</v>
      </c>
      <c r="S5526">
        <v>2.998138</v>
      </c>
      <c r="T5526">
        <v>-0.25196859999999999</v>
      </c>
      <c r="U5526">
        <v>0.2477722</v>
      </c>
      <c r="V5526">
        <v>-2.83045E-2</v>
      </c>
      <c r="W5526">
        <v>4.0125380000000002E-2</v>
      </c>
      <c r="X5526">
        <v>0.99879370000000001</v>
      </c>
      <c r="Y5526">
        <v>-2.4055679999999999E-2</v>
      </c>
      <c r="Z5526">
        <v>-3.8857000000000002E-3</v>
      </c>
      <c r="AA5526">
        <v>0.99970300000000001</v>
      </c>
      <c r="AB5526">
        <v>34</v>
      </c>
      <c r="AC5526">
        <v>0.79640000000000499</v>
      </c>
      <c r="AD5526">
        <v>-8.2289999999999905E-2</v>
      </c>
      <c r="AE5526">
        <v>7.1080000000009094E-2</v>
      </c>
      <c r="AF5526">
        <v>-2.4126514845197199E-2</v>
      </c>
      <c r="AG5526">
        <v>-8.2289999999999905E-2</v>
      </c>
      <c r="AH5526">
        <v>0.79081738087248299</v>
      </c>
      <c r="AI5526">
        <v>95.937897982051197</v>
      </c>
      <c r="AJ5526">
        <v>91.747456329084201</v>
      </c>
      <c r="AK5526">
        <v>0.79545324357160596</v>
      </c>
      <c r="AL5526">
        <v>87.700367760151096</v>
      </c>
      <c r="AM5526">
        <v>91.6232526034523</v>
      </c>
      <c r="AN5526">
        <v>1.0000000230000401</v>
      </c>
    </row>
    <row r="5527" spans="1:40" x14ac:dyDescent="0.25">
      <c r="A5527" t="str">
        <f>"20190312151426392"</f>
        <v>20190312151426392</v>
      </c>
      <c r="B5527" t="str">
        <f>"1552374866386093"</f>
        <v>1552374866386093</v>
      </c>
      <c r="C5527" t="s">
        <v>40</v>
      </c>
      <c r="D5527">
        <v>4.998494</v>
      </c>
      <c r="E5527">
        <v>0.50151459999999903</v>
      </c>
      <c r="F5527" t="s">
        <v>67</v>
      </c>
      <c r="G5527">
        <v>-237.49959999999999</v>
      </c>
      <c r="H5527" s="1">
        <v>-2.6060710000000002E-6</v>
      </c>
      <c r="I5527">
        <v>-61.893090000000001</v>
      </c>
      <c r="J5527">
        <v>-250.43969999999999</v>
      </c>
      <c r="K5527">
        <v>1.1070899999999999</v>
      </c>
      <c r="L5527">
        <v>-62.960509999999999</v>
      </c>
      <c r="M5527">
        <v>0.99830200000000002</v>
      </c>
      <c r="N5527">
        <v>0</v>
      </c>
      <c r="O5527">
        <v>5.7036969999999999E-2</v>
      </c>
      <c r="P5527">
        <v>0.99587709999999996</v>
      </c>
      <c r="Q5527">
        <v>2.8013389999999999E-2</v>
      </c>
      <c r="R5527">
        <v>8.6279590000000003E-2</v>
      </c>
      <c r="S5527">
        <v>2.9982760000000002</v>
      </c>
      <c r="T5527">
        <v>-0.25301459999999998</v>
      </c>
      <c r="U5527">
        <v>0.24603269999999999</v>
      </c>
      <c r="V5527">
        <v>-2.9080450000000001E-2</v>
      </c>
      <c r="W5527">
        <v>4.0020569999999998E-2</v>
      </c>
      <c r="X5527">
        <v>0.99877559999999999</v>
      </c>
      <c r="Y5527">
        <v>-2.4913279999999999E-2</v>
      </c>
      <c r="Z5527">
        <v>-3.7446300000000001E-3</v>
      </c>
      <c r="AA5527">
        <v>0.99968259999999998</v>
      </c>
      <c r="AB5527">
        <v>34</v>
      </c>
      <c r="AC5527">
        <v>12.940099999999999</v>
      </c>
      <c r="AD5527">
        <v>-1.107092606071</v>
      </c>
      <c r="AE5527">
        <v>1.06741999999999</v>
      </c>
      <c r="AF5527">
        <v>-0.32520204943215703</v>
      </c>
      <c r="AG5527">
        <v>-1.107092606071</v>
      </c>
      <c r="AH5527">
        <v>12.8862323639573</v>
      </c>
      <c r="AI5527">
        <v>94.908829405175894</v>
      </c>
      <c r="AJ5527">
        <v>91.445632077263397</v>
      </c>
      <c r="AK5527">
        <v>12.937789415092199</v>
      </c>
      <c r="AL5527">
        <v>87.706377725748595</v>
      </c>
      <c r="AM5527">
        <v>91.667758458971093</v>
      </c>
      <c r="AN5527">
        <v>1.00000000887534</v>
      </c>
    </row>
    <row r="5528" spans="1:40" x14ac:dyDescent="0.25">
      <c r="A5528" t="str">
        <f>"20190312151426402"</f>
        <v>20190312151426402</v>
      </c>
      <c r="B5528" t="str">
        <f>"1552374866395853"</f>
        <v>1552374866395853</v>
      </c>
      <c r="C5528" t="s">
        <v>40</v>
      </c>
      <c r="D5528">
        <v>5.0097250000000004</v>
      </c>
      <c r="E5528">
        <v>0.50140039999999997</v>
      </c>
      <c r="F5528" t="s">
        <v>41</v>
      </c>
      <c r="G5528">
        <v>-249.506</v>
      </c>
      <c r="H5528">
        <v>1.027984</v>
      </c>
      <c r="I5528">
        <v>-62.884239999999998</v>
      </c>
      <c r="J5528">
        <v>-250.27760000000001</v>
      </c>
      <c r="K5528">
        <v>1.1070960000000001</v>
      </c>
      <c r="L5528">
        <v>-62.952330000000003</v>
      </c>
      <c r="M5528">
        <v>0.99837580000000004</v>
      </c>
      <c r="N5528">
        <v>0</v>
      </c>
      <c r="O5528">
        <v>5.573231E-2</v>
      </c>
      <c r="P5528">
        <v>0.9959211</v>
      </c>
      <c r="Q5528">
        <v>2.814405E-2</v>
      </c>
      <c r="R5528">
        <v>8.5728970000000002E-2</v>
      </c>
      <c r="S5528">
        <v>2.9983520000000001</v>
      </c>
      <c r="T5528">
        <v>-0.2540231</v>
      </c>
      <c r="U5528">
        <v>0.2449646</v>
      </c>
      <c r="V5528">
        <v>-2.9833229999999999E-2</v>
      </c>
      <c r="W5528">
        <v>4.0153500000000002E-2</v>
      </c>
      <c r="X5528">
        <v>0.99874810000000003</v>
      </c>
      <c r="Y5528">
        <v>-2.5856790000000001E-2</v>
      </c>
      <c r="Z5528">
        <v>-3.6097429999999999E-3</v>
      </c>
      <c r="AA5528">
        <v>0.99965910000000002</v>
      </c>
      <c r="AB5528">
        <v>35</v>
      </c>
      <c r="AC5528">
        <v>0.77160000000003404</v>
      </c>
      <c r="AD5528">
        <v>-7.9111999999999794E-2</v>
      </c>
      <c r="AE5528">
        <v>6.8089999999997902E-2</v>
      </c>
      <c r="AF5528">
        <v>-2.4720242141611001E-2</v>
      </c>
      <c r="AG5528">
        <v>-7.9111999999999794E-2</v>
      </c>
      <c r="AH5528">
        <v>0.766203281096275</v>
      </c>
      <c r="AI5528">
        <v>95.891968465118694</v>
      </c>
      <c r="AJ5528">
        <v>91.847909613198297</v>
      </c>
      <c r="AK5528">
        <v>0.77067325558776001</v>
      </c>
      <c r="AL5528">
        <v>87.698755356819703</v>
      </c>
      <c r="AM5528">
        <v>91.710951998913103</v>
      </c>
      <c r="AN5528">
        <v>1.0000000462140399</v>
      </c>
    </row>
    <row r="5529" spans="1:40" x14ac:dyDescent="0.25">
      <c r="A5529" t="str">
        <f>"20190312151426414"</f>
        <v>20190312151426414</v>
      </c>
      <c r="B5529" t="str">
        <f>"1552374866405613"</f>
        <v>1552374866405613</v>
      </c>
      <c r="C5529" t="s">
        <v>40</v>
      </c>
      <c r="D5529">
        <v>5.0593719999999998</v>
      </c>
      <c r="E5529">
        <v>0.50129590000000002</v>
      </c>
      <c r="F5529" t="s">
        <v>67</v>
      </c>
      <c r="G5529">
        <v>-237.23089999999999</v>
      </c>
      <c r="H5529" s="1">
        <v>-2.4899890000000002E-6</v>
      </c>
      <c r="I5529">
        <v>-61.89011</v>
      </c>
      <c r="J5529">
        <v>-250.10230000000001</v>
      </c>
      <c r="K5529">
        <v>1.107094</v>
      </c>
      <c r="L5529">
        <v>-62.94388</v>
      </c>
      <c r="M5529">
        <v>0.99845349999999999</v>
      </c>
      <c r="N5529">
        <v>0</v>
      </c>
      <c r="O5529">
        <v>5.4321870000000001E-2</v>
      </c>
      <c r="P5529">
        <v>0.99594689999999997</v>
      </c>
      <c r="Q5529">
        <v>2.8291400000000001E-2</v>
      </c>
      <c r="R5529">
        <v>8.5379239999999995E-2</v>
      </c>
      <c r="S5529">
        <v>2.9984440000000001</v>
      </c>
      <c r="T5529">
        <v>-0.25443769999999999</v>
      </c>
      <c r="U5529">
        <v>0.2441101</v>
      </c>
      <c r="V5529">
        <v>-3.0892659999999999E-2</v>
      </c>
      <c r="W5529">
        <v>4.0305010000000002E-2</v>
      </c>
      <c r="X5529">
        <v>0.99870970000000003</v>
      </c>
      <c r="Y5529">
        <v>-2.6974870000000001E-2</v>
      </c>
      <c r="Z5529">
        <v>-3.4492659999999999E-3</v>
      </c>
      <c r="AA5529">
        <v>0.99963020000000002</v>
      </c>
      <c r="AB5529">
        <v>35</v>
      </c>
      <c r="AC5529">
        <v>12.8714</v>
      </c>
      <c r="AD5529">
        <v>-1.1070964899889999</v>
      </c>
      <c r="AE5529">
        <v>1.0537700000000001</v>
      </c>
      <c r="AF5529">
        <v>-0.35039152254124201</v>
      </c>
      <c r="AG5529">
        <v>-1.1070964899889999</v>
      </c>
      <c r="AH5529">
        <v>12.8154605410288</v>
      </c>
      <c r="AI5529">
        <v>94.935549912628503</v>
      </c>
      <c r="AJ5529">
        <v>91.566151682252695</v>
      </c>
      <c r="AK5529">
        <v>12.8679627655616</v>
      </c>
      <c r="AL5529">
        <v>87.690067235716597</v>
      </c>
      <c r="AM5529">
        <v>91.771740904847107</v>
      </c>
      <c r="AN5529">
        <v>0.99999995757353199</v>
      </c>
    </row>
    <row r="5530" spans="1:40" x14ac:dyDescent="0.25">
      <c r="A5530" t="str">
        <f>"20190312151426425"</f>
        <v>20190312151426425</v>
      </c>
      <c r="B5530" t="str">
        <f>"1552374866416349"</f>
        <v>1552374866416349</v>
      </c>
      <c r="C5530" t="s">
        <v>40</v>
      </c>
      <c r="D5530">
        <v>5.0246909999999998</v>
      </c>
      <c r="E5530">
        <v>0.50120940000000003</v>
      </c>
      <c r="F5530" t="s">
        <v>67</v>
      </c>
      <c r="G5530">
        <v>-237.05770000000001</v>
      </c>
      <c r="H5530" s="1">
        <v>-2.4139529999999999E-6</v>
      </c>
      <c r="I5530">
        <v>-61.883589999999998</v>
      </c>
      <c r="J5530">
        <v>-249.928</v>
      </c>
      <c r="K5530">
        <v>1.107092</v>
      </c>
      <c r="L5530">
        <v>-62.935549999999999</v>
      </c>
      <c r="M5530">
        <v>0.99852879999999999</v>
      </c>
      <c r="N5530">
        <v>0</v>
      </c>
      <c r="O5530">
        <v>5.2919580000000001E-2</v>
      </c>
      <c r="P5530">
        <v>0.9959903</v>
      </c>
      <c r="Q5530">
        <v>2.8256819999999998E-2</v>
      </c>
      <c r="R5530">
        <v>8.4881730000000002E-2</v>
      </c>
      <c r="S5530">
        <v>2.9985499999999998</v>
      </c>
      <c r="T5530">
        <v>-0.25448680000000001</v>
      </c>
      <c r="U5530">
        <v>0.2437134</v>
      </c>
      <c r="V5530">
        <v>-3.1797039999999999E-2</v>
      </c>
      <c r="W5530">
        <v>4.0273570000000002E-2</v>
      </c>
      <c r="X5530">
        <v>0.99868259999999998</v>
      </c>
      <c r="Y5530">
        <v>-2.8235010000000001E-2</v>
      </c>
      <c r="Z5530">
        <v>-3.278184E-3</v>
      </c>
      <c r="AA5530">
        <v>0.99959589999999998</v>
      </c>
      <c r="AB5530">
        <v>35</v>
      </c>
      <c r="AC5530">
        <v>12.870299999999901</v>
      </c>
      <c r="AD5530">
        <v>-1.1070944139529999</v>
      </c>
      <c r="AE5530">
        <v>1.05195999999999</v>
      </c>
      <c r="AF5530">
        <v>-0.36665232106206702</v>
      </c>
      <c r="AG5530">
        <v>-1.1070944139529999</v>
      </c>
      <c r="AH5530">
        <v>12.813752613152699</v>
      </c>
      <c r="AI5530">
        <v>94.936020555225795</v>
      </c>
      <c r="AJ5530">
        <v>91.639012442130294</v>
      </c>
      <c r="AK5530">
        <v>12.8667147320916</v>
      </c>
      <c r="AL5530">
        <v>87.691870116537302</v>
      </c>
      <c r="AM5530">
        <v>91.823623397467003</v>
      </c>
      <c r="AN5530">
        <v>0.99999997386803197</v>
      </c>
    </row>
    <row r="5531" spans="1:40" x14ac:dyDescent="0.25">
      <c r="A5531" t="str">
        <f>"20190312151426436"</f>
        <v>20190312151426436</v>
      </c>
      <c r="B5531" t="str">
        <f>"1552374866426109"</f>
        <v>1552374866426109</v>
      </c>
      <c r="C5531" t="s">
        <v>40</v>
      </c>
      <c r="D5531">
        <v>5.0230449999999998</v>
      </c>
      <c r="E5531">
        <v>0.50106059999999997</v>
      </c>
      <c r="F5531" t="s">
        <v>67</v>
      </c>
      <c r="G5531">
        <v>-236.95070000000001</v>
      </c>
      <c r="H5531" s="1">
        <v>-2.3683330000000001E-6</v>
      </c>
      <c r="I5531">
        <v>-61.884590000000003</v>
      </c>
      <c r="J5531">
        <v>-249.75110000000001</v>
      </c>
      <c r="K5531">
        <v>1.1070879999999901</v>
      </c>
      <c r="L5531">
        <v>-62.927489999999999</v>
      </c>
      <c r="M5531">
        <v>0.99860329999999997</v>
      </c>
      <c r="N5531">
        <v>0</v>
      </c>
      <c r="O5531">
        <v>5.1496199999999999E-2</v>
      </c>
      <c r="P5531">
        <v>0.99602659999999998</v>
      </c>
      <c r="Q5531">
        <v>2.8182289999999999E-2</v>
      </c>
      <c r="R5531">
        <v>8.4483119999999995E-2</v>
      </c>
      <c r="S5531">
        <v>2.9986269999999999</v>
      </c>
      <c r="T5531">
        <v>-0.25581300000000001</v>
      </c>
      <c r="U5531">
        <v>0.2428284</v>
      </c>
      <c r="V5531">
        <v>-3.282144E-2</v>
      </c>
      <c r="W5531">
        <v>4.0204009999999998E-2</v>
      </c>
      <c r="X5531">
        <v>0.99865230000000005</v>
      </c>
      <c r="Y5531">
        <v>-2.9356460000000001E-2</v>
      </c>
      <c r="Z5531">
        <v>-3.1267299999999999E-3</v>
      </c>
      <c r="AA5531">
        <v>0.99956409999999996</v>
      </c>
      <c r="AB5531">
        <v>35</v>
      </c>
      <c r="AC5531">
        <v>12.8003999999999</v>
      </c>
      <c r="AD5531">
        <v>-1.10709036833299</v>
      </c>
      <c r="AE5531">
        <v>1.0428999999999899</v>
      </c>
      <c r="AF5531">
        <v>-0.37947821393624698</v>
      </c>
      <c r="AG5531">
        <v>-1.10709036833299</v>
      </c>
      <c r="AH5531">
        <v>12.7424343734211</v>
      </c>
      <c r="AI5531">
        <v>94.963323245195198</v>
      </c>
      <c r="AJ5531">
        <v>91.705802449876899</v>
      </c>
      <c r="AK5531">
        <v>12.7960652764611</v>
      </c>
      <c r="AL5531">
        <v>87.695858931364199</v>
      </c>
      <c r="AM5531">
        <v>91.882390236498196</v>
      </c>
      <c r="AN5531">
        <v>1.0000000128195199</v>
      </c>
    </row>
    <row r="5532" spans="1:40" x14ac:dyDescent="0.25">
      <c r="A5532" t="str">
        <f>"20190312151426447"</f>
        <v>20190312151426447</v>
      </c>
      <c r="B5532" t="str">
        <f>"1552374866435869"</f>
        <v>1552374866435869</v>
      </c>
      <c r="C5532" t="s">
        <v>40</v>
      </c>
      <c r="D5532">
        <v>4.9915609999999999</v>
      </c>
      <c r="E5532">
        <v>0.50093789999999905</v>
      </c>
      <c r="F5532" t="s">
        <v>67</v>
      </c>
      <c r="G5532">
        <v>-236.76669999999999</v>
      </c>
      <c r="H5532" s="1">
        <v>-2.287312E-6</v>
      </c>
      <c r="I5532">
        <v>-61.876750000000001</v>
      </c>
      <c r="J5532">
        <v>-249.5856</v>
      </c>
      <c r="K5532">
        <v>1.107084</v>
      </c>
      <c r="L5532">
        <v>-62.920070000000003</v>
      </c>
      <c r="M5532">
        <v>0.99867110000000003</v>
      </c>
      <c r="N5532">
        <v>0</v>
      </c>
      <c r="O5532">
        <v>5.0163890000000003E-2</v>
      </c>
      <c r="P5532">
        <v>0.99602829999999998</v>
      </c>
      <c r="Q5532">
        <v>2.8224630000000001E-2</v>
      </c>
      <c r="R5532">
        <v>8.4445599999999996E-2</v>
      </c>
      <c r="S5532">
        <v>2.9986419999999998</v>
      </c>
      <c r="T5532">
        <v>-0.25567289999999998</v>
      </c>
      <c r="U5532">
        <v>0.24264530000000001</v>
      </c>
      <c r="V5532">
        <v>-3.4116599999999997E-2</v>
      </c>
      <c r="W5532">
        <v>4.0252599999999999E-2</v>
      </c>
      <c r="X5532">
        <v>0.99860689999999996</v>
      </c>
      <c r="Y5532">
        <v>-3.0619529999999999E-2</v>
      </c>
      <c r="Z5532">
        <v>-2.9583679999999998E-3</v>
      </c>
      <c r="AA5532">
        <v>0.99952669999999999</v>
      </c>
      <c r="AB5532">
        <v>35</v>
      </c>
      <c r="AC5532">
        <v>12.818899999999999</v>
      </c>
      <c r="AD5532">
        <v>-1.107086287312</v>
      </c>
      <c r="AE5532">
        <v>1.04331999999999</v>
      </c>
      <c r="AF5532">
        <v>-0.39598143218784199</v>
      </c>
      <c r="AG5532">
        <v>-1.107086287312</v>
      </c>
      <c r="AH5532">
        <v>12.7605489778618</v>
      </c>
      <c r="AI5532">
        <v>94.956106942975893</v>
      </c>
      <c r="AJ5532">
        <v>91.777414628702999</v>
      </c>
      <c r="AK5532">
        <v>12.8146030589559</v>
      </c>
      <c r="AL5532">
        <v>87.6930725924326</v>
      </c>
      <c r="AM5532">
        <v>91.956703088591794</v>
      </c>
      <c r="AN5532">
        <v>0.99999997746496405</v>
      </c>
    </row>
    <row r="5533" spans="1:40" x14ac:dyDescent="0.25">
      <c r="A5533" t="str">
        <f>"20190312151426458"</f>
        <v>20190312151426458</v>
      </c>
      <c r="B5533" t="str">
        <f>"1552374866456365"</f>
        <v>1552374866456365</v>
      </c>
      <c r="C5533" t="s">
        <v>40</v>
      </c>
      <c r="D5533">
        <v>5.0038419999999997</v>
      </c>
      <c r="E5533">
        <v>0.50077269999999996</v>
      </c>
      <c r="F5533" t="s">
        <v>41</v>
      </c>
      <c r="G5533">
        <v>-248.5855</v>
      </c>
      <c r="H5533">
        <v>1.0215339999999999</v>
      </c>
      <c r="I5533">
        <v>-62.839060000000003</v>
      </c>
      <c r="J5533">
        <v>-249.41149999999999</v>
      </c>
      <c r="K5533">
        <v>1.107081</v>
      </c>
      <c r="L5533">
        <v>-62.912599999999998</v>
      </c>
      <c r="M5533">
        <v>0.99874039999999997</v>
      </c>
      <c r="N5533">
        <v>0</v>
      </c>
      <c r="O5533">
        <v>4.8763630000000002E-2</v>
      </c>
      <c r="P5533">
        <v>0.99607000000000001</v>
      </c>
      <c r="Q5533">
        <v>2.7906799999999999E-2</v>
      </c>
      <c r="R5533">
        <v>8.4059309999999998E-2</v>
      </c>
      <c r="S5533">
        <v>2.9985810000000002</v>
      </c>
      <c r="T5533">
        <v>-0.25639119999999999</v>
      </c>
      <c r="U5533">
        <v>0.2433777</v>
      </c>
      <c r="V5533">
        <v>-3.5131269999999999E-2</v>
      </c>
      <c r="W5533">
        <v>3.9939099999999998E-2</v>
      </c>
      <c r="X5533">
        <v>0.99858429999999998</v>
      </c>
      <c r="Y5533">
        <v>-3.2254499999999998E-2</v>
      </c>
      <c r="Z5533">
        <v>-2.777921E-3</v>
      </c>
      <c r="AA5533">
        <v>0.99947580000000003</v>
      </c>
      <c r="AB5533">
        <v>35</v>
      </c>
      <c r="AC5533">
        <v>0.82599999999999296</v>
      </c>
      <c r="AD5533">
        <v>-8.5546999999999998E-2</v>
      </c>
      <c r="AE5533">
        <v>7.3540000000001202E-2</v>
      </c>
      <c r="AF5533">
        <v>-3.2821642313294E-2</v>
      </c>
      <c r="AG5533">
        <v>-8.5546999999999998E-2</v>
      </c>
      <c r="AH5533">
        <v>0.81987844438610402</v>
      </c>
      <c r="AI5533">
        <v>95.952015455034797</v>
      </c>
      <c r="AJ5533">
        <v>92.292459304969398</v>
      </c>
      <c r="AK5533">
        <v>0.82498255313801705</v>
      </c>
      <c r="AL5533">
        <v>87.711049261202007</v>
      </c>
      <c r="AM5533">
        <v>92.014896154645101</v>
      </c>
      <c r="AN5533">
        <v>0.99999997102355598</v>
      </c>
    </row>
    <row r="5534" spans="1:40" x14ac:dyDescent="0.25">
      <c r="A5534" t="str">
        <f>"20190312151426470"</f>
        <v>20190312151426470</v>
      </c>
      <c r="B5534" t="str">
        <f>"1552374866466126"</f>
        <v>1552374866466126</v>
      </c>
      <c r="C5534" t="s">
        <v>40</v>
      </c>
      <c r="D5534">
        <v>5.0012509999999999</v>
      </c>
      <c r="E5534">
        <v>0.50063679999999999</v>
      </c>
      <c r="F5534" t="s">
        <v>67</v>
      </c>
      <c r="G5534">
        <v>-236.55779999999999</v>
      </c>
      <c r="H5534" s="1">
        <v>-2.1955209999999999E-6</v>
      </c>
      <c r="I5534">
        <v>-61.868589999999998</v>
      </c>
      <c r="J5534">
        <v>-249.2372</v>
      </c>
      <c r="K5534">
        <v>1.1070719999999901</v>
      </c>
      <c r="L5534">
        <v>-62.905299999999997</v>
      </c>
      <c r="M5534">
        <v>0.99880789999999997</v>
      </c>
      <c r="N5534">
        <v>0</v>
      </c>
      <c r="O5534">
        <v>4.7360510000000001E-2</v>
      </c>
      <c r="P5534">
        <v>0.99609539999999996</v>
      </c>
      <c r="Q5534">
        <v>2.756666E-2</v>
      </c>
      <c r="R5534">
        <v>8.3869620000000006E-2</v>
      </c>
      <c r="S5534">
        <v>2.9985050000000002</v>
      </c>
      <c r="T5534">
        <v>-0.25825890000000001</v>
      </c>
      <c r="U5534">
        <v>0.24353030000000001</v>
      </c>
      <c r="V5534">
        <v>-3.634594E-2</v>
      </c>
      <c r="W5534">
        <v>3.9604630000000002E-2</v>
      </c>
      <c r="X5534">
        <v>0.99855419999999995</v>
      </c>
      <c r="Y5534">
        <v>-3.3701580000000002E-2</v>
      </c>
      <c r="Z5534">
        <v>-2.61583E-3</v>
      </c>
      <c r="AA5534">
        <v>0.99942850000000005</v>
      </c>
      <c r="AB5534">
        <v>35</v>
      </c>
      <c r="AC5534">
        <v>12.679399999999999</v>
      </c>
      <c r="AD5534">
        <v>-1.10707419552099</v>
      </c>
      <c r="AE5534">
        <v>1.03670999999999</v>
      </c>
      <c r="AF5534">
        <v>-0.43173222082509199</v>
      </c>
      <c r="AG5534">
        <v>-1.10707419552099</v>
      </c>
      <c r="AH5534">
        <v>12.6187122386005</v>
      </c>
      <c r="AI5534">
        <v>95.010960957802197</v>
      </c>
      <c r="AJ5534">
        <v>91.959533468801197</v>
      </c>
      <c r="AK5534">
        <v>12.6745376462218</v>
      </c>
      <c r="AL5534">
        <v>87.7302282720552</v>
      </c>
      <c r="AM5534">
        <v>92.084563900432997</v>
      </c>
      <c r="AN5534">
        <v>1.00000002220477</v>
      </c>
    </row>
    <row r="5535" spans="1:40" x14ac:dyDescent="0.25">
      <c r="A5535" t="str">
        <f>"20190312151426480"</f>
        <v>20190312151426480</v>
      </c>
      <c r="B5535" t="str">
        <f>"1552374866475885"</f>
        <v>1552374866475885</v>
      </c>
      <c r="C5535" t="s">
        <v>40</v>
      </c>
      <c r="D5535">
        <v>5.0376200000000004</v>
      </c>
      <c r="E5535">
        <v>0.50051459999999903</v>
      </c>
      <c r="F5535" t="s">
        <v>41</v>
      </c>
      <c r="G5535">
        <v>-248.2654</v>
      </c>
      <c r="H5535">
        <v>1.022535</v>
      </c>
      <c r="I5535">
        <v>-62.826259999999998</v>
      </c>
      <c r="J5535">
        <v>-249.06120000000001</v>
      </c>
      <c r="K5535">
        <v>1.10707</v>
      </c>
      <c r="L5535">
        <v>-62.898220000000002</v>
      </c>
      <c r="M5535">
        <v>0.99887409999999999</v>
      </c>
      <c r="N5535">
        <v>0</v>
      </c>
      <c r="O5535">
        <v>4.5944150000000003E-2</v>
      </c>
      <c r="P5535">
        <v>0.99614579999999997</v>
      </c>
      <c r="Q5535">
        <v>2.7197079999999998E-2</v>
      </c>
      <c r="R5535">
        <v>8.3389420000000006E-2</v>
      </c>
      <c r="S5535">
        <v>2.9984130000000002</v>
      </c>
      <c r="T5535">
        <v>-0.26083899999999999</v>
      </c>
      <c r="U5535">
        <v>0.24404909999999999</v>
      </c>
      <c r="V5535">
        <v>-3.7282559999999999E-2</v>
      </c>
      <c r="W5535">
        <v>3.9239650000000001E-2</v>
      </c>
      <c r="X5535">
        <v>0.99853409999999998</v>
      </c>
      <c r="Y5535">
        <v>-3.5282760000000003E-2</v>
      </c>
      <c r="Z5535">
        <v>-2.4508210000000002E-3</v>
      </c>
      <c r="AA5535">
        <v>0.9993744</v>
      </c>
      <c r="AB5535">
        <v>35</v>
      </c>
      <c r="AC5535">
        <v>0.79580000000001405</v>
      </c>
      <c r="AD5535">
        <v>-8.4534999999999999E-2</v>
      </c>
      <c r="AE5535">
        <v>7.1959999999997096E-2</v>
      </c>
      <c r="AF5535">
        <v>-3.4928157450011502E-2</v>
      </c>
      <c r="AG5535">
        <v>-8.4534999999999999E-2</v>
      </c>
      <c r="AH5535">
        <v>0.78943016964796098</v>
      </c>
      <c r="AI5535">
        <v>96.106216489679795</v>
      </c>
      <c r="AJ5535">
        <v>92.533386414100505</v>
      </c>
      <c r="AK5535">
        <v>0.79471135335935705</v>
      </c>
      <c r="AL5535">
        <v>87.751156403205101</v>
      </c>
      <c r="AM5535">
        <v>92.138276023487705</v>
      </c>
      <c r="AN5535">
        <v>1.0000000441375401</v>
      </c>
    </row>
    <row r="5536" spans="1:40" x14ac:dyDescent="0.25">
      <c r="A5536" t="str">
        <f>"20190312151426493"</f>
        <v>20190312151426493</v>
      </c>
      <c r="B5536" t="str">
        <f>"1552374866485645"</f>
        <v>1552374866485645</v>
      </c>
      <c r="C5536" t="s">
        <v>40</v>
      </c>
      <c r="D5536">
        <v>5.0103269999999904</v>
      </c>
      <c r="E5536">
        <v>0.50043950000000004</v>
      </c>
      <c r="F5536" t="s">
        <v>67</v>
      </c>
      <c r="G5536">
        <v>-236.3827</v>
      </c>
      <c r="H5536" s="1">
        <v>-2.120281E-6</v>
      </c>
      <c r="I5536">
        <v>-61.868139999999997</v>
      </c>
      <c r="J5536">
        <v>-248.88040000000001</v>
      </c>
      <c r="K5536">
        <v>1.1070679999999999</v>
      </c>
      <c r="L5536">
        <v>-62.891240000000003</v>
      </c>
      <c r="M5536">
        <v>0.9989401</v>
      </c>
      <c r="N5536">
        <v>0</v>
      </c>
      <c r="O5536">
        <v>4.4489830000000001E-2</v>
      </c>
      <c r="P5536">
        <v>0.99619190000000002</v>
      </c>
      <c r="Q5536">
        <v>2.6755930000000001E-2</v>
      </c>
      <c r="R5536">
        <v>8.2982700000000006E-2</v>
      </c>
      <c r="S5536">
        <v>2.998367</v>
      </c>
      <c r="T5536">
        <v>-0.26181460000000001</v>
      </c>
      <c r="U5536">
        <v>0.24359130000000001</v>
      </c>
      <c r="V5536">
        <v>-3.8331650000000002E-2</v>
      </c>
      <c r="W5536">
        <v>3.8803669999999998E-2</v>
      </c>
      <c r="X5536">
        <v>0.99851140000000005</v>
      </c>
      <c r="Y5536">
        <v>-3.6577329999999998E-2</v>
      </c>
      <c r="Z5536">
        <v>-2.2773509999999999E-3</v>
      </c>
      <c r="AA5536">
        <v>0.99932829999999995</v>
      </c>
      <c r="AB5536">
        <v>35</v>
      </c>
      <c r="AC5536">
        <v>12.4977</v>
      </c>
      <c r="AD5536">
        <v>-1.107070120281</v>
      </c>
      <c r="AE5536">
        <v>1.0230999999999899</v>
      </c>
      <c r="AF5536">
        <v>-0.46242316901583203</v>
      </c>
      <c r="AG5536">
        <v>-1.107070120281</v>
      </c>
      <c r="AH5536">
        <v>12.433927747440499</v>
      </c>
      <c r="AI5536">
        <v>95.084487322893807</v>
      </c>
      <c r="AJ5536">
        <v>92.129873304553499</v>
      </c>
      <c r="AK5536">
        <v>12.4916771759053</v>
      </c>
      <c r="AL5536">
        <v>87.776155220489997</v>
      </c>
      <c r="AM5536">
        <v>92.198436445328397</v>
      </c>
      <c r="AN5536">
        <v>1.0000000280635699</v>
      </c>
    </row>
    <row r="5537" spans="1:40" x14ac:dyDescent="0.25">
      <c r="A5537" t="str">
        <f>"20190312151426506"</f>
        <v>20190312151426506</v>
      </c>
      <c r="B5537" t="str">
        <f>"1552374866496381"</f>
        <v>1552374866496381</v>
      </c>
      <c r="C5537" t="s">
        <v>40</v>
      </c>
      <c r="D5537">
        <v>4.9993589999999903</v>
      </c>
      <c r="E5537">
        <v>0.50043950000000004</v>
      </c>
      <c r="F5537" t="s">
        <v>67</v>
      </c>
      <c r="G5537">
        <v>-236.22030000000001</v>
      </c>
      <c r="H5537" s="1">
        <v>-2.0498330000000001E-6</v>
      </c>
      <c r="I5537">
        <v>-61.865200000000002</v>
      </c>
      <c r="J5537">
        <v>-248.68690000000001</v>
      </c>
      <c r="K5537">
        <v>1.1070709999999999</v>
      </c>
      <c r="L5537">
        <v>-62.883879999999998</v>
      </c>
      <c r="M5537">
        <v>0.99900809999999995</v>
      </c>
      <c r="N5537">
        <v>0</v>
      </c>
      <c r="O5537">
        <v>4.2933600000000002E-2</v>
      </c>
      <c r="P5537">
        <v>0.99626760000000003</v>
      </c>
      <c r="Q5537">
        <v>2.608365E-2</v>
      </c>
      <c r="R5537">
        <v>8.2284309999999999E-2</v>
      </c>
      <c r="S5537">
        <v>2.9982760000000002</v>
      </c>
      <c r="T5537">
        <v>-0.26218639999999999</v>
      </c>
      <c r="U5537">
        <v>0.242981</v>
      </c>
      <c r="V5537">
        <v>-3.91911E-2</v>
      </c>
      <c r="W5537">
        <v>3.813565E-2</v>
      </c>
      <c r="X5537">
        <v>0.99850369999999999</v>
      </c>
      <c r="Y5537">
        <v>-3.7923560000000002E-2</v>
      </c>
      <c r="Z5537">
        <v>-2.0866130000000002E-3</v>
      </c>
      <c r="AA5537">
        <v>0.99927849999999996</v>
      </c>
      <c r="AB5537">
        <v>35</v>
      </c>
      <c r="AC5537">
        <v>12.4666</v>
      </c>
      <c r="AD5537">
        <v>-1.1070730498329999</v>
      </c>
      <c r="AE5537">
        <v>1.01868</v>
      </c>
      <c r="AF5537">
        <v>-0.47871709092923898</v>
      </c>
      <c r="AG5537">
        <v>-1.1070730498329999</v>
      </c>
      <c r="AH5537">
        <v>12.401690941515801</v>
      </c>
      <c r="AI5537">
        <v>95.097377099280706</v>
      </c>
      <c r="AJ5537">
        <v>92.210574192941493</v>
      </c>
      <c r="AK5537">
        <v>12.4602054156297</v>
      </c>
      <c r="AL5537">
        <v>87.814458139083001</v>
      </c>
      <c r="AM5537">
        <v>92.247695823283294</v>
      </c>
      <c r="AN5537">
        <v>0.99999995451691004</v>
      </c>
    </row>
    <row r="5538" spans="1:40" x14ac:dyDescent="0.25">
      <c r="A5538" t="str">
        <f>"20190312151426517"</f>
        <v>20190312151426517</v>
      </c>
      <c r="B5538" t="str">
        <f>"1552374866506141"</f>
        <v>1552374866506141</v>
      </c>
      <c r="C5538" t="s">
        <v>40</v>
      </c>
      <c r="D5538">
        <v>4.96896</v>
      </c>
      <c r="E5538">
        <v>0.5010791</v>
      </c>
      <c r="F5538" t="s">
        <v>41</v>
      </c>
      <c r="G5538">
        <v>-247.6583</v>
      </c>
      <c r="H5538">
        <v>1.0164219999999999</v>
      </c>
      <c r="I5538">
        <v>-62.80133</v>
      </c>
      <c r="J5538">
        <v>-248.49189999999999</v>
      </c>
      <c r="K5538">
        <v>1.1070709999999999</v>
      </c>
      <c r="L5538">
        <v>-62.877009999999999</v>
      </c>
      <c r="M5538">
        <v>0.99907420000000002</v>
      </c>
      <c r="N5538">
        <v>0</v>
      </c>
      <c r="O5538">
        <v>4.1367420000000002E-2</v>
      </c>
      <c r="P5538">
        <v>0.99634100000000003</v>
      </c>
      <c r="Q5538">
        <v>2.5647090000000001E-2</v>
      </c>
      <c r="R5538">
        <v>8.1529679999999993E-2</v>
      </c>
      <c r="S5538">
        <v>2.9982600000000001</v>
      </c>
      <c r="T5538">
        <v>-0.26419480000000001</v>
      </c>
      <c r="U5538">
        <v>0.2409058</v>
      </c>
      <c r="V5538">
        <v>-4.0002599999999999E-2</v>
      </c>
      <c r="W5538">
        <v>3.7702520000000003E-2</v>
      </c>
      <c r="X5538">
        <v>0.99848800000000004</v>
      </c>
      <c r="Y5538">
        <v>-3.879428E-2</v>
      </c>
      <c r="Z5538">
        <v>-1.9270719999999999E-3</v>
      </c>
      <c r="AA5538">
        <v>0.9992453</v>
      </c>
      <c r="AB5538">
        <v>35</v>
      </c>
      <c r="AC5538">
        <v>0.83359999999998902</v>
      </c>
      <c r="AD5538">
        <v>-9.0648999999999896E-2</v>
      </c>
      <c r="AE5538">
        <v>7.5679999999991296E-2</v>
      </c>
      <c r="AF5538">
        <v>-4.0652130483621998E-2</v>
      </c>
      <c r="AG5538">
        <v>-9.0648999999999896E-2</v>
      </c>
      <c r="AH5538">
        <v>0.82632561264256799</v>
      </c>
      <c r="AI5538">
        <v>96.252886453742306</v>
      </c>
      <c r="AJ5538">
        <v>92.816467380095304</v>
      </c>
      <c r="AK5538">
        <v>0.83227630930056695</v>
      </c>
      <c r="AL5538">
        <v>87.839292592355406</v>
      </c>
      <c r="AM5538">
        <v>92.294223942006397</v>
      </c>
      <c r="AN5538">
        <v>0.999999987082555</v>
      </c>
    </row>
    <row r="5539" spans="1:40" x14ac:dyDescent="0.25">
      <c r="A5539" t="str">
        <f>"20190312151426530"</f>
        <v>20190312151426530</v>
      </c>
      <c r="B5539" t="str">
        <f>"1552374866525661"</f>
        <v>1552374866525661</v>
      </c>
      <c r="C5539" t="s">
        <v>40</v>
      </c>
      <c r="D5539">
        <v>5.0171559999999999</v>
      </c>
      <c r="E5539">
        <v>0.52293049999999996</v>
      </c>
      <c r="F5539" t="s">
        <v>67</v>
      </c>
      <c r="G5539">
        <v>-235.7749</v>
      </c>
      <c r="H5539" s="1">
        <v>-1.8643600000000001E-6</v>
      </c>
      <c r="I5539">
        <v>-61.886220000000002</v>
      </c>
      <c r="J5539">
        <v>-248.30840000000001</v>
      </c>
      <c r="K5539">
        <v>1.10707</v>
      </c>
      <c r="L5539">
        <v>-62.870669999999997</v>
      </c>
      <c r="M5539">
        <v>0.99913419999999997</v>
      </c>
      <c r="N5539">
        <v>0</v>
      </c>
      <c r="O5539">
        <v>3.9893150000000002E-2</v>
      </c>
      <c r="P5539">
        <v>0.99641190000000002</v>
      </c>
      <c r="Q5539">
        <v>2.5364020000000001E-2</v>
      </c>
      <c r="R5539">
        <v>8.0747929999999996E-2</v>
      </c>
      <c r="S5539">
        <v>2.9986419999999998</v>
      </c>
      <c r="T5539">
        <v>-0.26104490000000002</v>
      </c>
      <c r="U5539">
        <v>0.23361209999999999</v>
      </c>
      <c r="V5539">
        <v>-4.0693849999999997E-2</v>
      </c>
      <c r="W5539">
        <v>3.7422799999999999E-2</v>
      </c>
      <c r="X5539">
        <v>0.99847059999999999</v>
      </c>
      <c r="Y5539">
        <v>-3.7841020000000003E-2</v>
      </c>
      <c r="Z5539">
        <v>-1.817784E-3</v>
      </c>
      <c r="AA5539">
        <v>0.99928209999999995</v>
      </c>
      <c r="AB5539">
        <v>35</v>
      </c>
      <c r="AC5539">
        <v>12.5335</v>
      </c>
      <c r="AD5539">
        <v>-1.1070718643599999</v>
      </c>
      <c r="AE5539">
        <v>0.98445000000000205</v>
      </c>
      <c r="AF5539">
        <v>-0.47990927258607902</v>
      </c>
      <c r="AG5539">
        <v>-1.1070718643599999</v>
      </c>
      <c r="AH5539">
        <v>12.4661322682645</v>
      </c>
      <c r="AI5539">
        <v>95.071179692739406</v>
      </c>
      <c r="AJ5539">
        <v>92.204629609942302</v>
      </c>
      <c r="AK5539">
        <v>12.5243911928938</v>
      </c>
      <c r="AL5539">
        <v>87.855330708321105</v>
      </c>
      <c r="AM5539">
        <v>92.333865583286993</v>
      </c>
      <c r="AN5539">
        <v>0.99999999722601096</v>
      </c>
    </row>
    <row r="5540" spans="1:40" x14ac:dyDescent="0.25">
      <c r="A5540" t="str">
        <f>"20190312151426541"</f>
        <v>20190312151426541</v>
      </c>
      <c r="B5540" t="str">
        <f>"1552374866536397"</f>
        <v>1552374866536397</v>
      </c>
      <c r="C5540" t="s">
        <v>40</v>
      </c>
      <c r="D5540">
        <v>4.9949379999999897</v>
      </c>
      <c r="E5540">
        <v>0.52339250000000004</v>
      </c>
      <c r="F5540" t="s">
        <v>41</v>
      </c>
      <c r="G5540">
        <v>-247.3296</v>
      </c>
      <c r="H5540">
        <v>1.045636</v>
      </c>
      <c r="I5540">
        <v>-62.851930000000003</v>
      </c>
      <c r="J5540">
        <v>-248.14070000000001</v>
      </c>
      <c r="K5540">
        <v>1.1070719999999901</v>
      </c>
      <c r="L5540">
        <v>-62.8651699999999</v>
      </c>
      <c r="M5540">
        <v>0.99918689999999999</v>
      </c>
      <c r="N5540">
        <v>0</v>
      </c>
      <c r="O5540">
        <v>3.8547989999999997E-2</v>
      </c>
      <c r="P5540">
        <v>0.99647810000000003</v>
      </c>
      <c r="Q5540">
        <v>2.4943380000000001E-2</v>
      </c>
      <c r="R5540">
        <v>8.0057580000000003E-2</v>
      </c>
      <c r="S5540">
        <v>3.01091</v>
      </c>
      <c r="T5540">
        <v>-0.1888986</v>
      </c>
      <c r="U5540">
        <v>5.8013919999999997E-2</v>
      </c>
      <c r="V5540">
        <v>-4.134914E-2</v>
      </c>
      <c r="W5540">
        <v>3.7005379999999997E-2</v>
      </c>
      <c r="X5540">
        <v>0.99845919999999999</v>
      </c>
      <c r="Y5540">
        <v>1.918011E-2</v>
      </c>
      <c r="Z5540">
        <v>-3.016337E-3</v>
      </c>
      <c r="AA5540">
        <v>0.99981149999999996</v>
      </c>
      <c r="AB5540">
        <v>35</v>
      </c>
      <c r="AC5540">
        <v>0.81110000000001004</v>
      </c>
      <c r="AD5540">
        <v>-6.1435999999999803E-2</v>
      </c>
      <c r="AE5540">
        <v>1.3239999999989E-2</v>
      </c>
      <c r="AF5540">
        <v>1.79354281384791E-2</v>
      </c>
      <c r="AG5540">
        <v>-6.1435999999999803E-2</v>
      </c>
      <c r="AH5540">
        <v>0.80638236346221803</v>
      </c>
      <c r="AI5540">
        <v>94.355714255568699</v>
      </c>
      <c r="AJ5540">
        <v>88.725846474508501</v>
      </c>
      <c r="AK5540">
        <v>0.80891815270855605</v>
      </c>
      <c r="AL5540">
        <v>87.8792636156725</v>
      </c>
      <c r="AM5540">
        <v>92.371432124200993</v>
      </c>
      <c r="AN5540">
        <v>0.99999996179616102</v>
      </c>
    </row>
    <row r="5541" spans="1:40" x14ac:dyDescent="0.25">
      <c r="A5541" t="str">
        <f>"20190312151426551"</f>
        <v>20190312151426551</v>
      </c>
      <c r="B5541" t="str">
        <f>"1552374866546158"</f>
        <v>1552374866546158</v>
      </c>
      <c r="C5541" t="s">
        <v>40</v>
      </c>
      <c r="D5541">
        <v>4.9634749999999999</v>
      </c>
      <c r="E5541">
        <v>0.52329859999999995</v>
      </c>
      <c r="F5541" t="s">
        <v>68</v>
      </c>
      <c r="G5541">
        <v>-229.75210000000001</v>
      </c>
      <c r="H5541" s="1">
        <v>-3.6162979999999999E-6</v>
      </c>
      <c r="I5541">
        <v>-62.5449699999999</v>
      </c>
      <c r="J5541">
        <v>-247.98079999999999</v>
      </c>
      <c r="K5541">
        <v>1.1070709999999999</v>
      </c>
      <c r="L5541">
        <v>-62.860140000000001</v>
      </c>
      <c r="M5541">
        <v>0.99923550000000005</v>
      </c>
      <c r="N5541">
        <v>0</v>
      </c>
      <c r="O5541">
        <v>3.7266680000000003E-2</v>
      </c>
      <c r="P5541">
        <v>0.99652609999999997</v>
      </c>
      <c r="Q5541">
        <v>2.4850569999999999E-2</v>
      </c>
      <c r="R5541">
        <v>7.9488130000000004E-2</v>
      </c>
      <c r="S5541">
        <v>3.0109409999999999</v>
      </c>
      <c r="T5541">
        <v>-0.18127199999999999</v>
      </c>
      <c r="U5541">
        <v>5.2429199999999898E-2</v>
      </c>
      <c r="V5541">
        <v>-4.2059600000000003E-2</v>
      </c>
      <c r="W5541">
        <v>3.6915799999999999E-2</v>
      </c>
      <c r="X5541">
        <v>0.99843289999999996</v>
      </c>
      <c r="Y5541">
        <v>1.976228E-2</v>
      </c>
      <c r="Z5541">
        <v>-2.835312E-3</v>
      </c>
      <c r="AA5541">
        <v>0.99980069999999999</v>
      </c>
      <c r="AB5541">
        <v>35</v>
      </c>
      <c r="AC5541">
        <v>18.2286999999999</v>
      </c>
      <c r="AD5541">
        <v>-1.1070746162980001</v>
      </c>
      <c r="AE5541">
        <v>0.315170000000009</v>
      </c>
      <c r="AF5541">
        <v>0.36308071619464199</v>
      </c>
      <c r="AG5541">
        <v>-1.1070746162980001</v>
      </c>
      <c r="AH5541">
        <v>18.160816919961501</v>
      </c>
      <c r="AI5541">
        <v>93.487711006490002</v>
      </c>
      <c r="AJ5541">
        <v>88.854664866929497</v>
      </c>
      <c r="AK5541">
        <v>18.198151362511599</v>
      </c>
      <c r="AL5541">
        <v>87.884399806505201</v>
      </c>
      <c r="AM5541">
        <v>92.4121937595894</v>
      </c>
      <c r="AN5541">
        <v>1.0000000210221001</v>
      </c>
    </row>
    <row r="5542" spans="1:40" x14ac:dyDescent="0.25">
      <c r="A5542" t="str">
        <f>"20190312151426561"</f>
        <v>20190312151426561</v>
      </c>
      <c r="B5542" t="str">
        <f>"1552374866555917"</f>
        <v>1552374866555917</v>
      </c>
      <c r="C5542" t="s">
        <v>40</v>
      </c>
      <c r="D5542">
        <v>4.9447900000000002</v>
      </c>
      <c r="E5542">
        <v>0.52366069999999998</v>
      </c>
      <c r="F5542" t="s">
        <v>68</v>
      </c>
      <c r="G5542">
        <v>-228.715</v>
      </c>
      <c r="H5542" s="1">
        <v>-3.2615040000000001E-6</v>
      </c>
      <c r="I5542">
        <v>-62.5310699999999</v>
      </c>
      <c r="J5542">
        <v>-247.80950000000001</v>
      </c>
      <c r="K5542">
        <v>1.1070719999999901</v>
      </c>
      <c r="L5542">
        <v>-62.8549199999999</v>
      </c>
      <c r="M5542">
        <v>0.9992858</v>
      </c>
      <c r="N5542">
        <v>0</v>
      </c>
      <c r="O5542">
        <v>3.5895179999999999E-2</v>
      </c>
      <c r="P5542">
        <v>0.99657879999999999</v>
      </c>
      <c r="Q5542">
        <v>2.4970019999999999E-2</v>
      </c>
      <c r="R5542">
        <v>7.8788330000000004E-2</v>
      </c>
      <c r="S5542">
        <v>3.0106660000000001</v>
      </c>
      <c r="T5542">
        <v>-0.17300219999999999</v>
      </c>
      <c r="U5542">
        <v>5.1422120000000002E-2</v>
      </c>
      <c r="V5542">
        <v>-4.2728790000000003E-2</v>
      </c>
      <c r="W5542">
        <v>3.7038260000000003E-2</v>
      </c>
      <c r="X5542">
        <v>0.99839990000000001</v>
      </c>
      <c r="Y5542">
        <v>1.87359E-2</v>
      </c>
      <c r="Z5542">
        <v>-2.5982819999999999E-3</v>
      </c>
      <c r="AA5542">
        <v>0.99982110000000002</v>
      </c>
      <c r="AB5542">
        <v>35</v>
      </c>
      <c r="AC5542">
        <v>19.0945</v>
      </c>
      <c r="AD5542">
        <v>-1.10707526150399</v>
      </c>
      <c r="AE5542">
        <v>0.32385000000000003</v>
      </c>
      <c r="AF5542">
        <v>0.36059522660795101</v>
      </c>
      <c r="AG5542">
        <v>-1.10707526150399</v>
      </c>
      <c r="AH5542">
        <v>19.029867315594799</v>
      </c>
      <c r="AI5542">
        <v>93.328871357182805</v>
      </c>
      <c r="AJ5542">
        <v>88.914437395556902</v>
      </c>
      <c r="AK5542">
        <v>19.065452908368901</v>
      </c>
      <c r="AL5542">
        <v>87.877378458096402</v>
      </c>
      <c r="AM5542">
        <v>92.450607487979497</v>
      </c>
      <c r="AN5542">
        <v>0.99999997125935003</v>
      </c>
    </row>
    <row r="5543" spans="1:40" x14ac:dyDescent="0.25">
      <c r="A5543" t="str">
        <f>"20190312151426572"</f>
        <v>20190312151426572</v>
      </c>
      <c r="B5543" t="str">
        <f>"1552374866565677"</f>
        <v>1552374866565677</v>
      </c>
      <c r="C5543" t="s">
        <v>40</v>
      </c>
      <c r="D5543">
        <v>5.1414179999999998</v>
      </c>
      <c r="E5543">
        <v>0.52409839999999996</v>
      </c>
      <c r="F5543" t="s">
        <v>68</v>
      </c>
      <c r="G5543">
        <v>-228.5539</v>
      </c>
      <c r="H5543" s="1">
        <v>-3.2103329999999998E-6</v>
      </c>
      <c r="I5543">
        <v>-62.558269999999901</v>
      </c>
      <c r="J5543">
        <v>-247.65459999999999</v>
      </c>
      <c r="K5543">
        <v>1.1070709999999999</v>
      </c>
      <c r="L5543">
        <v>-62.850490000000001</v>
      </c>
      <c r="M5543">
        <v>0.99932949999999998</v>
      </c>
      <c r="N5543">
        <v>0</v>
      </c>
      <c r="O5543">
        <v>3.4657750000000001E-2</v>
      </c>
      <c r="P5543">
        <v>0.99662079999999997</v>
      </c>
      <c r="Q5543">
        <v>2.4790630000000001E-2</v>
      </c>
      <c r="R5543">
        <v>7.831138E-2</v>
      </c>
      <c r="S5543">
        <v>3.0109710000000001</v>
      </c>
      <c r="T5543">
        <v>-0.17311190000000001</v>
      </c>
      <c r="U5543">
        <v>4.6386719999999999E-2</v>
      </c>
      <c r="V5543">
        <v>-4.3488869999999999E-2</v>
      </c>
      <c r="W5543">
        <v>3.686242E-2</v>
      </c>
      <c r="X5543">
        <v>0.99837359999999997</v>
      </c>
      <c r="Y5543">
        <v>1.9172390000000001E-2</v>
      </c>
      <c r="Z5543">
        <v>-2.5412070000000002E-3</v>
      </c>
      <c r="AA5543">
        <v>0.99981299999999995</v>
      </c>
      <c r="AB5543">
        <v>35</v>
      </c>
      <c r="AC5543">
        <v>19.1006999999999</v>
      </c>
      <c r="AD5543">
        <v>-1.107074210333</v>
      </c>
      <c r="AE5543">
        <v>0.29222000000000697</v>
      </c>
      <c r="AF5543">
        <v>0.36875053513458</v>
      </c>
      <c r="AG5543">
        <v>-1.107074210333</v>
      </c>
      <c r="AH5543">
        <v>19.035420228367698</v>
      </c>
      <c r="AI5543">
        <v>93.327872411328002</v>
      </c>
      <c r="AJ5543">
        <v>88.890215879855006</v>
      </c>
      <c r="AK5543">
        <v>19.0711513426666</v>
      </c>
      <c r="AL5543">
        <v>87.887460256838907</v>
      </c>
      <c r="AM5543">
        <v>92.494211107615399</v>
      </c>
      <c r="AN5543">
        <v>0.99999998249954603</v>
      </c>
    </row>
    <row r="5544" spans="1:40" x14ac:dyDescent="0.25">
      <c r="A5544" t="str">
        <f>"20190312151426582"</f>
        <v>20190312151426582</v>
      </c>
      <c r="B5544" t="str">
        <f>"1552374866576413"</f>
        <v>1552374866576413</v>
      </c>
      <c r="C5544" t="s">
        <v>40</v>
      </c>
      <c r="D5544">
        <v>4.9524350000000004</v>
      </c>
      <c r="E5544">
        <v>0.52374419999999999</v>
      </c>
      <c r="F5544" t="s">
        <v>68</v>
      </c>
      <c r="G5544">
        <v>-228.64179999999999</v>
      </c>
      <c r="H5544" s="1">
        <v>-3.2443940000000001E-6</v>
      </c>
      <c r="I5544">
        <v>-62.589410000000001</v>
      </c>
      <c r="J5544">
        <v>-247.48910000000001</v>
      </c>
      <c r="K5544">
        <v>1.1070719999999901</v>
      </c>
      <c r="L5544">
        <v>-62.845860000000002</v>
      </c>
      <c r="M5544">
        <v>0.99937450000000005</v>
      </c>
      <c r="N5544">
        <v>0</v>
      </c>
      <c r="O5544">
        <v>3.3336289999999998E-2</v>
      </c>
      <c r="P5544">
        <v>0.99666189999999999</v>
      </c>
      <c r="Q5544">
        <v>2.5004889999999998E-2</v>
      </c>
      <c r="R5544">
        <v>7.7717919999999996E-2</v>
      </c>
      <c r="S5544">
        <v>3.0112459999999999</v>
      </c>
      <c r="T5544">
        <v>-0.17533789999999999</v>
      </c>
      <c r="U5544">
        <v>4.1351319999999997E-2</v>
      </c>
      <c r="V5544">
        <v>-4.4213540000000003E-2</v>
      </c>
      <c r="W5544">
        <v>3.7079710000000002E-2</v>
      </c>
      <c r="X5544">
        <v>0.99833380000000005</v>
      </c>
      <c r="Y5544">
        <v>1.9522600000000001E-2</v>
      </c>
      <c r="Z5544">
        <v>-2.5069860000000001E-3</v>
      </c>
      <c r="AA5544">
        <v>0.99980630000000004</v>
      </c>
      <c r="AB5544">
        <v>35</v>
      </c>
      <c r="AC5544">
        <v>18.847300000000001</v>
      </c>
      <c r="AD5544">
        <v>-1.10707524439399</v>
      </c>
      <c r="AE5544">
        <v>0.25644999999999302</v>
      </c>
      <c r="AF5544">
        <v>0.37075639979444502</v>
      </c>
      <c r="AG5544">
        <v>-1.10707524439399</v>
      </c>
      <c r="AH5544">
        <v>18.780586203644599</v>
      </c>
      <c r="AI5544">
        <v>93.372903623101195</v>
      </c>
      <c r="AJ5544">
        <v>88.869043930156394</v>
      </c>
      <c r="AK5544">
        <v>18.8168407034035</v>
      </c>
      <c r="AL5544">
        <v>87.875002102256602</v>
      </c>
      <c r="AM5544">
        <v>92.535820158108805</v>
      </c>
      <c r="AN5544">
        <v>1.0000000591177201</v>
      </c>
    </row>
    <row r="5545" spans="1:40" x14ac:dyDescent="0.25">
      <c r="A5545" t="str">
        <f>"20190312151426593"</f>
        <v>20190312151426593</v>
      </c>
      <c r="B5545" t="str">
        <f>"1552374866586173"</f>
        <v>1552374866586173</v>
      </c>
      <c r="C5545" t="s">
        <v>40</v>
      </c>
      <c r="D5545">
        <v>5.2804060000000002</v>
      </c>
      <c r="E5545">
        <v>0.52351840000000005</v>
      </c>
      <c r="F5545" t="s">
        <v>68</v>
      </c>
      <c r="G5545">
        <v>-227.92320000000001</v>
      </c>
      <c r="H5545" s="1">
        <v>-2.997275E-6</v>
      </c>
      <c r="I5545">
        <v>-62.570210000000003</v>
      </c>
      <c r="J5545">
        <v>-247.3374</v>
      </c>
      <c r="K5545">
        <v>1.1070759999999999</v>
      </c>
      <c r="L5545">
        <v>-62.841889999999999</v>
      </c>
      <c r="M5545">
        <v>0.99941389999999997</v>
      </c>
      <c r="N5545">
        <v>0</v>
      </c>
      <c r="O5545">
        <v>3.2129390000000001E-2</v>
      </c>
      <c r="P5545">
        <v>0.99668659999999998</v>
      </c>
      <c r="Q5545">
        <v>2.534324E-2</v>
      </c>
      <c r="R5545">
        <v>7.7287529999999993E-2</v>
      </c>
      <c r="S5545">
        <v>3.011002</v>
      </c>
      <c r="T5545">
        <v>-0.17036770000000001</v>
      </c>
      <c r="U5545">
        <v>4.2419430000000001E-2</v>
      </c>
      <c r="V5545">
        <v>-4.4986999999999999E-2</v>
      </c>
      <c r="W5545">
        <v>3.742185E-2</v>
      </c>
      <c r="X5545">
        <v>0.99828640000000002</v>
      </c>
      <c r="Y5545">
        <v>1.796888E-2</v>
      </c>
      <c r="Z5545">
        <v>-2.3241080000000001E-3</v>
      </c>
      <c r="AA5545">
        <v>0.99983580000000005</v>
      </c>
      <c r="AB5545">
        <v>35</v>
      </c>
      <c r="AC5545">
        <v>19.414199999999902</v>
      </c>
      <c r="AD5545">
        <v>-1.1070789972749999</v>
      </c>
      <c r="AE5545">
        <v>0.27168000000000297</v>
      </c>
      <c r="AF5545">
        <v>0.35112865516293901</v>
      </c>
      <c r="AG5545">
        <v>-1.1070789972749999</v>
      </c>
      <c r="AH5545">
        <v>19.349995732951101</v>
      </c>
      <c r="AI5545">
        <v>93.273978599337198</v>
      </c>
      <c r="AJ5545">
        <v>88.960414125123904</v>
      </c>
      <c r="AK5545">
        <v>19.384820094700601</v>
      </c>
      <c r="AL5545">
        <v>87.855385142061905</v>
      </c>
      <c r="AM5545">
        <v>92.580244035903306</v>
      </c>
      <c r="AN5545">
        <v>0.99999998072569096</v>
      </c>
    </row>
    <row r="5546" spans="1:40" x14ac:dyDescent="0.25">
      <c r="A5546" t="str">
        <f>"20190312151426603"</f>
        <v>20190312151426603</v>
      </c>
      <c r="B5546" t="str">
        <f>"1552374866595933"</f>
        <v>1552374866595933</v>
      </c>
      <c r="C5546" t="s">
        <v>40</v>
      </c>
      <c r="D5546">
        <v>5.0685739999999999</v>
      </c>
      <c r="E5546">
        <v>0.5228003</v>
      </c>
      <c r="F5546" t="s">
        <v>68</v>
      </c>
      <c r="G5546">
        <v>-226.66810000000001</v>
      </c>
      <c r="H5546" s="1">
        <v>-2.459819E-6</v>
      </c>
      <c r="I5546">
        <v>-62.547530000000002</v>
      </c>
      <c r="J5546">
        <v>-247.1671</v>
      </c>
      <c r="K5546">
        <v>1.1070850000000001</v>
      </c>
      <c r="L5546">
        <v>-62.83755</v>
      </c>
      <c r="M5546">
        <v>0.99945660000000003</v>
      </c>
      <c r="N5546">
        <v>0</v>
      </c>
      <c r="O5546">
        <v>3.0775540000000001E-2</v>
      </c>
      <c r="P5546">
        <v>0.99673179999999995</v>
      </c>
      <c r="Q5546">
        <v>2.5595409999999999E-2</v>
      </c>
      <c r="R5546">
        <v>7.6620060000000004E-2</v>
      </c>
      <c r="S5546">
        <v>3.0107569999999999</v>
      </c>
      <c r="T5546">
        <v>-0.16126099999999999</v>
      </c>
      <c r="U5546">
        <v>4.2877199999999997E-2</v>
      </c>
      <c r="V5546">
        <v>-4.5669649999999999E-2</v>
      </c>
      <c r="W5546">
        <v>3.7676769999999998E-2</v>
      </c>
      <c r="X5546">
        <v>0.99824579999999996</v>
      </c>
      <c r="Y5546">
        <v>1.6473720000000001E-2</v>
      </c>
      <c r="Z5546">
        <v>-2.0877930000000001E-3</v>
      </c>
      <c r="AA5546">
        <v>0.99986209999999998</v>
      </c>
      <c r="AB5546">
        <v>35</v>
      </c>
      <c r="AC5546">
        <v>20.498999999999899</v>
      </c>
      <c r="AD5546">
        <v>-1.1070874598189999</v>
      </c>
      <c r="AE5546">
        <v>0.290019999999998</v>
      </c>
      <c r="AF5546">
        <v>0.34003755245903799</v>
      </c>
      <c r="AG5546">
        <v>-1.1070874598189999</v>
      </c>
      <c r="AH5546">
        <v>20.4386125446919</v>
      </c>
      <c r="AI5546">
        <v>93.100051955575793</v>
      </c>
      <c r="AJ5546">
        <v>89.046857053281201</v>
      </c>
      <c r="AK5546">
        <v>20.471398362906399</v>
      </c>
      <c r="AL5546">
        <v>87.840768963395206</v>
      </c>
      <c r="AM5546">
        <v>92.619449909069203</v>
      </c>
      <c r="AN5546">
        <v>0.99999996657319701</v>
      </c>
    </row>
    <row r="5547" spans="1:40" x14ac:dyDescent="0.25">
      <c r="A5547" t="str">
        <f>"20190312151426615"</f>
        <v>20190312151426615</v>
      </c>
      <c r="B5547" t="str">
        <f>"1552374866605694"</f>
        <v>1552374866605694</v>
      </c>
      <c r="C5547" t="s">
        <v>40</v>
      </c>
      <c r="D5547">
        <v>5.2036360000000004</v>
      </c>
      <c r="E5547">
        <v>0.52219700000000002</v>
      </c>
      <c r="F5547" t="s">
        <v>68</v>
      </c>
      <c r="G5547">
        <v>-226.86060000000001</v>
      </c>
      <c r="H5547" s="1">
        <v>-2.5370739999999999E-6</v>
      </c>
      <c r="I5547">
        <v>-62.52364</v>
      </c>
      <c r="J5547">
        <v>-246.9932</v>
      </c>
      <c r="K5547">
        <v>1.1070930000000001</v>
      </c>
      <c r="L5547">
        <v>-62.833469999999998</v>
      </c>
      <c r="M5547">
        <v>0.999498</v>
      </c>
      <c r="N5547">
        <v>0</v>
      </c>
      <c r="O5547">
        <v>2.9401150000000001E-2</v>
      </c>
      <c r="P5547">
        <v>0.99678999999999995</v>
      </c>
      <c r="Q5547">
        <v>2.5671200000000002E-2</v>
      </c>
      <c r="R5547">
        <v>7.5835540000000007E-2</v>
      </c>
      <c r="S5547">
        <v>3.0104829999999998</v>
      </c>
      <c r="T5547">
        <v>-0.16412869999999999</v>
      </c>
      <c r="U5547">
        <v>4.653931E-2</v>
      </c>
      <c r="V5547">
        <v>-4.6257359999999997E-2</v>
      </c>
      <c r="W5547">
        <v>3.7754929999999999E-2</v>
      </c>
      <c r="X5547">
        <v>0.99821579999999999</v>
      </c>
      <c r="Y5547">
        <v>1.388488E-2</v>
      </c>
      <c r="Z5547">
        <v>-1.979677E-3</v>
      </c>
      <c r="AA5547">
        <v>0.9999017</v>
      </c>
      <c r="AB5547">
        <v>35</v>
      </c>
      <c r="AC5547">
        <v>20.1326</v>
      </c>
      <c r="AD5547">
        <v>-1.1070955370739901</v>
      </c>
      <c r="AE5547">
        <v>0.309829999999998</v>
      </c>
      <c r="AF5547">
        <v>0.28141601224079499</v>
      </c>
      <c r="AG5547">
        <v>-1.1070955370739901</v>
      </c>
      <c r="AH5547">
        <v>20.0723225609316</v>
      </c>
      <c r="AI5547">
        <v>93.156659230771396</v>
      </c>
      <c r="AJ5547">
        <v>89.196759946154401</v>
      </c>
      <c r="AK5547">
        <v>20.104800135545698</v>
      </c>
      <c r="AL5547">
        <v>87.836287567250295</v>
      </c>
      <c r="AM5547">
        <v>92.653190641760105</v>
      </c>
      <c r="AN5547">
        <v>0.99999998073155705</v>
      </c>
    </row>
    <row r="5548" spans="1:40" x14ac:dyDescent="0.25">
      <c r="A5548" t="str">
        <f>"20190312151426627"</f>
        <v>20190312151426627</v>
      </c>
      <c r="B5548" t="str">
        <f>"1552374866615454"</f>
        <v>1552374866615454</v>
      </c>
      <c r="C5548" t="s">
        <v>40</v>
      </c>
      <c r="D5548">
        <v>5.0056979999999998</v>
      </c>
      <c r="E5548">
        <v>0.52227990000000002</v>
      </c>
      <c r="F5548" t="s">
        <v>68</v>
      </c>
      <c r="G5548">
        <v>-226.47730000000001</v>
      </c>
      <c r="H5548" s="1">
        <v>-2.3673370000000002E-6</v>
      </c>
      <c r="I5548">
        <v>-62.499839999999999</v>
      </c>
      <c r="J5548">
        <v>-246.80889999999999</v>
      </c>
      <c r="K5548">
        <v>1.1071</v>
      </c>
      <c r="L5548">
        <v>-62.829250000000002</v>
      </c>
      <c r="M5548">
        <v>0.99953970000000003</v>
      </c>
      <c r="N5548">
        <v>0</v>
      </c>
      <c r="O5548">
        <v>2.7946559999999999E-2</v>
      </c>
      <c r="P5548">
        <v>0.99683560000000004</v>
      </c>
      <c r="Q5548">
        <v>2.5919810000000001E-2</v>
      </c>
      <c r="R5548">
        <v>7.5144920000000004E-2</v>
      </c>
      <c r="S5548">
        <v>3.0101170000000002</v>
      </c>
      <c r="T5548">
        <v>-0.162434</v>
      </c>
      <c r="U5548">
        <v>4.8950199999999902E-2</v>
      </c>
      <c r="V5548">
        <v>-4.7017530000000002E-2</v>
      </c>
      <c r="W5548">
        <v>3.8006520000000002E-2</v>
      </c>
      <c r="X5548">
        <v>0.99817069999999997</v>
      </c>
      <c r="Y5548">
        <v>1.1633859999999999E-2</v>
      </c>
      <c r="Z5548">
        <v>-1.8203970000000001E-3</v>
      </c>
      <c r="AA5548">
        <v>0.99993069999999895</v>
      </c>
      <c r="AB5548">
        <v>35</v>
      </c>
      <c r="AC5548">
        <v>20.331599999999899</v>
      </c>
      <c r="AD5548">
        <v>-1.107102367337</v>
      </c>
      <c r="AE5548">
        <v>0.32941000000000198</v>
      </c>
      <c r="AF5548">
        <v>0.23825032051820599</v>
      </c>
      <c r="AG5548">
        <v>-1.107102367337</v>
      </c>
      <c r="AH5548">
        <v>20.272770205054702</v>
      </c>
      <c r="AI5548">
        <v>93.125620245014204</v>
      </c>
      <c r="AJ5548">
        <v>89.326677642463196</v>
      </c>
      <c r="AK5548">
        <v>20.304375160391999</v>
      </c>
      <c r="AL5548">
        <v>87.821862090357399</v>
      </c>
      <c r="AM5548">
        <v>92.696849651948796</v>
      </c>
      <c r="AN5548">
        <v>0.99999994501414902</v>
      </c>
    </row>
    <row r="5549" spans="1:40" x14ac:dyDescent="0.25">
      <c r="A5549" t="str">
        <f>"20190312151426637"</f>
        <v>20190312151426637</v>
      </c>
      <c r="B5549" t="str">
        <f>"1552374866626189"</f>
        <v>1552374866626189</v>
      </c>
      <c r="C5549" t="s">
        <v>40</v>
      </c>
      <c r="D5549">
        <v>4.9420270000000004</v>
      </c>
      <c r="E5549">
        <v>0.52219399999999905</v>
      </c>
      <c r="F5549" t="s">
        <v>68</v>
      </c>
      <c r="G5549">
        <v>-226.29079999999999</v>
      </c>
      <c r="H5549" s="1">
        <v>-2.2906020000000002E-6</v>
      </c>
      <c r="I5549">
        <v>-62.514530000000001</v>
      </c>
      <c r="J5549">
        <v>-246.6397</v>
      </c>
      <c r="K5549">
        <v>1.10711</v>
      </c>
      <c r="L5549">
        <v>-62.825780000000002</v>
      </c>
      <c r="M5549">
        <v>0.99957589999999996</v>
      </c>
      <c r="N5549">
        <v>0</v>
      </c>
      <c r="O5549">
        <v>2.6619299999999999E-2</v>
      </c>
      <c r="P5549">
        <v>0.99690480000000004</v>
      </c>
      <c r="Q5549">
        <v>2.5829620000000001E-2</v>
      </c>
      <c r="R5549">
        <v>7.4254199999999895E-2</v>
      </c>
      <c r="S5549">
        <v>3.0102540000000002</v>
      </c>
      <c r="T5549">
        <v>-0.16242500000000001</v>
      </c>
      <c r="U5549">
        <v>4.6173100000000002E-2</v>
      </c>
      <c r="V5549">
        <v>-4.745224E-2</v>
      </c>
      <c r="W5549">
        <v>3.7917409999999999E-2</v>
      </c>
      <c r="X5549">
        <v>0.99815359999999997</v>
      </c>
      <c r="Y5549">
        <v>1.1231629999999999E-2</v>
      </c>
      <c r="Z5549">
        <v>-1.737852E-3</v>
      </c>
      <c r="AA5549">
        <v>0.99993540000000003</v>
      </c>
      <c r="AB5549">
        <v>35</v>
      </c>
      <c r="AC5549">
        <v>20.3489</v>
      </c>
      <c r="AD5549">
        <v>-1.1071122906019999</v>
      </c>
      <c r="AE5549">
        <v>0.31124999999999398</v>
      </c>
      <c r="AF5549">
        <v>0.22989121597786999</v>
      </c>
      <c r="AG5549">
        <v>-1.1071122906019999</v>
      </c>
      <c r="AH5549">
        <v>20.289928577178799</v>
      </c>
      <c r="AI5549">
        <v>93.123025380857598</v>
      </c>
      <c r="AJ5549">
        <v>89.350848734207304</v>
      </c>
      <c r="AK5549">
        <v>20.321411104109</v>
      </c>
      <c r="AL5549">
        <v>87.826971578941297</v>
      </c>
      <c r="AM5549">
        <v>92.721793151468106</v>
      </c>
      <c r="AN5549">
        <v>1.00000002712754</v>
      </c>
    </row>
    <row r="5550" spans="1:40" x14ac:dyDescent="0.25">
      <c r="A5550" t="str">
        <f>"20190312151426648"</f>
        <v>20190312151426648</v>
      </c>
      <c r="B5550" t="str">
        <f>"1552374866645708"</f>
        <v>1552374866645708</v>
      </c>
      <c r="C5550" t="s">
        <v>40</v>
      </c>
      <c r="D5550">
        <v>7.7151750000000003</v>
      </c>
      <c r="E5550">
        <v>0.52216660000000004</v>
      </c>
      <c r="F5550" t="s">
        <v>68</v>
      </c>
      <c r="G5550">
        <v>-225.97229999999999</v>
      </c>
      <c r="H5550" s="1">
        <v>-2.155838E-6</v>
      </c>
      <c r="I5550">
        <v>-62.523009999999999</v>
      </c>
      <c r="J5550">
        <v>-246.4759</v>
      </c>
      <c r="K5550">
        <v>1.107116</v>
      </c>
      <c r="L5550">
        <v>-62.822510000000001</v>
      </c>
      <c r="M5550">
        <v>0.99960939999999998</v>
      </c>
      <c r="N5550">
        <v>0</v>
      </c>
      <c r="O5550">
        <v>2.5337109999999999E-2</v>
      </c>
      <c r="P5550">
        <v>0.99693350000000003</v>
      </c>
      <c r="Q5550">
        <v>2.614228E-2</v>
      </c>
      <c r="R5550">
        <v>7.3758099999999993E-2</v>
      </c>
      <c r="S5550">
        <v>3.0102229999999999</v>
      </c>
      <c r="T5550">
        <v>-0.1612517</v>
      </c>
      <c r="U5550">
        <v>4.4097900000000002E-2</v>
      </c>
      <c r="V5550">
        <v>-4.823554E-2</v>
      </c>
      <c r="W5550">
        <v>3.8233320000000001E-2</v>
      </c>
      <c r="X5550">
        <v>0.99810399999999999</v>
      </c>
      <c r="Y5550">
        <v>1.064148E-2</v>
      </c>
      <c r="Z5550">
        <v>-1.640938E-3</v>
      </c>
      <c r="AA5550">
        <v>0.999942</v>
      </c>
      <c r="AB5550">
        <v>35</v>
      </c>
      <c r="AC5550">
        <v>20.503599999999999</v>
      </c>
      <c r="AD5550">
        <v>-1.1071181558380001</v>
      </c>
      <c r="AE5550">
        <v>0.29950000000000099</v>
      </c>
      <c r="AF5550">
        <v>0.21949444065342999</v>
      </c>
      <c r="AG5550">
        <v>-1.1071181558380001</v>
      </c>
      <c r="AH5550">
        <v>20.445008961176601</v>
      </c>
      <c r="AI5550">
        <v>93.099419506449607</v>
      </c>
      <c r="AJ5550">
        <v>89.384905041311995</v>
      </c>
      <c r="AK5550">
        <v>20.476139280710498</v>
      </c>
      <c r="AL5550">
        <v>87.808858129179598</v>
      </c>
      <c r="AM5550">
        <v>92.766790159746904</v>
      </c>
      <c r="AN5550">
        <v>1.00000002444665</v>
      </c>
    </row>
    <row r="5551" spans="1:40" x14ac:dyDescent="0.25">
      <c r="A5551" t="str">
        <f>"20190312151426671"</f>
        <v>20190312151426671</v>
      </c>
      <c r="B5551" t="str">
        <f>"1552374866666205"</f>
        <v>1552374866666205</v>
      </c>
      <c r="C5551" t="s">
        <v>40</v>
      </c>
      <c r="D5551">
        <v>5.0221260000000001</v>
      </c>
      <c r="E5551">
        <v>0.52197499999999997</v>
      </c>
      <c r="F5551" t="s">
        <v>68</v>
      </c>
      <c r="G5551">
        <v>-225.31899999999999</v>
      </c>
      <c r="H5551" s="1">
        <v>-1.875252E-6</v>
      </c>
      <c r="I5551">
        <v>-62.52158</v>
      </c>
      <c r="J5551">
        <v>-246.1191</v>
      </c>
      <c r="K5551">
        <v>1.1071299999999999</v>
      </c>
      <c r="L5551">
        <v>-62.816189999999999</v>
      </c>
      <c r="M5551">
        <v>0.9996756</v>
      </c>
      <c r="N5551">
        <v>0</v>
      </c>
      <c r="O5551">
        <v>2.25677E-2</v>
      </c>
      <c r="P5551">
        <v>0.99705580000000005</v>
      </c>
      <c r="Q5551">
        <v>2.594788E-2</v>
      </c>
      <c r="R5551">
        <v>7.2157659999999998E-2</v>
      </c>
      <c r="S5551">
        <v>3.0101779999999998</v>
      </c>
      <c r="T5551">
        <v>-0.1575192</v>
      </c>
      <c r="U5551">
        <v>4.2816159999999999E-2</v>
      </c>
      <c r="V5551">
        <v>-4.9401430000000003E-2</v>
      </c>
      <c r="W5551">
        <v>3.804225E-2</v>
      </c>
      <c r="X5551">
        <v>0.99805429999999995</v>
      </c>
      <c r="Y5551">
        <v>8.3060289999999995E-3</v>
      </c>
      <c r="Z5551">
        <v>-1.397199E-3</v>
      </c>
      <c r="AA5551">
        <v>0.99996450000000003</v>
      </c>
      <c r="AB5551">
        <v>35</v>
      </c>
      <c r="AC5551">
        <v>20.800099999999901</v>
      </c>
      <c r="AD5551">
        <v>-1.1071318752520001</v>
      </c>
      <c r="AE5551">
        <v>0.29460999999999099</v>
      </c>
      <c r="AF5551">
        <v>0.17441413886109999</v>
      </c>
      <c r="AG5551">
        <v>-1.1071318752520001</v>
      </c>
      <c r="AH5551">
        <v>20.742695812880701</v>
      </c>
      <c r="AI5551">
        <v>93.055129062247303</v>
      </c>
      <c r="AJ5551">
        <v>89.518242053460298</v>
      </c>
      <c r="AK5551">
        <v>20.772953349649999</v>
      </c>
      <c r="AL5551">
        <v>87.819813659277898</v>
      </c>
      <c r="AM5551">
        <v>92.833698766531001</v>
      </c>
      <c r="AN5551">
        <v>1.0000000499097901</v>
      </c>
    </row>
    <row r="5552" spans="1:40" x14ac:dyDescent="0.25">
      <c r="A5552" t="str">
        <f>"20190312151426681"</f>
        <v>20190312151426681</v>
      </c>
      <c r="B5552" t="str">
        <f>"1552374866675965"</f>
        <v>1552374866675965</v>
      </c>
      <c r="C5552" t="s">
        <v>40</v>
      </c>
      <c r="D5552">
        <v>5.0285209999999996</v>
      </c>
      <c r="E5552">
        <v>0.52192340000000004</v>
      </c>
      <c r="F5552" t="s">
        <v>68</v>
      </c>
      <c r="G5552">
        <v>-224.3066</v>
      </c>
      <c r="H5552" s="1">
        <v>-1.442831E-6</v>
      </c>
      <c r="I5552">
        <v>-62.530009999999997</v>
      </c>
      <c r="J5552">
        <v>-245.94669999999999</v>
      </c>
      <c r="K5552">
        <v>1.10714</v>
      </c>
      <c r="L5552">
        <v>-62.813450000000003</v>
      </c>
      <c r="M5552">
        <v>0.9997047</v>
      </c>
      <c r="N5552">
        <v>0</v>
      </c>
      <c r="O5552">
        <v>2.1239009999999999E-2</v>
      </c>
      <c r="P5552">
        <v>0.99713580000000002</v>
      </c>
      <c r="Q5552">
        <v>2.5919930000000001E-2</v>
      </c>
      <c r="R5552">
        <v>7.1052690000000002E-2</v>
      </c>
      <c r="S5552">
        <v>3.0099640000000001</v>
      </c>
      <c r="T5552">
        <v>-0.152776</v>
      </c>
      <c r="U5552">
        <v>3.9489749999999997E-2</v>
      </c>
      <c r="V5552">
        <v>-4.9623250000000001E-2</v>
      </c>
      <c r="W5552">
        <v>3.8014140000000002E-2</v>
      </c>
      <c r="X5552">
        <v>0.9980443</v>
      </c>
      <c r="Y5552">
        <v>8.0853439999999995E-3</v>
      </c>
      <c r="Z5552">
        <v>-1.282313E-3</v>
      </c>
      <c r="AA5552">
        <v>0.99996649999999998</v>
      </c>
      <c r="AB5552">
        <v>35</v>
      </c>
      <c r="AC5552">
        <v>21.640099999999901</v>
      </c>
      <c r="AD5552">
        <v>-1.107141442831</v>
      </c>
      <c r="AE5552">
        <v>0.28344000000000502</v>
      </c>
      <c r="AF5552">
        <v>0.17581018284283201</v>
      </c>
      <c r="AG5552">
        <v>-1.107141442831</v>
      </c>
      <c r="AH5552">
        <v>21.584749775513799</v>
      </c>
      <c r="AI5552">
        <v>92.936188315752702</v>
      </c>
      <c r="AJ5552">
        <v>89.533329835888196</v>
      </c>
      <c r="AK5552">
        <v>21.6138403405403</v>
      </c>
      <c r="AL5552">
        <v>87.821425264145802</v>
      </c>
      <c r="AM5552">
        <v>92.846430103721801</v>
      </c>
      <c r="AN5552">
        <v>0.99999998327149497</v>
      </c>
    </row>
    <row r="5553" spans="1:40" x14ac:dyDescent="0.25">
      <c r="A5553" t="str">
        <f>"20190312151426693"</f>
        <v>20190312151426693</v>
      </c>
      <c r="B5553" t="str">
        <f>"1552374866685725"</f>
        <v>1552374866685725</v>
      </c>
      <c r="C5553" t="s">
        <v>40</v>
      </c>
      <c r="D5553">
        <v>4.9996130000000001</v>
      </c>
      <c r="E5553">
        <v>0.52203690000000003</v>
      </c>
      <c r="F5553" t="s">
        <v>68</v>
      </c>
      <c r="G5553">
        <v>-223.70400000000001</v>
      </c>
      <c r="H5553" s="1">
        <v>-1.1871189999999999E-6</v>
      </c>
      <c r="I5553">
        <v>-62.542589999999997</v>
      </c>
      <c r="J5553">
        <v>-245.77780000000001</v>
      </c>
      <c r="K5553">
        <v>1.1071489999999999</v>
      </c>
      <c r="L5553">
        <v>-62.811039999999998</v>
      </c>
      <c r="M5553">
        <v>0.99973129999999999</v>
      </c>
      <c r="N5553">
        <v>0</v>
      </c>
      <c r="O5553">
        <v>1.994508E-2</v>
      </c>
      <c r="P5553">
        <v>0.99719089999999999</v>
      </c>
      <c r="Q5553">
        <v>2.591661E-2</v>
      </c>
      <c r="R5553">
        <v>7.0275459999999998E-2</v>
      </c>
      <c r="S5553">
        <v>3.0098720000000001</v>
      </c>
      <c r="T5553">
        <v>-0.1498176</v>
      </c>
      <c r="U5553">
        <v>3.6651610000000001E-2</v>
      </c>
      <c r="V5553">
        <v>-5.0138179999999997E-2</v>
      </c>
      <c r="W5553">
        <v>3.8011759999999999E-2</v>
      </c>
      <c r="X5553">
        <v>0.99801870000000004</v>
      </c>
      <c r="Y5553">
        <v>7.7369219999999898E-3</v>
      </c>
      <c r="Z5553">
        <v>-1.1845409999999999E-3</v>
      </c>
      <c r="AA5553">
        <v>0.99996940000000001</v>
      </c>
      <c r="AB5553">
        <v>35</v>
      </c>
      <c r="AC5553">
        <v>22.073799999999999</v>
      </c>
      <c r="AD5553">
        <v>-1.1071501871189999</v>
      </c>
      <c r="AE5553">
        <v>0.26845000000000102</v>
      </c>
      <c r="AF5553">
        <v>0.17146653696918601</v>
      </c>
      <c r="AG5553">
        <v>-1.1071501871189999</v>
      </c>
      <c r="AH5553">
        <v>22.019377075646201</v>
      </c>
      <c r="AI5553">
        <v>92.878361980292496</v>
      </c>
      <c r="AJ5553">
        <v>89.553842495530105</v>
      </c>
      <c r="AK5553">
        <v>22.0478604202229</v>
      </c>
      <c r="AL5553">
        <v>87.821561824807702</v>
      </c>
      <c r="AM5553">
        <v>92.8759912221457</v>
      </c>
      <c r="AN5553">
        <v>1.0000000282708399</v>
      </c>
    </row>
    <row r="5554" spans="1:40" x14ac:dyDescent="0.25">
      <c r="A5554" t="str">
        <f>"20190312151426705"</f>
        <v>20190312151426705</v>
      </c>
      <c r="B5554" t="str">
        <f>"1552374866695485"</f>
        <v>1552374866695485</v>
      </c>
      <c r="C5554" t="s">
        <v>40</v>
      </c>
      <c r="D5554">
        <v>5.4266779999999999</v>
      </c>
      <c r="E5554">
        <v>0.52196129999999996</v>
      </c>
      <c r="F5554" t="s">
        <v>68</v>
      </c>
      <c r="G5554">
        <v>-223.5335</v>
      </c>
      <c r="H5554" s="1">
        <v>-1.1188049999999999E-6</v>
      </c>
      <c r="I5554">
        <v>-62.564309999999999</v>
      </c>
      <c r="J5554">
        <v>-245.59440000000001</v>
      </c>
      <c r="K5554">
        <v>1.1071549999999999</v>
      </c>
      <c r="L5554">
        <v>-62.808529999999998</v>
      </c>
      <c r="M5554">
        <v>0.99975840000000005</v>
      </c>
      <c r="N5554">
        <v>0</v>
      </c>
      <c r="O5554">
        <v>1.8545200000000001E-2</v>
      </c>
      <c r="P5554">
        <v>0.9972839</v>
      </c>
      <c r="Q5554">
        <v>2.5431659999999998E-2</v>
      </c>
      <c r="R5554">
        <v>6.9126660000000006E-2</v>
      </c>
      <c r="S5554">
        <v>3.0100099999999999</v>
      </c>
      <c r="T5554">
        <v>-0.14981539999999999</v>
      </c>
      <c r="U5554">
        <v>3.3386230000000003E-2</v>
      </c>
      <c r="V5554">
        <v>-5.0389900000000001E-2</v>
      </c>
      <c r="W5554">
        <v>3.7526690000000001E-2</v>
      </c>
      <c r="X5554">
        <v>0.99802429999999998</v>
      </c>
      <c r="Y5554">
        <v>7.4240579999999999E-3</v>
      </c>
      <c r="Z5554">
        <v>-1.1070769999999999E-3</v>
      </c>
      <c r="AA5554">
        <v>0.99997179999999997</v>
      </c>
      <c r="AB5554">
        <v>35</v>
      </c>
      <c r="AC5554">
        <v>22.0609</v>
      </c>
      <c r="AD5554">
        <v>-1.1071561188050001</v>
      </c>
      <c r="AE5554">
        <v>0.24422000000000499</v>
      </c>
      <c r="AF5554">
        <v>0.16455986903481301</v>
      </c>
      <c r="AG5554">
        <v>-1.1071561188050001</v>
      </c>
      <c r="AH5554">
        <v>22.006215324494999</v>
      </c>
      <c r="AI5554">
        <v>92.8801027985849</v>
      </c>
      <c r="AJ5554">
        <v>89.571556939937196</v>
      </c>
      <c r="AK5554">
        <v>22.034663317825899</v>
      </c>
      <c r="AL5554">
        <v>87.849373961774305</v>
      </c>
      <c r="AM5554">
        <v>92.890389594137204</v>
      </c>
      <c r="AN5554">
        <v>0.99999994893742605</v>
      </c>
    </row>
    <row r="5555" spans="1:40" x14ac:dyDescent="0.25">
      <c r="A5555" t="str">
        <f>"20190312151426717"</f>
        <v>20190312151426717</v>
      </c>
      <c r="B5555" t="str">
        <f>"1552374866706221"</f>
        <v>1552374866706221</v>
      </c>
      <c r="C5555" t="s">
        <v>40</v>
      </c>
      <c r="D5555">
        <v>4.9535780000000003</v>
      </c>
      <c r="E5555">
        <v>0.52197669999999996</v>
      </c>
      <c r="F5555" t="s">
        <v>68</v>
      </c>
      <c r="G5555">
        <v>-223.28059999999999</v>
      </c>
      <c r="H5555" s="1">
        <v>-1.014246E-6</v>
      </c>
      <c r="I5555">
        <v>-62.582059999999998</v>
      </c>
      <c r="J5555">
        <v>-245.39609999999999</v>
      </c>
      <c r="K5555">
        <v>1.107167</v>
      </c>
      <c r="L5555">
        <v>-62.806269999999998</v>
      </c>
      <c r="M5555">
        <v>0.99978500000000003</v>
      </c>
      <c r="N5555">
        <v>0</v>
      </c>
      <c r="O5555">
        <v>1.7048399999999998E-2</v>
      </c>
      <c r="P5555">
        <v>0.99735649999999998</v>
      </c>
      <c r="Q5555">
        <v>2.5426770000000001E-2</v>
      </c>
      <c r="R5555">
        <v>6.8074319999999994E-2</v>
      </c>
      <c r="S5555">
        <v>3.0098720000000001</v>
      </c>
      <c r="T5555">
        <v>-0.14934220000000001</v>
      </c>
      <c r="U5555">
        <v>3.0548100000000002E-2</v>
      </c>
      <c r="V5555">
        <v>-5.0832500000000003E-2</v>
      </c>
      <c r="W5555">
        <v>3.752192E-2</v>
      </c>
      <c r="X5555">
        <v>0.9980021</v>
      </c>
      <c r="Y5555">
        <v>6.8719829999999999E-3</v>
      </c>
      <c r="Z5555">
        <v>-1.015742E-3</v>
      </c>
      <c r="AA5555">
        <v>0.99997590000000003</v>
      </c>
      <c r="AB5555">
        <v>35</v>
      </c>
      <c r="AC5555">
        <v>22.115500000000001</v>
      </c>
      <c r="AD5555">
        <v>-1.1071680142460001</v>
      </c>
      <c r="AE5555">
        <v>0.22420999999999899</v>
      </c>
      <c r="AF5555">
        <v>0.15250057112474</v>
      </c>
      <c r="AG5555">
        <v>-1.1071680142460001</v>
      </c>
      <c r="AH5555">
        <v>22.060822675440701</v>
      </c>
      <c r="AI5555">
        <v>92.873028092009406</v>
      </c>
      <c r="AJ5555">
        <v>89.603935897915207</v>
      </c>
      <c r="AK5555">
        <v>22.089114390423202</v>
      </c>
      <c r="AL5555">
        <v>87.849647596474597</v>
      </c>
      <c r="AM5555">
        <v>92.915798477740793</v>
      </c>
      <c r="AN5555">
        <v>1.0000000145705701</v>
      </c>
    </row>
    <row r="5556" spans="1:40" x14ac:dyDescent="0.25">
      <c r="A5556" t="str">
        <f>"20190312151426730"</f>
        <v>20190312151426730</v>
      </c>
      <c r="B5556" t="str">
        <f>"1552374866725741"</f>
        <v>1552374866725741</v>
      </c>
      <c r="C5556" t="s">
        <v>40</v>
      </c>
      <c r="D5556">
        <v>4.9616689999999997</v>
      </c>
      <c r="E5556">
        <v>0.52194419999999997</v>
      </c>
      <c r="F5556" t="s">
        <v>68</v>
      </c>
      <c r="G5556">
        <v>-223.13749999999999</v>
      </c>
      <c r="H5556" s="1">
        <v>-9.5781499999999995E-7</v>
      </c>
      <c r="I5556">
        <v>-62.604289999999999</v>
      </c>
      <c r="J5556">
        <v>-245.1985</v>
      </c>
      <c r="K5556">
        <v>1.107181</v>
      </c>
      <c r="L5556">
        <v>-62.804259999999999</v>
      </c>
      <c r="M5556">
        <v>0.99980930000000001</v>
      </c>
      <c r="N5556">
        <v>0</v>
      </c>
      <c r="O5556">
        <v>1.556687E-2</v>
      </c>
      <c r="P5556">
        <v>0.99744219999999895</v>
      </c>
      <c r="Q5556">
        <v>2.540166E-2</v>
      </c>
      <c r="R5556">
        <v>6.6815479999999997E-2</v>
      </c>
      <c r="S5556">
        <v>3.0099179999999999</v>
      </c>
      <c r="T5556">
        <v>-0.14971709999999999</v>
      </c>
      <c r="U5556">
        <v>2.7313230000000001E-2</v>
      </c>
      <c r="V5556">
        <v>-5.1053349999999997E-2</v>
      </c>
      <c r="W5556">
        <v>3.7495710000000002E-2</v>
      </c>
      <c r="X5556">
        <v>0.99799179999999998</v>
      </c>
      <c r="Y5556">
        <v>6.4671390000000002E-3</v>
      </c>
      <c r="Z5556">
        <v>-9.3457740000000005E-4</v>
      </c>
      <c r="AA5556">
        <v>0.9999787</v>
      </c>
      <c r="AB5556">
        <v>35</v>
      </c>
      <c r="AC5556">
        <v>22.061</v>
      </c>
      <c r="AD5556">
        <v>-1.107181957815</v>
      </c>
      <c r="AE5556">
        <v>0.19997000000000001</v>
      </c>
      <c r="AF5556">
        <v>0.14313832730465301</v>
      </c>
      <c r="AG5556">
        <v>-1.107181957815</v>
      </c>
      <c r="AH5556">
        <v>22.006016172311501</v>
      </c>
      <c r="AI5556">
        <v>92.880215489068604</v>
      </c>
      <c r="AJ5556">
        <v>89.6273243498959</v>
      </c>
      <c r="AK5556">
        <v>22.034316151051499</v>
      </c>
      <c r="AL5556">
        <v>87.8511503511277</v>
      </c>
      <c r="AM5556">
        <v>92.928474802645098</v>
      </c>
      <c r="AN5556">
        <v>1.0000000028409299</v>
      </c>
    </row>
    <row r="5557" spans="1:40" x14ac:dyDescent="0.25">
      <c r="A5557" t="str">
        <f>"20190312151426742"</f>
        <v>20190312151426742</v>
      </c>
      <c r="B5557" t="str">
        <f>"1552374866735501"</f>
        <v>1552374866735501</v>
      </c>
      <c r="C5557" t="s">
        <v>40</v>
      </c>
      <c r="D5557">
        <v>4.9389629999999904</v>
      </c>
      <c r="E5557">
        <v>0.52186599999999905</v>
      </c>
      <c r="F5557" t="s">
        <v>68</v>
      </c>
      <c r="G5557">
        <v>-222.95140000000001</v>
      </c>
      <c r="H5557" s="1">
        <v>-8.8327100000000002E-7</v>
      </c>
      <c r="I5557">
        <v>-62.628100000000003</v>
      </c>
      <c r="J5557">
        <v>-245.00530000000001</v>
      </c>
      <c r="K5557">
        <v>1.1071959999999901</v>
      </c>
      <c r="L5557">
        <v>-62.802489999999999</v>
      </c>
      <c r="M5557">
        <v>0.99983060000000001</v>
      </c>
      <c r="N5557">
        <v>0</v>
      </c>
      <c r="O5557">
        <v>1.4129600000000001E-2</v>
      </c>
      <c r="P5557">
        <v>0.99751630000000002</v>
      </c>
      <c r="Q5557">
        <v>2.5200650000000002E-2</v>
      </c>
      <c r="R5557">
        <v>6.5775550000000002E-2</v>
      </c>
      <c r="S5557">
        <v>3.0099179999999999</v>
      </c>
      <c r="T5557">
        <v>-0.14979579999999901</v>
      </c>
      <c r="U5557">
        <v>2.3834230000000001E-2</v>
      </c>
      <c r="V5557">
        <v>-5.1450139999999998E-2</v>
      </c>
      <c r="W5557">
        <v>3.7294149999999998E-2</v>
      </c>
      <c r="X5557">
        <v>0.99797899999999995</v>
      </c>
      <c r="Y5557">
        <v>6.1874679999999998E-3</v>
      </c>
      <c r="Z5557">
        <v>-8.5663820000000002E-4</v>
      </c>
      <c r="AA5557">
        <v>0.99998050000000005</v>
      </c>
      <c r="AB5557">
        <v>35</v>
      </c>
      <c r="AC5557">
        <v>22.053899999999999</v>
      </c>
      <c r="AD5557">
        <v>-1.10719688327099</v>
      </c>
      <c r="AE5557">
        <v>0.17438999999999499</v>
      </c>
      <c r="AF5557">
        <v>0.13691680472977799</v>
      </c>
      <c r="AG5557">
        <v>-1.10719688327099</v>
      </c>
      <c r="AH5557">
        <v>21.998719024709501</v>
      </c>
      <c r="AI5557">
        <v>92.881213181396205</v>
      </c>
      <c r="AJ5557">
        <v>89.643404065637696</v>
      </c>
      <c r="AK5557">
        <v>22.026989578193799</v>
      </c>
      <c r="AL5557">
        <v>87.862707024235306</v>
      </c>
      <c r="AM5557">
        <v>92.951232806096399</v>
      </c>
      <c r="AN5557">
        <v>1.00000002748562</v>
      </c>
    </row>
    <row r="5558" spans="1:40" x14ac:dyDescent="0.25">
      <c r="A5558" t="str">
        <f>"20190312151426753"</f>
        <v>20190312151426753</v>
      </c>
      <c r="B5558" t="str">
        <f>"1552374866746238"</f>
        <v>1552374866746238</v>
      </c>
      <c r="C5558" t="s">
        <v>40</v>
      </c>
      <c r="D5558">
        <v>4.9620139999999999</v>
      </c>
      <c r="E5558">
        <v>0.52172850000000004</v>
      </c>
      <c r="F5558" t="s">
        <v>68</v>
      </c>
      <c r="G5558">
        <v>-222.92760000000001</v>
      </c>
      <c r="H5558" s="1">
        <v>-8.7705960000000002E-7</v>
      </c>
      <c r="I5558">
        <v>-62.646019999999901</v>
      </c>
      <c r="J5558">
        <v>-244.84989999999999</v>
      </c>
      <c r="K5558">
        <v>1.1072090000000001</v>
      </c>
      <c r="L5558">
        <v>-62.80133</v>
      </c>
      <c r="M5558">
        <v>0.99984600000000001</v>
      </c>
      <c r="N5558">
        <v>0</v>
      </c>
      <c r="O5558">
        <v>1.2985150000000001E-2</v>
      </c>
      <c r="P5558">
        <v>0.99756129999999998</v>
      </c>
      <c r="Q5558">
        <v>2.515775E-2</v>
      </c>
      <c r="R5558">
        <v>6.5104540000000002E-2</v>
      </c>
      <c r="S5558">
        <v>3.0098720000000001</v>
      </c>
      <c r="T5558">
        <v>-0.1509453</v>
      </c>
      <c r="U5558">
        <v>2.133179E-2</v>
      </c>
      <c r="V5558">
        <v>-5.1922759999999998E-2</v>
      </c>
      <c r="W5558">
        <v>3.7251729999999997E-2</v>
      </c>
      <c r="X5558">
        <v>0.99795610000000001</v>
      </c>
      <c r="Y5558">
        <v>5.8755319999999897E-3</v>
      </c>
      <c r="Z5558">
        <v>-7.9804819999999995E-4</v>
      </c>
      <c r="AA5558">
        <v>0.99998240000000005</v>
      </c>
      <c r="AB5558">
        <v>35</v>
      </c>
      <c r="AC5558">
        <v>21.9222999999999</v>
      </c>
      <c r="AD5558">
        <v>-1.1072098770595999</v>
      </c>
      <c r="AE5558">
        <v>0.15531000000001399</v>
      </c>
      <c r="AF5558">
        <v>0.129058094344663</v>
      </c>
      <c r="AG5558">
        <v>-1.1072098770595999</v>
      </c>
      <c r="AH5558">
        <v>21.866692118884899</v>
      </c>
      <c r="AI5558">
        <v>92.898619422683495</v>
      </c>
      <c r="AJ5558">
        <v>89.661841936606905</v>
      </c>
      <c r="AK5558">
        <v>21.8950860680125</v>
      </c>
      <c r="AL5558">
        <v>87.865139187264006</v>
      </c>
      <c r="AM5558">
        <v>92.978362406949699</v>
      </c>
      <c r="AN5558">
        <v>1.0000000209606099</v>
      </c>
    </row>
    <row r="5559" spans="1:40" x14ac:dyDescent="0.25">
      <c r="A5559" t="str">
        <f>"20190312151426771"</f>
        <v>20190312151426771</v>
      </c>
      <c r="B5559" t="str">
        <f>"1552374866765757"</f>
        <v>1552374866765757</v>
      </c>
      <c r="C5559" t="s">
        <v>40</v>
      </c>
      <c r="D5559">
        <v>5.1098429999999997</v>
      </c>
      <c r="E5559">
        <v>0.52173939999999996</v>
      </c>
      <c r="F5559" t="s">
        <v>68</v>
      </c>
      <c r="G5559">
        <v>-222.77170000000001</v>
      </c>
      <c r="H5559" s="1">
        <v>-8.1145709999999905E-7</v>
      </c>
      <c r="I5559">
        <v>-62.651789999999998</v>
      </c>
      <c r="J5559">
        <v>-244.5558</v>
      </c>
      <c r="K5559">
        <v>1.10724</v>
      </c>
      <c r="L5559">
        <v>-62.79956</v>
      </c>
      <c r="M5559">
        <v>0.99987170000000003</v>
      </c>
      <c r="N5559">
        <v>0</v>
      </c>
      <c r="O5559">
        <v>1.083686E-2</v>
      </c>
      <c r="P5559">
        <v>0.99762019999999996</v>
      </c>
      <c r="Q5559">
        <v>2.539346E-2</v>
      </c>
      <c r="R5559">
        <v>6.4104320000000006E-2</v>
      </c>
      <c r="S5559">
        <v>3.009811</v>
      </c>
      <c r="T5559">
        <v>-0.15094070000000001</v>
      </c>
      <c r="U5559">
        <v>2.0385739999999999E-2</v>
      </c>
      <c r="V5559">
        <v>-5.3067650000000001E-2</v>
      </c>
      <c r="W5559">
        <v>3.7489509999999997E-2</v>
      </c>
      <c r="X5559">
        <v>0.99788699999999997</v>
      </c>
      <c r="Y5559">
        <v>4.0461189999999999E-3</v>
      </c>
      <c r="Z5559">
        <v>-6.4453160000000004E-4</v>
      </c>
      <c r="AA5559">
        <v>0.99999159999999998</v>
      </c>
      <c r="AB5559">
        <v>35</v>
      </c>
      <c r="AC5559">
        <v>21.784099999999899</v>
      </c>
      <c r="AD5559">
        <v>-1.1072408114571</v>
      </c>
      <c r="AE5559">
        <v>0.14776999999999399</v>
      </c>
      <c r="AF5559">
        <v>8.8098755353043498E-2</v>
      </c>
      <c r="AG5559">
        <v>-1.1072408114571</v>
      </c>
      <c r="AH5559">
        <v>21.728290126039699</v>
      </c>
      <c r="AI5559">
        <v>92.917159019680398</v>
      </c>
      <c r="AJ5559">
        <v>89.767691835270696</v>
      </c>
      <c r="AK5559">
        <v>21.756661862671098</v>
      </c>
      <c r="AL5559">
        <v>87.851505940142104</v>
      </c>
      <c r="AM5559">
        <v>93.044123116447494</v>
      </c>
      <c r="AN5559">
        <v>1.0000000518027701</v>
      </c>
    </row>
    <row r="5560" spans="1:40" x14ac:dyDescent="0.25">
      <c r="A5560" t="str">
        <f>"20190312151426783"</f>
        <v>20190312151426783</v>
      </c>
      <c r="B5560" t="str">
        <f>"1552374866776493"</f>
        <v>1552374866776493</v>
      </c>
      <c r="C5560" t="s">
        <v>40</v>
      </c>
      <c r="D5560">
        <v>5.0235940000000001</v>
      </c>
      <c r="E5560">
        <v>0.53905249999999905</v>
      </c>
      <c r="F5560" t="s">
        <v>68</v>
      </c>
      <c r="G5560">
        <v>-222.6593</v>
      </c>
      <c r="H5560" s="1">
        <v>-7.6788150000000001E-7</v>
      </c>
      <c r="I5560">
        <v>-62.672789999999999</v>
      </c>
      <c r="J5560">
        <v>-244.376</v>
      </c>
      <c r="K5560">
        <v>1.1072569999999999</v>
      </c>
      <c r="L5560">
        <v>-62.79871</v>
      </c>
      <c r="M5560">
        <v>0.99988500000000002</v>
      </c>
      <c r="N5560">
        <v>0</v>
      </c>
      <c r="O5560">
        <v>9.5357359999999995E-3</v>
      </c>
      <c r="P5560">
        <v>0.99765619999999999</v>
      </c>
      <c r="Q5560">
        <v>2.549684E-2</v>
      </c>
      <c r="R5560">
        <v>6.3501310000000005E-2</v>
      </c>
      <c r="S5560">
        <v>3.0099179999999999</v>
      </c>
      <c r="T5560">
        <v>-0.152202</v>
      </c>
      <c r="U5560">
        <v>1.742554E-2</v>
      </c>
      <c r="V5560">
        <v>-5.3764529999999998E-2</v>
      </c>
      <c r="W5560">
        <v>3.7593870000000001E-2</v>
      </c>
      <c r="X5560">
        <v>0.99784569999999995</v>
      </c>
      <c r="Y5560">
        <v>3.7302780000000001E-3</v>
      </c>
      <c r="Z5560">
        <v>-5.7615789999999997E-4</v>
      </c>
      <c r="AA5560">
        <v>0.99999280000000002</v>
      </c>
      <c r="AB5560">
        <v>35</v>
      </c>
      <c r="AC5560">
        <v>21.7166999999999</v>
      </c>
      <c r="AD5560">
        <v>-1.1072577678815001</v>
      </c>
      <c r="AE5560">
        <v>0.12592</v>
      </c>
      <c r="AF5560">
        <v>8.0974348199990498E-2</v>
      </c>
      <c r="AG5560">
        <v>-1.1072577678815001</v>
      </c>
      <c r="AH5560">
        <v>21.6606058678803</v>
      </c>
      <c r="AI5560">
        <v>92.926306966285097</v>
      </c>
      <c r="AJ5560">
        <v>89.785810848653796</v>
      </c>
      <c r="AK5560">
        <v>21.689039240437801</v>
      </c>
      <c r="AL5560">
        <v>87.845522185186098</v>
      </c>
      <c r="AM5560">
        <v>93.084149019264601</v>
      </c>
      <c r="AN5560">
        <v>0.99999998237809296</v>
      </c>
    </row>
    <row r="5561" spans="1:40" x14ac:dyDescent="0.25">
      <c r="A5561" t="str">
        <f>"20190312151426794"</f>
        <v>20190312151426794</v>
      </c>
      <c r="B5561" t="str">
        <f>"1552374866786254"</f>
        <v>1552374866786254</v>
      </c>
      <c r="C5561" t="s">
        <v>40</v>
      </c>
      <c r="D5561">
        <v>5.2252179999999999</v>
      </c>
      <c r="E5561">
        <v>0.53985699999999903</v>
      </c>
      <c r="F5561" t="s">
        <v>41</v>
      </c>
      <c r="G5561">
        <v>-243.61109999999999</v>
      </c>
      <c r="H5561">
        <v>1.04443</v>
      </c>
      <c r="I5561">
        <v>-62.829940000000001</v>
      </c>
      <c r="J5561">
        <v>-244.2159</v>
      </c>
      <c r="K5561">
        <v>1.1072740000000001</v>
      </c>
      <c r="L5561">
        <v>-62.798279999999998</v>
      </c>
      <c r="M5561">
        <v>0.99989519999999998</v>
      </c>
      <c r="N5561">
        <v>0</v>
      </c>
      <c r="O5561">
        <v>8.3910369999999901E-3</v>
      </c>
      <c r="P5561">
        <v>0.99770340000000002</v>
      </c>
      <c r="Q5561">
        <v>2.5555479999999998E-2</v>
      </c>
      <c r="R5561">
        <v>6.272904E-2</v>
      </c>
      <c r="S5561">
        <v>3.0211939999999999</v>
      </c>
      <c r="T5561">
        <v>-0.24806900000000001</v>
      </c>
      <c r="U5561">
        <v>-0.1229553</v>
      </c>
      <c r="V5561">
        <v>-5.4135530000000001E-2</v>
      </c>
      <c r="W5561">
        <v>3.7651999999999998E-2</v>
      </c>
      <c r="X5561">
        <v>0.99782349999999997</v>
      </c>
      <c r="Y5561">
        <v>4.885482E-2</v>
      </c>
      <c r="Z5561">
        <v>-2.6891469999999998E-3</v>
      </c>
      <c r="AA5561">
        <v>0.99880219999999997</v>
      </c>
      <c r="AB5561">
        <v>35</v>
      </c>
      <c r="AC5561">
        <v>0.604800000000011</v>
      </c>
      <c r="AD5561">
        <v>-6.28439999999999E-2</v>
      </c>
      <c r="AE5561">
        <v>-3.1659999999995102E-2</v>
      </c>
      <c r="AF5561">
        <v>3.6342815697399E-2</v>
      </c>
      <c r="AG5561">
        <v>-6.28439999999999E-2</v>
      </c>
      <c r="AH5561">
        <v>0.598073261520225</v>
      </c>
      <c r="AI5561">
        <v>95.987516813666602</v>
      </c>
      <c r="AJ5561">
        <v>86.522612271649606</v>
      </c>
      <c r="AK5561">
        <v>0.60246310653371504</v>
      </c>
      <c r="AL5561">
        <v>87.8421893308862</v>
      </c>
      <c r="AM5561">
        <v>93.105458510204201</v>
      </c>
      <c r="AN5561">
        <v>1.00000003293231</v>
      </c>
    </row>
    <row r="5562" spans="1:40" x14ac:dyDescent="0.25">
      <c r="A5562" t="str">
        <f>"20190312151426804"</f>
        <v>20190312151426804</v>
      </c>
      <c r="B5562" t="str">
        <f>"1552374866796015"</f>
        <v>1552374866796015</v>
      </c>
      <c r="C5562" t="s">
        <v>40</v>
      </c>
      <c r="D5562">
        <v>4.9792740000000002</v>
      </c>
      <c r="E5562">
        <v>0.54067430000000005</v>
      </c>
      <c r="F5562" t="s">
        <v>41</v>
      </c>
      <c r="G5562">
        <v>-243.3032</v>
      </c>
      <c r="H5562">
        <v>1.041595</v>
      </c>
      <c r="I5562">
        <v>-62.837989999999998</v>
      </c>
      <c r="J5562">
        <v>-244.04339999999999</v>
      </c>
      <c r="K5562">
        <v>1.1072959999999901</v>
      </c>
      <c r="L5562">
        <v>-62.797820000000002</v>
      </c>
      <c r="M5562">
        <v>0.99990480000000004</v>
      </c>
      <c r="N5562">
        <v>0</v>
      </c>
      <c r="O5562">
        <v>7.1608929999999998E-3</v>
      </c>
      <c r="P5562">
        <v>0.99773690000000004</v>
      </c>
      <c r="Q5562">
        <v>2.5657940000000001E-2</v>
      </c>
      <c r="R5562">
        <v>6.2152369999999998E-2</v>
      </c>
      <c r="S5562">
        <v>3.020737</v>
      </c>
      <c r="T5562">
        <v>-0.21737500000000001</v>
      </c>
      <c r="U5562">
        <v>-0.1313782</v>
      </c>
      <c r="V5562">
        <v>-5.4787620000000002E-2</v>
      </c>
      <c r="W5562">
        <v>3.7755400000000001E-2</v>
      </c>
      <c r="X5562">
        <v>0.997784</v>
      </c>
      <c r="Y5562">
        <v>5.0455819999999998E-2</v>
      </c>
      <c r="Z5562">
        <v>-2.3266760000000002E-3</v>
      </c>
      <c r="AA5562">
        <v>0.99872360000000004</v>
      </c>
      <c r="AB5562">
        <v>35</v>
      </c>
      <c r="AC5562">
        <v>0.74019999999998698</v>
      </c>
      <c r="AD5562">
        <v>-6.5700999999999704E-2</v>
      </c>
      <c r="AE5562">
        <v>-4.0170000000010399E-2</v>
      </c>
      <c r="AF5562">
        <v>4.5115431616718001E-2</v>
      </c>
      <c r="AG5562">
        <v>-6.5700999999999704E-2</v>
      </c>
      <c r="AH5562">
        <v>0.734126484510634</v>
      </c>
      <c r="AI5562">
        <v>95.104509593600099</v>
      </c>
      <c r="AJ5562">
        <v>86.483334819397697</v>
      </c>
      <c r="AK5562">
        <v>0.73844005771010601</v>
      </c>
      <c r="AL5562">
        <v>87.836260730210299</v>
      </c>
      <c r="AM5562">
        <v>93.142914962550407</v>
      </c>
      <c r="AN5562">
        <v>1.00000003209521</v>
      </c>
    </row>
    <row r="5563" spans="1:40" x14ac:dyDescent="0.25">
      <c r="A5563" t="str">
        <f>"20190312151426815"</f>
        <v>20190312151426815</v>
      </c>
      <c r="B5563" t="str">
        <f>"1552374866806750"</f>
        <v>1552374866806750</v>
      </c>
      <c r="C5563" t="s">
        <v>40</v>
      </c>
      <c r="D5563">
        <v>4.9801960000000003</v>
      </c>
      <c r="E5563">
        <v>0.54130849999999997</v>
      </c>
      <c r="F5563" t="s">
        <v>41</v>
      </c>
      <c r="G5563">
        <v>-243.29079999999999</v>
      </c>
      <c r="H5563">
        <v>1.0504169999999999</v>
      </c>
      <c r="I5563">
        <v>-62.832599999999999</v>
      </c>
      <c r="J5563">
        <v>-243.87270000000001</v>
      </c>
      <c r="K5563">
        <v>1.1073189999999999</v>
      </c>
      <c r="L5563">
        <v>-62.797759999999997</v>
      </c>
      <c r="M5563">
        <v>0.99991249999999998</v>
      </c>
      <c r="N5563">
        <v>0</v>
      </c>
      <c r="O5563">
        <v>5.9661439999999996E-3</v>
      </c>
      <c r="P5563">
        <v>0.997776</v>
      </c>
      <c r="Q5563">
        <v>2.5828319999999998E-2</v>
      </c>
      <c r="R5563">
        <v>6.1449780000000002E-2</v>
      </c>
      <c r="S5563">
        <v>3.0213779999999999</v>
      </c>
      <c r="T5563">
        <v>-0.22836719999999999</v>
      </c>
      <c r="U5563">
        <v>-0.13952639999999999</v>
      </c>
      <c r="V5563">
        <v>-5.5278279999999999E-2</v>
      </c>
      <c r="W5563">
        <v>3.792504E-2</v>
      </c>
      <c r="X5563">
        <v>0.99775049999999998</v>
      </c>
      <c r="Y5563">
        <v>5.1925159999999998E-2</v>
      </c>
      <c r="Z5563">
        <v>-2.4086250000000002E-3</v>
      </c>
      <c r="AA5563">
        <v>0.99864799999999998</v>
      </c>
      <c r="AB5563">
        <v>35</v>
      </c>
      <c r="AC5563">
        <v>0.58190000000001796</v>
      </c>
      <c r="AD5563">
        <v>-5.6902000000000001E-2</v>
      </c>
      <c r="AE5563">
        <v>-3.4840000000002598E-2</v>
      </c>
      <c r="AF5563">
        <v>3.7949733855104098E-2</v>
      </c>
      <c r="AG5563">
        <v>-5.6902000000000001E-2</v>
      </c>
      <c r="AH5563">
        <v>0.576191779754196</v>
      </c>
      <c r="AI5563">
        <v>95.627860379053999</v>
      </c>
      <c r="AJ5563">
        <v>86.231769111005505</v>
      </c>
      <c r="AK5563">
        <v>0.58023700929876998</v>
      </c>
      <c r="AL5563">
        <v>87.8265341006353</v>
      </c>
      <c r="AM5563">
        <v>93.171110944663795</v>
      </c>
      <c r="AN5563">
        <v>1.0000000285745001</v>
      </c>
    </row>
    <row r="5564" spans="1:40" x14ac:dyDescent="0.25">
      <c r="A5564" t="str">
        <f>"20190312151426828"</f>
        <v>20190312151426828</v>
      </c>
      <c r="B5564" t="str">
        <f>"1552374866816509"</f>
        <v>1552374866816509</v>
      </c>
      <c r="C5564" t="s">
        <v>40</v>
      </c>
      <c r="D5564">
        <v>4.9896310000000001</v>
      </c>
      <c r="E5564">
        <v>0.54160730000000001</v>
      </c>
      <c r="F5564" t="s">
        <v>41</v>
      </c>
      <c r="G5564">
        <v>-242.99369999999999</v>
      </c>
      <c r="H5564">
        <v>1.0391459999999999</v>
      </c>
      <c r="I5564">
        <v>-62.840580000000003</v>
      </c>
      <c r="J5564">
        <v>-243.69130000000001</v>
      </c>
      <c r="K5564">
        <v>1.107343</v>
      </c>
      <c r="L5564">
        <v>-62.797730000000001</v>
      </c>
      <c r="M5564">
        <v>0.99991940000000001</v>
      </c>
      <c r="N5564">
        <v>0</v>
      </c>
      <c r="O5564">
        <v>4.7034930000000004E-3</v>
      </c>
      <c r="P5564">
        <v>0.99782499999999996</v>
      </c>
      <c r="Q5564">
        <v>2.6170800000000001E-2</v>
      </c>
      <c r="R5564">
        <v>6.0502E-2</v>
      </c>
      <c r="S5564">
        <v>3.0217740000000002</v>
      </c>
      <c r="T5564">
        <v>-0.23422560000000001</v>
      </c>
      <c r="U5564">
        <v>-0.14666750000000001</v>
      </c>
      <c r="V5564">
        <v>-5.5590599999999997E-2</v>
      </c>
      <c r="W5564">
        <v>3.8265729999999998E-2</v>
      </c>
      <c r="X5564">
        <v>0.9977201</v>
      </c>
      <c r="Y5564">
        <v>5.3004849999999999E-2</v>
      </c>
      <c r="Z5564">
        <v>-2.4138509999999998E-3</v>
      </c>
      <c r="AA5564">
        <v>0.99859140000000002</v>
      </c>
      <c r="AB5564">
        <v>35</v>
      </c>
      <c r="AC5564">
        <v>0.69760000000002198</v>
      </c>
      <c r="AD5564">
        <v>-6.8196999999999994E-2</v>
      </c>
      <c r="AE5564">
        <v>-4.2850000000001297E-2</v>
      </c>
      <c r="AF5564">
        <v>4.5695841227956002E-2</v>
      </c>
      <c r="AG5564">
        <v>-6.8196999999999994E-2</v>
      </c>
      <c r="AH5564">
        <v>0.69081349579654105</v>
      </c>
      <c r="AI5564">
        <v>95.625747318081594</v>
      </c>
      <c r="AJ5564">
        <v>86.215519522732393</v>
      </c>
      <c r="AK5564">
        <v>0.69567393704893699</v>
      </c>
      <c r="AL5564">
        <v>87.806999736285206</v>
      </c>
      <c r="AM5564">
        <v>93.189087681211006</v>
      </c>
      <c r="AN5564">
        <v>0.99999998942240098</v>
      </c>
    </row>
    <row r="5565" spans="1:40" x14ac:dyDescent="0.25">
      <c r="A5565" t="str">
        <f>"20190312151426837"</f>
        <v>20190312151426837</v>
      </c>
      <c r="B5565" t="str">
        <f>"1552374866826269"</f>
        <v>1552374866826269</v>
      </c>
      <c r="C5565" t="s">
        <v>40</v>
      </c>
      <c r="D5565">
        <v>4.9671500000000002</v>
      </c>
      <c r="E5565">
        <v>0.54201100000000002</v>
      </c>
      <c r="F5565" t="s">
        <v>41</v>
      </c>
      <c r="G5565">
        <v>-242.68799999999999</v>
      </c>
      <c r="H5565">
        <v>1.0288409999999999</v>
      </c>
      <c r="I5565">
        <v>-62.848289999999999</v>
      </c>
      <c r="J5565">
        <v>-243.5231</v>
      </c>
      <c r="K5565">
        <v>1.10737</v>
      </c>
      <c r="L5565">
        <v>-62.798000000000002</v>
      </c>
      <c r="M5565">
        <v>0.99992389999999998</v>
      </c>
      <c r="N5565">
        <v>0</v>
      </c>
      <c r="O5565">
        <v>3.5575310000000001E-3</v>
      </c>
      <c r="P5565">
        <v>0.99786280000000005</v>
      </c>
      <c r="Q5565">
        <v>2.6347619999999999E-2</v>
      </c>
      <c r="R5565">
        <v>5.9798270000000001E-2</v>
      </c>
      <c r="S5565">
        <v>3.021957</v>
      </c>
      <c r="T5565">
        <v>-0.2363547</v>
      </c>
      <c r="U5565">
        <v>-0.1518555</v>
      </c>
      <c r="V5565">
        <v>-5.6031709999999998E-2</v>
      </c>
      <c r="W5565">
        <v>3.8440589999999997E-2</v>
      </c>
      <c r="X5565">
        <v>0.99768869999999998</v>
      </c>
      <c r="Y5565">
        <v>5.3566339999999997E-2</v>
      </c>
      <c r="Z5565">
        <v>-2.3679410000000001E-3</v>
      </c>
      <c r="AA5565">
        <v>0.99856149999999999</v>
      </c>
      <c r="AB5565">
        <v>35</v>
      </c>
      <c r="AC5565">
        <v>0.83510000000001094</v>
      </c>
      <c r="AD5565">
        <v>-7.8529000000000002E-2</v>
      </c>
      <c r="AE5565">
        <v>-5.0290000000003901E-2</v>
      </c>
      <c r="AF5565">
        <v>5.2795616136878297E-2</v>
      </c>
      <c r="AG5565">
        <v>-7.8529000000000002E-2</v>
      </c>
      <c r="AH5565">
        <v>0.82762383794551597</v>
      </c>
      <c r="AI5565">
        <v>95.409346529949005</v>
      </c>
      <c r="AJ5565">
        <v>86.349944777958598</v>
      </c>
      <c r="AK5565">
        <v>0.83301584502333303</v>
      </c>
      <c r="AL5565">
        <v>87.796973613625894</v>
      </c>
      <c r="AM5565">
        <v>93.214441108886703</v>
      </c>
      <c r="AN5565">
        <v>0.99999998679638002</v>
      </c>
    </row>
    <row r="5566" spans="1:40" x14ac:dyDescent="0.25">
      <c r="A5566" t="str">
        <f>"20190312151426850"</f>
        <v>20190312151426850</v>
      </c>
      <c r="B5566" t="str">
        <f>"1552374866845789"</f>
        <v>1552374866845789</v>
      </c>
      <c r="C5566" t="s">
        <v>40</v>
      </c>
      <c r="D5566">
        <v>4.978421</v>
      </c>
      <c r="E5566">
        <v>0.54251070000000001</v>
      </c>
      <c r="F5566" t="s">
        <v>41</v>
      </c>
      <c r="G5566">
        <v>-242.68190000000001</v>
      </c>
      <c r="H5566">
        <v>1.041104</v>
      </c>
      <c r="I5566">
        <v>-62.841889999999999</v>
      </c>
      <c r="J5566">
        <v>-243.34379999999999</v>
      </c>
      <c r="K5566">
        <v>1.107399</v>
      </c>
      <c r="L5566">
        <v>-62.798430000000003</v>
      </c>
      <c r="M5566">
        <v>0.99992769999999997</v>
      </c>
      <c r="N5566">
        <v>0</v>
      </c>
      <c r="O5566">
        <v>2.3475079999999999E-3</v>
      </c>
      <c r="P5566">
        <v>0.997888</v>
      </c>
      <c r="Q5566">
        <v>2.6686919999999999E-2</v>
      </c>
      <c r="R5566">
        <v>5.922347E-2</v>
      </c>
      <c r="S5566">
        <v>3.0221100000000001</v>
      </c>
      <c r="T5566">
        <v>-0.23795469999999999</v>
      </c>
      <c r="U5566">
        <v>-0.15716550000000001</v>
      </c>
      <c r="V5566">
        <v>-5.666558E-2</v>
      </c>
      <c r="W5566">
        <v>3.8778890000000003E-2</v>
      </c>
      <c r="X5566">
        <v>0.99763979999999997</v>
      </c>
      <c r="Y5566">
        <v>5.4105140000000003E-2</v>
      </c>
      <c r="Z5566">
        <v>-2.3097870000000002E-3</v>
      </c>
      <c r="AA5566">
        <v>0.99853259999999999</v>
      </c>
      <c r="AB5566">
        <v>35</v>
      </c>
      <c r="AC5566">
        <v>0.66189999999997395</v>
      </c>
      <c r="AD5566">
        <v>-6.6294999999999896E-2</v>
      </c>
      <c r="AE5566">
        <v>-4.3459999999996002E-2</v>
      </c>
      <c r="AF5566">
        <v>4.4568621738416803E-2</v>
      </c>
      <c r="AG5566">
        <v>-6.6294999999999896E-2</v>
      </c>
      <c r="AH5566">
        <v>0.655251047146996</v>
      </c>
      <c r="AI5566">
        <v>95.764011262328594</v>
      </c>
      <c r="AJ5566">
        <v>86.108870256210096</v>
      </c>
      <c r="AK5566">
        <v>0.66010251011179799</v>
      </c>
      <c r="AL5566">
        <v>87.777575973326805</v>
      </c>
      <c r="AM5566">
        <v>93.250886564659098</v>
      </c>
      <c r="AN5566">
        <v>0.99999998040520399</v>
      </c>
    </row>
    <row r="5567" spans="1:40" x14ac:dyDescent="0.25">
      <c r="A5567" t="str">
        <f>"20190312151426861"</f>
        <v>20190312151426861</v>
      </c>
      <c r="B5567" t="str">
        <f>"1552374866856527"</f>
        <v>1552374866856527</v>
      </c>
      <c r="C5567" t="s">
        <v>40</v>
      </c>
      <c r="D5567">
        <v>4.9432989999999997</v>
      </c>
      <c r="E5567">
        <v>0.54248200000000002</v>
      </c>
      <c r="F5567" t="s">
        <v>41</v>
      </c>
      <c r="G5567">
        <v>-242.37690000000001</v>
      </c>
      <c r="H5567">
        <v>1.0293969999999999</v>
      </c>
      <c r="I5567">
        <v>-62.850740000000002</v>
      </c>
      <c r="J5567">
        <v>-243.1643</v>
      </c>
      <c r="K5567">
        <v>1.1074310000000001</v>
      </c>
      <c r="L5567">
        <v>-62.799069999999901</v>
      </c>
      <c r="M5567">
        <v>0.99992979999999998</v>
      </c>
      <c r="N5567">
        <v>0</v>
      </c>
      <c r="O5567">
        <v>1.157812E-3</v>
      </c>
      <c r="P5567">
        <v>0.99792590000000003</v>
      </c>
      <c r="Q5567">
        <v>2.6963290000000001E-2</v>
      </c>
      <c r="R5567">
        <v>5.8454869999999999E-2</v>
      </c>
      <c r="S5567">
        <v>3.0225369999999998</v>
      </c>
      <c r="T5567">
        <v>-0.2437375</v>
      </c>
      <c r="U5567">
        <v>-0.16284179999999901</v>
      </c>
      <c r="V5567">
        <v>-5.7085499999999997E-2</v>
      </c>
      <c r="W5567">
        <v>3.9052389999999999E-2</v>
      </c>
      <c r="X5567">
        <v>0.99760519999999997</v>
      </c>
      <c r="Y5567">
        <v>5.4772979999999999E-2</v>
      </c>
      <c r="Z5567">
        <v>-2.2964330000000001E-3</v>
      </c>
      <c r="AA5567">
        <v>0.99849619999999994</v>
      </c>
      <c r="AB5567">
        <v>35</v>
      </c>
      <c r="AC5567">
        <v>0.78739999999999</v>
      </c>
      <c r="AD5567">
        <v>-7.8034000000000103E-2</v>
      </c>
      <c r="AE5567">
        <v>-5.1670000000008501E-2</v>
      </c>
      <c r="AF5567">
        <v>5.2072454208047098E-2</v>
      </c>
      <c r="AG5567">
        <v>-7.8034000000000103E-2</v>
      </c>
      <c r="AH5567">
        <v>0.779714528204692</v>
      </c>
      <c r="AI5567">
        <v>95.702524974820193</v>
      </c>
      <c r="AJ5567">
        <v>86.179232321260201</v>
      </c>
      <c r="AK5567">
        <v>0.78533788342134303</v>
      </c>
      <c r="AL5567">
        <v>87.7618937177958</v>
      </c>
      <c r="AM5567">
        <v>93.275038336587798</v>
      </c>
      <c r="AN5567">
        <v>0.99999998927100098</v>
      </c>
    </row>
    <row r="5568" spans="1:40" x14ac:dyDescent="0.25">
      <c r="A5568" t="str">
        <f>"20190312151426873"</f>
        <v>20190312151426873</v>
      </c>
      <c r="B5568" t="str">
        <f>"1552374866866286"</f>
        <v>1552374866866286</v>
      </c>
      <c r="C5568" t="s">
        <v>40</v>
      </c>
      <c r="D5568">
        <v>4.9674060000000004</v>
      </c>
      <c r="E5568">
        <v>0.54243580000000002</v>
      </c>
      <c r="F5568" t="s">
        <v>41</v>
      </c>
      <c r="G5568">
        <v>-242.36969999999999</v>
      </c>
      <c r="H5568">
        <v>1.0429469999999901</v>
      </c>
      <c r="I5568">
        <v>-62.842660000000002</v>
      </c>
      <c r="J5568">
        <v>-242.99209999999999</v>
      </c>
      <c r="K5568">
        <v>1.1074619999999999</v>
      </c>
      <c r="L5568">
        <v>-62.799900000000001</v>
      </c>
      <c r="M5568">
        <v>0.9999304</v>
      </c>
      <c r="N5568">
        <v>0</v>
      </c>
      <c r="O5568" s="1">
        <v>4.2199710000000003E-5</v>
      </c>
      <c r="P5568">
        <v>0.99796799999999997</v>
      </c>
      <c r="Q5568">
        <v>2.7081040000000001E-2</v>
      </c>
      <c r="R5568">
        <v>5.7678100000000003E-2</v>
      </c>
      <c r="S5568">
        <v>3.0225070000000001</v>
      </c>
      <c r="T5568">
        <v>-0.2451265</v>
      </c>
      <c r="U5568">
        <v>-0.1649475</v>
      </c>
      <c r="V5568">
        <v>-5.7424419999999997E-2</v>
      </c>
      <c r="W5568">
        <v>3.9166279999999998E-2</v>
      </c>
      <c r="X5568">
        <v>0.9975813</v>
      </c>
      <c r="Y5568">
        <v>5.4356069999999999E-2</v>
      </c>
      <c r="Z5568">
        <v>-2.202323E-3</v>
      </c>
      <c r="AA5568">
        <v>0.99851920000000005</v>
      </c>
      <c r="AB5568">
        <v>35</v>
      </c>
      <c r="AC5568">
        <v>0.62239999999999895</v>
      </c>
      <c r="AD5568">
        <v>-6.4515000000000294E-2</v>
      </c>
      <c r="AE5568">
        <v>-4.2759999999994101E-2</v>
      </c>
      <c r="AF5568">
        <v>4.2333554943564701E-2</v>
      </c>
      <c r="AG5568">
        <v>-6.4515000000000294E-2</v>
      </c>
      <c r="AH5568">
        <v>0.61581273839350803</v>
      </c>
      <c r="AI5568">
        <v>95.966737609337997</v>
      </c>
      <c r="AJ5568">
        <v>86.067434397415994</v>
      </c>
      <c r="AK5568">
        <v>0.62062842657009498</v>
      </c>
      <c r="AL5568">
        <v>87.755363342351302</v>
      </c>
      <c r="AM5568">
        <v>93.294518485636402</v>
      </c>
      <c r="AN5568">
        <v>1.0000000058055301</v>
      </c>
    </row>
    <row r="5569" spans="1:40" x14ac:dyDescent="0.25">
      <c r="A5569" t="str">
        <f>"20190312151426883"</f>
        <v>20190312151426883</v>
      </c>
      <c r="B5569" t="str">
        <f>"1552374866876045"</f>
        <v>1552374866876045</v>
      </c>
      <c r="C5569" t="s">
        <v>40</v>
      </c>
      <c r="D5569">
        <v>4.9825670000000004</v>
      </c>
      <c r="E5569">
        <v>0.54241379999999995</v>
      </c>
      <c r="F5569" t="s">
        <v>41</v>
      </c>
      <c r="G5569">
        <v>-242.065</v>
      </c>
      <c r="H5569">
        <v>1.03145</v>
      </c>
      <c r="I5569">
        <v>-62.851309999999998</v>
      </c>
      <c r="J5569">
        <v>-242.80760000000001</v>
      </c>
      <c r="K5569">
        <v>1.107499</v>
      </c>
      <c r="L5569">
        <v>-62.800930000000001</v>
      </c>
      <c r="M5569">
        <v>0.99992979999999998</v>
      </c>
      <c r="N5569">
        <v>0</v>
      </c>
      <c r="O5569">
        <v>-1.136314E-3</v>
      </c>
      <c r="P5569">
        <v>0.99799059999999995</v>
      </c>
      <c r="Q5569">
        <v>2.7316449999999999E-2</v>
      </c>
      <c r="R5569">
        <v>5.7171729999999997E-2</v>
      </c>
      <c r="S5569">
        <v>3.0224760000000002</v>
      </c>
      <c r="T5569">
        <v>-0.2476883</v>
      </c>
      <c r="U5569">
        <v>-0.1669312</v>
      </c>
      <c r="V5569">
        <v>-5.8096490000000001E-2</v>
      </c>
      <c r="W5569">
        <v>3.9398790000000003E-2</v>
      </c>
      <c r="X5569">
        <v>0.99753320000000001</v>
      </c>
      <c r="Y5569">
        <v>5.383508E-2</v>
      </c>
      <c r="Z5569">
        <v>-2.1076020000000001E-3</v>
      </c>
      <c r="AA5569">
        <v>0.99854759999999998</v>
      </c>
      <c r="AB5569">
        <v>35</v>
      </c>
      <c r="AC5569">
        <v>0.74260000000001003</v>
      </c>
      <c r="AD5569">
        <v>-7.6049000000000005E-2</v>
      </c>
      <c r="AE5569">
        <v>-5.0379999999989801E-2</v>
      </c>
      <c r="AF5569">
        <v>4.9024289259578302E-2</v>
      </c>
      <c r="AG5569">
        <v>-7.6049000000000005E-2</v>
      </c>
      <c r="AH5569">
        <v>0.73498385302910096</v>
      </c>
      <c r="AI5569">
        <v>95.894384534757705</v>
      </c>
      <c r="AJ5569">
        <v>86.1839565307817</v>
      </c>
      <c r="AK5569">
        <v>0.74053230554237803</v>
      </c>
      <c r="AL5569">
        <v>87.742031142767999</v>
      </c>
      <c r="AM5569">
        <v>93.333149998464094</v>
      </c>
      <c r="AN5569">
        <v>0.99999997595301104</v>
      </c>
    </row>
    <row r="5570" spans="1:40" x14ac:dyDescent="0.25">
      <c r="A5570" t="str">
        <f>"20190312151426897"</f>
        <v>20190312151426897</v>
      </c>
      <c r="B5570" t="str">
        <f>"1552374866885805"</f>
        <v>1552374866885805</v>
      </c>
      <c r="C5570" t="s">
        <v>40</v>
      </c>
      <c r="D5570">
        <v>4.9028929999999997</v>
      </c>
      <c r="E5570">
        <v>0.54223509999999997</v>
      </c>
      <c r="F5570" t="s">
        <v>41</v>
      </c>
      <c r="G5570">
        <v>-242.0564</v>
      </c>
      <c r="H5570">
        <v>1.0454019999999999</v>
      </c>
      <c r="I5570">
        <v>-62.842959999999998</v>
      </c>
      <c r="J5570">
        <v>-242.6155</v>
      </c>
      <c r="K5570">
        <v>1.1075469999999901</v>
      </c>
      <c r="L5570">
        <v>-62.802280000000003</v>
      </c>
      <c r="M5570">
        <v>0.99992789999999998</v>
      </c>
      <c r="N5570">
        <v>0</v>
      </c>
      <c r="O5570">
        <v>-2.311277E-3</v>
      </c>
      <c r="P5570">
        <v>0.99802250000000003</v>
      </c>
      <c r="Q5570">
        <v>2.7486799999999999E-2</v>
      </c>
      <c r="R5570">
        <v>5.6534170000000002E-2</v>
      </c>
      <c r="S5570">
        <v>3.0225219999999999</v>
      </c>
      <c r="T5570">
        <v>-0.2496786</v>
      </c>
      <c r="U5570">
        <v>-0.1682739</v>
      </c>
      <c r="V5570">
        <v>-5.8635489999999998E-2</v>
      </c>
      <c r="W5570">
        <v>3.9563170000000002E-2</v>
      </c>
      <c r="X5570">
        <v>0.99749520000000003</v>
      </c>
      <c r="Y5570">
        <v>5.3106779999999999E-2</v>
      </c>
      <c r="Z5570">
        <v>-1.9975919999999999E-3</v>
      </c>
      <c r="AA5570">
        <v>0.9985868</v>
      </c>
      <c r="AB5570">
        <v>35</v>
      </c>
      <c r="AC5570">
        <v>0.55910000000000004</v>
      </c>
      <c r="AD5570">
        <v>-6.2144999999999902E-2</v>
      </c>
      <c r="AE5570">
        <v>-4.06799999999947E-2</v>
      </c>
      <c r="AF5570">
        <v>3.8909383052436103E-2</v>
      </c>
      <c r="AG5570">
        <v>-6.2144999999999902E-2</v>
      </c>
      <c r="AH5570">
        <v>0.55240367536957302</v>
      </c>
      <c r="AI5570">
        <v>96.403012633586499</v>
      </c>
      <c r="AJ5570">
        <v>85.970939997063198</v>
      </c>
      <c r="AK5570">
        <v>0.557248384184588</v>
      </c>
      <c r="AL5570">
        <v>87.732605612278206</v>
      </c>
      <c r="AM5570">
        <v>93.364131026299702</v>
      </c>
      <c r="AN5570">
        <v>1.0000000195655101</v>
      </c>
    </row>
    <row r="5571" spans="1:40" x14ac:dyDescent="0.25">
      <c r="A5571" t="str">
        <f>"20190312151426911"</f>
        <v>20190312151426911</v>
      </c>
      <c r="B5571" t="str">
        <f>"1552374866906302"</f>
        <v>1552374866906302</v>
      </c>
      <c r="C5571" t="s">
        <v>40</v>
      </c>
      <c r="D5571">
        <v>4.9225839999999996</v>
      </c>
      <c r="E5571">
        <v>0.54195499999999996</v>
      </c>
      <c r="F5571" t="s">
        <v>41</v>
      </c>
      <c r="G5571">
        <v>-241.7518</v>
      </c>
      <c r="H5571">
        <v>1.036016</v>
      </c>
      <c r="I5571">
        <v>-62.850659999999998</v>
      </c>
      <c r="J5571">
        <v>-242.40309999999999</v>
      </c>
      <c r="K5571">
        <v>1.1076029999999999</v>
      </c>
      <c r="L5571">
        <v>-62.803890000000003</v>
      </c>
      <c r="M5571">
        <v>0.99992409999999998</v>
      </c>
      <c r="N5571">
        <v>0</v>
      </c>
      <c r="O5571">
        <v>-3.5742299999999999E-3</v>
      </c>
      <c r="P5571">
        <v>0.9980753</v>
      </c>
      <c r="Q5571">
        <v>2.7420980000000001E-2</v>
      </c>
      <c r="R5571">
        <v>5.5623569999999997E-2</v>
      </c>
      <c r="S5571">
        <v>3.0224000000000002</v>
      </c>
      <c r="T5571">
        <v>-0.2502511</v>
      </c>
      <c r="U5571">
        <v>-0.16873170000000001</v>
      </c>
      <c r="V5571">
        <v>-5.8991450000000001E-2</v>
      </c>
      <c r="W5571">
        <v>3.9489789999999997E-2</v>
      </c>
      <c r="X5571">
        <v>0.99747710000000001</v>
      </c>
      <c r="Y5571">
        <v>5.2005780000000001E-2</v>
      </c>
      <c r="Z5571">
        <v>-1.852446E-3</v>
      </c>
      <c r="AA5571">
        <v>0.99864509999999995</v>
      </c>
      <c r="AB5571">
        <v>35</v>
      </c>
      <c r="AC5571">
        <v>0.651299999999992</v>
      </c>
      <c r="AD5571">
        <v>-7.1586999999999998E-2</v>
      </c>
      <c r="AE5571">
        <v>-4.6769999999995003E-2</v>
      </c>
      <c r="AF5571">
        <v>4.3913838032708E-2</v>
      </c>
      <c r="AG5571">
        <v>-7.1586999999999998E-2</v>
      </c>
      <c r="AH5571">
        <v>0.64372600242205302</v>
      </c>
      <c r="AI5571">
        <v>96.3310385359854</v>
      </c>
      <c r="AJ5571">
        <v>86.097430599286895</v>
      </c>
      <c r="AK5571">
        <v>0.64918124582741898</v>
      </c>
      <c r="AL5571">
        <v>87.736813220049797</v>
      </c>
      <c r="AM5571">
        <v>93.384567683835897</v>
      </c>
      <c r="AN5571">
        <v>0.99999999985587795</v>
      </c>
    </row>
    <row r="5572" spans="1:40" x14ac:dyDescent="0.25">
      <c r="A5572" t="str">
        <f>"20190312151426923"</f>
        <v>20190312151426923</v>
      </c>
      <c r="B5572" t="str">
        <f>"1552374866916062"</f>
        <v>1552374866916062</v>
      </c>
      <c r="C5572" t="s">
        <v>40</v>
      </c>
      <c r="D5572">
        <v>4.9815550000000002</v>
      </c>
      <c r="E5572">
        <v>0.54194180000000003</v>
      </c>
      <c r="F5572" t="s">
        <v>41</v>
      </c>
      <c r="G5572">
        <v>-241.44540000000001</v>
      </c>
      <c r="H5572">
        <v>1.0270570000000001</v>
      </c>
      <c r="I5572">
        <v>-62.857610000000001</v>
      </c>
      <c r="J5572">
        <v>-242.19069999999999</v>
      </c>
      <c r="K5572">
        <v>1.1076699999999999</v>
      </c>
      <c r="L5572">
        <v>-62.805790000000002</v>
      </c>
      <c r="M5572">
        <v>0.99991890000000005</v>
      </c>
      <c r="N5572">
        <v>0</v>
      </c>
      <c r="O5572">
        <v>-4.7839579999999996E-3</v>
      </c>
      <c r="P5572">
        <v>0.99811079999999996</v>
      </c>
      <c r="Q5572">
        <v>2.742029E-2</v>
      </c>
      <c r="R5572">
        <v>5.4978039999999999E-2</v>
      </c>
      <c r="S5572">
        <v>3.022186</v>
      </c>
      <c r="T5572">
        <v>-0.25412069999999998</v>
      </c>
      <c r="U5572">
        <v>-0.16928099999999999</v>
      </c>
      <c r="V5572">
        <v>-5.9559840000000003E-2</v>
      </c>
      <c r="W5572">
        <v>3.9480260000000003E-2</v>
      </c>
      <c r="X5572">
        <v>0.99744370000000004</v>
      </c>
      <c r="Y5572">
        <v>5.0985139999999998E-2</v>
      </c>
      <c r="Z5572">
        <v>-1.7368500000000001E-3</v>
      </c>
      <c r="AA5572">
        <v>0.99869790000000003</v>
      </c>
      <c r="AB5572">
        <v>35</v>
      </c>
      <c r="AC5572">
        <v>0.74529999999998597</v>
      </c>
      <c r="AD5572">
        <v>-8.0613000000000198E-2</v>
      </c>
      <c r="AE5572">
        <v>-5.1819999999999297E-2</v>
      </c>
      <c r="AF5572">
        <v>4.7698337517103701E-2</v>
      </c>
      <c r="AG5572">
        <v>-8.0613000000000198E-2</v>
      </c>
      <c r="AH5572">
        <v>0.73695920178991803</v>
      </c>
      <c r="AI5572">
        <v>96.229603926877203</v>
      </c>
      <c r="AJ5572">
        <v>86.296800627865096</v>
      </c>
      <c r="AK5572">
        <v>0.74288791366782203</v>
      </c>
      <c r="AL5572">
        <v>87.7373596754597</v>
      </c>
      <c r="AM5572">
        <v>93.417215663175696</v>
      </c>
      <c r="AN5572">
        <v>1.0000000000700899</v>
      </c>
    </row>
    <row r="5573" spans="1:40" x14ac:dyDescent="0.25">
      <c r="A5573" t="str">
        <f>"20190312151426940"</f>
        <v>20190312151426940</v>
      </c>
      <c r="B5573" t="str">
        <f>"1552374866936557"</f>
        <v>1552374866936557</v>
      </c>
      <c r="C5573" t="s">
        <v>40</v>
      </c>
      <c r="D5573">
        <v>4.9937559999999896</v>
      </c>
      <c r="E5573">
        <v>0.54192510000000005</v>
      </c>
      <c r="F5573" t="s">
        <v>41</v>
      </c>
      <c r="G5573">
        <v>-241.43600000000001</v>
      </c>
      <c r="H5573">
        <v>1.043658</v>
      </c>
      <c r="I5573">
        <v>-62.848559999999999</v>
      </c>
      <c r="J5573">
        <v>-241.9485</v>
      </c>
      <c r="K5573">
        <v>1.1077520000000001</v>
      </c>
      <c r="L5573">
        <v>-62.808199999999999</v>
      </c>
      <c r="M5573">
        <v>0.99991209999999997</v>
      </c>
      <c r="N5573">
        <v>0</v>
      </c>
      <c r="O5573">
        <v>-6.0759119999999897E-3</v>
      </c>
      <c r="P5573">
        <v>0.99813130000000005</v>
      </c>
      <c r="Q5573">
        <v>2.719092E-2</v>
      </c>
      <c r="R5573">
        <v>5.472453E-2</v>
      </c>
      <c r="S5573">
        <v>3.0221710000000002</v>
      </c>
      <c r="T5573">
        <v>-0.25628139999999999</v>
      </c>
      <c r="U5573">
        <v>-0.17102049999999999</v>
      </c>
      <c r="V5573">
        <v>-6.0605319999999997E-2</v>
      </c>
      <c r="W5573">
        <v>3.9240610000000002E-2</v>
      </c>
      <c r="X5573">
        <v>0.9973902</v>
      </c>
      <c r="Y5573">
        <v>5.0272450000000003E-2</v>
      </c>
      <c r="Z5573">
        <v>-1.612133E-3</v>
      </c>
      <c r="AA5573">
        <v>0.99873420000000002</v>
      </c>
      <c r="AB5573">
        <v>35</v>
      </c>
      <c r="AC5573">
        <v>0.51250000000001705</v>
      </c>
      <c r="AD5573">
        <v>-6.4094000000000095E-2</v>
      </c>
      <c r="AE5573">
        <v>-4.0359999999999702E-2</v>
      </c>
      <c r="AF5573">
        <v>3.6675057776817503E-2</v>
      </c>
      <c r="AG5573">
        <v>-6.4094000000000095E-2</v>
      </c>
      <c r="AH5573">
        <v>0.50488781855387899</v>
      </c>
      <c r="AI5573">
        <v>97.216017563068903</v>
      </c>
      <c r="AJ5573">
        <v>85.845331038359504</v>
      </c>
      <c r="AK5573">
        <v>0.510259551623512</v>
      </c>
      <c r="AL5573">
        <v>87.751101304061507</v>
      </c>
      <c r="AM5573">
        <v>93.477239700974593</v>
      </c>
      <c r="AN5573">
        <v>1.00000002067075</v>
      </c>
    </row>
    <row r="5574" spans="1:40" x14ac:dyDescent="0.25">
      <c r="A5574" t="str">
        <f>"20190312151426952"</f>
        <v>20190312151426952</v>
      </c>
      <c r="B5574" t="str">
        <f>"1552374866946318"</f>
        <v>1552374866946318</v>
      </c>
      <c r="C5574" t="s">
        <v>40</v>
      </c>
      <c r="D5574">
        <v>4.8840649999999997</v>
      </c>
      <c r="E5574">
        <v>0.54181179999999995</v>
      </c>
      <c r="F5574" t="s">
        <v>41</v>
      </c>
      <c r="G5574">
        <v>-241.1292</v>
      </c>
      <c r="H5574">
        <v>1.037455</v>
      </c>
      <c r="I5574">
        <v>-62.855089999999997</v>
      </c>
      <c r="J5574">
        <v>-241.75569999999999</v>
      </c>
      <c r="K5574">
        <v>1.107828</v>
      </c>
      <c r="L5574">
        <v>-62.81024</v>
      </c>
      <c r="M5574">
        <v>0.99990579999999996</v>
      </c>
      <c r="N5574">
        <v>0</v>
      </c>
      <c r="O5574">
        <v>-7.0481719999999897E-3</v>
      </c>
      <c r="P5574">
        <v>0.99815889999999996</v>
      </c>
      <c r="Q5574">
        <v>2.7040290000000002E-2</v>
      </c>
      <c r="R5574">
        <v>5.4294990000000001E-2</v>
      </c>
      <c r="S5574">
        <v>3.0220950000000002</v>
      </c>
      <c r="T5574">
        <v>-0.25915369999999999</v>
      </c>
      <c r="U5574">
        <v>-0.17175289999999999</v>
      </c>
      <c r="V5574">
        <v>-6.1154050000000001E-2</v>
      </c>
      <c r="W5574">
        <v>3.9079559999999999E-2</v>
      </c>
      <c r="X5574">
        <v>0.997363</v>
      </c>
      <c r="Y5574">
        <v>4.9546689999999997E-2</v>
      </c>
      <c r="Z5574">
        <v>-1.5159780000000001E-3</v>
      </c>
      <c r="AA5574">
        <v>0.99877070000000001</v>
      </c>
      <c r="AB5574">
        <v>35</v>
      </c>
      <c r="AC5574">
        <v>0.62649999999999295</v>
      </c>
      <c r="AD5574">
        <v>-7.0373000000000005E-2</v>
      </c>
      <c r="AE5574">
        <v>-4.4850000000003797E-2</v>
      </c>
      <c r="AF5574">
        <v>3.9931635157744498E-2</v>
      </c>
      <c r="AG5574">
        <v>-7.0373000000000005E-2</v>
      </c>
      <c r="AH5574">
        <v>0.61902984369459801</v>
      </c>
      <c r="AI5574">
        <v>96.472358499254298</v>
      </c>
      <c r="AJ5574">
        <v>86.3091462353363</v>
      </c>
      <c r="AK5574">
        <v>0.62429547651727302</v>
      </c>
      <c r="AL5574">
        <v>87.760335807867406</v>
      </c>
      <c r="AM5574">
        <v>93.508740320233997</v>
      </c>
      <c r="AN5574">
        <v>0.99999999180509702</v>
      </c>
    </row>
    <row r="5575" spans="1:40" x14ac:dyDescent="0.25">
      <c r="A5575" t="str">
        <f>"20190312151426963"</f>
        <v>20190312151426963</v>
      </c>
      <c r="B5575" t="str">
        <f>"1552374866956078"</f>
        <v>1552374866956078</v>
      </c>
      <c r="C5575" t="s">
        <v>40</v>
      </c>
      <c r="D5575">
        <v>4.9412799999999999</v>
      </c>
      <c r="E5575">
        <v>0.54177710000000001</v>
      </c>
      <c r="F5575" t="s">
        <v>41</v>
      </c>
      <c r="G5575">
        <v>-240.82329999999999</v>
      </c>
      <c r="H5575">
        <v>1.027323</v>
      </c>
      <c r="I5575">
        <v>-62.86345</v>
      </c>
      <c r="J5575">
        <v>-241.56739999999999</v>
      </c>
      <c r="K5575">
        <v>1.107907</v>
      </c>
      <c r="L5575">
        <v>-62.812379999999997</v>
      </c>
      <c r="M5575">
        <v>0.99989890000000003</v>
      </c>
      <c r="N5575">
        <v>0</v>
      </c>
      <c r="O5575">
        <v>-7.95494699999999E-3</v>
      </c>
      <c r="P5575">
        <v>0.99817199999999995</v>
      </c>
      <c r="Q5575">
        <v>2.6928489999999999E-2</v>
      </c>
      <c r="R5575">
        <v>5.4107009999999997E-2</v>
      </c>
      <c r="S5575">
        <v>3.021973</v>
      </c>
      <c r="T5575">
        <v>-0.26088460000000002</v>
      </c>
      <c r="U5575">
        <v>-0.17208860000000001</v>
      </c>
      <c r="V5575">
        <v>-6.1878639999999999E-2</v>
      </c>
      <c r="W5575">
        <v>3.895709E-2</v>
      </c>
      <c r="X5575">
        <v>0.99732310000000002</v>
      </c>
      <c r="Y5575">
        <v>4.8758000000000003E-2</v>
      </c>
      <c r="Z5575">
        <v>-1.414102E-3</v>
      </c>
      <c r="AA5575">
        <v>0.99880959999999996</v>
      </c>
      <c r="AB5575">
        <v>35</v>
      </c>
      <c r="AC5575">
        <v>0.74410000000000298</v>
      </c>
      <c r="AD5575">
        <v>-8.0583999999999906E-2</v>
      </c>
      <c r="AE5575">
        <v>-5.1069999999995702E-2</v>
      </c>
      <c r="AF5575">
        <v>4.4627743085000199E-2</v>
      </c>
      <c r="AG5575">
        <v>-8.0583999999999906E-2</v>
      </c>
      <c r="AH5575">
        <v>0.73589243815136396</v>
      </c>
      <c r="AI5575">
        <v>96.237912631274995</v>
      </c>
      <c r="AJ5575">
        <v>86.529583053268894</v>
      </c>
      <c r="AK5575">
        <v>0.74163542056540199</v>
      </c>
      <c r="AL5575">
        <v>87.767358173107596</v>
      </c>
      <c r="AM5575">
        <v>93.550349948083806</v>
      </c>
      <c r="AN5575">
        <v>0.99999999337156298</v>
      </c>
    </row>
    <row r="5576" spans="1:40" x14ac:dyDescent="0.25">
      <c r="A5576" t="str">
        <f>"20190312151426975"</f>
        <v>20190312151426975</v>
      </c>
      <c r="B5576" t="str">
        <f>"1552374866965838"</f>
        <v>1552374866965838</v>
      </c>
      <c r="C5576" t="s">
        <v>40</v>
      </c>
      <c r="D5576">
        <v>5.0014649999999996</v>
      </c>
      <c r="E5576">
        <v>0.54181489999999999</v>
      </c>
      <c r="F5576" t="s">
        <v>41</v>
      </c>
      <c r="G5576">
        <v>-240.8151</v>
      </c>
      <c r="H5576">
        <v>1.042529</v>
      </c>
      <c r="I5576">
        <v>-62.855400000000003</v>
      </c>
      <c r="J5576">
        <v>-241.39699999999999</v>
      </c>
      <c r="K5576">
        <v>1.107977</v>
      </c>
      <c r="L5576">
        <v>-62.814450000000001</v>
      </c>
      <c r="M5576">
        <v>0.99989269999999997</v>
      </c>
      <c r="N5576">
        <v>0</v>
      </c>
      <c r="O5576">
        <v>-8.7021830000000005E-3</v>
      </c>
      <c r="P5576">
        <v>0.99819170000000002</v>
      </c>
      <c r="Q5576">
        <v>2.6820179999999999E-2</v>
      </c>
      <c r="R5576">
        <v>5.3798140000000001E-2</v>
      </c>
      <c r="S5576">
        <v>3.0218959999999999</v>
      </c>
      <c r="T5576">
        <v>-0.26257609999999998</v>
      </c>
      <c r="U5576">
        <v>-0.17233280000000001</v>
      </c>
      <c r="V5576">
        <v>-6.2323089999999998E-2</v>
      </c>
      <c r="W5576">
        <v>3.8837499999999997E-2</v>
      </c>
      <c r="X5576">
        <v>0.99730010000000002</v>
      </c>
      <c r="Y5576">
        <v>4.8096750000000001E-2</v>
      </c>
      <c r="Z5576">
        <v>-1.329869E-3</v>
      </c>
      <c r="AA5576">
        <v>0.9988418</v>
      </c>
      <c r="AB5576">
        <v>35</v>
      </c>
      <c r="AC5576">
        <v>0.58190000000001796</v>
      </c>
      <c r="AD5576">
        <v>-6.5447999999999895E-2</v>
      </c>
      <c r="AE5576">
        <v>-4.09500000000022E-2</v>
      </c>
      <c r="AF5576">
        <v>3.5438207489189397E-2</v>
      </c>
      <c r="AG5576">
        <v>-6.5447999999999895E-2</v>
      </c>
      <c r="AH5576">
        <v>0.57499639067128305</v>
      </c>
      <c r="AI5576">
        <v>96.481455577318698</v>
      </c>
      <c r="AJ5576">
        <v>86.473204541840104</v>
      </c>
      <c r="AK5576">
        <v>0.57979320152882896</v>
      </c>
      <c r="AL5576">
        <v>87.774215388985596</v>
      </c>
      <c r="AM5576">
        <v>93.575867041937897</v>
      </c>
      <c r="AN5576">
        <v>1.0000000042067001</v>
      </c>
    </row>
    <row r="5577" spans="1:40" x14ac:dyDescent="0.25">
      <c r="A5577" t="str">
        <f>"20190312151426987"</f>
        <v>20190312151426987</v>
      </c>
      <c r="B5577" t="str">
        <f>"1552374866976573"</f>
        <v>1552374866976573</v>
      </c>
      <c r="C5577" t="s">
        <v>40</v>
      </c>
      <c r="D5577">
        <v>4.9899879999999897</v>
      </c>
      <c r="E5577">
        <v>0.54183740000000002</v>
      </c>
      <c r="F5577" t="s">
        <v>41</v>
      </c>
      <c r="G5577">
        <v>-240.51079999999999</v>
      </c>
      <c r="H5577">
        <v>1.0305839999999999</v>
      </c>
      <c r="I5577">
        <v>-62.86551</v>
      </c>
      <c r="J5577">
        <v>-241.21010000000001</v>
      </c>
      <c r="K5577">
        <v>1.108063</v>
      </c>
      <c r="L5577">
        <v>-62.816800000000001</v>
      </c>
      <c r="M5577">
        <v>0.99988549999999998</v>
      </c>
      <c r="N5577">
        <v>0</v>
      </c>
      <c r="O5577">
        <v>-9.4964720000000006E-3</v>
      </c>
      <c r="P5577">
        <v>0.99820609999999999</v>
      </c>
      <c r="Q5577">
        <v>2.677475E-2</v>
      </c>
      <c r="R5577">
        <v>5.3551809999999998E-2</v>
      </c>
      <c r="S5577">
        <v>3.0218959999999999</v>
      </c>
      <c r="T5577">
        <v>-0.26381670000000002</v>
      </c>
      <c r="U5577">
        <v>-0.17352290000000001</v>
      </c>
      <c r="V5577">
        <v>-6.2877710000000003E-2</v>
      </c>
      <c r="W5577">
        <v>3.8779840000000003E-2</v>
      </c>
      <c r="X5577">
        <v>0.99726749999999997</v>
      </c>
      <c r="Y5577">
        <v>4.7698539999999998E-2</v>
      </c>
      <c r="Z5577">
        <v>-1.2496300000000001E-3</v>
      </c>
      <c r="AA5577">
        <v>0.998861</v>
      </c>
      <c r="AB5577">
        <v>35</v>
      </c>
      <c r="AC5577">
        <v>0.69930000000002202</v>
      </c>
      <c r="AD5577">
        <v>-7.7479000000000006E-2</v>
      </c>
      <c r="AE5577">
        <v>-4.8709999999999802E-2</v>
      </c>
      <c r="AF5577">
        <v>4.1558765987242098E-2</v>
      </c>
      <c r="AG5577">
        <v>-7.7479000000000006E-2</v>
      </c>
      <c r="AH5577">
        <v>0.69128612413139501</v>
      </c>
      <c r="AI5577">
        <v>96.383563731169801</v>
      </c>
      <c r="AJ5577">
        <v>86.559630823723595</v>
      </c>
      <c r="AK5577">
        <v>0.69685481406673899</v>
      </c>
      <c r="AL5577">
        <v>87.777521488187702</v>
      </c>
      <c r="AM5577">
        <v>93.6077230221658</v>
      </c>
      <c r="AN5577">
        <v>0.99999997448075895</v>
      </c>
    </row>
    <row r="5578" spans="1:40" x14ac:dyDescent="0.25">
      <c r="A5578" t="str">
        <f>"20190312151426999"</f>
        <v>20190312151426999</v>
      </c>
      <c r="B5578" t="str">
        <f>"1552374866996093"</f>
        <v>1552374866996093</v>
      </c>
      <c r="C5578" t="s">
        <v>40</v>
      </c>
      <c r="D5578">
        <v>4.9759549999999999</v>
      </c>
      <c r="E5578">
        <v>0.54167129999999997</v>
      </c>
      <c r="F5578" t="s">
        <v>41</v>
      </c>
      <c r="G5578">
        <v>-240.20509999999999</v>
      </c>
      <c r="H5578">
        <v>1.0201020000000001</v>
      </c>
      <c r="I5578">
        <v>-62.874679999999998</v>
      </c>
      <c r="J5578">
        <v>-241.0086</v>
      </c>
      <c r="K5578">
        <v>1.10816</v>
      </c>
      <c r="L5578">
        <v>-62.819459999999999</v>
      </c>
      <c r="M5578">
        <v>0.99987800000000004</v>
      </c>
      <c r="N5578">
        <v>0</v>
      </c>
      <c r="O5578">
        <v>-1.0258720000000001E-2</v>
      </c>
      <c r="P5578">
        <v>0.99823280000000003</v>
      </c>
      <c r="Q5578">
        <v>2.6780120000000001E-2</v>
      </c>
      <c r="R5578">
        <v>5.3046179999999998E-2</v>
      </c>
      <c r="S5578">
        <v>3.0218349999999998</v>
      </c>
      <c r="T5578">
        <v>-0.26450059999999997</v>
      </c>
      <c r="U5578">
        <v>-0.17428589999999999</v>
      </c>
      <c r="V5578">
        <v>-6.3142610000000002E-2</v>
      </c>
      <c r="W5578">
        <v>3.8769360000000003E-2</v>
      </c>
      <c r="X5578">
        <v>0.9972512</v>
      </c>
      <c r="Y5578">
        <v>4.7193649999999997E-2</v>
      </c>
      <c r="Z5578">
        <v>-1.164308E-3</v>
      </c>
      <c r="AA5578">
        <v>0.99888509999999997</v>
      </c>
      <c r="AB5578">
        <v>35</v>
      </c>
      <c r="AC5578">
        <v>0.80350000000001298</v>
      </c>
      <c r="AD5578">
        <v>-8.80579999999999E-2</v>
      </c>
      <c r="AE5578">
        <v>-5.5220000000005598E-2</v>
      </c>
      <c r="AF5578">
        <v>4.6418742751044302E-2</v>
      </c>
      <c r="AG5578">
        <v>-8.80579999999999E-2</v>
      </c>
      <c r="AH5578">
        <v>0.79452633338949197</v>
      </c>
      <c r="AI5578">
        <v>96.313648506883794</v>
      </c>
      <c r="AJ5578">
        <v>86.656399985389598</v>
      </c>
      <c r="AK5578">
        <v>0.80073778822529496</v>
      </c>
      <c r="AL5578">
        <v>87.778122465905099</v>
      </c>
      <c r="AM5578">
        <v>93.622940804027706</v>
      </c>
      <c r="AN5578">
        <v>1.0000000041869299</v>
      </c>
    </row>
    <row r="5579" spans="1:40" x14ac:dyDescent="0.25">
      <c r="A5579" t="str">
        <f>"20190312151427011"</f>
        <v>20190312151427011</v>
      </c>
      <c r="B5579" t="str">
        <f>"1552374867005854"</f>
        <v>1552374867005854</v>
      </c>
      <c r="C5579" t="s">
        <v>40</v>
      </c>
      <c r="D5579">
        <v>4.9678740000000001</v>
      </c>
      <c r="E5579">
        <v>0.54162200000000005</v>
      </c>
      <c r="F5579" t="s">
        <v>41</v>
      </c>
      <c r="G5579">
        <v>-240.1969</v>
      </c>
      <c r="H5579">
        <v>1.03631299999999</v>
      </c>
      <c r="I5579">
        <v>-62.866199999999999</v>
      </c>
      <c r="J5579">
        <v>-240.83760000000001</v>
      </c>
      <c r="K5579">
        <v>1.1082449999999999</v>
      </c>
      <c r="L5579">
        <v>-62.821779999999997</v>
      </c>
      <c r="M5579">
        <v>0.99987170000000003</v>
      </c>
      <c r="N5579">
        <v>0</v>
      </c>
      <c r="O5579">
        <v>-1.086238E-2</v>
      </c>
      <c r="P5579">
        <v>0.998224</v>
      </c>
      <c r="Q5579">
        <v>2.6872159999999999E-2</v>
      </c>
      <c r="R5579">
        <v>5.3171089999999997E-2</v>
      </c>
      <c r="S5579">
        <v>3.0217740000000002</v>
      </c>
      <c r="T5579">
        <v>-0.26752150000000002</v>
      </c>
      <c r="U5579">
        <v>-0.1743469</v>
      </c>
      <c r="V5579">
        <v>-6.3876619999999995E-2</v>
      </c>
      <c r="W5579">
        <v>3.8849420000000003E-2</v>
      </c>
      <c r="X5579">
        <v>0.99720129999999996</v>
      </c>
      <c r="Y5579">
        <v>4.661324E-2</v>
      </c>
      <c r="Z5579">
        <v>-1.0986679999999999E-3</v>
      </c>
      <c r="AA5579">
        <v>0.99891240000000003</v>
      </c>
      <c r="AB5579">
        <v>35</v>
      </c>
      <c r="AC5579">
        <v>0.64070000000000904</v>
      </c>
      <c r="AD5579">
        <v>-7.1932000000000301E-2</v>
      </c>
      <c r="AE5579">
        <v>-4.4419999999995199E-2</v>
      </c>
      <c r="AF5579">
        <v>3.6993308362029902E-2</v>
      </c>
      <c r="AG5579">
        <v>-7.1932000000000301E-2</v>
      </c>
      <c r="AH5579">
        <v>0.63320155789808497</v>
      </c>
      <c r="AI5579">
        <v>96.470105129653106</v>
      </c>
      <c r="AJ5579">
        <v>86.656429787174403</v>
      </c>
      <c r="AK5579">
        <v>0.638347029766827</v>
      </c>
      <c r="AL5579">
        <v>87.773531823192599</v>
      </c>
      <c r="AM5579">
        <v>93.665124946533297</v>
      </c>
      <c r="AN5579">
        <v>0.99999996636932398</v>
      </c>
    </row>
    <row r="5580" spans="1:40" x14ac:dyDescent="0.25">
      <c r="A5580" t="str">
        <f>"20190312151427021"</f>
        <v>20190312151427021</v>
      </c>
      <c r="B5580" t="str">
        <f>"1552374867016590"</f>
        <v>1552374867016590</v>
      </c>
      <c r="C5580" t="s">
        <v>40</v>
      </c>
      <c r="D5580">
        <v>4.8948349999999996</v>
      </c>
      <c r="E5580">
        <v>0.54151280000000002</v>
      </c>
      <c r="F5580" t="s">
        <v>41</v>
      </c>
      <c r="G5580">
        <v>-239.892</v>
      </c>
      <c r="H5580">
        <v>1.0242610000000001</v>
      </c>
      <c r="I5580">
        <v>-62.876330000000003</v>
      </c>
      <c r="J5580">
        <v>-240.6739</v>
      </c>
      <c r="K5580">
        <v>1.1083229999999999</v>
      </c>
      <c r="L5580">
        <v>-62.824039999999997</v>
      </c>
      <c r="M5580">
        <v>0.99986580000000003</v>
      </c>
      <c r="N5580">
        <v>0</v>
      </c>
      <c r="O5580">
        <v>-1.1399609999999999E-2</v>
      </c>
      <c r="P5580">
        <v>0.99822759999999999</v>
      </c>
      <c r="Q5580">
        <v>2.665499E-2</v>
      </c>
      <c r="R5580">
        <v>5.321327E-2</v>
      </c>
      <c r="S5580">
        <v>3.0217900000000002</v>
      </c>
      <c r="T5580">
        <v>-0.26830510000000002</v>
      </c>
      <c r="U5580">
        <v>-0.17349239999999999</v>
      </c>
      <c r="V5580">
        <v>-6.4462989999999998E-2</v>
      </c>
      <c r="W5580">
        <v>3.8620700000000001E-2</v>
      </c>
      <c r="X5580">
        <v>0.99717250000000002</v>
      </c>
      <c r="Y5580">
        <v>4.5799159999999998E-2</v>
      </c>
      <c r="Z5580">
        <v>-1.0182749999999999E-3</v>
      </c>
      <c r="AA5580">
        <v>0.99895009999999995</v>
      </c>
      <c r="AB5580">
        <v>35</v>
      </c>
      <c r="AC5580">
        <v>0.78190000000000703</v>
      </c>
      <c r="AD5580">
        <v>-8.4061999999999804E-2</v>
      </c>
      <c r="AE5580">
        <v>-5.2289999999999198E-2</v>
      </c>
      <c r="AF5580">
        <v>4.28792220787029E-2</v>
      </c>
      <c r="AG5580">
        <v>-8.4061999999999804E-2</v>
      </c>
      <c r="AH5580">
        <v>0.77354420386743294</v>
      </c>
      <c r="AI5580">
        <v>96.192632149142995</v>
      </c>
      <c r="AJ5580">
        <v>86.827218513989493</v>
      </c>
      <c r="AK5580">
        <v>0.77927895061202301</v>
      </c>
      <c r="AL5580">
        <v>87.786646464628703</v>
      </c>
      <c r="AM5580">
        <v>93.698783354393299</v>
      </c>
      <c r="AN5580">
        <v>1.0000000151522399</v>
      </c>
    </row>
    <row r="5581" spans="1:40" x14ac:dyDescent="0.25">
      <c r="A5581" t="str">
        <f>"20190312151427033"</f>
        <v>20190312151427033</v>
      </c>
      <c r="B5581" t="str">
        <f>"1552374867026350"</f>
        <v>1552374867026350</v>
      </c>
      <c r="C5581" t="s">
        <v>40</v>
      </c>
      <c r="D5581">
        <v>4.9748789999999996</v>
      </c>
      <c r="E5581">
        <v>0.54156700000000002</v>
      </c>
      <c r="F5581" t="s">
        <v>41</v>
      </c>
      <c r="G5581">
        <v>-239.8852</v>
      </c>
      <c r="H5581">
        <v>1.0378620000000001</v>
      </c>
      <c r="I5581">
        <v>-62.869320000000002</v>
      </c>
      <c r="J5581">
        <v>-240.49979999999999</v>
      </c>
      <c r="K5581">
        <v>1.1084069999999999</v>
      </c>
      <c r="L5581">
        <v>-62.826540000000001</v>
      </c>
      <c r="M5581">
        <v>0.99985959999999996</v>
      </c>
      <c r="N5581">
        <v>0</v>
      </c>
      <c r="O5581">
        <v>-1.1911720000000001E-2</v>
      </c>
      <c r="P5581">
        <v>0.99823459999999997</v>
      </c>
      <c r="Q5581">
        <v>2.640752E-2</v>
      </c>
      <c r="R5581">
        <v>5.3202199999999901E-2</v>
      </c>
      <c r="S5581">
        <v>3.021744</v>
      </c>
      <c r="T5581">
        <v>-0.2698507</v>
      </c>
      <c r="U5581">
        <v>-0.17248540000000001</v>
      </c>
      <c r="V5581">
        <v>-6.4971440000000005E-2</v>
      </c>
      <c r="W5581">
        <v>3.8360060000000001E-2</v>
      </c>
      <c r="X5581">
        <v>0.99714950000000002</v>
      </c>
      <c r="Y5581">
        <v>4.496033E-2</v>
      </c>
      <c r="Z5581">
        <v>-9.4119250000000005E-4</v>
      </c>
      <c r="AA5581">
        <v>0.99898830000000005</v>
      </c>
      <c r="AB5581">
        <v>35</v>
      </c>
      <c r="AC5581">
        <v>0.61459999999999504</v>
      </c>
      <c r="AD5581">
        <v>-7.0544999999999802E-2</v>
      </c>
      <c r="AE5581">
        <v>-4.2779999999993303E-2</v>
      </c>
      <c r="AF5581">
        <v>3.4996658539042297E-2</v>
      </c>
      <c r="AG5581">
        <v>-7.0544999999999802E-2</v>
      </c>
      <c r="AH5581">
        <v>0.60710601338794101</v>
      </c>
      <c r="AI5581">
        <v>96.617090357647399</v>
      </c>
      <c r="AJ5581">
        <v>86.700832824833398</v>
      </c>
      <c r="AK5581">
        <v>0.61219202430748598</v>
      </c>
      <c r="AL5581">
        <v>87.801590975859099</v>
      </c>
      <c r="AM5581">
        <v>93.727961202079996</v>
      </c>
      <c r="AN5581">
        <v>0.99999995378456197</v>
      </c>
    </row>
    <row r="5582" spans="1:40" x14ac:dyDescent="0.25">
      <c r="A5582" t="str">
        <f>"20190312151427044"</f>
        <v>20190312151427044</v>
      </c>
      <c r="B5582" t="str">
        <f>"1552374867036111"</f>
        <v>1552374867036111</v>
      </c>
      <c r="C5582" t="s">
        <v>40</v>
      </c>
      <c r="D5582">
        <v>4.888744</v>
      </c>
      <c r="E5582">
        <v>0.54148839999999998</v>
      </c>
      <c r="F5582" t="s">
        <v>41</v>
      </c>
      <c r="G5582">
        <v>-239.58019999999999</v>
      </c>
      <c r="H5582">
        <v>1.025957</v>
      </c>
      <c r="I5582">
        <v>-62.879440000000002</v>
      </c>
      <c r="J5582">
        <v>-240.31549999999999</v>
      </c>
      <c r="K5582">
        <v>1.1084909999999999</v>
      </c>
      <c r="L5582">
        <v>-62.8292199999999</v>
      </c>
      <c r="M5582">
        <v>0.99985360000000001</v>
      </c>
      <c r="N5582">
        <v>0</v>
      </c>
      <c r="O5582">
        <v>-1.2420199999999999E-2</v>
      </c>
      <c r="P5582">
        <v>0.99822529999999998</v>
      </c>
      <c r="Q5582">
        <v>2.637801E-2</v>
      </c>
      <c r="R5582">
        <v>5.3393490000000002E-2</v>
      </c>
      <c r="S5582">
        <v>3.0217130000000001</v>
      </c>
      <c r="T5582">
        <v>-0.27086579999999999</v>
      </c>
      <c r="U5582">
        <v>-0.1730042</v>
      </c>
      <c r="V5582">
        <v>-6.5678600000000004E-2</v>
      </c>
      <c r="W5582">
        <v>3.8316709999999997E-2</v>
      </c>
      <c r="X5582">
        <v>0.99710489999999996</v>
      </c>
      <c r="Y5582">
        <v>4.4626209999999999E-2</v>
      </c>
      <c r="Z5582">
        <v>-8.8434769999999998E-4</v>
      </c>
      <c r="AA5582">
        <v>0.99900339999999999</v>
      </c>
      <c r="AB5582">
        <v>35</v>
      </c>
      <c r="AC5582">
        <v>0.73529999999999496</v>
      </c>
      <c r="AD5582">
        <v>-8.2533999999999802E-2</v>
      </c>
      <c r="AE5582">
        <v>-5.0220000000010097E-2</v>
      </c>
      <c r="AF5582">
        <v>4.0574099906339901E-2</v>
      </c>
      <c r="AG5582">
        <v>-8.2533999999999802E-2</v>
      </c>
      <c r="AH5582">
        <v>0.72675319912809</v>
      </c>
      <c r="AI5582">
        <v>96.4690698882265</v>
      </c>
      <c r="AJ5582">
        <v>86.804535742227898</v>
      </c>
      <c r="AK5582">
        <v>0.73254920051974903</v>
      </c>
      <c r="AL5582">
        <v>87.804076710288101</v>
      </c>
      <c r="AM5582">
        <v>93.768588738810394</v>
      </c>
      <c r="AN5582">
        <v>1.0000000151835899</v>
      </c>
    </row>
    <row r="5583" spans="1:40" x14ac:dyDescent="0.25">
      <c r="A5583" t="str">
        <f>"20190312151427055"</f>
        <v>20190312151427055</v>
      </c>
      <c r="B5583" t="str">
        <f>"1552374867045870"</f>
        <v>1552374867045870</v>
      </c>
      <c r="C5583" t="s">
        <v>40</v>
      </c>
      <c r="D5583">
        <v>5.04474</v>
      </c>
      <c r="E5583">
        <v>0.54132279999999999</v>
      </c>
      <c r="F5583" t="s">
        <v>41</v>
      </c>
      <c r="G5583">
        <v>-239.5719</v>
      </c>
      <c r="H5583">
        <v>1.0417559999999999</v>
      </c>
      <c r="I5583">
        <v>-62.871769999999998</v>
      </c>
      <c r="J5583">
        <v>-240.14070000000001</v>
      </c>
      <c r="K5583">
        <v>1.1085780000000001</v>
      </c>
      <c r="L5583">
        <v>-62.831789999999998</v>
      </c>
      <c r="M5583">
        <v>0.99984850000000003</v>
      </c>
      <c r="N5583">
        <v>0</v>
      </c>
      <c r="O5583">
        <v>-1.2819219999999999E-2</v>
      </c>
      <c r="P5583">
        <v>0.99821389999999999</v>
      </c>
      <c r="Q5583">
        <v>2.642278E-2</v>
      </c>
      <c r="R5583">
        <v>5.3583029999999997E-2</v>
      </c>
      <c r="S5583">
        <v>3.0216980000000002</v>
      </c>
      <c r="T5583">
        <v>-0.27112960000000003</v>
      </c>
      <c r="U5583">
        <v>-0.17181399999999999</v>
      </c>
      <c r="V5583">
        <v>-6.6273769999999996E-2</v>
      </c>
      <c r="W5583">
        <v>3.8348159999999999E-2</v>
      </c>
      <c r="X5583">
        <v>0.99706430000000001</v>
      </c>
      <c r="Y5583">
        <v>4.3840079999999997E-2</v>
      </c>
      <c r="Z5583">
        <v>-8.1435250000000002E-4</v>
      </c>
      <c r="AA5583">
        <v>0.99903819999999999</v>
      </c>
      <c r="AB5583">
        <v>35</v>
      </c>
      <c r="AC5583">
        <v>0.56880000000000996</v>
      </c>
      <c r="AD5583">
        <v>-6.6822000000000104E-2</v>
      </c>
      <c r="AE5583">
        <v>-3.9979999999992799E-2</v>
      </c>
      <c r="AF5583">
        <v>3.2241844998403497E-2</v>
      </c>
      <c r="AG5583">
        <v>-6.6822000000000104E-2</v>
      </c>
      <c r="AH5583">
        <v>0.56155373702348299</v>
      </c>
      <c r="AI5583">
        <v>96.774939347564995</v>
      </c>
      <c r="AJ5583">
        <v>86.713946309096798</v>
      </c>
      <c r="AK5583">
        <v>0.56643385829056903</v>
      </c>
      <c r="AL5583">
        <v>87.802273412853495</v>
      </c>
      <c r="AM5583">
        <v>93.802793786378601</v>
      </c>
      <c r="AN5583">
        <v>1.0000000061499399</v>
      </c>
    </row>
    <row r="5584" spans="1:40" x14ac:dyDescent="0.25">
      <c r="A5584" t="str">
        <f>"20190312151427066"</f>
        <v>20190312151427066</v>
      </c>
      <c r="B5584" t="str">
        <f>"1552374867056606"</f>
        <v>1552374867056606</v>
      </c>
      <c r="C5584" t="s">
        <v>40</v>
      </c>
      <c r="D5584">
        <v>4.9646049999999997</v>
      </c>
      <c r="E5584">
        <v>0.54132279999999999</v>
      </c>
      <c r="F5584" t="s">
        <v>41</v>
      </c>
      <c r="G5584">
        <v>-239.2672</v>
      </c>
      <c r="H5584">
        <v>1.030122</v>
      </c>
      <c r="I5584">
        <v>-62.881010000000003</v>
      </c>
      <c r="J5584">
        <v>-239.97669999999999</v>
      </c>
      <c r="K5584">
        <v>1.10866</v>
      </c>
      <c r="L5584">
        <v>-62.834229999999998</v>
      </c>
      <c r="M5584">
        <v>0.99984379999999995</v>
      </c>
      <c r="N5584">
        <v>0</v>
      </c>
      <c r="O5584">
        <v>-1.3179730000000001E-2</v>
      </c>
      <c r="P5584">
        <v>0.99820140000000002</v>
      </c>
      <c r="Q5584">
        <v>2.6369940000000001E-2</v>
      </c>
      <c r="R5584">
        <v>5.3840350000000002E-2</v>
      </c>
      <c r="S5584">
        <v>3.0216829999999999</v>
      </c>
      <c r="T5584">
        <v>-0.27142519999999998</v>
      </c>
      <c r="U5584">
        <v>-0.169952399999999</v>
      </c>
      <c r="V5584">
        <v>-6.6898170000000007E-2</v>
      </c>
      <c r="W5584">
        <v>3.8283360000000002E-2</v>
      </c>
      <c r="X5584">
        <v>0.9970251</v>
      </c>
      <c r="Y5584">
        <v>4.2871680000000002E-2</v>
      </c>
      <c r="Z5584">
        <v>-7.3959470000000002E-4</v>
      </c>
      <c r="AA5584">
        <v>0.99908030000000003</v>
      </c>
      <c r="AB5584">
        <v>35</v>
      </c>
      <c r="AC5584">
        <v>0.70949999999999103</v>
      </c>
      <c r="AD5584">
        <v>-7.8537999999999997E-2</v>
      </c>
      <c r="AE5584">
        <v>-4.67799999999911E-2</v>
      </c>
      <c r="AF5584">
        <v>3.6973185003087598E-2</v>
      </c>
      <c r="AG5584">
        <v>-7.8537999999999997E-2</v>
      </c>
      <c r="AH5584">
        <v>0.701496480643506</v>
      </c>
      <c r="AI5584">
        <v>96.379325762213099</v>
      </c>
      <c r="AJ5584">
        <v>86.982951198013694</v>
      </c>
      <c r="AK5584">
        <v>0.70684690436366604</v>
      </c>
      <c r="AL5584">
        <v>87.805988928039795</v>
      </c>
      <c r="AM5584">
        <v>93.838665760701502</v>
      </c>
      <c r="AN5584">
        <v>1.0000000154161199</v>
      </c>
    </row>
    <row r="5585" spans="1:40" x14ac:dyDescent="0.25">
      <c r="A5585" t="str">
        <f>"20190312151427078"</f>
        <v>20190312151427078</v>
      </c>
      <c r="B5585" t="str">
        <f>"1552374867066367"</f>
        <v>1552374867066367</v>
      </c>
      <c r="C5585" t="s">
        <v>40</v>
      </c>
      <c r="D5585">
        <v>4.923603</v>
      </c>
      <c r="E5585">
        <v>0.51189059999999997</v>
      </c>
      <c r="F5585" t="s">
        <v>41</v>
      </c>
      <c r="G5585">
        <v>-238.96260000000001</v>
      </c>
      <c r="H5585">
        <v>1.017477</v>
      </c>
      <c r="I5585">
        <v>-62.891129999999997</v>
      </c>
      <c r="J5585">
        <v>-239.79580000000001</v>
      </c>
      <c r="K5585">
        <v>1.1087530000000001</v>
      </c>
      <c r="L5585">
        <v>-62.836979999999997</v>
      </c>
      <c r="M5585">
        <v>0.9998397</v>
      </c>
      <c r="N5585">
        <v>0</v>
      </c>
      <c r="O5585">
        <v>-1.349289E-2</v>
      </c>
      <c r="P5585">
        <v>0.99818910000000005</v>
      </c>
      <c r="Q5585">
        <v>2.631027E-2</v>
      </c>
      <c r="R5585">
        <v>5.4096859999999997E-2</v>
      </c>
      <c r="S5585">
        <v>3.0216829999999999</v>
      </c>
      <c r="T5585">
        <v>-0.27168720000000002</v>
      </c>
      <c r="U5585">
        <v>-0.16906740000000001</v>
      </c>
      <c r="V5585">
        <v>-6.7475030000000005E-2</v>
      </c>
      <c r="W5585">
        <v>3.8208550000000001E-2</v>
      </c>
      <c r="X5585">
        <v>0.99698909999999996</v>
      </c>
      <c r="Y5585">
        <v>4.2270490000000001E-2</v>
      </c>
      <c r="Z5585">
        <v>-6.8528539999999905E-4</v>
      </c>
      <c r="AA5585">
        <v>0.99910600000000005</v>
      </c>
      <c r="AB5585">
        <v>35</v>
      </c>
      <c r="AC5585">
        <v>0.83320000000000505</v>
      </c>
      <c r="AD5585">
        <v>-9.1276000000000093E-2</v>
      </c>
      <c r="AE5585">
        <v>-5.41499999999999E-2</v>
      </c>
      <c r="AF5585">
        <v>4.23953715380017E-2</v>
      </c>
      <c r="AG5585">
        <v>-9.1276000000000093E-2</v>
      </c>
      <c r="AH5585">
        <v>0.82400757158048099</v>
      </c>
      <c r="AI5585">
        <v>96.312649813104599</v>
      </c>
      <c r="AJ5585">
        <v>87.054716503171505</v>
      </c>
      <c r="AK5585">
        <v>0.83013080519024696</v>
      </c>
      <c r="AL5585">
        <v>87.810278371963804</v>
      </c>
      <c r="AM5585">
        <v>93.871805542178507</v>
      </c>
      <c r="AN5585">
        <v>1.0000000192427001</v>
      </c>
    </row>
    <row r="5586" spans="1:40" x14ac:dyDescent="0.25">
      <c r="A5586" t="str">
        <f>"20190312151427088"</f>
        <v>20190312151427088</v>
      </c>
      <c r="B5586" t="str">
        <f>"1552374867076125"</f>
        <v>1552374867076125</v>
      </c>
      <c r="C5586" t="s">
        <v>40</v>
      </c>
      <c r="D5586">
        <v>5.0991419999999996</v>
      </c>
      <c r="E5586">
        <v>0.50555379999999905</v>
      </c>
      <c r="F5586" t="s">
        <v>68</v>
      </c>
      <c r="G5586">
        <v>-225.9692</v>
      </c>
      <c r="H5586" s="1">
        <v>-2.1564869999999999E-6</v>
      </c>
      <c r="I5586">
        <v>-62.531750000000002</v>
      </c>
      <c r="J5586">
        <v>-239.63759999999999</v>
      </c>
      <c r="K5586">
        <v>1.1088309999999999</v>
      </c>
      <c r="L5586">
        <v>-62.839359999999999</v>
      </c>
      <c r="M5586">
        <v>0.99983610000000001</v>
      </c>
      <c r="N5586">
        <v>0</v>
      </c>
      <c r="O5586">
        <v>-1.3748109999999999E-2</v>
      </c>
      <c r="P5586">
        <v>0.99816729999999998</v>
      </c>
      <c r="Q5586">
        <v>2.6255009999999999E-2</v>
      </c>
      <c r="R5586">
        <v>5.4525570000000002E-2</v>
      </c>
      <c r="S5586">
        <v>3.0081790000000002</v>
      </c>
      <c r="T5586">
        <v>-0.241227</v>
      </c>
      <c r="U5586">
        <v>6.640625E-2</v>
      </c>
      <c r="V5586">
        <v>-6.8165470000000006E-2</v>
      </c>
      <c r="W5586">
        <v>3.8140889999999997E-2</v>
      </c>
      <c r="X5586">
        <v>0.99694470000000002</v>
      </c>
      <c r="Y5586">
        <v>-3.5654959999999999E-2</v>
      </c>
      <c r="Z5586">
        <v>2.5277870000000001E-3</v>
      </c>
      <c r="AA5586">
        <v>0.99936100000000005</v>
      </c>
      <c r="AB5586">
        <v>35</v>
      </c>
      <c r="AC5586">
        <v>13.668399999999901</v>
      </c>
      <c r="AD5586">
        <v>-1.108833156487</v>
      </c>
      <c r="AE5586">
        <v>0.307609999999996</v>
      </c>
      <c r="AF5586">
        <v>-0.49227059840375598</v>
      </c>
      <c r="AG5586">
        <v>-1.108833156487</v>
      </c>
      <c r="AH5586">
        <v>13.5735950055681</v>
      </c>
      <c r="AI5586">
        <v>94.667093568559494</v>
      </c>
      <c r="AJ5586">
        <v>92.077023189081103</v>
      </c>
      <c r="AK5586">
        <v>13.6277042338819</v>
      </c>
      <c r="AL5586">
        <v>87.8141577831218</v>
      </c>
      <c r="AM5586">
        <v>93.911475196551507</v>
      </c>
      <c r="AN5586">
        <v>0.99999999682420104</v>
      </c>
    </row>
    <row r="5587" spans="1:40" x14ac:dyDescent="0.25">
      <c r="A5587" t="str">
        <f>"20190312151427098"</f>
        <v>20190312151427098</v>
      </c>
      <c r="B5587" t="str">
        <f>"1552374867096622"</f>
        <v>1552374867096622</v>
      </c>
      <c r="C5587" t="s">
        <v>40</v>
      </c>
      <c r="D5587">
        <v>4.9806850000000003</v>
      </c>
      <c r="E5587">
        <v>0.50117020000000001</v>
      </c>
      <c r="F5587" t="s">
        <v>68</v>
      </c>
      <c r="G5587">
        <v>-224.9126</v>
      </c>
      <c r="H5587" s="1">
        <v>-1.6428359999999999E-6</v>
      </c>
      <c r="I5587">
        <v>-62.260330000000003</v>
      </c>
      <c r="J5587">
        <v>-239.4667</v>
      </c>
      <c r="K5587">
        <v>1.108911</v>
      </c>
      <c r="L5587">
        <v>-62.84198</v>
      </c>
      <c r="M5587">
        <v>0.99983299999999997</v>
      </c>
      <c r="N5587">
        <v>0</v>
      </c>
      <c r="O5587">
        <v>-1.396847E-2</v>
      </c>
      <c r="P5587">
        <v>0.9981196</v>
      </c>
      <c r="Q5587">
        <v>2.641783E-2</v>
      </c>
      <c r="R5587">
        <v>5.5315070000000001E-2</v>
      </c>
      <c r="S5587">
        <v>3.00502</v>
      </c>
      <c r="T5587">
        <v>-0.2262865</v>
      </c>
      <c r="U5587">
        <v>0.11816409999999999</v>
      </c>
      <c r="V5587">
        <v>-6.9181399999999907E-2</v>
      </c>
      <c r="W5587">
        <v>3.8290980000000002E-2</v>
      </c>
      <c r="X5587">
        <v>0.99686900000000001</v>
      </c>
      <c r="Y5587">
        <v>-5.3057170000000001E-2</v>
      </c>
      <c r="Z5587">
        <v>3.0441800000000001E-3</v>
      </c>
      <c r="AA5587">
        <v>0.9985868</v>
      </c>
      <c r="AB5587">
        <v>35</v>
      </c>
      <c r="AC5587">
        <v>14.5541</v>
      </c>
      <c r="AD5587">
        <v>-1.1089126428360001</v>
      </c>
      <c r="AE5587">
        <v>0.581650000000003</v>
      </c>
      <c r="AF5587">
        <v>-0.78038274486291903</v>
      </c>
      <c r="AG5587">
        <v>-1.1089126428360001</v>
      </c>
      <c r="AH5587">
        <v>14.460739596513999</v>
      </c>
      <c r="AI5587">
        <v>94.378761774343999</v>
      </c>
      <c r="AJ5587">
        <v>93.089005767474305</v>
      </c>
      <c r="AK5587">
        <v>14.524175506930099</v>
      </c>
      <c r="AL5587">
        <v>87.805552055109601</v>
      </c>
      <c r="AM5587">
        <v>93.969886823174093</v>
      </c>
      <c r="AN5587">
        <v>1.0000000342081501</v>
      </c>
    </row>
    <row r="5588" spans="1:40" x14ac:dyDescent="0.25">
      <c r="A5588" t="str">
        <f>"20190312151427111"</f>
        <v>20190312151427111</v>
      </c>
      <c r="B5588" t="str">
        <f>"1552374867106382"</f>
        <v>1552374867106382</v>
      </c>
      <c r="C5588" t="s">
        <v>40</v>
      </c>
      <c r="D5588">
        <v>5.0009889999999997</v>
      </c>
      <c r="E5588">
        <v>0.49983830000000001</v>
      </c>
      <c r="F5588" t="s">
        <v>68</v>
      </c>
      <c r="G5588">
        <v>-224.0419</v>
      </c>
      <c r="H5588" s="1">
        <v>-1.221037E-6</v>
      </c>
      <c r="I5588">
        <v>-62.043259999999997</v>
      </c>
      <c r="J5588">
        <v>-239.28829999999999</v>
      </c>
      <c r="K5588">
        <v>1.1089960000000001</v>
      </c>
      <c r="L5588">
        <v>-62.844700000000003</v>
      </c>
      <c r="M5588">
        <v>0.99983049999999996</v>
      </c>
      <c r="N5588">
        <v>0</v>
      </c>
      <c r="O5588">
        <v>-1.416571E-2</v>
      </c>
      <c r="P5588">
        <v>0.99810549999999998</v>
      </c>
      <c r="Q5588">
        <v>2.6199009999999998E-2</v>
      </c>
      <c r="R5588">
        <v>5.5670400000000002E-2</v>
      </c>
      <c r="S5588">
        <v>3.0027469999999998</v>
      </c>
      <c r="T5588">
        <v>-0.21587229999999999</v>
      </c>
      <c r="U5588">
        <v>0.15548709999999999</v>
      </c>
      <c r="V5588">
        <v>-6.9741020000000001E-2</v>
      </c>
      <c r="W5588">
        <v>3.8057970000000003E-2</v>
      </c>
      <c r="X5588">
        <v>0.99683889999999997</v>
      </c>
      <c r="Y5588">
        <v>-6.5649410000000005E-2</v>
      </c>
      <c r="Z5588">
        <v>3.3717500000000002E-3</v>
      </c>
      <c r="AA5588">
        <v>0.99783710000000003</v>
      </c>
      <c r="AB5588">
        <v>35</v>
      </c>
      <c r="AC5588">
        <v>15.2463999999999</v>
      </c>
      <c r="AD5588">
        <v>-1.1089972210369901</v>
      </c>
      <c r="AE5588">
        <v>0.80144000000000604</v>
      </c>
      <c r="AF5588">
        <v>-1.0120109369406201</v>
      </c>
      <c r="AG5588">
        <v>-1.1089972210369901</v>
      </c>
      <c r="AH5588">
        <v>15.153561781424999</v>
      </c>
      <c r="AI5588">
        <v>94.176398255610707</v>
      </c>
      <c r="AJ5588">
        <v>93.820750676971002</v>
      </c>
      <c r="AK5588">
        <v>15.2277534664907</v>
      </c>
      <c r="AL5588">
        <v>87.818912220587904</v>
      </c>
      <c r="AM5588">
        <v>94.002016428799394</v>
      </c>
      <c r="AN5588">
        <v>1.0000000057521801</v>
      </c>
    </row>
    <row r="5589" spans="1:40" x14ac:dyDescent="0.25">
      <c r="A5589" t="str">
        <f>"20190312151427122"</f>
        <v>20190312151427122</v>
      </c>
      <c r="B5589" t="str">
        <f>"1552374867116142"</f>
        <v>1552374867116142</v>
      </c>
      <c r="C5589" t="s">
        <v>40</v>
      </c>
      <c r="D5589">
        <v>4.9869440000000003</v>
      </c>
      <c r="E5589">
        <v>0.49912879999999898</v>
      </c>
      <c r="F5589" t="s">
        <v>68</v>
      </c>
      <c r="G5589">
        <v>-223.9307</v>
      </c>
      <c r="H5589" s="1">
        <v>-1.1614349999999999E-6</v>
      </c>
      <c r="I5589">
        <v>-61.989789999999999</v>
      </c>
      <c r="J5589">
        <v>-239.0959</v>
      </c>
      <c r="K5589">
        <v>1.109084</v>
      </c>
      <c r="L5589">
        <v>-62.847630000000002</v>
      </c>
      <c r="M5589">
        <v>0.99982800000000005</v>
      </c>
      <c r="N5589">
        <v>0</v>
      </c>
      <c r="O5589">
        <v>-1.4335479999999999E-2</v>
      </c>
      <c r="P5589">
        <v>0.99805809999999995</v>
      </c>
      <c r="Q5589">
        <v>2.6204060000000001E-2</v>
      </c>
      <c r="R5589">
        <v>5.6514500000000002E-2</v>
      </c>
      <c r="S5589">
        <v>3.0020449999999999</v>
      </c>
      <c r="T5589">
        <v>-0.21678210000000001</v>
      </c>
      <c r="U5589">
        <v>0.16711429999999999</v>
      </c>
      <c r="V5589">
        <v>-7.0761550000000006E-2</v>
      </c>
      <c r="W5589">
        <v>3.804892E-2</v>
      </c>
      <c r="X5589">
        <v>0.99676730000000002</v>
      </c>
      <c r="Y5589">
        <v>-6.9671239999999995E-2</v>
      </c>
      <c r="Z5589">
        <v>3.5435169999999999E-3</v>
      </c>
      <c r="AA5589">
        <v>0.99756369999999905</v>
      </c>
      <c r="AB5589">
        <v>35</v>
      </c>
      <c r="AC5589">
        <v>15.1652</v>
      </c>
      <c r="AD5589">
        <v>-1.1090851614349999</v>
      </c>
      <c r="AE5589">
        <v>0.85784000000000205</v>
      </c>
      <c r="AF5589">
        <v>-1.0694654999383999</v>
      </c>
      <c r="AG5589">
        <v>-1.1090851614349999</v>
      </c>
      <c r="AH5589">
        <v>15.0709926524964</v>
      </c>
      <c r="AI5589">
        <v>94.198331291684298</v>
      </c>
      <c r="AJ5589">
        <v>94.059010397587102</v>
      </c>
      <c r="AK5589">
        <v>15.1495427614986</v>
      </c>
      <c r="AL5589">
        <v>87.819431075359304</v>
      </c>
      <c r="AM5589">
        <v>94.060674710475396</v>
      </c>
      <c r="AN5589">
        <v>0.99999998381042898</v>
      </c>
    </row>
    <row r="5590" spans="1:40" x14ac:dyDescent="0.25">
      <c r="A5590" t="str">
        <f>"20190312151427134"</f>
        <v>20190312151427134</v>
      </c>
      <c r="B5590" t="str">
        <f>"1552374867125902"</f>
        <v>1552374867125902</v>
      </c>
      <c r="C5590" t="s">
        <v>40</v>
      </c>
      <c r="D5590">
        <v>4.9527970000000003</v>
      </c>
      <c r="E5590">
        <v>0.49832900000000002</v>
      </c>
      <c r="F5590" t="s">
        <v>68</v>
      </c>
      <c r="G5590">
        <v>-223.75399999999999</v>
      </c>
      <c r="H5590" s="1">
        <v>-1.077008E-6</v>
      </c>
      <c r="I5590">
        <v>-61.951030000000003</v>
      </c>
      <c r="J5590">
        <v>-238.91480000000001</v>
      </c>
      <c r="K5590">
        <v>1.109159</v>
      </c>
      <c r="L5590">
        <v>-62.850369999999998</v>
      </c>
      <c r="M5590">
        <v>0.9998264</v>
      </c>
      <c r="N5590">
        <v>0</v>
      </c>
      <c r="O5590">
        <v>-1.444645E-2</v>
      </c>
      <c r="P5590">
        <v>0.99802579999999996</v>
      </c>
      <c r="Q5590">
        <v>2.6455429999999999E-2</v>
      </c>
      <c r="R5590">
        <v>5.696097E-2</v>
      </c>
      <c r="S5590">
        <v>3.0016020000000001</v>
      </c>
      <c r="T5590">
        <v>-0.21698880000000001</v>
      </c>
      <c r="U5590">
        <v>0.17541499999999999</v>
      </c>
      <c r="V5590">
        <v>-7.1324589999999993E-2</v>
      </c>
      <c r="W5590">
        <v>3.8287170000000002E-2</v>
      </c>
      <c r="X5590">
        <v>0.99671799999999999</v>
      </c>
      <c r="Y5590">
        <v>-7.2531429999999994E-2</v>
      </c>
      <c r="Z5590">
        <v>3.658302E-3</v>
      </c>
      <c r="AA5590">
        <v>0.99735940000000001</v>
      </c>
      <c r="AB5590">
        <v>35</v>
      </c>
      <c r="AC5590">
        <v>15.160799999999901</v>
      </c>
      <c r="AD5590">
        <v>-1.1091600770079999</v>
      </c>
      <c r="AE5590">
        <v>0.89933999999999503</v>
      </c>
      <c r="AF5590">
        <v>-1.1123482440960599</v>
      </c>
      <c r="AG5590">
        <v>-1.1091600770079999</v>
      </c>
      <c r="AH5590">
        <v>15.0658695045773</v>
      </c>
      <c r="AI5590">
        <v>94.199171413015094</v>
      </c>
      <c r="AJ5590">
        <v>94.222619205083404</v>
      </c>
      <c r="AK5590">
        <v>15.147540348899099</v>
      </c>
      <c r="AL5590">
        <v>87.805770301063703</v>
      </c>
      <c r="AM5590">
        <v>94.093077327578001</v>
      </c>
      <c r="AN5590">
        <v>0.99999993802463605</v>
      </c>
    </row>
    <row r="5591" spans="1:40" x14ac:dyDescent="0.25">
      <c r="A5591" t="str">
        <f>"20190312151427147"</f>
        <v>20190312151427147</v>
      </c>
      <c r="B5591" t="str">
        <f>"1552374867136640"</f>
        <v>1552374867136640</v>
      </c>
      <c r="C5591" t="s">
        <v>40</v>
      </c>
      <c r="D5591">
        <v>4.9383400000000002</v>
      </c>
      <c r="E5591">
        <v>0.49795109999999898</v>
      </c>
      <c r="F5591" t="s">
        <v>68</v>
      </c>
      <c r="G5591">
        <v>-223.56569999999999</v>
      </c>
      <c r="H5591" s="1">
        <v>-9.87987199999999E-7</v>
      </c>
      <c r="I5591">
        <v>-61.913930000000001</v>
      </c>
      <c r="J5591">
        <v>-238.7176</v>
      </c>
      <c r="K5591">
        <v>1.1092340000000001</v>
      </c>
      <c r="L5591">
        <v>-62.853360000000002</v>
      </c>
      <c r="M5591">
        <v>0.99982499999999996</v>
      </c>
      <c r="N5591">
        <v>0</v>
      </c>
      <c r="O5591">
        <v>-1.4546069999999999E-2</v>
      </c>
      <c r="P5591">
        <v>0.99799059999999995</v>
      </c>
      <c r="Q5591">
        <v>2.6442159999999999E-2</v>
      </c>
      <c r="R5591">
        <v>5.7583750000000003E-2</v>
      </c>
      <c r="S5591">
        <v>3.0012509999999999</v>
      </c>
      <c r="T5591">
        <v>-0.21687719999999999</v>
      </c>
      <c r="U5591">
        <v>0.1831055</v>
      </c>
      <c r="V5591">
        <v>-7.2053699999999998E-2</v>
      </c>
      <c r="W5591">
        <v>3.8260000000000002E-2</v>
      </c>
      <c r="X5591">
        <v>0.99666670000000002</v>
      </c>
      <c r="Y5591">
        <v>-7.5176980000000004E-2</v>
      </c>
      <c r="Z5591">
        <v>3.7591360000000002E-3</v>
      </c>
      <c r="AA5591">
        <v>0.99716309999999997</v>
      </c>
      <c r="AB5591">
        <v>35</v>
      </c>
      <c r="AC5591">
        <v>15.151899999999999</v>
      </c>
      <c r="AD5591">
        <v>-1.1092349879872001</v>
      </c>
      <c r="AE5591">
        <v>0.939429999999987</v>
      </c>
      <c r="AF5591">
        <v>-1.15358762786373</v>
      </c>
      <c r="AG5591">
        <v>-1.1092349879872001</v>
      </c>
      <c r="AH5591">
        <v>15.0562478992093</v>
      </c>
      <c r="AI5591">
        <v>94.201255476726004</v>
      </c>
      <c r="AJ5591">
        <v>94.381358516804895</v>
      </c>
      <c r="AK5591">
        <v>15.1410622968199</v>
      </c>
      <c r="AL5591">
        <v>87.807328386258604</v>
      </c>
      <c r="AM5591">
        <v>94.134986186248199</v>
      </c>
      <c r="AN5591">
        <v>1.00000003708628</v>
      </c>
    </row>
    <row r="5592" spans="1:40" x14ac:dyDescent="0.25">
      <c r="A5592" t="str">
        <f>"20190312151427162"</f>
        <v>20190312151427162</v>
      </c>
      <c r="B5592" t="str">
        <f>"1552374867156158"</f>
        <v>1552374867156158</v>
      </c>
      <c r="C5592" t="s">
        <v>40</v>
      </c>
      <c r="D5592">
        <v>4.9603659999999996</v>
      </c>
      <c r="E5592">
        <v>0.49722729999999998</v>
      </c>
      <c r="F5592" t="s">
        <v>68</v>
      </c>
      <c r="G5592">
        <v>-223.6891</v>
      </c>
      <c r="H5592" s="1">
        <v>-1.0404729999999999E-6</v>
      </c>
      <c r="I5592">
        <v>-61.911830000000002</v>
      </c>
      <c r="J5592">
        <v>-238.4794</v>
      </c>
      <c r="K5592">
        <v>1.109313</v>
      </c>
      <c r="L5592">
        <v>-62.856960000000001</v>
      </c>
      <c r="M5592">
        <v>0.99982389999999999</v>
      </c>
      <c r="N5592">
        <v>0</v>
      </c>
      <c r="O5592">
        <v>-1.4614429999999999E-2</v>
      </c>
      <c r="P5592">
        <v>0.99785950000000001</v>
      </c>
      <c r="Q5592">
        <v>2.678608E-2</v>
      </c>
      <c r="R5592">
        <v>5.9658709999999997E-2</v>
      </c>
      <c r="S5592">
        <v>3.0010829999999999</v>
      </c>
      <c r="T5592">
        <v>-0.22150710000000001</v>
      </c>
      <c r="U5592">
        <v>0.18801880000000001</v>
      </c>
      <c r="V5592">
        <v>-7.4202149999999995E-2</v>
      </c>
      <c r="W5592">
        <v>3.8588780000000003E-2</v>
      </c>
      <c r="X5592">
        <v>0.9964963</v>
      </c>
      <c r="Y5592">
        <v>-7.685997E-2</v>
      </c>
      <c r="Z5592">
        <v>3.9061949999999999E-3</v>
      </c>
      <c r="AA5592">
        <v>0.99703430000000004</v>
      </c>
      <c r="AB5592">
        <v>35</v>
      </c>
      <c r="AC5592">
        <v>14.7903</v>
      </c>
      <c r="AD5592">
        <v>-1.109314040473</v>
      </c>
      <c r="AE5592">
        <v>0.94512999999999803</v>
      </c>
      <c r="AF5592">
        <v>-1.15472642795469</v>
      </c>
      <c r="AG5592">
        <v>-1.109314040473</v>
      </c>
      <c r="AH5592">
        <v>14.6925908562053</v>
      </c>
      <c r="AI5592">
        <v>94.304507372833001</v>
      </c>
      <c r="AJ5592">
        <v>94.493777425348497</v>
      </c>
      <c r="AK5592">
        <v>14.7795871671591</v>
      </c>
      <c r="AL5592">
        <v>87.7884765980602</v>
      </c>
      <c r="AM5592">
        <v>94.258559004762702</v>
      </c>
      <c r="AN5592">
        <v>0.99999996446009898</v>
      </c>
    </row>
    <row r="5593" spans="1:40" x14ac:dyDescent="0.25">
      <c r="A5593" t="str">
        <f>"20190312151427173"</f>
        <v>20190312151427173</v>
      </c>
      <c r="B5593" t="str">
        <f>"1552374867165918"</f>
        <v>1552374867165918</v>
      </c>
      <c r="C5593" t="s">
        <v>40</v>
      </c>
      <c r="D5593">
        <v>4.9500010000000003</v>
      </c>
      <c r="E5593">
        <v>0.4969211</v>
      </c>
      <c r="F5593" t="s">
        <v>68</v>
      </c>
      <c r="G5593">
        <v>-224.18199999999999</v>
      </c>
      <c r="H5593" s="1">
        <v>-1.250136E-6</v>
      </c>
      <c r="I5593">
        <v>-61.903840000000002</v>
      </c>
      <c r="J5593">
        <v>-238.3109</v>
      </c>
      <c r="K5593">
        <v>1.109356</v>
      </c>
      <c r="L5593">
        <v>-62.859499999999997</v>
      </c>
      <c r="M5593">
        <v>0.99982360000000003</v>
      </c>
      <c r="N5593">
        <v>0</v>
      </c>
      <c r="O5593">
        <v>-1.463883E-2</v>
      </c>
      <c r="P5593">
        <v>0.99779119999999999</v>
      </c>
      <c r="Q5593">
        <v>2.6719639999999999E-2</v>
      </c>
      <c r="R5593">
        <v>6.0819320000000003E-2</v>
      </c>
      <c r="S5593">
        <v>3.0007480000000002</v>
      </c>
      <c r="T5593">
        <v>-0.232824</v>
      </c>
      <c r="U5593">
        <v>0.20004269999999999</v>
      </c>
      <c r="V5593">
        <v>-7.5390699999999894E-2</v>
      </c>
      <c r="W5593">
        <v>3.8512539999999998E-2</v>
      </c>
      <c r="X5593">
        <v>0.99641009999999997</v>
      </c>
      <c r="Y5593">
        <v>-8.0831210000000001E-2</v>
      </c>
      <c r="Z5593">
        <v>4.2606700000000003E-3</v>
      </c>
      <c r="AA5593">
        <v>0.99671869999999996</v>
      </c>
      <c r="AB5593">
        <v>35</v>
      </c>
      <c r="AC5593">
        <v>14.1288999999999</v>
      </c>
      <c r="AD5593">
        <v>-1.1093572501360001</v>
      </c>
      <c r="AE5593">
        <v>0.95565999999999396</v>
      </c>
      <c r="AF5593">
        <v>-1.1553125189945199</v>
      </c>
      <c r="AG5593">
        <v>-1.1093572501360001</v>
      </c>
      <c r="AH5593">
        <v>14.0273119491439</v>
      </c>
      <c r="AI5593">
        <v>94.506658493557794</v>
      </c>
      <c r="AJ5593">
        <v>94.708347706583396</v>
      </c>
      <c r="AK5593">
        <v>14.118459584656099</v>
      </c>
      <c r="AL5593">
        <v>87.792848223573102</v>
      </c>
      <c r="AM5593">
        <v>94.326887345125996</v>
      </c>
      <c r="AN5593">
        <v>1.00000003038287</v>
      </c>
    </row>
    <row r="5594" spans="1:40" x14ac:dyDescent="0.25">
      <c r="A5594" t="str">
        <f>"20190312151427183"</f>
        <v>20190312151427183</v>
      </c>
      <c r="B5594" t="str">
        <f>"1552374867176654"</f>
        <v>1552374867176654</v>
      </c>
      <c r="C5594" t="s">
        <v>40</v>
      </c>
      <c r="D5594">
        <v>4.9452920000000002</v>
      </c>
      <c r="E5594">
        <v>0.49661519999999998</v>
      </c>
      <c r="F5594" t="s">
        <v>68</v>
      </c>
      <c r="G5594">
        <v>-224.23820000000001</v>
      </c>
      <c r="H5594" s="1">
        <v>-1.272007E-6</v>
      </c>
      <c r="I5594">
        <v>-61.893770000000004</v>
      </c>
      <c r="J5594">
        <v>-238.14420000000001</v>
      </c>
      <c r="K5594">
        <v>1.1094010000000001</v>
      </c>
      <c r="L5594">
        <v>-62.8619699999999</v>
      </c>
      <c r="M5594">
        <v>0.99982329999999997</v>
      </c>
      <c r="N5594">
        <v>0</v>
      </c>
      <c r="O5594">
        <v>-1.465458E-2</v>
      </c>
      <c r="P5594">
        <v>0.99772019999999995</v>
      </c>
      <c r="Q5594">
        <v>2.6469309999999999E-2</v>
      </c>
      <c r="R5594">
        <v>6.2077849999999997E-2</v>
      </c>
      <c r="S5594">
        <v>3.0004270000000002</v>
      </c>
      <c r="T5594">
        <v>-0.2365255</v>
      </c>
      <c r="U5594">
        <v>0.2059021</v>
      </c>
      <c r="V5594">
        <v>-7.6668059999999996E-2</v>
      </c>
      <c r="W5594">
        <v>3.8253339999999997E-2</v>
      </c>
      <c r="X5594">
        <v>0.99632259999999995</v>
      </c>
      <c r="Y5594">
        <v>-8.2776180000000005E-2</v>
      </c>
      <c r="Z5594">
        <v>4.4060719999999996E-3</v>
      </c>
      <c r="AA5594">
        <v>0.99655839999999996</v>
      </c>
      <c r="AB5594">
        <v>35</v>
      </c>
      <c r="AC5594">
        <v>13.906000000000001</v>
      </c>
      <c r="AD5594">
        <v>-1.109402272007</v>
      </c>
      <c r="AE5594">
        <v>0.96819999999999595</v>
      </c>
      <c r="AF5594">
        <v>-1.1645207346861299</v>
      </c>
      <c r="AG5594">
        <v>-1.109402272007</v>
      </c>
      <c r="AH5594">
        <v>13.802890380220999</v>
      </c>
      <c r="AI5594">
        <v>94.579050847195006</v>
      </c>
      <c r="AJ5594">
        <v>94.822503552183605</v>
      </c>
      <c r="AK5594">
        <v>13.896282409013001</v>
      </c>
      <c r="AL5594">
        <v>87.807710210220606</v>
      </c>
      <c r="AM5594">
        <v>94.400298079336395</v>
      </c>
      <c r="AN5594">
        <v>1.00000001635803</v>
      </c>
    </row>
    <row r="5595" spans="1:40" x14ac:dyDescent="0.25">
      <c r="A5595" t="str">
        <f>"20190312151427196"</f>
        <v>20190312151427196</v>
      </c>
      <c r="B5595" t="str">
        <f>"1552374867186413"</f>
        <v>1552374867186413</v>
      </c>
      <c r="C5595" t="s">
        <v>40</v>
      </c>
      <c r="D5595">
        <v>4.959695</v>
      </c>
      <c r="E5595">
        <v>0.49642170000000002</v>
      </c>
      <c r="F5595" t="s">
        <v>68</v>
      </c>
      <c r="G5595">
        <v>-224.34229999999999</v>
      </c>
      <c r="H5595" s="1">
        <v>-1.3149370000000001E-6</v>
      </c>
      <c r="I5595">
        <v>-61.885919999999999</v>
      </c>
      <c r="J5595">
        <v>-237.96459999999999</v>
      </c>
      <c r="K5595">
        <v>1.109443</v>
      </c>
      <c r="L5595">
        <v>-62.864649999999997</v>
      </c>
      <c r="M5595">
        <v>0.99982360000000003</v>
      </c>
      <c r="N5595">
        <v>0</v>
      </c>
      <c r="O5595">
        <v>-1.464583E-2</v>
      </c>
      <c r="P5595">
        <v>0.99763139999999995</v>
      </c>
      <c r="Q5595">
        <v>2.6146030000000001E-2</v>
      </c>
      <c r="R5595">
        <v>6.3624719999999996E-2</v>
      </c>
      <c r="S5595">
        <v>3.0000309999999999</v>
      </c>
      <c r="T5595">
        <v>-0.24114479999999999</v>
      </c>
      <c r="U5595">
        <v>0.21215819999999999</v>
      </c>
      <c r="V5595">
        <v>-7.8208719999999995E-2</v>
      </c>
      <c r="W5595">
        <v>3.7921219999999999E-2</v>
      </c>
      <c r="X5595">
        <v>0.99621550000000003</v>
      </c>
      <c r="Y5595">
        <v>-8.4825960000000006E-2</v>
      </c>
      <c r="Z5595">
        <v>4.5735649999999999E-3</v>
      </c>
      <c r="AA5595">
        <v>0.99638530000000003</v>
      </c>
      <c r="AB5595">
        <v>35</v>
      </c>
      <c r="AC5595">
        <v>13.6222999999999</v>
      </c>
      <c r="AD5595">
        <v>-1.1094443149369999</v>
      </c>
      <c r="AE5595">
        <v>0.97872999999999799</v>
      </c>
      <c r="AF5595">
        <v>-1.17042513256484</v>
      </c>
      <c r="AG5595">
        <v>-1.1094443149369999</v>
      </c>
      <c r="AH5595">
        <v>13.5173035747484</v>
      </c>
      <c r="AI5595">
        <v>94.674670126117206</v>
      </c>
      <c r="AJ5595">
        <v>94.948736874669294</v>
      </c>
      <c r="AK5595">
        <v>13.6131648638658</v>
      </c>
      <c r="AL5595">
        <v>87.826753006412304</v>
      </c>
      <c r="AM5595">
        <v>94.488845732373704</v>
      </c>
      <c r="AN5595">
        <v>0.99999997262528795</v>
      </c>
    </row>
    <row r="5596" spans="1:40" x14ac:dyDescent="0.25">
      <c r="A5596" t="str">
        <f>"20190312151427207"</f>
        <v>20190312151427207</v>
      </c>
      <c r="B5596" t="str">
        <f>"1552374867196174"</f>
        <v>1552374867196174</v>
      </c>
      <c r="C5596" t="s">
        <v>40</v>
      </c>
      <c r="D5596">
        <v>4.9384439999999996</v>
      </c>
      <c r="E5596">
        <v>0.49636469999999999</v>
      </c>
      <c r="F5596" t="s">
        <v>68</v>
      </c>
      <c r="G5596">
        <v>-224.38980000000001</v>
      </c>
      <c r="H5596" s="1">
        <v>-1.3331570000000001E-6</v>
      </c>
      <c r="I5596">
        <v>-61.876350000000002</v>
      </c>
      <c r="J5596">
        <v>-237.78139999999999</v>
      </c>
      <c r="K5596">
        <v>1.1094820000000001</v>
      </c>
      <c r="L5596">
        <v>-62.867370000000001</v>
      </c>
      <c r="M5596">
        <v>0.99982369999999998</v>
      </c>
      <c r="N5596">
        <v>0</v>
      </c>
      <c r="O5596">
        <v>-1.462959E-2</v>
      </c>
      <c r="P5596">
        <v>0.99754189999999998</v>
      </c>
      <c r="Q5596">
        <v>2.6095799999999902E-2</v>
      </c>
      <c r="R5596">
        <v>6.5032699999999999E-2</v>
      </c>
      <c r="S5596">
        <v>2.999619</v>
      </c>
      <c r="T5596">
        <v>-0.24515339999999999</v>
      </c>
      <c r="U5596">
        <v>0.21838379999999999</v>
      </c>
      <c r="V5596">
        <v>-7.9602549999999994E-2</v>
      </c>
      <c r="W5596">
        <v>3.7862140000000002E-2</v>
      </c>
      <c r="X5596">
        <v>0.99610730000000003</v>
      </c>
      <c r="Y5596">
        <v>-8.6859190000000003E-2</v>
      </c>
      <c r="Z5596">
        <v>4.7311549999999999E-3</v>
      </c>
      <c r="AA5596">
        <v>0.99620940000000002</v>
      </c>
      <c r="AB5596">
        <v>35</v>
      </c>
      <c r="AC5596">
        <v>13.391599999999899</v>
      </c>
      <c r="AD5596">
        <v>-1.109483333157</v>
      </c>
      <c r="AE5596">
        <v>0.99101999999999102</v>
      </c>
      <c r="AF5596">
        <v>-1.17879395860281</v>
      </c>
      <c r="AG5596">
        <v>-1.109483333157</v>
      </c>
      <c r="AH5596">
        <v>13.2849761626626</v>
      </c>
      <c r="AI5596">
        <v>94.755332356068294</v>
      </c>
      <c r="AJ5596">
        <v>95.070652562869498</v>
      </c>
      <c r="AK5596">
        <v>13.383239522100199</v>
      </c>
      <c r="AL5596">
        <v>87.830140382112802</v>
      </c>
      <c r="AM5596">
        <v>94.569004047397499</v>
      </c>
      <c r="AN5596">
        <v>0.99999993036258294</v>
      </c>
    </row>
    <row r="5597" spans="1:40" x14ac:dyDescent="0.25">
      <c r="A5597" t="str">
        <f>"20190312151427218"</f>
        <v>20190312151427218</v>
      </c>
      <c r="B5597" t="str">
        <f>"1552374867205933"</f>
        <v>1552374867205933</v>
      </c>
      <c r="C5597" t="s">
        <v>40</v>
      </c>
      <c r="D5597">
        <v>4.9794919999999996</v>
      </c>
      <c r="E5597">
        <v>0.49642959999999903</v>
      </c>
      <c r="F5597" t="s">
        <v>68</v>
      </c>
      <c r="G5597">
        <v>-224.29939999999999</v>
      </c>
      <c r="H5597" s="1">
        <v>-1.291799E-6</v>
      </c>
      <c r="I5597">
        <v>-61.864609999999999</v>
      </c>
      <c r="J5597">
        <v>-237.6113</v>
      </c>
      <c r="K5597">
        <v>1.109515</v>
      </c>
      <c r="L5597">
        <v>-62.869840000000003</v>
      </c>
      <c r="M5597">
        <v>0.99982420000000005</v>
      </c>
      <c r="N5597">
        <v>0</v>
      </c>
      <c r="O5597">
        <v>-1.4598669999999999E-2</v>
      </c>
      <c r="P5597">
        <v>0.99744149999999998</v>
      </c>
      <c r="Q5597">
        <v>2.5995130000000002E-2</v>
      </c>
      <c r="R5597">
        <v>6.6594630000000002E-2</v>
      </c>
      <c r="S5597">
        <v>2.9993289999999999</v>
      </c>
      <c r="T5597">
        <v>-0.24682699999999999</v>
      </c>
      <c r="U5597">
        <v>0.22308349999999999</v>
      </c>
      <c r="V5597">
        <v>-8.1135570000000004E-2</v>
      </c>
      <c r="W5597">
        <v>3.7753500000000002E-2</v>
      </c>
      <c r="X5597">
        <v>0.99598779999999998</v>
      </c>
      <c r="Y5597">
        <v>-8.8378209999999999E-2</v>
      </c>
      <c r="Z5597">
        <v>4.8233080000000001E-3</v>
      </c>
      <c r="AA5597">
        <v>0.9960753</v>
      </c>
      <c r="AB5597">
        <v>35</v>
      </c>
      <c r="AC5597">
        <v>13.3119</v>
      </c>
      <c r="AD5597">
        <v>-1.109516291799</v>
      </c>
      <c r="AE5597">
        <v>1.0052300000000001</v>
      </c>
      <c r="AF5597">
        <v>-1.19124389176685</v>
      </c>
      <c r="AG5597">
        <v>-1.109516291799</v>
      </c>
      <c r="AH5597">
        <v>13.204595070761901</v>
      </c>
      <c r="AI5597">
        <v>94.783660457996305</v>
      </c>
      <c r="AJ5597">
        <v>95.154946695908606</v>
      </c>
      <c r="AK5597">
        <v>13.304563855843901</v>
      </c>
      <c r="AL5597">
        <v>87.836369606042496</v>
      </c>
      <c r="AM5597">
        <v>94.657168798497196</v>
      </c>
      <c r="AN5597">
        <v>1.0000000026151501</v>
      </c>
    </row>
    <row r="5598" spans="1:40" x14ac:dyDescent="0.25">
      <c r="A5598" t="str">
        <f>"20190312151427229"</f>
        <v>20190312151427229</v>
      </c>
      <c r="B5598" t="str">
        <f>"1552374867226430"</f>
        <v>1552374867226430</v>
      </c>
      <c r="C5598" t="s">
        <v>40</v>
      </c>
      <c r="D5598">
        <v>4.9663639999999996</v>
      </c>
      <c r="E5598">
        <v>0.49657620000000002</v>
      </c>
      <c r="F5598" t="s">
        <v>68</v>
      </c>
      <c r="G5598">
        <v>-224.351</v>
      </c>
      <c r="H5598" s="1">
        <v>-1.313891E-6</v>
      </c>
      <c r="I5598">
        <v>-61.864460000000001</v>
      </c>
      <c r="J5598">
        <v>-237.44470000000001</v>
      </c>
      <c r="K5598">
        <v>1.109548</v>
      </c>
      <c r="L5598">
        <v>-62.872280000000003</v>
      </c>
      <c r="M5598">
        <v>0.99982470000000001</v>
      </c>
      <c r="N5598">
        <v>0</v>
      </c>
      <c r="O5598">
        <v>-1.456434E-2</v>
      </c>
      <c r="P5598">
        <v>0.99732980000000004</v>
      </c>
      <c r="Q5598">
        <v>2.586745E-2</v>
      </c>
      <c r="R5598">
        <v>6.8295750000000002E-2</v>
      </c>
      <c r="S5598">
        <v>2.9990540000000001</v>
      </c>
      <c r="T5598">
        <v>-0.25093710000000002</v>
      </c>
      <c r="U5598">
        <v>0.22738649999999999</v>
      </c>
      <c r="V5598">
        <v>-8.2803810000000005E-2</v>
      </c>
      <c r="W5598">
        <v>3.7617690000000002E-2</v>
      </c>
      <c r="X5598">
        <v>0.99585559999999995</v>
      </c>
      <c r="Y5598">
        <v>-8.9755509999999997E-2</v>
      </c>
      <c r="Z5598">
        <v>4.9581119999999998E-3</v>
      </c>
      <c r="AA5598">
        <v>0.99595149999999999</v>
      </c>
      <c r="AB5598">
        <v>35</v>
      </c>
      <c r="AC5598">
        <v>13.0937</v>
      </c>
      <c r="AD5598">
        <v>-1.109549313891</v>
      </c>
      <c r="AE5598">
        <v>1.0078199999999999</v>
      </c>
      <c r="AF5598">
        <v>-1.1899331288818</v>
      </c>
      <c r="AG5598">
        <v>-1.109549313891</v>
      </c>
      <c r="AH5598">
        <v>12.984939595522199</v>
      </c>
      <c r="AI5598">
        <v>94.863718575361503</v>
      </c>
      <c r="AJ5598">
        <v>95.235931433792402</v>
      </c>
      <c r="AK5598">
        <v>13.086469991197999</v>
      </c>
      <c r="AL5598">
        <v>87.844156404349903</v>
      </c>
      <c r="AM5598">
        <v>94.753119289943996</v>
      </c>
      <c r="AN5598">
        <v>0.99999996880140496</v>
      </c>
    </row>
    <row r="5599" spans="1:40" x14ac:dyDescent="0.25">
      <c r="A5599" t="str">
        <f>"20190312151427240"</f>
        <v>20190312151427240</v>
      </c>
      <c r="B5599" t="str">
        <f>"1552374867236190"</f>
        <v>1552374867236190</v>
      </c>
      <c r="C5599" t="s">
        <v>40</v>
      </c>
      <c r="D5599">
        <v>5.0006529999999998</v>
      </c>
      <c r="E5599">
        <v>0.49648359999999903</v>
      </c>
      <c r="F5599" t="s">
        <v>68</v>
      </c>
      <c r="G5599">
        <v>-224.49160000000001</v>
      </c>
      <c r="H5599" s="1">
        <v>-1.3760550000000001E-6</v>
      </c>
      <c r="I5599">
        <v>-61.872720000000001</v>
      </c>
      <c r="J5599">
        <v>-237.27500000000001</v>
      </c>
      <c r="K5599">
        <v>1.109586</v>
      </c>
      <c r="L5599">
        <v>-62.874760000000002</v>
      </c>
      <c r="M5599">
        <v>0.99982539999999998</v>
      </c>
      <c r="N5599">
        <v>0</v>
      </c>
      <c r="O5599">
        <v>-1.4521829999999999E-2</v>
      </c>
      <c r="P5599">
        <v>0.99721230000000005</v>
      </c>
      <c r="Q5599">
        <v>2.5917760000000001E-2</v>
      </c>
      <c r="R5599">
        <v>6.9974410000000001E-2</v>
      </c>
      <c r="S5599">
        <v>2.99884</v>
      </c>
      <c r="T5599">
        <v>-0.25687779999999999</v>
      </c>
      <c r="U5599">
        <v>0.2314148</v>
      </c>
      <c r="V5599">
        <v>-8.4440870000000001E-2</v>
      </c>
      <c r="W5599">
        <v>3.7661060000000003E-2</v>
      </c>
      <c r="X5599">
        <v>0.9957165</v>
      </c>
      <c r="Y5599">
        <v>-9.1026670000000004E-2</v>
      </c>
      <c r="Z5599">
        <v>5.1258040000000003E-3</v>
      </c>
      <c r="AA5599">
        <v>0.99583520000000003</v>
      </c>
      <c r="AB5599">
        <v>35</v>
      </c>
      <c r="AC5599">
        <v>12.7834</v>
      </c>
      <c r="AD5599">
        <v>-1.1095873760549999</v>
      </c>
      <c r="AE5599">
        <v>1.00204</v>
      </c>
      <c r="AF5599">
        <v>-1.1787588911703799</v>
      </c>
      <c r="AG5599">
        <v>-1.1095873760549999</v>
      </c>
      <c r="AH5599">
        <v>12.672606003368299</v>
      </c>
      <c r="AI5599">
        <v>94.982540365650607</v>
      </c>
      <c r="AJ5599">
        <v>95.314150412752298</v>
      </c>
      <c r="AK5599">
        <v>12.7755860759975</v>
      </c>
      <c r="AL5599">
        <v>87.841669753088794</v>
      </c>
      <c r="AM5599">
        <v>94.847320625564294</v>
      </c>
      <c r="AN5599">
        <v>0.99999998216946495</v>
      </c>
    </row>
    <row r="5600" spans="1:40" x14ac:dyDescent="0.25">
      <c r="A5600" t="str">
        <f>"20190312151427251"</f>
        <v>20190312151427251</v>
      </c>
      <c r="B5600" t="str">
        <f>"1552374867245950"</f>
        <v>1552374867245950</v>
      </c>
      <c r="C5600" t="s">
        <v>40</v>
      </c>
      <c r="D5600">
        <v>4.9808190000000003</v>
      </c>
      <c r="E5600">
        <v>0.49641030000000003</v>
      </c>
      <c r="F5600" t="s">
        <v>68</v>
      </c>
      <c r="G5600">
        <v>-224.42699999999999</v>
      </c>
      <c r="H5600" s="1">
        <v>-1.3451409999999999E-6</v>
      </c>
      <c r="I5600">
        <v>-61.858460000000001</v>
      </c>
      <c r="J5600">
        <v>-237.09389999999999</v>
      </c>
      <c r="K5600">
        <v>1.1096159999999999</v>
      </c>
      <c r="L5600">
        <v>-62.877409999999998</v>
      </c>
      <c r="M5600">
        <v>0.99982610000000005</v>
      </c>
      <c r="N5600">
        <v>0</v>
      </c>
      <c r="O5600">
        <v>-1.447265E-2</v>
      </c>
      <c r="P5600">
        <v>0.99706850000000002</v>
      </c>
      <c r="Q5600">
        <v>2.5941949999999998E-2</v>
      </c>
      <c r="R5600">
        <v>7.1980760000000005E-2</v>
      </c>
      <c r="S5600">
        <v>2.9984890000000002</v>
      </c>
      <c r="T5600">
        <v>-0.25895629999999997</v>
      </c>
      <c r="U5600">
        <v>0.23718259999999999</v>
      </c>
      <c r="V5600">
        <v>-8.6398240000000001E-2</v>
      </c>
      <c r="W5600">
        <v>3.767773E-2</v>
      </c>
      <c r="X5600">
        <v>0.99554799999999999</v>
      </c>
      <c r="Y5600">
        <v>-9.2877509999999996E-2</v>
      </c>
      <c r="Z5600">
        <v>5.2427630000000001E-3</v>
      </c>
      <c r="AA5600">
        <v>0.99566379999999999</v>
      </c>
      <c r="AB5600">
        <v>35</v>
      </c>
      <c r="AC5600">
        <v>12.666899999999901</v>
      </c>
      <c r="AD5600">
        <v>-1.1096173451410001</v>
      </c>
      <c r="AE5600">
        <v>1.01894999999999</v>
      </c>
      <c r="AF5600">
        <v>-1.1930830366846199</v>
      </c>
      <c r="AG5600">
        <v>-1.1096173451410001</v>
      </c>
      <c r="AH5600">
        <v>12.5551003680959</v>
      </c>
      <c r="AI5600">
        <v>95.028132184305306</v>
      </c>
      <c r="AJ5600">
        <v>95.428388673091007</v>
      </c>
      <c r="AK5600">
        <v>12.660380840955099</v>
      </c>
      <c r="AL5600">
        <v>87.840714087106406</v>
      </c>
      <c r="AM5600">
        <v>94.959964405061797</v>
      </c>
      <c r="AN5600">
        <v>1.0000000437585199</v>
      </c>
    </row>
    <row r="5601" spans="1:40" x14ac:dyDescent="0.25">
      <c r="A5601" t="str">
        <f>"20190312151427262"</f>
        <v>20190312151427262</v>
      </c>
      <c r="B5601" t="str">
        <f>"1552374867255711"</f>
        <v>1552374867255711</v>
      </c>
      <c r="C5601" t="s">
        <v>40</v>
      </c>
      <c r="D5601">
        <v>4.9992519999999896</v>
      </c>
      <c r="E5601">
        <v>0.49636340000000001</v>
      </c>
      <c r="F5601" t="s">
        <v>68</v>
      </c>
      <c r="G5601">
        <v>-224.3432</v>
      </c>
      <c r="H5601" s="1">
        <v>-1.305047E-6</v>
      </c>
      <c r="I5601">
        <v>-61.839849999999998</v>
      </c>
      <c r="J5601">
        <v>-236.91550000000001</v>
      </c>
      <c r="K5601">
        <v>1.1096429999999999</v>
      </c>
      <c r="L5601">
        <v>-62.879969999999901</v>
      </c>
      <c r="M5601">
        <v>0.99982680000000002</v>
      </c>
      <c r="N5601">
        <v>0</v>
      </c>
      <c r="O5601">
        <v>-1.442102E-2</v>
      </c>
      <c r="P5601">
        <v>0.99693299999999996</v>
      </c>
      <c r="Q5601">
        <v>2.587296E-2</v>
      </c>
      <c r="R5601">
        <v>7.3860140000000005E-2</v>
      </c>
      <c r="S5601">
        <v>2.9980319999999998</v>
      </c>
      <c r="T5601">
        <v>-0.26089980000000002</v>
      </c>
      <c r="U5601">
        <v>0.24395749999999999</v>
      </c>
      <c r="V5601">
        <v>-8.8226470000000001E-2</v>
      </c>
      <c r="W5601">
        <v>3.7601009999999997E-2</v>
      </c>
      <c r="X5601">
        <v>0.99539049999999996</v>
      </c>
      <c r="Y5601">
        <v>-9.5059389999999994E-2</v>
      </c>
      <c r="Z5601">
        <v>5.3724209999999996E-3</v>
      </c>
      <c r="AA5601">
        <v>0.99545709999999998</v>
      </c>
      <c r="AB5601">
        <v>35</v>
      </c>
      <c r="AC5601">
        <v>12.5723</v>
      </c>
      <c r="AD5601">
        <v>-1.109644305047</v>
      </c>
      <c r="AE5601">
        <v>1.0401199999999899</v>
      </c>
      <c r="AF5601">
        <v>-1.2119528158073101</v>
      </c>
      <c r="AG5601">
        <v>-1.109644305047</v>
      </c>
      <c r="AH5601">
        <v>12.4595912634987</v>
      </c>
      <c r="AI5601">
        <v>95.065521106871998</v>
      </c>
      <c r="AJ5601">
        <v>95.555720998255197</v>
      </c>
      <c r="AK5601">
        <v>12.5674800403629</v>
      </c>
      <c r="AL5601">
        <v>87.845112834799394</v>
      </c>
      <c r="AM5601">
        <v>95.065176698266399</v>
      </c>
      <c r="AN5601">
        <v>0.99999999672596496</v>
      </c>
    </row>
    <row r="5602" spans="1:40" x14ac:dyDescent="0.25">
      <c r="A5602" t="str">
        <f>"20190312151427273"</f>
        <v>20190312151427273</v>
      </c>
      <c r="B5602" t="str">
        <f>"1552374867266446"</f>
        <v>1552374867266446</v>
      </c>
      <c r="C5602" t="s">
        <v>40</v>
      </c>
      <c r="D5602">
        <v>5.1153789999999999</v>
      </c>
      <c r="E5602">
        <v>0.49613279999999899</v>
      </c>
      <c r="F5602" t="s">
        <v>68</v>
      </c>
      <c r="G5602">
        <v>-224.2894</v>
      </c>
      <c r="H5602" s="1">
        <v>-1.2791590000000001E-6</v>
      </c>
      <c r="I5602">
        <v>-61.827060000000003</v>
      </c>
      <c r="J5602">
        <v>-236.75470000000001</v>
      </c>
      <c r="K5602">
        <v>1.109658</v>
      </c>
      <c r="L5602">
        <v>-62.88223</v>
      </c>
      <c r="M5602">
        <v>0.99982760000000004</v>
      </c>
      <c r="N5602">
        <v>0</v>
      </c>
      <c r="O5602">
        <v>-1.4371510000000001E-2</v>
      </c>
      <c r="P5602">
        <v>0.99680340000000001</v>
      </c>
      <c r="Q5602">
        <v>2.5904010000000002E-2</v>
      </c>
      <c r="R5602">
        <v>7.5579610000000005E-2</v>
      </c>
      <c r="S5602">
        <v>2.997528</v>
      </c>
      <c r="T5602">
        <v>-0.26343810000000001</v>
      </c>
      <c r="U5602">
        <v>0.24996950000000001</v>
      </c>
      <c r="V5602">
        <v>-8.9896500000000004E-2</v>
      </c>
      <c r="W5602">
        <v>3.7625789999999999E-2</v>
      </c>
      <c r="X5602">
        <v>0.99524020000000002</v>
      </c>
      <c r="Y5602">
        <v>-9.6991220000000003E-2</v>
      </c>
      <c r="Z5602">
        <v>5.5052E-3</v>
      </c>
      <c r="AA5602">
        <v>0.99526999999999999</v>
      </c>
      <c r="AB5602">
        <v>35</v>
      </c>
      <c r="AC5602">
        <v>12.465299999999999</v>
      </c>
      <c r="AD5602">
        <v>-1.1096592791590001</v>
      </c>
      <c r="AE5602">
        <v>1.0551700000000099</v>
      </c>
      <c r="AF5602">
        <v>-1.22458336362203</v>
      </c>
      <c r="AG5602">
        <v>-1.1096592791590001</v>
      </c>
      <c r="AH5602">
        <v>12.3516622056499</v>
      </c>
      <c r="AI5602">
        <v>95.108693366338798</v>
      </c>
      <c r="AJ5602">
        <v>95.661984268401</v>
      </c>
      <c r="AK5602">
        <v>12.461721685736901</v>
      </c>
      <c r="AL5602">
        <v>87.843692194255794</v>
      </c>
      <c r="AM5602">
        <v>95.161317128195293</v>
      </c>
      <c r="AN5602">
        <v>1.0000000682407</v>
      </c>
    </row>
    <row r="5603" spans="1:40" x14ac:dyDescent="0.25">
      <c r="A5603" t="str">
        <f>"20190312151427284"</f>
        <v>20190312151427284</v>
      </c>
      <c r="B5603" t="str">
        <f>"1552374867276206"</f>
        <v>1552374867276206</v>
      </c>
      <c r="C5603" t="s">
        <v>40</v>
      </c>
      <c r="D5603">
        <v>4.9944300000000004</v>
      </c>
      <c r="E5603">
        <v>0.49616529999999998</v>
      </c>
      <c r="F5603" t="s">
        <v>68</v>
      </c>
      <c r="G5603">
        <v>-224.1831</v>
      </c>
      <c r="H5603" s="1">
        <v>-1.228446E-6</v>
      </c>
      <c r="I5603">
        <v>-61.804119999999998</v>
      </c>
      <c r="J5603">
        <v>-236.58019999999999</v>
      </c>
      <c r="K5603">
        <v>1.109675</v>
      </c>
      <c r="L5603">
        <v>-62.884700000000002</v>
      </c>
      <c r="M5603">
        <v>0.9998283</v>
      </c>
      <c r="N5603">
        <v>0</v>
      </c>
      <c r="O5603">
        <v>-1.431675E-2</v>
      </c>
      <c r="P5603">
        <v>0.99664680000000005</v>
      </c>
      <c r="Q5603">
        <v>2.6081839999999998E-2</v>
      </c>
      <c r="R5603">
        <v>7.7557089999999995E-2</v>
      </c>
      <c r="S5603">
        <v>2.9970089999999998</v>
      </c>
      <c r="T5603">
        <v>-0.26453840000000001</v>
      </c>
      <c r="U5603">
        <v>0.257019</v>
      </c>
      <c r="V5603">
        <v>-9.1819170000000006E-2</v>
      </c>
      <c r="W5603">
        <v>3.7797329999999997E-2</v>
      </c>
      <c r="X5603">
        <v>0.99505809999999995</v>
      </c>
      <c r="Y5603">
        <v>-9.9262989999999995E-2</v>
      </c>
      <c r="Z5603">
        <v>5.623584E-3</v>
      </c>
      <c r="AA5603">
        <v>0.99504539999999997</v>
      </c>
      <c r="AB5603">
        <v>35</v>
      </c>
      <c r="AC5603">
        <v>12.397099999999901</v>
      </c>
      <c r="AD5603">
        <v>-1.109676228446</v>
      </c>
      <c r="AE5603">
        <v>1.0805800000000001</v>
      </c>
      <c r="AF5603">
        <v>-1.24804351301898</v>
      </c>
      <c r="AG5603">
        <v>-1.109676228446</v>
      </c>
      <c r="AH5603">
        <v>12.2826883447103</v>
      </c>
      <c r="AI5603">
        <v>95.136053935549498</v>
      </c>
      <c r="AJ5603">
        <v>95.801909303502697</v>
      </c>
      <c r="AK5603">
        <v>12.3957019533243</v>
      </c>
      <c r="AL5603">
        <v>87.833856554898603</v>
      </c>
      <c r="AM5603">
        <v>95.272049141302702</v>
      </c>
      <c r="AN5603">
        <v>1.0000000102551101</v>
      </c>
    </row>
    <row r="5604" spans="1:40" x14ac:dyDescent="0.25">
      <c r="A5604" t="str">
        <f>"20190312151427296"</f>
        <v>20190312151427296</v>
      </c>
      <c r="B5604" t="str">
        <f>"1552374867285966"</f>
        <v>1552374867285966</v>
      </c>
      <c r="C5604" t="s">
        <v>40</v>
      </c>
      <c r="D5604">
        <v>4.9499760000000004</v>
      </c>
      <c r="E5604">
        <v>0.4961178</v>
      </c>
      <c r="F5604" t="s">
        <v>68</v>
      </c>
      <c r="G5604">
        <v>-224.0821</v>
      </c>
      <c r="H5604" s="1">
        <v>-1.18172E-6</v>
      </c>
      <c r="I5604">
        <v>-61.788809999999998</v>
      </c>
      <c r="J5604">
        <v>-236.39750000000001</v>
      </c>
      <c r="K5604">
        <v>1.1096900000000001</v>
      </c>
      <c r="L5604">
        <v>-62.887270000000001</v>
      </c>
      <c r="M5604">
        <v>0.99982910000000003</v>
      </c>
      <c r="N5604">
        <v>0</v>
      </c>
      <c r="O5604">
        <v>-1.425621E-2</v>
      </c>
      <c r="P5604">
        <v>0.99648340000000002</v>
      </c>
      <c r="Q5604">
        <v>2.6046090000000001E-2</v>
      </c>
      <c r="R5604">
        <v>7.9639080000000001E-2</v>
      </c>
      <c r="S5604">
        <v>2.996597</v>
      </c>
      <c r="T5604">
        <v>-0.26606089999999999</v>
      </c>
      <c r="U5604">
        <v>0.2627563</v>
      </c>
      <c r="V5604">
        <v>-9.3839469999999994E-2</v>
      </c>
      <c r="W5604">
        <v>3.7755879999999999E-2</v>
      </c>
      <c r="X5604">
        <v>0.99487119999999996</v>
      </c>
      <c r="Y5604">
        <v>-0.10109310000000001</v>
      </c>
      <c r="Z5604">
        <v>5.7317139999999997E-3</v>
      </c>
      <c r="AA5604">
        <v>0.99486050000000004</v>
      </c>
      <c r="AB5604">
        <v>35</v>
      </c>
      <c r="AC5604">
        <v>12.3154</v>
      </c>
      <c r="AD5604">
        <v>-1.1096911817199999</v>
      </c>
      <c r="AE5604">
        <v>1.09845999999999</v>
      </c>
      <c r="AF5604">
        <v>-1.2637519160550901</v>
      </c>
      <c r="AG5604">
        <v>-1.1096911817199999</v>
      </c>
      <c r="AH5604">
        <v>12.2002145200605</v>
      </c>
      <c r="AI5604">
        <v>95.169624747422603</v>
      </c>
      <c r="AJ5604">
        <v>95.913857833840794</v>
      </c>
      <c r="AK5604">
        <v>12.3155884049287</v>
      </c>
      <c r="AL5604">
        <v>87.836233201041097</v>
      </c>
      <c r="AM5604">
        <v>95.388381099130001</v>
      </c>
      <c r="AN5604">
        <v>1.0000000285969399</v>
      </c>
    </row>
    <row r="5605" spans="1:40" x14ac:dyDescent="0.25">
      <c r="A5605" t="str">
        <f>"20190312151427307"</f>
        <v>20190312151427307</v>
      </c>
      <c r="B5605" t="str">
        <f>"1552374867295726"</f>
        <v>1552374867295726</v>
      </c>
      <c r="C5605" t="s">
        <v>40</v>
      </c>
      <c r="D5605">
        <v>4.9584970000000004</v>
      </c>
      <c r="E5605">
        <v>0.49607630000000003</v>
      </c>
      <c r="F5605" t="s">
        <v>68</v>
      </c>
      <c r="G5605">
        <v>-223.9794</v>
      </c>
      <c r="H5605" s="1">
        <v>-1.133776E-6</v>
      </c>
      <c r="I5605">
        <v>-61.771369999999997</v>
      </c>
      <c r="J5605">
        <v>-236.2277</v>
      </c>
      <c r="K5605">
        <v>1.109701</v>
      </c>
      <c r="L5605">
        <v>-62.889679999999998</v>
      </c>
      <c r="M5605">
        <v>0.99983010000000005</v>
      </c>
      <c r="N5605">
        <v>0</v>
      </c>
      <c r="O5605">
        <v>-1.4199399999999999E-2</v>
      </c>
      <c r="P5605">
        <v>0.99631860000000005</v>
      </c>
      <c r="Q5605">
        <v>2.5876529999999998E-2</v>
      </c>
      <c r="R5605">
        <v>8.1730460000000005E-2</v>
      </c>
      <c r="S5605">
        <v>2.996048</v>
      </c>
      <c r="T5605">
        <v>-0.26772889999999999</v>
      </c>
      <c r="U5605">
        <v>0.26922610000000002</v>
      </c>
      <c r="V5605">
        <v>-9.5873150000000004E-2</v>
      </c>
      <c r="W5605">
        <v>3.7580519999999999E-2</v>
      </c>
      <c r="X5605">
        <v>0.99468389999999995</v>
      </c>
      <c r="Y5605">
        <v>-0.1031701</v>
      </c>
      <c r="Z5605">
        <v>5.8553839999999999E-3</v>
      </c>
      <c r="AA5605">
        <v>0.99464649999999999</v>
      </c>
      <c r="AB5605">
        <v>35</v>
      </c>
      <c r="AC5605">
        <v>12.2483</v>
      </c>
      <c r="AD5605">
        <v>-1.109702133776</v>
      </c>
      <c r="AE5605">
        <v>1.1183099999999999</v>
      </c>
      <c r="AF5605">
        <v>-1.2816940218638799</v>
      </c>
      <c r="AG5605">
        <v>-1.109702133776</v>
      </c>
      <c r="AH5605">
        <v>12.1324195321374</v>
      </c>
      <c r="AI5605">
        <v>95.197304673545801</v>
      </c>
      <c r="AJ5605">
        <v>96.030477761586397</v>
      </c>
      <c r="AK5605">
        <v>12.250297224768801</v>
      </c>
      <c r="AL5605">
        <v>87.846287681354497</v>
      </c>
      <c r="AM5605">
        <v>95.505478029881303</v>
      </c>
      <c r="AN5605">
        <v>1.0000000086467999</v>
      </c>
    </row>
    <row r="5606" spans="1:40" x14ac:dyDescent="0.25">
      <c r="A5606" t="str">
        <f>"20190312151427319"</f>
        <v>20190312151427319</v>
      </c>
      <c r="B5606" t="str">
        <f>"1552374867316221"</f>
        <v>1552374867316221</v>
      </c>
      <c r="C5606" t="s">
        <v>40</v>
      </c>
      <c r="D5606">
        <v>4.9188710000000002</v>
      </c>
      <c r="E5606">
        <v>0.49597659999999999</v>
      </c>
      <c r="F5606" t="s">
        <v>68</v>
      </c>
      <c r="G5606">
        <v>-223.87909999999999</v>
      </c>
      <c r="H5606" s="1">
        <v>-1.086588E-6</v>
      </c>
      <c r="I5606">
        <v>-61.75264</v>
      </c>
      <c r="J5606">
        <v>-236.04570000000001</v>
      </c>
      <c r="K5606">
        <v>1.109712</v>
      </c>
      <c r="L5606">
        <v>-62.892180000000003</v>
      </c>
      <c r="M5606">
        <v>0.99983080000000002</v>
      </c>
      <c r="N5606">
        <v>0</v>
      </c>
      <c r="O5606">
        <v>-1.413643E-2</v>
      </c>
      <c r="P5606">
        <v>0.996147</v>
      </c>
      <c r="Q5606">
        <v>2.600854E-2</v>
      </c>
      <c r="R5606">
        <v>8.3754099999999998E-2</v>
      </c>
      <c r="S5606">
        <v>2.9954679999999998</v>
      </c>
      <c r="T5606">
        <v>-0.2691866</v>
      </c>
      <c r="U5606">
        <v>0.2758179</v>
      </c>
      <c r="V5606">
        <v>-9.7831829999999995E-2</v>
      </c>
      <c r="W5606">
        <v>3.7707749999999998E-2</v>
      </c>
      <c r="X5606">
        <v>0.99448840000000005</v>
      </c>
      <c r="Y5606">
        <v>-0.1052819</v>
      </c>
      <c r="Z5606">
        <v>5.9765510000000001E-3</v>
      </c>
      <c r="AA5606">
        <v>0.99442450000000004</v>
      </c>
      <c r="AB5606">
        <v>35</v>
      </c>
      <c r="AC5606">
        <v>12.166600000000001</v>
      </c>
      <c r="AD5606">
        <v>-1.1097130865880001</v>
      </c>
      <c r="AE5606">
        <v>1.13954</v>
      </c>
      <c r="AF5606">
        <v>-1.3007035722443001</v>
      </c>
      <c r="AG5606">
        <v>-1.1097130865880001</v>
      </c>
      <c r="AH5606">
        <v>12.0498998550951</v>
      </c>
      <c r="AI5606">
        <v>95.231486963018099</v>
      </c>
      <c r="AJ5606">
        <v>96.160830008957404</v>
      </c>
      <c r="AK5606">
        <v>12.170594867762899</v>
      </c>
      <c r="AL5606">
        <v>87.838992878872801</v>
      </c>
      <c r="AM5606">
        <v>95.618339438465497</v>
      </c>
      <c r="AN5606">
        <v>1.00000005955288</v>
      </c>
    </row>
    <row r="5607" spans="1:40" x14ac:dyDescent="0.25">
      <c r="A5607" t="str">
        <f>"20190312151427331"</f>
        <v>20190312151427331</v>
      </c>
      <c r="B5607" t="str">
        <f>"1552374867325982"</f>
        <v>1552374867325982</v>
      </c>
      <c r="C5607" t="s">
        <v>40</v>
      </c>
      <c r="D5607">
        <v>4.9490499999999997</v>
      </c>
      <c r="E5607">
        <v>0.49596499999999999</v>
      </c>
      <c r="F5607" t="s">
        <v>68</v>
      </c>
      <c r="G5607">
        <v>-223.7329</v>
      </c>
      <c r="H5607" s="1">
        <v>-1.018775E-6</v>
      </c>
      <c r="I5607">
        <v>-61.72974</v>
      </c>
      <c r="J5607">
        <v>-235.86009999999999</v>
      </c>
      <c r="K5607">
        <v>1.1097220000000001</v>
      </c>
      <c r="L5607">
        <v>-62.894779999999997</v>
      </c>
      <c r="M5607">
        <v>0.99983180000000005</v>
      </c>
      <c r="N5607">
        <v>0</v>
      </c>
      <c r="O5607">
        <v>-1.4071800000000001E-2</v>
      </c>
      <c r="P5607">
        <v>0.99597840000000004</v>
      </c>
      <c r="Q5607">
        <v>2.5882809999999999E-2</v>
      </c>
      <c r="R5607">
        <v>8.5776599999999995E-2</v>
      </c>
      <c r="S5607">
        <v>2.994888</v>
      </c>
      <c r="T5607">
        <v>-0.26992080000000002</v>
      </c>
      <c r="U5607">
        <v>0.28274539999999998</v>
      </c>
      <c r="V5607">
        <v>-9.9789180000000005E-2</v>
      </c>
      <c r="W5607">
        <v>3.7577670000000001E-2</v>
      </c>
      <c r="X5607">
        <v>0.99429880000000004</v>
      </c>
      <c r="Y5607">
        <v>-0.107504</v>
      </c>
      <c r="Z5607">
        <v>6.0872160000000003E-3</v>
      </c>
      <c r="AA5607">
        <v>0.99418600000000001</v>
      </c>
      <c r="AB5607">
        <v>35</v>
      </c>
      <c r="AC5607">
        <v>12.127199999999901</v>
      </c>
      <c r="AD5607">
        <v>-1.10972301877499</v>
      </c>
      <c r="AE5607">
        <v>1.1650400000000001</v>
      </c>
      <c r="AF5607">
        <v>-1.32459785121975</v>
      </c>
      <c r="AG5607">
        <v>-1.10972301877499</v>
      </c>
      <c r="AH5607">
        <v>12.009957756131</v>
      </c>
      <c r="AI5607">
        <v>95.247513592926296</v>
      </c>
      <c r="AJ5607">
        <v>96.293807530825205</v>
      </c>
      <c r="AK5607">
        <v>12.1336363036769</v>
      </c>
      <c r="AL5607">
        <v>87.846451141581198</v>
      </c>
      <c r="AM5607">
        <v>95.731091822606004</v>
      </c>
      <c r="AN5607">
        <v>1.0000000327045699</v>
      </c>
    </row>
    <row r="5608" spans="1:40" x14ac:dyDescent="0.25">
      <c r="A5608" t="str">
        <f>"20190312151427343"</f>
        <v>20190312151427343</v>
      </c>
      <c r="B5608" t="str">
        <f>"1552374867335742"</f>
        <v>1552374867335742</v>
      </c>
      <c r="C5608" t="s">
        <v>40</v>
      </c>
      <c r="D5608">
        <v>4.9106779999999999</v>
      </c>
      <c r="E5608">
        <v>0.49596420000000002</v>
      </c>
      <c r="F5608" t="s">
        <v>68</v>
      </c>
      <c r="G5608">
        <v>-223.58349999999999</v>
      </c>
      <c r="H5608" s="1">
        <v>-9.5029930000000003E-7</v>
      </c>
      <c r="I5608">
        <v>-61.71011</v>
      </c>
      <c r="J5608">
        <v>-235.661</v>
      </c>
      <c r="K5608">
        <v>1.109729</v>
      </c>
      <c r="L5608">
        <v>-62.897489999999998</v>
      </c>
      <c r="M5608">
        <v>0.99983270000000002</v>
      </c>
      <c r="N5608">
        <v>0</v>
      </c>
      <c r="O5608">
        <v>-1.4001710000000001E-2</v>
      </c>
      <c r="P5608">
        <v>0.99580500000000005</v>
      </c>
      <c r="Q5608">
        <v>2.5812479999999999E-2</v>
      </c>
      <c r="R5608">
        <v>8.7785970000000005E-2</v>
      </c>
      <c r="S5608">
        <v>2.994278</v>
      </c>
      <c r="T5608">
        <v>-0.27066210000000002</v>
      </c>
      <c r="U5608">
        <v>0.28894039999999999</v>
      </c>
      <c r="V5608">
        <v>-0.1017265</v>
      </c>
      <c r="W5608">
        <v>3.7502380000000002E-2</v>
      </c>
      <c r="X5608">
        <v>0.99410529999999997</v>
      </c>
      <c r="Y5608">
        <v>-0.10948090000000001</v>
      </c>
      <c r="Z5608">
        <v>6.1871620000000004E-3</v>
      </c>
      <c r="AA5608">
        <v>0.99396960000000001</v>
      </c>
      <c r="AB5608">
        <v>35</v>
      </c>
      <c r="AC5608">
        <v>12.077499999999899</v>
      </c>
      <c r="AD5608">
        <v>-1.1097299502993001</v>
      </c>
      <c r="AE5608">
        <v>1.1873800000000001</v>
      </c>
      <c r="AF5608">
        <v>-1.34513313521079</v>
      </c>
      <c r="AG5608">
        <v>-1.1097299502993001</v>
      </c>
      <c r="AH5608">
        <v>11.9596841632893</v>
      </c>
      <c r="AI5608">
        <v>95.268223857334704</v>
      </c>
      <c r="AJ5608">
        <v>96.417219231817</v>
      </c>
      <c r="AK5608">
        <v>12.0861461599496</v>
      </c>
      <c r="AL5608">
        <v>87.850767974255007</v>
      </c>
      <c r="AM5608">
        <v>95.842722963958394</v>
      </c>
      <c r="AN5608">
        <v>1.000000028398</v>
      </c>
    </row>
    <row r="5609" spans="1:40" x14ac:dyDescent="0.25">
      <c r="A5609" t="str">
        <f>"20190312151427357"</f>
        <v>20190312151427357</v>
      </c>
      <c r="B5609" t="str">
        <f>"1552374867346478"</f>
        <v>1552374867346478</v>
      </c>
      <c r="C5609" t="s">
        <v>40</v>
      </c>
      <c r="D5609">
        <v>4.9540670000000002</v>
      </c>
      <c r="E5609">
        <v>0.49601250000000002</v>
      </c>
      <c r="F5609" t="s">
        <v>68</v>
      </c>
      <c r="G5609">
        <v>-223.46279999999999</v>
      </c>
      <c r="H5609" s="1">
        <v>-8.9515210000000001E-7</v>
      </c>
      <c r="I5609">
        <v>-61.69491</v>
      </c>
      <c r="J5609">
        <v>-235.46</v>
      </c>
      <c r="K5609">
        <v>1.1097330000000001</v>
      </c>
      <c r="L5609">
        <v>-62.900239999999997</v>
      </c>
      <c r="M5609">
        <v>0.99983390000000005</v>
      </c>
      <c r="N5609">
        <v>0</v>
      </c>
      <c r="O5609">
        <v>-1.3930929999999999E-2</v>
      </c>
      <c r="P5609">
        <v>0.99562660000000003</v>
      </c>
      <c r="Q5609">
        <v>2.5848779999999998E-2</v>
      </c>
      <c r="R5609">
        <v>8.9777220000000005E-2</v>
      </c>
      <c r="S5609">
        <v>2.993668</v>
      </c>
      <c r="T5609">
        <v>-0.27234779999999997</v>
      </c>
      <c r="U5609">
        <v>0.2951355</v>
      </c>
      <c r="V5609">
        <v>-0.1036456</v>
      </c>
      <c r="W5609">
        <v>3.7534310000000001E-2</v>
      </c>
      <c r="X5609">
        <v>0.99390579999999995</v>
      </c>
      <c r="Y5609">
        <v>-0.1114531</v>
      </c>
      <c r="Z5609">
        <v>6.3090809999999898E-3</v>
      </c>
      <c r="AA5609">
        <v>0.99374969999999996</v>
      </c>
      <c r="AB5609">
        <v>35</v>
      </c>
      <c r="AC5609">
        <v>11.997199999999999</v>
      </c>
      <c r="AD5609">
        <v>-1.1097338951521001</v>
      </c>
      <c r="AE5609">
        <v>1.20533</v>
      </c>
      <c r="AF5609">
        <v>-1.3608296159065001</v>
      </c>
      <c r="AG5609">
        <v>-1.1097338951521001</v>
      </c>
      <c r="AH5609">
        <v>11.878623558248201</v>
      </c>
      <c r="AI5609">
        <v>95.302754508129794</v>
      </c>
      <c r="AJ5609">
        <v>96.535383107883007</v>
      </c>
      <c r="AK5609">
        <v>12.0077085324448</v>
      </c>
      <c r="AL5609">
        <v>87.848937142128605</v>
      </c>
      <c r="AM5609">
        <v>95.953349708477901</v>
      </c>
      <c r="AN5609">
        <v>0.99999998705008697</v>
      </c>
    </row>
    <row r="5610" spans="1:40" x14ac:dyDescent="0.25">
      <c r="A5610" t="str">
        <f>"20190312151427368"</f>
        <v>20190312151427368</v>
      </c>
      <c r="B5610" t="str">
        <f>"1552374867365997"</f>
        <v>1552374867365997</v>
      </c>
      <c r="C5610" t="s">
        <v>40</v>
      </c>
      <c r="D5610">
        <v>4.9161000000000001</v>
      </c>
      <c r="E5610">
        <v>0.49622260000000001</v>
      </c>
      <c r="F5610" t="s">
        <v>68</v>
      </c>
      <c r="G5610">
        <v>-223.2662</v>
      </c>
      <c r="H5610" s="1">
        <v>-8.0633459999999995E-7</v>
      </c>
      <c r="I5610">
        <v>-61.674750000000003</v>
      </c>
      <c r="J5610">
        <v>-235.2731</v>
      </c>
      <c r="K5610">
        <v>1.109739</v>
      </c>
      <c r="L5610">
        <v>-62.902799999999999</v>
      </c>
      <c r="M5610">
        <v>0.99983469999999997</v>
      </c>
      <c r="N5610">
        <v>0</v>
      </c>
      <c r="O5610">
        <v>-1.386505E-2</v>
      </c>
      <c r="P5610">
        <v>0.99544860000000002</v>
      </c>
      <c r="Q5610">
        <v>2.5735830000000001E-2</v>
      </c>
      <c r="R5610">
        <v>9.1759759999999996E-2</v>
      </c>
      <c r="S5610">
        <v>2.9931179999999999</v>
      </c>
      <c r="T5610">
        <v>-0.27239920000000001</v>
      </c>
      <c r="U5610">
        <v>0.30081180000000002</v>
      </c>
      <c r="V5610">
        <v>-0.10556</v>
      </c>
      <c r="W5610">
        <v>3.7417560000000002E-2</v>
      </c>
      <c r="X5610">
        <v>0.9937087</v>
      </c>
      <c r="Y5610">
        <v>-0.113264</v>
      </c>
      <c r="Z5610">
        <v>6.3868859999999996E-3</v>
      </c>
      <c r="AA5610">
        <v>0.99354439999999999</v>
      </c>
      <c r="AB5610">
        <v>35</v>
      </c>
      <c r="AC5610">
        <v>12.0069</v>
      </c>
      <c r="AD5610">
        <v>-1.1097398063346</v>
      </c>
      <c r="AE5610">
        <v>1.2280499999999901</v>
      </c>
      <c r="AF5610">
        <v>-1.38273015501325</v>
      </c>
      <c r="AG5610">
        <v>-1.1097398063346</v>
      </c>
      <c r="AH5610">
        <v>11.888214847318499</v>
      </c>
      <c r="AI5610">
        <v>95.297478673582603</v>
      </c>
      <c r="AJ5610">
        <v>96.634319660218793</v>
      </c>
      <c r="AK5610">
        <v>12.0196970583851</v>
      </c>
      <c r="AL5610">
        <v>87.855631120095595</v>
      </c>
      <c r="AM5610">
        <v>96.063693807575206</v>
      </c>
      <c r="AN5610">
        <v>0.99999998392602096</v>
      </c>
    </row>
    <row r="5611" spans="1:40" x14ac:dyDescent="0.25">
      <c r="A5611" t="str">
        <f>"20190312151427379"</f>
        <v>20190312151427379</v>
      </c>
      <c r="B5611" t="str">
        <f>"1552374867375758"</f>
        <v>1552374867375758</v>
      </c>
      <c r="C5611" t="s">
        <v>40</v>
      </c>
      <c r="D5611">
        <v>4.9288959999999999</v>
      </c>
      <c r="E5611">
        <v>0.4962802</v>
      </c>
      <c r="F5611" t="s">
        <v>68</v>
      </c>
      <c r="G5611">
        <v>-223.15889999999999</v>
      </c>
      <c r="H5611" s="1">
        <v>-7.5871119999999895E-7</v>
      </c>
      <c r="I5611">
        <v>-61.667589999999997</v>
      </c>
      <c r="J5611">
        <v>-235.10390000000001</v>
      </c>
      <c r="K5611">
        <v>1.1097490000000001</v>
      </c>
      <c r="L5611">
        <v>-62.905090000000001</v>
      </c>
      <c r="M5611">
        <v>0.99983549999999999</v>
      </c>
      <c r="N5611">
        <v>0</v>
      </c>
      <c r="O5611">
        <v>-1.380527E-2</v>
      </c>
      <c r="P5611">
        <v>0.99521170000000003</v>
      </c>
      <c r="Q5611">
        <v>2.5806829999999999E-2</v>
      </c>
      <c r="R5611">
        <v>9.4277020000000003E-2</v>
      </c>
      <c r="S5611">
        <v>2.9926759999999999</v>
      </c>
      <c r="T5611">
        <v>-0.27414909999999998</v>
      </c>
      <c r="U5611">
        <v>0.30514530000000001</v>
      </c>
      <c r="V5611">
        <v>-0.108014899999999</v>
      </c>
      <c r="W5611">
        <v>3.748427E-2</v>
      </c>
      <c r="X5611">
        <v>0.99344239999999995</v>
      </c>
      <c r="Y5611">
        <v>-0.114631</v>
      </c>
      <c r="Z5611">
        <v>6.4850960000000001E-3</v>
      </c>
      <c r="AA5611">
        <v>0.99338700000000002</v>
      </c>
      <c r="AB5611">
        <v>35</v>
      </c>
      <c r="AC5611">
        <v>11.945</v>
      </c>
      <c r="AD5611">
        <v>-1.1097497587112</v>
      </c>
      <c r="AE5611">
        <v>1.2374999999999901</v>
      </c>
      <c r="AF5611">
        <v>-1.3904236474021301</v>
      </c>
      <c r="AG5611">
        <v>-1.1097497587112</v>
      </c>
      <c r="AH5611">
        <v>11.825787914549201</v>
      </c>
      <c r="AI5611">
        <v>95.324558192521806</v>
      </c>
      <c r="AJ5611">
        <v>96.705796171556003</v>
      </c>
      <c r="AK5611">
        <v>11.9588495368958</v>
      </c>
      <c r="AL5611">
        <v>87.851806367894298</v>
      </c>
      <c r="AM5611">
        <v>96.205273647306797</v>
      </c>
      <c r="AN5611">
        <v>1.0000000456186</v>
      </c>
    </row>
    <row r="5612" spans="1:40" x14ac:dyDescent="0.25">
      <c r="A5612" t="str">
        <f>"20190312151427391"</f>
        <v>20190312151427391</v>
      </c>
      <c r="B5612" t="str">
        <f>"1552374867386494"</f>
        <v>1552374867386494</v>
      </c>
      <c r="C5612" t="s">
        <v>40</v>
      </c>
      <c r="D5612">
        <v>5.1811530000000001</v>
      </c>
      <c r="E5612">
        <v>0.4962802</v>
      </c>
      <c r="F5612" t="s">
        <v>68</v>
      </c>
      <c r="G5612">
        <v>-222.98660000000001</v>
      </c>
      <c r="H5612" s="1">
        <v>-6.7881990000000005E-7</v>
      </c>
      <c r="I5612">
        <v>-61.640830000000001</v>
      </c>
      <c r="J5612">
        <v>-234.9282</v>
      </c>
      <c r="K5612">
        <v>1.1097549999999901</v>
      </c>
      <c r="L5612">
        <v>-62.907440000000001</v>
      </c>
      <c r="M5612">
        <v>0.99983630000000001</v>
      </c>
      <c r="N5612">
        <v>0</v>
      </c>
      <c r="O5612">
        <v>-1.3742030000000001E-2</v>
      </c>
      <c r="P5612">
        <v>0.9949865</v>
      </c>
      <c r="Q5612">
        <v>2.589135E-2</v>
      </c>
      <c r="R5612">
        <v>9.6602250000000001E-2</v>
      </c>
      <c r="S5612">
        <v>2.9919739999999999</v>
      </c>
      <c r="T5612">
        <v>-0.2740146</v>
      </c>
      <c r="U5612">
        <v>0.31216430000000001</v>
      </c>
      <c r="V5612">
        <v>-0.11027380000000001</v>
      </c>
      <c r="W5612">
        <v>3.7564319999999998E-2</v>
      </c>
      <c r="X5612">
        <v>0.99319109999999999</v>
      </c>
      <c r="Y5612">
        <v>-0.1168886</v>
      </c>
      <c r="Z5612">
        <v>6.5797859999999998E-3</v>
      </c>
      <c r="AA5612">
        <v>0.99312319999999998</v>
      </c>
      <c r="AB5612">
        <v>35</v>
      </c>
      <c r="AC5612">
        <v>11.9415999999999</v>
      </c>
      <c r="AD5612">
        <v>-1.1097556788198999</v>
      </c>
      <c r="AE5612">
        <v>1.26661</v>
      </c>
      <c r="AF5612">
        <v>-1.4184893081318799</v>
      </c>
      <c r="AG5612">
        <v>-1.1097556788198999</v>
      </c>
      <c r="AH5612">
        <v>11.8221014276648</v>
      </c>
      <c r="AI5612">
        <v>95.324742211142706</v>
      </c>
      <c r="AJ5612">
        <v>96.841995300206406</v>
      </c>
      <c r="AK5612">
        <v>11.9585012334302</v>
      </c>
      <c r="AL5612">
        <v>87.847216456598403</v>
      </c>
      <c r="AM5612">
        <v>96.335589211813897</v>
      </c>
      <c r="AN5612">
        <v>0.99999997511135497</v>
      </c>
    </row>
    <row r="5613" spans="1:40" x14ac:dyDescent="0.25">
      <c r="A5613" t="str">
        <f>"20190312151427401"</f>
        <v>20190312151427401</v>
      </c>
      <c r="B5613" t="str">
        <f>"1552374867396254"</f>
        <v>1552374867396254</v>
      </c>
      <c r="C5613" t="s">
        <v>40</v>
      </c>
      <c r="D5613">
        <v>4.8910339999999897</v>
      </c>
      <c r="E5613">
        <v>0.4953224</v>
      </c>
      <c r="F5613" t="s">
        <v>68</v>
      </c>
      <c r="G5613">
        <v>-222.80240000000001</v>
      </c>
      <c r="H5613" s="1">
        <v>-5.9379419999999996E-7</v>
      </c>
      <c r="I5613">
        <v>-61.613799999999998</v>
      </c>
      <c r="J5613">
        <v>-234.7578</v>
      </c>
      <c r="K5613">
        <v>1.109761</v>
      </c>
      <c r="L5613">
        <v>-62.909730000000003</v>
      </c>
      <c r="M5613">
        <v>0.99983719999999998</v>
      </c>
      <c r="N5613">
        <v>0</v>
      </c>
      <c r="O5613">
        <v>-1.367962E-2</v>
      </c>
      <c r="P5613">
        <v>0.99477090000000001</v>
      </c>
      <c r="Q5613">
        <v>2.583251E-2</v>
      </c>
      <c r="R5613">
        <v>9.8810369999999995E-2</v>
      </c>
      <c r="S5613">
        <v>2.9912719999999999</v>
      </c>
      <c r="T5613">
        <v>-0.27376139999999999</v>
      </c>
      <c r="U5613">
        <v>0.31912230000000003</v>
      </c>
      <c r="V5613">
        <v>-0.1124178</v>
      </c>
      <c r="W5613">
        <v>3.7501430000000002E-2</v>
      </c>
      <c r="X5613">
        <v>0.99295310000000003</v>
      </c>
      <c r="Y5613">
        <v>-0.11912689999999999</v>
      </c>
      <c r="Z5613">
        <v>6.6707090000000004E-3</v>
      </c>
      <c r="AA5613">
        <v>0.99285659999999998</v>
      </c>
      <c r="AB5613">
        <v>35</v>
      </c>
      <c r="AC5613">
        <v>11.9553999999999</v>
      </c>
      <c r="AD5613">
        <v>-1.1097615937942</v>
      </c>
      <c r="AE5613">
        <v>1.29593</v>
      </c>
      <c r="AF5613">
        <v>-1.4470417324295399</v>
      </c>
      <c r="AG5613">
        <v>-1.1097615937942</v>
      </c>
      <c r="AH5613">
        <v>11.835753656233299</v>
      </c>
      <c r="AI5613">
        <v>95.317228411115096</v>
      </c>
      <c r="AJ5613">
        <v>96.970401259141198</v>
      </c>
      <c r="AK5613">
        <v>11.9754150317011</v>
      </c>
      <c r="AL5613">
        <v>87.850822358641196</v>
      </c>
      <c r="AM5613">
        <v>96.459273016258294</v>
      </c>
      <c r="AN5613">
        <v>0.99999998890424702</v>
      </c>
    </row>
    <row r="5614" spans="1:40" x14ac:dyDescent="0.25">
      <c r="A5614" t="str">
        <f>"20190312151427412"</f>
        <v>20190312151427412</v>
      </c>
      <c r="B5614" t="str">
        <f>"1552374867406013"</f>
        <v>1552374867406013</v>
      </c>
      <c r="C5614" t="s">
        <v>40</v>
      </c>
      <c r="D5614">
        <v>4.7762799999999999</v>
      </c>
      <c r="E5614">
        <v>0.49413689999999999</v>
      </c>
      <c r="F5614" t="s">
        <v>68</v>
      </c>
      <c r="G5614">
        <v>-222.78800000000001</v>
      </c>
      <c r="H5614" s="1">
        <v>-5.7904619999999997E-7</v>
      </c>
      <c r="I5614">
        <v>-61.575189999999999</v>
      </c>
      <c r="J5614">
        <v>-234.5883</v>
      </c>
      <c r="K5614">
        <v>1.109761</v>
      </c>
      <c r="L5614">
        <v>-62.911990000000003</v>
      </c>
      <c r="M5614">
        <v>0.99983809999999995</v>
      </c>
      <c r="N5614">
        <v>0</v>
      </c>
      <c r="O5614">
        <v>-1.361338E-2</v>
      </c>
      <c r="P5614">
        <v>0.99458959999999996</v>
      </c>
      <c r="Q5614">
        <v>2.5680999999999999E-2</v>
      </c>
      <c r="R5614">
        <v>0.10065929999999999</v>
      </c>
      <c r="S5614">
        <v>2.9898530000000001</v>
      </c>
      <c r="T5614">
        <v>-0.27719870000000002</v>
      </c>
      <c r="U5614">
        <v>0.33334350000000001</v>
      </c>
      <c r="V5614">
        <v>-0.11419899999999999</v>
      </c>
      <c r="W5614">
        <v>3.7345599999999902E-2</v>
      </c>
      <c r="X5614">
        <v>0.99275570000000002</v>
      </c>
      <c r="Y5614">
        <v>-0.1237432</v>
      </c>
      <c r="Z5614">
        <v>6.9623380000000002E-3</v>
      </c>
      <c r="AA5614">
        <v>0.9922898</v>
      </c>
      <c r="AB5614">
        <v>35</v>
      </c>
      <c r="AC5614">
        <v>11.8003</v>
      </c>
      <c r="AD5614">
        <v>-1.1097615790461901</v>
      </c>
      <c r="AE5614">
        <v>1.3368</v>
      </c>
      <c r="AF5614">
        <v>-1.48436706215172</v>
      </c>
      <c r="AG5614">
        <v>-1.1097615790461901</v>
      </c>
      <c r="AH5614">
        <v>11.6790204835452</v>
      </c>
      <c r="AI5614">
        <v>95.384988947199602</v>
      </c>
      <c r="AJ5614">
        <v>97.243279676383196</v>
      </c>
      <c r="AK5614">
        <v>11.825161131781501</v>
      </c>
      <c r="AL5614">
        <v>87.859757026890904</v>
      </c>
      <c r="AM5614">
        <v>96.562024514959305</v>
      </c>
      <c r="AN5614">
        <v>0.99999999266142403</v>
      </c>
    </row>
    <row r="5615" spans="1:40" x14ac:dyDescent="0.25">
      <c r="A5615" t="str">
        <f>"20190312151427423"</f>
        <v>20190312151427423</v>
      </c>
      <c r="B5615" t="str">
        <f>"1552374867415774"</f>
        <v>1552374867415774</v>
      </c>
      <c r="C5615" t="s">
        <v>40</v>
      </c>
      <c r="D5615">
        <v>4.8034299999999996</v>
      </c>
      <c r="E5615">
        <v>0.49280600000000002</v>
      </c>
      <c r="F5615" t="s">
        <v>68</v>
      </c>
      <c r="G5615">
        <v>-222.60669999999999</v>
      </c>
      <c r="H5615" s="1">
        <v>-4.8801249999999995E-7</v>
      </c>
      <c r="I5615">
        <v>-61.515569999999997</v>
      </c>
      <c r="J5615">
        <v>-234.41669999999999</v>
      </c>
      <c r="K5615">
        <v>1.109766</v>
      </c>
      <c r="L5615">
        <v>-62.914279999999998</v>
      </c>
      <c r="M5615">
        <v>0.99983909999999998</v>
      </c>
      <c r="N5615">
        <v>0</v>
      </c>
      <c r="O5615">
        <v>-1.354402E-2</v>
      </c>
      <c r="P5615">
        <v>0.99428570000000005</v>
      </c>
      <c r="Q5615">
        <v>2.5559660000000001E-2</v>
      </c>
      <c r="R5615">
        <v>0.1036485</v>
      </c>
      <c r="S5615">
        <v>2.9882200000000001</v>
      </c>
      <c r="T5615">
        <v>-0.27677439999999998</v>
      </c>
      <c r="U5615">
        <v>0.34826659999999998</v>
      </c>
      <c r="V5615">
        <v>-0.1171151</v>
      </c>
      <c r="W5615">
        <v>3.7217430000000003E-2</v>
      </c>
      <c r="X5615">
        <v>0.99242070000000004</v>
      </c>
      <c r="Y5615">
        <v>-0.12860569999999999</v>
      </c>
      <c r="Z5615">
        <v>7.1711099999999996E-3</v>
      </c>
      <c r="AA5615">
        <v>0.99166989999999999</v>
      </c>
      <c r="AB5615">
        <v>35</v>
      </c>
      <c r="AC5615">
        <v>11.81</v>
      </c>
      <c r="AD5615">
        <v>-1.1097664880125</v>
      </c>
      <c r="AE5615">
        <v>1.3987099999999999</v>
      </c>
      <c r="AF5615">
        <v>-1.54509309275888</v>
      </c>
      <c r="AG5615">
        <v>-1.1097664880125</v>
      </c>
      <c r="AH5615">
        <v>11.6881913771337</v>
      </c>
      <c r="AI5615">
        <v>95.377337824659506</v>
      </c>
      <c r="AJ5615">
        <v>97.5304195390285</v>
      </c>
      <c r="AK5615">
        <v>11.841989359550601</v>
      </c>
      <c r="AL5615">
        <v>87.867105676287807</v>
      </c>
      <c r="AM5615">
        <v>96.730320469769296</v>
      </c>
      <c r="AN5615">
        <v>0.99999996476615105</v>
      </c>
    </row>
    <row r="5616" spans="1:40" x14ac:dyDescent="0.25">
      <c r="A5616" t="str">
        <f>"20190312151427434"</f>
        <v>20190312151427434</v>
      </c>
      <c r="B5616" t="str">
        <f>"1552374867426511"</f>
        <v>1552374867426511</v>
      </c>
      <c r="C5616" t="s">
        <v>40</v>
      </c>
      <c r="D5616">
        <v>4.8551890000000002</v>
      </c>
      <c r="E5616">
        <v>0.49148740000000002</v>
      </c>
      <c r="F5616" t="s">
        <v>68</v>
      </c>
      <c r="G5616">
        <v>-222.5163</v>
      </c>
      <c r="H5616" s="1">
        <v>-4.342387E-7</v>
      </c>
      <c r="I5616">
        <v>-61.448129999999999</v>
      </c>
      <c r="J5616">
        <v>-234.24860000000001</v>
      </c>
      <c r="K5616">
        <v>1.109775</v>
      </c>
      <c r="L5616">
        <v>-62.916440000000001</v>
      </c>
      <c r="M5616">
        <v>0.99984010000000001</v>
      </c>
      <c r="N5616">
        <v>0</v>
      </c>
      <c r="O5616">
        <v>-1.346604E-2</v>
      </c>
      <c r="P5616">
        <v>0.99403980000000003</v>
      </c>
      <c r="Q5616">
        <v>2.5429E-2</v>
      </c>
      <c r="R5616">
        <v>0.1060108</v>
      </c>
      <c r="S5616">
        <v>2.9860690000000001</v>
      </c>
      <c r="T5616">
        <v>-0.27846599999999999</v>
      </c>
      <c r="U5616">
        <v>0.36788939999999998</v>
      </c>
      <c r="V5616">
        <v>-0.1193973</v>
      </c>
      <c r="W5616">
        <v>3.7080670000000003E-2</v>
      </c>
      <c r="X5616">
        <v>0.99215390000000003</v>
      </c>
      <c r="Y5616">
        <v>-0.13499739999999999</v>
      </c>
      <c r="Z5616">
        <v>7.506151E-3</v>
      </c>
      <c r="AA5616">
        <v>0.99081750000000002</v>
      </c>
      <c r="AB5616">
        <v>35</v>
      </c>
      <c r="AC5616">
        <v>11.7323</v>
      </c>
      <c r="AD5616">
        <v>-1.1097754342387001</v>
      </c>
      <c r="AE5616">
        <v>1.46830999999999</v>
      </c>
      <c r="AF5616">
        <v>-1.6119746147587</v>
      </c>
      <c r="AG5616">
        <v>-1.1097754342387001</v>
      </c>
      <c r="AH5616">
        <v>11.609190488861101</v>
      </c>
      <c r="AI5616">
        <v>95.408989394869394</v>
      </c>
      <c r="AJ5616">
        <v>97.905163182946097</v>
      </c>
      <c r="AK5616">
        <v>11.772993140222599</v>
      </c>
      <c r="AL5616">
        <v>87.874946990709006</v>
      </c>
      <c r="AM5616">
        <v>96.862062034790995</v>
      </c>
      <c r="AN5616">
        <v>1.0000000263100699</v>
      </c>
    </row>
    <row r="5617" spans="1:40" x14ac:dyDescent="0.25">
      <c r="A5617" t="str">
        <f>"20190312151427445"</f>
        <v>20190312151427445</v>
      </c>
      <c r="B5617" t="str">
        <f>"1552374867436270"</f>
        <v>1552374867436270</v>
      </c>
      <c r="C5617" t="s">
        <v>40</v>
      </c>
      <c r="D5617">
        <v>4.786886</v>
      </c>
      <c r="E5617">
        <v>0.49027169999999998</v>
      </c>
      <c r="F5617" t="s">
        <v>68</v>
      </c>
      <c r="G5617">
        <v>-222.45169999999999</v>
      </c>
      <c r="H5617" s="1">
        <v>-3.940393E-7</v>
      </c>
      <c r="I5617">
        <v>-61.391969999999901</v>
      </c>
      <c r="J5617">
        <v>-234.08670000000001</v>
      </c>
      <c r="K5617">
        <v>1.1097900000000001</v>
      </c>
      <c r="L5617">
        <v>-62.918550000000003</v>
      </c>
      <c r="M5617">
        <v>0.99984119999999999</v>
      </c>
      <c r="N5617">
        <v>0</v>
      </c>
      <c r="O5617">
        <v>-1.3388540000000001E-2</v>
      </c>
      <c r="P5617">
        <v>0.9937781</v>
      </c>
      <c r="Q5617">
        <v>2.5207779999999999E-2</v>
      </c>
      <c r="R5617">
        <v>0.10848869999999999</v>
      </c>
      <c r="S5617">
        <v>2.9840550000000001</v>
      </c>
      <c r="T5617">
        <v>-0.2807211</v>
      </c>
      <c r="U5617">
        <v>0.38562010000000002</v>
      </c>
      <c r="V5617">
        <v>-0.12179520000000001</v>
      </c>
      <c r="W5617">
        <v>3.6852900000000001E-2</v>
      </c>
      <c r="X5617">
        <v>0.9918709</v>
      </c>
      <c r="Y5617">
        <v>-0.140759</v>
      </c>
      <c r="Z5617">
        <v>7.8309980000000005E-3</v>
      </c>
      <c r="AA5617">
        <v>0.99001289999999997</v>
      </c>
      <c r="AB5617">
        <v>35</v>
      </c>
      <c r="AC5617">
        <v>11.635</v>
      </c>
      <c r="AD5617">
        <v>-1.1097903940392999</v>
      </c>
      <c r="AE5617">
        <v>1.52658</v>
      </c>
      <c r="AF5617">
        <v>-1.6673169493368001</v>
      </c>
      <c r="AG5617">
        <v>-1.1097903940392999</v>
      </c>
      <c r="AH5617">
        <v>11.5105653238691</v>
      </c>
      <c r="AI5617">
        <v>95.450609299975</v>
      </c>
      <c r="AJ5617">
        <v>98.242026028315394</v>
      </c>
      <c r="AK5617">
        <v>11.6835223542948</v>
      </c>
      <c r="AL5617">
        <v>87.888006214810801</v>
      </c>
      <c r="AM5617">
        <v>97.000498910873205</v>
      </c>
      <c r="AN5617">
        <v>1.00000004462412</v>
      </c>
    </row>
    <row r="5618" spans="1:40" x14ac:dyDescent="0.25">
      <c r="A5618" t="str">
        <f>"20190312151427455"</f>
        <v>20190312151427455</v>
      </c>
      <c r="B5618" t="str">
        <f>"1552374867446030"</f>
        <v>1552374867446030</v>
      </c>
      <c r="C5618" t="s">
        <v>40</v>
      </c>
      <c r="D5618">
        <v>4.7864680000000002</v>
      </c>
      <c r="E5618">
        <v>0.48920429999999998</v>
      </c>
      <c r="F5618" t="s">
        <v>68</v>
      </c>
      <c r="G5618">
        <v>-222.37469999999999</v>
      </c>
      <c r="H5618" s="1">
        <v>-3.4863870000000003E-7</v>
      </c>
      <c r="I5618">
        <v>-61.336390000000002</v>
      </c>
      <c r="J5618">
        <v>-233.92850000000001</v>
      </c>
      <c r="K5618">
        <v>1.109804</v>
      </c>
      <c r="L5618">
        <v>-62.920589999999997</v>
      </c>
      <c r="M5618">
        <v>0.99984249999999997</v>
      </c>
      <c r="N5618">
        <v>0</v>
      </c>
      <c r="O5618">
        <v>-1.329583E-2</v>
      </c>
      <c r="P5618">
        <v>0.99352660000000004</v>
      </c>
      <c r="Q5618">
        <v>2.5172320000000001E-2</v>
      </c>
      <c r="R5618">
        <v>0.110778</v>
      </c>
      <c r="S5618">
        <v>2.9819789999999999</v>
      </c>
      <c r="T5618">
        <v>-0.28256330000000002</v>
      </c>
      <c r="U5618">
        <v>0.40283200000000002</v>
      </c>
      <c r="V5618">
        <v>-0.1239905</v>
      </c>
      <c r="W5618">
        <v>3.6809540000000002E-2</v>
      </c>
      <c r="X5618">
        <v>0.9916005</v>
      </c>
      <c r="Y5618">
        <v>-0.14633550000000001</v>
      </c>
      <c r="Z5618">
        <v>8.1383419999999998E-3</v>
      </c>
      <c r="AA5618">
        <v>0.98920149999999996</v>
      </c>
      <c r="AB5618">
        <v>35</v>
      </c>
      <c r="AC5618">
        <v>11.553800000000001</v>
      </c>
      <c r="AD5618">
        <v>-1.1098043486386999</v>
      </c>
      <c r="AE5618">
        <v>1.5842000000000001</v>
      </c>
      <c r="AF5618">
        <v>-1.72209202769452</v>
      </c>
      <c r="AG5618">
        <v>-1.1098043486386999</v>
      </c>
      <c r="AH5618">
        <v>11.428215759355201</v>
      </c>
      <c r="AI5618">
        <v>95.485111488722197</v>
      </c>
      <c r="AJ5618">
        <v>98.569299333179401</v>
      </c>
      <c r="AK5618">
        <v>11.610399738444899</v>
      </c>
      <c r="AL5618">
        <v>87.890492297836801</v>
      </c>
      <c r="AM5618">
        <v>97.127316914550093</v>
      </c>
      <c r="AN5618">
        <v>1.00000006896275</v>
      </c>
    </row>
    <row r="5619" spans="1:40" x14ac:dyDescent="0.25">
      <c r="A5619" t="str">
        <f>"20190312151427466"</f>
        <v>20190312151427466</v>
      </c>
      <c r="B5619" t="str">
        <f>"1552374867455790"</f>
        <v>1552374867455790</v>
      </c>
      <c r="C5619" t="s">
        <v>40</v>
      </c>
      <c r="D5619">
        <v>4.8217949999999998</v>
      </c>
      <c r="E5619">
        <v>0.48821769999999998</v>
      </c>
      <c r="F5619" t="s">
        <v>68</v>
      </c>
      <c r="G5619">
        <v>-222.27260000000001</v>
      </c>
      <c r="H5619" s="1">
        <v>-2.9330680000000001E-7</v>
      </c>
      <c r="I5619">
        <v>-61.284619999999997</v>
      </c>
      <c r="J5619">
        <v>-233.75139999999999</v>
      </c>
      <c r="K5619">
        <v>1.10982</v>
      </c>
      <c r="L5619">
        <v>-62.922849999999997</v>
      </c>
      <c r="M5619">
        <v>0.99984379999999995</v>
      </c>
      <c r="N5619">
        <v>0</v>
      </c>
      <c r="O5619">
        <v>-1.318867E-2</v>
      </c>
      <c r="P5619">
        <v>0.99327860000000001</v>
      </c>
      <c r="Q5619">
        <v>2.509202E-2</v>
      </c>
      <c r="R5619">
        <v>0.1129965</v>
      </c>
      <c r="S5619">
        <v>2.9801030000000002</v>
      </c>
      <c r="T5619">
        <v>-0.28374700000000003</v>
      </c>
      <c r="U5619">
        <v>0.41827389999999998</v>
      </c>
      <c r="V5619">
        <v>-0.12610089999999999</v>
      </c>
      <c r="W5619">
        <v>3.6720429999999998E-2</v>
      </c>
      <c r="X5619">
        <v>0.99133749999999998</v>
      </c>
      <c r="Y5619">
        <v>-0.15131269999999999</v>
      </c>
      <c r="Z5619">
        <v>8.3996439999999995E-3</v>
      </c>
      <c r="AA5619">
        <v>0.9884503</v>
      </c>
      <c r="AB5619">
        <v>35</v>
      </c>
      <c r="AC5619">
        <v>11.4787999999999</v>
      </c>
      <c r="AD5619">
        <v>-1.1098202933068</v>
      </c>
      <c r="AE5619">
        <v>1.6382299999999901</v>
      </c>
      <c r="AF5619">
        <v>-1.7732429366893301</v>
      </c>
      <c r="AG5619">
        <v>-1.1098202933068</v>
      </c>
      <c r="AH5619">
        <v>11.3521935012228</v>
      </c>
      <c r="AI5619">
        <v>95.5171611278612</v>
      </c>
      <c r="AJ5619">
        <v>98.878011957708097</v>
      </c>
      <c r="AK5619">
        <v>11.543326595273999</v>
      </c>
      <c r="AL5619">
        <v>87.895601092057305</v>
      </c>
      <c r="AM5619">
        <v>97.249251578630606</v>
      </c>
      <c r="AN5619">
        <v>0.99999993293321998</v>
      </c>
    </row>
    <row r="5620" spans="1:40" x14ac:dyDescent="0.25">
      <c r="A5620" t="str">
        <f>"20190312151427476"</f>
        <v>20190312151427476</v>
      </c>
      <c r="B5620" t="str">
        <f>"1552374867466526"</f>
        <v>1552374867466526</v>
      </c>
      <c r="C5620" t="s">
        <v>40</v>
      </c>
      <c r="D5620">
        <v>4.7877640000000001</v>
      </c>
      <c r="E5620">
        <v>0.4873305</v>
      </c>
      <c r="F5620" t="s">
        <v>68</v>
      </c>
      <c r="G5620">
        <v>-222.14009999999999</v>
      </c>
      <c r="H5620" s="1">
        <v>-2.2548929999999999E-7</v>
      </c>
      <c r="I5620">
        <v>-61.235250000000001</v>
      </c>
      <c r="J5620">
        <v>-233.57929999999999</v>
      </c>
      <c r="K5620">
        <v>1.1098429999999999</v>
      </c>
      <c r="L5620">
        <v>-62.925020000000004</v>
      </c>
      <c r="M5620">
        <v>0.9998454</v>
      </c>
      <c r="N5620">
        <v>0</v>
      </c>
      <c r="O5620">
        <v>-1.3057819999999999E-2</v>
      </c>
      <c r="P5620">
        <v>0.99300429999999995</v>
      </c>
      <c r="Q5620">
        <v>2.488744E-2</v>
      </c>
      <c r="R5620">
        <v>0.1154269</v>
      </c>
      <c r="S5620">
        <v>2.978256</v>
      </c>
      <c r="T5620">
        <v>-0.28466320000000001</v>
      </c>
      <c r="U5620">
        <v>0.4328613</v>
      </c>
      <c r="V5620">
        <v>-0.12839990000000001</v>
      </c>
      <c r="W5620">
        <v>3.650457E-2</v>
      </c>
      <c r="X5620">
        <v>0.9910504</v>
      </c>
      <c r="Y5620">
        <v>-0.15598519999999999</v>
      </c>
      <c r="Z5620">
        <v>8.6381400000000007E-3</v>
      </c>
      <c r="AA5620">
        <v>0.98772159999999998</v>
      </c>
      <c r="AB5620">
        <v>35</v>
      </c>
      <c r="AC5620">
        <v>11.4392</v>
      </c>
      <c r="AD5620">
        <v>-1.1098432254893</v>
      </c>
      <c r="AE5620">
        <v>1.68976999999999</v>
      </c>
      <c r="AF5620">
        <v>-1.8222208560347899</v>
      </c>
      <c r="AG5620">
        <v>-1.1098432254893</v>
      </c>
      <c r="AH5620">
        <v>11.311951824810301</v>
      </c>
      <c r="AI5620">
        <v>95.532621732616803</v>
      </c>
      <c r="AJ5620">
        <v>99.151054106414094</v>
      </c>
      <c r="AK5620">
        <v>11.5114071650759</v>
      </c>
      <c r="AL5620">
        <v>87.907977411906998</v>
      </c>
      <c r="AM5620">
        <v>97.382086026633303</v>
      </c>
      <c r="AN5620">
        <v>1.0000000066455199</v>
      </c>
    </row>
    <row r="5621" spans="1:40" x14ac:dyDescent="0.25">
      <c r="A5621" t="str">
        <f>"20190312151427487"</f>
        <v>20190312151427487</v>
      </c>
      <c r="B5621" t="str">
        <f>"1552374867476286"</f>
        <v>1552374867476286</v>
      </c>
      <c r="C5621" t="s">
        <v>40</v>
      </c>
      <c r="D5621">
        <v>4.7936889999999996</v>
      </c>
      <c r="E5621">
        <v>0.48645870000000002</v>
      </c>
      <c r="F5621" t="s">
        <v>68</v>
      </c>
      <c r="G5621">
        <v>-222.03319999999999</v>
      </c>
      <c r="H5621" s="1">
        <v>-1.6946939999999999E-7</v>
      </c>
      <c r="I5621">
        <v>-61.189570000000003</v>
      </c>
      <c r="J5621">
        <v>-233.41679999999999</v>
      </c>
      <c r="K5621">
        <v>1.1098650000000001</v>
      </c>
      <c r="L5621">
        <v>-62.927</v>
      </c>
      <c r="M5621">
        <v>0.99984709999999999</v>
      </c>
      <c r="N5621">
        <v>0</v>
      </c>
      <c r="O5621">
        <v>-1.292888E-2</v>
      </c>
      <c r="P5621">
        <v>0.99274229999999997</v>
      </c>
      <c r="Q5621">
        <v>2.485033E-2</v>
      </c>
      <c r="R5621">
        <v>0.1176663</v>
      </c>
      <c r="S5621">
        <v>2.9763030000000001</v>
      </c>
      <c r="T5621">
        <v>-0.28609050000000003</v>
      </c>
      <c r="U5621">
        <v>0.44735720000000001</v>
      </c>
      <c r="V5621">
        <v>-0.13050989999999901</v>
      </c>
      <c r="W5621">
        <v>3.645644E-2</v>
      </c>
      <c r="X5621">
        <v>0.99077649999999995</v>
      </c>
      <c r="Y5621">
        <v>-0.16062779999999999</v>
      </c>
      <c r="Z5621">
        <v>8.8928970000000003E-3</v>
      </c>
      <c r="AA5621">
        <v>0.98697500000000005</v>
      </c>
      <c r="AB5621">
        <v>35</v>
      </c>
      <c r="AC5621">
        <v>11.383599999999999</v>
      </c>
      <c r="AD5621">
        <v>-1.1098651694693999</v>
      </c>
      <c r="AE5621">
        <v>1.73743</v>
      </c>
      <c r="AF5621">
        <v>-1.8671279507559699</v>
      </c>
      <c r="AG5621">
        <v>-1.1098651694693999</v>
      </c>
      <c r="AH5621">
        <v>11.255627526151899</v>
      </c>
      <c r="AI5621">
        <v>95.556025883610502</v>
      </c>
      <c r="AJ5621">
        <v>99.418682364744996</v>
      </c>
      <c r="AK5621">
        <v>11.463294399358499</v>
      </c>
      <c r="AL5621">
        <v>87.910736858694406</v>
      </c>
      <c r="AM5621">
        <v>97.504075627235295</v>
      </c>
      <c r="AN5621">
        <v>0.99999998948386604</v>
      </c>
    </row>
    <row r="5622" spans="1:40" x14ac:dyDescent="0.25">
      <c r="A5622" t="str">
        <f>"20190312151427498"</f>
        <v>20190312151427498</v>
      </c>
      <c r="B5622" t="str">
        <f>"1552374867495806"</f>
        <v>1552374867495806</v>
      </c>
      <c r="C5622" t="s">
        <v>40</v>
      </c>
      <c r="D5622">
        <v>4.8482339999999997</v>
      </c>
      <c r="E5622">
        <v>0.48493150000000002</v>
      </c>
      <c r="F5622" t="s">
        <v>68</v>
      </c>
      <c r="G5622">
        <v>-221.91849999999999</v>
      </c>
      <c r="H5622" s="1">
        <v>-1.103272E-7</v>
      </c>
      <c r="I5622">
        <v>-61.144710000000003</v>
      </c>
      <c r="J5622">
        <v>-233.24719999999999</v>
      </c>
      <c r="K5622">
        <v>1.1098950000000001</v>
      </c>
      <c r="L5622">
        <v>-62.929020000000001</v>
      </c>
      <c r="M5622">
        <v>0.99984910000000005</v>
      </c>
      <c r="N5622">
        <v>0</v>
      </c>
      <c r="O5622">
        <v>-1.277033E-2</v>
      </c>
      <c r="P5622">
        <v>0.99249469999999995</v>
      </c>
      <c r="Q5622">
        <v>2.4738349999999999E-2</v>
      </c>
      <c r="R5622">
        <v>0.1197598</v>
      </c>
      <c r="S5622">
        <v>2.9744869999999999</v>
      </c>
      <c r="T5622">
        <v>-0.28711039999999999</v>
      </c>
      <c r="U5622">
        <v>0.46105960000000001</v>
      </c>
      <c r="V5622">
        <v>-0.13244489999999901</v>
      </c>
      <c r="W5622">
        <v>3.6332540000000003E-2</v>
      </c>
      <c r="X5622">
        <v>0.99052419999999997</v>
      </c>
      <c r="Y5622">
        <v>-0.16497629999999999</v>
      </c>
      <c r="Z5622">
        <v>9.1197310000000007E-3</v>
      </c>
      <c r="AA5622">
        <v>0.98625529999999995</v>
      </c>
      <c r="AB5622">
        <v>35</v>
      </c>
      <c r="AC5622">
        <v>11.3286999999999</v>
      </c>
      <c r="AD5622">
        <v>-1.1098951103271999</v>
      </c>
      <c r="AE5622">
        <v>1.7843099999999901</v>
      </c>
      <c r="AF5622">
        <v>-1.9109475144567201</v>
      </c>
      <c r="AG5622">
        <v>-1.1098951103271999</v>
      </c>
      <c r="AH5622">
        <v>11.200086494399899</v>
      </c>
      <c r="AI5622">
        <v>95.579257269316201</v>
      </c>
      <c r="AJ5622">
        <v>99.682511479713597</v>
      </c>
      <c r="AK5622">
        <v>11.4160205431217</v>
      </c>
      <c r="AL5622">
        <v>87.917840425379396</v>
      </c>
      <c r="AM5622">
        <v>97.6159552605953</v>
      </c>
      <c r="AN5622">
        <v>0.999999947892249</v>
      </c>
    </row>
    <row r="5623" spans="1:40" x14ac:dyDescent="0.25">
      <c r="A5623" t="str">
        <f>"20190312151427509"</f>
        <v>20190312151427509</v>
      </c>
      <c r="B5623" t="str">
        <f>"1552374867506543"</f>
        <v>1552374867506543</v>
      </c>
      <c r="C5623" t="s">
        <v>40</v>
      </c>
      <c r="D5623">
        <v>4.8326599999999997</v>
      </c>
      <c r="E5623">
        <v>0.48424</v>
      </c>
      <c r="F5623" t="s">
        <v>68</v>
      </c>
      <c r="G5623">
        <v>-221.78790000000001</v>
      </c>
      <c r="H5623" s="1">
        <v>-3.9953759999999998E-8</v>
      </c>
      <c r="I5623">
        <v>-61.08023</v>
      </c>
      <c r="J5623">
        <v>-233.07749999999999</v>
      </c>
      <c r="K5623">
        <v>1.1099239999999999</v>
      </c>
      <c r="L5623">
        <v>-62.931060000000002</v>
      </c>
      <c r="M5623">
        <v>0.9998513</v>
      </c>
      <c r="N5623">
        <v>0</v>
      </c>
      <c r="O5623">
        <v>-1.259852E-2</v>
      </c>
      <c r="P5623">
        <v>0.99223360000000005</v>
      </c>
      <c r="Q5623">
        <v>2.4775080000000001E-2</v>
      </c>
      <c r="R5623">
        <v>0.12189609999999999</v>
      </c>
      <c r="S5623">
        <v>2.9720309999999999</v>
      </c>
      <c r="T5623">
        <v>-0.2878579</v>
      </c>
      <c r="U5623">
        <v>0.47949219999999998</v>
      </c>
      <c r="V5623">
        <v>-0.13441029999999901</v>
      </c>
      <c r="W5623">
        <v>3.6355890000000002E-2</v>
      </c>
      <c r="X5623">
        <v>0.99025859999999999</v>
      </c>
      <c r="Y5623">
        <v>-0.17086399999999999</v>
      </c>
      <c r="Z5623">
        <v>9.4125760000000006E-3</v>
      </c>
      <c r="AA5623">
        <v>0.98524959999999995</v>
      </c>
      <c r="AB5623">
        <v>35</v>
      </c>
      <c r="AC5623">
        <v>11.289599999999901</v>
      </c>
      <c r="AD5623">
        <v>-1.10992403995376</v>
      </c>
      <c r="AE5623">
        <v>1.85082999999998</v>
      </c>
      <c r="AF5623">
        <v>-1.9743414517948801</v>
      </c>
      <c r="AG5623">
        <v>-1.10992403995376</v>
      </c>
      <c r="AH5623">
        <v>11.160336400768699</v>
      </c>
      <c r="AI5623">
        <v>95.593250459735401</v>
      </c>
      <c r="AJ5623">
        <v>100.032226474862</v>
      </c>
      <c r="AK5623">
        <v>11.387847211877499</v>
      </c>
      <c r="AL5623">
        <v>87.916501766282707</v>
      </c>
      <c r="AM5623">
        <v>97.729663117549194</v>
      </c>
      <c r="AN5623">
        <v>0.99999998717887095</v>
      </c>
    </row>
    <row r="5624" spans="1:40" x14ac:dyDescent="0.25">
      <c r="A5624" t="str">
        <f>"20190312151427519"</f>
        <v>20190312151427519</v>
      </c>
      <c r="B5624" t="str">
        <f>"1552374867516302"</f>
        <v>1552374867516302</v>
      </c>
      <c r="C5624" t="s">
        <v>40</v>
      </c>
      <c r="D5624">
        <v>4.8007039999999996</v>
      </c>
      <c r="E5624">
        <v>0.48360880000000001</v>
      </c>
      <c r="F5624" t="s">
        <v>68</v>
      </c>
      <c r="G5624">
        <v>-221.6403</v>
      </c>
      <c r="H5624" s="1">
        <v>3.2674679999999997E-8</v>
      </c>
      <c r="I5624">
        <v>-61.038460000000001</v>
      </c>
      <c r="J5624">
        <v>-232.91419999999999</v>
      </c>
      <c r="K5624">
        <v>1.109955</v>
      </c>
      <c r="L5624">
        <v>-62.932949999999998</v>
      </c>
      <c r="M5624">
        <v>0.99985369999999996</v>
      </c>
      <c r="N5624">
        <v>0</v>
      </c>
      <c r="O5624">
        <v>-1.241071E-2</v>
      </c>
      <c r="P5624">
        <v>0.99199459999999995</v>
      </c>
      <c r="Q5624">
        <v>2.4712430000000001E-2</v>
      </c>
      <c r="R5624">
        <v>0.1238394</v>
      </c>
      <c r="S5624">
        <v>2.970291</v>
      </c>
      <c r="T5624">
        <v>-0.28825260000000003</v>
      </c>
      <c r="U5624">
        <v>0.49151610000000001</v>
      </c>
      <c r="V5624">
        <v>-0.1361665</v>
      </c>
      <c r="W5624">
        <v>3.6279649999999997E-2</v>
      </c>
      <c r="X5624">
        <v>0.9900215</v>
      </c>
      <c r="Y5624">
        <v>-0.17463399999999901</v>
      </c>
      <c r="Z5624">
        <v>9.5910249999999996E-3</v>
      </c>
      <c r="AA5624">
        <v>0.98458670000000004</v>
      </c>
      <c r="AB5624">
        <v>35</v>
      </c>
      <c r="AC5624">
        <v>11.2738999999999</v>
      </c>
      <c r="AD5624">
        <v>-1.10995496732532</v>
      </c>
      <c r="AE5624">
        <v>1.89448999999999</v>
      </c>
      <c r="AF5624">
        <v>-2.0152731045246002</v>
      </c>
      <c r="AG5624">
        <v>-1.10995496732532</v>
      </c>
      <c r="AH5624">
        <v>11.144460363679601</v>
      </c>
      <c r="AI5624">
        <v>95.597537971606101</v>
      </c>
      <c r="AJ5624">
        <v>100.25013134642801</v>
      </c>
      <c r="AK5624">
        <v>11.379469342325899</v>
      </c>
      <c r="AL5624">
        <v>87.920873010054507</v>
      </c>
      <c r="AM5624">
        <v>97.831265760591407</v>
      </c>
      <c r="AN5624">
        <v>1.00000004959431</v>
      </c>
    </row>
    <row r="5625" spans="1:40" x14ac:dyDescent="0.25">
      <c r="A5625" t="str">
        <f>"20190312151427531"</f>
        <v>20190312151427531</v>
      </c>
      <c r="B5625" t="str">
        <f>"1552374867526062"</f>
        <v>1552374867526062</v>
      </c>
      <c r="C5625" t="s">
        <v>40</v>
      </c>
      <c r="D5625">
        <v>4.7928800000000003</v>
      </c>
      <c r="E5625">
        <v>0.48300739999999998</v>
      </c>
      <c r="F5625" t="s">
        <v>68</v>
      </c>
      <c r="G5625">
        <v>-221.49870000000001</v>
      </c>
      <c r="H5625" s="1">
        <v>1.0174289999999999E-7</v>
      </c>
      <c r="I5625">
        <v>-61.000999999999998</v>
      </c>
      <c r="J5625">
        <v>-232.7354</v>
      </c>
      <c r="K5625">
        <v>1.109988</v>
      </c>
      <c r="L5625">
        <v>-62.934939999999997</v>
      </c>
      <c r="M5625">
        <v>0.99985650000000004</v>
      </c>
      <c r="N5625">
        <v>0</v>
      </c>
      <c r="O5625">
        <v>-1.2180389999999999E-2</v>
      </c>
      <c r="P5625">
        <v>0.99178189999999999</v>
      </c>
      <c r="Q5625">
        <v>2.4751479999999999E-2</v>
      </c>
      <c r="R5625">
        <v>0.12552279999999999</v>
      </c>
      <c r="S5625">
        <v>2.968658</v>
      </c>
      <c r="T5625">
        <v>-0.28864820000000002</v>
      </c>
      <c r="U5625">
        <v>0.50241089999999999</v>
      </c>
      <c r="V5625">
        <v>-0.13762260000000001</v>
      </c>
      <c r="W5625">
        <v>3.6303000000000002E-2</v>
      </c>
      <c r="X5625">
        <v>0.98981920000000001</v>
      </c>
      <c r="Y5625">
        <v>-0.17799129999999999</v>
      </c>
      <c r="Z5625">
        <v>9.7459469999999996E-3</v>
      </c>
      <c r="AA5625">
        <v>0.98398379999999996</v>
      </c>
      <c r="AB5625">
        <v>35</v>
      </c>
      <c r="AC5625">
        <v>11.2366999999999</v>
      </c>
      <c r="AD5625">
        <v>-1.1099878982571001</v>
      </c>
      <c r="AE5625">
        <v>1.93394</v>
      </c>
      <c r="AF5625">
        <v>-2.0512333847069399</v>
      </c>
      <c r="AG5625">
        <v>-1.1099878982571001</v>
      </c>
      <c r="AH5625">
        <v>11.1070445480507</v>
      </c>
      <c r="AI5625">
        <v>95.612644230772602</v>
      </c>
      <c r="AJ5625">
        <v>100.46341138749101</v>
      </c>
      <c r="AK5625">
        <v>11.349276193889899</v>
      </c>
      <c r="AL5625">
        <v>87.919534102500407</v>
      </c>
      <c r="AM5625">
        <v>97.915550989810598</v>
      </c>
      <c r="AN5625">
        <v>0.99999996826419901</v>
      </c>
    </row>
    <row r="5626" spans="1:40" x14ac:dyDescent="0.25">
      <c r="A5626" t="str">
        <f>"20190312151427543"</f>
        <v>20190312151427543</v>
      </c>
      <c r="B5626" t="str">
        <f>"1552374867535822"</f>
        <v>1552374867535822</v>
      </c>
      <c r="C5626" t="s">
        <v>40</v>
      </c>
      <c r="D5626">
        <v>4.8149629999999997</v>
      </c>
      <c r="E5626">
        <v>0.4824891</v>
      </c>
      <c r="F5626" t="s">
        <v>68</v>
      </c>
      <c r="G5626">
        <v>-221.3433</v>
      </c>
      <c r="H5626" s="1">
        <v>1.757757E-7</v>
      </c>
      <c r="I5626">
        <v>-60.9679199999999</v>
      </c>
      <c r="J5626">
        <v>-232.53790000000001</v>
      </c>
      <c r="K5626">
        <v>1.1100319999999999</v>
      </c>
      <c r="L5626">
        <v>-62.937130000000003</v>
      </c>
      <c r="M5626">
        <v>0.99985999999999997</v>
      </c>
      <c r="N5626">
        <v>0</v>
      </c>
      <c r="O5626">
        <v>-1.189991E-2</v>
      </c>
      <c r="P5626">
        <v>0.99156100000000003</v>
      </c>
      <c r="Q5626">
        <v>2.4892770000000002E-2</v>
      </c>
      <c r="R5626">
        <v>0.12722990000000001</v>
      </c>
      <c r="S5626">
        <v>2.967209</v>
      </c>
      <c r="T5626">
        <v>-0.28910770000000002</v>
      </c>
      <c r="U5626">
        <v>0.51232909999999998</v>
      </c>
      <c r="V5626">
        <v>-0.13905339999999999</v>
      </c>
      <c r="W5626">
        <v>3.6426890000000003E-2</v>
      </c>
      <c r="X5626">
        <v>0.98961469999999896</v>
      </c>
      <c r="Y5626">
        <v>-0.18097379999999999</v>
      </c>
      <c r="Z5626">
        <v>9.8801800000000006E-3</v>
      </c>
      <c r="AA5626">
        <v>0.98343829999999999</v>
      </c>
      <c r="AB5626">
        <v>35</v>
      </c>
      <c r="AC5626">
        <v>11.194599999999999</v>
      </c>
      <c r="AD5626">
        <v>-1.1100318242242999</v>
      </c>
      <c r="AE5626">
        <v>1.9692100000000099</v>
      </c>
      <c r="AF5626">
        <v>-2.0824339990124598</v>
      </c>
      <c r="AG5626">
        <v>-1.1100318242242999</v>
      </c>
      <c r="AH5626">
        <v>11.064845038199</v>
      </c>
      <c r="AI5626">
        <v>95.630580633247106</v>
      </c>
      <c r="AJ5626">
        <v>100.658546123558</v>
      </c>
      <c r="AK5626">
        <v>11.3136863015726</v>
      </c>
      <c r="AL5626">
        <v>87.912431118032501</v>
      </c>
      <c r="AM5626">
        <v>97.998417317693594</v>
      </c>
      <c r="AN5626">
        <v>1.00000001041136</v>
      </c>
    </row>
    <row r="5627" spans="1:40" x14ac:dyDescent="0.25">
      <c r="A5627" t="str">
        <f>"20190312151427557"</f>
        <v>20190312151427557</v>
      </c>
      <c r="B5627" t="str">
        <f>"1552374867546558"</f>
        <v>1552374867546558</v>
      </c>
      <c r="C5627" t="s">
        <v>40</v>
      </c>
      <c r="D5627">
        <v>4.8484230000000004</v>
      </c>
      <c r="E5627">
        <v>0.48201630000000001</v>
      </c>
      <c r="F5627" t="s">
        <v>68</v>
      </c>
      <c r="G5627">
        <v>-221.12389999999999</v>
      </c>
      <c r="H5627" s="1">
        <v>2.7842379999999999E-7</v>
      </c>
      <c r="I5627">
        <v>-60.929490000000001</v>
      </c>
      <c r="J5627">
        <v>-232.33349999999999</v>
      </c>
      <c r="K5627">
        <v>1.110087</v>
      </c>
      <c r="L5627">
        <v>-62.939239999999998</v>
      </c>
      <c r="M5627">
        <v>0.99986399999999998</v>
      </c>
      <c r="N5627">
        <v>0</v>
      </c>
      <c r="O5627">
        <v>-1.155425E-2</v>
      </c>
      <c r="P5627">
        <v>0.99134860000000002</v>
      </c>
      <c r="Q5627">
        <v>2.4808589999999998E-2</v>
      </c>
      <c r="R5627">
        <v>0.1288908</v>
      </c>
      <c r="S5627">
        <v>2.9658359999999999</v>
      </c>
      <c r="T5627">
        <v>-0.28843210000000002</v>
      </c>
      <c r="U5627">
        <v>0.52166749999999995</v>
      </c>
      <c r="V5627">
        <v>-0.14037359999999999</v>
      </c>
      <c r="W5627">
        <v>3.632254E-2</v>
      </c>
      <c r="X5627">
        <v>0.98943210000000004</v>
      </c>
      <c r="Y5627">
        <v>-0.1837076</v>
      </c>
      <c r="Z5627">
        <v>9.9573720000000008E-3</v>
      </c>
      <c r="AA5627">
        <v>0.98293050000000004</v>
      </c>
      <c r="AB5627">
        <v>35</v>
      </c>
      <c r="AC5627">
        <v>11.209599999999901</v>
      </c>
      <c r="AD5627">
        <v>-1.1100867215762</v>
      </c>
      <c r="AE5627">
        <v>2.0097499999999999</v>
      </c>
      <c r="AF5627">
        <v>-2.1190095000843501</v>
      </c>
      <c r="AG5627">
        <v>-1.1100867215762</v>
      </c>
      <c r="AH5627">
        <v>11.080348689944399</v>
      </c>
      <c r="AI5627">
        <v>95.6199220722783</v>
      </c>
      <c r="AJ5627">
        <v>100.826540849361</v>
      </c>
      <c r="AK5627">
        <v>11.3356350012525</v>
      </c>
      <c r="AL5627">
        <v>87.918413823300099</v>
      </c>
      <c r="AM5627">
        <v>98.074829574216395</v>
      </c>
      <c r="AN5627">
        <v>0.99999997749971004</v>
      </c>
    </row>
    <row r="5628" spans="1:40" x14ac:dyDescent="0.25">
      <c r="A5628" t="str">
        <f>"20190312151427576"</f>
        <v>20190312151427576</v>
      </c>
      <c r="B5628" t="str">
        <f>"1552374867566078"</f>
        <v>1552374867566078</v>
      </c>
      <c r="C5628" t="s">
        <v>40</v>
      </c>
      <c r="D5628">
        <v>4.7876370000000001</v>
      </c>
      <c r="E5628">
        <v>0.48113129999999998</v>
      </c>
      <c r="F5628" t="s">
        <v>68</v>
      </c>
      <c r="G5628">
        <v>-220.95830000000001</v>
      </c>
      <c r="H5628" s="1">
        <v>3.5517919999999999E-7</v>
      </c>
      <c r="I5628">
        <v>-60.903880000000001</v>
      </c>
      <c r="J5628">
        <v>-232.0343</v>
      </c>
      <c r="K5628">
        <v>1.1101730000000001</v>
      </c>
      <c r="L5628">
        <v>-62.942140000000002</v>
      </c>
      <c r="M5628">
        <v>0.99987029999999999</v>
      </c>
      <c r="N5628">
        <v>0</v>
      </c>
      <c r="O5628">
        <v>-1.0981339999999999E-2</v>
      </c>
      <c r="P5628">
        <v>0.99095279999999997</v>
      </c>
      <c r="Q5628">
        <v>2.5092260000000002E-2</v>
      </c>
      <c r="R5628">
        <v>0.1318444</v>
      </c>
      <c r="S5628">
        <v>2.9644620000000002</v>
      </c>
      <c r="T5628">
        <v>-0.28929539999999998</v>
      </c>
      <c r="U5628">
        <v>0.53042599999999995</v>
      </c>
      <c r="V5628">
        <v>-0.14276340000000001</v>
      </c>
      <c r="W5628">
        <v>3.6572229999999997E-2</v>
      </c>
      <c r="X5628">
        <v>0.98908090000000004</v>
      </c>
      <c r="Y5628">
        <v>-0.18602350000000001</v>
      </c>
      <c r="Z5628">
        <v>1.004552E-2</v>
      </c>
      <c r="AA5628">
        <v>0.98249390000000003</v>
      </c>
      <c r="AB5628">
        <v>35</v>
      </c>
      <c r="AC5628">
        <v>11.075999999999899</v>
      </c>
      <c r="AD5628">
        <v>-1.11017264482079</v>
      </c>
      <c r="AE5628">
        <v>2.03825999999999</v>
      </c>
      <c r="AF5628">
        <v>-2.1389893748177502</v>
      </c>
      <c r="AG5628">
        <v>-1.11017264482079</v>
      </c>
      <c r="AH5628">
        <v>10.946575146562401</v>
      </c>
      <c r="AI5628">
        <v>95.684208664745</v>
      </c>
      <c r="AJ5628">
        <v>101.056430256087</v>
      </c>
      <c r="AK5628">
        <v>11.2087138551321</v>
      </c>
      <c r="AL5628">
        <v>87.904098115581505</v>
      </c>
      <c r="AM5628">
        <v>98.213316762070505</v>
      </c>
      <c r="AN5628">
        <v>0.99999997156577103</v>
      </c>
    </row>
    <row r="5629" spans="1:40" x14ac:dyDescent="0.25">
      <c r="A5629" t="str">
        <f>"20190312151427588"</f>
        <v>20190312151427588</v>
      </c>
      <c r="B5629" t="str">
        <f>"1552374867575838"</f>
        <v>1552374867575838</v>
      </c>
      <c r="C5629" t="s">
        <v>40</v>
      </c>
      <c r="D5629">
        <v>5.1091329999999999</v>
      </c>
      <c r="E5629">
        <v>0.48075810000000002</v>
      </c>
      <c r="F5629" t="s">
        <v>68</v>
      </c>
      <c r="G5629">
        <v>-220.67320000000001</v>
      </c>
      <c r="H5629" s="1">
        <v>4.9009420000000001E-7</v>
      </c>
      <c r="I5629">
        <v>-60.847119999999997</v>
      </c>
      <c r="J5629">
        <v>-231.8486</v>
      </c>
      <c r="K5629">
        <v>1.1102299999999901</v>
      </c>
      <c r="L5629">
        <v>-62.94388</v>
      </c>
      <c r="M5629">
        <v>0.99987459999999995</v>
      </c>
      <c r="N5629">
        <v>0</v>
      </c>
      <c r="O5629">
        <v>-1.0585590000000001E-2</v>
      </c>
      <c r="P5629">
        <v>0.99074320000000005</v>
      </c>
      <c r="Q5629">
        <v>2.519474E-2</v>
      </c>
      <c r="R5629">
        <v>0.13339179999999901</v>
      </c>
      <c r="S5629">
        <v>2.962021</v>
      </c>
      <c r="T5629">
        <v>-0.28943970000000002</v>
      </c>
      <c r="U5629">
        <v>0.54620360000000001</v>
      </c>
      <c r="V5629">
        <v>-0.14392170000000001</v>
      </c>
      <c r="W5629">
        <v>3.6652289999999997E-2</v>
      </c>
      <c r="X5629">
        <v>0.98891010000000001</v>
      </c>
      <c r="Y5629">
        <v>-0.1908173</v>
      </c>
      <c r="Z5629">
        <v>1.0247350000000001E-2</v>
      </c>
      <c r="AA5629">
        <v>0.98157209999999995</v>
      </c>
      <c r="AB5629">
        <v>35</v>
      </c>
      <c r="AC5629">
        <v>11.1753999999999</v>
      </c>
      <c r="AD5629">
        <v>-1.1102295099057999</v>
      </c>
      <c r="AE5629">
        <v>2.0967600000000099</v>
      </c>
      <c r="AF5629">
        <v>-2.1940310697176999</v>
      </c>
      <c r="AG5629">
        <v>-1.1102295099057999</v>
      </c>
      <c r="AH5629">
        <v>11.047252524061101</v>
      </c>
      <c r="AI5629">
        <v>95.629630679274499</v>
      </c>
      <c r="AJ5629">
        <v>101.233015923023</v>
      </c>
      <c r="AK5629">
        <v>11.317604438657799</v>
      </c>
      <c r="AL5629">
        <v>87.899508031190393</v>
      </c>
      <c r="AM5629">
        <v>98.280444908104101</v>
      </c>
      <c r="AN5629">
        <v>1.0000000159875699</v>
      </c>
    </row>
    <row r="5630" spans="1:40" x14ac:dyDescent="0.25">
      <c r="A5630" t="str">
        <f>"20190312151427600"</f>
        <v>20190312151427600</v>
      </c>
      <c r="B5630" t="str">
        <f>"1552374867596334"</f>
        <v>1552374867596334</v>
      </c>
      <c r="C5630" t="s">
        <v>40</v>
      </c>
      <c r="D5630">
        <v>4.793812</v>
      </c>
      <c r="E5630">
        <v>0.48008519999999999</v>
      </c>
      <c r="F5630" t="s">
        <v>68</v>
      </c>
      <c r="G5630">
        <v>-220.4443</v>
      </c>
      <c r="H5630" s="1">
        <v>5.9647390000000001E-7</v>
      </c>
      <c r="I5630">
        <v>-60.810400000000001</v>
      </c>
      <c r="J5630">
        <v>-231.6557</v>
      </c>
      <c r="K5630">
        <v>1.110293</v>
      </c>
      <c r="L5630">
        <v>-62.945469999999901</v>
      </c>
      <c r="M5630">
        <v>0.99987939999999997</v>
      </c>
      <c r="N5630">
        <v>0</v>
      </c>
      <c r="O5630">
        <v>-1.0126380000000001E-2</v>
      </c>
      <c r="P5630">
        <v>0.99054529999999996</v>
      </c>
      <c r="Q5630">
        <v>2.520122E-2</v>
      </c>
      <c r="R5630">
        <v>0.13485220000000001</v>
      </c>
      <c r="S5630">
        <v>2.960785</v>
      </c>
      <c r="T5630">
        <v>-0.28823789999999999</v>
      </c>
      <c r="U5630">
        <v>0.553894</v>
      </c>
      <c r="V5630">
        <v>-0.1449318</v>
      </c>
      <c r="W5630">
        <v>3.6636080000000001E-2</v>
      </c>
      <c r="X5630">
        <v>0.98876319999999995</v>
      </c>
      <c r="Y5630">
        <v>-0.19290370000000001</v>
      </c>
      <c r="Z5630">
        <v>1.0263E-2</v>
      </c>
      <c r="AA5630">
        <v>0.98116400000000004</v>
      </c>
      <c r="AB5630">
        <v>35</v>
      </c>
      <c r="AC5630">
        <v>11.2113999999999</v>
      </c>
      <c r="AD5630">
        <v>-1.1102924035260999</v>
      </c>
      <c r="AE5630">
        <v>2.13506999999999</v>
      </c>
      <c r="AF5630">
        <v>-2.2274185600110101</v>
      </c>
      <c r="AG5630">
        <v>-1.1102924035260999</v>
      </c>
      <c r="AH5630">
        <v>11.0842990940065</v>
      </c>
      <c r="AI5630">
        <v>95.608736328986296</v>
      </c>
      <c r="AJ5630">
        <v>101.362402771973</v>
      </c>
      <c r="AK5630">
        <v>11.360274163426</v>
      </c>
      <c r="AL5630">
        <v>87.900437485820206</v>
      </c>
      <c r="AM5630">
        <v>98.338967496284397</v>
      </c>
      <c r="AN5630">
        <v>1.00000004734162</v>
      </c>
    </row>
    <row r="5631" spans="1:40" x14ac:dyDescent="0.25">
      <c r="A5631" t="str">
        <f>"20190312151427610"</f>
        <v>20190312151427610</v>
      </c>
      <c r="B5631" t="str">
        <f>"1552374867606094"</f>
        <v>1552374867606094</v>
      </c>
      <c r="C5631" t="s">
        <v>40</v>
      </c>
      <c r="D5631">
        <v>5.2459249999999997</v>
      </c>
      <c r="E5631">
        <v>0.47975319999999999</v>
      </c>
      <c r="F5631" t="s">
        <v>68</v>
      </c>
      <c r="G5631">
        <v>-220.22900000000001</v>
      </c>
      <c r="H5631" s="1">
        <v>6.9794869999999902E-7</v>
      </c>
      <c r="I5631">
        <v>-60.769410000000001</v>
      </c>
      <c r="J5631">
        <v>-231.49520000000001</v>
      </c>
      <c r="K5631">
        <v>1.1103430000000001</v>
      </c>
      <c r="L5631">
        <v>-62.946750000000002</v>
      </c>
      <c r="M5631">
        <v>0.99988339999999998</v>
      </c>
      <c r="N5631">
        <v>0</v>
      </c>
      <c r="O5631">
        <v>-9.7185650000000002E-3</v>
      </c>
      <c r="P5631">
        <v>0.99036500000000005</v>
      </c>
      <c r="Q5631">
        <v>2.5087870000000002E-2</v>
      </c>
      <c r="R5631">
        <v>0.13619100000000001</v>
      </c>
      <c r="S5631">
        <v>2.9591980000000002</v>
      </c>
      <c r="T5631">
        <v>-0.28753410000000001</v>
      </c>
      <c r="U5631">
        <v>0.56353759999999997</v>
      </c>
      <c r="V5631">
        <v>-0.14586930000000001</v>
      </c>
      <c r="W5631">
        <v>3.6502670000000001E-2</v>
      </c>
      <c r="X5631">
        <v>0.98863020000000001</v>
      </c>
      <c r="Y5631">
        <v>-0.19567880000000001</v>
      </c>
      <c r="Z5631">
        <v>1.033451E-2</v>
      </c>
      <c r="AA5631">
        <v>0.98061359999999997</v>
      </c>
      <c r="AB5631">
        <v>35</v>
      </c>
      <c r="AC5631">
        <v>11.2661999999999</v>
      </c>
      <c r="AD5631">
        <v>-1.1103423020512999</v>
      </c>
      <c r="AE5631">
        <v>2.1773400000000001</v>
      </c>
      <c r="AF5631">
        <v>-2.2655230658875301</v>
      </c>
      <c r="AG5631">
        <v>-1.1103423020512999</v>
      </c>
      <c r="AH5631">
        <v>11.1401957348029</v>
      </c>
      <c r="AI5631">
        <v>95.578423906858504</v>
      </c>
      <c r="AJ5631">
        <v>101.49518281740001</v>
      </c>
      <c r="AK5631">
        <v>11.4223209462663</v>
      </c>
      <c r="AL5631">
        <v>87.908086301138695</v>
      </c>
      <c r="AM5631">
        <v>98.393255743904604</v>
      </c>
      <c r="AN5631">
        <v>0.99999998497582898</v>
      </c>
    </row>
    <row r="5632" spans="1:40" x14ac:dyDescent="0.25">
      <c r="A5632" t="str">
        <f>"20190312151427622"</f>
        <v>20190312151427622</v>
      </c>
      <c r="B5632" t="str">
        <f>"1552374867615854"</f>
        <v>1552374867615854</v>
      </c>
      <c r="C5632" t="s">
        <v>40</v>
      </c>
      <c r="D5632">
        <v>5.1659459999999999</v>
      </c>
      <c r="E5632">
        <v>0.47946919999999998</v>
      </c>
      <c r="F5632" t="s">
        <v>68</v>
      </c>
      <c r="G5632">
        <v>-220.0838</v>
      </c>
      <c r="H5632" s="1">
        <v>7.6514560000000002E-7</v>
      </c>
      <c r="I5632">
        <v>-60.74736</v>
      </c>
      <c r="J5632">
        <v>-231.30779999999999</v>
      </c>
      <c r="K5632">
        <v>1.110401</v>
      </c>
      <c r="L5632">
        <v>-62.948120000000003</v>
      </c>
      <c r="M5632">
        <v>0.99988809999999995</v>
      </c>
      <c r="N5632">
        <v>0</v>
      </c>
      <c r="O5632">
        <v>-9.2129110000000007E-3</v>
      </c>
      <c r="P5632">
        <v>0.99017489999999997</v>
      </c>
      <c r="Q5632">
        <v>2.4934379999999999E-2</v>
      </c>
      <c r="R5632">
        <v>0.13759350000000001</v>
      </c>
      <c r="S5632">
        <v>2.9580989999999998</v>
      </c>
      <c r="T5632">
        <v>-0.28782560000000001</v>
      </c>
      <c r="U5632">
        <v>0.57012940000000001</v>
      </c>
      <c r="V5632">
        <v>-0.14677479999999901</v>
      </c>
      <c r="W5632">
        <v>3.63273E-2</v>
      </c>
      <c r="X5632">
        <v>0.98850260000000001</v>
      </c>
      <c r="Y5632">
        <v>-0.19735</v>
      </c>
      <c r="Z5632">
        <v>1.037827E-2</v>
      </c>
      <c r="AA5632">
        <v>0.98027819999999999</v>
      </c>
      <c r="AB5632">
        <v>35</v>
      </c>
      <c r="AC5632">
        <v>11.223999999999901</v>
      </c>
      <c r="AD5632">
        <v>-1.11040023485439</v>
      </c>
      <c r="AE5632">
        <v>2.2007599999999901</v>
      </c>
      <c r="AF5632">
        <v>-2.2825663675224299</v>
      </c>
      <c r="AG5632">
        <v>-1.11040023485439</v>
      </c>
      <c r="AH5632">
        <v>11.0986424227453</v>
      </c>
      <c r="AI5632">
        <v>95.596959077003604</v>
      </c>
      <c r="AJ5632">
        <v>101.62150854382701</v>
      </c>
      <c r="AK5632">
        <v>11.385208014422499</v>
      </c>
      <c r="AL5632">
        <v>87.918140863044897</v>
      </c>
      <c r="AM5632">
        <v>98.445683166275899</v>
      </c>
      <c r="AN5632">
        <v>0.999999952423543</v>
      </c>
    </row>
    <row r="5633" spans="1:40" x14ac:dyDescent="0.25">
      <c r="A5633" t="str">
        <f>"20190312151427634"</f>
        <v>20190312151427634</v>
      </c>
      <c r="B5633" t="str">
        <f>"1552374867625614"</f>
        <v>1552374867625614</v>
      </c>
      <c r="C5633" t="s">
        <v>40</v>
      </c>
      <c r="D5633">
        <v>5.1004529999999999</v>
      </c>
      <c r="E5633">
        <v>0.47921989999999998</v>
      </c>
      <c r="F5633" t="s">
        <v>69</v>
      </c>
      <c r="G5633">
        <v>-219.89230000000001</v>
      </c>
      <c r="H5633" s="1">
        <v>-3.2861339999999999E-6</v>
      </c>
      <c r="I5633">
        <v>-60.722149999999999</v>
      </c>
      <c r="J5633">
        <v>-231.13030000000001</v>
      </c>
      <c r="K5633">
        <v>1.1104529999999999</v>
      </c>
      <c r="L5633">
        <v>-62.949280000000002</v>
      </c>
      <c r="M5633">
        <v>0.99989300000000003</v>
      </c>
      <c r="N5633">
        <v>0</v>
      </c>
      <c r="O5633">
        <v>-8.6914619999999901E-3</v>
      </c>
      <c r="P5633">
        <v>0.99001240000000001</v>
      </c>
      <c r="Q5633">
        <v>2.5044339999999998E-2</v>
      </c>
      <c r="R5633">
        <v>0.1387388</v>
      </c>
      <c r="S5633">
        <v>2.956909</v>
      </c>
      <c r="T5633">
        <v>-0.28762389999999999</v>
      </c>
      <c r="U5633">
        <v>0.57656859999999999</v>
      </c>
      <c r="V5633">
        <v>-0.14740780000000001</v>
      </c>
      <c r="W5633">
        <v>3.6416410000000003E-2</v>
      </c>
      <c r="X5633">
        <v>0.98840519999999998</v>
      </c>
      <c r="Y5633">
        <v>-0.19896539999999999</v>
      </c>
      <c r="Z5633">
        <v>1.040049E-2</v>
      </c>
      <c r="AA5633">
        <v>0.97995129999999997</v>
      </c>
      <c r="AB5633">
        <v>35</v>
      </c>
      <c r="AC5633">
        <v>11.238</v>
      </c>
      <c r="AD5633">
        <v>-1.1104562861339999</v>
      </c>
      <c r="AE5633">
        <v>2.2271299999999998</v>
      </c>
      <c r="AF5633">
        <v>-2.30308986220254</v>
      </c>
      <c r="AG5633">
        <v>-1.1104562861339999</v>
      </c>
      <c r="AH5633">
        <v>11.1138034714472</v>
      </c>
      <c r="AI5633">
        <v>95.587930538402702</v>
      </c>
      <c r="AJ5633">
        <v>101.707572081441</v>
      </c>
      <c r="AK5633">
        <v>11.404120469319199</v>
      </c>
      <c r="AL5633">
        <v>87.913032010890007</v>
      </c>
      <c r="AM5633">
        <v>98.482402076360003</v>
      </c>
      <c r="AN5633">
        <v>1.0000000269025799</v>
      </c>
    </row>
    <row r="5634" spans="1:40" x14ac:dyDescent="0.25">
      <c r="A5634" t="str">
        <f>"20190312151427645"</f>
        <v>20190312151427645</v>
      </c>
      <c r="B5634" t="str">
        <f>"1552374867636350"</f>
        <v>1552374867636350</v>
      </c>
      <c r="C5634" t="s">
        <v>40</v>
      </c>
      <c r="D5634">
        <v>4.8742130000000001</v>
      </c>
      <c r="E5634">
        <v>0.478939</v>
      </c>
      <c r="F5634" t="s">
        <v>69</v>
      </c>
      <c r="G5634">
        <v>-219.6799</v>
      </c>
      <c r="H5634" s="1">
        <v>-3.2044880000000001E-6</v>
      </c>
      <c r="I5634">
        <v>-60.694980000000001</v>
      </c>
      <c r="J5634">
        <v>-230.95830000000001</v>
      </c>
      <c r="K5634">
        <v>1.1105020000000001</v>
      </c>
      <c r="L5634">
        <v>-62.95035</v>
      </c>
      <c r="M5634">
        <v>0.99989720000000004</v>
      </c>
      <c r="N5634">
        <v>0</v>
      </c>
      <c r="O5634">
        <v>-8.1724280000000007E-3</v>
      </c>
      <c r="P5634">
        <v>0.98984919999999998</v>
      </c>
      <c r="Q5634">
        <v>2.4662219999999999E-2</v>
      </c>
      <c r="R5634">
        <v>0.13996610000000001</v>
      </c>
      <c r="S5634">
        <v>2.9559630000000001</v>
      </c>
      <c r="T5634">
        <v>-0.28666779999999997</v>
      </c>
      <c r="U5634">
        <v>0.58193969999999995</v>
      </c>
      <c r="V5634">
        <v>-0.1481239</v>
      </c>
      <c r="W5634">
        <v>3.601422E-2</v>
      </c>
      <c r="X5634">
        <v>0.98831279999999999</v>
      </c>
      <c r="Y5634">
        <v>-0.20023299999999999</v>
      </c>
      <c r="Z5634">
        <v>1.037852E-2</v>
      </c>
      <c r="AA5634">
        <v>0.97969340000000005</v>
      </c>
      <c r="AB5634">
        <v>35</v>
      </c>
      <c r="AC5634">
        <v>11.2784</v>
      </c>
      <c r="AD5634">
        <v>-1.1105052044879999</v>
      </c>
      <c r="AE5634">
        <v>2.2553699999999899</v>
      </c>
      <c r="AF5634">
        <v>-2.3257915350012399</v>
      </c>
      <c r="AG5634">
        <v>-1.1105052044879999</v>
      </c>
      <c r="AH5634">
        <v>11.1555957132136</v>
      </c>
      <c r="AI5634">
        <v>95.565984634176601</v>
      </c>
      <c r="AJ5634">
        <v>101.77670154149401</v>
      </c>
      <c r="AK5634">
        <v>11.4494473137417</v>
      </c>
      <c r="AL5634">
        <v>87.936090772190795</v>
      </c>
      <c r="AM5634">
        <v>98.523790540330793</v>
      </c>
      <c r="AN5634">
        <v>0.99999995221862803</v>
      </c>
    </row>
    <row r="5635" spans="1:40" x14ac:dyDescent="0.25">
      <c r="A5635" t="str">
        <f>"20190312151427655"</f>
        <v>20190312151427655</v>
      </c>
      <c r="B5635" t="str">
        <f>"1552374867646109"</f>
        <v>1552374867646109</v>
      </c>
      <c r="C5635" t="s">
        <v>40</v>
      </c>
      <c r="D5635">
        <v>4.8301489999999996</v>
      </c>
      <c r="E5635">
        <v>0.47870560000000001</v>
      </c>
      <c r="F5635" t="s">
        <v>69</v>
      </c>
      <c r="G5635">
        <v>-219.5609</v>
      </c>
      <c r="H5635" s="1">
        <v>-3.150225E-6</v>
      </c>
      <c r="I5635">
        <v>-60.68289</v>
      </c>
      <c r="J5635">
        <v>-230.78970000000001</v>
      </c>
      <c r="K5635">
        <v>1.110549</v>
      </c>
      <c r="L5635">
        <v>-62.9512</v>
      </c>
      <c r="M5635">
        <v>0.9999017</v>
      </c>
      <c r="N5635">
        <v>0</v>
      </c>
      <c r="O5635">
        <v>-7.6149349999999998E-3</v>
      </c>
      <c r="P5635">
        <v>0.98968120000000004</v>
      </c>
      <c r="Q5635">
        <v>2.4512450000000002E-2</v>
      </c>
      <c r="R5635">
        <v>0.1411751</v>
      </c>
      <c r="S5635">
        <v>2.9548030000000001</v>
      </c>
      <c r="T5635">
        <v>-0.28790120000000002</v>
      </c>
      <c r="U5635">
        <v>0.58782959999999995</v>
      </c>
      <c r="V5635">
        <v>-0.1487841</v>
      </c>
      <c r="W5635">
        <v>3.584553E-2</v>
      </c>
      <c r="X5635">
        <v>0.98821979999999998</v>
      </c>
      <c r="Y5635">
        <v>-0.20162649999999999</v>
      </c>
      <c r="Z5635">
        <v>1.0438360000000001E-2</v>
      </c>
      <c r="AA5635">
        <v>0.97940680000000002</v>
      </c>
      <c r="AB5635">
        <v>35</v>
      </c>
      <c r="AC5635">
        <v>11.2288</v>
      </c>
      <c r="AD5635">
        <v>-1.110552150225</v>
      </c>
      <c r="AE5635">
        <v>2.26831</v>
      </c>
      <c r="AF5635">
        <v>-2.3318418080293601</v>
      </c>
      <c r="AG5635">
        <v>-1.110552150225</v>
      </c>
      <c r="AH5635">
        <v>11.1068169824797</v>
      </c>
      <c r="AI5635">
        <v>95.588883702711499</v>
      </c>
      <c r="AJ5635">
        <v>101.856865254692</v>
      </c>
      <c r="AK5635">
        <v>11.4031660418649</v>
      </c>
      <c r="AL5635">
        <v>87.945762323736403</v>
      </c>
      <c r="AM5635">
        <v>98.562013755106804</v>
      </c>
      <c r="AN5635">
        <v>0.99999999177291499</v>
      </c>
    </row>
    <row r="5636" spans="1:40" x14ac:dyDescent="0.25">
      <c r="A5636" t="str">
        <f>"20190312151427666"</f>
        <v>20190312151427666</v>
      </c>
      <c r="B5636" t="str">
        <f>"1552374867655871"</f>
        <v>1552374867655871</v>
      </c>
      <c r="C5636" t="s">
        <v>40</v>
      </c>
      <c r="D5636">
        <v>4.7808169999999999</v>
      </c>
      <c r="E5636">
        <v>0.47846519999999998</v>
      </c>
      <c r="F5636" t="s">
        <v>69</v>
      </c>
      <c r="G5636">
        <v>-219.4342</v>
      </c>
      <c r="H5636" s="1">
        <v>-3.0926409999999999E-6</v>
      </c>
      <c r="I5636">
        <v>-60.670670000000001</v>
      </c>
      <c r="J5636">
        <v>-230.62700000000001</v>
      </c>
      <c r="K5636">
        <v>1.110592</v>
      </c>
      <c r="L5636">
        <v>-62.951970000000003</v>
      </c>
      <c r="M5636">
        <v>0.99990559999999995</v>
      </c>
      <c r="N5636">
        <v>0</v>
      </c>
      <c r="O5636">
        <v>-7.0709409999999999E-3</v>
      </c>
      <c r="P5636">
        <v>0.98952629999999997</v>
      </c>
      <c r="Q5636">
        <v>2.450082E-2</v>
      </c>
      <c r="R5636">
        <v>0.1422592</v>
      </c>
      <c r="S5636">
        <v>2.9538120000000001</v>
      </c>
      <c r="T5636">
        <v>-0.28887869999999999</v>
      </c>
      <c r="U5636">
        <v>0.59320069999999903</v>
      </c>
      <c r="V5636">
        <v>-0.14933370000000001</v>
      </c>
      <c r="W5636">
        <v>3.5816000000000001E-2</v>
      </c>
      <c r="X5636">
        <v>0.98813799999999996</v>
      </c>
      <c r="Y5636">
        <v>-0.20285929999999999</v>
      </c>
      <c r="Z5636">
        <v>1.048221E-2</v>
      </c>
      <c r="AA5636">
        <v>0.97915180000000002</v>
      </c>
      <c r="AB5636">
        <v>35</v>
      </c>
      <c r="AC5636">
        <v>11.1928</v>
      </c>
      <c r="AD5636">
        <v>-1.110595092641</v>
      </c>
      <c r="AE5636">
        <v>2.2812999999999999</v>
      </c>
      <c r="AF5636">
        <v>-2.3382888700759401</v>
      </c>
      <c r="AG5636">
        <v>-1.110595092641</v>
      </c>
      <c r="AH5636">
        <v>11.0717300217336</v>
      </c>
      <c r="AI5636">
        <v>95.605296679939997</v>
      </c>
      <c r="AJ5636">
        <v>101.925314343925</v>
      </c>
      <c r="AK5636">
        <v>11.370321981979099</v>
      </c>
      <c r="AL5636">
        <v>87.947455420263395</v>
      </c>
      <c r="AM5636">
        <v>98.593870780996994</v>
      </c>
      <c r="AN5636">
        <v>1.0000000234278399</v>
      </c>
    </row>
    <row r="5637" spans="1:40" x14ac:dyDescent="0.25">
      <c r="A5637" t="str">
        <f>"20190312151427679"</f>
        <v>20190312151427679</v>
      </c>
      <c r="B5637" t="str">
        <f>"1552374867676366"</f>
        <v>1552374867676366</v>
      </c>
      <c r="C5637" t="s">
        <v>40</v>
      </c>
      <c r="D5637">
        <v>4.8143779999999996</v>
      </c>
      <c r="E5637">
        <v>0.47803970000000001</v>
      </c>
      <c r="F5637" t="s">
        <v>69</v>
      </c>
      <c r="G5637">
        <v>-219.2987</v>
      </c>
      <c r="H5637" s="1">
        <v>-3.0306860000000001E-6</v>
      </c>
      <c r="I5637">
        <v>-60.656309999999998</v>
      </c>
      <c r="J5637">
        <v>-230.4254</v>
      </c>
      <c r="K5637">
        <v>1.1106450000000001</v>
      </c>
      <c r="L5637">
        <v>-62.952730000000003</v>
      </c>
      <c r="M5637">
        <v>0.99991050000000004</v>
      </c>
      <c r="N5637">
        <v>0</v>
      </c>
      <c r="O5637">
        <v>-6.3473389999999996E-3</v>
      </c>
      <c r="P5637">
        <v>0.98934420000000001</v>
      </c>
      <c r="Q5637">
        <v>2.4433509999999999E-2</v>
      </c>
      <c r="R5637">
        <v>0.14353270000000001</v>
      </c>
      <c r="S5637">
        <v>2.9529269999999999</v>
      </c>
      <c r="T5637">
        <v>-0.2894968</v>
      </c>
      <c r="U5637">
        <v>0.5983887</v>
      </c>
      <c r="V5637">
        <v>-0.14989530000000001</v>
      </c>
      <c r="W5637">
        <v>3.5727830000000002E-2</v>
      </c>
      <c r="X5637">
        <v>0.98805609999999999</v>
      </c>
      <c r="Y5637">
        <v>-0.2038547</v>
      </c>
      <c r="Z5637">
        <v>1.0483910000000001E-2</v>
      </c>
      <c r="AA5637">
        <v>0.97894499999999995</v>
      </c>
      <c r="AB5637">
        <v>35</v>
      </c>
      <c r="AC5637">
        <v>11.1267</v>
      </c>
      <c r="AD5637">
        <v>-1.110648030686</v>
      </c>
      <c r="AE5637">
        <v>2.2964199999999999</v>
      </c>
      <c r="AF5637">
        <v>-2.34459715841618</v>
      </c>
      <c r="AG5637">
        <v>-1.110648030686</v>
      </c>
      <c r="AH5637">
        <v>11.006711763097901</v>
      </c>
      <c r="AI5637">
        <v>95.636392388543598</v>
      </c>
      <c r="AJ5637">
        <v>102.025141015344</v>
      </c>
      <c r="AK5637">
        <v>11.3083322695806</v>
      </c>
      <c r="AL5637">
        <v>87.952510310327298</v>
      </c>
      <c r="AM5637">
        <v>98.626408794256506</v>
      </c>
      <c r="AN5637">
        <v>0.99999996777290301</v>
      </c>
    </row>
    <row r="5638" spans="1:40" x14ac:dyDescent="0.25">
      <c r="A5638" t="str">
        <f>"20190312151427691"</f>
        <v>20190312151427691</v>
      </c>
      <c r="B5638" t="str">
        <f>"1552374867686131"</f>
        <v>1552374867686131</v>
      </c>
      <c r="C5638" t="s">
        <v>40</v>
      </c>
      <c r="D5638">
        <v>4.8026450000000001</v>
      </c>
      <c r="E5638">
        <v>0.47781069999999998</v>
      </c>
      <c r="F5638" t="s">
        <v>69</v>
      </c>
      <c r="G5638">
        <v>-219.1105</v>
      </c>
      <c r="H5638" s="1">
        <v>-2.9433540000000001E-6</v>
      </c>
      <c r="I5638">
        <v>-60.631540000000001</v>
      </c>
      <c r="J5638">
        <v>-230.22200000000001</v>
      </c>
      <c r="K5638">
        <v>1.1106959999999999</v>
      </c>
      <c r="L5638">
        <v>-62.953339999999997</v>
      </c>
      <c r="M5638">
        <v>0.99991490000000005</v>
      </c>
      <c r="N5638">
        <v>0</v>
      </c>
      <c r="O5638">
        <v>-5.5949270000000004E-3</v>
      </c>
      <c r="P5638">
        <v>0.98909709999999995</v>
      </c>
      <c r="Q5638">
        <v>2.446479E-2</v>
      </c>
      <c r="R5638">
        <v>0.14521889999999901</v>
      </c>
      <c r="S5638">
        <v>2.9516450000000001</v>
      </c>
      <c r="T5638">
        <v>-0.28972829999999999</v>
      </c>
      <c r="U5638">
        <v>0.60549929999999996</v>
      </c>
      <c r="V5638">
        <v>-0.15084029999999901</v>
      </c>
      <c r="W5638">
        <v>3.5737350000000001E-2</v>
      </c>
      <c r="X5638">
        <v>0.98791189999999995</v>
      </c>
      <c r="Y5638">
        <v>-0.20545920000000001</v>
      </c>
      <c r="Z5638">
        <v>1.0499029999999999E-2</v>
      </c>
      <c r="AA5638">
        <v>0.97860939999999996</v>
      </c>
      <c r="AB5638">
        <v>35</v>
      </c>
      <c r="AC5638">
        <v>11.111499999999999</v>
      </c>
      <c r="AD5638">
        <v>-1.110698943354</v>
      </c>
      <c r="AE5638">
        <v>2.3218000000000001</v>
      </c>
      <c r="AF5638">
        <v>-2.3613289519046301</v>
      </c>
      <c r="AG5638">
        <v>-1.110698943354</v>
      </c>
      <c r="AH5638">
        <v>10.993088478873499</v>
      </c>
      <c r="AI5638">
        <v>95.641541230305705</v>
      </c>
      <c r="AJ5638">
        <v>102.122994351508</v>
      </c>
      <c r="AK5638">
        <v>11.298562778788</v>
      </c>
      <c r="AL5638">
        <v>87.9519644453908</v>
      </c>
      <c r="AM5638">
        <v>98.681215043042499</v>
      </c>
      <c r="AN5638">
        <v>0.99999993822535904</v>
      </c>
    </row>
    <row r="5639" spans="1:40" x14ac:dyDescent="0.25">
      <c r="A5639" t="str">
        <f>"20190312151427701"</f>
        <v>20190312151427701</v>
      </c>
      <c r="B5639" t="str">
        <f>"1552374867695891"</f>
        <v>1552374867695891</v>
      </c>
      <c r="C5639" t="s">
        <v>40</v>
      </c>
      <c r="D5639">
        <v>4.7668019999999904</v>
      </c>
      <c r="E5639">
        <v>0.47761979999999998</v>
      </c>
      <c r="F5639" t="s">
        <v>69</v>
      </c>
      <c r="G5639">
        <v>-218.9264</v>
      </c>
      <c r="H5639" s="1">
        <v>-2.8583639999999999E-6</v>
      </c>
      <c r="I5639">
        <v>-60.608910000000002</v>
      </c>
      <c r="J5639">
        <v>-230.06030000000001</v>
      </c>
      <c r="K5639">
        <v>1.1107320000000001</v>
      </c>
      <c r="L5639">
        <v>-62.953740000000003</v>
      </c>
      <c r="M5639">
        <v>0.99991819999999998</v>
      </c>
      <c r="N5639">
        <v>0</v>
      </c>
      <c r="O5639">
        <v>-4.9803479999999999E-3</v>
      </c>
      <c r="P5639">
        <v>0.98890270000000002</v>
      </c>
      <c r="Q5639">
        <v>2.461897E-2</v>
      </c>
      <c r="R5639">
        <v>0.14651159999999999</v>
      </c>
      <c r="S5639">
        <v>2.950348</v>
      </c>
      <c r="T5639">
        <v>-0.29010819999999998</v>
      </c>
      <c r="U5639">
        <v>0.61233519999999997</v>
      </c>
      <c r="V5639">
        <v>-0.15152869999999999</v>
      </c>
      <c r="W5639">
        <v>3.5875070000000002E-2</v>
      </c>
      <c r="X5639">
        <v>0.98780159999999995</v>
      </c>
      <c r="Y5639">
        <v>-0.2071094</v>
      </c>
      <c r="Z5639">
        <v>1.053523E-2</v>
      </c>
      <c r="AA5639">
        <v>0.97826109999999999</v>
      </c>
      <c r="AB5639">
        <v>35</v>
      </c>
      <c r="AC5639">
        <v>11.133900000000001</v>
      </c>
      <c r="AD5639">
        <v>-1.110734858364</v>
      </c>
      <c r="AE5639">
        <v>2.34483</v>
      </c>
      <c r="AF5639">
        <v>-2.3775976985079401</v>
      </c>
      <c r="AG5639">
        <v>-1.110734858364</v>
      </c>
      <c r="AH5639">
        <v>11.017093565095401</v>
      </c>
      <c r="AI5639">
        <v>95.628348036567203</v>
      </c>
      <c r="AJ5639">
        <v>102.178225582048</v>
      </c>
      <c r="AK5639">
        <v>11.3253279583243</v>
      </c>
      <c r="AL5639">
        <v>87.944068701650593</v>
      </c>
      <c r="AM5639">
        <v>98.721185194588301</v>
      </c>
      <c r="AN5639">
        <v>0.99999998426687697</v>
      </c>
    </row>
    <row r="5640" spans="1:40" x14ac:dyDescent="0.25">
      <c r="A5640" t="str">
        <f>"20190312151427714"</f>
        <v>20190312151427714</v>
      </c>
      <c r="B5640" t="str">
        <f>"1552374867705651"</f>
        <v>1552374867705651</v>
      </c>
      <c r="C5640" t="s">
        <v>40</v>
      </c>
      <c r="D5640">
        <v>4.7815880000000002</v>
      </c>
      <c r="E5640">
        <v>0.47742190000000001</v>
      </c>
      <c r="F5640" t="s">
        <v>69</v>
      </c>
      <c r="G5640">
        <v>-218.76939999999999</v>
      </c>
      <c r="H5640" s="1">
        <v>-2.7857030000000002E-6</v>
      </c>
      <c r="I5640">
        <v>-60.58905</v>
      </c>
      <c r="J5640">
        <v>-229.87729999999999</v>
      </c>
      <c r="K5640">
        <v>1.1107720000000001</v>
      </c>
      <c r="L5640">
        <v>-62.953980000000001</v>
      </c>
      <c r="M5640">
        <v>0.99992139999999996</v>
      </c>
      <c r="N5640">
        <v>0</v>
      </c>
      <c r="O5640">
        <v>-4.2623000000000001E-3</v>
      </c>
      <c r="P5640">
        <v>0.98869459999999998</v>
      </c>
      <c r="Q5640">
        <v>2.4336400000000001E-2</v>
      </c>
      <c r="R5640">
        <v>0.147955</v>
      </c>
      <c r="S5640">
        <v>2.9493710000000002</v>
      </c>
      <c r="T5640">
        <v>-0.29014000000000001</v>
      </c>
      <c r="U5640">
        <v>0.6176758</v>
      </c>
      <c r="V5640">
        <v>-0.1522646</v>
      </c>
      <c r="W5640">
        <v>3.5576280000000002E-2</v>
      </c>
      <c r="X5640">
        <v>0.98769929999999995</v>
      </c>
      <c r="Y5640">
        <v>-0.20816699999999999</v>
      </c>
      <c r="Z5640">
        <v>1.051947E-2</v>
      </c>
      <c r="AA5640">
        <v>0.97803680000000004</v>
      </c>
      <c r="AB5640">
        <v>35</v>
      </c>
      <c r="AC5640">
        <v>11.107900000000001</v>
      </c>
      <c r="AD5640">
        <v>-1.1107747857029999</v>
      </c>
      <c r="AE5640">
        <v>2.3649300000000002</v>
      </c>
      <c r="AF5640">
        <v>-2.3893997536741098</v>
      </c>
      <c r="AG5640">
        <v>-1.1107747857029999</v>
      </c>
      <c r="AH5640">
        <v>10.992562311596799</v>
      </c>
      <c r="AI5640">
        <v>95.639225904751001</v>
      </c>
      <c r="AJ5640">
        <v>102.263341804021</v>
      </c>
      <c r="AK5640">
        <v>11.3039585093785</v>
      </c>
      <c r="AL5640">
        <v>87.961199164521801</v>
      </c>
      <c r="AM5640">
        <v>98.763777354897996</v>
      </c>
      <c r="AN5640">
        <v>1.00000004366614</v>
      </c>
    </row>
    <row r="5641" spans="1:40" x14ac:dyDescent="0.25">
      <c r="A5641" t="str">
        <f>"20190312151427724"</f>
        <v>20190312151427724</v>
      </c>
      <c r="B5641" t="str">
        <f>"1552374867716387"</f>
        <v>1552374867716387</v>
      </c>
      <c r="C5641" t="s">
        <v>40</v>
      </c>
      <c r="D5641">
        <v>4.8151039999999998</v>
      </c>
      <c r="E5641">
        <v>0.47723640000000001</v>
      </c>
      <c r="F5641" t="s">
        <v>69</v>
      </c>
      <c r="G5641">
        <v>-218.6284</v>
      </c>
      <c r="H5641" s="1">
        <v>-2.7214989999999999E-6</v>
      </c>
      <c r="I5641">
        <v>-60.575000000000003</v>
      </c>
      <c r="J5641">
        <v>-229.7182</v>
      </c>
      <c r="K5641">
        <v>1.110803</v>
      </c>
      <c r="L5641">
        <v>-62.954160000000002</v>
      </c>
      <c r="M5641">
        <v>0.99992409999999998</v>
      </c>
      <c r="N5641">
        <v>0</v>
      </c>
      <c r="O5641">
        <v>-3.631226E-3</v>
      </c>
      <c r="P5641">
        <v>0.98849509999999996</v>
      </c>
      <c r="Q5641">
        <v>2.4487149999999999E-2</v>
      </c>
      <c r="R5641">
        <v>0.14925869999999999</v>
      </c>
      <c r="S5641">
        <v>2.9481510000000002</v>
      </c>
      <c r="T5641">
        <v>-0.291114599999999</v>
      </c>
      <c r="U5641">
        <v>0.62347410000000003</v>
      </c>
      <c r="V5641">
        <v>-0.15294630000000001</v>
      </c>
      <c r="W5641">
        <v>3.5712580000000001E-2</v>
      </c>
      <c r="X5641">
        <v>0.98758900000000005</v>
      </c>
      <c r="Y5641">
        <v>-0.20946290000000001</v>
      </c>
      <c r="Z5641">
        <v>1.0558420000000001E-2</v>
      </c>
      <c r="AA5641">
        <v>0.97775959999999995</v>
      </c>
      <c r="AB5641">
        <v>35</v>
      </c>
      <c r="AC5641">
        <v>11.089799999999901</v>
      </c>
      <c r="AD5641">
        <v>-1.1108057214989999</v>
      </c>
      <c r="AE5641">
        <v>2.3791599999999899</v>
      </c>
      <c r="AF5641">
        <v>-2.3964313065056202</v>
      </c>
      <c r="AG5641">
        <v>-1.1108057214989999</v>
      </c>
      <c r="AH5641">
        <v>10.975812521458399</v>
      </c>
      <c r="AI5641">
        <v>95.646797716476598</v>
      </c>
      <c r="AJ5641">
        <v>102.316529333148</v>
      </c>
      <c r="AK5641">
        <v>11.289164400606399</v>
      </c>
      <c r="AL5641">
        <v>87.953384686726096</v>
      </c>
      <c r="AM5641">
        <v>98.8033680135146</v>
      </c>
      <c r="AN5641">
        <v>0.99999999598747302</v>
      </c>
    </row>
    <row r="5642" spans="1:40" x14ac:dyDescent="0.25">
      <c r="A5642" t="str">
        <f>"20190312151427735"</f>
        <v>20190312151427735</v>
      </c>
      <c r="B5642" t="str">
        <f>"1552374867726149"</f>
        <v>1552374867726149</v>
      </c>
      <c r="C5642" t="s">
        <v>40</v>
      </c>
      <c r="D5642">
        <v>4.8398719999999997</v>
      </c>
      <c r="E5642">
        <v>0.47709230000000002</v>
      </c>
      <c r="F5642" t="s">
        <v>69</v>
      </c>
      <c r="G5642">
        <v>-218.47540000000001</v>
      </c>
      <c r="H5642" s="1">
        <v>-2.6505420000000002E-6</v>
      </c>
      <c r="I5642">
        <v>-60.554969999999997</v>
      </c>
      <c r="J5642">
        <v>-229.55189999999999</v>
      </c>
      <c r="K5642">
        <v>1.1108290000000001</v>
      </c>
      <c r="L5642">
        <v>-62.954129999999999</v>
      </c>
      <c r="M5642">
        <v>0.99992610000000004</v>
      </c>
      <c r="N5642">
        <v>0</v>
      </c>
      <c r="O5642">
        <v>-2.9538329999999999E-3</v>
      </c>
      <c r="P5642">
        <v>0.98830249999999997</v>
      </c>
      <c r="Q5642">
        <v>2.4568619999999999E-2</v>
      </c>
      <c r="R5642">
        <v>0.15051500000000001</v>
      </c>
      <c r="S5642">
        <v>2.947174</v>
      </c>
      <c r="T5642">
        <v>-0.2911859</v>
      </c>
      <c r="U5642">
        <v>0.62890630000000003</v>
      </c>
      <c r="V5642">
        <v>-0.1535359</v>
      </c>
      <c r="W5642">
        <v>3.5781680000000003E-2</v>
      </c>
      <c r="X5642">
        <v>0.98749500000000001</v>
      </c>
      <c r="Y5642">
        <v>-0.21058760000000001</v>
      </c>
      <c r="Z5642">
        <v>1.055119E-2</v>
      </c>
      <c r="AA5642">
        <v>0.977518</v>
      </c>
      <c r="AB5642">
        <v>35</v>
      </c>
      <c r="AC5642">
        <v>11.0764999999999</v>
      </c>
      <c r="AD5642">
        <v>-1.1108316505419999</v>
      </c>
      <c r="AE5642">
        <v>2.3991600000000002</v>
      </c>
      <c r="AF5642">
        <v>-2.4087296931764102</v>
      </c>
      <c r="AG5642">
        <v>-1.1108316505419999</v>
      </c>
      <c r="AH5642">
        <v>10.9640348926046</v>
      </c>
      <c r="AI5642">
        <v>95.651363684759005</v>
      </c>
      <c r="AJ5642">
        <v>102.39067944566099</v>
      </c>
      <c r="AK5642">
        <v>11.2803362900619</v>
      </c>
      <c r="AL5642">
        <v>87.949423000168807</v>
      </c>
      <c r="AM5642">
        <v>98.837597823897198</v>
      </c>
      <c r="AN5642">
        <v>0.99999998811871604</v>
      </c>
    </row>
    <row r="5643" spans="1:40" x14ac:dyDescent="0.25">
      <c r="A5643" t="str">
        <f>"20190312151427748"</f>
        <v>20190312151427748</v>
      </c>
      <c r="B5643" t="str">
        <f>"1552374867745667"</f>
        <v>1552374867745667</v>
      </c>
      <c r="C5643" t="s">
        <v>40</v>
      </c>
      <c r="D5643">
        <v>4.777609</v>
      </c>
      <c r="E5643">
        <v>0.47676829999999998</v>
      </c>
      <c r="F5643" t="s">
        <v>69</v>
      </c>
      <c r="G5643">
        <v>-218.2894</v>
      </c>
      <c r="H5643" s="1">
        <v>-2.564349E-6</v>
      </c>
      <c r="I5643">
        <v>-60.531019999999998</v>
      </c>
      <c r="J5643">
        <v>-229.3459</v>
      </c>
      <c r="K5643">
        <v>1.11086</v>
      </c>
      <c r="L5643">
        <v>-62.953980000000001</v>
      </c>
      <c r="M5643">
        <v>0.99992840000000005</v>
      </c>
      <c r="N5643">
        <v>0</v>
      </c>
      <c r="O5643">
        <v>-2.10903E-3</v>
      </c>
      <c r="P5643">
        <v>0.98803379999999996</v>
      </c>
      <c r="Q5643">
        <v>2.461176E-2</v>
      </c>
      <c r="R5643">
        <v>0.15226210000000001</v>
      </c>
      <c r="S5643">
        <v>2.9461979999999999</v>
      </c>
      <c r="T5643">
        <v>-0.29058479999999998</v>
      </c>
      <c r="U5643">
        <v>0.63385009999999997</v>
      </c>
      <c r="V5643">
        <v>-0.15445059999999999</v>
      </c>
      <c r="W5643">
        <v>3.5809319999999999E-2</v>
      </c>
      <c r="X5643">
        <v>0.98735139999999999</v>
      </c>
      <c r="Y5643">
        <v>-0.21140039999999999</v>
      </c>
      <c r="Z5643">
        <v>1.048843E-2</v>
      </c>
      <c r="AA5643">
        <v>0.97734330000000003</v>
      </c>
      <c r="AB5643">
        <v>35</v>
      </c>
      <c r="AC5643">
        <v>11.0565</v>
      </c>
      <c r="AD5643">
        <v>-1.110862564349</v>
      </c>
      <c r="AE5643">
        <v>2.4229599999999998</v>
      </c>
      <c r="AF5643">
        <v>-2.4229371133148301</v>
      </c>
      <c r="AG5643">
        <v>-1.110862564349</v>
      </c>
      <c r="AH5643">
        <v>10.9459342825471</v>
      </c>
      <c r="AI5643">
        <v>95.658840393410998</v>
      </c>
      <c r="AJ5643">
        <v>102.481448269127</v>
      </c>
      <c r="AK5643">
        <v>11.265794122466</v>
      </c>
      <c r="AL5643">
        <v>87.947838438142199</v>
      </c>
      <c r="AM5643">
        <v>98.890682173042805</v>
      </c>
      <c r="AN5643">
        <v>1.00000004116059</v>
      </c>
    </row>
    <row r="5644" spans="1:40" x14ac:dyDescent="0.25">
      <c r="A5644" t="str">
        <f>"20190312151427761"</f>
        <v>20190312151427761</v>
      </c>
      <c r="B5644" t="str">
        <f>"1552374867756404"</f>
        <v>1552374867756404</v>
      </c>
      <c r="C5644" t="s">
        <v>40</v>
      </c>
      <c r="D5644">
        <v>5.2588949999999999</v>
      </c>
      <c r="E5644">
        <v>0.47664060000000003</v>
      </c>
      <c r="F5644" t="s">
        <v>69</v>
      </c>
      <c r="G5644">
        <v>-218.11189999999999</v>
      </c>
      <c r="H5644" s="1">
        <v>-2.481727E-6</v>
      </c>
      <c r="I5644">
        <v>-60.506599999999999</v>
      </c>
      <c r="J5644">
        <v>-229.1414</v>
      </c>
      <c r="K5644">
        <v>1.110884</v>
      </c>
      <c r="L5644">
        <v>-62.95364</v>
      </c>
      <c r="M5644">
        <v>0.99992970000000003</v>
      </c>
      <c r="N5644">
        <v>0</v>
      </c>
      <c r="O5644">
        <v>-1.2573790000000001E-3</v>
      </c>
      <c r="P5644">
        <v>0.98775380000000002</v>
      </c>
      <c r="Q5644">
        <v>2.470729E-2</v>
      </c>
      <c r="R5644">
        <v>0.15405179999999999</v>
      </c>
      <c r="S5644">
        <v>2.9447169999999998</v>
      </c>
      <c r="T5644">
        <v>-0.29118690000000003</v>
      </c>
      <c r="U5644">
        <v>0.64151000000000002</v>
      </c>
      <c r="V5644">
        <v>-0.1554016</v>
      </c>
      <c r="W5644">
        <v>3.5890810000000002E-2</v>
      </c>
      <c r="X5644">
        <v>0.98719920000000005</v>
      </c>
      <c r="Y5644">
        <v>-0.2130889</v>
      </c>
      <c r="Z5644">
        <v>1.0511619999999999E-2</v>
      </c>
      <c r="AA5644">
        <v>0.97697630000000002</v>
      </c>
      <c r="AB5644">
        <v>35</v>
      </c>
      <c r="AC5644">
        <v>11.029500000000001</v>
      </c>
      <c r="AD5644">
        <v>-1.1108864817270001</v>
      </c>
      <c r="AE5644">
        <v>2.4470399999999999</v>
      </c>
      <c r="AF5644">
        <v>-2.4373418139140002</v>
      </c>
      <c r="AG5644">
        <v>-1.1108864817270001</v>
      </c>
      <c r="AH5644">
        <v>10.9208260333828</v>
      </c>
      <c r="AI5644">
        <v>95.669706089209598</v>
      </c>
      <c r="AJ5644">
        <v>102.58125050589901</v>
      </c>
      <c r="AK5644">
        <v>11.2445162254562</v>
      </c>
      <c r="AL5644">
        <v>87.943166387253001</v>
      </c>
      <c r="AM5644">
        <v>98.945899103334796</v>
      </c>
      <c r="AN5644">
        <v>1.0000000340028199</v>
      </c>
    </row>
    <row r="5645" spans="1:40" x14ac:dyDescent="0.25">
      <c r="A5645" t="str">
        <f>"20190312151427777"</f>
        <v>20190312151427777</v>
      </c>
      <c r="B5645" t="str">
        <f>"1552374867766163"</f>
        <v>1552374867766163</v>
      </c>
      <c r="C5645" t="s">
        <v>40</v>
      </c>
      <c r="D5645">
        <v>4.8264100000000001</v>
      </c>
      <c r="E5645">
        <v>0.47651579999999899</v>
      </c>
      <c r="F5645" t="s">
        <v>69</v>
      </c>
      <c r="G5645">
        <v>-217.87790000000001</v>
      </c>
      <c r="H5645" s="1">
        <v>-2.3728430000000001E-6</v>
      </c>
      <c r="I5645">
        <v>-60.474670000000003</v>
      </c>
      <c r="J5645">
        <v>-228.88730000000001</v>
      </c>
      <c r="K5645">
        <v>1.1109119999999999</v>
      </c>
      <c r="L5645">
        <v>-62.953000000000003</v>
      </c>
      <c r="M5645">
        <v>0.9999304</v>
      </c>
      <c r="N5645">
        <v>0</v>
      </c>
      <c r="O5645">
        <v>-1.9008170000000001E-4</v>
      </c>
      <c r="P5645">
        <v>0.98726250000000004</v>
      </c>
      <c r="Q5645">
        <v>2.4622930000000001E-2</v>
      </c>
      <c r="R5645">
        <v>0.15718370000000001</v>
      </c>
      <c r="S5645">
        <v>2.9434049999999998</v>
      </c>
      <c r="T5645">
        <v>-0.29030009999999901</v>
      </c>
      <c r="U5645">
        <v>0.64779659999999994</v>
      </c>
      <c r="V5645">
        <v>-0.1574816</v>
      </c>
      <c r="W5645">
        <v>3.578692E-2</v>
      </c>
      <c r="X5645">
        <v>0.98687329999999995</v>
      </c>
      <c r="Y5645">
        <v>-0.21413380000000001</v>
      </c>
      <c r="Z5645">
        <v>1.0428959999999999E-2</v>
      </c>
      <c r="AA5645">
        <v>0.97674859999999997</v>
      </c>
      <c r="AB5645">
        <v>35</v>
      </c>
      <c r="AC5645">
        <v>11.009399999999999</v>
      </c>
      <c r="AD5645">
        <v>-1.110914372843</v>
      </c>
      <c r="AE5645">
        <v>2.4783300000000001</v>
      </c>
      <c r="AF5645">
        <v>-2.4566158855843998</v>
      </c>
      <c r="AG5645">
        <v>-1.110914372843</v>
      </c>
      <c r="AH5645">
        <v>10.903265860746499</v>
      </c>
      <c r="AI5645">
        <v>95.676357617239404</v>
      </c>
      <c r="AJ5645">
        <v>102.69729347645099</v>
      </c>
      <c r="AK5645">
        <v>11.231665004940901</v>
      </c>
      <c r="AL5645">
        <v>87.949122672248805</v>
      </c>
      <c r="AM5645">
        <v>99.066605672878694</v>
      </c>
      <c r="AN5645">
        <v>1.0000000341172599</v>
      </c>
    </row>
    <row r="5646" spans="1:40" x14ac:dyDescent="0.25">
      <c r="A5646" t="str">
        <f>"20190312151427788"</f>
        <v>20190312151427788</v>
      </c>
      <c r="B5646" t="str">
        <f>"1552374867785683"</f>
        <v>1552374867785683</v>
      </c>
      <c r="C5646" t="s">
        <v>40</v>
      </c>
      <c r="D5646">
        <v>4.7686320000000002</v>
      </c>
      <c r="E5646">
        <v>0.47624620000000001</v>
      </c>
      <c r="F5646" t="s">
        <v>69</v>
      </c>
      <c r="G5646">
        <v>-217.65219999999999</v>
      </c>
      <c r="H5646" s="1">
        <v>-2.2666259999999999E-6</v>
      </c>
      <c r="I5646">
        <v>-60.439469999999901</v>
      </c>
      <c r="J5646">
        <v>-228.7218</v>
      </c>
      <c r="K5646">
        <v>1.1109290000000001</v>
      </c>
      <c r="L5646">
        <v>-62.952419999999996</v>
      </c>
      <c r="M5646">
        <v>0.99993030000000005</v>
      </c>
      <c r="N5646">
        <v>0</v>
      </c>
      <c r="O5646">
        <v>5.0832830000000005E-4</v>
      </c>
      <c r="P5646">
        <v>0.98700489999999996</v>
      </c>
      <c r="Q5646">
        <v>2.4703329999999999E-2</v>
      </c>
      <c r="R5646">
        <v>0.1587808</v>
      </c>
      <c r="S5646">
        <v>2.9411930000000002</v>
      </c>
      <c r="T5646">
        <v>-0.29082049999999998</v>
      </c>
      <c r="U5646">
        <v>0.6579895</v>
      </c>
      <c r="V5646">
        <v>-0.15839020000000001</v>
      </c>
      <c r="W5646">
        <v>3.5857920000000001E-2</v>
      </c>
      <c r="X5646">
        <v>0.98672530000000003</v>
      </c>
      <c r="Y5646">
        <v>-0.21681790000000001</v>
      </c>
      <c r="Z5646">
        <v>1.051407E-2</v>
      </c>
      <c r="AA5646">
        <v>0.97615549999999995</v>
      </c>
      <c r="AB5646">
        <v>35</v>
      </c>
      <c r="AC5646">
        <v>11.069599999999999</v>
      </c>
      <c r="AD5646">
        <v>-1.1109312666260001</v>
      </c>
      <c r="AE5646">
        <v>2.51295</v>
      </c>
      <c r="AF5646">
        <v>-2.4835343499986902</v>
      </c>
      <c r="AG5646">
        <v>-1.1109312666260001</v>
      </c>
      <c r="AH5646">
        <v>10.9658423503785</v>
      </c>
      <c r="AI5646">
        <v>95.642851731574694</v>
      </c>
      <c r="AJ5646">
        <v>102.76102174852301</v>
      </c>
      <c r="AK5646">
        <v>11.298310032927301</v>
      </c>
      <c r="AL5646">
        <v>87.945052054582007</v>
      </c>
      <c r="AM5646">
        <v>99.119384396698095</v>
      </c>
      <c r="AN5646">
        <v>1.0000000317714199</v>
      </c>
    </row>
    <row r="5647" spans="1:40" x14ac:dyDescent="0.25">
      <c r="A5647" t="str">
        <f>"20190312151427799"</f>
        <v>20190312151427799</v>
      </c>
      <c r="B5647" t="str">
        <f>"1552374867796419"</f>
        <v>1552374867796419</v>
      </c>
      <c r="C5647" t="s">
        <v>40</v>
      </c>
      <c r="D5647">
        <v>4.8322909999999997</v>
      </c>
      <c r="E5647">
        <v>0.47609659999999898</v>
      </c>
      <c r="F5647" t="s">
        <v>69</v>
      </c>
      <c r="G5647">
        <v>-217.5232</v>
      </c>
      <c r="H5647" s="1">
        <v>-2.2060909999999999E-6</v>
      </c>
      <c r="I5647">
        <v>-60.419800000000002</v>
      </c>
      <c r="J5647">
        <v>-228.54830000000001</v>
      </c>
      <c r="K5647">
        <v>1.1109389999999999</v>
      </c>
      <c r="L5647">
        <v>-62.951689999999999</v>
      </c>
      <c r="M5647">
        <v>0.99992979999999998</v>
      </c>
      <c r="N5647">
        <v>0</v>
      </c>
      <c r="O5647">
        <v>1.243311E-3</v>
      </c>
      <c r="P5647">
        <v>0.98674720000000005</v>
      </c>
      <c r="Q5647">
        <v>2.4653399999999999E-2</v>
      </c>
      <c r="R5647">
        <v>0.16038229999999901</v>
      </c>
      <c r="S5647">
        <v>2.9398650000000002</v>
      </c>
      <c r="T5647">
        <v>-0.29164420000000002</v>
      </c>
      <c r="U5647">
        <v>0.664856</v>
      </c>
      <c r="V5647">
        <v>-0.15926750000000001</v>
      </c>
      <c r="W5647">
        <v>3.5798829999999997E-2</v>
      </c>
      <c r="X5647">
        <v>0.98658619999999997</v>
      </c>
      <c r="Y5647">
        <v>-0.21835460000000001</v>
      </c>
      <c r="Z5647">
        <v>1.054894E-2</v>
      </c>
      <c r="AA5647">
        <v>0.97581249999999997</v>
      </c>
      <c r="AB5647">
        <v>35</v>
      </c>
      <c r="AC5647">
        <v>11.0251</v>
      </c>
      <c r="AD5647">
        <v>-1.110941206091</v>
      </c>
      <c r="AE5647">
        <v>2.53188999999999</v>
      </c>
      <c r="AF5647">
        <v>-2.4941239422862802</v>
      </c>
      <c r="AG5647">
        <v>-1.110941206091</v>
      </c>
      <c r="AH5647">
        <v>10.922889686302801</v>
      </c>
      <c r="AI5647">
        <v>95.662684551480396</v>
      </c>
      <c r="AJ5647">
        <v>102.862356093017</v>
      </c>
      <c r="AK5647">
        <v>11.258968145528099</v>
      </c>
      <c r="AL5647">
        <v>87.948439795391494</v>
      </c>
      <c r="AM5647">
        <v>99.170310445396396</v>
      </c>
      <c r="AN5647">
        <v>1.0000000114080201</v>
      </c>
    </row>
    <row r="5648" spans="1:40" x14ac:dyDescent="0.25">
      <c r="A5648" t="str">
        <f>"20190312151427811"</f>
        <v>20190312151427811</v>
      </c>
      <c r="B5648" t="str">
        <f>"1552374867806179"</f>
        <v>1552374867806179</v>
      </c>
      <c r="C5648" t="s">
        <v>40</v>
      </c>
      <c r="D5648">
        <v>5.14168</v>
      </c>
      <c r="E5648">
        <v>0.47614770000000001</v>
      </c>
      <c r="F5648" t="s">
        <v>69</v>
      </c>
      <c r="G5648">
        <v>-217.35890000000001</v>
      </c>
      <c r="H5648" s="1">
        <v>-2.1294619999999999E-6</v>
      </c>
      <c r="I5648">
        <v>-60.396729999999998</v>
      </c>
      <c r="J5648">
        <v>-228.3707</v>
      </c>
      <c r="K5648">
        <v>1.1109530000000001</v>
      </c>
      <c r="L5648">
        <v>-62.950809999999997</v>
      </c>
      <c r="M5648">
        <v>0.99992840000000005</v>
      </c>
      <c r="N5648">
        <v>0</v>
      </c>
      <c r="O5648">
        <v>1.9966990000000002E-3</v>
      </c>
      <c r="P5648">
        <v>0.98649770000000003</v>
      </c>
      <c r="Q5648">
        <v>2.4770239999999999E-2</v>
      </c>
      <c r="R5648">
        <v>0.16189129999999999</v>
      </c>
      <c r="S5648">
        <v>2.938507</v>
      </c>
      <c r="T5648">
        <v>-0.29175109999999999</v>
      </c>
      <c r="U5648">
        <v>0.67095950000000004</v>
      </c>
      <c r="V5648">
        <v>-0.1600346</v>
      </c>
      <c r="W5648">
        <v>3.5907000000000001E-2</v>
      </c>
      <c r="X5648">
        <v>0.9864581</v>
      </c>
      <c r="Y5648">
        <v>-0.2196401</v>
      </c>
      <c r="Z5648">
        <v>1.0544329999999999E-2</v>
      </c>
      <c r="AA5648">
        <v>0.97552399999999995</v>
      </c>
      <c r="AB5648">
        <v>35</v>
      </c>
      <c r="AC5648">
        <v>11.0117999999999</v>
      </c>
      <c r="AD5648">
        <v>-1.1109551294619999</v>
      </c>
      <c r="AE5648">
        <v>2.5540799999999901</v>
      </c>
      <c r="AF5648">
        <v>-2.50786336817022</v>
      </c>
      <c r="AG5648">
        <v>-1.1109551294619999</v>
      </c>
      <c r="AH5648">
        <v>10.911487091646199</v>
      </c>
      <c r="AI5648">
        <v>95.666798433813</v>
      </c>
      <c r="AJ5648">
        <v>102.943893756565</v>
      </c>
      <c r="AK5648">
        <v>11.2509622043739</v>
      </c>
      <c r="AL5648">
        <v>87.942238068300298</v>
      </c>
      <c r="AM5648">
        <v>99.214898758070007</v>
      </c>
      <c r="AN5648">
        <v>0.99999998445088401</v>
      </c>
    </row>
    <row r="5649" spans="1:40" x14ac:dyDescent="0.25">
      <c r="A5649" t="str">
        <f>"20190312151427821"</f>
        <v>20190312151427821</v>
      </c>
      <c r="B5649" t="str">
        <f>"1552374867815939"</f>
        <v>1552374867815939</v>
      </c>
      <c r="C5649" t="s">
        <v>40</v>
      </c>
      <c r="D5649">
        <v>5.2075849999999999</v>
      </c>
      <c r="E5649">
        <v>0.47637659999999998</v>
      </c>
      <c r="F5649" t="s">
        <v>69</v>
      </c>
      <c r="G5649">
        <v>-217.13149999999999</v>
      </c>
      <c r="H5649" s="1">
        <v>-2.0313599999999999E-6</v>
      </c>
      <c r="I5649">
        <v>-60.367170000000002</v>
      </c>
      <c r="J5649">
        <v>-228.19759999999999</v>
      </c>
      <c r="K5649">
        <v>1.110965</v>
      </c>
      <c r="L5649">
        <v>-62.949829999999999</v>
      </c>
      <c r="M5649">
        <v>0.9999268</v>
      </c>
      <c r="N5649">
        <v>0</v>
      </c>
      <c r="O5649">
        <v>2.731472E-3</v>
      </c>
      <c r="P5649">
        <v>0.98626290000000005</v>
      </c>
      <c r="Q5649">
        <v>2.465417E-2</v>
      </c>
      <c r="R5649">
        <v>0.1633339</v>
      </c>
      <c r="S5649">
        <v>2.9375460000000002</v>
      </c>
      <c r="T5649">
        <v>-0.29036770000000001</v>
      </c>
      <c r="U5649">
        <v>0.67526249999999999</v>
      </c>
      <c r="V5649">
        <v>-0.1607536</v>
      </c>
      <c r="W5649">
        <v>3.5784059999999999E-2</v>
      </c>
      <c r="X5649">
        <v>0.98634569999999999</v>
      </c>
      <c r="Y5649">
        <v>-0.22035979999999999</v>
      </c>
      <c r="Z5649">
        <v>1.045972E-2</v>
      </c>
      <c r="AA5649">
        <v>0.97536259999999997</v>
      </c>
      <c r="AB5649">
        <v>35</v>
      </c>
      <c r="AC5649">
        <v>11.0661</v>
      </c>
      <c r="AD5649">
        <v>-1.11096703136</v>
      </c>
      <c r="AE5649">
        <v>2.5826600000000099</v>
      </c>
      <c r="AF5649">
        <v>-2.5282557560549499</v>
      </c>
      <c r="AG5649">
        <v>-1.11096703136</v>
      </c>
      <c r="AH5649">
        <v>10.9682758604218</v>
      </c>
      <c r="AI5649">
        <v>95.636888472163804</v>
      </c>
      <c r="AJ5649">
        <v>102.980308236798</v>
      </c>
      <c r="AK5649">
        <v>11.3105879715913</v>
      </c>
      <c r="AL5649">
        <v>87.949286633489905</v>
      </c>
      <c r="AM5649">
        <v>99.256620798078799</v>
      </c>
      <c r="AN5649">
        <v>1.00000002938576</v>
      </c>
    </row>
    <row r="5650" spans="1:40" x14ac:dyDescent="0.25">
      <c r="A5650" t="str">
        <f>"20190312151427832"</f>
        <v>20190312151427832</v>
      </c>
      <c r="B5650" t="str">
        <f>"1552374867825699"</f>
        <v>1552374867825699</v>
      </c>
      <c r="C5650" t="s">
        <v>40</v>
      </c>
      <c r="D5650">
        <v>4.8783180000000002</v>
      </c>
      <c r="E5650">
        <v>0.47676259999999998</v>
      </c>
      <c r="F5650" t="s">
        <v>69</v>
      </c>
      <c r="G5650">
        <v>-216.92429999999999</v>
      </c>
      <c r="H5650" s="1">
        <v>-1.9458480000000001E-6</v>
      </c>
      <c r="I5650">
        <v>-60.348050000000001</v>
      </c>
      <c r="J5650">
        <v>-228.0291</v>
      </c>
      <c r="K5650">
        <v>1.1109800000000001</v>
      </c>
      <c r="L5650">
        <v>-62.948729999999998</v>
      </c>
      <c r="M5650">
        <v>0.99992449999999999</v>
      </c>
      <c r="N5650">
        <v>0</v>
      </c>
      <c r="O5650">
        <v>3.4464399999999998E-3</v>
      </c>
      <c r="P5650">
        <v>0.98605169999999998</v>
      </c>
      <c r="Q5650">
        <v>2.4595769999999999E-2</v>
      </c>
      <c r="R5650">
        <v>0.16461229999999999</v>
      </c>
      <c r="S5650">
        <v>2.9367679999999998</v>
      </c>
      <c r="T5650">
        <v>-0.28941440000000002</v>
      </c>
      <c r="U5650">
        <v>0.6777649</v>
      </c>
      <c r="V5650">
        <v>-0.16132769999999999</v>
      </c>
      <c r="W5650">
        <v>3.5719729999999998E-2</v>
      </c>
      <c r="X5650">
        <v>0.98625430000000003</v>
      </c>
      <c r="Y5650">
        <v>-0.22051709999999999</v>
      </c>
      <c r="Z5650">
        <v>1.03655E-2</v>
      </c>
      <c r="AA5650">
        <v>0.97532799999999997</v>
      </c>
      <c r="AB5650">
        <v>35</v>
      </c>
      <c r="AC5650">
        <v>11.104799999999999</v>
      </c>
      <c r="AD5650">
        <v>-1.1109819458479999</v>
      </c>
      <c r="AE5650">
        <v>2.6006800000000001</v>
      </c>
      <c r="AF5650">
        <v>-2.5383048517484701</v>
      </c>
      <c r="AG5650">
        <v>-1.1109819458479999</v>
      </c>
      <c r="AH5650">
        <v>11.009235295279201</v>
      </c>
      <c r="AI5650">
        <v>95.616058449916594</v>
      </c>
      <c r="AJ5650">
        <v>102.983311269373</v>
      </c>
      <c r="AK5650">
        <v>11.352556284433501</v>
      </c>
      <c r="AL5650">
        <v>87.9529748404222</v>
      </c>
      <c r="AM5650">
        <v>99.289949607823203</v>
      </c>
      <c r="AN5650">
        <v>1.0000000350835201</v>
      </c>
    </row>
    <row r="5651" spans="1:40" x14ac:dyDescent="0.25">
      <c r="A5651" t="str">
        <f>"20190312151427843"</f>
        <v>20190312151427843</v>
      </c>
      <c r="B5651" t="str">
        <f>"1552374867836435"</f>
        <v>1552374867836435</v>
      </c>
      <c r="C5651" t="s">
        <v>40</v>
      </c>
      <c r="D5651">
        <v>4.8440190000000003</v>
      </c>
      <c r="E5651">
        <v>0.4771087</v>
      </c>
      <c r="F5651" t="s">
        <v>69</v>
      </c>
      <c r="G5651">
        <v>-216.7355</v>
      </c>
      <c r="H5651" s="1">
        <v>-1.866415E-6</v>
      </c>
      <c r="I5651">
        <v>-60.339320000000001</v>
      </c>
      <c r="J5651">
        <v>-227.85329999999999</v>
      </c>
      <c r="K5651">
        <v>1.110989</v>
      </c>
      <c r="L5651">
        <v>-62.947510000000001</v>
      </c>
      <c r="M5651">
        <v>0.99992159999999997</v>
      </c>
      <c r="N5651">
        <v>0</v>
      </c>
      <c r="O5651">
        <v>4.1925759999999999E-3</v>
      </c>
      <c r="P5651">
        <v>0.98582110000000001</v>
      </c>
      <c r="Q5651">
        <v>2.4389569999999999E-2</v>
      </c>
      <c r="R5651">
        <v>0.16601779999999999</v>
      </c>
      <c r="S5651">
        <v>2.9363709999999998</v>
      </c>
      <c r="T5651">
        <v>-0.2888579</v>
      </c>
      <c r="U5651">
        <v>0.67843629999999999</v>
      </c>
      <c r="V5651">
        <v>-0.16199810000000001</v>
      </c>
      <c r="W5651">
        <v>3.5507660000000003E-2</v>
      </c>
      <c r="X5651">
        <v>0.98615209999999998</v>
      </c>
      <c r="Y5651">
        <v>-0.22003919999999999</v>
      </c>
      <c r="Z5651">
        <v>1.0251339999999999E-2</v>
      </c>
      <c r="AA5651">
        <v>0.9754372</v>
      </c>
      <c r="AB5651">
        <v>35</v>
      </c>
      <c r="AC5651">
        <v>11.1177999999999</v>
      </c>
      <c r="AD5651">
        <v>-1.1109908664149999</v>
      </c>
      <c r="AE5651">
        <v>2.60819</v>
      </c>
      <c r="AF5651">
        <v>-2.5375340858487099</v>
      </c>
      <c r="AG5651">
        <v>-1.1109908664149999</v>
      </c>
      <c r="AH5651">
        <v>11.024294161830101</v>
      </c>
      <c r="AI5651">
        <v>95.608949955413195</v>
      </c>
      <c r="AJ5651">
        <v>102.96237192600201</v>
      </c>
      <c r="AK5651">
        <v>11.3669891223958</v>
      </c>
      <c r="AL5651">
        <v>87.965133342692198</v>
      </c>
      <c r="AM5651">
        <v>99.328826694646807</v>
      </c>
      <c r="AN5651">
        <v>1.0000000713283399</v>
      </c>
    </row>
    <row r="5652" spans="1:40" x14ac:dyDescent="0.25">
      <c r="A5652" t="str">
        <f>"20190312151427855"</f>
        <v>20190312151427855</v>
      </c>
      <c r="B5652" t="str">
        <f>"1552374867846196"</f>
        <v>1552374867846196</v>
      </c>
      <c r="C5652" t="s">
        <v>40</v>
      </c>
      <c r="D5652">
        <v>4.8366989999999896</v>
      </c>
      <c r="E5652">
        <v>0.477433</v>
      </c>
      <c r="F5652" t="s">
        <v>69</v>
      </c>
      <c r="G5652">
        <v>-216.55099999999999</v>
      </c>
      <c r="H5652" s="1">
        <v>-1.788949E-6</v>
      </c>
      <c r="I5652">
        <v>-60.329819999999998</v>
      </c>
      <c r="J5652">
        <v>-227.67869999999999</v>
      </c>
      <c r="K5652">
        <v>1.1109960000000001</v>
      </c>
      <c r="L5652">
        <v>-62.946080000000002</v>
      </c>
      <c r="M5652">
        <v>0.99991819999999998</v>
      </c>
      <c r="N5652">
        <v>0</v>
      </c>
      <c r="O5652">
        <v>4.9326780000000002E-3</v>
      </c>
      <c r="P5652">
        <v>0.98558650000000003</v>
      </c>
      <c r="Q5652">
        <v>2.4313950000000001E-2</v>
      </c>
      <c r="R5652">
        <v>0.16741519999999999</v>
      </c>
      <c r="S5652">
        <v>2.9357760000000002</v>
      </c>
      <c r="T5652">
        <v>-0.28858040000000001</v>
      </c>
      <c r="U5652">
        <v>0.67993159999999997</v>
      </c>
      <c r="V5652">
        <v>-0.1626667</v>
      </c>
      <c r="W5652">
        <v>3.5426180000000002E-2</v>
      </c>
      <c r="X5652">
        <v>0.9860449</v>
      </c>
      <c r="Y5652">
        <v>-0.21983839999999999</v>
      </c>
      <c r="Z5652">
        <v>1.016164E-2</v>
      </c>
      <c r="AA5652">
        <v>0.9754834</v>
      </c>
      <c r="AB5652">
        <v>35</v>
      </c>
      <c r="AC5652">
        <v>11.127700000000001</v>
      </c>
      <c r="AD5652">
        <v>-1.1109977889489999</v>
      </c>
      <c r="AE5652">
        <v>2.61626</v>
      </c>
      <c r="AF5652">
        <v>-2.5373669700166301</v>
      </c>
      <c r="AG5652">
        <v>-1.1109977889489999</v>
      </c>
      <c r="AH5652">
        <v>11.0362223193818</v>
      </c>
      <c r="AI5652">
        <v>95.603282013212194</v>
      </c>
      <c r="AJ5652">
        <v>102.94801035096999</v>
      </c>
      <c r="AK5652">
        <v>11.3785214465853</v>
      </c>
      <c r="AL5652">
        <v>87.969804611166893</v>
      </c>
      <c r="AM5652">
        <v>99.3676480112223</v>
      </c>
      <c r="AN5652">
        <v>1.00000000716714</v>
      </c>
    </row>
    <row r="5653" spans="1:40" x14ac:dyDescent="0.25">
      <c r="A5653" t="str">
        <f>"20190312151427867"</f>
        <v>20190312151427867</v>
      </c>
      <c r="B5653" t="str">
        <f>"1552374867855960"</f>
        <v>1552374867855960</v>
      </c>
      <c r="C5653" t="s">
        <v>40</v>
      </c>
      <c r="D5653">
        <v>4.8591129999999998</v>
      </c>
      <c r="E5653">
        <v>0.47777350000000002</v>
      </c>
      <c r="F5653" t="s">
        <v>69</v>
      </c>
      <c r="G5653">
        <v>-216.37270000000001</v>
      </c>
      <c r="H5653" s="1">
        <v>-1.7140419999999999E-6</v>
      </c>
      <c r="I5653">
        <v>-60.320819999999998</v>
      </c>
      <c r="J5653">
        <v>-227.4889</v>
      </c>
      <c r="K5653">
        <v>1.1109979999999999</v>
      </c>
      <c r="L5653">
        <v>-62.944459999999999</v>
      </c>
      <c r="M5653">
        <v>0.99991390000000002</v>
      </c>
      <c r="N5653">
        <v>0</v>
      </c>
      <c r="O5653">
        <v>5.7366159999999999E-3</v>
      </c>
      <c r="P5653">
        <v>0.98529389999999994</v>
      </c>
      <c r="Q5653">
        <v>2.4377900000000001E-2</v>
      </c>
      <c r="R5653">
        <v>0.16912099999999999</v>
      </c>
      <c r="S5653">
        <v>2.9352420000000001</v>
      </c>
      <c r="T5653">
        <v>-0.288435099999999</v>
      </c>
      <c r="U5653">
        <v>0.68154910000000002</v>
      </c>
      <c r="V5653">
        <v>-0.1635818</v>
      </c>
      <c r="W5653">
        <v>3.5482890000000003E-2</v>
      </c>
      <c r="X5653">
        <v>0.98589150000000003</v>
      </c>
      <c r="Y5653">
        <v>-0.21960879999999999</v>
      </c>
      <c r="Z5653">
        <v>1.0068850000000001E-2</v>
      </c>
      <c r="AA5653">
        <v>0.97553599999999996</v>
      </c>
      <c r="AB5653">
        <v>35</v>
      </c>
      <c r="AC5653">
        <v>11.1161999999999</v>
      </c>
      <c r="AD5653">
        <v>-1.11099971404199</v>
      </c>
      <c r="AE5653">
        <v>2.62364</v>
      </c>
      <c r="AF5653">
        <v>-2.5358295671058602</v>
      </c>
      <c r="AG5653">
        <v>-1.11099971404199</v>
      </c>
      <c r="AH5653">
        <v>11.0267364484104</v>
      </c>
      <c r="AI5653">
        <v>95.608010217248093</v>
      </c>
      <c r="AJ5653">
        <v>102.95118620635</v>
      </c>
      <c r="AK5653">
        <v>11.368978347270801</v>
      </c>
      <c r="AL5653">
        <v>87.966553400936604</v>
      </c>
      <c r="AM5653">
        <v>99.42084427364</v>
      </c>
      <c r="AN5653">
        <v>1.0000000452731199</v>
      </c>
    </row>
    <row r="5654" spans="1:40" x14ac:dyDescent="0.25">
      <c r="A5654" t="str">
        <f>"20190312151427878"</f>
        <v>20190312151427878</v>
      </c>
      <c r="B5654" t="str">
        <f>"1552374867876451"</f>
        <v>1552374867876451</v>
      </c>
      <c r="C5654" t="s">
        <v>40</v>
      </c>
      <c r="D5654">
        <v>8.34297299999999</v>
      </c>
      <c r="E5654">
        <v>0.47841980000000001</v>
      </c>
      <c r="F5654" t="s">
        <v>69</v>
      </c>
      <c r="G5654">
        <v>-216.1695</v>
      </c>
      <c r="H5654" s="1">
        <v>-1.6293860000000001E-6</v>
      </c>
      <c r="I5654">
        <v>-60.306600000000003</v>
      </c>
      <c r="J5654">
        <v>-227.29839999999999</v>
      </c>
      <c r="K5654">
        <v>1.1110040000000001</v>
      </c>
      <c r="L5654">
        <v>-62.942630000000001</v>
      </c>
      <c r="M5654">
        <v>0.99990900000000005</v>
      </c>
      <c r="N5654">
        <v>0</v>
      </c>
      <c r="O5654">
        <v>6.5426879999999996E-3</v>
      </c>
      <c r="P5654">
        <v>0.98509849999999999</v>
      </c>
      <c r="Q5654">
        <v>2.4498760000000001E-2</v>
      </c>
      <c r="R5654">
        <v>0.17023820000000001</v>
      </c>
      <c r="S5654">
        <v>2.9345249999999998</v>
      </c>
      <c r="T5654">
        <v>-0.2880219</v>
      </c>
      <c r="U5654">
        <v>0.6838379</v>
      </c>
      <c r="V5654">
        <v>-0.16390589999999999</v>
      </c>
      <c r="W5654">
        <v>3.5600130000000001E-2</v>
      </c>
      <c r="X5654">
        <v>0.98583339999999997</v>
      </c>
      <c r="Y5654">
        <v>-0.2196032</v>
      </c>
      <c r="Z5654">
        <v>9.9778639999999995E-3</v>
      </c>
      <c r="AA5654">
        <v>0.97553829999999997</v>
      </c>
      <c r="AB5654">
        <v>35</v>
      </c>
      <c r="AC5654">
        <v>11.1288999999999</v>
      </c>
      <c r="AD5654">
        <v>-1.111005629386</v>
      </c>
      <c r="AE5654">
        <v>2.6360299999999901</v>
      </c>
      <c r="AF5654">
        <v>-2.5391939127933298</v>
      </c>
      <c r="AG5654">
        <v>-1.111005629386</v>
      </c>
      <c r="AH5654">
        <v>11.0417121076747</v>
      </c>
      <c r="AI5654">
        <v>95.600490963093506</v>
      </c>
      <c r="AJ5654">
        <v>102.950793799896</v>
      </c>
      <c r="AK5654">
        <v>11.3842542796648</v>
      </c>
      <c r="AL5654">
        <v>87.959831710927304</v>
      </c>
      <c r="AM5654">
        <v>99.439720235669895</v>
      </c>
      <c r="AN5654">
        <v>1.0000000029331899</v>
      </c>
    </row>
    <row r="5655" spans="1:40" x14ac:dyDescent="0.25">
      <c r="A5655" t="str">
        <f>"20190312151427891"</f>
        <v>20190312151427891</v>
      </c>
      <c r="B5655" t="str">
        <f>"1552374867885745"</f>
        <v>1552374867885745</v>
      </c>
      <c r="C5655" t="s">
        <v>40</v>
      </c>
      <c r="D5655">
        <v>4.836036</v>
      </c>
      <c r="E5655">
        <v>0.47874879999999997</v>
      </c>
      <c r="F5655" t="s">
        <v>69</v>
      </c>
      <c r="G5655">
        <v>-215.90610000000001</v>
      </c>
      <c r="H5655" s="1">
        <v>-1.5185730000000001E-6</v>
      </c>
      <c r="I5655">
        <v>-60.294379999999997</v>
      </c>
      <c r="J5655">
        <v>-227.1146</v>
      </c>
      <c r="K5655">
        <v>1.1110120000000001</v>
      </c>
      <c r="L5655">
        <v>-62.940730000000002</v>
      </c>
      <c r="M5655">
        <v>0.9999036</v>
      </c>
      <c r="N5655">
        <v>0</v>
      </c>
      <c r="O5655">
        <v>7.3203819999999899E-3</v>
      </c>
      <c r="P5655">
        <v>0.98487190000000002</v>
      </c>
      <c r="Q5655">
        <v>2.444905E-2</v>
      </c>
      <c r="R5655">
        <v>0.17155100000000001</v>
      </c>
      <c r="S5655">
        <v>2.9346009999999998</v>
      </c>
      <c r="T5655">
        <v>-0.28618979999999999</v>
      </c>
      <c r="U5655">
        <v>0.68215939999999997</v>
      </c>
      <c r="V5655">
        <v>-0.16445389999999999</v>
      </c>
      <c r="W5655">
        <v>3.5545800000000002E-2</v>
      </c>
      <c r="X5655">
        <v>0.98574410000000001</v>
      </c>
      <c r="Y5655">
        <v>-0.21833089999999999</v>
      </c>
      <c r="Z5655">
        <v>9.7793289999999998E-3</v>
      </c>
      <c r="AA5655">
        <v>0.97582579999999997</v>
      </c>
      <c r="AB5655">
        <v>35</v>
      </c>
      <c r="AC5655">
        <v>11.2084999999999</v>
      </c>
      <c r="AD5655">
        <v>-1.1110135185729999</v>
      </c>
      <c r="AE5655">
        <v>2.6463499999999902</v>
      </c>
      <c r="AF5655">
        <v>-2.5405790463444902</v>
      </c>
      <c r="AG5655">
        <v>-1.1110135185729999</v>
      </c>
      <c r="AH5655">
        <v>11.1240476557753</v>
      </c>
      <c r="AI5655">
        <v>95.561236329003705</v>
      </c>
      <c r="AJ5655">
        <v>102.864915634656</v>
      </c>
      <c r="AK5655">
        <v>11.464437586603999</v>
      </c>
      <c r="AL5655">
        <v>87.962946576270994</v>
      </c>
      <c r="AM5655">
        <v>99.471552428235299</v>
      </c>
      <c r="AN5655">
        <v>1.00000000990383</v>
      </c>
    </row>
    <row r="5656" spans="1:40" x14ac:dyDescent="0.25">
      <c r="A5656" t="str">
        <f>"20190312151427903"</f>
        <v>20190312151427903</v>
      </c>
      <c r="B5656" t="str">
        <f>"1552374867896483"</f>
        <v>1552374867896483</v>
      </c>
      <c r="C5656" t="s">
        <v>40</v>
      </c>
      <c r="D5656">
        <v>5.0620190000000003</v>
      </c>
      <c r="E5656">
        <v>0.47908319999999999</v>
      </c>
      <c r="F5656" t="s">
        <v>69</v>
      </c>
      <c r="G5656">
        <v>-215.7242</v>
      </c>
      <c r="H5656" s="1">
        <v>-1.441843E-6</v>
      </c>
      <c r="I5656">
        <v>-60.286929999999998</v>
      </c>
      <c r="J5656">
        <v>-226.91929999999999</v>
      </c>
      <c r="K5656">
        <v>1.1110199999999999</v>
      </c>
      <c r="L5656">
        <v>-62.938600000000001</v>
      </c>
      <c r="M5656">
        <v>0.99989740000000005</v>
      </c>
      <c r="N5656">
        <v>0</v>
      </c>
      <c r="O5656">
        <v>8.1463530000000003E-3</v>
      </c>
      <c r="P5656">
        <v>0.98460490000000001</v>
      </c>
      <c r="Q5656">
        <v>2.494068E-2</v>
      </c>
      <c r="R5656">
        <v>0.17300689999999999</v>
      </c>
      <c r="S5656">
        <v>2.9341279999999998</v>
      </c>
      <c r="T5656">
        <v>-0.28619250000000002</v>
      </c>
      <c r="U5656">
        <v>0.68359380000000003</v>
      </c>
      <c r="V5656">
        <v>-0.16509960000000001</v>
      </c>
      <c r="W5656">
        <v>3.6032330000000001E-2</v>
      </c>
      <c r="X5656">
        <v>0.98561849999999995</v>
      </c>
      <c r="Y5656">
        <v>-0.21801719999999999</v>
      </c>
      <c r="Z5656">
        <v>9.6860699999999997E-3</v>
      </c>
      <c r="AA5656">
        <v>0.97589689999999996</v>
      </c>
      <c r="AB5656">
        <v>35</v>
      </c>
      <c r="AC5656">
        <v>11.195099999999901</v>
      </c>
      <c r="AD5656">
        <v>-1.111021441843</v>
      </c>
      <c r="AE5656">
        <v>2.65166999999999</v>
      </c>
      <c r="AF5656">
        <v>-2.5367196708092998</v>
      </c>
      <c r="AG5656">
        <v>-1.111021441843</v>
      </c>
      <c r="AH5656">
        <v>11.1126974010953</v>
      </c>
      <c r="AI5656">
        <v>95.567057129326898</v>
      </c>
      <c r="AJ5656">
        <v>102.85870616491</v>
      </c>
      <c r="AK5656">
        <v>11.4525699675146</v>
      </c>
      <c r="AL5656">
        <v>87.935052605770906</v>
      </c>
      <c r="AM5656">
        <v>99.509252663791699</v>
      </c>
      <c r="AN5656">
        <v>1.0000000171338099</v>
      </c>
    </row>
    <row r="5657" spans="1:40" x14ac:dyDescent="0.25">
      <c r="A5657" t="str">
        <f>"20190312151427916"</f>
        <v>20190312151427916</v>
      </c>
      <c r="B5657" t="str">
        <f>"1552374867906241"</f>
        <v>1552374867906241</v>
      </c>
      <c r="C5657" t="s">
        <v>40</v>
      </c>
      <c r="D5657">
        <v>4.9462419999999998</v>
      </c>
      <c r="E5657">
        <v>0.47933900000000002</v>
      </c>
      <c r="F5657" t="s">
        <v>69</v>
      </c>
      <c r="G5657">
        <v>-215.43950000000001</v>
      </c>
      <c r="H5657" s="1">
        <v>-1.3250640000000001E-6</v>
      </c>
      <c r="I5657">
        <v>-60.25676</v>
      </c>
      <c r="J5657">
        <v>-226.73859999999999</v>
      </c>
      <c r="K5657">
        <v>1.1110249999999999</v>
      </c>
      <c r="L5657">
        <v>-62.936399999999999</v>
      </c>
      <c r="M5657">
        <v>0.99989070000000002</v>
      </c>
      <c r="N5657">
        <v>0</v>
      </c>
      <c r="O5657">
        <v>8.9113409999999997E-3</v>
      </c>
      <c r="P5657">
        <v>0.98433550000000003</v>
      </c>
      <c r="Q5657">
        <v>2.51743E-2</v>
      </c>
      <c r="R5657">
        <v>0.1744996</v>
      </c>
      <c r="S5657">
        <v>2.9336850000000001</v>
      </c>
      <c r="T5657">
        <v>-0.28392279999999998</v>
      </c>
      <c r="U5657">
        <v>0.68533330000000003</v>
      </c>
      <c r="V5657">
        <v>-0.16584070000000001</v>
      </c>
      <c r="W5657">
        <v>3.6260580000000001E-2</v>
      </c>
      <c r="X5657">
        <v>0.98548570000000002</v>
      </c>
      <c r="Y5657">
        <v>-0.2178708</v>
      </c>
      <c r="Z5657">
        <v>9.5305389999999993E-3</v>
      </c>
      <c r="AA5657">
        <v>0.97593110000000005</v>
      </c>
      <c r="AB5657">
        <v>35</v>
      </c>
      <c r="AC5657">
        <v>11.2990999999999</v>
      </c>
      <c r="AD5657">
        <v>-1.111026325064</v>
      </c>
      <c r="AE5657">
        <v>2.6796399999999898</v>
      </c>
      <c r="AF5657">
        <v>-2.5554446360605798</v>
      </c>
      <c r="AG5657">
        <v>-1.111026325064</v>
      </c>
      <c r="AH5657">
        <v>11.2198290315197</v>
      </c>
      <c r="AI5657">
        <v>95.514860502361799</v>
      </c>
      <c r="AJ5657">
        <v>102.830890189451</v>
      </c>
      <c r="AK5657">
        <v>11.5606764628844</v>
      </c>
      <c r="AL5657">
        <v>87.921966290430504</v>
      </c>
      <c r="AM5657">
        <v>99.552416522750704</v>
      </c>
      <c r="AN5657">
        <v>1.00000001617145</v>
      </c>
    </row>
    <row r="5658" spans="1:40" x14ac:dyDescent="0.25">
      <c r="A5658" t="str">
        <f>"20190312151427928"</f>
        <v>20190312151427928</v>
      </c>
      <c r="B5658" t="str">
        <f>"1552374867925761"</f>
        <v>1552374867925761</v>
      </c>
      <c r="C5658" t="s">
        <v>40</v>
      </c>
      <c r="D5658">
        <v>4.7895620000000001</v>
      </c>
      <c r="E5658">
        <v>0.4800199</v>
      </c>
      <c r="F5658" t="s">
        <v>69</v>
      </c>
      <c r="G5658">
        <v>-215.2415</v>
      </c>
      <c r="H5658" s="1">
        <v>-1.242992E-6</v>
      </c>
      <c r="I5658">
        <v>-60.240499999999997</v>
      </c>
      <c r="J5658">
        <v>-226.5284</v>
      </c>
      <c r="K5658">
        <v>1.11103</v>
      </c>
      <c r="L5658">
        <v>-62.933750000000003</v>
      </c>
      <c r="M5658">
        <v>0.9998823</v>
      </c>
      <c r="N5658">
        <v>0</v>
      </c>
      <c r="O5658">
        <v>9.8026959999999996E-3</v>
      </c>
      <c r="P5658">
        <v>0.98405379999999998</v>
      </c>
      <c r="Q5658">
        <v>2.5408739999999999E-2</v>
      </c>
      <c r="R5658">
        <v>0.17604729999999999</v>
      </c>
      <c r="S5658">
        <v>2.9330750000000001</v>
      </c>
      <c r="T5658">
        <v>-0.28343740000000001</v>
      </c>
      <c r="U5658">
        <v>0.68774409999999997</v>
      </c>
      <c r="V5658">
        <v>-0.1665141</v>
      </c>
      <c r="W5658">
        <v>3.6490269999999998E-2</v>
      </c>
      <c r="X5658">
        <v>0.98536369999999895</v>
      </c>
      <c r="Y5658">
        <v>-0.2178137</v>
      </c>
      <c r="Z5658">
        <v>9.4278980000000005E-3</v>
      </c>
      <c r="AA5658">
        <v>0.97594479999999995</v>
      </c>
      <c r="AB5658">
        <v>35</v>
      </c>
      <c r="AC5658">
        <v>11.286899999999999</v>
      </c>
      <c r="AD5658">
        <v>-1.111031242992</v>
      </c>
      <c r="AE5658">
        <v>2.6932499999999999</v>
      </c>
      <c r="AF5658">
        <v>-2.5590109450362202</v>
      </c>
      <c r="AG5658">
        <v>-1.111031242992</v>
      </c>
      <c r="AH5658">
        <v>11.2099923314577</v>
      </c>
      <c r="AI5658">
        <v>95.519078299779594</v>
      </c>
      <c r="AJ5658">
        <v>102.85910232532601</v>
      </c>
      <c r="AK5658">
        <v>11.5519199924108</v>
      </c>
      <c r="AL5658">
        <v>87.908797385380794</v>
      </c>
      <c r="AM5658">
        <v>99.591650650701794</v>
      </c>
      <c r="AN5658">
        <v>1.0000000532905799</v>
      </c>
    </row>
    <row r="5659" spans="1:40" x14ac:dyDescent="0.25">
      <c r="A5659" t="str">
        <f>"20190312151427956"</f>
        <v>20190312151427956</v>
      </c>
      <c r="B5659" t="str">
        <f>"1552374867946257"</f>
        <v>1552374867946257</v>
      </c>
      <c r="C5659" t="s">
        <v>40</v>
      </c>
      <c r="D5659">
        <v>4.6307169999999998</v>
      </c>
      <c r="E5659">
        <v>0.4800199</v>
      </c>
      <c r="F5659" t="s">
        <v>69</v>
      </c>
      <c r="G5659">
        <v>-214.9144</v>
      </c>
      <c r="H5659" s="1">
        <v>-1.107487E-6</v>
      </c>
      <c r="I5659">
        <v>-60.213520000000003</v>
      </c>
      <c r="J5659">
        <v>-226.0874</v>
      </c>
      <c r="K5659">
        <v>1.111046</v>
      </c>
      <c r="L5659">
        <v>-62.927489999999999</v>
      </c>
      <c r="M5659">
        <v>0.99986200000000003</v>
      </c>
      <c r="N5659">
        <v>0</v>
      </c>
      <c r="O5659">
        <v>1.1685630000000001E-2</v>
      </c>
      <c r="P5659">
        <v>0.98340689999999997</v>
      </c>
      <c r="Q5659">
        <v>2.5770769999999998E-2</v>
      </c>
      <c r="R5659">
        <v>0.17957390000000001</v>
      </c>
      <c r="S5659">
        <v>2.9329830000000001</v>
      </c>
      <c r="T5659">
        <v>-0.28057919999999997</v>
      </c>
      <c r="U5659">
        <v>0.68695069999999903</v>
      </c>
      <c r="V5659">
        <v>-0.16819379999999901</v>
      </c>
      <c r="W5659">
        <v>3.6838129999999997E-2</v>
      </c>
      <c r="X5659">
        <v>0.98506539999999998</v>
      </c>
      <c r="Y5659">
        <v>-0.2157674</v>
      </c>
      <c r="Z5659">
        <v>9.0602219999999997E-3</v>
      </c>
      <c r="AA5659">
        <v>0.97640280000000002</v>
      </c>
      <c r="AB5659">
        <v>35</v>
      </c>
      <c r="AC5659">
        <v>11.173</v>
      </c>
      <c r="AD5659">
        <v>-1.1110471074869901</v>
      </c>
      <c r="AE5659">
        <v>2.7139700000000002</v>
      </c>
      <c r="AF5659">
        <v>-2.5593145437598199</v>
      </c>
      <c r="AG5659">
        <v>-1.1110471074869901</v>
      </c>
      <c r="AH5659">
        <v>11.1003051087436</v>
      </c>
      <c r="AI5659">
        <v>95.570597088171894</v>
      </c>
      <c r="AJ5659">
        <v>102.983372567899</v>
      </c>
      <c r="AK5659">
        <v>11.4455795011067</v>
      </c>
      <c r="AL5659">
        <v>87.888853001157599</v>
      </c>
      <c r="AM5659">
        <v>99.6894592492838</v>
      </c>
      <c r="AN5659">
        <v>1.00000002222874</v>
      </c>
    </row>
    <row r="5660" spans="1:40" x14ac:dyDescent="0.25">
      <c r="A5660" t="str">
        <f>"20190312151428044"</f>
        <v>20190312151428044</v>
      </c>
      <c r="B5660" t="str">
        <f>"1552374868036048"</f>
        <v>1552374868036048</v>
      </c>
      <c r="C5660" t="s">
        <v>40</v>
      </c>
      <c r="D5660">
        <v>4.8382230000000002</v>
      </c>
      <c r="E5660">
        <v>0.48017019999999999</v>
      </c>
      <c r="F5660" t="s">
        <v>69</v>
      </c>
      <c r="G5660">
        <v>-214.43469999999999</v>
      </c>
      <c r="H5660" s="1">
        <v>-9.1232320000000002E-7</v>
      </c>
      <c r="I5660">
        <v>-60.153579999999998</v>
      </c>
      <c r="J5660">
        <v>-224.70419999999999</v>
      </c>
      <c r="K5660">
        <v>1.1111610000000001</v>
      </c>
      <c r="L5660">
        <v>-62.902250000000002</v>
      </c>
      <c r="M5660">
        <v>0.99977090000000002</v>
      </c>
      <c r="N5660">
        <v>0</v>
      </c>
      <c r="O5660">
        <v>1.7854410000000001E-2</v>
      </c>
      <c r="P5660">
        <v>0.9816203</v>
      </c>
      <c r="Q5660">
        <v>2.909751E-2</v>
      </c>
      <c r="R5660">
        <v>0.18861359999999999</v>
      </c>
      <c r="S5660">
        <v>2.9305729999999999</v>
      </c>
      <c r="T5660">
        <v>-0.27941949999999999</v>
      </c>
      <c r="U5660">
        <v>0.69760129999999998</v>
      </c>
      <c r="V5660">
        <v>-0.17120160000000001</v>
      </c>
      <c r="W5660">
        <v>4.011253E-2</v>
      </c>
      <c r="X5660">
        <v>0.98441909999999999</v>
      </c>
      <c r="Y5660">
        <v>-0.21332680000000001</v>
      </c>
      <c r="Z5660">
        <v>8.3336409999999993E-3</v>
      </c>
      <c r="AA5660">
        <v>0.97694530000000002</v>
      </c>
      <c r="AB5660">
        <v>35</v>
      </c>
      <c r="AC5660">
        <v>10.269499999999899</v>
      </c>
      <c r="AD5660">
        <v>-1.1111619123231999</v>
      </c>
      <c r="AE5660">
        <v>2.74866999999999</v>
      </c>
      <c r="AF5660">
        <v>-2.53714570721072</v>
      </c>
      <c r="AG5660">
        <v>-1.1111619123231999</v>
      </c>
      <c r="AH5660">
        <v>10.2054510432285</v>
      </c>
      <c r="AI5660">
        <v>96.031659650110399</v>
      </c>
      <c r="AJ5660">
        <v>103.96109619583</v>
      </c>
      <c r="AK5660">
        <v>10.5746404256007</v>
      </c>
      <c r="AL5660">
        <v>87.701104513673798</v>
      </c>
      <c r="AM5660">
        <v>99.865709675249406</v>
      </c>
      <c r="AN5660">
        <v>0.99999998367518494</v>
      </c>
    </row>
    <row r="5661" spans="1:40" x14ac:dyDescent="0.25">
      <c r="A5661" t="str">
        <f>"20190312151428058"</f>
        <v>20190312151428058</v>
      </c>
      <c r="B5661" t="str">
        <f>"1552374868045809"</f>
        <v>1552374868045809</v>
      </c>
      <c r="C5661" t="s">
        <v>40</v>
      </c>
      <c r="D5661">
        <v>4.8108469999999999</v>
      </c>
      <c r="E5661">
        <v>0.48025640000000003</v>
      </c>
      <c r="F5661" t="s">
        <v>69</v>
      </c>
      <c r="G5661">
        <v>-212.4967</v>
      </c>
      <c r="H5661" s="1">
        <v>-1.30074E-7</v>
      </c>
      <c r="I5661">
        <v>-59.876399999999997</v>
      </c>
      <c r="J5661">
        <v>-224.50200000000001</v>
      </c>
      <c r="K5661">
        <v>1.111183</v>
      </c>
      <c r="L5661">
        <v>-62.897739999999999</v>
      </c>
      <c r="M5661">
        <v>0.99975349999999996</v>
      </c>
      <c r="N5661">
        <v>0</v>
      </c>
      <c r="O5661">
        <v>1.8807939999999999E-2</v>
      </c>
      <c r="P5661">
        <v>0.98138340000000002</v>
      </c>
      <c r="Q5661">
        <v>2.9588420000000001E-2</v>
      </c>
      <c r="R5661">
        <v>0.18976680000000001</v>
      </c>
      <c r="S5661">
        <v>2.9247890000000001</v>
      </c>
      <c r="T5661">
        <v>-0.2662216</v>
      </c>
      <c r="U5661">
        <v>0.72494510000000001</v>
      </c>
      <c r="V5661">
        <v>-0.17142299999999999</v>
      </c>
      <c r="W5661">
        <v>4.059517E-2</v>
      </c>
      <c r="X5661">
        <v>0.98436080000000004</v>
      </c>
      <c r="Y5661">
        <v>-0.22149440000000001</v>
      </c>
      <c r="Z5661">
        <v>8.2284679999999992E-3</v>
      </c>
      <c r="AA5661">
        <v>0.97512690000000002</v>
      </c>
      <c r="AB5661">
        <v>35</v>
      </c>
      <c r="AC5661">
        <v>12.0053</v>
      </c>
      <c r="AD5661">
        <v>-1.111183130074</v>
      </c>
      <c r="AE5661">
        <v>3.0213399999999999</v>
      </c>
      <c r="AF5661">
        <v>-2.7726564899377699</v>
      </c>
      <c r="AG5661">
        <v>-1.111183130074</v>
      </c>
      <c r="AH5661">
        <v>11.963618579265001</v>
      </c>
      <c r="AI5661">
        <v>95.170158472093703</v>
      </c>
      <c r="AJ5661">
        <v>103.048357423654</v>
      </c>
      <c r="AK5661">
        <v>12.3308767518733</v>
      </c>
      <c r="AL5661">
        <v>87.673428769564694</v>
      </c>
      <c r="AM5661">
        <v>99.878790487232806</v>
      </c>
      <c r="AN5661">
        <v>0.99999999866648404</v>
      </c>
    </row>
    <row r="5662" spans="1:40" x14ac:dyDescent="0.25">
      <c r="A5662" t="str">
        <f>"20190312151428069"</f>
        <v>20190312151428069</v>
      </c>
      <c r="B5662" t="str">
        <f>"1552374868066305"</f>
        <v>1552374868066305</v>
      </c>
      <c r="C5662" t="s">
        <v>40</v>
      </c>
      <c r="D5662">
        <v>4.7272550000000004</v>
      </c>
      <c r="E5662">
        <v>0.48036570000000001</v>
      </c>
      <c r="F5662" t="s">
        <v>69</v>
      </c>
      <c r="G5662">
        <v>-212.1746</v>
      </c>
      <c r="H5662" s="1">
        <v>-3.4685850000000002E-10</v>
      </c>
      <c r="I5662">
        <v>-59.828870000000002</v>
      </c>
      <c r="J5662">
        <v>-224.3322</v>
      </c>
      <c r="K5662">
        <v>1.1111930000000001</v>
      </c>
      <c r="L5662">
        <v>-62.893859999999997</v>
      </c>
      <c r="M5662">
        <v>0.99973789999999996</v>
      </c>
      <c r="N5662">
        <v>0</v>
      </c>
      <c r="O5662">
        <v>1.9613990000000001E-2</v>
      </c>
      <c r="P5662">
        <v>0.98113470000000003</v>
      </c>
      <c r="Q5662">
        <v>3.0215189999999999E-2</v>
      </c>
      <c r="R5662">
        <v>0.1909505</v>
      </c>
      <c r="S5662">
        <v>2.9241030000000001</v>
      </c>
      <c r="T5662">
        <v>-0.26357750000000002</v>
      </c>
      <c r="U5662">
        <v>0.72793580000000002</v>
      </c>
      <c r="V5662">
        <v>-0.17182140000000001</v>
      </c>
      <c r="W5662">
        <v>4.1213590000000001E-2</v>
      </c>
      <c r="X5662">
        <v>0.98426559999999996</v>
      </c>
      <c r="Y5662">
        <v>-0.22171879999999999</v>
      </c>
      <c r="Z5662">
        <v>8.0865369999999995E-3</v>
      </c>
      <c r="AA5662">
        <v>0.97507710000000003</v>
      </c>
      <c r="AB5662">
        <v>35</v>
      </c>
      <c r="AC5662">
        <v>12.1576</v>
      </c>
      <c r="AD5662">
        <v>-1.11119300034685</v>
      </c>
      <c r="AE5662">
        <v>3.0649899999999999</v>
      </c>
      <c r="AF5662">
        <v>-2.8039011806664602</v>
      </c>
      <c r="AG5662">
        <v>-1.11119300034685</v>
      </c>
      <c r="AH5662">
        <v>12.120182895318701</v>
      </c>
      <c r="AI5662">
        <v>95.104236264746604</v>
      </c>
      <c r="AJ5662">
        <v>103.025743150206</v>
      </c>
      <c r="AK5662">
        <v>12.4898136547724</v>
      </c>
      <c r="AL5662">
        <v>87.637966147504898</v>
      </c>
      <c r="AM5662">
        <v>99.902234401585901</v>
      </c>
      <c r="AN5662">
        <v>0.99999996242100297</v>
      </c>
    </row>
    <row r="5663" spans="1:40" x14ac:dyDescent="0.25">
      <c r="A5663" t="str">
        <f>"20190312151428079"</f>
        <v>20190312151428079</v>
      </c>
      <c r="B5663" t="str">
        <f>"1552374868076064"</f>
        <v>1552374868076064</v>
      </c>
      <c r="C5663" t="s">
        <v>40</v>
      </c>
      <c r="D5663">
        <v>5.2692949999999996</v>
      </c>
      <c r="E5663">
        <v>0.48057899999999998</v>
      </c>
      <c r="F5663" t="s">
        <v>69</v>
      </c>
      <c r="G5663">
        <v>-211.78270000000001</v>
      </c>
      <c r="H5663" s="1">
        <v>1.5490779999999999E-7</v>
      </c>
      <c r="I5663">
        <v>-59.756410000000002</v>
      </c>
      <c r="J5663">
        <v>-224.15950000000001</v>
      </c>
      <c r="K5663">
        <v>1.1112089999999999</v>
      </c>
      <c r="L5663">
        <v>-62.889710000000001</v>
      </c>
      <c r="M5663">
        <v>0.99972119999999998</v>
      </c>
      <c r="N5663">
        <v>0</v>
      </c>
      <c r="O5663">
        <v>2.0444879999999999E-2</v>
      </c>
      <c r="P5663">
        <v>0.98091799999999996</v>
      </c>
      <c r="Q5663">
        <v>3.0653630000000001E-2</v>
      </c>
      <c r="R5663">
        <v>0.19198970000000001</v>
      </c>
      <c r="S5663">
        <v>2.9234309999999999</v>
      </c>
      <c r="T5663">
        <v>-0.25885619999999998</v>
      </c>
      <c r="U5663">
        <v>0.73086549999999995</v>
      </c>
      <c r="V5663">
        <v>-0.17204929999999999</v>
      </c>
      <c r="W5663">
        <v>4.1644750000000001E-2</v>
      </c>
      <c r="X5663">
        <v>0.98420770000000002</v>
      </c>
      <c r="Y5663">
        <v>-0.22191050000000001</v>
      </c>
      <c r="Z5663">
        <v>7.8791699999999996E-3</v>
      </c>
      <c r="AA5663">
        <v>0.97503519999999999</v>
      </c>
      <c r="AB5663">
        <v>35</v>
      </c>
      <c r="AC5663">
        <v>12.376799999999999</v>
      </c>
      <c r="AD5663">
        <v>-1.1112088450922</v>
      </c>
      <c r="AE5663">
        <v>3.1333000000000002</v>
      </c>
      <c r="AF5663">
        <v>-2.857935594258</v>
      </c>
      <c r="AG5663">
        <v>-1.1112088450922</v>
      </c>
      <c r="AH5663">
        <v>12.3447625205614</v>
      </c>
      <c r="AI5663">
        <v>95.011742327812996</v>
      </c>
      <c r="AJ5663">
        <v>103.034905544422</v>
      </c>
      <c r="AK5663">
        <v>12.719895543886899</v>
      </c>
      <c r="AL5663">
        <v>87.613241412152803</v>
      </c>
      <c r="AM5663">
        <v>99.915679737466604</v>
      </c>
      <c r="AN5663">
        <v>1.00000002178617</v>
      </c>
    </row>
    <row r="5664" spans="1:40" x14ac:dyDescent="0.25">
      <c r="A5664" t="str">
        <f>"20190312151428089"</f>
        <v>20190312151428089</v>
      </c>
      <c r="B5664" t="str">
        <f>"1552374868085825"</f>
        <v>1552374868085825</v>
      </c>
      <c r="C5664" t="s">
        <v>40</v>
      </c>
      <c r="D5664">
        <v>4.7532649999999999</v>
      </c>
      <c r="E5664">
        <v>0.48064030000000002</v>
      </c>
      <c r="F5664" t="s">
        <v>69</v>
      </c>
      <c r="G5664">
        <v>-211.47020000000001</v>
      </c>
      <c r="H5664" s="1">
        <v>2.8065979999999999E-7</v>
      </c>
      <c r="I5664">
        <v>-59.7093699999999</v>
      </c>
      <c r="J5664">
        <v>-224.00409999999999</v>
      </c>
      <c r="K5664">
        <v>1.111221</v>
      </c>
      <c r="L5664">
        <v>-62.885890000000003</v>
      </c>
      <c r="M5664">
        <v>0.99970550000000002</v>
      </c>
      <c r="N5664">
        <v>0</v>
      </c>
      <c r="O5664">
        <v>2.1198040000000001E-2</v>
      </c>
      <c r="P5664">
        <v>0.98061540000000003</v>
      </c>
      <c r="Q5664">
        <v>3.1163010000000001E-2</v>
      </c>
      <c r="R5664">
        <v>0.1934485</v>
      </c>
      <c r="S5664">
        <v>2.922974</v>
      </c>
      <c r="T5664">
        <v>-0.25596550000000001</v>
      </c>
      <c r="U5664">
        <v>0.73257450000000002</v>
      </c>
      <c r="V5664">
        <v>-0.17277579999999901</v>
      </c>
      <c r="W5664">
        <v>4.214499E-2</v>
      </c>
      <c r="X5664">
        <v>0.98405909999999996</v>
      </c>
      <c r="Y5664">
        <v>-0.22176799999999999</v>
      </c>
      <c r="Z5664">
        <v>7.7212679999999999E-3</v>
      </c>
      <c r="AA5664">
        <v>0.97506890000000002</v>
      </c>
      <c r="AB5664">
        <v>35</v>
      </c>
      <c r="AC5664">
        <v>12.5338999999999</v>
      </c>
      <c r="AD5664">
        <v>-1.1112207193401999</v>
      </c>
      <c r="AE5664">
        <v>3.1765200000000098</v>
      </c>
      <c r="AF5664">
        <v>-2.8887578973515602</v>
      </c>
      <c r="AG5664">
        <v>-1.1112207193401999</v>
      </c>
      <c r="AH5664">
        <v>12.506057585294799</v>
      </c>
      <c r="AI5664">
        <v>94.948042954763906</v>
      </c>
      <c r="AJ5664">
        <v>103.00655470509599</v>
      </c>
      <c r="AK5664">
        <v>12.883369512798801</v>
      </c>
      <c r="AL5664">
        <v>87.584554520108995</v>
      </c>
      <c r="AM5664">
        <v>99.958187228931394</v>
      </c>
      <c r="AN5664">
        <v>0.99999999477027501</v>
      </c>
    </row>
    <row r="5665" spans="1:40" x14ac:dyDescent="0.25">
      <c r="A5665" t="str">
        <f>"20190312151428099"</f>
        <v>20190312151428099</v>
      </c>
      <c r="B5665" t="str">
        <f>"1552374868095586"</f>
        <v>1552374868095586</v>
      </c>
      <c r="C5665" t="s">
        <v>40</v>
      </c>
      <c r="D5665">
        <v>4.7839140000000002</v>
      </c>
      <c r="E5665">
        <v>0.48070109999999999</v>
      </c>
      <c r="F5665" t="s">
        <v>69</v>
      </c>
      <c r="G5665">
        <v>-211.172</v>
      </c>
      <c r="H5665" s="1">
        <v>3.982684E-7</v>
      </c>
      <c r="I5665">
        <v>-59.65119</v>
      </c>
      <c r="J5665">
        <v>-223.84010000000001</v>
      </c>
      <c r="K5665">
        <v>1.111235</v>
      </c>
      <c r="L5665">
        <v>-62.881680000000003</v>
      </c>
      <c r="M5665">
        <v>0.99968809999999997</v>
      </c>
      <c r="N5665">
        <v>0</v>
      </c>
      <c r="O5665">
        <v>2.1999879999999999E-2</v>
      </c>
      <c r="P5665">
        <v>0.98035550000000005</v>
      </c>
      <c r="Q5665">
        <v>3.1264149999999997E-2</v>
      </c>
      <c r="R5665">
        <v>0.19474559999999999</v>
      </c>
      <c r="S5665">
        <v>2.9220579999999998</v>
      </c>
      <c r="T5665">
        <v>-0.25303999999999999</v>
      </c>
      <c r="U5665">
        <v>0.73657229999999996</v>
      </c>
      <c r="V5665">
        <v>-0.17329029999999901</v>
      </c>
      <c r="W5665">
        <v>4.2237900000000002E-2</v>
      </c>
      <c r="X5665">
        <v>0.98396459999999997</v>
      </c>
      <c r="Y5665">
        <v>-0.2223299</v>
      </c>
      <c r="Z5665">
        <v>7.5901719999999897E-3</v>
      </c>
      <c r="AA5665">
        <v>0.97494199999999998</v>
      </c>
      <c r="AB5665">
        <v>35</v>
      </c>
      <c r="AC5665">
        <v>12.668100000000001</v>
      </c>
      <c r="AD5665">
        <v>-1.1112346017315999</v>
      </c>
      <c r="AE5665">
        <v>3.2304900000000001</v>
      </c>
      <c r="AF5665">
        <v>-2.9298244380910798</v>
      </c>
      <c r="AG5665">
        <v>-1.1112346017315999</v>
      </c>
      <c r="AH5665">
        <v>12.6447529171526</v>
      </c>
      <c r="AI5665">
        <v>94.893332057868406</v>
      </c>
      <c r="AJ5665">
        <v>103.04539050251699</v>
      </c>
      <c r="AK5665">
        <v>13.027221112499801</v>
      </c>
      <c r="AL5665">
        <v>87.579226319143899</v>
      </c>
      <c r="AM5665">
        <v>99.988184879368603</v>
      </c>
      <c r="AN5665">
        <v>0.99999995116182805</v>
      </c>
    </row>
    <row r="5666" spans="1:40" x14ac:dyDescent="0.25">
      <c r="A5666" t="str">
        <f>"20190312151428112"</f>
        <v>20190312151428112</v>
      </c>
      <c r="B5666" t="str">
        <f>"1552374868106321"</f>
        <v>1552374868106321</v>
      </c>
      <c r="C5666" t="s">
        <v>40</v>
      </c>
      <c r="D5666">
        <v>4.729921</v>
      </c>
      <c r="E5666">
        <v>0.48077730000000002</v>
      </c>
      <c r="F5666" t="s">
        <v>69</v>
      </c>
      <c r="G5666">
        <v>-210.90860000000001</v>
      </c>
      <c r="H5666" s="1">
        <v>5.031047E-7</v>
      </c>
      <c r="I5666">
        <v>-59.6053</v>
      </c>
      <c r="J5666">
        <v>-223.65780000000001</v>
      </c>
      <c r="K5666">
        <v>1.111248</v>
      </c>
      <c r="L5666">
        <v>-62.876860000000001</v>
      </c>
      <c r="M5666">
        <v>0.999668</v>
      </c>
      <c r="N5666">
        <v>0</v>
      </c>
      <c r="O5666">
        <v>2.2898100000000001E-2</v>
      </c>
      <c r="P5666">
        <v>0.98000540000000003</v>
      </c>
      <c r="Q5666">
        <v>3.1486899999999998E-2</v>
      </c>
      <c r="R5666">
        <v>0.19646430000000001</v>
      </c>
      <c r="S5666">
        <v>2.9210820000000002</v>
      </c>
      <c r="T5666">
        <v>-0.25101459999999998</v>
      </c>
      <c r="U5666">
        <v>0.74008180000000001</v>
      </c>
      <c r="V5666">
        <v>-0.17413419999999999</v>
      </c>
      <c r="W5666">
        <v>4.2450849999999998E-2</v>
      </c>
      <c r="X5666">
        <v>0.98380650000000003</v>
      </c>
      <c r="Y5666">
        <v>-0.22264529999999999</v>
      </c>
      <c r="Z5666">
        <v>7.4685690000000004E-3</v>
      </c>
      <c r="AA5666">
        <v>0.97487089999999998</v>
      </c>
      <c r="AB5666">
        <v>35</v>
      </c>
      <c r="AC5666">
        <v>12.7492</v>
      </c>
      <c r="AD5666">
        <v>-1.1112474968952999</v>
      </c>
      <c r="AE5666">
        <v>3.27156</v>
      </c>
      <c r="AF5666">
        <v>-2.9576673626241998</v>
      </c>
      <c r="AG5666">
        <v>-1.1112474968952999</v>
      </c>
      <c r="AH5666">
        <v>12.7300363134355</v>
      </c>
      <c r="AI5666">
        <v>94.860087297773504</v>
      </c>
      <c r="AJ5666">
        <v>103.07991028429799</v>
      </c>
      <c r="AK5666">
        <v>13.116268210458101</v>
      </c>
      <c r="AL5666">
        <v>87.567014376707704</v>
      </c>
      <c r="AM5666">
        <v>100.037419477567</v>
      </c>
      <c r="AN5666">
        <v>1.0000000118587999</v>
      </c>
    </row>
    <row r="5667" spans="1:40" x14ac:dyDescent="0.25">
      <c r="A5667" t="str">
        <f>"20190312151428121"</f>
        <v>20190312151428121</v>
      </c>
      <c r="B5667" t="str">
        <f>"1552374868116081"</f>
        <v>1552374868116081</v>
      </c>
      <c r="C5667" t="s">
        <v>40</v>
      </c>
      <c r="D5667">
        <v>4.7564250000000001</v>
      </c>
      <c r="E5667">
        <v>0.48081590000000002</v>
      </c>
      <c r="F5667" t="s">
        <v>69</v>
      </c>
      <c r="G5667">
        <v>-210.63409999999999</v>
      </c>
      <c r="H5667" s="1">
        <v>5.9102090000000004E-7</v>
      </c>
      <c r="I5667">
        <v>-59.555259999999997</v>
      </c>
      <c r="J5667">
        <v>-223.4896</v>
      </c>
      <c r="K5667">
        <v>1.1112580000000001</v>
      </c>
      <c r="L5667">
        <v>-62.872280000000003</v>
      </c>
      <c r="M5667">
        <v>0.99964850000000005</v>
      </c>
      <c r="N5667">
        <v>0</v>
      </c>
      <c r="O5667">
        <v>2.3732409999999999E-2</v>
      </c>
      <c r="P5667">
        <v>0.97958889999999998</v>
      </c>
      <c r="Q5667">
        <v>3.1641610000000001E-2</v>
      </c>
      <c r="R5667">
        <v>0.1985056</v>
      </c>
      <c r="S5667">
        <v>2.9199220000000001</v>
      </c>
      <c r="T5667">
        <v>-0.24914159999999999</v>
      </c>
      <c r="U5667">
        <v>0.74468990000000002</v>
      </c>
      <c r="V5667">
        <v>-0.175365299999999</v>
      </c>
      <c r="W5667">
        <v>4.259425E-2</v>
      </c>
      <c r="X5667">
        <v>0.98358159999999994</v>
      </c>
      <c r="Y5667">
        <v>-0.22337940000000001</v>
      </c>
      <c r="Z5667">
        <v>7.3754099999999998E-3</v>
      </c>
      <c r="AA5667">
        <v>0.97470369999999995</v>
      </c>
      <c r="AB5667">
        <v>35</v>
      </c>
      <c r="AC5667">
        <v>12.855499999999999</v>
      </c>
      <c r="AD5667">
        <v>-1.1112574089791001</v>
      </c>
      <c r="AE5667">
        <v>3.3170199999999999</v>
      </c>
      <c r="AF5667">
        <v>-2.9900247150934298</v>
      </c>
      <c r="AG5667">
        <v>-1.1112574089791001</v>
      </c>
      <c r="AH5667">
        <v>12.840645703702799</v>
      </c>
      <c r="AI5667">
        <v>94.817914492826105</v>
      </c>
      <c r="AJ5667">
        <v>103.108096559811</v>
      </c>
      <c r="AK5667">
        <v>13.2309229804236</v>
      </c>
      <c r="AL5667">
        <v>87.5587907222165</v>
      </c>
      <c r="AM5667">
        <v>100.109187722038</v>
      </c>
      <c r="AN5667">
        <v>1.00000001121785</v>
      </c>
    </row>
    <row r="5668" spans="1:40" x14ac:dyDescent="0.25">
      <c r="A5668" t="str">
        <f>"20190312151428134"</f>
        <v>20190312151428134</v>
      </c>
      <c r="B5668" t="str">
        <f>"1552374868125842"</f>
        <v>1552374868125842</v>
      </c>
      <c r="C5668" t="s">
        <v>40</v>
      </c>
      <c r="D5668">
        <v>4.7112270000000001</v>
      </c>
      <c r="E5668">
        <v>0.48084670000000002</v>
      </c>
      <c r="F5668" t="s">
        <v>69</v>
      </c>
      <c r="G5668">
        <v>-210.4023</v>
      </c>
      <c r="H5668" s="1">
        <v>6.5706149999999896E-7</v>
      </c>
      <c r="I5668">
        <v>-59.507040000000003</v>
      </c>
      <c r="J5668">
        <v>-223.3134</v>
      </c>
      <c r="K5668">
        <v>1.1112690000000001</v>
      </c>
      <c r="L5668">
        <v>-62.867310000000003</v>
      </c>
      <c r="M5668">
        <v>0.99962720000000005</v>
      </c>
      <c r="N5668">
        <v>0</v>
      </c>
      <c r="O5668">
        <v>2.4612430000000001E-2</v>
      </c>
      <c r="P5668">
        <v>0.97919020000000001</v>
      </c>
      <c r="Q5668">
        <v>3.1837200000000003E-2</v>
      </c>
      <c r="R5668">
        <v>0.200432</v>
      </c>
      <c r="S5668">
        <v>2.9184269999999999</v>
      </c>
      <c r="T5668">
        <v>-0.24780759999999999</v>
      </c>
      <c r="U5668">
        <v>0.75042719999999996</v>
      </c>
      <c r="V5668">
        <v>-0.17643639999999999</v>
      </c>
      <c r="W5668">
        <v>4.2779560000000001E-2</v>
      </c>
      <c r="X5668">
        <v>0.98338199999999998</v>
      </c>
      <c r="Y5668">
        <v>-0.2244456</v>
      </c>
      <c r="Z5668">
        <v>7.309131E-3</v>
      </c>
      <c r="AA5668">
        <v>0.97445919999999997</v>
      </c>
      <c r="AB5668">
        <v>35</v>
      </c>
      <c r="AC5668">
        <v>12.911099999999999</v>
      </c>
      <c r="AD5668">
        <v>-1.1112683429385</v>
      </c>
      <c r="AE5668">
        <v>3.3602699999999901</v>
      </c>
      <c r="AF5668">
        <v>-3.0204993283414798</v>
      </c>
      <c r="AG5668">
        <v>-1.1112683429385</v>
      </c>
      <c r="AH5668">
        <v>12.9003928400987</v>
      </c>
      <c r="AI5668">
        <v>94.794395215348999</v>
      </c>
      <c r="AJ5668">
        <v>103.177852331041</v>
      </c>
      <c r="AK5668">
        <v>13.295806442310999</v>
      </c>
      <c r="AL5668">
        <v>87.548163590912196</v>
      </c>
      <c r="AM5668">
        <v>100.17166902380301</v>
      </c>
      <c r="AN5668">
        <v>1.0000000259613699</v>
      </c>
    </row>
    <row r="5669" spans="1:40" x14ac:dyDescent="0.25">
      <c r="A5669" t="str">
        <f>"20190312151428146"</f>
        <v>20190312151428146</v>
      </c>
      <c r="B5669" t="str">
        <f>"1552374868135601"</f>
        <v>1552374868135601</v>
      </c>
      <c r="C5669" t="s">
        <v>40</v>
      </c>
      <c r="D5669">
        <v>4.7067899999999998</v>
      </c>
      <c r="E5669">
        <v>0.48091899999999999</v>
      </c>
      <c r="F5669" t="s">
        <v>69</v>
      </c>
      <c r="G5669">
        <v>-210.16419999999999</v>
      </c>
      <c r="H5669" s="1">
        <v>7.2562339999999995E-7</v>
      </c>
      <c r="I5669">
        <v>-59.460169999999998</v>
      </c>
      <c r="J5669">
        <v>-223.1183</v>
      </c>
      <c r="K5669">
        <v>1.111278</v>
      </c>
      <c r="L5669">
        <v>-62.861690000000003</v>
      </c>
      <c r="M5669">
        <v>0.99960269999999996</v>
      </c>
      <c r="N5669">
        <v>0</v>
      </c>
      <c r="O5669">
        <v>2.5589299999999999E-2</v>
      </c>
      <c r="P5669">
        <v>0.97880480000000003</v>
      </c>
      <c r="Q5669">
        <v>3.1863179999999998E-2</v>
      </c>
      <c r="R5669">
        <v>0.2023026</v>
      </c>
      <c r="S5669">
        <v>2.9170229999999999</v>
      </c>
      <c r="T5669">
        <v>-0.24652460000000001</v>
      </c>
      <c r="U5669">
        <v>0.75582890000000003</v>
      </c>
      <c r="V5669">
        <v>-0.17735580000000001</v>
      </c>
      <c r="W5669">
        <v>4.2796250000000001E-2</v>
      </c>
      <c r="X5669">
        <v>0.98321590000000003</v>
      </c>
      <c r="Y5669">
        <v>-0.22530520000000001</v>
      </c>
      <c r="Z5669">
        <v>7.2278949999999998E-3</v>
      </c>
      <c r="AA5669">
        <v>0.97426140000000006</v>
      </c>
      <c r="AB5669">
        <v>35</v>
      </c>
      <c r="AC5669">
        <v>12.9541</v>
      </c>
      <c r="AD5669">
        <v>-1.1112772743766</v>
      </c>
      <c r="AE5669">
        <v>3.4015200000000001</v>
      </c>
      <c r="AF5669">
        <v>-3.0479130931484799</v>
      </c>
      <c r="AG5669">
        <v>-1.1112772743766</v>
      </c>
      <c r="AH5669">
        <v>12.947766997700599</v>
      </c>
      <c r="AI5669">
        <v>94.7756392178092</v>
      </c>
      <c r="AJ5669">
        <v>103.246304796007</v>
      </c>
      <c r="AK5669">
        <v>13.348010399706601</v>
      </c>
      <c r="AL5669">
        <v>87.547206512717807</v>
      </c>
      <c r="AM5669">
        <v>100.225248577157</v>
      </c>
      <c r="AN5669">
        <v>1.0000000524102499</v>
      </c>
    </row>
    <row r="5670" spans="1:40" x14ac:dyDescent="0.25">
      <c r="A5670" t="str">
        <f>"20190312151428159"</f>
        <v>20190312151428159</v>
      </c>
      <c r="B5670" t="str">
        <f>"1552374868156098"</f>
        <v>1552374868156098</v>
      </c>
      <c r="C5670" t="s">
        <v>40</v>
      </c>
      <c r="D5670">
        <v>4.759665</v>
      </c>
      <c r="E5670">
        <v>0.48107319999999998</v>
      </c>
      <c r="F5670" t="s">
        <v>59</v>
      </c>
      <c r="G5670">
        <v>-209.9195</v>
      </c>
      <c r="H5670" s="1">
        <v>-2.7976859999999997E-7</v>
      </c>
      <c r="I5670">
        <v>-59.41769</v>
      </c>
      <c r="J5670">
        <v>-222.92070000000001</v>
      </c>
      <c r="K5670">
        <v>1.111286</v>
      </c>
      <c r="L5670">
        <v>-62.85568</v>
      </c>
      <c r="M5670">
        <v>0.99957669999999998</v>
      </c>
      <c r="N5670">
        <v>0</v>
      </c>
      <c r="O5670">
        <v>2.6586539999999999E-2</v>
      </c>
      <c r="P5670">
        <v>0.97836270000000003</v>
      </c>
      <c r="Q5670">
        <v>3.181283E-2</v>
      </c>
      <c r="R5670">
        <v>0.20443749999999999</v>
      </c>
      <c r="S5670">
        <v>2.9157099999999998</v>
      </c>
      <c r="T5670">
        <v>-0.2454886</v>
      </c>
      <c r="U5670">
        <v>0.76080319999999901</v>
      </c>
      <c r="V5670">
        <v>-0.1785207</v>
      </c>
      <c r="W5670">
        <v>4.273573E-2</v>
      </c>
      <c r="X5670">
        <v>0.98300759999999998</v>
      </c>
      <c r="Y5670">
        <v>-0.22600300000000001</v>
      </c>
      <c r="Z5670">
        <v>7.1458030000000001E-3</v>
      </c>
      <c r="AA5670">
        <v>0.97410039999999998</v>
      </c>
      <c r="AB5670">
        <v>35</v>
      </c>
      <c r="AC5670">
        <v>13.001200000000001</v>
      </c>
      <c r="AD5670">
        <v>-1.1112862797686001</v>
      </c>
      <c r="AE5670">
        <v>3.4379900000000001</v>
      </c>
      <c r="AF5670">
        <v>-3.0701288532345199</v>
      </c>
      <c r="AG5670">
        <v>-1.1112862797686001</v>
      </c>
      <c r="AH5670">
        <v>12.999247738646799</v>
      </c>
      <c r="AI5670">
        <v>94.756030179124807</v>
      </c>
      <c r="AJ5670">
        <v>103.288465286522</v>
      </c>
      <c r="AK5670">
        <v>13.4030254100251</v>
      </c>
      <c r="AL5670">
        <v>87.550677007575104</v>
      </c>
      <c r="AM5670">
        <v>100.293113019605</v>
      </c>
      <c r="AN5670">
        <v>0.99999996230244004</v>
      </c>
    </row>
    <row r="5671" spans="1:40" x14ac:dyDescent="0.25">
      <c r="A5671" t="str">
        <f>"20190312151428171"</f>
        <v>20190312151428171</v>
      </c>
      <c r="B5671" t="str">
        <f>"1552374868165856"</f>
        <v>1552374868165856</v>
      </c>
      <c r="C5671" t="s">
        <v>40</v>
      </c>
      <c r="D5671">
        <v>4.8064679999999997</v>
      </c>
      <c r="E5671">
        <v>0.481186</v>
      </c>
      <c r="F5671" t="s">
        <v>59</v>
      </c>
      <c r="G5671">
        <v>-209.65860000000001</v>
      </c>
      <c r="H5671" s="1">
        <v>-4.5826609999999997E-7</v>
      </c>
      <c r="I5671">
        <v>-59.370109999999997</v>
      </c>
      <c r="J5671">
        <v>-222.7261</v>
      </c>
      <c r="K5671">
        <v>1.1112930000000001</v>
      </c>
      <c r="L5671">
        <v>-62.849640000000001</v>
      </c>
      <c r="M5671">
        <v>0.99955000000000005</v>
      </c>
      <c r="N5671">
        <v>0</v>
      </c>
      <c r="O5671">
        <v>2.7571020000000002E-2</v>
      </c>
      <c r="P5671">
        <v>0.97793430000000003</v>
      </c>
      <c r="Q5671">
        <v>3.1570260000000003E-2</v>
      </c>
      <c r="R5671">
        <v>0.20651349999999999</v>
      </c>
      <c r="S5671">
        <v>2.9142610000000002</v>
      </c>
      <c r="T5671">
        <v>-0.24419759999999999</v>
      </c>
      <c r="U5671">
        <v>0.76593020000000001</v>
      </c>
      <c r="V5671">
        <v>-0.17963899999999999</v>
      </c>
      <c r="W5671">
        <v>4.2483239999999999E-2</v>
      </c>
      <c r="X5671">
        <v>0.98281479999999999</v>
      </c>
      <c r="Y5671">
        <v>-0.22677310000000001</v>
      </c>
      <c r="Z5671">
        <v>7.06107E-3</v>
      </c>
      <c r="AA5671">
        <v>0.97392199999999995</v>
      </c>
      <c r="AB5671">
        <v>35</v>
      </c>
      <c r="AC5671">
        <v>13.0674999999999</v>
      </c>
      <c r="AD5671">
        <v>-1.1112934582661</v>
      </c>
      <c r="AE5671">
        <v>3.47953</v>
      </c>
      <c r="AF5671">
        <v>-3.09698241846964</v>
      </c>
      <c r="AG5671">
        <v>-1.1112934582661</v>
      </c>
      <c r="AH5671">
        <v>13.0702041408793</v>
      </c>
      <c r="AI5671">
        <v>94.729543490379299</v>
      </c>
      <c r="AJ5671">
        <v>103.330374502138</v>
      </c>
      <c r="AK5671">
        <v>13.4780009472827</v>
      </c>
      <c r="AL5671">
        <v>87.565156773039803</v>
      </c>
      <c r="AM5671">
        <v>100.35818834097699</v>
      </c>
      <c r="AN5671">
        <v>0.99999996355046805</v>
      </c>
    </row>
    <row r="5672" spans="1:40" x14ac:dyDescent="0.25">
      <c r="A5672" t="str">
        <f>"20190312151428184"</f>
        <v>20190312151428184</v>
      </c>
      <c r="B5672" t="str">
        <f>"1552374868175617"</f>
        <v>1552374868175617</v>
      </c>
      <c r="C5672" t="s">
        <v>40</v>
      </c>
      <c r="D5672">
        <v>4.7379790000000002</v>
      </c>
      <c r="E5672">
        <v>0.48124699999999998</v>
      </c>
      <c r="F5672" t="s">
        <v>59</v>
      </c>
      <c r="G5672">
        <v>-209.47120000000001</v>
      </c>
      <c r="H5672" s="1">
        <v>-5.8534449999999999E-7</v>
      </c>
      <c r="I5672">
        <v>-59.340240000000001</v>
      </c>
      <c r="J5672">
        <v>-222.5249</v>
      </c>
      <c r="K5672">
        <v>1.111299</v>
      </c>
      <c r="L5672">
        <v>-62.843169999999901</v>
      </c>
      <c r="M5672">
        <v>0.9995214</v>
      </c>
      <c r="N5672">
        <v>0</v>
      </c>
      <c r="O5672">
        <v>2.8591910000000002E-2</v>
      </c>
      <c r="P5672">
        <v>0.97747150000000005</v>
      </c>
      <c r="Q5672">
        <v>3.1900610000000003E-2</v>
      </c>
      <c r="R5672">
        <v>0.2086433</v>
      </c>
      <c r="S5672">
        <v>2.9127200000000002</v>
      </c>
      <c r="T5672">
        <v>-0.24420310000000001</v>
      </c>
      <c r="U5672">
        <v>0.77117919999999995</v>
      </c>
      <c r="V5672">
        <v>-0.180779</v>
      </c>
      <c r="W5672">
        <v>4.2803859999999999E-2</v>
      </c>
      <c r="X5672">
        <v>0.98259189999999996</v>
      </c>
      <c r="Y5672">
        <v>-0.22754650000000001</v>
      </c>
      <c r="Z5672">
        <v>7.0112439999999998E-3</v>
      </c>
      <c r="AA5672">
        <v>0.97374190000000005</v>
      </c>
      <c r="AB5672">
        <v>35</v>
      </c>
      <c r="AC5672">
        <v>13.0536999999999</v>
      </c>
      <c r="AD5672">
        <v>-1.1112995853445</v>
      </c>
      <c r="AE5672">
        <v>3.5029299999999899</v>
      </c>
      <c r="AF5672">
        <v>-3.1072341546527702</v>
      </c>
      <c r="AG5672">
        <v>-1.1112995853445</v>
      </c>
      <c r="AH5672">
        <v>13.060227759135699</v>
      </c>
      <c r="AI5672">
        <v>94.732142997678295</v>
      </c>
      <c r="AJ5672">
        <v>103.382766291875</v>
      </c>
      <c r="AK5672">
        <v>13.4706881776962</v>
      </c>
      <c r="AL5672">
        <v>87.546770035976294</v>
      </c>
      <c r="AM5672">
        <v>100.42479839722</v>
      </c>
      <c r="AN5672">
        <v>1.0000000296087499</v>
      </c>
    </row>
    <row r="5673" spans="1:40" x14ac:dyDescent="0.25">
      <c r="A5673" t="str">
        <f>"20190312151428196"</f>
        <v>20190312151428196</v>
      </c>
      <c r="B5673" t="str">
        <f>"1552374868186353"</f>
        <v>1552374868186353</v>
      </c>
      <c r="C5673" t="s">
        <v>40</v>
      </c>
      <c r="D5673">
        <v>4.7844509999999998</v>
      </c>
      <c r="E5673">
        <v>0.481327</v>
      </c>
      <c r="F5673" t="s">
        <v>59</v>
      </c>
      <c r="G5673">
        <v>-209.1944</v>
      </c>
      <c r="H5673" s="1">
        <v>-7.759393E-7</v>
      </c>
      <c r="I5673">
        <v>-59.2851</v>
      </c>
      <c r="J5673">
        <v>-222.3426</v>
      </c>
      <c r="K5673">
        <v>1.1113090000000001</v>
      </c>
      <c r="L5673">
        <v>-62.837130000000002</v>
      </c>
      <c r="M5673">
        <v>0.99949429999999995</v>
      </c>
      <c r="N5673">
        <v>0</v>
      </c>
      <c r="O5673">
        <v>2.9521539999999999E-2</v>
      </c>
      <c r="P5673">
        <v>0.97701839999999995</v>
      </c>
      <c r="Q5673">
        <v>3.1604399999999998E-2</v>
      </c>
      <c r="R5673">
        <v>0.21079980000000001</v>
      </c>
      <c r="S5673">
        <v>2.9112089999999999</v>
      </c>
      <c r="T5673">
        <v>-0.24269399999999999</v>
      </c>
      <c r="U5673">
        <v>0.77703859999999902</v>
      </c>
      <c r="V5673">
        <v>-0.18203320000000001</v>
      </c>
      <c r="W5673">
        <v>4.2497050000000001E-2</v>
      </c>
      <c r="X5673">
        <v>0.98237359999999896</v>
      </c>
      <c r="Y5673">
        <v>-0.22860359999999999</v>
      </c>
      <c r="Z5673">
        <v>6.9371540000000001E-3</v>
      </c>
      <c r="AA5673">
        <v>0.97349490000000005</v>
      </c>
      <c r="AB5673">
        <v>35</v>
      </c>
      <c r="AC5673">
        <v>13.148199999999999</v>
      </c>
      <c r="AD5673">
        <v>-1.1113097759393</v>
      </c>
      <c r="AE5673">
        <v>3.5520299999999998</v>
      </c>
      <c r="AF5673">
        <v>-3.1413840106431601</v>
      </c>
      <c r="AG5673">
        <v>-1.1113097759393</v>
      </c>
      <c r="AH5673">
        <v>13.159719563256999</v>
      </c>
      <c r="AI5673">
        <v>94.695730434254997</v>
      </c>
      <c r="AJ5673">
        <v>103.42593940991399</v>
      </c>
      <c r="AK5673">
        <v>13.575033035097601</v>
      </c>
      <c r="AL5673">
        <v>87.564364861592196</v>
      </c>
      <c r="AM5673">
        <v>100.497801753038</v>
      </c>
      <c r="AN5673">
        <v>0.99999998756895103</v>
      </c>
    </row>
    <row r="5674" spans="1:40" x14ac:dyDescent="0.25">
      <c r="A5674" t="str">
        <f>"20190312151428207"</f>
        <v>20190312151428207</v>
      </c>
      <c r="B5674" t="str">
        <f>"1552374868196113"</f>
        <v>1552374868196113</v>
      </c>
      <c r="C5674" t="s">
        <v>40</v>
      </c>
      <c r="D5674">
        <v>4.7625489999999999</v>
      </c>
      <c r="E5674">
        <v>0.48140919999999998</v>
      </c>
      <c r="F5674" t="s">
        <v>59</v>
      </c>
      <c r="G5674">
        <v>-209.0479</v>
      </c>
      <c r="H5674" s="1">
        <v>-8.7554209999999996E-7</v>
      </c>
      <c r="I5674">
        <v>-59.260660000000001</v>
      </c>
      <c r="J5674">
        <v>-222.15549999999999</v>
      </c>
      <c r="K5674">
        <v>1.1113109999999999</v>
      </c>
      <c r="L5674">
        <v>-62.830779999999997</v>
      </c>
      <c r="M5674">
        <v>0.99946550000000001</v>
      </c>
      <c r="N5674">
        <v>0</v>
      </c>
      <c r="O5674">
        <v>3.047944E-2</v>
      </c>
      <c r="P5674">
        <v>0.97654099999999999</v>
      </c>
      <c r="Q5674">
        <v>3.1211940000000001E-2</v>
      </c>
      <c r="R5674">
        <v>0.21305760000000001</v>
      </c>
      <c r="S5674">
        <v>2.9095610000000001</v>
      </c>
      <c r="T5674">
        <v>-0.2432115</v>
      </c>
      <c r="U5674">
        <v>0.78271480000000004</v>
      </c>
      <c r="V5674">
        <v>-0.18336179999999999</v>
      </c>
      <c r="W5674">
        <v>4.2094010000000001E-2</v>
      </c>
      <c r="X5674">
        <v>0.98214389999999996</v>
      </c>
      <c r="Y5674">
        <v>-0.2295769</v>
      </c>
      <c r="Z5674">
        <v>6.9155240000000002E-3</v>
      </c>
      <c r="AA5674">
        <v>0.97326590000000002</v>
      </c>
      <c r="AB5674">
        <v>35</v>
      </c>
      <c r="AC5674">
        <v>13.1075999999999</v>
      </c>
      <c r="AD5674">
        <v>-1.1113118755421001</v>
      </c>
      <c r="AE5674">
        <v>3.5701200000000002</v>
      </c>
      <c r="AF5674">
        <v>-3.1478558667963799</v>
      </c>
      <c r="AG5674">
        <v>-1.1113118755421001</v>
      </c>
      <c r="AH5674">
        <v>13.1225182054544</v>
      </c>
      <c r="AI5674">
        <v>94.707750407135507</v>
      </c>
      <c r="AJ5674">
        <v>103.489340238925</v>
      </c>
      <c r="AK5674">
        <v>13.540476162060401</v>
      </c>
      <c r="AL5674">
        <v>87.587478181478602</v>
      </c>
      <c r="AM5674">
        <v>100.575117192471</v>
      </c>
      <c r="AN5674">
        <v>1.00000004784216</v>
      </c>
    </row>
    <row r="5675" spans="1:40" x14ac:dyDescent="0.25">
      <c r="A5675" t="str">
        <f>"20190312151428218"</f>
        <v>20190312151428218</v>
      </c>
      <c r="B5675" t="str">
        <f>"1552374868215633"</f>
        <v>1552374868215633</v>
      </c>
      <c r="C5675" t="s">
        <v>40</v>
      </c>
      <c r="D5675">
        <v>4.7554449999999999</v>
      </c>
      <c r="E5675">
        <v>0.48160920000000002</v>
      </c>
      <c r="F5675" t="s">
        <v>59</v>
      </c>
      <c r="G5675">
        <v>-208.91399999999999</v>
      </c>
      <c r="H5675" s="1">
        <v>-9.661576000000001E-7</v>
      </c>
      <c r="I5675">
        <v>-59.240110000000001</v>
      </c>
      <c r="J5675">
        <v>-221.97720000000001</v>
      </c>
      <c r="K5675">
        <v>1.111321</v>
      </c>
      <c r="L5675">
        <v>-62.824460000000002</v>
      </c>
      <c r="M5675">
        <v>0.99943700000000002</v>
      </c>
      <c r="N5675">
        <v>0</v>
      </c>
      <c r="O5675">
        <v>3.140076E-2</v>
      </c>
      <c r="P5675">
        <v>0.97609089999999998</v>
      </c>
      <c r="Q5675">
        <v>3.1061140000000001E-2</v>
      </c>
      <c r="R5675">
        <v>0.2151325</v>
      </c>
      <c r="S5675">
        <v>2.9078369999999998</v>
      </c>
      <c r="T5675">
        <v>-0.24404429999999999</v>
      </c>
      <c r="U5675">
        <v>0.78851319999999903</v>
      </c>
      <c r="V5675">
        <v>-0.1845445</v>
      </c>
      <c r="W5675">
        <v>4.193156E-2</v>
      </c>
      <c r="X5675">
        <v>0.98192919999999995</v>
      </c>
      <c r="Y5675">
        <v>-0.230628</v>
      </c>
      <c r="Z5675">
        <v>6.9089449999999997E-3</v>
      </c>
      <c r="AA5675">
        <v>0.97301749999999998</v>
      </c>
      <c r="AB5675">
        <v>35</v>
      </c>
      <c r="AC5675">
        <v>13.063199999999901</v>
      </c>
      <c r="AD5675">
        <v>-1.1113219661575999</v>
      </c>
      <c r="AE5675">
        <v>3.5843500000000001</v>
      </c>
      <c r="AF5675">
        <v>-3.15114991631452</v>
      </c>
      <c r="AG5675">
        <v>-1.1113219661575999</v>
      </c>
      <c r="AH5675">
        <v>13.081271198154001</v>
      </c>
      <c r="AI5675">
        <v>94.7214932267904</v>
      </c>
      <c r="AJ5675">
        <v>103.54394987401599</v>
      </c>
      <c r="AK5675">
        <v>13.5012754385357</v>
      </c>
      <c r="AL5675">
        <v>87.596793848810094</v>
      </c>
      <c r="AM5675">
        <v>100.64404820889899</v>
      </c>
      <c r="AN5675">
        <v>0.99999994100846001</v>
      </c>
    </row>
    <row r="5676" spans="1:40" x14ac:dyDescent="0.25">
      <c r="A5676" t="str">
        <f>"20190312151428235"</f>
        <v>20190312151428235</v>
      </c>
      <c r="B5676" t="str">
        <f>"1552374868226369"</f>
        <v>1552374868226369</v>
      </c>
      <c r="C5676" t="s">
        <v>40</v>
      </c>
      <c r="D5676">
        <v>4.7180960000000001</v>
      </c>
      <c r="E5676">
        <v>0.4816896</v>
      </c>
      <c r="F5676" t="s">
        <v>59</v>
      </c>
      <c r="G5676">
        <v>-208.66900000000001</v>
      </c>
      <c r="H5676" s="1">
        <v>-1.1345089999999999E-6</v>
      </c>
      <c r="I5676">
        <v>-59.1926699999999</v>
      </c>
      <c r="J5676">
        <v>-221.7336</v>
      </c>
      <c r="K5676">
        <v>1.1113409999999999</v>
      </c>
      <c r="L5676">
        <v>-62.815669999999997</v>
      </c>
      <c r="M5676">
        <v>0.99939619999999996</v>
      </c>
      <c r="N5676">
        <v>0</v>
      </c>
      <c r="O5676">
        <v>3.267171E-2</v>
      </c>
      <c r="P5676">
        <v>0.97523629999999994</v>
      </c>
      <c r="Q5676">
        <v>3.062877E-2</v>
      </c>
      <c r="R5676">
        <v>0.2190346</v>
      </c>
      <c r="S5676">
        <v>2.9064030000000001</v>
      </c>
      <c r="T5676">
        <v>-0.2427028</v>
      </c>
      <c r="U5676">
        <v>0.79315190000000002</v>
      </c>
      <c r="V5676">
        <v>-0.18722320000000001</v>
      </c>
      <c r="W5676">
        <v>4.147609E-2</v>
      </c>
      <c r="X5676">
        <v>0.98144140000000002</v>
      </c>
      <c r="Y5676">
        <v>-0.2309679</v>
      </c>
      <c r="Z5676">
        <v>6.7830800000000004E-3</v>
      </c>
      <c r="AA5676">
        <v>0.97293770000000002</v>
      </c>
      <c r="AB5676">
        <v>35</v>
      </c>
      <c r="AC5676">
        <v>13.064599999999899</v>
      </c>
      <c r="AD5676">
        <v>-1.111342134509</v>
      </c>
      <c r="AE5676">
        <v>3.6230000000000002</v>
      </c>
      <c r="AF5676">
        <v>-3.1728732675072302</v>
      </c>
      <c r="AG5676">
        <v>-1.111342134509</v>
      </c>
      <c r="AH5676">
        <v>13.088059073450999</v>
      </c>
      <c r="AI5676">
        <v>94.717494794685905</v>
      </c>
      <c r="AJ5676">
        <v>103.627038116574</v>
      </c>
      <c r="AK5676">
        <v>13.5129381121109</v>
      </c>
      <c r="AL5676">
        <v>87.622913239869305</v>
      </c>
      <c r="AM5676">
        <v>100.800182511168</v>
      </c>
      <c r="AN5676">
        <v>1.0000000071469399</v>
      </c>
    </row>
    <row r="5677" spans="1:40" x14ac:dyDescent="0.25">
      <c r="A5677" t="str">
        <f>"20190312151428244"</f>
        <v>20190312151428244</v>
      </c>
      <c r="B5677" t="str">
        <f>"1552374868236129"</f>
        <v>1552374868236129</v>
      </c>
      <c r="C5677" t="s">
        <v>40</v>
      </c>
      <c r="D5677">
        <v>4.7697529999999997</v>
      </c>
      <c r="E5677">
        <v>0.4817864</v>
      </c>
      <c r="F5677" t="s">
        <v>59</v>
      </c>
      <c r="G5677">
        <v>-208.48390000000001</v>
      </c>
      <c r="H5677" s="1">
        <v>-1.2644769999999999E-6</v>
      </c>
      <c r="I5677">
        <v>-59.146340000000002</v>
      </c>
      <c r="J5677">
        <v>-221.5633</v>
      </c>
      <c r="K5677">
        <v>1.111356</v>
      </c>
      <c r="L5677">
        <v>-62.80939</v>
      </c>
      <c r="M5677">
        <v>0.99936670000000005</v>
      </c>
      <c r="N5677">
        <v>0</v>
      </c>
      <c r="O5677">
        <v>3.3564980000000001E-2</v>
      </c>
      <c r="P5677">
        <v>0.97470460000000003</v>
      </c>
      <c r="Q5677">
        <v>3.0401069999999999E-2</v>
      </c>
      <c r="R5677">
        <v>0.22142039999999999</v>
      </c>
      <c r="S5677">
        <v>2.9032290000000001</v>
      </c>
      <c r="T5677">
        <v>-0.24351439999999999</v>
      </c>
      <c r="U5677">
        <v>0.80401610000000001</v>
      </c>
      <c r="V5677">
        <v>-0.1887482</v>
      </c>
      <c r="W5677">
        <v>4.1233119999999998E-2</v>
      </c>
      <c r="X5677">
        <v>0.98115949999999996</v>
      </c>
      <c r="Y5677">
        <v>-0.23374139999999999</v>
      </c>
      <c r="Z5677">
        <v>6.8503269999999998E-3</v>
      </c>
      <c r="AA5677">
        <v>0.97227470000000005</v>
      </c>
      <c r="AB5677">
        <v>35</v>
      </c>
      <c r="AC5677">
        <v>13.0793999999999</v>
      </c>
      <c r="AD5677">
        <v>-1.111357264477</v>
      </c>
      <c r="AE5677">
        <v>3.6630499999999899</v>
      </c>
      <c r="AF5677">
        <v>-3.2005184380282099</v>
      </c>
      <c r="AG5677">
        <v>-1.111357264477</v>
      </c>
      <c r="AH5677">
        <v>13.1072376345422</v>
      </c>
      <c r="AI5677">
        <v>94.708797570129903</v>
      </c>
      <c r="AJ5677">
        <v>103.721941939193</v>
      </c>
      <c r="AK5677">
        <v>13.538024658339999</v>
      </c>
      <c r="AL5677">
        <v>87.636846318588596</v>
      </c>
      <c r="AM5677">
        <v>100.889113091691</v>
      </c>
      <c r="AN5677">
        <v>1.00000000881421</v>
      </c>
    </row>
    <row r="5678" spans="1:40" x14ac:dyDescent="0.25">
      <c r="A5678" t="str">
        <f>"20190312151428257"</f>
        <v>20190312151428257</v>
      </c>
      <c r="B5678" t="str">
        <f>"1552374868245889"</f>
        <v>1552374868245889</v>
      </c>
      <c r="C5678" t="s">
        <v>40</v>
      </c>
      <c r="D5678">
        <v>4.8415369999999998</v>
      </c>
      <c r="E5678">
        <v>0.48187049999999998</v>
      </c>
      <c r="F5678" t="s">
        <v>59</v>
      </c>
      <c r="G5678">
        <v>-208.32159999999999</v>
      </c>
      <c r="H5678" s="1">
        <v>-1.377242E-6</v>
      </c>
      <c r="I5678">
        <v>-59.11018</v>
      </c>
      <c r="J5678">
        <v>-221.37610000000001</v>
      </c>
      <c r="K5678">
        <v>1.111378</v>
      </c>
      <c r="L5678">
        <v>-62.802120000000002</v>
      </c>
      <c r="M5678">
        <v>0.9993322</v>
      </c>
      <c r="N5678">
        <v>0</v>
      </c>
      <c r="O5678">
        <v>3.4572529999999997E-2</v>
      </c>
      <c r="P5678">
        <v>0.97417739999999997</v>
      </c>
      <c r="Q5678">
        <v>3.0289569999999998E-2</v>
      </c>
      <c r="R5678">
        <v>0.22374289999999999</v>
      </c>
      <c r="S5678">
        <v>2.9013209999999998</v>
      </c>
      <c r="T5678">
        <v>-0.24350459999999999</v>
      </c>
      <c r="U5678">
        <v>0.81051640000000003</v>
      </c>
      <c r="V5678">
        <v>-0.1900993</v>
      </c>
      <c r="W5678">
        <v>4.1104000000000002E-2</v>
      </c>
      <c r="X5678">
        <v>0.980904</v>
      </c>
      <c r="Y5678">
        <v>-0.2349465</v>
      </c>
      <c r="Z5678">
        <v>6.8193200000000002E-3</v>
      </c>
      <c r="AA5678">
        <v>0.97198439999999997</v>
      </c>
      <c r="AB5678">
        <v>35</v>
      </c>
      <c r="AC5678">
        <v>13.054500000000001</v>
      </c>
      <c r="AD5678">
        <v>-1.111379377242</v>
      </c>
      <c r="AE5678">
        <v>3.6919399999999798</v>
      </c>
      <c r="AF5678">
        <v>-3.2167860671068298</v>
      </c>
      <c r="AG5678">
        <v>-1.111379377242</v>
      </c>
      <c r="AH5678">
        <v>13.086519678899601</v>
      </c>
      <c r="AI5678">
        <v>94.714544076838806</v>
      </c>
      <c r="AJ5678">
        <v>103.810027273237</v>
      </c>
      <c r="AK5678">
        <v>13.5218295370086</v>
      </c>
      <c r="AL5678">
        <v>87.644250535222398</v>
      </c>
      <c r="AM5678">
        <v>100.96796369768499</v>
      </c>
      <c r="AN5678">
        <v>0.99999996994624396</v>
      </c>
    </row>
    <row r="5679" spans="1:40" x14ac:dyDescent="0.25">
      <c r="A5679" t="str">
        <f>"20190312151428271"</f>
        <v>20190312151428271</v>
      </c>
      <c r="B5679" t="str">
        <f>"1552374868266385"</f>
        <v>1552374868266385</v>
      </c>
      <c r="C5679" t="s">
        <v>40</v>
      </c>
      <c r="D5679">
        <v>4.8589149999999997</v>
      </c>
      <c r="E5679">
        <v>0.48159990000000003</v>
      </c>
      <c r="F5679" t="s">
        <v>59</v>
      </c>
      <c r="G5679">
        <v>-208.12299999999999</v>
      </c>
      <c r="H5679" s="1">
        <v>-1.51469E-6</v>
      </c>
      <c r="I5679">
        <v>-59.068089999999998</v>
      </c>
      <c r="J5679">
        <v>-221.1738</v>
      </c>
      <c r="K5679">
        <v>1.1114059999999999</v>
      </c>
      <c r="L5679">
        <v>-62.79419</v>
      </c>
      <c r="M5679">
        <v>0.99929330000000005</v>
      </c>
      <c r="N5679">
        <v>0</v>
      </c>
      <c r="O5679">
        <v>3.5677649999999998E-2</v>
      </c>
      <c r="P5679">
        <v>0.9735935</v>
      </c>
      <c r="Q5679">
        <v>2.998085E-2</v>
      </c>
      <c r="R5679">
        <v>0.2263117</v>
      </c>
      <c r="S5679">
        <v>2.8994749999999998</v>
      </c>
      <c r="T5679">
        <v>-0.24314549999999999</v>
      </c>
      <c r="U5679">
        <v>0.81692500000000001</v>
      </c>
      <c r="V5679">
        <v>-0.1916031</v>
      </c>
      <c r="W5679">
        <v>4.0773839999999999E-2</v>
      </c>
      <c r="X5679">
        <v>0.98062519999999997</v>
      </c>
      <c r="Y5679">
        <v>-0.23602519999999999</v>
      </c>
      <c r="Z5679">
        <v>6.7652969999999896E-3</v>
      </c>
      <c r="AA5679">
        <v>0.97172340000000001</v>
      </c>
      <c r="AB5679">
        <v>35</v>
      </c>
      <c r="AC5679">
        <v>13.050800000000001</v>
      </c>
      <c r="AD5679">
        <v>-1.11140751469</v>
      </c>
      <c r="AE5679">
        <v>3.72609999999999</v>
      </c>
      <c r="AF5679">
        <v>-3.2363710431238699</v>
      </c>
      <c r="AG5679">
        <v>-1.11140751469</v>
      </c>
      <c r="AH5679">
        <v>13.087676631704699</v>
      </c>
      <c r="AI5679">
        <v>94.712639741134097</v>
      </c>
      <c r="AJ5679">
        <v>103.889680446849</v>
      </c>
      <c r="AK5679">
        <v>13.5276237310383</v>
      </c>
      <c r="AL5679">
        <v>87.663183295937301</v>
      </c>
      <c r="AM5679">
        <v>101.055663433148</v>
      </c>
      <c r="AN5679">
        <v>1.0000000184164901</v>
      </c>
    </row>
    <row r="5680" spans="1:40" x14ac:dyDescent="0.25">
      <c r="A5680" t="str">
        <f>"20190312151428281"</f>
        <v>20190312151428281</v>
      </c>
      <c r="B5680" t="str">
        <f>"1552374868276145"</f>
        <v>1552374868276145</v>
      </c>
      <c r="C5680" t="s">
        <v>40</v>
      </c>
      <c r="D5680">
        <v>4.6814309999999999</v>
      </c>
      <c r="E5680">
        <v>0.48133169999999997</v>
      </c>
      <c r="F5680" t="s">
        <v>59</v>
      </c>
      <c r="G5680">
        <v>-207.9289</v>
      </c>
      <c r="H5680" s="1">
        <v>-1.652497E-6</v>
      </c>
      <c r="I5680">
        <v>-59.013779999999997</v>
      </c>
      <c r="J5680">
        <v>-221.00460000000001</v>
      </c>
      <c r="K5680">
        <v>1.1114360000000001</v>
      </c>
      <c r="L5680">
        <v>-62.787320000000001</v>
      </c>
      <c r="M5680">
        <v>0.99925920000000001</v>
      </c>
      <c r="N5680">
        <v>0</v>
      </c>
      <c r="O5680">
        <v>3.6624759999999999E-2</v>
      </c>
      <c r="P5680">
        <v>0.97306720000000002</v>
      </c>
      <c r="Q5680">
        <v>2.987385E-2</v>
      </c>
      <c r="R5680">
        <v>0.2285788</v>
      </c>
      <c r="S5680">
        <v>2.8966669999999999</v>
      </c>
      <c r="T5680">
        <v>-0.2430669</v>
      </c>
      <c r="U5680">
        <v>0.82678220000000002</v>
      </c>
      <c r="V5680">
        <v>-0.19296089999999999</v>
      </c>
      <c r="W5680">
        <v>4.0645189999999998E-2</v>
      </c>
      <c r="X5680">
        <v>0.98036429999999997</v>
      </c>
      <c r="Y5680">
        <v>-0.23840520000000001</v>
      </c>
      <c r="Z5680">
        <v>6.7865579999999998E-3</v>
      </c>
      <c r="AA5680">
        <v>0.97114210000000001</v>
      </c>
      <c r="AB5680">
        <v>35</v>
      </c>
      <c r="AC5680">
        <v>13.075699999999999</v>
      </c>
      <c r="AD5680">
        <v>-1.111437652497</v>
      </c>
      <c r="AE5680">
        <v>3.7735399999999899</v>
      </c>
      <c r="AF5680">
        <v>-3.2702688414523999</v>
      </c>
      <c r="AG5680">
        <v>-1.111437652497</v>
      </c>
      <c r="AH5680">
        <v>13.117651758129099</v>
      </c>
      <c r="AI5680">
        <v>94.699836283236195</v>
      </c>
      <c r="AJ5680">
        <v>103.998646774726</v>
      </c>
      <c r="AK5680">
        <v>13.5647609488081</v>
      </c>
      <c r="AL5680">
        <v>87.670560588286307</v>
      </c>
      <c r="AM5680">
        <v>101.134947945086</v>
      </c>
      <c r="AN5680">
        <v>1.0000000505567099</v>
      </c>
    </row>
    <row r="5681" spans="1:40" x14ac:dyDescent="0.25">
      <c r="A5681" t="str">
        <f>"20190312151428290"</f>
        <v>20190312151428290</v>
      </c>
      <c r="B5681" t="str">
        <f>"1552374868285905"</f>
        <v>1552374868285905</v>
      </c>
      <c r="C5681" t="s">
        <v>40</v>
      </c>
      <c r="D5681">
        <v>4.7517490000000002</v>
      </c>
      <c r="E5681">
        <v>0.48107040000000001</v>
      </c>
      <c r="F5681" t="s">
        <v>59</v>
      </c>
      <c r="G5681">
        <v>-207.7937</v>
      </c>
      <c r="H5681" s="1">
        <v>-1.7493539999999999E-6</v>
      </c>
      <c r="I5681">
        <v>-58.972729999999999</v>
      </c>
      <c r="J5681">
        <v>-220.84819999999999</v>
      </c>
      <c r="K5681">
        <v>1.111469</v>
      </c>
      <c r="L5681">
        <v>-62.780819999999999</v>
      </c>
      <c r="M5681">
        <v>0.99922580000000005</v>
      </c>
      <c r="N5681">
        <v>0</v>
      </c>
      <c r="O5681">
        <v>3.7522310000000003E-2</v>
      </c>
      <c r="P5681">
        <v>0.97256520000000002</v>
      </c>
      <c r="Q5681">
        <v>2.9376679999999999E-2</v>
      </c>
      <c r="R5681">
        <v>0.23076849999999999</v>
      </c>
      <c r="S5681">
        <v>2.8942109999999999</v>
      </c>
      <c r="T5681">
        <v>-0.2434916</v>
      </c>
      <c r="U5681">
        <v>0.83569340000000003</v>
      </c>
      <c r="V5681">
        <v>-0.19428770000000001</v>
      </c>
      <c r="W5681">
        <v>4.0125870000000001E-2</v>
      </c>
      <c r="X5681">
        <v>0.98012359999999998</v>
      </c>
      <c r="Y5681">
        <v>-0.24050569999999999</v>
      </c>
      <c r="Z5681">
        <v>6.8139250000000002E-3</v>
      </c>
      <c r="AA5681">
        <v>0.97062380000000004</v>
      </c>
      <c r="AB5681">
        <v>35</v>
      </c>
      <c r="AC5681">
        <v>13.0544999999999</v>
      </c>
      <c r="AD5681">
        <v>-1.1114707493539999</v>
      </c>
      <c r="AE5681">
        <v>3.8080899999999902</v>
      </c>
      <c r="AF5681">
        <v>-3.2935362213452799</v>
      </c>
      <c r="AG5681">
        <v>-1.1114707493539999</v>
      </c>
      <c r="AH5681">
        <v>13.100684878663399</v>
      </c>
      <c r="AI5681">
        <v>94.703719283270502</v>
      </c>
      <c r="AJ5681">
        <v>104.111813079209</v>
      </c>
      <c r="AK5681">
        <v>13.553991749961501</v>
      </c>
      <c r="AL5681">
        <v>87.700339686855799</v>
      </c>
      <c r="AM5681">
        <v>101.212262542142</v>
      </c>
      <c r="AN5681">
        <v>1.00000003354575</v>
      </c>
    </row>
    <row r="5682" spans="1:40" x14ac:dyDescent="0.25">
      <c r="A5682" t="str">
        <f>"20190312151428304"</f>
        <v>20190312151428304</v>
      </c>
      <c r="B5682" t="str">
        <f>"1552374868295665"</f>
        <v>1552374868295665</v>
      </c>
      <c r="C5682" t="s">
        <v>40</v>
      </c>
      <c r="D5682">
        <v>4.6634859999999998</v>
      </c>
      <c r="E5682">
        <v>0.48082930000000002</v>
      </c>
      <c r="F5682" t="s">
        <v>59</v>
      </c>
      <c r="G5682">
        <v>-207.72730000000001</v>
      </c>
      <c r="H5682" s="1">
        <v>-1.7977270000000001E-6</v>
      </c>
      <c r="I5682">
        <v>-58.949559999999998</v>
      </c>
      <c r="J5682">
        <v>-220.6353</v>
      </c>
      <c r="K5682">
        <v>1.1115109999999999</v>
      </c>
      <c r="L5682">
        <v>-62.77176</v>
      </c>
      <c r="M5682">
        <v>0.99917829999999996</v>
      </c>
      <c r="N5682">
        <v>0</v>
      </c>
      <c r="O5682">
        <v>3.8767719999999999E-2</v>
      </c>
      <c r="P5682">
        <v>0.97197009999999995</v>
      </c>
      <c r="Q5682">
        <v>2.943467E-2</v>
      </c>
      <c r="R5682">
        <v>0.23325499999999999</v>
      </c>
      <c r="S5682">
        <v>2.8916780000000002</v>
      </c>
      <c r="T5682">
        <v>-0.24495410000000001</v>
      </c>
      <c r="U5682">
        <v>0.84436039999999901</v>
      </c>
      <c r="V5682">
        <v>-0.19557769999999999</v>
      </c>
      <c r="W5682">
        <v>4.0154450000000001E-2</v>
      </c>
      <c r="X5682">
        <v>0.97986580000000001</v>
      </c>
      <c r="Y5682">
        <v>-0.2421953</v>
      </c>
      <c r="Z5682">
        <v>6.8248579999999996E-3</v>
      </c>
      <c r="AA5682">
        <v>0.9702035</v>
      </c>
      <c r="AB5682">
        <v>35</v>
      </c>
      <c r="AC5682">
        <v>12.9079999999999</v>
      </c>
      <c r="AD5682">
        <v>-1.1115127977270001</v>
      </c>
      <c r="AE5682">
        <v>3.8222</v>
      </c>
      <c r="AF5682">
        <v>-3.2964051303485902</v>
      </c>
      <c r="AG5682">
        <v>-1.1115127977270001</v>
      </c>
      <c r="AH5682">
        <v>12.9581444759528</v>
      </c>
      <c r="AI5682">
        <v>94.752044137201196</v>
      </c>
      <c r="AJ5682">
        <v>104.272658918725</v>
      </c>
      <c r="AK5682">
        <v>13.416976400909601</v>
      </c>
      <c r="AL5682">
        <v>87.698700778483598</v>
      </c>
      <c r="AM5682">
        <v>101.28769635747901</v>
      </c>
      <c r="AN5682">
        <v>1.0000000013008601</v>
      </c>
    </row>
    <row r="5683" spans="1:40" x14ac:dyDescent="0.25">
      <c r="A5683" t="str">
        <f>"20190312151428315"</f>
        <v>20190312151428315</v>
      </c>
      <c r="B5683" t="str">
        <f>"1552374868306401"</f>
        <v>1552374868306401</v>
      </c>
      <c r="C5683" t="s">
        <v>40</v>
      </c>
      <c r="D5683">
        <v>4.6813760000000002</v>
      </c>
      <c r="E5683">
        <v>0.48059160000000001</v>
      </c>
      <c r="F5683" t="s">
        <v>59</v>
      </c>
      <c r="G5683">
        <v>-207.5232</v>
      </c>
      <c r="H5683" s="1">
        <v>-1.941631E-6</v>
      </c>
      <c r="I5683">
        <v>-58.896479999999997</v>
      </c>
      <c r="J5683">
        <v>-220.46889999999999</v>
      </c>
      <c r="K5683">
        <v>1.111556</v>
      </c>
      <c r="L5683">
        <v>-62.764339999999997</v>
      </c>
      <c r="M5683">
        <v>0.99913790000000002</v>
      </c>
      <c r="N5683">
        <v>0</v>
      </c>
      <c r="O5683">
        <v>3.9791630000000001E-2</v>
      </c>
      <c r="P5683">
        <v>0.97145150000000002</v>
      </c>
      <c r="Q5683">
        <v>2.9832999999999998E-2</v>
      </c>
      <c r="R5683">
        <v>0.2353548</v>
      </c>
      <c r="S5683">
        <v>2.8890380000000002</v>
      </c>
      <c r="T5683">
        <v>-0.2449028</v>
      </c>
      <c r="U5683">
        <v>0.85385129999999998</v>
      </c>
      <c r="V5683">
        <v>-0.1966984</v>
      </c>
      <c r="W5683">
        <v>4.0525609999999997E-2</v>
      </c>
      <c r="X5683">
        <v>0.9796262</v>
      </c>
      <c r="Y5683">
        <v>-0.24436910000000001</v>
      </c>
      <c r="Z5683">
        <v>6.8318739999999999E-3</v>
      </c>
      <c r="AA5683">
        <v>0.96965820000000003</v>
      </c>
      <c r="AB5683">
        <v>35</v>
      </c>
      <c r="AC5683">
        <v>12.945699999999899</v>
      </c>
      <c r="AD5683">
        <v>-1.111557941631</v>
      </c>
      <c r="AE5683">
        <v>3.8678599999999999</v>
      </c>
      <c r="AF5683">
        <v>-3.3271107905704902</v>
      </c>
      <c r="AG5683">
        <v>-1.111557941631</v>
      </c>
      <c r="AH5683">
        <v>13.001367794894501</v>
      </c>
      <c r="AI5683">
        <v>94.734797362080698</v>
      </c>
      <c r="AJ5683">
        <v>104.354210591401</v>
      </c>
      <c r="AK5683">
        <v>13.4662835187906</v>
      </c>
      <c r="AL5683">
        <v>87.677417639382597</v>
      </c>
      <c r="AM5683">
        <v>101.35340674264501</v>
      </c>
      <c r="AN5683">
        <v>1.0000000386774299</v>
      </c>
    </row>
    <row r="5684" spans="1:40" x14ac:dyDescent="0.25">
      <c r="A5684" t="str">
        <f>"20190312151428325"</f>
        <v>20190312151428325</v>
      </c>
      <c r="B5684" t="str">
        <f>"1552374868316162"</f>
        <v>1552374868316162</v>
      </c>
      <c r="C5684" t="s">
        <v>40</v>
      </c>
      <c r="D5684">
        <v>4.8028079999999997</v>
      </c>
      <c r="E5684">
        <v>0.48037029999999997</v>
      </c>
      <c r="F5684" t="s">
        <v>59</v>
      </c>
      <c r="G5684">
        <v>-207.3083</v>
      </c>
      <c r="H5684" s="1">
        <v>-2.0946880000000001E-6</v>
      </c>
      <c r="I5684">
        <v>-58.834470000000003</v>
      </c>
      <c r="J5684">
        <v>-220.30459999999999</v>
      </c>
      <c r="K5684">
        <v>1.111602</v>
      </c>
      <c r="L5684">
        <v>-62.757019999999997</v>
      </c>
      <c r="M5684">
        <v>0.99909700000000001</v>
      </c>
      <c r="N5684">
        <v>0</v>
      </c>
      <c r="O5684">
        <v>4.0808200000000003E-2</v>
      </c>
      <c r="P5684">
        <v>0.97090350000000003</v>
      </c>
      <c r="Q5684">
        <v>3.0360680000000001E-2</v>
      </c>
      <c r="R5684">
        <v>0.2375391</v>
      </c>
      <c r="S5684">
        <v>2.8868100000000001</v>
      </c>
      <c r="T5684">
        <v>-0.24382390000000001</v>
      </c>
      <c r="U5684">
        <v>0.86202999999999996</v>
      </c>
      <c r="V5684">
        <v>-0.1979129</v>
      </c>
      <c r="W5684">
        <v>4.1023490000000003E-2</v>
      </c>
      <c r="X5684">
        <v>0.97936080000000003</v>
      </c>
      <c r="Y5684">
        <v>-0.2461132</v>
      </c>
      <c r="Z5684">
        <v>6.7926260000000004E-3</v>
      </c>
      <c r="AA5684">
        <v>0.96921729999999995</v>
      </c>
      <c r="AB5684">
        <v>35</v>
      </c>
      <c r="AC5684">
        <v>12.9962999999999</v>
      </c>
      <c r="AD5684">
        <v>-1.1116040946879999</v>
      </c>
      <c r="AE5684">
        <v>3.9225500000000002</v>
      </c>
      <c r="AF5684">
        <v>-3.3663182237792202</v>
      </c>
      <c r="AG5684">
        <v>-1.1116040946879999</v>
      </c>
      <c r="AH5684">
        <v>13.058002199934</v>
      </c>
      <c r="AI5684">
        <v>94.712409619803594</v>
      </c>
      <c r="AJ5684">
        <v>104.455940891213</v>
      </c>
      <c r="AK5684">
        <v>13.5306756483391</v>
      </c>
      <c r="AL5684">
        <v>87.6488674060855</v>
      </c>
      <c r="AM5684">
        <v>101.424684318961</v>
      </c>
      <c r="AN5684">
        <v>1.00000000964741</v>
      </c>
    </row>
    <row r="5685" spans="1:40" x14ac:dyDescent="0.25">
      <c r="A5685" t="str">
        <f>"20190312151428337"</f>
        <v>20190312151428337</v>
      </c>
      <c r="B5685" t="str">
        <f>"1552374868325922"</f>
        <v>1552374868325922</v>
      </c>
      <c r="C5685" t="s">
        <v>40</v>
      </c>
      <c r="D5685">
        <v>4.6895389999999999</v>
      </c>
      <c r="E5685">
        <v>0.48015409999999997</v>
      </c>
      <c r="F5685" t="s">
        <v>59</v>
      </c>
      <c r="G5685">
        <v>-207.07660000000001</v>
      </c>
      <c r="H5685" s="1">
        <v>-2.260368E-6</v>
      </c>
      <c r="I5685">
        <v>-58.765389999999996</v>
      </c>
      <c r="J5685">
        <v>-220.11279999999999</v>
      </c>
      <c r="K5685">
        <v>1.111677</v>
      </c>
      <c r="L5685">
        <v>-62.747990000000001</v>
      </c>
      <c r="M5685">
        <v>0.9990445</v>
      </c>
      <c r="N5685">
        <v>0</v>
      </c>
      <c r="O5685">
        <v>4.2073069999999997E-2</v>
      </c>
      <c r="P5685">
        <v>0.97036739999999999</v>
      </c>
      <c r="Q5685">
        <v>3.091089E-2</v>
      </c>
      <c r="R5685">
        <v>0.23964949999999999</v>
      </c>
      <c r="S5685">
        <v>2.8845209999999999</v>
      </c>
      <c r="T5685">
        <v>-0.24239869999999999</v>
      </c>
      <c r="U5685">
        <v>0.87042240000000004</v>
      </c>
      <c r="V5685">
        <v>-0.19881270000000001</v>
      </c>
      <c r="W5685">
        <v>4.1538029999999997E-2</v>
      </c>
      <c r="X5685">
        <v>0.9791569</v>
      </c>
      <c r="Y5685">
        <v>-0.24768999999999999</v>
      </c>
      <c r="Z5685">
        <v>6.7167420000000004E-3</v>
      </c>
      <c r="AA5685">
        <v>0.96881600000000001</v>
      </c>
      <c r="AB5685">
        <v>35</v>
      </c>
      <c r="AC5685">
        <v>13.0361999999999</v>
      </c>
      <c r="AD5685">
        <v>-1.1116792603679999</v>
      </c>
      <c r="AE5685">
        <v>3.9825999999999899</v>
      </c>
      <c r="AF5685">
        <v>-3.40789487861977</v>
      </c>
      <c r="AG5685">
        <v>-1.1116792603679999</v>
      </c>
      <c r="AH5685">
        <v>13.1050618770924</v>
      </c>
      <c r="AI5685">
        <v>94.693331410589707</v>
      </c>
      <c r="AJ5685">
        <v>104.576586435026</v>
      </c>
      <c r="AK5685">
        <v>13.586472135329201</v>
      </c>
      <c r="AL5685">
        <v>87.619361418975203</v>
      </c>
      <c r="AM5685">
        <v>101.477577293821</v>
      </c>
      <c r="AN5685">
        <v>1.0000000662175801</v>
      </c>
    </row>
    <row r="5686" spans="1:40" x14ac:dyDescent="0.25">
      <c r="A5686" t="str">
        <f>"20190312151428351"</f>
        <v>20190312151428351</v>
      </c>
      <c r="B5686" t="str">
        <f>"1552374868346419"</f>
        <v>1552374868346419</v>
      </c>
      <c r="C5686" t="s">
        <v>40</v>
      </c>
      <c r="D5686">
        <v>4.6901549999999999</v>
      </c>
      <c r="E5686">
        <v>0.4797305</v>
      </c>
      <c r="F5686" t="s">
        <v>59</v>
      </c>
      <c r="G5686">
        <v>-206.816</v>
      </c>
      <c r="H5686" s="1">
        <v>-2.4447230000000001E-6</v>
      </c>
      <c r="I5686">
        <v>-58.695070000000001</v>
      </c>
      <c r="J5686">
        <v>-219.9246</v>
      </c>
      <c r="K5686">
        <v>1.1117459999999999</v>
      </c>
      <c r="L5686">
        <v>-62.738979999999998</v>
      </c>
      <c r="M5686">
        <v>0.99899000000000004</v>
      </c>
      <c r="N5686">
        <v>0</v>
      </c>
      <c r="O5686">
        <v>4.3345149999999999E-2</v>
      </c>
      <c r="P5686">
        <v>0.96982710000000005</v>
      </c>
      <c r="Q5686">
        <v>3.1571759999999997E-2</v>
      </c>
      <c r="R5686">
        <v>0.24174039999999999</v>
      </c>
      <c r="S5686">
        <v>2.8823240000000001</v>
      </c>
      <c r="T5686">
        <v>-0.240976</v>
      </c>
      <c r="U5686">
        <v>0.87853999999999999</v>
      </c>
      <c r="V5686">
        <v>-0.199687</v>
      </c>
      <c r="W5686">
        <v>4.2162610000000003E-2</v>
      </c>
      <c r="X5686">
        <v>0.97895220000000005</v>
      </c>
      <c r="Y5686">
        <v>-0.24916579999999999</v>
      </c>
      <c r="Z5686">
        <v>6.6364960000000004E-3</v>
      </c>
      <c r="AA5686">
        <v>0.96843809999999997</v>
      </c>
      <c r="AB5686">
        <v>35</v>
      </c>
      <c r="AC5686">
        <v>13.108599999999999</v>
      </c>
      <c r="AD5686">
        <v>-1.1117484447229999</v>
      </c>
      <c r="AE5686">
        <v>4.0439100000000101</v>
      </c>
      <c r="AF5686">
        <v>-3.4492209816766302</v>
      </c>
      <c r="AG5686">
        <v>-1.1117484447229999</v>
      </c>
      <c r="AH5686">
        <v>13.184978157882499</v>
      </c>
      <c r="AI5686">
        <v>94.663532281160002</v>
      </c>
      <c r="AJ5686">
        <v>104.660176066609</v>
      </c>
      <c r="AK5686">
        <v>13.6739445299672</v>
      </c>
      <c r="AL5686">
        <v>87.583544075143806</v>
      </c>
      <c r="AM5686">
        <v>101.529048808333</v>
      </c>
      <c r="AN5686">
        <v>0.99999999676792595</v>
      </c>
    </row>
    <row r="5687" spans="1:40" x14ac:dyDescent="0.25">
      <c r="A5687" t="str">
        <f>"20190312151428363"</f>
        <v>20190312151428363</v>
      </c>
      <c r="B5687" t="str">
        <f>"1552374868356177"</f>
        <v>1552374868356177</v>
      </c>
      <c r="C5687" t="s">
        <v>40</v>
      </c>
      <c r="D5687">
        <v>4.7334290000000001</v>
      </c>
      <c r="E5687">
        <v>0.4795296</v>
      </c>
      <c r="F5687" t="s">
        <v>59</v>
      </c>
      <c r="G5687">
        <v>-206.54900000000001</v>
      </c>
      <c r="H5687" s="1">
        <v>-2.636282E-6</v>
      </c>
      <c r="I5687">
        <v>-58.612870000000001</v>
      </c>
      <c r="J5687">
        <v>-219.7157</v>
      </c>
      <c r="K5687">
        <v>1.1118250000000001</v>
      </c>
      <c r="L5687">
        <v>-62.728639999999999</v>
      </c>
      <c r="M5687">
        <v>0.99892530000000002</v>
      </c>
      <c r="N5687">
        <v>0</v>
      </c>
      <c r="O5687">
        <v>4.4812400000000002E-2</v>
      </c>
      <c r="P5687">
        <v>0.96934399999999998</v>
      </c>
      <c r="Q5687">
        <v>3.2189160000000001E-2</v>
      </c>
      <c r="R5687">
        <v>0.24359040000000001</v>
      </c>
      <c r="S5687">
        <v>2.8797000000000001</v>
      </c>
      <c r="T5687">
        <v>-0.23935509999999999</v>
      </c>
      <c r="U5687">
        <v>0.88833619999999902</v>
      </c>
      <c r="V5687">
        <v>-0.20013020000000001</v>
      </c>
      <c r="W5687">
        <v>4.2740500000000001E-2</v>
      </c>
      <c r="X5687">
        <v>0.97883659999999995</v>
      </c>
      <c r="Y5687">
        <v>-0.2510078</v>
      </c>
      <c r="Z5687">
        <v>6.5507600000000001E-3</v>
      </c>
      <c r="AA5687">
        <v>0.96796289999999996</v>
      </c>
      <c r="AB5687">
        <v>35</v>
      </c>
      <c r="AC5687">
        <v>13.166699999999899</v>
      </c>
      <c r="AD5687">
        <v>-1.1118276362819901</v>
      </c>
      <c r="AE5687">
        <v>4.1157700000000101</v>
      </c>
      <c r="AF5687">
        <v>-3.49883431248006</v>
      </c>
      <c r="AG5687">
        <v>-1.1118276362819901</v>
      </c>
      <c r="AH5687">
        <v>13.251840296589901</v>
      </c>
      <c r="AI5687">
        <v>94.637682201376606</v>
      </c>
      <c r="AJ5687">
        <v>104.79008610444301</v>
      </c>
      <c r="AK5687">
        <v>13.7509735468189</v>
      </c>
      <c r="AL5687">
        <v>87.550403471691396</v>
      </c>
      <c r="AM5687">
        <v>101.55527769804</v>
      </c>
      <c r="AN5687">
        <v>0.99999996839592398</v>
      </c>
    </row>
    <row r="5688" spans="1:40" x14ac:dyDescent="0.25">
      <c r="A5688" t="str">
        <f>"20190312151428376"</f>
        <v>20190312151428376</v>
      </c>
      <c r="B5688" t="str">
        <f>"1552374868365937"</f>
        <v>1552374868365937</v>
      </c>
      <c r="C5688" t="s">
        <v>40</v>
      </c>
      <c r="D5688">
        <v>4.7767330000000001</v>
      </c>
      <c r="E5688">
        <v>0.47925139999999999</v>
      </c>
      <c r="F5688" t="s">
        <v>59</v>
      </c>
      <c r="G5688">
        <v>-206.2568</v>
      </c>
      <c r="H5688" s="1">
        <v>-2.8413760000000002E-6</v>
      </c>
      <c r="I5688">
        <v>-58.540149999999997</v>
      </c>
      <c r="J5688">
        <v>-219.5136</v>
      </c>
      <c r="K5688">
        <v>1.1119129999999999</v>
      </c>
      <c r="L5688">
        <v>-62.718169999999901</v>
      </c>
      <c r="M5688">
        <v>0.99885659999999998</v>
      </c>
      <c r="N5688">
        <v>0</v>
      </c>
      <c r="O5688">
        <v>4.631532E-2</v>
      </c>
      <c r="P5688">
        <v>0.96881039999999996</v>
      </c>
      <c r="Q5688">
        <v>3.2336120000000003E-2</v>
      </c>
      <c r="R5688">
        <v>0.24568409999999999</v>
      </c>
      <c r="S5688">
        <v>2.8777309999999998</v>
      </c>
      <c r="T5688">
        <v>-0.23772740000000001</v>
      </c>
      <c r="U5688">
        <v>0.89556880000000005</v>
      </c>
      <c r="V5688">
        <v>-0.20078180000000001</v>
      </c>
      <c r="W5688">
        <v>4.2844840000000002E-2</v>
      </c>
      <c r="X5688">
        <v>0.97869859999999997</v>
      </c>
      <c r="Y5688">
        <v>-0.25196770000000002</v>
      </c>
      <c r="Z5688">
        <v>6.4263719999999996E-3</v>
      </c>
      <c r="AA5688">
        <v>0.96771430000000003</v>
      </c>
      <c r="AB5688">
        <v>35</v>
      </c>
      <c r="AC5688">
        <v>13.256799999999901</v>
      </c>
      <c r="AD5688">
        <v>-1.111915841376</v>
      </c>
      <c r="AE5688">
        <v>4.1780199999999903</v>
      </c>
      <c r="AF5688">
        <v>-3.5368659229854198</v>
      </c>
      <c r="AG5688">
        <v>-1.111915841376</v>
      </c>
      <c r="AH5688">
        <v>13.3506553421992</v>
      </c>
      <c r="AI5688">
        <v>94.602854633679001</v>
      </c>
      <c r="AJ5688">
        <v>104.83798542079001</v>
      </c>
      <c r="AK5688">
        <v>13.855893167229301</v>
      </c>
      <c r="AL5688">
        <v>87.544419778566805</v>
      </c>
      <c r="AM5688">
        <v>101.593473858227</v>
      </c>
      <c r="AN5688">
        <v>0.99999998058391204</v>
      </c>
    </row>
    <row r="5689" spans="1:40" x14ac:dyDescent="0.25">
      <c r="A5689" t="str">
        <f>"20190312151428389"</f>
        <v>20190312151428389</v>
      </c>
      <c r="B5689" t="str">
        <f>"1552374868386433"</f>
        <v>1552374868386433</v>
      </c>
      <c r="C5689" t="s">
        <v>40</v>
      </c>
      <c r="D5689">
        <v>4.7336780000000003</v>
      </c>
      <c r="E5689">
        <v>0.47887190000000002</v>
      </c>
      <c r="F5689" t="s">
        <v>59</v>
      </c>
      <c r="G5689">
        <v>-206.1525</v>
      </c>
      <c r="H5689" s="1">
        <v>-2.9140209999999999E-6</v>
      </c>
      <c r="I5689">
        <v>-58.516269999999999</v>
      </c>
      <c r="J5689">
        <v>-219.31809999999999</v>
      </c>
      <c r="K5689">
        <v>1.1120000000000001</v>
      </c>
      <c r="L5689">
        <v>-62.707819999999998</v>
      </c>
      <c r="M5689">
        <v>0.99878599999999995</v>
      </c>
      <c r="N5689">
        <v>0</v>
      </c>
      <c r="O5689">
        <v>4.7813519999999998E-2</v>
      </c>
      <c r="P5689">
        <v>0.96835059999999995</v>
      </c>
      <c r="Q5689">
        <v>3.2298800000000003E-2</v>
      </c>
      <c r="R5689">
        <v>0.24749589999999999</v>
      </c>
      <c r="S5689">
        <v>2.8752749999999998</v>
      </c>
      <c r="T5689">
        <v>-0.2392812</v>
      </c>
      <c r="U5689">
        <v>0.90423580000000003</v>
      </c>
      <c r="V5689">
        <v>-0.2011539</v>
      </c>
      <c r="W5689">
        <v>4.276576E-2</v>
      </c>
      <c r="X5689">
        <v>0.97862570000000004</v>
      </c>
      <c r="Y5689">
        <v>-0.25339909999999999</v>
      </c>
      <c r="Z5689">
        <v>6.4077800000000001E-3</v>
      </c>
      <c r="AA5689">
        <v>0.96734059999999999</v>
      </c>
      <c r="AB5689">
        <v>35</v>
      </c>
      <c r="AC5689">
        <v>13.1655999999999</v>
      </c>
      <c r="AD5689">
        <v>-1.1120029140209999</v>
      </c>
      <c r="AE5689">
        <v>4.1915499999999897</v>
      </c>
      <c r="AF5689">
        <v>-3.53432424065576</v>
      </c>
      <c r="AG5689">
        <v>-1.1120029140209999</v>
      </c>
      <c r="AH5689">
        <v>13.265043875596</v>
      </c>
      <c r="AI5689">
        <v>94.631055869996402</v>
      </c>
      <c r="AJ5689">
        <v>104.91923499914</v>
      </c>
      <c r="AK5689">
        <v>13.772777038069201</v>
      </c>
      <c r="AL5689">
        <v>87.548955009784393</v>
      </c>
      <c r="AM5689">
        <v>101.61521795686799</v>
      </c>
      <c r="AN5689">
        <v>1.0000000312070301</v>
      </c>
    </row>
    <row r="5690" spans="1:40" x14ac:dyDescent="0.25">
      <c r="A5690" t="str">
        <f>"20190312151428402"</f>
        <v>20190312151428402</v>
      </c>
      <c r="B5690" t="str">
        <f>"1552374868396193"</f>
        <v>1552374868396193</v>
      </c>
      <c r="C5690" t="s">
        <v>40</v>
      </c>
      <c r="D5690">
        <v>4.7073400000000003</v>
      </c>
      <c r="E5690">
        <v>0.47867140000000002</v>
      </c>
      <c r="F5690" t="s">
        <v>59</v>
      </c>
      <c r="G5690">
        <v>-206.0498</v>
      </c>
      <c r="H5690" s="1">
        <v>-2.9855489999999999E-6</v>
      </c>
      <c r="I5690">
        <v>-58.492759999999997</v>
      </c>
      <c r="J5690">
        <v>-219.10310000000001</v>
      </c>
      <c r="K5690">
        <v>1.112093</v>
      </c>
      <c r="L5690">
        <v>-62.696010000000001</v>
      </c>
      <c r="M5690">
        <v>0.99870130000000001</v>
      </c>
      <c r="N5690">
        <v>0</v>
      </c>
      <c r="O5690">
        <v>4.9550829999999997E-2</v>
      </c>
      <c r="P5690">
        <v>0.96756569999999997</v>
      </c>
      <c r="Q5690">
        <v>3.1779700000000001E-2</v>
      </c>
      <c r="R5690">
        <v>0.25061319999999998</v>
      </c>
      <c r="S5690">
        <v>2.8728030000000002</v>
      </c>
      <c r="T5690">
        <v>-0.24076639999999999</v>
      </c>
      <c r="U5690">
        <v>0.9126282</v>
      </c>
      <c r="V5690">
        <v>-0.20260990000000001</v>
      </c>
      <c r="W5690">
        <v>4.2189770000000001E-2</v>
      </c>
      <c r="X5690">
        <v>0.97835030000000001</v>
      </c>
      <c r="Y5690">
        <v>-0.25451750000000001</v>
      </c>
      <c r="Z5690">
        <v>6.3544439999999999E-3</v>
      </c>
      <c r="AA5690">
        <v>0.96704730000000005</v>
      </c>
      <c r="AB5690">
        <v>35</v>
      </c>
      <c r="AC5690">
        <v>13.0533</v>
      </c>
      <c r="AD5690">
        <v>-1.112095985549</v>
      </c>
      <c r="AE5690">
        <v>4.2032499999999997</v>
      </c>
      <c r="AF5690">
        <v>-3.5280364736470702</v>
      </c>
      <c r="AG5690">
        <v>-1.112095985549</v>
      </c>
      <c r="AH5690">
        <v>13.159011500403199</v>
      </c>
      <c r="AI5690">
        <v>94.6666617909965</v>
      </c>
      <c r="AJ5690">
        <v>105.00849003544501</v>
      </c>
      <c r="AK5690">
        <v>13.669066629005901</v>
      </c>
      <c r="AL5690">
        <v>87.581986613569597</v>
      </c>
      <c r="AM5690">
        <v>101.700184914282</v>
      </c>
      <c r="AN5690">
        <v>1.0000000288903701</v>
      </c>
    </row>
    <row r="5691" spans="1:40" x14ac:dyDescent="0.25">
      <c r="A5691" t="str">
        <f>"20190312151428413"</f>
        <v>20190312151428413</v>
      </c>
      <c r="B5691" t="str">
        <f>"1552374868405953"</f>
        <v>1552374868405953</v>
      </c>
      <c r="C5691" t="s">
        <v>40</v>
      </c>
      <c r="D5691">
        <v>4.750413</v>
      </c>
      <c r="E5691">
        <v>0.47850730000000002</v>
      </c>
      <c r="F5691" t="s">
        <v>59</v>
      </c>
      <c r="G5691">
        <v>-206.0155</v>
      </c>
      <c r="H5691" s="1">
        <v>-3.009616E-6</v>
      </c>
      <c r="I5691">
        <v>-58.484290000000001</v>
      </c>
      <c r="J5691">
        <v>-218.93109999999999</v>
      </c>
      <c r="K5691">
        <v>1.1121760000000001</v>
      </c>
      <c r="L5691">
        <v>-62.686190000000003</v>
      </c>
      <c r="M5691">
        <v>0.99862779999999995</v>
      </c>
      <c r="N5691">
        <v>0</v>
      </c>
      <c r="O5691">
        <v>5.1008209999999998E-2</v>
      </c>
      <c r="P5691">
        <v>0.96702089999999996</v>
      </c>
      <c r="Q5691">
        <v>3.1194389999999999E-2</v>
      </c>
      <c r="R5691">
        <v>0.2527798</v>
      </c>
      <c r="S5691">
        <v>2.8694000000000002</v>
      </c>
      <c r="T5691">
        <v>-0.2438216</v>
      </c>
      <c r="U5691">
        <v>0.92340089999999997</v>
      </c>
      <c r="V5691">
        <v>-0.20337849999999999</v>
      </c>
      <c r="W5691">
        <v>4.1559949999999998E-2</v>
      </c>
      <c r="X5691">
        <v>0.97821780000000003</v>
      </c>
      <c r="Y5691">
        <v>-0.25671070000000001</v>
      </c>
      <c r="Z5691">
        <v>6.4093079999999998E-3</v>
      </c>
      <c r="AA5691">
        <v>0.96646699999999996</v>
      </c>
      <c r="AB5691">
        <v>35</v>
      </c>
      <c r="AC5691">
        <v>12.9155999999999</v>
      </c>
      <c r="AD5691">
        <v>-1.112179009616</v>
      </c>
      <c r="AE5691">
        <v>4.2019000000000002</v>
      </c>
      <c r="AF5691">
        <v>-3.51401834780805</v>
      </c>
      <c r="AG5691">
        <v>-1.112179009616</v>
      </c>
      <c r="AH5691">
        <v>13.025787492479999</v>
      </c>
      <c r="AI5691">
        <v>94.712566838485898</v>
      </c>
      <c r="AJ5691">
        <v>105.09750358751199</v>
      </c>
      <c r="AK5691">
        <v>13.5372230127678</v>
      </c>
      <c r="AL5691">
        <v>87.618104380918396</v>
      </c>
      <c r="AM5691">
        <v>101.744885590762</v>
      </c>
      <c r="AN5691">
        <v>1.0000000539715399</v>
      </c>
    </row>
    <row r="5692" spans="1:40" x14ac:dyDescent="0.25">
      <c r="A5692" t="str">
        <f>"20190312151428424"</f>
        <v>20190312151428424</v>
      </c>
      <c r="B5692" t="str">
        <f>"1552374868415713"</f>
        <v>1552374868415713</v>
      </c>
      <c r="C5692" t="s">
        <v>40</v>
      </c>
      <c r="D5692">
        <v>4.7346599999999999</v>
      </c>
      <c r="E5692">
        <v>0.4783268</v>
      </c>
      <c r="F5692" t="s">
        <v>59</v>
      </c>
      <c r="G5692">
        <v>-205.99199999999999</v>
      </c>
      <c r="H5692" s="1">
        <v>-3.0245820000000002E-6</v>
      </c>
      <c r="I5692">
        <v>-58.484279999999998</v>
      </c>
      <c r="J5692">
        <v>-218.75030000000001</v>
      </c>
      <c r="K5692">
        <v>1.1122650000000001</v>
      </c>
      <c r="L5692">
        <v>-62.675690000000003</v>
      </c>
      <c r="M5692">
        <v>0.99854690000000002</v>
      </c>
      <c r="N5692">
        <v>0</v>
      </c>
      <c r="O5692">
        <v>5.2567879999999997E-2</v>
      </c>
      <c r="P5692">
        <v>0.96635349999999998</v>
      </c>
      <c r="Q5692">
        <v>3.0847550000000001E-2</v>
      </c>
      <c r="R5692">
        <v>0.25536110000000001</v>
      </c>
      <c r="S5692">
        <v>2.8668819999999999</v>
      </c>
      <c r="T5692">
        <v>-0.24642130000000001</v>
      </c>
      <c r="U5692">
        <v>0.93099980000000004</v>
      </c>
      <c r="V5692">
        <v>-0.2044694</v>
      </c>
      <c r="W5692">
        <v>4.1163079999999998E-2</v>
      </c>
      <c r="X5692">
        <v>0.97800710000000002</v>
      </c>
      <c r="Y5692">
        <v>-0.25775500000000001</v>
      </c>
      <c r="Z5692">
        <v>6.3941759999999997E-3</v>
      </c>
      <c r="AA5692">
        <v>0.96618910000000002</v>
      </c>
      <c r="AB5692">
        <v>35</v>
      </c>
      <c r="AC5692">
        <v>12.758299999999901</v>
      </c>
      <c r="AD5692">
        <v>-1.112268024582</v>
      </c>
      <c r="AE5692">
        <v>4.1914099999999896</v>
      </c>
      <c r="AF5692">
        <v>-3.4909422411184199</v>
      </c>
      <c r="AG5692">
        <v>-1.112268024582</v>
      </c>
      <c r="AH5692">
        <v>12.8727001028779</v>
      </c>
      <c r="AI5692">
        <v>94.7670402486104</v>
      </c>
      <c r="AJ5692">
        <v>105.173083336063</v>
      </c>
      <c r="AK5692">
        <v>13.3839540431057</v>
      </c>
      <c r="AL5692">
        <v>87.640862730451502</v>
      </c>
      <c r="AM5692">
        <v>101.80859231222701</v>
      </c>
      <c r="AN5692">
        <v>1.00000001117092</v>
      </c>
    </row>
    <row r="5693" spans="1:40" x14ac:dyDescent="0.25">
      <c r="A5693" t="str">
        <f>"20190312151428436"</f>
        <v>20190312151428436</v>
      </c>
      <c r="B5693" t="str">
        <f>"1552374868426449"</f>
        <v>1552374868426449</v>
      </c>
      <c r="C5693" t="s">
        <v>40</v>
      </c>
      <c r="D5693">
        <v>4.7546309999999998</v>
      </c>
      <c r="E5693">
        <v>0.47814139999999999</v>
      </c>
      <c r="F5693" t="s">
        <v>59</v>
      </c>
      <c r="G5693">
        <v>-205.9128</v>
      </c>
      <c r="H5693" s="1">
        <v>-3.0800799999999998E-6</v>
      </c>
      <c r="I5693">
        <v>-58.463099999999997</v>
      </c>
      <c r="J5693">
        <v>-218.58510000000001</v>
      </c>
      <c r="K5693">
        <v>1.1123510000000001</v>
      </c>
      <c r="L5693">
        <v>-62.665619999999997</v>
      </c>
      <c r="M5693">
        <v>0.99846590000000002</v>
      </c>
      <c r="N5693">
        <v>0</v>
      </c>
      <c r="O5693">
        <v>5.4082749999999999E-2</v>
      </c>
      <c r="P5693">
        <v>0.96578989999999998</v>
      </c>
      <c r="Q5693">
        <v>3.0260550000000001E-2</v>
      </c>
      <c r="R5693">
        <v>0.25755460000000002</v>
      </c>
      <c r="S5693">
        <v>2.8640289999999999</v>
      </c>
      <c r="T5693">
        <v>-0.24814430000000001</v>
      </c>
      <c r="U5693">
        <v>0.93981930000000002</v>
      </c>
      <c r="V5693">
        <v>-0.20521010000000001</v>
      </c>
      <c r="W5693">
        <v>4.053085E-2</v>
      </c>
      <c r="X5693">
        <v>0.97787829999999998</v>
      </c>
      <c r="Y5693">
        <v>-0.25925039999999999</v>
      </c>
      <c r="Z5693">
        <v>6.3779269999999898E-3</v>
      </c>
      <c r="AA5693">
        <v>0.96578909999999996</v>
      </c>
      <c r="AB5693">
        <v>35</v>
      </c>
      <c r="AC5693">
        <v>12.6723</v>
      </c>
      <c r="AD5693">
        <v>-1.11235408007999</v>
      </c>
      <c r="AE5693">
        <v>4.2025199999999998</v>
      </c>
      <c r="AF5693">
        <v>-3.4867636694172002</v>
      </c>
      <c r="AG5693">
        <v>-1.11235408007999</v>
      </c>
      <c r="AH5693">
        <v>12.792251887756599</v>
      </c>
      <c r="AI5693">
        <v>94.795582801033405</v>
      </c>
      <c r="AJ5693">
        <v>105.24664598079001</v>
      </c>
      <c r="AK5693">
        <v>13.305508665423099</v>
      </c>
      <c r="AL5693">
        <v>87.677116961828602</v>
      </c>
      <c r="AM5693">
        <v>101.851678760471</v>
      </c>
      <c r="AN5693">
        <v>0.99999995227730998</v>
      </c>
    </row>
    <row r="5694" spans="1:40" x14ac:dyDescent="0.25">
      <c r="A5694" t="str">
        <f>"20190312151428447"</f>
        <v>20190312151428447</v>
      </c>
      <c r="B5694" t="str">
        <f>"1552374868436210"</f>
        <v>1552374868436210</v>
      </c>
      <c r="C5694" t="s">
        <v>40</v>
      </c>
      <c r="D5694">
        <v>4.7783709999999999</v>
      </c>
      <c r="E5694">
        <v>0.47797879999999998</v>
      </c>
      <c r="F5694" t="s">
        <v>59</v>
      </c>
      <c r="G5694">
        <v>-205.9248</v>
      </c>
      <c r="H5694" s="1">
        <v>-3.070289E-6</v>
      </c>
      <c r="I5694">
        <v>-58.472999999999999</v>
      </c>
      <c r="J5694">
        <v>-218.399</v>
      </c>
      <c r="K5694">
        <v>1.1124480000000001</v>
      </c>
      <c r="L5694">
        <v>-62.654110000000003</v>
      </c>
      <c r="M5694">
        <v>0.99837089999999995</v>
      </c>
      <c r="N5694">
        <v>0</v>
      </c>
      <c r="O5694">
        <v>5.5811239999999998E-2</v>
      </c>
      <c r="P5694">
        <v>0.96511449999999999</v>
      </c>
      <c r="Q5694">
        <v>2.9822359999999999E-2</v>
      </c>
      <c r="R5694">
        <v>0.26012489999999999</v>
      </c>
      <c r="S5694">
        <v>2.8614350000000002</v>
      </c>
      <c r="T5694">
        <v>-0.25141000000000002</v>
      </c>
      <c r="U5694">
        <v>0.94760129999999998</v>
      </c>
      <c r="V5694">
        <v>-0.20612659999999999</v>
      </c>
      <c r="W5694">
        <v>4.0040109999999997E-2</v>
      </c>
      <c r="X5694">
        <v>0.97770579999999996</v>
      </c>
      <c r="Y5694">
        <v>-0.2601909</v>
      </c>
      <c r="Z5694">
        <v>6.3578569999999997E-3</v>
      </c>
      <c r="AA5694">
        <v>0.96553619999999996</v>
      </c>
      <c r="AB5694">
        <v>35</v>
      </c>
      <c r="AC5694">
        <v>12.4741999999999</v>
      </c>
      <c r="AD5694">
        <v>-1.11245107028899</v>
      </c>
      <c r="AE5694">
        <v>4.1811099999999897</v>
      </c>
      <c r="AF5694">
        <v>-3.4536495566554</v>
      </c>
      <c r="AG5694">
        <v>-1.11245107028899</v>
      </c>
      <c r="AH5694">
        <v>12.5980494696968</v>
      </c>
      <c r="AI5694">
        <v>94.867639038100194</v>
      </c>
      <c r="AJ5694">
        <v>105.33051695923</v>
      </c>
      <c r="AK5694">
        <v>13.110152290683001</v>
      </c>
      <c r="AL5694">
        <v>87.705257267267399</v>
      </c>
      <c r="AM5694">
        <v>101.905143677815</v>
      </c>
      <c r="AN5694">
        <v>1.000000008495</v>
      </c>
    </row>
    <row r="5695" spans="1:40" x14ac:dyDescent="0.25">
      <c r="A5695" t="str">
        <f>"20190312151428458"</f>
        <v>20190312151428458</v>
      </c>
      <c r="B5695" t="str">
        <f>"1552374868455729"</f>
        <v>1552374868455729</v>
      </c>
      <c r="C5695" t="s">
        <v>40</v>
      </c>
      <c r="D5695">
        <v>4.7670110000000001</v>
      </c>
      <c r="E5695">
        <v>0.4776958</v>
      </c>
      <c r="F5695" t="s">
        <v>59</v>
      </c>
      <c r="G5695">
        <v>-205.86189999999999</v>
      </c>
      <c r="H5695" s="1">
        <v>-3.1086109999999999E-6</v>
      </c>
      <c r="I5695">
        <v>-58.459940000000003</v>
      </c>
      <c r="J5695">
        <v>-218.2158</v>
      </c>
      <c r="K5695">
        <v>1.11254599999999</v>
      </c>
      <c r="L5695">
        <v>-62.642240000000001</v>
      </c>
      <c r="M5695">
        <v>0.99826890000000001</v>
      </c>
      <c r="N5695">
        <v>0</v>
      </c>
      <c r="O5695">
        <v>5.7603599999999998E-2</v>
      </c>
      <c r="P5695">
        <v>0.9644218</v>
      </c>
      <c r="Q5695">
        <v>2.9381239999999999E-2</v>
      </c>
      <c r="R5695">
        <v>0.26273099999999999</v>
      </c>
      <c r="S5695">
        <v>2.858536</v>
      </c>
      <c r="T5695">
        <v>-0.25364579999999998</v>
      </c>
      <c r="U5695">
        <v>0.9562988</v>
      </c>
      <c r="V5695">
        <v>-0.20701929999999999</v>
      </c>
      <c r="W5695">
        <v>3.9545539999999997E-2</v>
      </c>
      <c r="X5695">
        <v>0.97753730000000005</v>
      </c>
      <c r="Y5695">
        <v>-0.26138329999999999</v>
      </c>
      <c r="Z5695">
        <v>6.3152039999999996E-3</v>
      </c>
      <c r="AA5695">
        <v>0.96521440000000003</v>
      </c>
      <c r="AB5695">
        <v>35</v>
      </c>
      <c r="AC5695">
        <v>12.353899999999999</v>
      </c>
      <c r="AD5695">
        <v>-1.11254910861099</v>
      </c>
      <c r="AE5695">
        <v>4.1822999999999899</v>
      </c>
      <c r="AF5695">
        <v>-3.4386546598169998</v>
      </c>
      <c r="AG5695">
        <v>-1.11254910861099</v>
      </c>
      <c r="AH5695">
        <v>12.483483515574999</v>
      </c>
      <c r="AI5695">
        <v>94.910882645714693</v>
      </c>
      <c r="AJ5695">
        <v>105.40055638611599</v>
      </c>
      <c r="AK5695">
        <v>12.9961329660859</v>
      </c>
      <c r="AL5695">
        <v>87.733616498570498</v>
      </c>
      <c r="AM5695">
        <v>101.95722381061201</v>
      </c>
      <c r="AN5695">
        <v>1.0000000065988299</v>
      </c>
    </row>
    <row r="5696" spans="1:40" x14ac:dyDescent="0.25">
      <c r="A5696" t="str">
        <f>"20190312151428470"</f>
        <v>20190312151428470</v>
      </c>
      <c r="B5696" t="str">
        <f>"1552374868466466"</f>
        <v>1552374868466466</v>
      </c>
      <c r="C5696" t="s">
        <v>40</v>
      </c>
      <c r="D5696">
        <v>4.7470359999999996</v>
      </c>
      <c r="E5696">
        <v>0.47755249999999999</v>
      </c>
      <c r="F5696" t="s">
        <v>59</v>
      </c>
      <c r="G5696">
        <v>-205.8202</v>
      </c>
      <c r="H5696" s="1">
        <v>-3.1338800000000001E-6</v>
      </c>
      <c r="I5696">
        <v>-58.448880000000003</v>
      </c>
      <c r="J5696">
        <v>-218.0496</v>
      </c>
      <c r="K5696">
        <v>1.1126320000000001</v>
      </c>
      <c r="L5696">
        <v>-62.63129</v>
      </c>
      <c r="M5696">
        <v>0.9981717</v>
      </c>
      <c r="N5696">
        <v>0</v>
      </c>
      <c r="O5696">
        <v>5.9263499999999997E-2</v>
      </c>
      <c r="P5696">
        <v>0.96371960000000001</v>
      </c>
      <c r="Q5696">
        <v>2.9303030000000001E-2</v>
      </c>
      <c r="R5696">
        <v>0.26530340000000002</v>
      </c>
      <c r="S5696">
        <v>2.8553310000000001</v>
      </c>
      <c r="T5696">
        <v>-0.2562758</v>
      </c>
      <c r="U5696">
        <v>0.96594239999999998</v>
      </c>
      <c r="V5696">
        <v>-0.20800979999999999</v>
      </c>
      <c r="W5696">
        <v>3.941737E-2</v>
      </c>
      <c r="X5696">
        <v>0.97733219999999998</v>
      </c>
      <c r="Y5696">
        <v>-0.263017</v>
      </c>
      <c r="Z5696">
        <v>6.3113860000000004E-3</v>
      </c>
      <c r="AA5696">
        <v>0.96477060000000003</v>
      </c>
      <c r="AB5696">
        <v>35</v>
      </c>
      <c r="AC5696">
        <v>12.229399999999901</v>
      </c>
      <c r="AD5696">
        <v>-1.11263513388</v>
      </c>
      <c r="AE5696">
        <v>4.1824099999999902</v>
      </c>
      <c r="AF5696">
        <v>-3.4248691184946298</v>
      </c>
      <c r="AG5696">
        <v>-1.11263513388</v>
      </c>
      <c r="AH5696">
        <v>12.3641573996453</v>
      </c>
      <c r="AI5696">
        <v>94.956469792568001</v>
      </c>
      <c r="AJ5696">
        <v>105.482720861155</v>
      </c>
      <c r="AK5696">
        <v>12.8778908841147</v>
      </c>
      <c r="AL5696">
        <v>87.740965853598993</v>
      </c>
      <c r="AM5696">
        <v>102.01522366626099</v>
      </c>
      <c r="AN5696">
        <v>1.0000000175552901</v>
      </c>
    </row>
    <row r="5697" spans="1:40" x14ac:dyDescent="0.25">
      <c r="A5697" t="str">
        <f>"20190312151428480"</f>
        <v>20190312151428480</v>
      </c>
      <c r="B5697" t="str">
        <f>"1552374868476225"</f>
        <v>1552374868476225</v>
      </c>
      <c r="C5697" t="s">
        <v>40</v>
      </c>
      <c r="D5697">
        <v>4.7327380000000003</v>
      </c>
      <c r="E5697">
        <v>0.47742970000000001</v>
      </c>
      <c r="F5697" t="s">
        <v>59</v>
      </c>
      <c r="G5697">
        <v>-205.70570000000001</v>
      </c>
      <c r="H5697" s="1">
        <v>-3.2043430000000001E-6</v>
      </c>
      <c r="I5697">
        <v>-58.413429999999998</v>
      </c>
      <c r="J5697">
        <v>-217.88120000000001</v>
      </c>
      <c r="K5697">
        <v>1.112724</v>
      </c>
      <c r="L5697">
        <v>-62.619779999999999</v>
      </c>
      <c r="M5697">
        <v>0.99806719999999904</v>
      </c>
      <c r="N5697">
        <v>0</v>
      </c>
      <c r="O5697">
        <v>6.0998780000000002E-2</v>
      </c>
      <c r="P5697">
        <v>0.96296700000000002</v>
      </c>
      <c r="Q5697">
        <v>2.932587E-2</v>
      </c>
      <c r="R5697">
        <v>0.26802029999999999</v>
      </c>
      <c r="S5697">
        <v>2.8524479999999999</v>
      </c>
      <c r="T5697">
        <v>-0.25711000000000001</v>
      </c>
      <c r="U5697">
        <v>0.97467040000000005</v>
      </c>
      <c r="V5697">
        <v>-0.20907619999999999</v>
      </c>
      <c r="W5697">
        <v>3.9389260000000002E-2</v>
      </c>
      <c r="X5697">
        <v>0.97710569999999997</v>
      </c>
      <c r="Y5697">
        <v>-0.26427830000000002</v>
      </c>
      <c r="Z5697">
        <v>6.2393029999999999E-3</v>
      </c>
      <c r="AA5697">
        <v>0.96442629999999996</v>
      </c>
      <c r="AB5697">
        <v>35</v>
      </c>
      <c r="AC5697">
        <v>12.1755</v>
      </c>
      <c r="AD5697">
        <v>-1.1127272043430001</v>
      </c>
      <c r="AE5697">
        <v>4.2063499999999996</v>
      </c>
      <c r="AF5697">
        <v>-3.4301781102299</v>
      </c>
      <c r="AG5697">
        <v>-1.1127272043430001</v>
      </c>
      <c r="AH5697">
        <v>12.317515095493601</v>
      </c>
      <c r="AI5697">
        <v>94.973665123018193</v>
      </c>
      <c r="AJ5697">
        <v>105.56144139905599</v>
      </c>
      <c r="AK5697">
        <v>12.8345417458863</v>
      </c>
      <c r="AL5697">
        <v>87.742577559916299</v>
      </c>
      <c r="AM5697">
        <v>102.077735394757</v>
      </c>
      <c r="AN5697">
        <v>0.99999996009113701</v>
      </c>
    </row>
    <row r="5698" spans="1:40" x14ac:dyDescent="0.25">
      <c r="A5698" t="str">
        <f>"20190312151428491"</f>
        <v>20190312151428491</v>
      </c>
      <c r="B5698" t="str">
        <f>"1552374868485985"</f>
        <v>1552374868485985</v>
      </c>
      <c r="C5698" t="s">
        <v>40</v>
      </c>
      <c r="D5698">
        <v>4.7743840000000004</v>
      </c>
      <c r="E5698">
        <v>0.47730109999999998</v>
      </c>
      <c r="F5698" t="s">
        <v>59</v>
      </c>
      <c r="G5698">
        <v>-205.57259999999999</v>
      </c>
      <c r="H5698" s="1">
        <v>-3.2864E-6</v>
      </c>
      <c r="I5698">
        <v>-58.371780000000001</v>
      </c>
      <c r="J5698">
        <v>-217.70359999999999</v>
      </c>
      <c r="K5698">
        <v>1.1128169999999999</v>
      </c>
      <c r="L5698">
        <v>-62.607329999999997</v>
      </c>
      <c r="M5698">
        <v>0.99795029999999996</v>
      </c>
      <c r="N5698">
        <v>0</v>
      </c>
      <c r="O5698">
        <v>6.2879729999999995E-2</v>
      </c>
      <c r="P5698">
        <v>0.96217870000000005</v>
      </c>
      <c r="Q5698">
        <v>2.93525E-2</v>
      </c>
      <c r="R5698">
        <v>0.2708332</v>
      </c>
      <c r="S5698">
        <v>2.8495029999999999</v>
      </c>
      <c r="T5698">
        <v>-0.25760070000000002</v>
      </c>
      <c r="U5698">
        <v>0.983429</v>
      </c>
      <c r="V5698">
        <v>-0.21009939999999999</v>
      </c>
      <c r="W5698">
        <v>3.9363049999999997E-2</v>
      </c>
      <c r="X5698">
        <v>0.97688730000000001</v>
      </c>
      <c r="Y5698">
        <v>-0.265416599999999</v>
      </c>
      <c r="Z5698">
        <v>6.1403999999999999E-3</v>
      </c>
      <c r="AA5698">
        <v>0.96411429999999998</v>
      </c>
      <c r="AB5698">
        <v>35</v>
      </c>
      <c r="AC5698">
        <v>12.130999999999901</v>
      </c>
      <c r="AD5698">
        <v>-1.1128202864000001</v>
      </c>
      <c r="AE5698">
        <v>4.2355499999999999</v>
      </c>
      <c r="AF5698">
        <v>-3.4385279431024198</v>
      </c>
      <c r="AG5698">
        <v>-1.1128202864000001</v>
      </c>
      <c r="AH5698">
        <v>12.281222338079299</v>
      </c>
      <c r="AI5698">
        <v>94.986772277899206</v>
      </c>
      <c r="AJ5698">
        <v>105.641319309938</v>
      </c>
      <c r="AK5698">
        <v>12.801963346403401</v>
      </c>
      <c r="AL5698">
        <v>87.744080543050899</v>
      </c>
      <c r="AM5698">
        <v>102.137727540751</v>
      </c>
      <c r="AN5698">
        <v>1.0000000022434701</v>
      </c>
    </row>
    <row r="5699" spans="1:40" x14ac:dyDescent="0.25">
      <c r="A5699" t="str">
        <f>"20190312151428502"</f>
        <v>20190312151428502</v>
      </c>
      <c r="B5699" t="str">
        <f>"1552374868495745"</f>
        <v>1552374868495745</v>
      </c>
      <c r="C5699" t="s">
        <v>40</v>
      </c>
      <c r="D5699">
        <v>4.8716739999999996</v>
      </c>
      <c r="E5699">
        <v>0.4771881</v>
      </c>
      <c r="F5699" t="s">
        <v>59</v>
      </c>
      <c r="G5699">
        <v>-205.43889999999999</v>
      </c>
      <c r="H5699" s="1">
        <v>-3.368684E-6</v>
      </c>
      <c r="I5699">
        <v>-58.330440000000003</v>
      </c>
      <c r="J5699">
        <v>-217.52459999999999</v>
      </c>
      <c r="K5699">
        <v>1.1129169999999999</v>
      </c>
      <c r="L5699">
        <v>-62.594450000000002</v>
      </c>
      <c r="M5699">
        <v>0.99782630000000005</v>
      </c>
      <c r="N5699">
        <v>0</v>
      </c>
      <c r="O5699">
        <v>6.4818059999999997E-2</v>
      </c>
      <c r="P5699">
        <v>0.96141299999999996</v>
      </c>
      <c r="Q5699">
        <v>2.953971E-2</v>
      </c>
      <c r="R5699">
        <v>0.27351890000000001</v>
      </c>
      <c r="S5699">
        <v>2.8464200000000002</v>
      </c>
      <c r="T5699">
        <v>-0.25826450000000001</v>
      </c>
      <c r="U5699">
        <v>0.99258420000000003</v>
      </c>
      <c r="V5699">
        <v>-0.2109404</v>
      </c>
      <c r="W5699">
        <v>3.949884E-2</v>
      </c>
      <c r="X5699">
        <v>0.97670049999999997</v>
      </c>
      <c r="Y5699">
        <v>-0.26663189999999998</v>
      </c>
      <c r="Z5699">
        <v>6.0435580000000001E-3</v>
      </c>
      <c r="AA5699">
        <v>0.96377950000000001</v>
      </c>
      <c r="AB5699">
        <v>35</v>
      </c>
      <c r="AC5699">
        <v>12.085699999999999</v>
      </c>
      <c r="AD5699">
        <v>-1.1129203686839999</v>
      </c>
      <c r="AE5699">
        <v>4.2640099999999901</v>
      </c>
      <c r="AF5699">
        <v>-3.4456311797076502</v>
      </c>
      <c r="AG5699">
        <v>-1.1129203686839999</v>
      </c>
      <c r="AH5699">
        <v>12.2443501214735</v>
      </c>
      <c r="AI5699">
        <v>95.000318087309694</v>
      </c>
      <c r="AJ5699">
        <v>105.716909987454</v>
      </c>
      <c r="AK5699">
        <v>12.7685189380301</v>
      </c>
      <c r="AL5699">
        <v>87.736294149876699</v>
      </c>
      <c r="AM5699">
        <v>102.18712506372199</v>
      </c>
      <c r="AN5699">
        <v>0.99999993870687598</v>
      </c>
    </row>
    <row r="5700" spans="1:40" x14ac:dyDescent="0.25">
      <c r="A5700" t="str">
        <f>"20190312151428514"</f>
        <v>20190312151428514</v>
      </c>
      <c r="B5700" t="str">
        <f>"1552374868506481"</f>
        <v>1552374868506481</v>
      </c>
      <c r="C5700" t="s">
        <v>40</v>
      </c>
      <c r="D5700">
        <v>4.7424470000000003</v>
      </c>
      <c r="E5700">
        <v>0.47707860000000002</v>
      </c>
      <c r="F5700" t="s">
        <v>59</v>
      </c>
      <c r="G5700">
        <v>-205.2551</v>
      </c>
      <c r="H5700" s="1">
        <v>-3.481774E-6</v>
      </c>
      <c r="I5700">
        <v>-58.273780000000002</v>
      </c>
      <c r="J5700">
        <v>-217.34829999999999</v>
      </c>
      <c r="K5700">
        <v>1.1130100000000001</v>
      </c>
      <c r="L5700">
        <v>-62.581240000000001</v>
      </c>
      <c r="M5700">
        <v>0.99769560000000002</v>
      </c>
      <c r="N5700">
        <v>0</v>
      </c>
      <c r="O5700">
        <v>6.6797120000000001E-2</v>
      </c>
      <c r="P5700">
        <v>0.96060400000000001</v>
      </c>
      <c r="Q5700">
        <v>2.9379260000000001E-2</v>
      </c>
      <c r="R5700">
        <v>0.27636379999999999</v>
      </c>
      <c r="S5700">
        <v>2.843445</v>
      </c>
      <c r="T5700">
        <v>-0.25791849999999999</v>
      </c>
      <c r="U5700">
        <v>1.001312</v>
      </c>
      <c r="V5700">
        <v>-0.2119019</v>
      </c>
      <c r="W5700">
        <v>3.9286809999999998E-2</v>
      </c>
      <c r="X5700">
        <v>0.97650090000000001</v>
      </c>
      <c r="Y5700">
        <v>-0.26767350000000001</v>
      </c>
      <c r="Z5700">
        <v>5.9116819999999997E-3</v>
      </c>
      <c r="AA5700">
        <v>0.9634916</v>
      </c>
      <c r="AB5700">
        <v>35</v>
      </c>
      <c r="AC5700">
        <v>12.0931999999999</v>
      </c>
      <c r="AD5700">
        <v>-1.1130134817739901</v>
      </c>
      <c r="AE5700">
        <v>4.3074599999999901</v>
      </c>
      <c r="AF5700">
        <v>-3.4639516003606299</v>
      </c>
      <c r="AG5700">
        <v>-1.1130134817739901</v>
      </c>
      <c r="AH5700">
        <v>12.261761616618401</v>
      </c>
      <c r="AI5700">
        <v>94.992249139169502</v>
      </c>
      <c r="AJ5700">
        <v>105.77500302111</v>
      </c>
      <c r="AK5700">
        <v>12.7901742616365</v>
      </c>
      <c r="AL5700">
        <v>87.748452010508501</v>
      </c>
      <c r="AM5700">
        <v>102.24343114541</v>
      </c>
      <c r="AN5700">
        <v>0.99999993818219601</v>
      </c>
    </row>
    <row r="5701" spans="1:40" x14ac:dyDescent="0.25">
      <c r="A5701" t="str">
        <f>"20190312151428525"</f>
        <v>20190312151428525</v>
      </c>
      <c r="B5701" t="str">
        <f>"1552374868516242"</f>
        <v>1552374868516242</v>
      </c>
      <c r="C5701" t="s">
        <v>40</v>
      </c>
      <c r="D5701">
        <v>4.7243930000000001</v>
      </c>
      <c r="E5701">
        <v>0.4769697</v>
      </c>
      <c r="F5701" t="s">
        <v>59</v>
      </c>
      <c r="G5701">
        <v>-205.11959999999999</v>
      </c>
      <c r="H5701" s="1">
        <v>-3.5654420000000001E-6</v>
      </c>
      <c r="I5701">
        <v>-58.230510000000002</v>
      </c>
      <c r="J5701">
        <v>-217.18</v>
      </c>
      <c r="K5701">
        <v>1.113097</v>
      </c>
      <c r="L5701">
        <v>-62.568480000000001</v>
      </c>
      <c r="M5701">
        <v>0.99756610000000001</v>
      </c>
      <c r="N5701">
        <v>0</v>
      </c>
      <c r="O5701">
        <v>6.8704080000000001E-2</v>
      </c>
      <c r="P5701">
        <v>0.95985180000000003</v>
      </c>
      <c r="Q5701">
        <v>2.9497079999999998E-2</v>
      </c>
      <c r="R5701">
        <v>0.27895300000000001</v>
      </c>
      <c r="S5701">
        <v>2.8402250000000002</v>
      </c>
      <c r="T5701">
        <v>-0.25850830000000002</v>
      </c>
      <c r="U5701">
        <v>1.0104979999999999</v>
      </c>
      <c r="V5701">
        <v>-0.21267849999999999</v>
      </c>
      <c r="W5701">
        <v>3.9356380000000003E-2</v>
      </c>
      <c r="X5701">
        <v>0.97632929999999996</v>
      </c>
      <c r="Y5701">
        <v>-0.2689414</v>
      </c>
      <c r="Z5701">
        <v>5.8175859999999996E-3</v>
      </c>
      <c r="AA5701">
        <v>0.96313899999999997</v>
      </c>
      <c r="AB5701">
        <v>35</v>
      </c>
      <c r="AC5701">
        <v>12.0604</v>
      </c>
      <c r="AD5701">
        <v>-1.1131005654420001</v>
      </c>
      <c r="AE5701">
        <v>4.3379700000000101</v>
      </c>
      <c r="AF5701">
        <v>-3.47286729781041</v>
      </c>
      <c r="AG5701">
        <v>-1.1131005654420001</v>
      </c>
      <c r="AH5701">
        <v>12.237654774138001</v>
      </c>
      <c r="AI5701">
        <v>95.000746646863703</v>
      </c>
      <c r="AJ5701">
        <v>105.84316583667</v>
      </c>
      <c r="AK5701">
        <v>12.7694946849111</v>
      </c>
      <c r="AL5701">
        <v>87.744462964533199</v>
      </c>
      <c r="AM5701">
        <v>102.28903536526001</v>
      </c>
      <c r="AN5701">
        <v>0.99999998552372205</v>
      </c>
    </row>
    <row r="5702" spans="1:40" x14ac:dyDescent="0.25">
      <c r="A5702" t="str">
        <f>"20190312151428536"</f>
        <v>20190312151428536</v>
      </c>
      <c r="B5702" t="str">
        <f>"1552374868526001"</f>
        <v>1552374868526001</v>
      </c>
      <c r="C5702" t="s">
        <v>40</v>
      </c>
      <c r="D5702">
        <v>4.7491979999999998</v>
      </c>
      <c r="E5702">
        <v>0.47686269999999997</v>
      </c>
      <c r="F5702" t="s">
        <v>59</v>
      </c>
      <c r="G5702">
        <v>-204.94730000000001</v>
      </c>
      <c r="H5702" s="1">
        <v>-3.6713610000000001E-6</v>
      </c>
      <c r="I5702">
        <v>-58.176130000000001</v>
      </c>
      <c r="J5702">
        <v>-217.00790000000001</v>
      </c>
      <c r="K5702">
        <v>1.1131789999999999</v>
      </c>
      <c r="L5702">
        <v>-62.554780000000001</v>
      </c>
      <c r="M5702">
        <v>0.99742410000000004</v>
      </c>
      <c r="N5702">
        <v>0</v>
      </c>
      <c r="O5702">
        <v>7.0734759999999994E-2</v>
      </c>
      <c r="P5702">
        <v>0.9591018</v>
      </c>
      <c r="Q5702">
        <v>2.948769E-2</v>
      </c>
      <c r="R5702">
        <v>0.28152139999999998</v>
      </c>
      <c r="S5702">
        <v>2.8373409999999999</v>
      </c>
      <c r="T5702">
        <v>-0.25818180000000002</v>
      </c>
      <c r="U5702">
        <v>1.018799</v>
      </c>
      <c r="V5702">
        <v>-0.2133129</v>
      </c>
      <c r="W5702">
        <v>3.9300639999999998E-2</v>
      </c>
      <c r="X5702">
        <v>0.97619310000000004</v>
      </c>
      <c r="Y5702">
        <v>-0.26979409999999998</v>
      </c>
      <c r="Z5702">
        <v>5.6732919999999999E-3</v>
      </c>
      <c r="AA5702">
        <v>0.96290140000000002</v>
      </c>
      <c r="AB5702">
        <v>35</v>
      </c>
      <c r="AC5702">
        <v>12.0605999999999</v>
      </c>
      <c r="AD5702">
        <v>-1.113182671361</v>
      </c>
      <c r="AE5702">
        <v>4.3786500000000004</v>
      </c>
      <c r="AF5702">
        <v>-3.4882603520684698</v>
      </c>
      <c r="AG5702">
        <v>-1.113182671361</v>
      </c>
      <c r="AH5702">
        <v>12.247940243757199</v>
      </c>
      <c r="AI5702">
        <v>94.995603432259898</v>
      </c>
      <c r="AJ5702">
        <v>105.897156306479</v>
      </c>
      <c r="AK5702">
        <v>12.7835509995571</v>
      </c>
      <c r="AL5702">
        <v>87.747659026383303</v>
      </c>
      <c r="AM5702">
        <v>102.326240642342</v>
      </c>
      <c r="AN5702">
        <v>0.99999995104921302</v>
      </c>
    </row>
    <row r="5703" spans="1:40" x14ac:dyDescent="0.25">
      <c r="A5703" t="str">
        <f>"20190312151428548"</f>
        <v>20190312151428548</v>
      </c>
      <c r="B5703" t="str">
        <f>"1552374868535761"</f>
        <v>1552374868535761</v>
      </c>
      <c r="C5703" t="s">
        <v>40</v>
      </c>
      <c r="D5703">
        <v>5.1723660000000002</v>
      </c>
      <c r="E5703">
        <v>0.47676980000000002</v>
      </c>
      <c r="F5703" t="s">
        <v>59</v>
      </c>
      <c r="G5703">
        <v>-204.79409999999999</v>
      </c>
      <c r="H5703" s="1">
        <v>-3.7601210000000002E-6</v>
      </c>
      <c r="I5703">
        <v>-58.127960000000002</v>
      </c>
      <c r="J5703">
        <v>-216.82589999999999</v>
      </c>
      <c r="K5703">
        <v>1.113272</v>
      </c>
      <c r="L5703">
        <v>-62.540129999999998</v>
      </c>
      <c r="M5703">
        <v>0.99726800000000004</v>
      </c>
      <c r="N5703">
        <v>0</v>
      </c>
      <c r="O5703">
        <v>7.2901170000000001E-2</v>
      </c>
      <c r="P5703">
        <v>0.95822019999999997</v>
      </c>
      <c r="Q5703">
        <v>2.9673209999999998E-2</v>
      </c>
      <c r="R5703">
        <v>0.28448879999999999</v>
      </c>
      <c r="S5703">
        <v>2.83432</v>
      </c>
      <c r="T5703">
        <v>-0.258324</v>
      </c>
      <c r="U5703">
        <v>1.0272829999999999</v>
      </c>
      <c r="V5703">
        <v>-0.214225</v>
      </c>
      <c r="W5703">
        <v>3.9434049999999998E-2</v>
      </c>
      <c r="X5703">
        <v>0.97598799999999997</v>
      </c>
      <c r="Y5703">
        <v>-0.27058300000000002</v>
      </c>
      <c r="Z5703">
        <v>5.5247930000000001E-3</v>
      </c>
      <c r="AA5703">
        <v>0.9626808</v>
      </c>
      <c r="AB5703">
        <v>35</v>
      </c>
      <c r="AC5703">
        <v>12.0318</v>
      </c>
      <c r="AD5703">
        <v>-1.1132757601209999</v>
      </c>
      <c r="AE5703">
        <v>4.4121699999999997</v>
      </c>
      <c r="AF5703">
        <v>-3.4968445789359199</v>
      </c>
      <c r="AG5703">
        <v>-1.1132757601209999</v>
      </c>
      <c r="AH5703">
        <v>12.2291678805191</v>
      </c>
      <c r="AI5703">
        <v>95.002153064857396</v>
      </c>
      <c r="AJ5703">
        <v>105.95750891102</v>
      </c>
      <c r="AK5703">
        <v>12.7679227745639</v>
      </c>
      <c r="AL5703">
        <v>87.740009343982905</v>
      </c>
      <c r="AM5703">
        <v>102.379845792281</v>
      </c>
      <c r="AN5703">
        <v>0.999999985534201</v>
      </c>
    </row>
    <row r="5704" spans="1:40" x14ac:dyDescent="0.25">
      <c r="A5704" t="str">
        <f>"20190312151428561"</f>
        <v>20190312151428561</v>
      </c>
      <c r="B5704" t="str">
        <f>"1552374868556258"</f>
        <v>1552374868556258</v>
      </c>
      <c r="C5704" t="s">
        <v>40</v>
      </c>
      <c r="D5704">
        <v>4.7321739999999997</v>
      </c>
      <c r="E5704">
        <v>0.47658660000000003</v>
      </c>
      <c r="F5704" t="s">
        <v>59</v>
      </c>
      <c r="G5704">
        <v>-204.6001</v>
      </c>
      <c r="H5704" s="1">
        <v>-3.8733800000000003E-6</v>
      </c>
      <c r="I5704">
        <v>-58.062890000000003</v>
      </c>
      <c r="J5704">
        <v>-216.61369999999999</v>
      </c>
      <c r="K5704">
        <v>1.113375</v>
      </c>
      <c r="L5704">
        <v>-62.52234</v>
      </c>
      <c r="M5704">
        <v>0.99707420000000002</v>
      </c>
      <c r="N5704">
        <v>0</v>
      </c>
      <c r="O5704">
        <v>7.5503239999999999E-2</v>
      </c>
      <c r="P5704">
        <v>0.95717410000000003</v>
      </c>
      <c r="Q5704">
        <v>3.0140920000000002E-2</v>
      </c>
      <c r="R5704">
        <v>0.28793980000000002</v>
      </c>
      <c r="S5704">
        <v>2.830978</v>
      </c>
      <c r="T5704">
        <v>-0.25778839999999997</v>
      </c>
      <c r="U5704">
        <v>1.036743</v>
      </c>
      <c r="V5704">
        <v>-0.21521029999999999</v>
      </c>
      <c r="W5704">
        <v>3.9841889999999998E-2</v>
      </c>
      <c r="X5704">
        <v>0.97575469999999997</v>
      </c>
      <c r="Y5704">
        <v>-0.27128459999999899</v>
      </c>
      <c r="Z5704">
        <v>5.3203969999999897E-3</v>
      </c>
      <c r="AA5704">
        <v>0.96248449999999997</v>
      </c>
      <c r="AB5704">
        <v>35</v>
      </c>
      <c r="AC5704">
        <v>12.013599999999901</v>
      </c>
      <c r="AD5704">
        <v>-1.1133788733800001</v>
      </c>
      <c r="AE5704">
        <v>4.4594499999999897</v>
      </c>
      <c r="AF5704">
        <v>-3.5130692263227199</v>
      </c>
      <c r="AG5704">
        <v>-1.1133788733800001</v>
      </c>
      <c r="AH5704">
        <v>12.2237552198924</v>
      </c>
      <c r="AI5704">
        <v>95.002900501198994</v>
      </c>
      <c r="AJ5704">
        <v>106.03448638742699</v>
      </c>
      <c r="AK5704">
        <v>12.7672024962586</v>
      </c>
      <c r="AL5704">
        <v>87.716623582951499</v>
      </c>
      <c r="AM5704">
        <v>102.437898551198</v>
      </c>
      <c r="AN5704">
        <v>1.00000004199847</v>
      </c>
    </row>
    <row r="5705" spans="1:40" x14ac:dyDescent="0.25">
      <c r="A5705" t="str">
        <f>"20190312151428582"</f>
        <v>20190312151428582</v>
      </c>
      <c r="B5705" t="str">
        <f>"1552374868575777"</f>
        <v>1552374868575777</v>
      </c>
      <c r="C5705" t="s">
        <v>40</v>
      </c>
      <c r="D5705">
        <v>4.7267449999999904</v>
      </c>
      <c r="E5705">
        <v>0.47643410000000003</v>
      </c>
      <c r="F5705" t="s">
        <v>59</v>
      </c>
      <c r="G5705">
        <v>-204.3588</v>
      </c>
      <c r="H5705" s="1">
        <v>-4.0152250000000002E-6</v>
      </c>
      <c r="I5705">
        <v>-57.977649999999997</v>
      </c>
      <c r="J5705">
        <v>-216.2946</v>
      </c>
      <c r="K5705">
        <v>1.1135189999999999</v>
      </c>
      <c r="L5705">
        <v>-62.494480000000003</v>
      </c>
      <c r="M5705">
        <v>0.99676189999999998</v>
      </c>
      <c r="N5705">
        <v>0</v>
      </c>
      <c r="O5705">
        <v>7.9520709999999994E-2</v>
      </c>
      <c r="P5705">
        <v>0.95534200000000002</v>
      </c>
      <c r="Q5705">
        <v>3.0515899999999999E-2</v>
      </c>
      <c r="R5705">
        <v>0.29392249999999998</v>
      </c>
      <c r="S5705">
        <v>2.826965</v>
      </c>
      <c r="T5705">
        <v>-0.25683460000000002</v>
      </c>
      <c r="U5705">
        <v>1.04837</v>
      </c>
      <c r="V5705">
        <v>-0.21740209999999999</v>
      </c>
      <c r="W5705">
        <v>4.0122049999999999E-2</v>
      </c>
      <c r="X5705">
        <v>0.97525720000000005</v>
      </c>
      <c r="Y5705">
        <v>-0.27135150000000002</v>
      </c>
      <c r="Z5705">
        <v>4.9580020000000004E-3</v>
      </c>
      <c r="AA5705">
        <v>0.96246759999999998</v>
      </c>
      <c r="AB5705">
        <v>35</v>
      </c>
      <c r="AC5705">
        <v>11.9358</v>
      </c>
      <c r="AD5705">
        <v>-1.113523015225</v>
      </c>
      <c r="AE5705">
        <v>4.5168299999999997</v>
      </c>
      <c r="AF5705">
        <v>-3.5264654767052499</v>
      </c>
      <c r="AG5705">
        <v>-1.113523015225</v>
      </c>
      <c r="AH5705">
        <v>12.1645914090736</v>
      </c>
      <c r="AI5705">
        <v>95.024426229154102</v>
      </c>
      <c r="AJ5705">
        <v>106.16665838481801</v>
      </c>
      <c r="AK5705">
        <v>12.7142902441913</v>
      </c>
      <c r="AL5705">
        <v>87.700558722816098</v>
      </c>
      <c r="AM5705">
        <v>102.566775307577</v>
      </c>
      <c r="AN5705">
        <v>1.0000000290662201</v>
      </c>
    </row>
    <row r="5706" spans="1:40" x14ac:dyDescent="0.25">
      <c r="A5706" t="str">
        <f>"20190312151428594"</f>
        <v>20190312151428594</v>
      </c>
      <c r="B5706" t="str">
        <f>"1552374868586513"</f>
        <v>1552374868586513</v>
      </c>
      <c r="C5706" t="s">
        <v>40</v>
      </c>
      <c r="D5706">
        <v>4.7005160000000004</v>
      </c>
      <c r="E5706">
        <v>0.47636260000000002</v>
      </c>
      <c r="F5706" t="s">
        <v>59</v>
      </c>
      <c r="G5706">
        <v>-204.0145</v>
      </c>
      <c r="H5706" s="1">
        <v>-4.2190779999999998E-6</v>
      </c>
      <c r="I5706">
        <v>-57.849449999999997</v>
      </c>
      <c r="J5706">
        <v>-216.1026</v>
      </c>
      <c r="K5706">
        <v>1.113605</v>
      </c>
      <c r="L5706">
        <v>-62.476990000000001</v>
      </c>
      <c r="M5706">
        <v>0.99656020000000001</v>
      </c>
      <c r="N5706">
        <v>0</v>
      </c>
      <c r="O5706">
        <v>8.2007280000000002E-2</v>
      </c>
      <c r="P5706">
        <v>0.95428590000000002</v>
      </c>
      <c r="Q5706">
        <v>3.0278780000000002E-2</v>
      </c>
      <c r="R5706">
        <v>0.2973577</v>
      </c>
      <c r="S5706">
        <v>2.8202210000000001</v>
      </c>
      <c r="T5706">
        <v>-0.25573050000000003</v>
      </c>
      <c r="U5706">
        <v>1.0667719999999901</v>
      </c>
      <c r="V5706">
        <v>-0.21848380000000001</v>
      </c>
      <c r="W5706">
        <v>3.9831409999999998E-2</v>
      </c>
      <c r="X5706">
        <v>0.97502730000000004</v>
      </c>
      <c r="Y5706">
        <v>-0.27520460000000002</v>
      </c>
      <c r="Z5706">
        <v>4.8959160000000002E-3</v>
      </c>
      <c r="AA5706">
        <v>0.96137320000000004</v>
      </c>
      <c r="AB5706">
        <v>35</v>
      </c>
      <c r="AC5706">
        <v>12.088099999999899</v>
      </c>
      <c r="AD5706">
        <v>-1.113609219078</v>
      </c>
      <c r="AE5706">
        <v>4.6275399999999998</v>
      </c>
      <c r="AF5706">
        <v>-3.5939650956325599</v>
      </c>
      <c r="AG5706">
        <v>-1.113609219078</v>
      </c>
      <c r="AH5706">
        <v>12.335587597647599</v>
      </c>
      <c r="AI5706">
        <v>94.953588241602603</v>
      </c>
      <c r="AJ5706">
        <v>106.243446331881</v>
      </c>
      <c r="AK5706">
        <v>12.896644213929299</v>
      </c>
      <c r="AL5706">
        <v>87.717224364214601</v>
      </c>
      <c r="AM5706">
        <v>102.630183706731</v>
      </c>
      <c r="AN5706">
        <v>0.99999997391515805</v>
      </c>
    </row>
    <row r="5707" spans="1:40" x14ac:dyDescent="0.25">
      <c r="A5707" t="str">
        <f>"20190312151428605"</f>
        <v>20190312151428605</v>
      </c>
      <c r="B5707" t="str">
        <f>"1552374868596273"</f>
        <v>1552374868596273</v>
      </c>
      <c r="C5707" t="s">
        <v>40</v>
      </c>
      <c r="D5707">
        <v>4.7096470000000004</v>
      </c>
      <c r="E5707">
        <v>0.47629389999999999</v>
      </c>
      <c r="F5707" t="s">
        <v>59</v>
      </c>
      <c r="G5707">
        <v>-203.88239999999999</v>
      </c>
      <c r="H5707" s="1">
        <v>-4.296842E-6</v>
      </c>
      <c r="I5707">
        <v>-57.802280000000003</v>
      </c>
      <c r="J5707">
        <v>-215.93119999999999</v>
      </c>
      <c r="K5707">
        <v>1.113686</v>
      </c>
      <c r="L5707">
        <v>-62.461150000000004</v>
      </c>
      <c r="M5707">
        <v>0.99637339999999996</v>
      </c>
      <c r="N5707">
        <v>0</v>
      </c>
      <c r="O5707">
        <v>8.4246689999999999E-2</v>
      </c>
      <c r="P5707">
        <v>0.95330269999999995</v>
      </c>
      <c r="Q5707">
        <v>3.019844E-2</v>
      </c>
      <c r="R5707">
        <v>0.30050310000000002</v>
      </c>
      <c r="S5707">
        <v>2.8161619999999998</v>
      </c>
      <c r="T5707">
        <v>-0.25663449999999999</v>
      </c>
      <c r="U5707">
        <v>1.0773010000000001</v>
      </c>
      <c r="V5707">
        <v>-0.21951470000000001</v>
      </c>
      <c r="W5707">
        <v>3.9702300000000003E-2</v>
      </c>
      <c r="X5707">
        <v>0.97480100000000003</v>
      </c>
      <c r="Y5707">
        <v>-0.27663929999999998</v>
      </c>
      <c r="Z5707">
        <v>4.7851680000000002E-3</v>
      </c>
      <c r="AA5707">
        <v>0.96096190000000004</v>
      </c>
      <c r="AB5707">
        <v>35</v>
      </c>
      <c r="AC5707">
        <v>12.0488</v>
      </c>
      <c r="AD5707">
        <v>-1.1136902968419999</v>
      </c>
      <c r="AE5707">
        <v>4.6588699999999896</v>
      </c>
      <c r="AF5707">
        <v>-3.60040158190104</v>
      </c>
      <c r="AG5707">
        <v>-1.1136902968419999</v>
      </c>
      <c r="AH5707">
        <v>12.3070114636099</v>
      </c>
      <c r="AI5707">
        <v>94.963798425713705</v>
      </c>
      <c r="AJ5707">
        <v>106.306774268235</v>
      </c>
      <c r="AK5707">
        <v>12.8711199510245</v>
      </c>
      <c r="AL5707">
        <v>87.724627699021994</v>
      </c>
      <c r="AM5707">
        <v>102.690703471665</v>
      </c>
      <c r="AN5707">
        <v>0.99999998287118996</v>
      </c>
    </row>
    <row r="5708" spans="1:40" x14ac:dyDescent="0.25">
      <c r="A5708" t="str">
        <f>"20190312151428620"</f>
        <v>20190312151428620</v>
      </c>
      <c r="B5708" t="str">
        <f>"1552374868615793"</f>
        <v>1552374868615793</v>
      </c>
      <c r="C5708" t="s">
        <v>40</v>
      </c>
      <c r="D5708">
        <v>4.725447</v>
      </c>
      <c r="E5708">
        <v>0.47617029999999999</v>
      </c>
      <c r="F5708" t="s">
        <v>59</v>
      </c>
      <c r="G5708">
        <v>-203.73689999999999</v>
      </c>
      <c r="H5708" s="1">
        <v>-4.3830579999999997E-6</v>
      </c>
      <c r="I5708">
        <v>-57.747810000000001</v>
      </c>
      <c r="J5708">
        <v>-215.69739999999999</v>
      </c>
      <c r="K5708">
        <v>1.113791</v>
      </c>
      <c r="L5708">
        <v>-62.438510000000001</v>
      </c>
      <c r="M5708">
        <v>0.99610220000000005</v>
      </c>
      <c r="N5708">
        <v>0</v>
      </c>
      <c r="O5708">
        <v>8.7394230000000003E-2</v>
      </c>
      <c r="P5708">
        <v>0.95201499999999994</v>
      </c>
      <c r="Q5708">
        <v>2.9943210000000001E-2</v>
      </c>
      <c r="R5708">
        <v>0.30458350000000001</v>
      </c>
      <c r="S5708">
        <v>2.812424</v>
      </c>
      <c r="T5708">
        <v>-0.25685730000000001</v>
      </c>
      <c r="U5708">
        <v>1.087067</v>
      </c>
      <c r="V5708">
        <v>-0.22061700000000001</v>
      </c>
      <c r="W5708">
        <v>3.9386879999999999E-2</v>
      </c>
      <c r="X5708">
        <v>0.97456489999999996</v>
      </c>
      <c r="Y5708">
        <v>-0.276945</v>
      </c>
      <c r="Z5708">
        <v>4.5320780000000001E-3</v>
      </c>
      <c r="AA5708">
        <v>0.96087509999999998</v>
      </c>
      <c r="AB5708">
        <v>35</v>
      </c>
      <c r="AC5708">
        <v>11.9604999999999</v>
      </c>
      <c r="AD5708">
        <v>-1.1137953830580001</v>
      </c>
      <c r="AE5708">
        <v>4.6906999999999996</v>
      </c>
      <c r="AF5708">
        <v>-3.6003370019675298</v>
      </c>
      <c r="AG5708">
        <v>-1.1137953830580001</v>
      </c>
      <c r="AH5708">
        <v>12.232759844010801</v>
      </c>
      <c r="AI5708">
        <v>94.991868859998206</v>
      </c>
      <c r="AJ5708">
        <v>106.40017237588</v>
      </c>
      <c r="AK5708">
        <v>12.8001320338621</v>
      </c>
      <c r="AL5708">
        <v>87.742714042352901</v>
      </c>
      <c r="AM5708">
        <v>102.75533970029601</v>
      </c>
      <c r="AN5708">
        <v>0.99999996565857097</v>
      </c>
    </row>
    <row r="5709" spans="1:40" x14ac:dyDescent="0.25">
      <c r="A5709" t="str">
        <f>"20190312151428631"</f>
        <v>20190312151428631</v>
      </c>
      <c r="B5709" t="str">
        <f>"1552374868626529"</f>
        <v>1552374868626529</v>
      </c>
      <c r="C5709" t="s">
        <v>40</v>
      </c>
      <c r="D5709">
        <v>4.7585089999999903</v>
      </c>
      <c r="E5709">
        <v>0.47610960000000002</v>
      </c>
      <c r="F5709" t="s">
        <v>59</v>
      </c>
      <c r="G5709">
        <v>-203.56209999999999</v>
      </c>
      <c r="H5709" s="1">
        <v>-4.4865339999999998E-6</v>
      </c>
      <c r="I5709">
        <v>-57.682850000000002</v>
      </c>
      <c r="J5709">
        <v>-215.52109999999999</v>
      </c>
      <c r="K5709">
        <v>1.1138709999999901</v>
      </c>
      <c r="L5709">
        <v>-62.421019999999999</v>
      </c>
      <c r="M5709">
        <v>0.99588710000000003</v>
      </c>
      <c r="N5709">
        <v>0</v>
      </c>
      <c r="O5709">
        <v>8.9809920000000001E-2</v>
      </c>
      <c r="P5709">
        <v>0.9510111</v>
      </c>
      <c r="Q5709">
        <v>2.983591E-2</v>
      </c>
      <c r="R5709">
        <v>0.30771340000000003</v>
      </c>
      <c r="S5709">
        <v>2.8073429999999999</v>
      </c>
      <c r="T5709">
        <v>-0.25766169999999999</v>
      </c>
      <c r="U5709">
        <v>1.1001590000000001</v>
      </c>
      <c r="V5709">
        <v>-0.22146540000000001</v>
      </c>
      <c r="W5709">
        <v>3.9234400000000003E-2</v>
      </c>
      <c r="X5709">
        <v>0.97437859999999998</v>
      </c>
      <c r="Y5709">
        <v>-0.27908559999999999</v>
      </c>
      <c r="Z5709">
        <v>4.4340969999999997E-3</v>
      </c>
      <c r="AA5709">
        <v>0.960256</v>
      </c>
      <c r="AB5709">
        <v>35</v>
      </c>
      <c r="AC5709">
        <v>11.959</v>
      </c>
      <c r="AD5709">
        <v>-1.1138754865339999</v>
      </c>
      <c r="AE5709">
        <v>4.7381699999999896</v>
      </c>
      <c r="AF5709">
        <v>-3.6177792969624898</v>
      </c>
      <c r="AG5709">
        <v>-1.1138754865339999</v>
      </c>
      <c r="AH5709">
        <v>12.2444193367363</v>
      </c>
      <c r="AI5709">
        <v>94.985956060917601</v>
      </c>
      <c r="AJ5709">
        <v>106.460487987137</v>
      </c>
      <c r="AK5709">
        <v>12.8161948539679</v>
      </c>
      <c r="AL5709">
        <v>87.751457245956203</v>
      </c>
      <c r="AM5709">
        <v>102.805144932511</v>
      </c>
      <c r="AN5709">
        <v>0.99999995883923898</v>
      </c>
    </row>
    <row r="5710" spans="1:40" x14ac:dyDescent="0.25">
      <c r="A5710" t="str">
        <f>"20190312151428642"</f>
        <v>20190312151428642</v>
      </c>
      <c r="B5710" t="str">
        <f>"1552374868636290"</f>
        <v>1552374868636290</v>
      </c>
      <c r="C5710" t="s">
        <v>40</v>
      </c>
      <c r="D5710">
        <v>4.7293520000000004</v>
      </c>
      <c r="E5710">
        <v>0.4760566</v>
      </c>
      <c r="F5710" t="s">
        <v>59</v>
      </c>
      <c r="G5710">
        <v>-203.41149999999999</v>
      </c>
      <c r="H5710" s="1">
        <v>-4.575749E-6</v>
      </c>
      <c r="I5710">
        <v>-57.626579999999997</v>
      </c>
      <c r="J5710">
        <v>-215.34190000000001</v>
      </c>
      <c r="K5710">
        <v>1.1139559999999999</v>
      </c>
      <c r="L5710">
        <v>-62.402799999999999</v>
      </c>
      <c r="M5710">
        <v>0.99565919999999997</v>
      </c>
      <c r="N5710">
        <v>0</v>
      </c>
      <c r="O5710">
        <v>9.2302549999999997E-2</v>
      </c>
      <c r="P5710">
        <v>0.94998150000000003</v>
      </c>
      <c r="Q5710">
        <v>2.9587019999999999E-2</v>
      </c>
      <c r="R5710">
        <v>0.31090210000000001</v>
      </c>
      <c r="S5710">
        <v>2.8034819999999998</v>
      </c>
      <c r="T5710">
        <v>-0.25787169999999998</v>
      </c>
      <c r="U5710">
        <v>1.109955</v>
      </c>
      <c r="V5710">
        <v>-0.22230050000000001</v>
      </c>
      <c r="W5710">
        <v>3.8939950000000001E-2</v>
      </c>
      <c r="X5710">
        <v>0.97420019999999996</v>
      </c>
      <c r="Y5710">
        <v>-0.2800395</v>
      </c>
      <c r="Z5710">
        <v>4.2651920000000001E-3</v>
      </c>
      <c r="AA5710">
        <v>0.95997900000000003</v>
      </c>
      <c r="AB5710">
        <v>35</v>
      </c>
      <c r="AC5710">
        <v>11.930400000000001</v>
      </c>
      <c r="AD5710">
        <v>-1.1139605757490001</v>
      </c>
      <c r="AE5710">
        <v>4.7762199999999897</v>
      </c>
      <c r="AF5710">
        <v>-3.6272870047663801</v>
      </c>
      <c r="AG5710">
        <v>-1.1139605757490001</v>
      </c>
      <c r="AH5710">
        <v>12.2284663438474</v>
      </c>
      <c r="AI5710">
        <v>94.991235005267399</v>
      </c>
      <c r="AJ5710">
        <v>106.52175147302</v>
      </c>
      <c r="AK5710">
        <v>12.8036521470196</v>
      </c>
      <c r="AL5710">
        <v>87.768340828889194</v>
      </c>
      <c r="AM5710">
        <v>102.854105250564</v>
      </c>
      <c r="AN5710">
        <v>0.99999993084314298</v>
      </c>
    </row>
    <row r="5711" spans="1:40" x14ac:dyDescent="0.25">
      <c r="A5711" t="str">
        <f>"20190312151428652"</f>
        <v>20190312151428652</v>
      </c>
      <c r="B5711" t="str">
        <f>"1552374868646049"</f>
        <v>1552374868646049</v>
      </c>
      <c r="C5711" t="s">
        <v>40</v>
      </c>
      <c r="D5711">
        <v>4.6969900000000004</v>
      </c>
      <c r="E5711">
        <v>0.4760027</v>
      </c>
      <c r="F5711" t="s">
        <v>59</v>
      </c>
      <c r="G5711">
        <v>-203.27809999999999</v>
      </c>
      <c r="H5711" s="1">
        <v>-4.6545720000000004E-6</v>
      </c>
      <c r="I5711">
        <v>-57.5777199999999</v>
      </c>
      <c r="J5711">
        <v>-215.1831</v>
      </c>
      <c r="K5711">
        <v>1.114031</v>
      </c>
      <c r="L5711">
        <v>-62.386110000000002</v>
      </c>
      <c r="M5711">
        <v>0.99544699999999997</v>
      </c>
      <c r="N5711">
        <v>0</v>
      </c>
      <c r="O5711">
        <v>9.4560539999999998E-2</v>
      </c>
      <c r="P5711">
        <v>0.94896250000000004</v>
      </c>
      <c r="Q5711">
        <v>2.9756370000000001E-2</v>
      </c>
      <c r="R5711">
        <v>0.31398209999999999</v>
      </c>
      <c r="S5711">
        <v>2.7995610000000002</v>
      </c>
      <c r="T5711">
        <v>-0.25850840000000003</v>
      </c>
      <c r="U5711">
        <v>1.11972</v>
      </c>
      <c r="V5711">
        <v>-0.22325999999999999</v>
      </c>
      <c r="W5711">
        <v>3.9066219999999999E-2</v>
      </c>
      <c r="X5711">
        <v>0.97397579999999995</v>
      </c>
      <c r="Y5711">
        <v>-0.28121299999999999</v>
      </c>
      <c r="Z5711">
        <v>4.1330250000000002E-3</v>
      </c>
      <c r="AA5711">
        <v>0.9596365</v>
      </c>
      <c r="AB5711">
        <v>35</v>
      </c>
      <c r="AC5711">
        <v>11.904999999999999</v>
      </c>
      <c r="AD5711">
        <v>-1.114035654572</v>
      </c>
      <c r="AE5711">
        <v>4.8083900000000002</v>
      </c>
      <c r="AF5711">
        <v>-3.6336608708206901</v>
      </c>
      <c r="AG5711">
        <v>-1.114035654572</v>
      </c>
      <c r="AH5711">
        <v>12.214407429876299</v>
      </c>
      <c r="AI5711">
        <v>94.996114507328599</v>
      </c>
      <c r="AJ5711">
        <v>106.567201500023</v>
      </c>
      <c r="AK5711">
        <v>12.7920411047967</v>
      </c>
      <c r="AL5711">
        <v>87.761100798910206</v>
      </c>
      <c r="AM5711">
        <v>102.91060631863201</v>
      </c>
      <c r="AN5711">
        <v>1.00000002806536</v>
      </c>
    </row>
    <row r="5712" spans="1:40" x14ac:dyDescent="0.25">
      <c r="A5712" t="str">
        <f>"20190312151428663"</f>
        <v>20190312151428663</v>
      </c>
      <c r="B5712" t="str">
        <f>"1552374868655809"</f>
        <v>1552374868655809</v>
      </c>
      <c r="C5712" t="s">
        <v>40</v>
      </c>
      <c r="D5712">
        <v>4.7298159999999996</v>
      </c>
      <c r="E5712">
        <v>0.47594409999999998</v>
      </c>
      <c r="F5712" t="s">
        <v>59</v>
      </c>
      <c r="G5712">
        <v>-203.10980000000001</v>
      </c>
      <c r="H5712" s="1">
        <v>-4.7554119999999997E-6</v>
      </c>
      <c r="I5712">
        <v>-57.509639999999997</v>
      </c>
      <c r="J5712">
        <v>-215.0111</v>
      </c>
      <c r="K5712">
        <v>1.1141129999999999</v>
      </c>
      <c r="L5712">
        <v>-62.36786</v>
      </c>
      <c r="M5712">
        <v>0.99520980000000003</v>
      </c>
      <c r="N5712">
        <v>0</v>
      </c>
      <c r="O5712">
        <v>9.7024840000000001E-2</v>
      </c>
      <c r="P5712">
        <v>0.94785960000000002</v>
      </c>
      <c r="Q5712">
        <v>2.9538829999999999E-2</v>
      </c>
      <c r="R5712">
        <v>0.31731659999999901</v>
      </c>
      <c r="S5712">
        <v>2.7958069999999999</v>
      </c>
      <c r="T5712">
        <v>-0.25797639999999999</v>
      </c>
      <c r="U5712">
        <v>1.1292420000000001</v>
      </c>
      <c r="V5712">
        <v>-0.2242788</v>
      </c>
      <c r="W5712">
        <v>3.8801769999999999E-2</v>
      </c>
      <c r="X5712">
        <v>0.97375230000000002</v>
      </c>
      <c r="Y5712">
        <v>-0.28210269999999998</v>
      </c>
      <c r="Z5712">
        <v>3.9512840000000002E-3</v>
      </c>
      <c r="AA5712">
        <v>0.95937609999999995</v>
      </c>
      <c r="AB5712">
        <v>35</v>
      </c>
      <c r="AC5712">
        <v>11.9012999999999</v>
      </c>
      <c r="AD5712">
        <v>-1.1141177554120001</v>
      </c>
      <c r="AE5712">
        <v>4.8582199999999904</v>
      </c>
      <c r="AF5712">
        <v>-3.6530501261460699</v>
      </c>
      <c r="AG5712">
        <v>-1.1141177554120001</v>
      </c>
      <c r="AH5712">
        <v>12.2247145421626</v>
      </c>
      <c r="AI5712">
        <v>94.990473734909799</v>
      </c>
      <c r="AJ5712">
        <v>106.637459631127</v>
      </c>
      <c r="AK5712">
        <v>12.8074072018665</v>
      </c>
      <c r="AL5712">
        <v>87.776264212474402</v>
      </c>
      <c r="AM5712">
        <v>102.97040979018099</v>
      </c>
      <c r="AN5712">
        <v>1.0000000496199299</v>
      </c>
    </row>
    <row r="5713" spans="1:40" x14ac:dyDescent="0.25">
      <c r="A5713" t="str">
        <f>"20190312151428679"</f>
        <v>20190312151428679</v>
      </c>
      <c r="B5713" t="str">
        <f>"1552374868676305"</f>
        <v>1552374868676305</v>
      </c>
      <c r="C5713" t="s">
        <v>40</v>
      </c>
      <c r="D5713">
        <v>4.7199369999999998</v>
      </c>
      <c r="E5713">
        <v>0.47588629999999998</v>
      </c>
      <c r="F5713" t="s">
        <v>59</v>
      </c>
      <c r="G5713">
        <v>-203.02500000000001</v>
      </c>
      <c r="H5713" s="1">
        <v>-4.8062379999999996E-6</v>
      </c>
      <c r="I5713">
        <v>-57.475360000000002</v>
      </c>
      <c r="J5713">
        <v>-214.7859</v>
      </c>
      <c r="K5713">
        <v>1.1142160000000001</v>
      </c>
      <c r="L5713">
        <v>-62.3429</v>
      </c>
      <c r="M5713">
        <v>0.99488100000000002</v>
      </c>
      <c r="N5713">
        <v>0</v>
      </c>
      <c r="O5713">
        <v>0.1003385</v>
      </c>
      <c r="P5713">
        <v>0.94657579999999997</v>
      </c>
      <c r="Q5713">
        <v>2.9598180000000002E-2</v>
      </c>
      <c r="R5713">
        <v>0.32112000000000002</v>
      </c>
      <c r="S5713">
        <v>2.7916560000000001</v>
      </c>
      <c r="T5713">
        <v>-0.25948549999999998</v>
      </c>
      <c r="U5713">
        <v>1.1394959999999901</v>
      </c>
      <c r="V5713">
        <v>-0.22495660000000001</v>
      </c>
      <c r="W5713">
        <v>3.881035E-2</v>
      </c>
      <c r="X5713">
        <v>0.97359560000000001</v>
      </c>
      <c r="Y5713">
        <v>-0.28243059999999998</v>
      </c>
      <c r="Z5713">
        <v>3.70046E-3</v>
      </c>
      <c r="AA5713">
        <v>0.95928060000000004</v>
      </c>
      <c r="AB5713">
        <v>35</v>
      </c>
      <c r="AC5713">
        <v>11.7608999999999</v>
      </c>
      <c r="AD5713">
        <v>-1.1142208062379999</v>
      </c>
      <c r="AE5713">
        <v>4.86754</v>
      </c>
      <c r="AF5713">
        <v>-3.6349611627663601</v>
      </c>
      <c r="AG5713">
        <v>-1.1142208062379999</v>
      </c>
      <c r="AH5713">
        <v>12.097274376852299</v>
      </c>
      <c r="AI5713">
        <v>95.040961333926504</v>
      </c>
      <c r="AJ5713">
        <v>106.724351121686</v>
      </c>
      <c r="AK5713">
        <v>12.6806339750314</v>
      </c>
      <c r="AL5713">
        <v>87.775772253320696</v>
      </c>
      <c r="AM5713">
        <v>103.010299237881</v>
      </c>
      <c r="AN5713">
        <v>1.00000005374501</v>
      </c>
    </row>
    <row r="5714" spans="1:40" x14ac:dyDescent="0.25">
      <c r="A5714" t="str">
        <f>"20190312151428693"</f>
        <v>20190312151428693</v>
      </c>
      <c r="B5714" t="str">
        <f>"1552374868686065"</f>
        <v>1552374868686065</v>
      </c>
      <c r="C5714" t="s">
        <v>40</v>
      </c>
      <c r="D5714">
        <v>5.0013339999999999</v>
      </c>
      <c r="E5714">
        <v>0.47587449999999998</v>
      </c>
      <c r="F5714" t="s">
        <v>59</v>
      </c>
      <c r="G5714">
        <v>-202.8374</v>
      </c>
      <c r="H5714" s="1">
        <v>-4.9167940000000003E-6</v>
      </c>
      <c r="I5714">
        <v>-57.407780000000002</v>
      </c>
      <c r="J5714">
        <v>-214.5549</v>
      </c>
      <c r="K5714">
        <v>1.114328</v>
      </c>
      <c r="L5714">
        <v>-62.316589999999998</v>
      </c>
      <c r="M5714">
        <v>0.99452499999999999</v>
      </c>
      <c r="N5714">
        <v>0</v>
      </c>
      <c r="O5714">
        <v>0.10380399999999999</v>
      </c>
      <c r="P5714">
        <v>0.94499920000000004</v>
      </c>
      <c r="Q5714">
        <v>2.929667E-2</v>
      </c>
      <c r="R5714">
        <v>0.32575809999999999</v>
      </c>
      <c r="S5714">
        <v>2.7869419999999998</v>
      </c>
      <c r="T5714">
        <v>-0.25988689999999998</v>
      </c>
      <c r="U5714">
        <v>1.1510929999999999</v>
      </c>
      <c r="V5714">
        <v>-0.22634580000000001</v>
      </c>
      <c r="W5714">
        <v>3.8446790000000002E-2</v>
      </c>
      <c r="X5714">
        <v>0.97328789999999998</v>
      </c>
      <c r="Y5714">
        <v>-0.28307939999999998</v>
      </c>
      <c r="Z5714">
        <v>3.4330519999999998E-3</v>
      </c>
      <c r="AA5714">
        <v>0.95909040000000001</v>
      </c>
      <c r="AB5714">
        <v>35</v>
      </c>
      <c r="AC5714">
        <v>11.717499999999999</v>
      </c>
      <c r="AD5714">
        <v>-1.1143329167939999</v>
      </c>
      <c r="AE5714">
        <v>4.9088099999999999</v>
      </c>
      <c r="AF5714">
        <v>-3.6378873318970699</v>
      </c>
      <c r="AG5714">
        <v>-1.1143329167939999</v>
      </c>
      <c r="AH5714">
        <v>12.0709109631547</v>
      </c>
      <c r="AI5714">
        <v>95.051173536703402</v>
      </c>
      <c r="AJ5714">
        <v>106.77156561306801</v>
      </c>
      <c r="AK5714">
        <v>12.656336498743901</v>
      </c>
      <c r="AL5714">
        <v>87.796618050344506</v>
      </c>
      <c r="AM5714">
        <v>103.091880595991</v>
      </c>
      <c r="AN5714">
        <v>0.99999995656267604</v>
      </c>
    </row>
    <row r="5715" spans="1:40" x14ac:dyDescent="0.25">
      <c r="A5715" t="str">
        <f>"20190312151428704"</f>
        <v>20190312151428704</v>
      </c>
      <c r="B5715" t="str">
        <f>"1552374868695825"</f>
        <v>1552374868695825</v>
      </c>
      <c r="C5715" t="s">
        <v>40</v>
      </c>
      <c r="D5715">
        <v>5.018065</v>
      </c>
      <c r="E5715">
        <v>0.47585699999999997</v>
      </c>
      <c r="F5715" t="s">
        <v>59</v>
      </c>
      <c r="G5715">
        <v>-202.66739999999999</v>
      </c>
      <c r="H5715" s="1">
        <v>-5.0191680000000001E-6</v>
      </c>
      <c r="I5715">
        <v>-57.336869999999998</v>
      </c>
      <c r="J5715">
        <v>-214.37379999999999</v>
      </c>
      <c r="K5715">
        <v>1.1144149999999999</v>
      </c>
      <c r="L5715">
        <v>-62.295499999999997</v>
      </c>
      <c r="M5715">
        <v>0.9942337</v>
      </c>
      <c r="N5715">
        <v>0</v>
      </c>
      <c r="O5715">
        <v>0.10655829999999999</v>
      </c>
      <c r="P5715">
        <v>0.94387540000000003</v>
      </c>
      <c r="Q5715">
        <v>2.923589E-2</v>
      </c>
      <c r="R5715">
        <v>0.32900600000000002</v>
      </c>
      <c r="S5715">
        <v>2.7810969999999999</v>
      </c>
      <c r="T5715">
        <v>-0.26069890000000001</v>
      </c>
      <c r="U5715">
        <v>1.165009</v>
      </c>
      <c r="V5715">
        <v>-0.2270047</v>
      </c>
      <c r="W5715">
        <v>3.8343389999999998E-2</v>
      </c>
      <c r="X5715">
        <v>0.97313859999999996</v>
      </c>
      <c r="Y5715">
        <v>-0.2852209</v>
      </c>
      <c r="Z5715">
        <v>3.30029E-3</v>
      </c>
      <c r="AA5715">
        <v>0.95845619999999998</v>
      </c>
      <c r="AB5715">
        <v>35</v>
      </c>
      <c r="AC5715">
        <v>11.7064</v>
      </c>
      <c r="AD5715">
        <v>-1.114420019168</v>
      </c>
      <c r="AE5715">
        <v>4.9586299999999897</v>
      </c>
      <c r="AF5715">
        <v>-3.6548062294869101</v>
      </c>
      <c r="AG5715">
        <v>-1.114420019168</v>
      </c>
      <c r="AH5715">
        <v>12.0753748609685</v>
      </c>
      <c r="AI5715">
        <v>95.047915681210895</v>
      </c>
      <c r="AJ5715">
        <v>106.839282892363</v>
      </c>
      <c r="AK5715">
        <v>12.665473484522</v>
      </c>
      <c r="AL5715">
        <v>87.802546993897494</v>
      </c>
      <c r="AM5715">
        <v>103.1306176743</v>
      </c>
      <c r="AN5715">
        <v>1.00000004209437</v>
      </c>
    </row>
    <row r="5716" spans="1:40" x14ac:dyDescent="0.25">
      <c r="A5716" t="str">
        <f>"20190312151428717"</f>
        <v>20190312151428717</v>
      </c>
      <c r="B5716" t="str">
        <f>"1552374868706562"</f>
        <v>1552374868706562</v>
      </c>
      <c r="C5716" t="s">
        <v>40</v>
      </c>
      <c r="D5716">
        <v>4.7641070000000001</v>
      </c>
      <c r="E5716">
        <v>0.47583940000000002</v>
      </c>
      <c r="F5716" t="s">
        <v>59</v>
      </c>
      <c r="G5716">
        <v>-202.50579999999999</v>
      </c>
      <c r="H5716" s="1">
        <v>-5.1152559999999996E-6</v>
      </c>
      <c r="I5716">
        <v>-57.274839999999998</v>
      </c>
      <c r="J5716">
        <v>-214.18770000000001</v>
      </c>
      <c r="K5716">
        <v>1.114506</v>
      </c>
      <c r="L5716">
        <v>-62.2729199999999</v>
      </c>
      <c r="M5716">
        <v>0.99391689999999999</v>
      </c>
      <c r="N5716">
        <v>0</v>
      </c>
      <c r="O5716">
        <v>0.10947129999999999</v>
      </c>
      <c r="P5716">
        <v>0.94273620000000002</v>
      </c>
      <c r="Q5716">
        <v>2.9022969999999999E-2</v>
      </c>
      <c r="R5716">
        <v>0.33227459999999998</v>
      </c>
      <c r="S5716">
        <v>2.7769780000000002</v>
      </c>
      <c r="T5716">
        <v>-0.26076070000000001</v>
      </c>
      <c r="U5716">
        <v>1.174774</v>
      </c>
      <c r="V5716">
        <v>-0.22753039999999999</v>
      </c>
      <c r="W5716">
        <v>3.8088950000000003E-2</v>
      </c>
      <c r="X5716">
        <v>0.97302580000000005</v>
      </c>
      <c r="Y5716">
        <v>-0.28578979999999998</v>
      </c>
      <c r="Z5716">
        <v>3.0716179999999999E-3</v>
      </c>
      <c r="AA5716">
        <v>0.95828740000000001</v>
      </c>
      <c r="AB5716">
        <v>35</v>
      </c>
      <c r="AC5716">
        <v>11.681900000000001</v>
      </c>
      <c r="AD5716">
        <v>-1.1145111152560001</v>
      </c>
      <c r="AE5716">
        <v>4.9980799999999803</v>
      </c>
      <c r="AF5716">
        <v>-3.6609449540265202</v>
      </c>
      <c r="AG5716">
        <v>-1.1145111152560001</v>
      </c>
      <c r="AH5716">
        <v>12.066034226665799</v>
      </c>
      <c r="AI5716">
        <v>95.051177550331204</v>
      </c>
      <c r="AJ5716">
        <v>106.87827639363699</v>
      </c>
      <c r="AK5716">
        <v>12.658350403647001</v>
      </c>
      <c r="AL5716">
        <v>87.817135960741297</v>
      </c>
      <c r="AM5716">
        <v>103.161441129591</v>
      </c>
      <c r="AN5716">
        <v>1.0000000292509501</v>
      </c>
    </row>
    <row r="5717" spans="1:40" x14ac:dyDescent="0.25">
      <c r="A5717" t="str">
        <f>"20190312151428729"</f>
        <v>20190312151428729</v>
      </c>
      <c r="B5717" t="str">
        <f>"1552374868726081"</f>
        <v>1552374868726081</v>
      </c>
      <c r="C5717" t="s">
        <v>40</v>
      </c>
      <c r="D5717">
        <v>4.7473150000000004</v>
      </c>
      <c r="E5717">
        <v>0.47580509999999898</v>
      </c>
      <c r="F5717" t="s">
        <v>59</v>
      </c>
      <c r="G5717">
        <v>-202.35830000000001</v>
      </c>
      <c r="H5717" s="1">
        <v>-5.2027719999999996E-6</v>
      </c>
      <c r="I5717">
        <v>-57.21893</v>
      </c>
      <c r="J5717">
        <v>-214.0052</v>
      </c>
      <c r="K5717">
        <v>1.1145969999999901</v>
      </c>
      <c r="L5717">
        <v>-62.250459999999997</v>
      </c>
      <c r="M5717">
        <v>0.9935948</v>
      </c>
      <c r="N5717">
        <v>0</v>
      </c>
      <c r="O5717">
        <v>0.11235489999999999</v>
      </c>
      <c r="P5717">
        <v>0.94149660000000002</v>
      </c>
      <c r="Q5717">
        <v>2.8892230000000001E-2</v>
      </c>
      <c r="R5717">
        <v>0.33578160000000001</v>
      </c>
      <c r="S5717">
        <v>2.7727360000000001</v>
      </c>
      <c r="T5717">
        <v>-0.26123570000000002</v>
      </c>
      <c r="U5717">
        <v>1.184631</v>
      </c>
      <c r="V5717">
        <v>-0.22833580000000001</v>
      </c>
      <c r="W5717">
        <v>3.7912639999999997E-2</v>
      </c>
      <c r="X5717">
        <v>0.97284389999999998</v>
      </c>
      <c r="Y5717">
        <v>-0.2864254</v>
      </c>
      <c r="Z5717">
        <v>2.8528749999999999E-3</v>
      </c>
      <c r="AA5717">
        <v>0.95809829999999996</v>
      </c>
      <c r="AB5717">
        <v>35</v>
      </c>
      <c r="AC5717">
        <v>11.646899999999899</v>
      </c>
      <c r="AD5717">
        <v>-1.11460220277199</v>
      </c>
      <c r="AE5717">
        <v>5.0315299999999796</v>
      </c>
      <c r="AF5717">
        <v>-3.6627159518479901</v>
      </c>
      <c r="AG5717">
        <v>-1.11460220277199</v>
      </c>
      <c r="AH5717">
        <v>12.0455336675144</v>
      </c>
      <c r="AI5717">
        <v>95.059212474110296</v>
      </c>
      <c r="AJ5717">
        <v>106.913076073382</v>
      </c>
      <c r="AK5717">
        <v>12.6393317683163</v>
      </c>
      <c r="AL5717">
        <v>87.827244864886197</v>
      </c>
      <c r="AM5717">
        <v>103.208782114448</v>
      </c>
      <c r="AN5717">
        <v>0.99999992980030705</v>
      </c>
    </row>
    <row r="5718" spans="1:40" x14ac:dyDescent="0.25">
      <c r="A5718" t="str">
        <f>"20190312151428740"</f>
        <v>20190312151428740</v>
      </c>
      <c r="B5718" t="str">
        <f>"1552374868735841"</f>
        <v>1552374868735841</v>
      </c>
      <c r="C5718" t="s">
        <v>40</v>
      </c>
      <c r="D5718">
        <v>4.941389</v>
      </c>
      <c r="E5718">
        <v>0.47582269999999999</v>
      </c>
      <c r="F5718" t="s">
        <v>59</v>
      </c>
      <c r="G5718">
        <v>-202.20840000000001</v>
      </c>
      <c r="H5718" s="1">
        <v>-5.293025E-6</v>
      </c>
      <c r="I5718">
        <v>-57.156489999999998</v>
      </c>
      <c r="J5718">
        <v>-213.8186</v>
      </c>
      <c r="K5718">
        <v>1.1146879999999999</v>
      </c>
      <c r="L5718">
        <v>-62.226779999999998</v>
      </c>
      <c r="M5718">
        <v>0.9932491</v>
      </c>
      <c r="N5718">
        <v>0</v>
      </c>
      <c r="O5718">
        <v>0.11536979999999999</v>
      </c>
      <c r="P5718">
        <v>0.94022660000000002</v>
      </c>
      <c r="Q5718">
        <v>2.8938769999999999E-2</v>
      </c>
      <c r="R5718">
        <v>0.33931830000000002</v>
      </c>
      <c r="S5718">
        <v>2.7681429999999998</v>
      </c>
      <c r="T5718">
        <v>-0.2615442</v>
      </c>
      <c r="U5718">
        <v>1.1953129999999901</v>
      </c>
      <c r="V5718">
        <v>-0.22905020000000001</v>
      </c>
      <c r="W5718">
        <v>3.7913130000000003E-2</v>
      </c>
      <c r="X5718">
        <v>0.97267599999999999</v>
      </c>
      <c r="Y5718">
        <v>-0.2872188</v>
      </c>
      <c r="Z5718">
        <v>2.6271659999999998E-3</v>
      </c>
      <c r="AA5718">
        <v>0.95786139999999997</v>
      </c>
      <c r="AB5718">
        <v>35</v>
      </c>
      <c r="AC5718">
        <v>11.610199999999899</v>
      </c>
      <c r="AD5718">
        <v>-1.114693293025</v>
      </c>
      <c r="AE5718">
        <v>5.07029</v>
      </c>
      <c r="AF5718">
        <v>-3.6684651657925502</v>
      </c>
      <c r="AG5718">
        <v>-1.114693293025</v>
      </c>
      <c r="AH5718">
        <v>12.024576002785301</v>
      </c>
      <c r="AI5718">
        <v>95.066979846459603</v>
      </c>
      <c r="AJ5718">
        <v>106.96593212562</v>
      </c>
      <c r="AK5718">
        <v>12.621038224207499</v>
      </c>
      <c r="AL5718">
        <v>87.827216922922901</v>
      </c>
      <c r="AM5718">
        <v>103.25085973311199</v>
      </c>
      <c r="AN5718">
        <v>1.0000000002612099</v>
      </c>
    </row>
    <row r="5719" spans="1:40" x14ac:dyDescent="0.25">
      <c r="A5719" t="str">
        <f>"20190312151428752"</f>
        <v>20190312151428752</v>
      </c>
      <c r="B5719" t="str">
        <f>"1552374868745601"</f>
        <v>1552374868745601</v>
      </c>
      <c r="C5719" t="s">
        <v>40</v>
      </c>
      <c r="D5719">
        <v>4.7709020000000004</v>
      </c>
      <c r="E5719">
        <v>0.47581790000000002</v>
      </c>
      <c r="F5719" t="s">
        <v>59</v>
      </c>
      <c r="G5719">
        <v>-202.0556</v>
      </c>
      <c r="H5719" s="1">
        <v>-5.3845340000000004E-6</v>
      </c>
      <c r="I5719">
        <v>-57.094830000000002</v>
      </c>
      <c r="J5719">
        <v>-213.63820000000001</v>
      </c>
      <c r="K5719">
        <v>1.114779</v>
      </c>
      <c r="L5719">
        <v>-62.203249999999997</v>
      </c>
      <c r="M5719">
        <v>0.9928998</v>
      </c>
      <c r="N5719">
        <v>0</v>
      </c>
      <c r="O5719">
        <v>0.1183352</v>
      </c>
      <c r="P5719">
        <v>0.93890379999999996</v>
      </c>
      <c r="Q5719">
        <v>2.9010350000000001E-2</v>
      </c>
      <c r="R5719">
        <v>0.34295490000000001</v>
      </c>
      <c r="S5719">
        <v>2.7636409999999998</v>
      </c>
      <c r="T5719">
        <v>-0.26189040000000002</v>
      </c>
      <c r="U5719">
        <v>1.205719</v>
      </c>
      <c r="V5719">
        <v>-0.2299204</v>
      </c>
      <c r="W5719">
        <v>3.7937419999999999E-2</v>
      </c>
      <c r="X5719">
        <v>0.97246969999999999</v>
      </c>
      <c r="Y5719">
        <v>-0.28796709999999998</v>
      </c>
      <c r="Z5719">
        <v>2.4034210000000002E-3</v>
      </c>
      <c r="AA5719">
        <v>0.95763730000000002</v>
      </c>
      <c r="AB5719">
        <v>35</v>
      </c>
      <c r="AC5719">
        <v>11.582599999999999</v>
      </c>
      <c r="AD5719">
        <v>-1.114784384534</v>
      </c>
      <c r="AE5719">
        <v>5.10841999999999</v>
      </c>
      <c r="AF5719">
        <v>-3.6733054194989099</v>
      </c>
      <c r="AG5719">
        <v>-1.114784384534</v>
      </c>
      <c r="AH5719">
        <v>12.0125989083802</v>
      </c>
      <c r="AI5719">
        <v>95.071421114210196</v>
      </c>
      <c r="AJ5719">
        <v>107.00298948178001</v>
      </c>
      <c r="AK5719">
        <v>12.611044741120301</v>
      </c>
      <c r="AL5719">
        <v>87.825824157619607</v>
      </c>
      <c r="AM5719">
        <v>103.30213734154199</v>
      </c>
      <c r="AN5719">
        <v>0.99999997779525296</v>
      </c>
    </row>
    <row r="5720" spans="1:40" x14ac:dyDescent="0.25">
      <c r="A5720" t="str">
        <f>"20190312151428765"</f>
        <v>20190312151428765</v>
      </c>
      <c r="B5720" t="str">
        <f>"1552374868756339"</f>
        <v>1552374868756339</v>
      </c>
      <c r="C5720" t="s">
        <v>40</v>
      </c>
      <c r="D5720">
        <v>4.7616259999999997</v>
      </c>
      <c r="E5720">
        <v>0.47581689999999999</v>
      </c>
      <c r="F5720" t="s">
        <v>59</v>
      </c>
      <c r="G5720">
        <v>-201.89760000000001</v>
      </c>
      <c r="H5720" s="1">
        <v>-5.4801570000000004E-6</v>
      </c>
      <c r="I5720">
        <v>-57.026809999999998</v>
      </c>
      <c r="J5720">
        <v>-213.43889999999999</v>
      </c>
      <c r="K5720">
        <v>1.114879</v>
      </c>
      <c r="L5720">
        <v>-62.176850000000002</v>
      </c>
      <c r="M5720">
        <v>0.99249900000000002</v>
      </c>
      <c r="N5720">
        <v>0</v>
      </c>
      <c r="O5720">
        <v>0.1216496</v>
      </c>
      <c r="P5720">
        <v>0.93759899999999996</v>
      </c>
      <c r="Q5720">
        <v>2.8951729999999998E-2</v>
      </c>
      <c r="R5720">
        <v>0.34651110000000002</v>
      </c>
      <c r="S5720">
        <v>2.7589869999999999</v>
      </c>
      <c r="T5720">
        <v>-0.26196740000000002</v>
      </c>
      <c r="U5720">
        <v>1.216431</v>
      </c>
      <c r="V5720">
        <v>-0.2303675</v>
      </c>
      <c r="W5720">
        <v>3.7833550000000001E-2</v>
      </c>
      <c r="X5720">
        <v>0.97236789999999995</v>
      </c>
      <c r="Y5720">
        <v>-0.28848889999999999</v>
      </c>
      <c r="Z5720">
        <v>2.1354770000000002E-3</v>
      </c>
      <c r="AA5720">
        <v>0.95748080000000002</v>
      </c>
      <c r="AB5720">
        <v>35</v>
      </c>
      <c r="AC5720">
        <v>11.5412999999999</v>
      </c>
      <c r="AD5720">
        <v>-1.1148844801569999</v>
      </c>
      <c r="AE5720">
        <v>5.1500399999999997</v>
      </c>
      <c r="AF5720">
        <v>-3.67905752699843</v>
      </c>
      <c r="AG5720">
        <v>-1.1148844801569999</v>
      </c>
      <c r="AH5720">
        <v>11.9888213982909</v>
      </c>
      <c r="AI5720">
        <v>95.080342933466696</v>
      </c>
      <c r="AJ5720">
        <v>107.05988829318601</v>
      </c>
      <c r="AK5720">
        <v>12.590086187599301</v>
      </c>
      <c r="AL5720">
        <v>87.831779680802498</v>
      </c>
      <c r="AM5720">
        <v>103.328427839498</v>
      </c>
      <c r="AN5720">
        <v>0.99999994775612899</v>
      </c>
    </row>
    <row r="5721" spans="1:40" x14ac:dyDescent="0.25">
      <c r="A5721" t="str">
        <f>"20190312151428778"</f>
        <v>20190312151428778</v>
      </c>
      <c r="B5721" t="str">
        <f>"1552374868766098"</f>
        <v>1552374868766098</v>
      </c>
      <c r="C5721" t="s">
        <v>40</v>
      </c>
      <c r="D5721">
        <v>4.7957260000000002</v>
      </c>
      <c r="E5721">
        <v>0.47577249999999999</v>
      </c>
      <c r="F5721" t="s">
        <v>59</v>
      </c>
      <c r="G5721">
        <v>-201.72970000000001</v>
      </c>
      <c r="H5721" s="1">
        <v>-5.5805280000000001E-6</v>
      </c>
      <c r="I5721">
        <v>-56.959949999999999</v>
      </c>
      <c r="J5721">
        <v>-213.2321</v>
      </c>
      <c r="K5721">
        <v>1.1149800000000001</v>
      </c>
      <c r="L5721">
        <v>-62.14828</v>
      </c>
      <c r="M5721">
        <v>0.99205849999999995</v>
      </c>
      <c r="N5721">
        <v>0</v>
      </c>
      <c r="O5721">
        <v>0.12519050000000001</v>
      </c>
      <c r="P5721">
        <v>0.93614219999999904</v>
      </c>
      <c r="Q5721">
        <v>2.8856010000000001E-2</v>
      </c>
      <c r="R5721">
        <v>0.35043600000000003</v>
      </c>
      <c r="S5721">
        <v>2.7542420000000001</v>
      </c>
      <c r="T5721">
        <v>-0.26224180000000002</v>
      </c>
      <c r="U5721">
        <v>1.227112</v>
      </c>
      <c r="V5721">
        <v>-0.2309802</v>
      </c>
      <c r="W5721">
        <v>3.7687739999999997E-2</v>
      </c>
      <c r="X5721">
        <v>0.97222819999999999</v>
      </c>
      <c r="Y5721">
        <v>-0.28879450000000001</v>
      </c>
      <c r="Z5721">
        <v>1.838693E-3</v>
      </c>
      <c r="AA5721">
        <v>0.95738939999999995</v>
      </c>
      <c r="AB5721">
        <v>35</v>
      </c>
      <c r="AC5721">
        <v>11.5023999999999</v>
      </c>
      <c r="AD5721">
        <v>-1.11498558052799</v>
      </c>
      <c r="AE5721">
        <v>5.1883299999999997</v>
      </c>
      <c r="AF5721">
        <v>-3.6786861417958101</v>
      </c>
      <c r="AG5721">
        <v>-1.11498558052799</v>
      </c>
      <c r="AH5721">
        <v>11.9680272478238</v>
      </c>
      <c r="AI5721">
        <v>95.088869198157894</v>
      </c>
      <c r="AJ5721">
        <v>107.086179671275</v>
      </c>
      <c r="AK5721">
        <v>12.5701869826697</v>
      </c>
      <c r="AL5721">
        <v>87.840139936862499</v>
      </c>
      <c r="AM5721">
        <v>103.364458228468</v>
      </c>
      <c r="AN5721">
        <v>0.99999994570679196</v>
      </c>
    </row>
    <row r="5722" spans="1:40" x14ac:dyDescent="0.25">
      <c r="A5722" t="str">
        <f>"20190312151428794"</f>
        <v>20190312151428794</v>
      </c>
      <c r="B5722" t="str">
        <f>"1552374868785617"</f>
        <v>1552374868785617</v>
      </c>
      <c r="C5722" t="s">
        <v>40</v>
      </c>
      <c r="D5722">
        <v>4.7764810000000004</v>
      </c>
      <c r="E5722">
        <v>0.4757112</v>
      </c>
      <c r="F5722" t="s">
        <v>59</v>
      </c>
      <c r="G5722">
        <v>-201.5643</v>
      </c>
      <c r="H5722" s="1">
        <v>-5.6620000000000002E-6</v>
      </c>
      <c r="I5722">
        <v>-56.889420000000001</v>
      </c>
      <c r="J5722">
        <v>-212.989</v>
      </c>
      <c r="K5722">
        <v>1.115111</v>
      </c>
      <c r="L5722">
        <v>-62.113860000000003</v>
      </c>
      <c r="M5722">
        <v>0.99151449999999997</v>
      </c>
      <c r="N5722">
        <v>0</v>
      </c>
      <c r="O5722">
        <v>0.1294257</v>
      </c>
      <c r="P5722">
        <v>0.93433480000000002</v>
      </c>
      <c r="Q5722">
        <v>2.808478E-2</v>
      </c>
      <c r="R5722">
        <v>0.3552881</v>
      </c>
      <c r="S5722">
        <v>2.7489170000000001</v>
      </c>
      <c r="T5722">
        <v>-0.26268940000000002</v>
      </c>
      <c r="U5722">
        <v>1.2389829999999999</v>
      </c>
      <c r="V5722">
        <v>-0.23187099999999999</v>
      </c>
      <c r="W5722">
        <v>3.6852419999999997E-2</v>
      </c>
      <c r="X5722">
        <v>0.97204820000000003</v>
      </c>
      <c r="Y5722">
        <v>-0.28885110000000003</v>
      </c>
      <c r="Z5722">
        <v>1.4691229999999999E-3</v>
      </c>
      <c r="AA5722">
        <v>0.95737289999999997</v>
      </c>
      <c r="AB5722">
        <v>35</v>
      </c>
      <c r="AC5722">
        <v>11.4247</v>
      </c>
      <c r="AD5722">
        <v>-1.1151166619999999</v>
      </c>
      <c r="AE5722">
        <v>5.2244400000000004</v>
      </c>
      <c r="AF5722">
        <v>-3.67279342488643</v>
      </c>
      <c r="AG5722">
        <v>-1.1151166619999999</v>
      </c>
      <c r="AH5722">
        <v>11.9109717814632</v>
      </c>
      <c r="AI5722">
        <v>95.112316463454107</v>
      </c>
      <c r="AJ5722">
        <v>107.137345409205</v>
      </c>
      <c r="AK5722">
        <v>12.5141578018887</v>
      </c>
      <c r="AL5722">
        <v>87.888033603817703</v>
      </c>
      <c r="AM5722">
        <v>103.41653437288301</v>
      </c>
      <c r="AN5722">
        <v>0.99999998231204801</v>
      </c>
    </row>
    <row r="5723" spans="1:40" x14ac:dyDescent="0.25">
      <c r="A5723" t="str">
        <f>"20190312151428810"</f>
        <v>20190312151428810</v>
      </c>
      <c r="B5723" t="str">
        <f>"1552374868806114"</f>
        <v>1552374868806114</v>
      </c>
      <c r="C5723" t="s">
        <v>40</v>
      </c>
      <c r="D5723">
        <v>4.8308220000000004</v>
      </c>
      <c r="E5723">
        <v>0.47567179999999998</v>
      </c>
      <c r="F5723" t="s">
        <v>59</v>
      </c>
      <c r="G5723">
        <v>-201.45140000000001</v>
      </c>
      <c r="H5723" s="1">
        <v>-5.7127719999999998E-6</v>
      </c>
      <c r="I5723">
        <v>-56.838000000000001</v>
      </c>
      <c r="J5723">
        <v>-212.74860000000001</v>
      </c>
      <c r="K5723">
        <v>1.1152439999999999</v>
      </c>
      <c r="L5723">
        <v>-62.078800000000001</v>
      </c>
      <c r="M5723">
        <v>0.99094640000000001</v>
      </c>
      <c r="N5723">
        <v>0</v>
      </c>
      <c r="O5723">
        <v>0.13370470000000001</v>
      </c>
      <c r="P5723">
        <v>0.932724</v>
      </c>
      <c r="Q5723">
        <v>2.7792399999999998E-2</v>
      </c>
      <c r="R5723">
        <v>0.35951889999999997</v>
      </c>
      <c r="S5723">
        <v>2.7420040000000001</v>
      </c>
      <c r="T5723">
        <v>-0.26501540000000001</v>
      </c>
      <c r="U5723">
        <v>1.2538450000000001</v>
      </c>
      <c r="V5723">
        <v>-0.23208670000000001</v>
      </c>
      <c r="W5723">
        <v>3.6505999999999997E-2</v>
      </c>
      <c r="X5723">
        <v>0.97200980000000003</v>
      </c>
      <c r="Y5723">
        <v>-0.28992370000000001</v>
      </c>
      <c r="Z5723">
        <v>1.149143E-3</v>
      </c>
      <c r="AA5723">
        <v>0.95704909999999999</v>
      </c>
      <c r="AB5723">
        <v>35</v>
      </c>
      <c r="AC5723">
        <v>11.2972</v>
      </c>
      <c r="AD5723">
        <v>-1.115249712772</v>
      </c>
      <c r="AE5723">
        <v>5.2408000000000001</v>
      </c>
      <c r="AF5723">
        <v>-3.65383394803272</v>
      </c>
      <c r="AG5723">
        <v>-1.115249712772</v>
      </c>
      <c r="AH5723">
        <v>11.801874988036399</v>
      </c>
      <c r="AI5723">
        <v>95.158132897351393</v>
      </c>
      <c r="AJ5723">
        <v>107.20240725251701</v>
      </c>
      <c r="AK5723">
        <v>12.404778824101401</v>
      </c>
      <c r="AL5723">
        <v>87.907895384901593</v>
      </c>
      <c r="AM5723">
        <v>103.42907464953799</v>
      </c>
      <c r="AN5723">
        <v>0.99999998782446498</v>
      </c>
    </row>
    <row r="5724" spans="1:40" x14ac:dyDescent="0.25">
      <c r="A5724" t="str">
        <f>"20190312151428820"</f>
        <v>20190312151428820</v>
      </c>
      <c r="B5724" t="str">
        <f>"1552374868815874"</f>
        <v>1552374868815874</v>
      </c>
      <c r="C5724" t="s">
        <v>40</v>
      </c>
      <c r="D5724">
        <v>5.0604259999999996</v>
      </c>
      <c r="E5724">
        <v>0.47565550000000001</v>
      </c>
      <c r="F5724" t="s">
        <v>59</v>
      </c>
      <c r="G5724">
        <v>-201.2671</v>
      </c>
      <c r="H5724" s="1">
        <v>-5.7941619999999997E-6</v>
      </c>
      <c r="I5724">
        <v>-56.763280000000002</v>
      </c>
      <c r="J5724">
        <v>-212.56989999999999</v>
      </c>
      <c r="K5724">
        <v>1.1153420000000001</v>
      </c>
      <c r="L5724">
        <v>-62.051940000000002</v>
      </c>
      <c r="M5724">
        <v>0.9905022</v>
      </c>
      <c r="N5724">
        <v>0</v>
      </c>
      <c r="O5724">
        <v>0.13695489999999999</v>
      </c>
      <c r="P5724">
        <v>0.93136209999999997</v>
      </c>
      <c r="Q5724">
        <v>2.748714E-2</v>
      </c>
      <c r="R5724">
        <v>0.36305539999999997</v>
      </c>
      <c r="S5724">
        <v>2.7360530000000001</v>
      </c>
      <c r="T5724">
        <v>-0.26576519999999998</v>
      </c>
      <c r="U5724">
        <v>1.2666930000000001</v>
      </c>
      <c r="V5724">
        <v>-0.23258880000000001</v>
      </c>
      <c r="W5724">
        <v>3.6154310000000002E-2</v>
      </c>
      <c r="X5724">
        <v>0.97190299999999996</v>
      </c>
      <c r="Y5724">
        <v>-0.29128179999999998</v>
      </c>
      <c r="Z5724">
        <v>9.2383470000000003E-4</v>
      </c>
      <c r="AA5724">
        <v>0.95663679999999995</v>
      </c>
      <c r="AB5724">
        <v>35</v>
      </c>
      <c r="AC5724">
        <v>11.3027999999999</v>
      </c>
      <c r="AD5724">
        <v>-1.115347794162</v>
      </c>
      <c r="AE5724">
        <v>5.2886600000000001</v>
      </c>
      <c r="AF5724">
        <v>-3.6614801533122998</v>
      </c>
      <c r="AG5724">
        <v>-1.115347794162</v>
      </c>
      <c r="AH5724">
        <v>11.8261689885412</v>
      </c>
      <c r="AI5724">
        <v>95.148028753037494</v>
      </c>
      <c r="AJ5724">
        <v>107.202959165309</v>
      </c>
      <c r="AK5724">
        <v>12.4301532798504</v>
      </c>
      <c r="AL5724">
        <v>87.928059204384894</v>
      </c>
      <c r="AM5724">
        <v>103.458496649125</v>
      </c>
      <c r="AN5724">
        <v>1.0000000627129999</v>
      </c>
    </row>
    <row r="5725" spans="1:40" x14ac:dyDescent="0.25">
      <c r="A5725" t="str">
        <f>"20190312151428832"</f>
        <v>20190312151428832</v>
      </c>
      <c r="B5725" t="str">
        <f>"1552374868825634"</f>
        <v>1552374868825634</v>
      </c>
      <c r="C5725" t="s">
        <v>40</v>
      </c>
      <c r="D5725">
        <v>4.8118910000000001</v>
      </c>
      <c r="E5725">
        <v>0.47563450000000002</v>
      </c>
      <c r="F5725" t="s">
        <v>59</v>
      </c>
      <c r="G5725">
        <v>-201.14160000000001</v>
      </c>
      <c r="H5725" s="1">
        <v>-5.8503450000000003E-6</v>
      </c>
      <c r="I5725">
        <v>-56.707790000000003</v>
      </c>
      <c r="J5725">
        <v>-212.39529999999999</v>
      </c>
      <c r="K5725">
        <v>1.115435</v>
      </c>
      <c r="L5725">
        <v>-62.024990000000003</v>
      </c>
      <c r="M5725">
        <v>0.99004999999999999</v>
      </c>
      <c r="N5725">
        <v>0</v>
      </c>
      <c r="O5725">
        <v>0.14018559999999999</v>
      </c>
      <c r="P5725">
        <v>0.93004219999999904</v>
      </c>
      <c r="Q5725">
        <v>2.7170110000000001E-2</v>
      </c>
      <c r="R5725">
        <v>0.36644700000000002</v>
      </c>
      <c r="S5725">
        <v>2.7311100000000001</v>
      </c>
      <c r="T5725">
        <v>-0.26654260000000002</v>
      </c>
      <c r="U5725">
        <v>1.2771300000000001</v>
      </c>
      <c r="V5725">
        <v>-0.23296249999999999</v>
      </c>
      <c r="W5725">
        <v>3.5793119999999998E-2</v>
      </c>
      <c r="X5725">
        <v>0.97182679999999999</v>
      </c>
      <c r="Y5725">
        <v>-0.29183179999999997</v>
      </c>
      <c r="Z5725">
        <v>6.6119529999999896E-4</v>
      </c>
      <c r="AA5725">
        <v>0.95646940000000003</v>
      </c>
      <c r="AB5725">
        <v>35</v>
      </c>
      <c r="AC5725">
        <v>11.253699999999901</v>
      </c>
      <c r="AD5725">
        <v>-1.115440850345</v>
      </c>
      <c r="AE5725">
        <v>5.3171999999999997</v>
      </c>
      <c r="AF5725">
        <v>-3.65758638886969</v>
      </c>
      <c r="AG5725">
        <v>-1.115440850345</v>
      </c>
      <c r="AH5725">
        <v>11.7932898317013</v>
      </c>
      <c r="AI5725">
        <v>95.161958421763998</v>
      </c>
      <c r="AJ5725">
        <v>107.230822647507</v>
      </c>
      <c r="AK5725">
        <v>12.3977349357523</v>
      </c>
      <c r="AL5725">
        <v>87.948767143805895</v>
      </c>
      <c r="AM5725">
        <v>103.480350234018</v>
      </c>
      <c r="AN5725">
        <v>1.0000000015219099</v>
      </c>
    </row>
    <row r="5726" spans="1:40" x14ac:dyDescent="0.25">
      <c r="A5726" t="str">
        <f>"20190312151428843"</f>
        <v>20190312151428843</v>
      </c>
      <c r="B5726" t="str">
        <f>"1552374868836369"</f>
        <v>1552374868836369</v>
      </c>
      <c r="C5726" t="s">
        <v>40</v>
      </c>
      <c r="D5726">
        <v>4.8153509999999997</v>
      </c>
      <c r="E5726">
        <v>0.4756301</v>
      </c>
      <c r="F5726" t="s">
        <v>59</v>
      </c>
      <c r="G5726">
        <v>-201.0205</v>
      </c>
      <c r="H5726" s="1">
        <v>-5.9045230000000004E-6</v>
      </c>
      <c r="I5726">
        <v>-56.654220000000002</v>
      </c>
      <c r="J5726">
        <v>-212.2176</v>
      </c>
      <c r="K5726">
        <v>1.115524</v>
      </c>
      <c r="L5726">
        <v>-61.997190000000003</v>
      </c>
      <c r="M5726">
        <v>0.9895737</v>
      </c>
      <c r="N5726">
        <v>0</v>
      </c>
      <c r="O5726">
        <v>0.14350689999999999</v>
      </c>
      <c r="P5726">
        <v>0.92857009999999995</v>
      </c>
      <c r="Q5726">
        <v>2.7060879999999999E-2</v>
      </c>
      <c r="R5726">
        <v>0.37016949999999998</v>
      </c>
      <c r="S5726">
        <v>2.7262879999999998</v>
      </c>
      <c r="T5726">
        <v>-0.26734760000000002</v>
      </c>
      <c r="U5726">
        <v>1.2872619999999999</v>
      </c>
      <c r="V5726">
        <v>-0.233601</v>
      </c>
      <c r="W5726">
        <v>3.5634430000000002E-2</v>
      </c>
      <c r="X5726">
        <v>0.97167930000000002</v>
      </c>
      <c r="Y5726">
        <v>-0.2921899</v>
      </c>
      <c r="Z5726">
        <v>3.7968719999999999E-4</v>
      </c>
      <c r="AA5726">
        <v>0.95636030000000005</v>
      </c>
      <c r="AB5726">
        <v>35</v>
      </c>
      <c r="AC5726">
        <v>11.197100000000001</v>
      </c>
      <c r="AD5726">
        <v>-1.115529904523</v>
      </c>
      <c r="AE5726">
        <v>5.3429700000000002</v>
      </c>
      <c r="AF5726">
        <v>-3.65115861865053</v>
      </c>
      <c r="AG5726">
        <v>-1.115529904523</v>
      </c>
      <c r="AH5726">
        <v>11.752976784384501</v>
      </c>
      <c r="AI5726">
        <v>95.1792253485591</v>
      </c>
      <c r="AJ5726">
        <v>107.25783550572</v>
      </c>
      <c r="AK5726">
        <v>12.357500941562201</v>
      </c>
      <c r="AL5726">
        <v>87.957865111710703</v>
      </c>
      <c r="AM5726">
        <v>103.517919638339</v>
      </c>
      <c r="AN5726">
        <v>0.99999995092545602</v>
      </c>
    </row>
    <row r="5727" spans="1:40" x14ac:dyDescent="0.25">
      <c r="A5727" t="str">
        <f>"20190312151428854"</f>
        <v>20190312151428854</v>
      </c>
      <c r="B5727" t="str">
        <f>"1552374868846130"</f>
        <v>1552374868846130</v>
      </c>
      <c r="C5727" t="s">
        <v>40</v>
      </c>
      <c r="D5727">
        <v>4.7935480000000004</v>
      </c>
      <c r="E5727">
        <v>0.4755762</v>
      </c>
      <c r="F5727" t="s">
        <v>59</v>
      </c>
      <c r="G5727">
        <v>-200.8766</v>
      </c>
      <c r="H5727" s="1">
        <v>-5.9695329999999996E-6</v>
      </c>
      <c r="I5727">
        <v>-56.5867</v>
      </c>
      <c r="J5727">
        <v>-212.05119999999999</v>
      </c>
      <c r="K5727">
        <v>1.115612</v>
      </c>
      <c r="L5727">
        <v>-61.970179999999999</v>
      </c>
      <c r="M5727">
        <v>0.98910580000000003</v>
      </c>
      <c r="N5727">
        <v>0</v>
      </c>
      <c r="O5727">
        <v>0.1466962</v>
      </c>
      <c r="P5727">
        <v>0.92715230000000004</v>
      </c>
      <c r="Q5727">
        <v>2.6985149999999999E-2</v>
      </c>
      <c r="R5727">
        <v>0.37371169999999998</v>
      </c>
      <c r="S5727">
        <v>2.721069</v>
      </c>
      <c r="T5727">
        <v>-0.26765229999999901</v>
      </c>
      <c r="U5727">
        <v>1.298157</v>
      </c>
      <c r="V5727">
        <v>-0.2341849</v>
      </c>
      <c r="W5727">
        <v>3.551149E-2</v>
      </c>
      <c r="X5727">
        <v>0.9715433</v>
      </c>
      <c r="Y5727">
        <v>-0.29294690000000001</v>
      </c>
      <c r="Z5727">
        <v>1.2678559999999999E-4</v>
      </c>
      <c r="AA5727">
        <v>0.95612870000000005</v>
      </c>
      <c r="AB5727">
        <v>35</v>
      </c>
      <c r="AC5727">
        <v>11.1745999999999</v>
      </c>
      <c r="AD5727">
        <v>-1.115617969533</v>
      </c>
      <c r="AE5727">
        <v>5.3834799999999996</v>
      </c>
      <c r="AF5727">
        <v>-3.6562588454774998</v>
      </c>
      <c r="AG5727">
        <v>-1.115617969533</v>
      </c>
      <c r="AH5727">
        <v>11.7484462238888</v>
      </c>
      <c r="AI5727">
        <v>95.180809273478999</v>
      </c>
      <c r="AJ5727">
        <v>107.286774828589</v>
      </c>
      <c r="AK5727">
        <v>12.3547084496027</v>
      </c>
      <c r="AL5727">
        <v>87.964913633561906</v>
      </c>
      <c r="AM5727">
        <v>103.55229094486</v>
      </c>
      <c r="AN5727">
        <v>1.0000000085424601</v>
      </c>
    </row>
    <row r="5728" spans="1:40" x14ac:dyDescent="0.25">
      <c r="A5728" t="str">
        <f>"20190312151428868"</f>
        <v>20190312151428868</v>
      </c>
      <c r="B5728" t="str">
        <f>"1552374868865649"</f>
        <v>1552374868865649</v>
      </c>
      <c r="C5728" t="s">
        <v>40</v>
      </c>
      <c r="D5728">
        <v>4.7259409999999997</v>
      </c>
      <c r="E5728">
        <v>0.4392025</v>
      </c>
      <c r="F5728" t="s">
        <v>59</v>
      </c>
      <c r="G5728">
        <v>-200.76949999999999</v>
      </c>
      <c r="H5728" s="1">
        <v>-6.0184050000000002E-6</v>
      </c>
      <c r="I5728">
        <v>-56.533369999999998</v>
      </c>
      <c r="J5728">
        <v>-211.84450000000001</v>
      </c>
      <c r="K5728">
        <v>1.115723</v>
      </c>
      <c r="L5728">
        <v>-61.936190000000003</v>
      </c>
      <c r="M5728">
        <v>0.98850400000000005</v>
      </c>
      <c r="N5728">
        <v>0</v>
      </c>
      <c r="O5728">
        <v>0.15069689999999999</v>
      </c>
      <c r="P5728">
        <v>0.92538569999999998</v>
      </c>
      <c r="Q5728">
        <v>2.6593200000000001E-2</v>
      </c>
      <c r="R5728">
        <v>0.37809280000000001</v>
      </c>
      <c r="S5728">
        <v>2.715973</v>
      </c>
      <c r="T5728">
        <v>-0.26857599999999998</v>
      </c>
      <c r="U5728">
        <v>1.3088679999999999</v>
      </c>
      <c r="V5728">
        <v>-0.23485200000000001</v>
      </c>
      <c r="W5728">
        <v>3.50602E-2</v>
      </c>
      <c r="X5728">
        <v>0.97139869999999995</v>
      </c>
      <c r="Y5728">
        <v>-0.29285240000000001</v>
      </c>
      <c r="Z5728">
        <v>-2.4096109999999999E-4</v>
      </c>
      <c r="AA5728">
        <v>0.95615760000000005</v>
      </c>
      <c r="AB5728">
        <v>35</v>
      </c>
      <c r="AC5728">
        <v>11.074999999999999</v>
      </c>
      <c r="AD5728">
        <v>-1.1157290184049999</v>
      </c>
      <c r="AE5728">
        <v>5.4028200000000002</v>
      </c>
      <c r="AF5728">
        <v>-3.6421581308519002</v>
      </c>
      <c r="AG5728">
        <v>-1.1157290184049999</v>
      </c>
      <c r="AH5728">
        <v>11.6671057097284</v>
      </c>
      <c r="AI5728">
        <v>95.215830054580394</v>
      </c>
      <c r="AJ5728">
        <v>107.336966468207</v>
      </c>
      <c r="AK5728">
        <v>12.2732034422403</v>
      </c>
      <c r="AL5728">
        <v>87.9907868554006</v>
      </c>
      <c r="AM5728">
        <v>103.591414216277</v>
      </c>
      <c r="AN5728">
        <v>1.0000000569448599</v>
      </c>
    </row>
    <row r="5729" spans="1:40" x14ac:dyDescent="0.25">
      <c r="A5729" t="str">
        <f>"20190312151428883"</f>
        <v>20190312151428883</v>
      </c>
      <c r="B5729" t="str">
        <f>"1552374868876385"</f>
        <v>1552374868876385</v>
      </c>
      <c r="C5729" t="s">
        <v>40</v>
      </c>
      <c r="D5729">
        <v>4.7127980000000003</v>
      </c>
      <c r="E5729">
        <v>0.43455169999999999</v>
      </c>
      <c r="F5729" t="s">
        <v>41</v>
      </c>
      <c r="G5729">
        <v>-210.87100000000001</v>
      </c>
      <c r="H5729">
        <v>0.9758734</v>
      </c>
      <c r="I5729">
        <v>-61.340600000000002</v>
      </c>
      <c r="J5729">
        <v>-211.61179999999999</v>
      </c>
      <c r="K5729">
        <v>1.11585499999999</v>
      </c>
      <c r="L5729">
        <v>-61.896700000000003</v>
      </c>
      <c r="M5729">
        <v>0.98778940000000004</v>
      </c>
      <c r="N5729">
        <v>0</v>
      </c>
      <c r="O5729">
        <v>0.15531020000000001</v>
      </c>
      <c r="P5729">
        <v>0.92306259999999996</v>
      </c>
      <c r="Q5729">
        <v>2.6295510000000001E-2</v>
      </c>
      <c r="R5729">
        <v>0.38374999999999998</v>
      </c>
      <c r="S5729">
        <v>2.6021420000000002</v>
      </c>
      <c r="T5729">
        <v>-0.37383090000000002</v>
      </c>
      <c r="U5729">
        <v>1.592163</v>
      </c>
      <c r="V5729">
        <v>-0.23626900000000001</v>
      </c>
      <c r="W5729">
        <v>3.4681339999999998E-2</v>
      </c>
      <c r="X5729">
        <v>0.97106859999999995</v>
      </c>
      <c r="Y5729">
        <v>-0.38143589999999999</v>
      </c>
      <c r="Z5729">
        <v>4.9436559999999899E-3</v>
      </c>
      <c r="AA5729">
        <v>0.92438209999999998</v>
      </c>
      <c r="AB5729">
        <v>35</v>
      </c>
      <c r="AC5729">
        <v>0.74080000000000701</v>
      </c>
      <c r="AD5729">
        <v>-0.13998159999999901</v>
      </c>
      <c r="AE5729">
        <v>0.55610000000000004</v>
      </c>
      <c r="AF5729">
        <v>-0.42459224441667798</v>
      </c>
      <c r="AG5729">
        <v>-0.13998159999999901</v>
      </c>
      <c r="AH5729">
        <v>0.79991643250521705</v>
      </c>
      <c r="AI5729">
        <v>98.786681401899401</v>
      </c>
      <c r="AJ5729">
        <v>117.95917268375899</v>
      </c>
      <c r="AK5729">
        <v>0.91637313434497103</v>
      </c>
      <c r="AL5729">
        <v>88.012507090979696</v>
      </c>
      <c r="AM5729">
        <v>103.674823533444</v>
      </c>
      <c r="AN5729">
        <v>1.0000000308055701</v>
      </c>
    </row>
    <row r="5730" spans="1:40" x14ac:dyDescent="0.25">
      <c r="A5730" t="str">
        <f>"20190312151428894"</f>
        <v>20190312151428894</v>
      </c>
      <c r="B5730" t="str">
        <f>"1552374868886146"</f>
        <v>1552374868886146</v>
      </c>
      <c r="C5730" t="s">
        <v>40</v>
      </c>
      <c r="D5730">
        <v>4.7561619999999998</v>
      </c>
      <c r="E5730">
        <v>0.43128490000000003</v>
      </c>
      <c r="F5730" t="s">
        <v>59</v>
      </c>
      <c r="G5730">
        <v>-204.15790000000001</v>
      </c>
      <c r="H5730" s="1">
        <v>-4.3015149999999996E-6</v>
      </c>
      <c r="I5730">
        <v>-57.148139999999998</v>
      </c>
      <c r="J5730">
        <v>-211.43510000000001</v>
      </c>
      <c r="K5730">
        <v>1.1158429999999999</v>
      </c>
      <c r="L5730">
        <v>-61.865879999999997</v>
      </c>
      <c r="M5730">
        <v>0.98714820000000003</v>
      </c>
      <c r="N5730">
        <v>0</v>
      </c>
      <c r="O5730">
        <v>0.15935050000000001</v>
      </c>
      <c r="P5730">
        <v>0.92134459999999996</v>
      </c>
      <c r="Q5730">
        <v>2.6745720000000001E-2</v>
      </c>
      <c r="R5730">
        <v>0.387826</v>
      </c>
      <c r="S5730">
        <v>2.578217</v>
      </c>
      <c r="T5730">
        <v>-0.3859668</v>
      </c>
      <c r="U5730">
        <v>1.64248699999999</v>
      </c>
      <c r="V5730">
        <v>-0.23659730000000001</v>
      </c>
      <c r="W5730">
        <v>3.4899600000000003E-2</v>
      </c>
      <c r="X5730">
        <v>0.97098079999999998</v>
      </c>
      <c r="Y5730">
        <v>-0.3941962</v>
      </c>
      <c r="Z5730">
        <v>5.4628940000000003E-3</v>
      </c>
      <c r="AA5730">
        <v>0.91900999999999999</v>
      </c>
      <c r="AB5730">
        <v>35</v>
      </c>
      <c r="AC5730">
        <v>7.2771999999999899</v>
      </c>
      <c r="AD5730">
        <v>-1.1158473015149999</v>
      </c>
      <c r="AE5730">
        <v>4.7177399999999903</v>
      </c>
      <c r="AF5730">
        <v>-3.4407790175911099</v>
      </c>
      <c r="AG5730">
        <v>-1.1158473015149999</v>
      </c>
      <c r="AH5730">
        <v>7.8067930802907899</v>
      </c>
      <c r="AI5730">
        <v>97.451577649753006</v>
      </c>
      <c r="AJ5730">
        <v>113.78508675656001</v>
      </c>
      <c r="AK5730">
        <v>8.6040742469291693</v>
      </c>
      <c r="AL5730">
        <v>87.999994056288898</v>
      </c>
      <c r="AM5730">
        <v>103.694301676031</v>
      </c>
      <c r="AN5730">
        <v>0.999999989208044</v>
      </c>
    </row>
    <row r="5731" spans="1:40" x14ac:dyDescent="0.25">
      <c r="A5731" t="str">
        <f>"20190312151428907"</f>
        <v>20190312151428907</v>
      </c>
      <c r="B5731" t="str">
        <f>"1552374868895906"</f>
        <v>1552374868895906</v>
      </c>
      <c r="C5731" t="s">
        <v>40</v>
      </c>
      <c r="D5731">
        <v>4.7186649999999997</v>
      </c>
      <c r="E5731">
        <v>0.42908750000000001</v>
      </c>
      <c r="F5731" t="s">
        <v>59</v>
      </c>
      <c r="G5731">
        <v>-204.3561</v>
      </c>
      <c r="H5731" s="1">
        <v>-4.1831440000000002E-6</v>
      </c>
      <c r="I5731">
        <v>-57.226509999999998</v>
      </c>
      <c r="J5731">
        <v>-211.2473</v>
      </c>
      <c r="K5731">
        <v>1.115826</v>
      </c>
      <c r="L5731">
        <v>-61.83276</v>
      </c>
      <c r="M5731">
        <v>0.98643530000000001</v>
      </c>
      <c r="N5731">
        <v>0</v>
      </c>
      <c r="O5731">
        <v>0.16372220000000001</v>
      </c>
      <c r="P5731">
        <v>0.91943790000000003</v>
      </c>
      <c r="Q5731">
        <v>2.689884E-2</v>
      </c>
      <c r="R5731">
        <v>0.3923141</v>
      </c>
      <c r="S5731">
        <v>2.561264</v>
      </c>
      <c r="T5731">
        <v>-0.40372980000000003</v>
      </c>
      <c r="U5731">
        <v>1.6785890000000001</v>
      </c>
      <c r="V5731">
        <v>-0.2370352</v>
      </c>
      <c r="W5731">
        <v>3.4795239999999998E-2</v>
      </c>
      <c r="X5731">
        <v>0.97087780000000001</v>
      </c>
      <c r="Y5731">
        <v>-0.40178609999999998</v>
      </c>
      <c r="Z5731">
        <v>5.6680999999999997E-3</v>
      </c>
      <c r="AA5731">
        <v>0.91571599999999997</v>
      </c>
      <c r="AB5731">
        <v>35</v>
      </c>
      <c r="AC5731">
        <v>6.8911999999999898</v>
      </c>
      <c r="AD5731">
        <v>-1.1158301831440001</v>
      </c>
      <c r="AE5731">
        <v>4.6062500000000002</v>
      </c>
      <c r="AF5731">
        <v>-3.3549671230148301</v>
      </c>
      <c r="AG5731">
        <v>-1.1158301831440001</v>
      </c>
      <c r="AH5731">
        <v>7.4179719474808099</v>
      </c>
      <c r="AI5731">
        <v>97.804141135641601</v>
      </c>
      <c r="AJ5731">
        <v>114.336075158215</v>
      </c>
      <c r="AK5731">
        <v>8.2174928784719903</v>
      </c>
      <c r="AL5731">
        <v>88.005977196303903</v>
      </c>
      <c r="AM5731">
        <v>103.720090999115</v>
      </c>
      <c r="AN5731">
        <v>1.00000004864926</v>
      </c>
    </row>
    <row r="5732" spans="1:40" x14ac:dyDescent="0.25">
      <c r="A5732" t="str">
        <f>"20190312151428919"</f>
        <v>20190312151428919</v>
      </c>
      <c r="B5732" t="str">
        <f>"1552374868905666"</f>
        <v>1552374868905666</v>
      </c>
      <c r="C5732" t="s">
        <v>40</v>
      </c>
      <c r="D5732">
        <v>4.7167700000000004</v>
      </c>
      <c r="E5732">
        <v>0.42769669999999999</v>
      </c>
      <c r="F5732" t="s">
        <v>59</v>
      </c>
      <c r="G5732">
        <v>-204.38130000000001</v>
      </c>
      <c r="H5732" s="1">
        <v>-4.1698749999999996E-6</v>
      </c>
      <c r="I5732">
        <v>-57.228490000000001</v>
      </c>
      <c r="J5732">
        <v>-211.06030000000001</v>
      </c>
      <c r="K5732">
        <v>1.1159790000000001</v>
      </c>
      <c r="L5732">
        <v>-61.798609999999996</v>
      </c>
      <c r="M5732">
        <v>0.98579589999999995</v>
      </c>
      <c r="N5732">
        <v>0</v>
      </c>
      <c r="O5732">
        <v>0.16751659999999999</v>
      </c>
      <c r="P5732">
        <v>0.91766939999999997</v>
      </c>
      <c r="Q5732">
        <v>2.6486699999999998E-2</v>
      </c>
      <c r="R5732">
        <v>0.39646110000000001</v>
      </c>
      <c r="S5732">
        <v>2.5463710000000002</v>
      </c>
      <c r="T5732">
        <v>-0.41382669999999999</v>
      </c>
      <c r="U5732">
        <v>1.707581</v>
      </c>
      <c r="V5732">
        <v>-0.23768829999999999</v>
      </c>
      <c r="W5732">
        <v>3.4462600000000003E-2</v>
      </c>
      <c r="X5732">
        <v>0.97072990000000003</v>
      </c>
      <c r="Y5732">
        <v>-0.40781329999999999</v>
      </c>
      <c r="Z5732">
        <v>5.7301299999999999E-3</v>
      </c>
      <c r="AA5732">
        <v>0.91304739999999995</v>
      </c>
      <c r="AB5732">
        <v>36</v>
      </c>
      <c r="AC5732">
        <v>6.6790000000000003</v>
      </c>
      <c r="AD5732">
        <v>-1.115983169875</v>
      </c>
      <c r="AE5732">
        <v>4.5701199999999904</v>
      </c>
      <c r="AF5732">
        <v>-3.3234109068281001</v>
      </c>
      <c r="AG5732">
        <v>-1.115983169875</v>
      </c>
      <c r="AH5732">
        <v>7.2130734127857403</v>
      </c>
      <c r="AI5732">
        <v>97.998758102389104</v>
      </c>
      <c r="AJ5732">
        <v>114.737804135695</v>
      </c>
      <c r="AK5732">
        <v>8.0199068915608205</v>
      </c>
      <c r="AL5732">
        <v>88.025047343334194</v>
      </c>
      <c r="AM5732">
        <v>103.758475803678</v>
      </c>
      <c r="AN5732">
        <v>0.99999996875482899</v>
      </c>
    </row>
    <row r="5733" spans="1:40" x14ac:dyDescent="0.25">
      <c r="A5733" t="str">
        <f>"20190312151428931"</f>
        <v>20190312151428931</v>
      </c>
      <c r="B5733" t="str">
        <f>"1552374868926162"</f>
        <v>1552374868926162</v>
      </c>
      <c r="C5733" t="s">
        <v>40</v>
      </c>
      <c r="D5733">
        <v>4.7208030000000001</v>
      </c>
      <c r="E5733">
        <v>0.42648390000000003</v>
      </c>
      <c r="F5733" t="s">
        <v>59</v>
      </c>
      <c r="G5733">
        <v>-204.3287</v>
      </c>
      <c r="H5733" s="1">
        <v>-4.2019679999999997E-6</v>
      </c>
      <c r="I5733">
        <v>-57.204639999999998</v>
      </c>
      <c r="J5733">
        <v>-210.87209999999999</v>
      </c>
      <c r="K5733">
        <v>1.116163</v>
      </c>
      <c r="L5733">
        <v>-61.763669999999998</v>
      </c>
      <c r="M5733">
        <v>0.98515889999999995</v>
      </c>
      <c r="N5733">
        <v>0</v>
      </c>
      <c r="O5733">
        <v>0.17120589999999999</v>
      </c>
      <c r="P5733">
        <v>0.91603040000000002</v>
      </c>
      <c r="Q5733">
        <v>2.6237139999999999E-2</v>
      </c>
      <c r="R5733">
        <v>0.40024979999999999</v>
      </c>
      <c r="S5733">
        <v>2.534103</v>
      </c>
      <c r="T5733">
        <v>-0.42011150000000003</v>
      </c>
      <c r="U5733">
        <v>1.72940099999999</v>
      </c>
      <c r="V5733">
        <v>-0.23807719999999999</v>
      </c>
      <c r="W5733">
        <v>3.4341089999999998E-2</v>
      </c>
      <c r="X5733">
        <v>0.97063889999999997</v>
      </c>
      <c r="Y5733">
        <v>-0.41175079999999997</v>
      </c>
      <c r="Z5733">
        <v>5.5942199999999996E-3</v>
      </c>
      <c r="AA5733">
        <v>0.91127930000000001</v>
      </c>
      <c r="AB5733">
        <v>36</v>
      </c>
      <c r="AC5733">
        <v>6.5433999999999903</v>
      </c>
      <c r="AD5733">
        <v>-1.116167201968</v>
      </c>
      <c r="AE5733">
        <v>4.5590299999999901</v>
      </c>
      <c r="AF5733">
        <v>-3.3065837715807902</v>
      </c>
      <c r="AG5733">
        <v>-1.116167201968</v>
      </c>
      <c r="AH5733">
        <v>7.0885138013285003</v>
      </c>
      <c r="AI5733">
        <v>98.121254385164093</v>
      </c>
      <c r="AJ5733">
        <v>115.007671178805</v>
      </c>
      <c r="AK5733">
        <v>7.9010349558051596</v>
      </c>
      <c r="AL5733">
        <v>88.032013477410501</v>
      </c>
      <c r="AM5733">
        <v>103.781372312998</v>
      </c>
      <c r="AN5733">
        <v>0.99999996890771803</v>
      </c>
    </row>
    <row r="5734" spans="1:40" x14ac:dyDescent="0.25">
      <c r="A5734" t="str">
        <f>"20190312151428949"</f>
        <v>20190312151428949</v>
      </c>
      <c r="B5734" t="str">
        <f>"1552374868945681"</f>
        <v>1552374868945681</v>
      </c>
      <c r="C5734" t="s">
        <v>40</v>
      </c>
      <c r="D5734">
        <v>4.69564</v>
      </c>
      <c r="E5734">
        <v>0.42591190000000001</v>
      </c>
      <c r="F5734" t="s">
        <v>41</v>
      </c>
      <c r="G5734">
        <v>-210.01009999999999</v>
      </c>
      <c r="H5734">
        <v>0.9703233</v>
      </c>
      <c r="I5734">
        <v>-61.166269999999997</v>
      </c>
      <c r="J5734">
        <v>-210.58770000000001</v>
      </c>
      <c r="K5734">
        <v>1.1164750000000001</v>
      </c>
      <c r="L5734">
        <v>-61.70926</v>
      </c>
      <c r="M5734">
        <v>0.98420079999999999</v>
      </c>
      <c r="N5734">
        <v>0</v>
      </c>
      <c r="O5734">
        <v>0.1766017</v>
      </c>
      <c r="P5734">
        <v>0.91329769999999999</v>
      </c>
      <c r="Q5734">
        <v>2.5727860000000002E-2</v>
      </c>
      <c r="R5734">
        <v>0.40647929999999999</v>
      </c>
      <c r="S5734">
        <v>2.5230410000000001</v>
      </c>
      <c r="T5734">
        <v>-0.4268826</v>
      </c>
      <c r="U5734">
        <v>1.7489319999999999</v>
      </c>
      <c r="V5734">
        <v>-0.23938799999999999</v>
      </c>
      <c r="W5734">
        <v>3.4036089999999998E-2</v>
      </c>
      <c r="X5734">
        <v>0.9703273</v>
      </c>
      <c r="Y5734">
        <v>-0.41336270000000003</v>
      </c>
      <c r="Z5734">
        <v>5.0305590000000004E-3</v>
      </c>
      <c r="AA5734">
        <v>0.91055260000000005</v>
      </c>
      <c r="AB5734">
        <v>35</v>
      </c>
      <c r="AC5734">
        <v>0.57760000000001799</v>
      </c>
      <c r="AD5734">
        <v>-0.1461517</v>
      </c>
      <c r="AE5734">
        <v>0.54299000000000297</v>
      </c>
      <c r="AF5734">
        <v>-0.41822596872136802</v>
      </c>
      <c r="AG5734">
        <v>-0.1461517</v>
      </c>
      <c r="AH5734">
        <v>0.64258044887436905</v>
      </c>
      <c r="AI5734">
        <v>100.792546575982</v>
      </c>
      <c r="AJ5734">
        <v>123.058246307361</v>
      </c>
      <c r="AK5734">
        <v>0.78050170634112204</v>
      </c>
      <c r="AL5734">
        <v>88.049499109142801</v>
      </c>
      <c r="AM5734">
        <v>103.8586112879</v>
      </c>
      <c r="AN5734">
        <v>1.0000000695458799</v>
      </c>
    </row>
    <row r="5735" spans="1:40" x14ac:dyDescent="0.25">
      <c r="A5735" t="str">
        <f>"20190312151428960"</f>
        <v>20190312151428960</v>
      </c>
      <c r="B5735" t="str">
        <f>"1552374868956417"</f>
        <v>1552374868956417</v>
      </c>
      <c r="C5735" t="s">
        <v>40</v>
      </c>
      <c r="D5735">
        <v>4.6558890000000002</v>
      </c>
      <c r="E5735">
        <v>0.4258363</v>
      </c>
      <c r="F5735" t="s">
        <v>59</v>
      </c>
      <c r="G5735">
        <v>-204.09950000000001</v>
      </c>
      <c r="H5735" s="1">
        <v>-4.3350650000000003E-6</v>
      </c>
      <c r="I5735">
        <v>-57.131070000000001</v>
      </c>
      <c r="J5735">
        <v>-210.41919999999999</v>
      </c>
      <c r="K5735">
        <v>1.116636</v>
      </c>
      <c r="L5735">
        <v>-61.676029999999997</v>
      </c>
      <c r="M5735">
        <v>0.98360150000000002</v>
      </c>
      <c r="N5735">
        <v>0</v>
      </c>
      <c r="O5735">
        <v>0.17990010000000001</v>
      </c>
      <c r="P5735">
        <v>0.91173389999999999</v>
      </c>
      <c r="Q5735">
        <v>2.5872820000000001E-2</v>
      </c>
      <c r="R5735">
        <v>0.40996589999999999</v>
      </c>
      <c r="S5735">
        <v>2.5090330000000001</v>
      </c>
      <c r="T5735">
        <v>-0.43174950000000001</v>
      </c>
      <c r="U5735">
        <v>1.770416</v>
      </c>
      <c r="V5735">
        <v>-0.23986260000000001</v>
      </c>
      <c r="W5735">
        <v>3.4204779999999997E-2</v>
      </c>
      <c r="X5735">
        <v>0.97020410000000001</v>
      </c>
      <c r="Y5735">
        <v>-0.41784250000000001</v>
      </c>
      <c r="Z5735">
        <v>4.9613290000000004E-3</v>
      </c>
      <c r="AA5735">
        <v>0.90850589999999998</v>
      </c>
      <c r="AB5735">
        <v>35</v>
      </c>
      <c r="AC5735">
        <v>6.3196999999999797</v>
      </c>
      <c r="AD5735">
        <v>-1.116640335065</v>
      </c>
      <c r="AE5735">
        <v>4.5449599999999997</v>
      </c>
      <c r="AF5735">
        <v>-3.2665711268398399</v>
      </c>
      <c r="AG5735">
        <v>-1.116640335065</v>
      </c>
      <c r="AH5735">
        <v>6.8924542062692904</v>
      </c>
      <c r="AI5735">
        <v>98.328910594771799</v>
      </c>
      <c r="AJ5735">
        <v>115.357882494897</v>
      </c>
      <c r="AK5735">
        <v>7.7086508255412003</v>
      </c>
      <c r="AL5735">
        <v>88.039828146253001</v>
      </c>
      <c r="AM5735">
        <v>103.88671951194399</v>
      </c>
      <c r="AN5735">
        <v>1.0000000147552</v>
      </c>
    </row>
    <row r="5736" spans="1:40" x14ac:dyDescent="0.25">
      <c r="A5736" t="str">
        <f>"20190312151428973"</f>
        <v>20190312151428973</v>
      </c>
      <c r="B5736" t="str">
        <f>"1552374868966178"</f>
        <v>1552374868966178</v>
      </c>
      <c r="C5736" t="s">
        <v>40</v>
      </c>
      <c r="D5736">
        <v>4.6363750000000001</v>
      </c>
      <c r="E5736">
        <v>0.4256588</v>
      </c>
      <c r="F5736" t="s">
        <v>59</v>
      </c>
      <c r="G5736">
        <v>-203.93289999999999</v>
      </c>
      <c r="H5736" s="1">
        <v>-4.4358430000000001E-6</v>
      </c>
      <c r="I5736">
        <v>-57.05941</v>
      </c>
      <c r="J5736">
        <v>-210.2338</v>
      </c>
      <c r="K5736">
        <v>1.1167800000000001</v>
      </c>
      <c r="L5736">
        <v>-61.638579999999997</v>
      </c>
      <c r="M5736">
        <v>0.98290069999999996</v>
      </c>
      <c r="N5736">
        <v>0</v>
      </c>
      <c r="O5736">
        <v>0.1836854</v>
      </c>
      <c r="P5736">
        <v>0.90982510000000005</v>
      </c>
      <c r="Q5736">
        <v>2.6072950000000001E-2</v>
      </c>
      <c r="R5736">
        <v>0.41417229999999999</v>
      </c>
      <c r="S5736">
        <v>2.501938</v>
      </c>
      <c r="T5736">
        <v>-0.43071989999999999</v>
      </c>
      <c r="U5736">
        <v>1.780762</v>
      </c>
      <c r="V5736">
        <v>-0.2406288</v>
      </c>
      <c r="W5736">
        <v>3.4357289999999999E-2</v>
      </c>
      <c r="X5736">
        <v>0.97000900000000001</v>
      </c>
      <c r="Y5736">
        <v>-0.418101</v>
      </c>
      <c r="Z5736">
        <v>4.419737E-3</v>
      </c>
      <c r="AA5736">
        <v>0.90838980000000003</v>
      </c>
      <c r="AB5736">
        <v>35</v>
      </c>
      <c r="AC5736">
        <v>6.3009000000000102</v>
      </c>
      <c r="AD5736">
        <v>-1.1167844358429999</v>
      </c>
      <c r="AE5736">
        <v>4.5791700000000004</v>
      </c>
      <c r="AF5736">
        <v>-3.2764096471410902</v>
      </c>
      <c r="AG5736">
        <v>-1.1167844358429999</v>
      </c>
      <c r="AH5736">
        <v>6.8931651226911601</v>
      </c>
      <c r="AI5736">
        <v>98.324739525124897</v>
      </c>
      <c r="AJ5736">
        <v>115.422339393112</v>
      </c>
      <c r="AK5736">
        <v>7.7134812543174203</v>
      </c>
      <c r="AL5736">
        <v>88.031084900227299</v>
      </c>
      <c r="AM5736">
        <v>103.932046048331</v>
      </c>
      <c r="AN5736">
        <v>1.0000000514232901</v>
      </c>
    </row>
    <row r="5737" spans="1:40" x14ac:dyDescent="0.25">
      <c r="A5737" t="str">
        <f>"20190312151428985"</f>
        <v>20190312151428985</v>
      </c>
      <c r="B5737" t="str">
        <f>"1552374868975938"</f>
        <v>1552374868975938</v>
      </c>
      <c r="C5737" t="s">
        <v>40</v>
      </c>
      <c r="D5737">
        <v>4.6339169999999896</v>
      </c>
      <c r="E5737">
        <v>0.42552220000000002</v>
      </c>
      <c r="F5737" t="s">
        <v>41</v>
      </c>
      <c r="G5737">
        <v>-209.40219999999999</v>
      </c>
      <c r="H5737">
        <v>0.97275069999999997</v>
      </c>
      <c r="I5737">
        <v>-61.040280000000003</v>
      </c>
      <c r="J5737">
        <v>-210.04</v>
      </c>
      <c r="K5737">
        <v>1.1168960000000001</v>
      </c>
      <c r="L5737">
        <v>-61.598820000000003</v>
      </c>
      <c r="M5737">
        <v>0.98213240000000002</v>
      </c>
      <c r="N5737">
        <v>0</v>
      </c>
      <c r="O5737">
        <v>0.18774850000000001</v>
      </c>
      <c r="P5737">
        <v>0.90779719999999997</v>
      </c>
      <c r="Q5737">
        <v>2.627287E-2</v>
      </c>
      <c r="R5737">
        <v>0.41858590000000001</v>
      </c>
      <c r="S5737">
        <v>2.4930880000000002</v>
      </c>
      <c r="T5737">
        <v>-0.4317954</v>
      </c>
      <c r="U5737">
        <v>1.7939449999999999</v>
      </c>
      <c r="V5737">
        <v>-0.24134810000000001</v>
      </c>
      <c r="W5737">
        <v>3.4460230000000001E-2</v>
      </c>
      <c r="X5737">
        <v>0.96982659999999998</v>
      </c>
      <c r="Y5737">
        <v>-0.41905779999999898</v>
      </c>
      <c r="Z5737">
        <v>3.9136450000000003E-3</v>
      </c>
      <c r="AA5737">
        <v>0.90795110000000001</v>
      </c>
      <c r="AB5737">
        <v>35</v>
      </c>
      <c r="AC5737">
        <v>0.63779999999999804</v>
      </c>
      <c r="AD5737">
        <v>-0.144145299999999</v>
      </c>
      <c r="AE5737">
        <v>0.55853999999999304</v>
      </c>
      <c r="AF5737">
        <v>-0.41680100257386599</v>
      </c>
      <c r="AG5737">
        <v>-0.144145299999999</v>
      </c>
      <c r="AH5737">
        <v>0.71078258154451601</v>
      </c>
      <c r="AI5737">
        <v>99.922848967126498</v>
      </c>
      <c r="AJ5737">
        <v>120.387245521593</v>
      </c>
      <c r="AK5737">
        <v>0.83648838694016303</v>
      </c>
      <c r="AL5737">
        <v>88.025183323088399</v>
      </c>
      <c r="AM5737">
        <v>103.97458800822901</v>
      </c>
      <c r="AN5737">
        <v>1.0000000234464099</v>
      </c>
    </row>
    <row r="5738" spans="1:40" x14ac:dyDescent="0.25">
      <c r="A5738" t="str">
        <f>"20190312151428999"</f>
        <v>20190312151428999</v>
      </c>
      <c r="B5738" t="str">
        <f>"1552374868996434"</f>
        <v>1552374868996434</v>
      </c>
      <c r="C5738" t="s">
        <v>40</v>
      </c>
      <c r="D5738">
        <v>4.6015810000000004</v>
      </c>
      <c r="E5738">
        <v>0.42534260000000002</v>
      </c>
      <c r="F5738" t="s">
        <v>59</v>
      </c>
      <c r="G5738">
        <v>-203.61930000000001</v>
      </c>
      <c r="H5738" s="1">
        <v>-4.624831E-6</v>
      </c>
      <c r="I5738">
        <v>-56.927869999999999</v>
      </c>
      <c r="J5738">
        <v>-209.83090000000001</v>
      </c>
      <c r="K5738">
        <v>1.1169709999999999</v>
      </c>
      <c r="L5738">
        <v>-61.554229999999997</v>
      </c>
      <c r="M5738">
        <v>0.9812303</v>
      </c>
      <c r="N5738">
        <v>0</v>
      </c>
      <c r="O5738">
        <v>0.19240750000000001</v>
      </c>
      <c r="P5738">
        <v>0.90550129999999995</v>
      </c>
      <c r="Q5738">
        <v>2.6432689999999998E-2</v>
      </c>
      <c r="R5738">
        <v>0.4235196</v>
      </c>
      <c r="S5738">
        <v>2.483978</v>
      </c>
      <c r="T5738">
        <v>-0.43209229999999998</v>
      </c>
      <c r="U5738">
        <v>1.807037</v>
      </c>
      <c r="V5738">
        <v>-0.242037</v>
      </c>
      <c r="W5738">
        <v>3.452123E-2</v>
      </c>
      <c r="X5738">
        <v>0.96965270000000003</v>
      </c>
      <c r="Y5738">
        <v>-0.41950090000000001</v>
      </c>
      <c r="Z5738">
        <v>3.2708630000000002E-3</v>
      </c>
      <c r="AA5738">
        <v>0.90774909999999998</v>
      </c>
      <c r="AB5738">
        <v>35</v>
      </c>
      <c r="AC5738">
        <v>6.2115999999999998</v>
      </c>
      <c r="AD5738">
        <v>-1.1169756248310001</v>
      </c>
      <c r="AE5738">
        <v>4.62636</v>
      </c>
      <c r="AF5738">
        <v>-3.2764987804785402</v>
      </c>
      <c r="AG5738">
        <v>-1.1169756248310001</v>
      </c>
      <c r="AH5738">
        <v>6.8434063359595001</v>
      </c>
      <c r="AI5738">
        <v>98.374689713237004</v>
      </c>
      <c r="AJ5738">
        <v>115.58425377262699</v>
      </c>
      <c r="AK5738">
        <v>7.6691126660125803</v>
      </c>
      <c r="AL5738">
        <v>88.021686136972093</v>
      </c>
      <c r="AM5738">
        <v>104.01532128292401</v>
      </c>
      <c r="AN5738">
        <v>0.99999999165350095</v>
      </c>
    </row>
    <row r="5739" spans="1:40" x14ac:dyDescent="0.25">
      <c r="A5739" t="str">
        <f>"20190312151429014"</f>
        <v>20190312151429014</v>
      </c>
      <c r="B5739" t="str">
        <f>"1552374869006194"</f>
        <v>1552374869006194</v>
      </c>
      <c r="C5739" t="s">
        <v>40</v>
      </c>
      <c r="D5739">
        <v>4.5482889999999996</v>
      </c>
      <c r="E5739">
        <v>0.42524820000000002</v>
      </c>
      <c r="F5739" t="s">
        <v>59</v>
      </c>
      <c r="G5739">
        <v>-203.4194</v>
      </c>
      <c r="H5739" s="1">
        <v>-4.748028E-6</v>
      </c>
      <c r="I5739">
        <v>-56.831490000000002</v>
      </c>
      <c r="J5739">
        <v>-209.6146</v>
      </c>
      <c r="K5739">
        <v>1.1170329999999999</v>
      </c>
      <c r="L5739">
        <v>-61.50714</v>
      </c>
      <c r="M5739">
        <v>0.98024489999999997</v>
      </c>
      <c r="N5739">
        <v>0</v>
      </c>
      <c r="O5739">
        <v>0.19736680000000001</v>
      </c>
      <c r="P5739">
        <v>0.90296940000000003</v>
      </c>
      <c r="Q5739">
        <v>2.6163140000000001E-2</v>
      </c>
      <c r="R5739">
        <v>0.4289077</v>
      </c>
      <c r="S5739">
        <v>2.4734950000000002</v>
      </c>
      <c r="T5739">
        <v>-0.43091930000000001</v>
      </c>
      <c r="U5739">
        <v>1.8219909999999999</v>
      </c>
      <c r="V5739">
        <v>-0.2429132</v>
      </c>
      <c r="W5739">
        <v>3.4168570000000002E-2</v>
      </c>
      <c r="X5739">
        <v>0.96944609999999998</v>
      </c>
      <c r="Y5739">
        <v>-0.42035699999999998</v>
      </c>
      <c r="Z5739">
        <v>2.6065469999999999E-3</v>
      </c>
      <c r="AA5739">
        <v>0.90735509999999997</v>
      </c>
      <c r="AB5739">
        <v>35</v>
      </c>
      <c r="AC5739">
        <v>6.1951999999999998</v>
      </c>
      <c r="AD5739">
        <v>-1.117037748028</v>
      </c>
      <c r="AE5739">
        <v>4.6756499999999903</v>
      </c>
      <c r="AF5739">
        <v>-3.2926356243108699</v>
      </c>
      <c r="AG5739">
        <v>-1.117037748028</v>
      </c>
      <c r="AH5739">
        <v>6.8542437020996303</v>
      </c>
      <c r="AI5739">
        <v>98.356961571874095</v>
      </c>
      <c r="AJ5739">
        <v>115.658658065976</v>
      </c>
      <c r="AK5739">
        <v>7.68569316410517</v>
      </c>
      <c r="AL5739">
        <v>88.041904064517993</v>
      </c>
      <c r="AM5739">
        <v>104.066926278663</v>
      </c>
      <c r="AN5739">
        <v>1.0000000273576399</v>
      </c>
    </row>
    <row r="5740" spans="1:40" x14ac:dyDescent="0.25">
      <c r="A5740" t="str">
        <f>"20190312151429028"</f>
        <v>20190312151429028</v>
      </c>
      <c r="B5740" t="str">
        <f>"1552374869025713"</f>
        <v>1552374869025713</v>
      </c>
      <c r="C5740" t="s">
        <v>40</v>
      </c>
      <c r="D5740">
        <v>4.5463760000000004</v>
      </c>
      <c r="E5740">
        <v>0.42513240000000002</v>
      </c>
      <c r="F5740" t="s">
        <v>41</v>
      </c>
      <c r="G5740">
        <v>-208.80009999999999</v>
      </c>
      <c r="H5740">
        <v>0.97439299999999995</v>
      </c>
      <c r="I5740">
        <v>-60.899450000000002</v>
      </c>
      <c r="J5740">
        <v>-209.38800000000001</v>
      </c>
      <c r="K5740">
        <v>1.117081</v>
      </c>
      <c r="L5740">
        <v>-61.45673</v>
      </c>
      <c r="M5740">
        <v>0.97915209999999997</v>
      </c>
      <c r="N5740">
        <v>0</v>
      </c>
      <c r="O5740">
        <v>0.20271900000000001</v>
      </c>
      <c r="P5740">
        <v>0.89985820000000005</v>
      </c>
      <c r="Q5740">
        <v>2.572578E-2</v>
      </c>
      <c r="R5740">
        <v>0.43542310000000001</v>
      </c>
      <c r="S5740">
        <v>2.4621279999999999</v>
      </c>
      <c r="T5740">
        <v>-0.43121890000000002</v>
      </c>
      <c r="U5740">
        <v>1.837402</v>
      </c>
      <c r="V5740">
        <v>-0.24462020000000001</v>
      </c>
      <c r="W5740">
        <v>3.3651029999999998E-2</v>
      </c>
      <c r="X5740">
        <v>0.96903490000000003</v>
      </c>
      <c r="Y5740">
        <v>-0.4210972</v>
      </c>
      <c r="Z5740">
        <v>1.885276E-3</v>
      </c>
      <c r="AA5740">
        <v>0.90701359999999998</v>
      </c>
      <c r="AB5740">
        <v>35</v>
      </c>
      <c r="AC5740">
        <v>0.58790000000001896</v>
      </c>
      <c r="AD5740">
        <v>-0.14268799999999901</v>
      </c>
      <c r="AE5740">
        <v>0.55728000000000499</v>
      </c>
      <c r="AF5740">
        <v>-0.41368325751449297</v>
      </c>
      <c r="AG5740">
        <v>-0.14268799999999901</v>
      </c>
      <c r="AH5740">
        <v>0.66794724156754004</v>
      </c>
      <c r="AI5740">
        <v>100.293392623146</v>
      </c>
      <c r="AJ5740">
        <v>121.771391920973</v>
      </c>
      <c r="AK5740">
        <v>0.798528158808122</v>
      </c>
      <c r="AL5740">
        <v>88.071574001193795</v>
      </c>
      <c r="AM5740">
        <v>104.16758071689</v>
      </c>
      <c r="AN5740">
        <v>1.0000000357430501</v>
      </c>
    </row>
    <row r="5741" spans="1:40" x14ac:dyDescent="0.25">
      <c r="A5741" t="str">
        <f>"20190312151429039"</f>
        <v>20190312151429039</v>
      </c>
      <c r="B5741" t="str">
        <f>"1552374869036450"</f>
        <v>1552374869036450</v>
      </c>
      <c r="C5741" t="s">
        <v>40</v>
      </c>
      <c r="D5741">
        <v>4.5247989999999998</v>
      </c>
      <c r="E5741">
        <v>0.4251645</v>
      </c>
      <c r="F5741" t="s">
        <v>59</v>
      </c>
      <c r="G5741">
        <v>-203.13079999999999</v>
      </c>
      <c r="H5741" s="1">
        <v>-4.921485E-6</v>
      </c>
      <c r="I5741">
        <v>-56.712330000000001</v>
      </c>
      <c r="J5741">
        <v>-209.21780000000001</v>
      </c>
      <c r="K5741">
        <v>1.1171120000000001</v>
      </c>
      <c r="L5741">
        <v>-61.417720000000003</v>
      </c>
      <c r="M5741">
        <v>0.97828219999999999</v>
      </c>
      <c r="N5741">
        <v>0</v>
      </c>
      <c r="O5741">
        <v>0.20687530000000001</v>
      </c>
      <c r="P5741">
        <v>0.89766380000000001</v>
      </c>
      <c r="Q5741">
        <v>2.5548419999999999E-2</v>
      </c>
      <c r="R5741">
        <v>0.43993959999999999</v>
      </c>
      <c r="S5741">
        <v>2.4481510000000002</v>
      </c>
      <c r="T5741">
        <v>-0.43706440000000002</v>
      </c>
      <c r="U5741">
        <v>1.8562620000000001</v>
      </c>
      <c r="V5741">
        <v>-0.2453737</v>
      </c>
      <c r="W5741">
        <v>3.3438469999999998E-2</v>
      </c>
      <c r="X5741">
        <v>0.96885169999999998</v>
      </c>
      <c r="Y5741">
        <v>-0.42412559999999999</v>
      </c>
      <c r="Z5741">
        <v>1.537561E-3</v>
      </c>
      <c r="AA5741">
        <v>0.90560209999999997</v>
      </c>
      <c r="AB5741">
        <v>35</v>
      </c>
      <c r="AC5741">
        <v>6.0870000000000104</v>
      </c>
      <c r="AD5741">
        <v>-1.1171169214849901</v>
      </c>
      <c r="AE5741">
        <v>4.7053899999999897</v>
      </c>
      <c r="AF5741">
        <v>-3.2751772810503601</v>
      </c>
      <c r="AG5741">
        <v>-1.1171169214849901</v>
      </c>
      <c r="AH5741">
        <v>6.7857458833738402</v>
      </c>
      <c r="AI5741">
        <v>98.433301213202597</v>
      </c>
      <c r="AJ5741">
        <v>115.764533780406</v>
      </c>
      <c r="AK5741">
        <v>7.6171571883676901</v>
      </c>
      <c r="AL5741">
        <v>88.083759581537095</v>
      </c>
      <c r="AM5741">
        <v>104.212033951538</v>
      </c>
      <c r="AN5741">
        <v>1.00000000026026</v>
      </c>
    </row>
    <row r="5742" spans="1:40" x14ac:dyDescent="0.25">
      <c r="A5742" t="str">
        <f>"20190312151429050"</f>
        <v>20190312151429050</v>
      </c>
      <c r="B5742" t="str">
        <f>"1552374869046210"</f>
        <v>1552374869046210</v>
      </c>
      <c r="C5742" t="s">
        <v>40</v>
      </c>
      <c r="D5742">
        <v>4.514716</v>
      </c>
      <c r="E5742">
        <v>0.42519489999999999</v>
      </c>
      <c r="F5742" t="s">
        <v>59</v>
      </c>
      <c r="G5742">
        <v>-202.96709999999999</v>
      </c>
      <c r="H5742" s="1">
        <v>-5.0234379999999998E-6</v>
      </c>
      <c r="I5742">
        <v>-56.628810000000001</v>
      </c>
      <c r="J5742">
        <v>-209.05369999999999</v>
      </c>
      <c r="K5742">
        <v>1.1171</v>
      </c>
      <c r="L5742">
        <v>-61.37961</v>
      </c>
      <c r="M5742">
        <v>0.97737459999999998</v>
      </c>
      <c r="N5742">
        <v>0</v>
      </c>
      <c r="O5742">
        <v>0.21112590000000001</v>
      </c>
      <c r="P5742">
        <v>0.8953139</v>
      </c>
      <c r="Q5742">
        <v>2.5245509999999999E-2</v>
      </c>
      <c r="R5742">
        <v>0.4447198</v>
      </c>
      <c r="S5742">
        <v>2.4387210000000001</v>
      </c>
      <c r="T5742">
        <v>-0.43584679999999998</v>
      </c>
      <c r="U5742">
        <v>1.8684080000000001</v>
      </c>
      <c r="V5742">
        <v>-0.24632109999999999</v>
      </c>
      <c r="W5742">
        <v>3.3040529999999999E-2</v>
      </c>
      <c r="X5742">
        <v>0.96862490000000001</v>
      </c>
      <c r="Y5742">
        <v>-0.42476799999999998</v>
      </c>
      <c r="Z5742">
        <v>9.5600450000000005E-4</v>
      </c>
      <c r="AA5742">
        <v>0.90530169999999999</v>
      </c>
      <c r="AB5742">
        <v>35</v>
      </c>
      <c r="AC5742">
        <v>6.0865999999999998</v>
      </c>
      <c r="AD5742">
        <v>-1.117105023438</v>
      </c>
      <c r="AE5742">
        <v>4.7507999999999999</v>
      </c>
      <c r="AF5742">
        <v>-3.2896878972849</v>
      </c>
      <c r="AG5742">
        <v>-1.117105023438</v>
      </c>
      <c r="AH5742">
        <v>6.8099296086352696</v>
      </c>
      <c r="AI5742">
        <v>98.402340944784299</v>
      </c>
      <c r="AJ5742">
        <v>115.783898262031</v>
      </c>
      <c r="AK5742">
        <v>7.6449402463001999</v>
      </c>
      <c r="AL5742">
        <v>88.106572429806107</v>
      </c>
      <c r="AM5742">
        <v>104.26787544323901</v>
      </c>
      <c r="AN5742">
        <v>0.99999997891394998</v>
      </c>
    </row>
    <row r="5743" spans="1:40" x14ac:dyDescent="0.25">
      <c r="A5743" t="str">
        <f>"20190312151429061"</f>
        <v>20190312151429061</v>
      </c>
      <c r="B5743" t="str">
        <f>"1552374869055970"</f>
        <v>1552374869055970</v>
      </c>
      <c r="C5743" t="s">
        <v>40</v>
      </c>
      <c r="D5743">
        <v>4.4908359999999998</v>
      </c>
      <c r="E5743">
        <v>0.42531730000000001</v>
      </c>
      <c r="F5743" t="s">
        <v>59</v>
      </c>
      <c r="G5743">
        <v>-202.81809999999999</v>
      </c>
      <c r="H5743" s="1">
        <v>-5.1166820000000004E-6</v>
      </c>
      <c r="I5743">
        <v>-56.550660000000001</v>
      </c>
      <c r="J5743">
        <v>-208.86869999999999</v>
      </c>
      <c r="K5743">
        <v>1.1170249999999999</v>
      </c>
      <c r="L5743">
        <v>-61.335880000000003</v>
      </c>
      <c r="M5743">
        <v>0.97624940000000004</v>
      </c>
      <c r="N5743">
        <v>0</v>
      </c>
      <c r="O5743">
        <v>0.2162801</v>
      </c>
      <c r="P5743">
        <v>0.89252229999999999</v>
      </c>
      <c r="Q5743">
        <v>2.501043E-2</v>
      </c>
      <c r="R5743">
        <v>0.45030949999999997</v>
      </c>
      <c r="S5743">
        <v>2.4287719999999999</v>
      </c>
      <c r="T5743">
        <v>-0.43511529999999998</v>
      </c>
      <c r="U5743">
        <v>1.88089</v>
      </c>
      <c r="V5743">
        <v>-0.2472569</v>
      </c>
      <c r="W5743">
        <v>3.262114E-2</v>
      </c>
      <c r="X5743">
        <v>0.9684007</v>
      </c>
      <c r="Y5743">
        <v>-0.42475170000000001</v>
      </c>
      <c r="Z5743">
        <v>1.911335E-4</v>
      </c>
      <c r="AA5743">
        <v>0.9053099</v>
      </c>
      <c r="AB5743">
        <v>35</v>
      </c>
      <c r="AC5743">
        <v>6.0506000000000002</v>
      </c>
      <c r="AD5743">
        <v>-1.117030116682</v>
      </c>
      <c r="AE5743">
        <v>4.7852199999999998</v>
      </c>
      <c r="AF5743">
        <v>-3.2941418468367698</v>
      </c>
      <c r="AG5743">
        <v>-1.117030116682</v>
      </c>
      <c r="AH5743">
        <v>6.7998204243660902</v>
      </c>
      <c r="AI5743">
        <v>98.409634264019004</v>
      </c>
      <c r="AJ5743">
        <v>115.847655391926</v>
      </c>
      <c r="AK5743">
        <v>7.6378455465060302</v>
      </c>
      <c r="AL5743">
        <v>88.130614734753806</v>
      </c>
      <c r="AM5743">
        <v>104.323034218009</v>
      </c>
      <c r="AN5743">
        <v>1.00000001456649</v>
      </c>
    </row>
    <row r="5744" spans="1:40" x14ac:dyDescent="0.25">
      <c r="A5744" t="str">
        <f>"20190312151429073"</f>
        <v>20190312151429073</v>
      </c>
      <c r="B5744" t="str">
        <f>"1552374869065729"</f>
        <v>1552374869065729</v>
      </c>
      <c r="C5744" t="s">
        <v>40</v>
      </c>
      <c r="D5744">
        <v>4.5539500000000004</v>
      </c>
      <c r="E5744">
        <v>0.42538609999999999</v>
      </c>
      <c r="F5744" t="s">
        <v>59</v>
      </c>
      <c r="G5744">
        <v>-202.67779999999999</v>
      </c>
      <c r="H5744" s="1">
        <v>-5.2034029999999999E-6</v>
      </c>
      <c r="I5744">
        <v>-56.48198</v>
      </c>
      <c r="J5744">
        <v>-208.70949999999999</v>
      </c>
      <c r="K5744">
        <v>1.1170519999999999</v>
      </c>
      <c r="L5744">
        <v>-61.297359999999998</v>
      </c>
      <c r="M5744">
        <v>0.97529909999999997</v>
      </c>
      <c r="N5744">
        <v>0</v>
      </c>
      <c r="O5744">
        <v>0.22052759999999999</v>
      </c>
      <c r="P5744">
        <v>0.89028790000000002</v>
      </c>
      <c r="Q5744">
        <v>2.470439E-2</v>
      </c>
      <c r="R5744">
        <v>0.45472770000000001</v>
      </c>
      <c r="S5744">
        <v>2.4172669999999998</v>
      </c>
      <c r="T5744">
        <v>-0.43615110000000001</v>
      </c>
      <c r="U5744">
        <v>1.8952329999999999</v>
      </c>
      <c r="V5744">
        <v>-0.24783759999999999</v>
      </c>
      <c r="W5744">
        <v>3.2243210000000001E-2</v>
      </c>
      <c r="X5744">
        <v>0.96826489999999998</v>
      </c>
      <c r="Y5744">
        <v>-0.42624479999999998</v>
      </c>
      <c r="Z5744">
        <v>-3.1925919999999997E-4</v>
      </c>
      <c r="AA5744">
        <v>0.90460779999999996</v>
      </c>
      <c r="AB5744">
        <v>35</v>
      </c>
      <c r="AC5744">
        <v>6.0316999999999998</v>
      </c>
      <c r="AD5744">
        <v>-1.117057203403</v>
      </c>
      <c r="AE5744">
        <v>4.8153799999999896</v>
      </c>
      <c r="AF5744">
        <v>-3.2974742764479101</v>
      </c>
      <c r="AG5744">
        <v>-1.117057203403</v>
      </c>
      <c r="AH5744">
        <v>6.8026906663643096</v>
      </c>
      <c r="AI5744">
        <v>98.405409408723997</v>
      </c>
      <c r="AJ5744">
        <v>115.860901100677</v>
      </c>
      <c r="AK5744">
        <v>7.6418422976236799</v>
      </c>
      <c r="AL5744">
        <v>88.152279914652098</v>
      </c>
      <c r="AM5744">
        <v>104.357214318985</v>
      </c>
      <c r="AN5744">
        <v>1.00000000856843</v>
      </c>
    </row>
    <row r="5745" spans="1:40" x14ac:dyDescent="0.25">
      <c r="A5745" t="str">
        <f>"20190312151429084"</f>
        <v>20190312151429084</v>
      </c>
      <c r="B5745" t="str">
        <f>"1552374869076466"</f>
        <v>1552374869076466</v>
      </c>
      <c r="C5745" t="s">
        <v>40</v>
      </c>
      <c r="D5745">
        <v>4.4638650000000002</v>
      </c>
      <c r="E5745">
        <v>0.42559019999999997</v>
      </c>
      <c r="F5745" t="s">
        <v>59</v>
      </c>
      <c r="G5745">
        <v>-202.59059999999999</v>
      </c>
      <c r="H5745" s="1">
        <v>-5.2543039999999999E-6</v>
      </c>
      <c r="I5745">
        <v>-56.452770000000001</v>
      </c>
      <c r="J5745">
        <v>-208.54079999999999</v>
      </c>
      <c r="K5745">
        <v>1.1171230000000001</v>
      </c>
      <c r="L5745">
        <v>-61.256129999999999</v>
      </c>
      <c r="M5745">
        <v>0.97429160000000004</v>
      </c>
      <c r="N5745">
        <v>0</v>
      </c>
      <c r="O5745">
        <v>0.224935</v>
      </c>
      <c r="P5745">
        <v>0.88776809999999995</v>
      </c>
      <c r="Q5745">
        <v>2.4411269999999999E-2</v>
      </c>
      <c r="R5745">
        <v>0.45964339999999998</v>
      </c>
      <c r="S5745">
        <v>2.4080659999999998</v>
      </c>
      <c r="T5745">
        <v>-0.43961689999999998</v>
      </c>
      <c r="U5745">
        <v>1.9065859999999999</v>
      </c>
      <c r="V5745">
        <v>-0.24881349999999999</v>
      </c>
      <c r="W5745">
        <v>3.1902920000000001E-2</v>
      </c>
      <c r="X5745">
        <v>0.96802589999999999</v>
      </c>
      <c r="Y5745">
        <v>-0.42646709999999899</v>
      </c>
      <c r="Z5745">
        <v>-9.6381829999999996E-4</v>
      </c>
      <c r="AA5745">
        <v>0.90450260000000005</v>
      </c>
      <c r="AB5745">
        <v>35</v>
      </c>
      <c r="AC5745">
        <v>5.9501999999999899</v>
      </c>
      <c r="AD5745">
        <v>-1.11712825430399</v>
      </c>
      <c r="AE5745">
        <v>4.8033600000000103</v>
      </c>
      <c r="AF5745">
        <v>-3.2719060477525699</v>
      </c>
      <c r="AG5745">
        <v>-1.11712825430399</v>
      </c>
      <c r="AH5745">
        <v>6.7345016690570398</v>
      </c>
      <c r="AI5745">
        <v>98.486163373106606</v>
      </c>
      <c r="AJ5745">
        <v>115.912444139888</v>
      </c>
      <c r="AK5745">
        <v>7.57012928901589</v>
      </c>
      <c r="AL5745">
        <v>88.171787204500205</v>
      </c>
      <c r="AM5745">
        <v>104.414807868718</v>
      </c>
      <c r="AN5745">
        <v>1.0000000485787901</v>
      </c>
    </row>
    <row r="5746" spans="1:40" x14ac:dyDescent="0.25">
      <c r="A5746" t="str">
        <f>"20190312151429095"</f>
        <v>20190312151429095</v>
      </c>
      <c r="B5746" t="str">
        <f>"1552374869086226"</f>
        <v>1552374869086226</v>
      </c>
      <c r="C5746" t="s">
        <v>40</v>
      </c>
      <c r="D5746">
        <v>4.4677110000000004</v>
      </c>
      <c r="E5746">
        <v>0.42577369999999998</v>
      </c>
      <c r="F5746" t="s">
        <v>59</v>
      </c>
      <c r="G5746">
        <v>-202.4391</v>
      </c>
      <c r="H5746" s="1">
        <v>-5.3488289999999997E-6</v>
      </c>
      <c r="I5746">
        <v>-56.37453</v>
      </c>
      <c r="J5746">
        <v>-208.37970000000001</v>
      </c>
      <c r="K5746">
        <v>1.1172629999999999</v>
      </c>
      <c r="L5746">
        <v>-61.21555</v>
      </c>
      <c r="M5746">
        <v>0.97334209999999999</v>
      </c>
      <c r="N5746">
        <v>0</v>
      </c>
      <c r="O5746">
        <v>0.22900470000000001</v>
      </c>
      <c r="P5746">
        <v>0.88549509999999898</v>
      </c>
      <c r="Q5746">
        <v>2.4070390000000001E-2</v>
      </c>
      <c r="R5746">
        <v>0.46402500000000002</v>
      </c>
      <c r="S5746">
        <v>2.3980260000000002</v>
      </c>
      <c r="T5746">
        <v>-0.43904219999999999</v>
      </c>
      <c r="U5746">
        <v>1.9185179999999999</v>
      </c>
      <c r="V5746">
        <v>-0.24955620000000001</v>
      </c>
      <c r="W5746">
        <v>3.1534989999999999E-2</v>
      </c>
      <c r="X5746">
        <v>0.96784669999999895</v>
      </c>
      <c r="Y5746">
        <v>-0.42731330000000001</v>
      </c>
      <c r="Z5746">
        <v>-1.5039459999999999E-3</v>
      </c>
      <c r="AA5746">
        <v>0.90410239999999997</v>
      </c>
      <c r="AB5746">
        <v>35</v>
      </c>
      <c r="AC5746">
        <v>5.9406000000000097</v>
      </c>
      <c r="AD5746">
        <v>-1.1172683488289901</v>
      </c>
      <c r="AE5746">
        <v>4.8410199999999897</v>
      </c>
      <c r="AF5746">
        <v>-3.2820512397647601</v>
      </c>
      <c r="AG5746">
        <v>-1.1172683488289901</v>
      </c>
      <c r="AH5746">
        <v>6.7479751865648101</v>
      </c>
      <c r="AI5746">
        <v>98.468761473465904</v>
      </c>
      <c r="AJ5746">
        <v>115.937163030021</v>
      </c>
      <c r="AK5746">
        <v>7.5865221295552097</v>
      </c>
      <c r="AL5746">
        <v>88.192878553052495</v>
      </c>
      <c r="AM5746">
        <v>104.45859956290801</v>
      </c>
      <c r="AN5746">
        <v>0.99999999362681402</v>
      </c>
    </row>
    <row r="5747" spans="1:40" x14ac:dyDescent="0.25">
      <c r="A5747" t="str">
        <f>"20190312151429105"</f>
        <v>20190312151429105</v>
      </c>
      <c r="B5747" t="str">
        <f>"1552374869095985"</f>
        <v>1552374869095985</v>
      </c>
      <c r="C5747" t="s">
        <v>40</v>
      </c>
      <c r="D5747">
        <v>4.4864369999999996</v>
      </c>
      <c r="E5747">
        <v>0.42591469999999998</v>
      </c>
      <c r="F5747" t="s">
        <v>41</v>
      </c>
      <c r="G5747">
        <v>-207.6035</v>
      </c>
      <c r="H5747">
        <v>0.97466470000000005</v>
      </c>
      <c r="I5747">
        <v>-60.588940000000001</v>
      </c>
      <c r="J5747">
        <v>-208.21080000000001</v>
      </c>
      <c r="K5747">
        <v>1.117415</v>
      </c>
      <c r="L5747">
        <v>-61.172759999999997</v>
      </c>
      <c r="M5747">
        <v>0.97233449999999999</v>
      </c>
      <c r="N5747">
        <v>0</v>
      </c>
      <c r="O5747">
        <v>0.23324020000000001</v>
      </c>
      <c r="P5747">
        <v>0.88309930000000003</v>
      </c>
      <c r="Q5747">
        <v>2.3546319999999999E-2</v>
      </c>
      <c r="R5747">
        <v>0.46859519999999999</v>
      </c>
      <c r="S5747">
        <v>2.3888699999999998</v>
      </c>
      <c r="T5747">
        <v>-0.43893300000000002</v>
      </c>
      <c r="U5747">
        <v>1.9292910000000001</v>
      </c>
      <c r="V5747">
        <v>-0.25034499999999998</v>
      </c>
      <c r="W5747">
        <v>3.0981660000000001E-2</v>
      </c>
      <c r="X5747">
        <v>0.96766079999999999</v>
      </c>
      <c r="Y5747">
        <v>-0.42757669999999998</v>
      </c>
      <c r="Z5747">
        <v>-2.1172930000000001E-3</v>
      </c>
      <c r="AA5747">
        <v>0.90397660000000002</v>
      </c>
      <c r="AB5747">
        <v>35</v>
      </c>
      <c r="AC5747">
        <v>0.60730000000000905</v>
      </c>
      <c r="AD5747">
        <v>-0.1427503</v>
      </c>
      <c r="AE5747">
        <v>0.58381999999999501</v>
      </c>
      <c r="AF5747">
        <v>-0.41416403028687498</v>
      </c>
      <c r="AG5747">
        <v>-0.1427503</v>
      </c>
      <c r="AH5747">
        <v>0.70644354336733794</v>
      </c>
      <c r="AI5747">
        <v>99.888434973869096</v>
      </c>
      <c r="AJ5747">
        <v>120.38165831599601</v>
      </c>
      <c r="AK5747">
        <v>0.83124723885192997</v>
      </c>
      <c r="AL5747">
        <v>88.224597455129597</v>
      </c>
      <c r="AM5747">
        <v>104.505044794532</v>
      </c>
      <c r="AN5747">
        <v>0.99999995306899603</v>
      </c>
    </row>
    <row r="5748" spans="1:40" x14ac:dyDescent="0.25">
      <c r="A5748" t="str">
        <f>"20190312151429116"</f>
        <v>20190312151429116</v>
      </c>
      <c r="B5748" t="str">
        <f>"1552374869106722"</f>
        <v>1552374869106722</v>
      </c>
      <c r="C5748" t="s">
        <v>40</v>
      </c>
      <c r="D5748">
        <v>4.500127</v>
      </c>
      <c r="E5748">
        <v>0.42606519999999998</v>
      </c>
      <c r="F5748" t="s">
        <v>59</v>
      </c>
      <c r="G5748">
        <v>-202.15889999999999</v>
      </c>
      <c r="H5748" s="1">
        <v>-5.522213E-6</v>
      </c>
      <c r="I5748">
        <v>-56.236490000000003</v>
      </c>
      <c r="J5748">
        <v>-208.0393</v>
      </c>
      <c r="K5748">
        <v>1.11757</v>
      </c>
      <c r="L5748">
        <v>-61.127749999999999</v>
      </c>
      <c r="M5748">
        <v>0.97129089999999996</v>
      </c>
      <c r="N5748">
        <v>0</v>
      </c>
      <c r="O5748">
        <v>0.2375467</v>
      </c>
      <c r="P5748">
        <v>0.88069030000000004</v>
      </c>
      <c r="Q5748">
        <v>2.3375779999999999E-2</v>
      </c>
      <c r="R5748">
        <v>0.47311530000000002</v>
      </c>
      <c r="S5748">
        <v>2.3791199999999999</v>
      </c>
      <c r="T5748">
        <v>-0.43928149999999999</v>
      </c>
      <c r="U5748">
        <v>1.9405520000000001</v>
      </c>
      <c r="V5748">
        <v>-0.25102619999999998</v>
      </c>
      <c r="W5748">
        <v>3.0726199999999999E-2</v>
      </c>
      <c r="X5748">
        <v>0.96749249999999998</v>
      </c>
      <c r="Y5748">
        <v>-0.42798819999999999</v>
      </c>
      <c r="Z5748">
        <v>-2.7327739999999999E-3</v>
      </c>
      <c r="AA5748">
        <v>0.90378020000000003</v>
      </c>
      <c r="AB5748">
        <v>35</v>
      </c>
      <c r="AC5748">
        <v>5.8803999999999998</v>
      </c>
      <c r="AD5748">
        <v>-1.1175755222129999</v>
      </c>
      <c r="AE5748">
        <v>4.8912599999999902</v>
      </c>
      <c r="AF5748">
        <v>-3.28413237680051</v>
      </c>
      <c r="AG5748">
        <v>-1.1175755222129999</v>
      </c>
      <c r="AH5748">
        <v>6.7303660590263297</v>
      </c>
      <c r="AI5748">
        <v>98.487686169993907</v>
      </c>
      <c r="AJ5748">
        <v>116.010407659941</v>
      </c>
      <c r="AK5748">
        <v>7.5718113952139996</v>
      </c>
      <c r="AL5748">
        <v>88.239241281382704</v>
      </c>
      <c r="AM5748">
        <v>104.545264825103</v>
      </c>
      <c r="AN5748">
        <v>0.99999999500456405</v>
      </c>
    </row>
    <row r="5749" spans="1:40" x14ac:dyDescent="0.25">
      <c r="A5749" t="str">
        <f>"20190312151429129"</f>
        <v>20190312151429129</v>
      </c>
      <c r="B5749" t="str">
        <f>"1552374869126241"</f>
        <v>1552374869126241</v>
      </c>
      <c r="C5749" t="s">
        <v>40</v>
      </c>
      <c r="D5749">
        <v>4.4452040000000004</v>
      </c>
      <c r="E5749">
        <v>0.42641479999999998</v>
      </c>
      <c r="F5749" t="s">
        <v>41</v>
      </c>
      <c r="G5749">
        <v>-207.25960000000001</v>
      </c>
      <c r="H5749">
        <v>0.97316800000000003</v>
      </c>
      <c r="I5749">
        <v>-60.485439999999997</v>
      </c>
      <c r="J5749">
        <v>-207.8623</v>
      </c>
      <c r="K5749">
        <v>1.1177159999999999</v>
      </c>
      <c r="L5749">
        <v>-61.080750000000002</v>
      </c>
      <c r="M5749">
        <v>0.97018559999999998</v>
      </c>
      <c r="N5749">
        <v>0</v>
      </c>
      <c r="O5749">
        <v>0.24202009999999999</v>
      </c>
      <c r="P5749">
        <v>0.87807690000000005</v>
      </c>
      <c r="Q5749">
        <v>2.298797E-2</v>
      </c>
      <c r="R5749">
        <v>0.47796729999999998</v>
      </c>
      <c r="S5749">
        <v>2.3695219999999999</v>
      </c>
      <c r="T5749">
        <v>-0.43883689999999997</v>
      </c>
      <c r="U5749">
        <v>1.951813</v>
      </c>
      <c r="V5749">
        <v>-0.25190859999999998</v>
      </c>
      <c r="W5749">
        <v>3.0235749999999999E-2</v>
      </c>
      <c r="X5749">
        <v>0.96727859999999999</v>
      </c>
      <c r="Y5749">
        <v>-0.42822300000000002</v>
      </c>
      <c r="Z5749">
        <v>-3.3831299999999998E-3</v>
      </c>
      <c r="AA5749">
        <v>0.90366679999999999</v>
      </c>
      <c r="AB5749">
        <v>35</v>
      </c>
      <c r="AC5749">
        <v>0.60269999999999802</v>
      </c>
      <c r="AD5749">
        <v>-0.14454799999999901</v>
      </c>
      <c r="AE5749">
        <v>0.59530999999999701</v>
      </c>
      <c r="AF5749">
        <v>-0.41951730252006098</v>
      </c>
      <c r="AG5749">
        <v>-0.14454799999999901</v>
      </c>
      <c r="AH5749">
        <v>0.70824777611680301</v>
      </c>
      <c r="AI5749">
        <v>99.959548040912196</v>
      </c>
      <c r="AJ5749">
        <v>120.63958525185799</v>
      </c>
      <c r="AK5749">
        <v>0.835765399973047</v>
      </c>
      <c r="AL5749">
        <v>88.267355097574594</v>
      </c>
      <c r="AM5749">
        <v>104.59730394055801</v>
      </c>
      <c r="AN5749">
        <v>1.0000000166749901</v>
      </c>
    </row>
    <row r="5750" spans="1:40" x14ac:dyDescent="0.25">
      <c r="A5750" t="str">
        <f>"20190312151429139"</f>
        <v>20190312151429139</v>
      </c>
      <c r="B5750" t="str">
        <f>"1552374869136002"</f>
        <v>1552374869136002</v>
      </c>
      <c r="C5750" t="s">
        <v>40</v>
      </c>
      <c r="D5750">
        <v>4.5383800000000001</v>
      </c>
      <c r="E5750">
        <v>0.42653540000000001</v>
      </c>
      <c r="F5750" t="s">
        <v>59</v>
      </c>
      <c r="G5750">
        <v>-201.83850000000001</v>
      </c>
      <c r="H5750" s="1">
        <v>-5.6860049999999998E-6</v>
      </c>
      <c r="I5750">
        <v>-56.071399999999997</v>
      </c>
      <c r="J5750">
        <v>-207.70099999999999</v>
      </c>
      <c r="K5750">
        <v>1.1178110000000001</v>
      </c>
      <c r="L5750">
        <v>-61.036869999999901</v>
      </c>
      <c r="M5750">
        <v>0.96914199999999995</v>
      </c>
      <c r="N5750">
        <v>0</v>
      </c>
      <c r="O5750">
        <v>0.24616679999999999</v>
      </c>
      <c r="P5750">
        <v>0.87569809999999904</v>
      </c>
      <c r="Q5750">
        <v>2.2682899999999999E-2</v>
      </c>
      <c r="R5750">
        <v>0.48232599999999998</v>
      </c>
      <c r="S5750">
        <v>2.3598330000000001</v>
      </c>
      <c r="T5750">
        <v>-0.43786530000000001</v>
      </c>
      <c r="U5750">
        <v>1.962402</v>
      </c>
      <c r="V5750">
        <v>-0.25258049999999999</v>
      </c>
      <c r="W5750">
        <v>2.9821090000000001E-2</v>
      </c>
      <c r="X5750">
        <v>0.96711619999999998</v>
      </c>
      <c r="Y5750">
        <v>-0.428622</v>
      </c>
      <c r="Z5750">
        <v>-3.9666049999999998E-3</v>
      </c>
      <c r="AA5750">
        <v>0.90347520000000003</v>
      </c>
      <c r="AB5750">
        <v>35</v>
      </c>
      <c r="AC5750">
        <v>5.8624999999999803</v>
      </c>
      <c r="AD5750">
        <v>-1.1178166860050001</v>
      </c>
      <c r="AE5750">
        <v>4.9654699999999901</v>
      </c>
      <c r="AF5750">
        <v>-3.29952318684902</v>
      </c>
      <c r="AG5750">
        <v>-1.1178166860050001</v>
      </c>
      <c r="AH5750">
        <v>6.7613673946800397</v>
      </c>
      <c r="AI5750">
        <v>98.451001622394898</v>
      </c>
      <c r="AJ5750">
        <v>116.012210956852</v>
      </c>
      <c r="AK5750">
        <v>7.6060802289949496</v>
      </c>
      <c r="AL5750">
        <v>88.291124013370094</v>
      </c>
      <c r="AM5750">
        <v>104.636920993923</v>
      </c>
      <c r="AN5750">
        <v>0.99999997534573803</v>
      </c>
    </row>
    <row r="5751" spans="1:40" x14ac:dyDescent="0.25">
      <c r="A5751" t="str">
        <f>"20190312151429150"</f>
        <v>20190312151429150</v>
      </c>
      <c r="B5751" t="str">
        <f>"1552374869146737"</f>
        <v>1552374869146737</v>
      </c>
      <c r="C5751" t="s">
        <v>40</v>
      </c>
      <c r="D5751">
        <v>4.4625849999999998</v>
      </c>
      <c r="E5751">
        <v>0.4267669</v>
      </c>
      <c r="F5751" t="s">
        <v>59</v>
      </c>
      <c r="G5751">
        <v>-201.7594</v>
      </c>
      <c r="H5751" s="1">
        <v>-5.7195479999999997E-6</v>
      </c>
      <c r="I5751">
        <v>-56.048270000000002</v>
      </c>
      <c r="J5751">
        <v>-207.5359</v>
      </c>
      <c r="K5751">
        <v>1.1178939999999999</v>
      </c>
      <c r="L5751">
        <v>-60.991210000000002</v>
      </c>
      <c r="M5751">
        <v>0.96803890000000004</v>
      </c>
      <c r="N5751">
        <v>0</v>
      </c>
      <c r="O5751">
        <v>0.25047029999999998</v>
      </c>
      <c r="P5751">
        <v>0.87316039999999995</v>
      </c>
      <c r="Q5751">
        <v>2.225162E-2</v>
      </c>
      <c r="R5751">
        <v>0.48692489999999999</v>
      </c>
      <c r="S5751">
        <v>2.3503720000000001</v>
      </c>
      <c r="T5751">
        <v>-0.44217980000000001</v>
      </c>
      <c r="U5751">
        <v>1.9733579999999999</v>
      </c>
      <c r="V5751">
        <v>-0.25336570000000003</v>
      </c>
      <c r="W5751">
        <v>2.928393E-2</v>
      </c>
      <c r="X5751">
        <v>0.96692719999999999</v>
      </c>
      <c r="Y5751">
        <v>-0.42887239999999999</v>
      </c>
      <c r="Z5751">
        <v>-4.6379419999999999E-3</v>
      </c>
      <c r="AA5751">
        <v>0.90335319999999997</v>
      </c>
      <c r="AB5751">
        <v>35</v>
      </c>
      <c r="AC5751">
        <v>5.7764999999999898</v>
      </c>
      <c r="AD5751">
        <v>-1.117899719548</v>
      </c>
      <c r="AE5751">
        <v>4.9429400000000001</v>
      </c>
      <c r="AF5751">
        <v>-3.2677410460695602</v>
      </c>
      <c r="AG5751">
        <v>-1.117899719548</v>
      </c>
      <c r="AH5751">
        <v>6.6859450043214697</v>
      </c>
      <c r="AI5751">
        <v>98.543066642288593</v>
      </c>
      <c r="AJ5751">
        <v>116.046971487696</v>
      </c>
      <c r="AK5751">
        <v>7.5252702229185502</v>
      </c>
      <c r="AL5751">
        <v>88.321914451961007</v>
      </c>
      <c r="AM5751">
        <v>104.683205845819</v>
      </c>
      <c r="AN5751">
        <v>0.99999996829628601</v>
      </c>
    </row>
    <row r="5752" spans="1:40" x14ac:dyDescent="0.25">
      <c r="A5752" t="str">
        <f>"20190312151429162"</f>
        <v>20190312151429162</v>
      </c>
      <c r="B5752" t="str">
        <f>"1552374869156498"</f>
        <v>1552374869156498</v>
      </c>
      <c r="C5752" t="s">
        <v>40</v>
      </c>
      <c r="D5752">
        <v>4.4525439999999996</v>
      </c>
      <c r="E5752">
        <v>0.42696689999999998</v>
      </c>
      <c r="F5752" t="s">
        <v>59</v>
      </c>
      <c r="G5752">
        <v>-201.6318</v>
      </c>
      <c r="H5752" s="1">
        <v>-5.7772719999999998E-6</v>
      </c>
      <c r="I5752">
        <v>-55.987749999999998</v>
      </c>
      <c r="J5752">
        <v>-207.35310000000001</v>
      </c>
      <c r="K5752">
        <v>1.1179570000000001</v>
      </c>
      <c r="L5752">
        <v>-60.9396699999999</v>
      </c>
      <c r="M5752">
        <v>0.96677489999999999</v>
      </c>
      <c r="N5752">
        <v>0</v>
      </c>
      <c r="O5752">
        <v>0.25530730000000001</v>
      </c>
      <c r="P5752">
        <v>0.87040849999999903</v>
      </c>
      <c r="Q5752">
        <v>2.2101559999999999E-2</v>
      </c>
      <c r="R5752">
        <v>0.49183399999999999</v>
      </c>
      <c r="S5752">
        <v>2.3408359999999999</v>
      </c>
      <c r="T5752">
        <v>-0.44322339999999999</v>
      </c>
      <c r="U5752">
        <v>1.983765</v>
      </c>
      <c r="V5752">
        <v>-0.25397700000000001</v>
      </c>
      <c r="W5752">
        <v>2.903418E-2</v>
      </c>
      <c r="X5752">
        <v>0.96677440000000003</v>
      </c>
      <c r="Y5752">
        <v>-0.42854950000000003</v>
      </c>
      <c r="Z5752">
        <v>-5.411819E-3</v>
      </c>
      <c r="AA5752">
        <v>0.90350209999999997</v>
      </c>
      <c r="AB5752">
        <v>35</v>
      </c>
      <c r="AC5752">
        <v>5.72130000000001</v>
      </c>
      <c r="AD5752">
        <v>-1.11796277727199</v>
      </c>
      <c r="AE5752">
        <v>4.9519199999999897</v>
      </c>
      <c r="AF5752">
        <v>-3.25590136824776</v>
      </c>
      <c r="AG5752">
        <v>-1.11796277727199</v>
      </c>
      <c r="AH5752">
        <v>6.6508451467921699</v>
      </c>
      <c r="AI5752">
        <v>98.585291170114303</v>
      </c>
      <c r="AJ5752">
        <v>116.083921059107</v>
      </c>
      <c r="AK5752">
        <v>7.4889569138653904</v>
      </c>
      <c r="AL5752">
        <v>88.336230247222801</v>
      </c>
      <c r="AM5752">
        <v>104.719321259295</v>
      </c>
      <c r="AN5752">
        <v>1.00000002031631</v>
      </c>
    </row>
    <row r="5753" spans="1:40" x14ac:dyDescent="0.25">
      <c r="A5753" t="str">
        <f>"20190312151429175"</f>
        <v>20190312151429175</v>
      </c>
      <c r="B5753" t="str">
        <f>"1552374869166258"</f>
        <v>1552374869166258</v>
      </c>
      <c r="C5753" t="s">
        <v>40</v>
      </c>
      <c r="D5753">
        <v>4.4801320000000002</v>
      </c>
      <c r="E5753">
        <v>0.42718460000000003</v>
      </c>
      <c r="F5753" t="s">
        <v>59</v>
      </c>
      <c r="G5753">
        <v>-201.47460000000001</v>
      </c>
      <c r="H5753" s="1">
        <v>-5.8494420000000002E-6</v>
      </c>
      <c r="I5753">
        <v>-55.906590000000001</v>
      </c>
      <c r="J5753">
        <v>-207.1748</v>
      </c>
      <c r="K5753">
        <v>1.118007</v>
      </c>
      <c r="L5753">
        <v>-60.888179999999998</v>
      </c>
      <c r="M5753">
        <v>0.96549079999999998</v>
      </c>
      <c r="N5753">
        <v>0</v>
      </c>
      <c r="O5753">
        <v>0.26012249999999998</v>
      </c>
      <c r="P5753">
        <v>0.86754229999999999</v>
      </c>
      <c r="Q5753">
        <v>2.1583270000000002E-2</v>
      </c>
      <c r="R5753">
        <v>0.49689489999999997</v>
      </c>
      <c r="S5753">
        <v>2.3304290000000001</v>
      </c>
      <c r="T5753">
        <v>-0.4432026</v>
      </c>
      <c r="U5753">
        <v>1.9953000000000001</v>
      </c>
      <c r="V5753">
        <v>-0.25477739999999999</v>
      </c>
      <c r="W5753">
        <v>2.8442189999999999E-2</v>
      </c>
      <c r="X5753">
        <v>0.96658129999999998</v>
      </c>
      <c r="Y5753">
        <v>-0.42866530000000003</v>
      </c>
      <c r="Z5753">
        <v>-6.1365789999999996E-3</v>
      </c>
      <c r="AA5753">
        <v>0.90344259999999998</v>
      </c>
      <c r="AB5753">
        <v>35</v>
      </c>
      <c r="AC5753">
        <v>5.7001999999999899</v>
      </c>
      <c r="AD5753">
        <v>-1.1180128494419901</v>
      </c>
      <c r="AE5753">
        <v>4.9815899999999997</v>
      </c>
      <c r="AF5753">
        <v>-3.2561811732520902</v>
      </c>
      <c r="AG5753">
        <v>-1.1180128494419901</v>
      </c>
      <c r="AH5753">
        <v>6.6547254116043302</v>
      </c>
      <c r="AI5753">
        <v>98.581550757143006</v>
      </c>
      <c r="AJ5753">
        <v>116.07267020464499</v>
      </c>
      <c r="AK5753">
        <v>7.4925322066983</v>
      </c>
      <c r="AL5753">
        <v>88.370162668816505</v>
      </c>
      <c r="AM5753">
        <v>104.766506025156</v>
      </c>
      <c r="AN5753">
        <v>0.99999994561622096</v>
      </c>
    </row>
    <row r="5754" spans="1:40" x14ac:dyDescent="0.25">
      <c r="A5754" t="str">
        <f>"20190312151429188"</f>
        <v>20190312151429188</v>
      </c>
      <c r="B5754" t="str">
        <f>"1552374869176018"</f>
        <v>1552374869176018</v>
      </c>
      <c r="C5754" t="s">
        <v>40</v>
      </c>
      <c r="D5754">
        <v>4.437837</v>
      </c>
      <c r="E5754">
        <v>0.42739510000000003</v>
      </c>
      <c r="F5754" t="s">
        <v>41</v>
      </c>
      <c r="G5754">
        <v>-206.422</v>
      </c>
      <c r="H5754">
        <v>0.97381229999999996</v>
      </c>
      <c r="I5754">
        <v>-60.236840000000001</v>
      </c>
      <c r="J5754">
        <v>-206.97989999999999</v>
      </c>
      <c r="K5754">
        <v>1.118044</v>
      </c>
      <c r="L5754">
        <v>-60.831119999999999</v>
      </c>
      <c r="M5754">
        <v>0.96404330000000005</v>
      </c>
      <c r="N5754">
        <v>0</v>
      </c>
      <c r="O5754">
        <v>0.26543800000000001</v>
      </c>
      <c r="P5754">
        <v>0.86453080000000004</v>
      </c>
      <c r="Q5754">
        <v>2.0854640000000001E-2</v>
      </c>
      <c r="R5754">
        <v>0.50214700000000001</v>
      </c>
      <c r="S5754">
        <v>2.3195649999999999</v>
      </c>
      <c r="T5754">
        <v>-0.44429639999999998</v>
      </c>
      <c r="U5754">
        <v>2.0070190000000001</v>
      </c>
      <c r="V5754">
        <v>-0.25529600000000002</v>
      </c>
      <c r="W5754">
        <v>2.7653810000000001E-2</v>
      </c>
      <c r="X5754">
        <v>0.96646739999999998</v>
      </c>
      <c r="Y5754">
        <v>-0.42843619999999999</v>
      </c>
      <c r="Z5754">
        <v>-6.9841410000000001E-3</v>
      </c>
      <c r="AA5754">
        <v>0.90354500000000004</v>
      </c>
      <c r="AB5754">
        <v>35</v>
      </c>
      <c r="AC5754">
        <v>0.55789999999998896</v>
      </c>
      <c r="AD5754">
        <v>-0.14423169999999999</v>
      </c>
      <c r="AE5754">
        <v>0.59427999999999703</v>
      </c>
      <c r="AF5754">
        <v>-0.41196013687779598</v>
      </c>
      <c r="AG5754">
        <v>-0.14423169999999999</v>
      </c>
      <c r="AH5754">
        <v>0.67452197559793303</v>
      </c>
      <c r="AI5754">
        <v>100.341846573523</v>
      </c>
      <c r="AJ5754">
        <v>121.41424156546699</v>
      </c>
      <c r="AK5754">
        <v>0.803426308522319</v>
      </c>
      <c r="AL5754">
        <v>88.415351396276094</v>
      </c>
      <c r="AM5754">
        <v>104.79691323002299</v>
      </c>
      <c r="AN5754">
        <v>1.0000000080431299</v>
      </c>
    </row>
    <row r="5755" spans="1:40" x14ac:dyDescent="0.25">
      <c r="A5755" t="str">
        <f>"20190312151429201"</f>
        <v>20190312151429201</v>
      </c>
      <c r="B5755" t="str">
        <f>"1552374869196514"</f>
        <v>1552374869196514</v>
      </c>
      <c r="C5755" t="s">
        <v>40</v>
      </c>
      <c r="D5755">
        <v>4.427028</v>
      </c>
      <c r="E5755">
        <v>0.42789830000000001</v>
      </c>
      <c r="F5755" t="s">
        <v>59</v>
      </c>
      <c r="G5755">
        <v>-201.19110000000001</v>
      </c>
      <c r="H5755" s="1">
        <v>-5.9786709999999999E-6</v>
      </c>
      <c r="I5755">
        <v>-55.766179999999999</v>
      </c>
      <c r="J5755">
        <v>-206.78739999999999</v>
      </c>
      <c r="K5755">
        <v>1.118074</v>
      </c>
      <c r="L5755">
        <v>-60.773319999999998</v>
      </c>
      <c r="M5755">
        <v>0.96255539999999995</v>
      </c>
      <c r="N5755">
        <v>0</v>
      </c>
      <c r="O5755">
        <v>0.27078410000000003</v>
      </c>
      <c r="P5755">
        <v>0.86149730000000002</v>
      </c>
      <c r="Q5755">
        <v>2.0554940000000001E-2</v>
      </c>
      <c r="R5755">
        <v>0.50734590000000002</v>
      </c>
      <c r="S5755">
        <v>2.307938</v>
      </c>
      <c r="T5755">
        <v>-0.44575789999999998</v>
      </c>
      <c r="U5755">
        <v>2.0193479999999999</v>
      </c>
      <c r="V5755">
        <v>-0.25574760000000002</v>
      </c>
      <c r="W5755">
        <v>2.731681E-2</v>
      </c>
      <c r="X5755">
        <v>0.96635760000000004</v>
      </c>
      <c r="Y5755">
        <v>-0.42845100000000003</v>
      </c>
      <c r="Z5755">
        <v>-7.82861199999999E-3</v>
      </c>
      <c r="AA5755">
        <v>0.90353110000000003</v>
      </c>
      <c r="AB5755">
        <v>35</v>
      </c>
      <c r="AC5755">
        <v>5.5962999999999798</v>
      </c>
      <c r="AD5755">
        <v>-1.1180799786710001</v>
      </c>
      <c r="AE5755">
        <v>5.0071399999999899</v>
      </c>
      <c r="AF5755">
        <v>-3.2328611750834901</v>
      </c>
      <c r="AG5755">
        <v>-1.1180799786710001</v>
      </c>
      <c r="AH5755">
        <v>6.59690658843581</v>
      </c>
      <c r="AI5755">
        <v>98.653604728453004</v>
      </c>
      <c r="AJ5755">
        <v>116.10749395962399</v>
      </c>
      <c r="AK5755">
        <v>7.4310612130849103</v>
      </c>
      <c r="AL5755">
        <v>88.434667401092</v>
      </c>
      <c r="AM5755">
        <v>104.82354656302</v>
      </c>
      <c r="AN5755">
        <v>1.0000000270460401</v>
      </c>
    </row>
    <row r="5756" spans="1:40" x14ac:dyDescent="0.25">
      <c r="A5756" t="str">
        <f>"20190312151429214"</f>
        <v>20190312151429214</v>
      </c>
      <c r="B5756" t="str">
        <f>"1552374869206273"</f>
        <v>1552374869206273</v>
      </c>
      <c r="C5756" t="s">
        <v>40</v>
      </c>
      <c r="D5756">
        <v>4.6466329999999996</v>
      </c>
      <c r="E5756">
        <v>0.42819200000000002</v>
      </c>
      <c r="F5756" t="s">
        <v>59</v>
      </c>
      <c r="G5756">
        <v>-201.01650000000001</v>
      </c>
      <c r="H5756" s="1">
        <v>-6.0589669999999997E-6</v>
      </c>
      <c r="I5756">
        <v>-55.6753</v>
      </c>
      <c r="J5756">
        <v>-206.58750000000001</v>
      </c>
      <c r="K5756">
        <v>1.1181140000000001</v>
      </c>
      <c r="L5756">
        <v>-60.712009999999999</v>
      </c>
      <c r="M5756">
        <v>0.96095989999999998</v>
      </c>
      <c r="N5756">
        <v>0</v>
      </c>
      <c r="O5756">
        <v>0.27639340000000001</v>
      </c>
      <c r="P5756">
        <v>0.85832219999999904</v>
      </c>
      <c r="Q5756">
        <v>2.0112640000000001E-2</v>
      </c>
      <c r="R5756">
        <v>0.51271699999999998</v>
      </c>
      <c r="S5756">
        <v>2.2976230000000002</v>
      </c>
      <c r="T5756">
        <v>-0.44514540000000002</v>
      </c>
      <c r="U5756">
        <v>2.0296940000000001</v>
      </c>
      <c r="V5756">
        <v>-0.25613659999999999</v>
      </c>
      <c r="W5756">
        <v>2.684301E-2</v>
      </c>
      <c r="X5756">
        <v>0.96626780000000001</v>
      </c>
      <c r="Y5756">
        <v>-0.42754530000000002</v>
      </c>
      <c r="Z5756">
        <v>-8.7553079999999998E-3</v>
      </c>
      <c r="AA5756">
        <v>0.90395150000000002</v>
      </c>
      <c r="AB5756">
        <v>35</v>
      </c>
      <c r="AC5756">
        <v>5.57099999999999</v>
      </c>
      <c r="AD5756">
        <v>-1.118120058967</v>
      </c>
      <c r="AE5756">
        <v>5.0367099999999896</v>
      </c>
      <c r="AF5756">
        <v>-3.2289875517161901</v>
      </c>
      <c r="AG5756">
        <v>-1.118120058967</v>
      </c>
      <c r="AH5756">
        <v>6.5998850977501498</v>
      </c>
      <c r="AI5756">
        <v>98.652783247034705</v>
      </c>
      <c r="AJ5756">
        <v>116.070148174907</v>
      </c>
      <c r="AK5756">
        <v>7.4320277434161204</v>
      </c>
      <c r="AL5756">
        <v>88.461824032579102</v>
      </c>
      <c r="AM5756">
        <v>104.846417433418</v>
      </c>
      <c r="AN5756">
        <v>0.99999998318112904</v>
      </c>
    </row>
    <row r="5757" spans="1:40" x14ac:dyDescent="0.25">
      <c r="A5757" t="str">
        <f>"20190312151429230"</f>
        <v>20190312151429230</v>
      </c>
      <c r="B5757" t="str">
        <f>"1552374869226769"</f>
        <v>1552374869226769</v>
      </c>
      <c r="C5757" t="s">
        <v>40</v>
      </c>
      <c r="D5757">
        <v>4.5069999999999997</v>
      </c>
      <c r="E5757">
        <v>0.4287321</v>
      </c>
      <c r="F5757" t="s">
        <v>59</v>
      </c>
      <c r="G5757">
        <v>-200.8467</v>
      </c>
      <c r="H5757" s="1">
        <v>-6.1373910000000003E-6</v>
      </c>
      <c r="I5757">
        <v>-55.584470000000003</v>
      </c>
      <c r="J5757">
        <v>-206.3544</v>
      </c>
      <c r="K5757">
        <v>1.1181680000000001</v>
      </c>
      <c r="L5757">
        <v>-60.639130000000002</v>
      </c>
      <c r="M5757">
        <v>0.9590381</v>
      </c>
      <c r="N5757">
        <v>0</v>
      </c>
      <c r="O5757">
        <v>0.2829894</v>
      </c>
      <c r="P5757">
        <v>0.85428169999999903</v>
      </c>
      <c r="Q5757">
        <v>1.9072789999999999E-2</v>
      </c>
      <c r="R5757">
        <v>0.51946059999999905</v>
      </c>
      <c r="S5757">
        <v>2.285965</v>
      </c>
      <c r="T5757">
        <v>-0.44523370000000001</v>
      </c>
      <c r="U5757">
        <v>2.041779</v>
      </c>
      <c r="V5757">
        <v>-0.25707999999999998</v>
      </c>
      <c r="W5757">
        <v>2.575763E-2</v>
      </c>
      <c r="X5757">
        <v>0.96604679999999998</v>
      </c>
      <c r="Y5757">
        <v>-0.42635650000000003</v>
      </c>
      <c r="Z5757">
        <v>-9.8699310000000002E-3</v>
      </c>
      <c r="AA5757">
        <v>0.90450140000000001</v>
      </c>
      <c r="AB5757">
        <v>35</v>
      </c>
      <c r="AC5757">
        <v>5.5076999999999998</v>
      </c>
      <c r="AD5757">
        <v>-1.1181741373909999</v>
      </c>
      <c r="AE5757">
        <v>5.0546600000000002</v>
      </c>
      <c r="AF5757">
        <v>-3.21727786118772</v>
      </c>
      <c r="AG5757">
        <v>-1.1181741373909999</v>
      </c>
      <c r="AH5757">
        <v>6.5661502239619196</v>
      </c>
      <c r="AI5757">
        <v>98.694505216905299</v>
      </c>
      <c r="AJ5757">
        <v>116.103898810077</v>
      </c>
      <c r="AK5757">
        <v>7.3969939165348704</v>
      </c>
      <c r="AL5757">
        <v>88.524033274926097</v>
      </c>
      <c r="AM5757">
        <v>104.901928669794</v>
      </c>
      <c r="AN5757">
        <v>1.00000000084672</v>
      </c>
    </row>
    <row r="5758" spans="1:40" x14ac:dyDescent="0.25">
      <c r="A5758" t="str">
        <f>"20190312151429242"</f>
        <v>20190312151429242</v>
      </c>
      <c r="B5758" t="str">
        <f>"1552374869236530"</f>
        <v>1552374869236530</v>
      </c>
      <c r="C5758" t="s">
        <v>40</v>
      </c>
      <c r="D5758">
        <v>4.4729859999999997</v>
      </c>
      <c r="E5758">
        <v>0.4290177</v>
      </c>
      <c r="F5758" t="s">
        <v>59</v>
      </c>
      <c r="G5758">
        <v>-200.67750000000001</v>
      </c>
      <c r="H5758" s="1">
        <v>-6.2144420000000001E-6</v>
      </c>
      <c r="I5758">
        <v>-55.50121</v>
      </c>
      <c r="J5758">
        <v>-206.16749999999999</v>
      </c>
      <c r="K5758">
        <v>1.118225</v>
      </c>
      <c r="L5758">
        <v>-60.579410000000003</v>
      </c>
      <c r="M5758">
        <v>0.95744929999999995</v>
      </c>
      <c r="N5758">
        <v>0</v>
      </c>
      <c r="O5758">
        <v>0.2883193</v>
      </c>
      <c r="P5758">
        <v>0.85128749999999997</v>
      </c>
      <c r="Q5758">
        <v>1.8821259999999999E-2</v>
      </c>
      <c r="R5758">
        <v>0.52436190000000005</v>
      </c>
      <c r="S5758">
        <v>2.2715610000000002</v>
      </c>
      <c r="T5758">
        <v>-0.44743050000000001</v>
      </c>
      <c r="U5758">
        <v>2.0559080000000001</v>
      </c>
      <c r="V5758">
        <v>-0.25725419999999999</v>
      </c>
      <c r="W5758">
        <v>2.5482109999999999E-2</v>
      </c>
      <c r="X5758">
        <v>0.96600779999999997</v>
      </c>
      <c r="Y5758">
        <v>-0.42729539999999999</v>
      </c>
      <c r="Z5758">
        <v>-1.067211E-2</v>
      </c>
      <c r="AA5758">
        <v>0.90404910000000005</v>
      </c>
      <c r="AB5758">
        <v>35</v>
      </c>
      <c r="AC5758">
        <v>5.4899999999999798</v>
      </c>
      <c r="AD5758">
        <v>-1.1182312144419999</v>
      </c>
      <c r="AE5758">
        <v>5.0781999999999901</v>
      </c>
      <c r="AF5758">
        <v>-3.2077933433549202</v>
      </c>
      <c r="AG5758">
        <v>-1.1182312144419999</v>
      </c>
      <c r="AH5758">
        <v>6.5741033405727203</v>
      </c>
      <c r="AI5758">
        <v>98.691455853144106</v>
      </c>
      <c r="AJ5758">
        <v>116.009777828514</v>
      </c>
      <c r="AK5758">
        <v>7.3999468859684399</v>
      </c>
      <c r="AL5758">
        <v>88.539824685951004</v>
      </c>
      <c r="AM5758">
        <v>104.912151874465</v>
      </c>
      <c r="AN5758">
        <v>1.00000006550426</v>
      </c>
    </row>
    <row r="5759" spans="1:40" x14ac:dyDescent="0.25">
      <c r="A5759" t="str">
        <f>"20190312151429253"</f>
        <v>20190312151429253</v>
      </c>
      <c r="B5759" t="str">
        <f>"1552374869246290"</f>
        <v>1552374869246290</v>
      </c>
      <c r="C5759" t="s">
        <v>40</v>
      </c>
      <c r="D5759">
        <v>4.5554240000000004</v>
      </c>
      <c r="E5759">
        <v>0.42919099999999999</v>
      </c>
      <c r="F5759" t="s">
        <v>59</v>
      </c>
      <c r="G5759">
        <v>-200.51490000000001</v>
      </c>
      <c r="H5759" s="1">
        <v>-6.2899929999999898E-6</v>
      </c>
      <c r="I5759">
        <v>-55.411540000000002</v>
      </c>
      <c r="J5759">
        <v>-206.01410000000001</v>
      </c>
      <c r="K5759">
        <v>1.118279</v>
      </c>
      <c r="L5759">
        <v>-60.529299999999999</v>
      </c>
      <c r="M5759">
        <v>0.95611139999999994</v>
      </c>
      <c r="N5759">
        <v>0</v>
      </c>
      <c r="O5759">
        <v>0.2927245</v>
      </c>
      <c r="P5759">
        <v>0.84877769999999997</v>
      </c>
      <c r="Q5759">
        <v>1.8401299999999999E-2</v>
      </c>
      <c r="R5759">
        <v>0.52842959999999894</v>
      </c>
      <c r="S5759">
        <v>2.260818</v>
      </c>
      <c r="T5759">
        <v>-0.44724439999999999</v>
      </c>
      <c r="U5759">
        <v>2.0669249999999999</v>
      </c>
      <c r="V5759">
        <v>-0.25741969999999997</v>
      </c>
      <c r="W5759">
        <v>2.5039740000000001E-2</v>
      </c>
      <c r="X5759">
        <v>0.96597520000000003</v>
      </c>
      <c r="Y5759">
        <v>-0.42770999999999998</v>
      </c>
      <c r="Z5759">
        <v>-1.1319289999999999E-2</v>
      </c>
      <c r="AA5759">
        <v>0.90384520000000002</v>
      </c>
      <c r="AB5759">
        <v>35</v>
      </c>
      <c r="AC5759">
        <v>5.4992000000000001</v>
      </c>
      <c r="AD5759">
        <v>-1.118285289993</v>
      </c>
      <c r="AE5759">
        <v>5.1177599999999899</v>
      </c>
      <c r="AF5759">
        <v>-3.2124770336539501</v>
      </c>
      <c r="AG5759">
        <v>-1.118285289993</v>
      </c>
      <c r="AH5759">
        <v>6.6100138787177398</v>
      </c>
      <c r="AI5759">
        <v>98.651876635911805</v>
      </c>
      <c r="AJ5759">
        <v>115.919824045854</v>
      </c>
      <c r="AK5759">
        <v>7.4338989876383099</v>
      </c>
      <c r="AL5759">
        <v>88.565178599032507</v>
      </c>
      <c r="AM5759">
        <v>104.92179866264</v>
      </c>
      <c r="AN5759">
        <v>0.999999988771198</v>
      </c>
    </row>
    <row r="5760" spans="1:40" x14ac:dyDescent="0.25">
      <c r="A5760" t="str">
        <f>"20190312151429262"</f>
        <v>20190312151429262</v>
      </c>
      <c r="B5760" t="str">
        <f>"1552374869256049"</f>
        <v>1552374869256049</v>
      </c>
      <c r="C5760" t="s">
        <v>40</v>
      </c>
      <c r="D5760">
        <v>4.5413779999999999</v>
      </c>
      <c r="E5760">
        <v>0.42946679999999998</v>
      </c>
      <c r="F5760" t="s">
        <v>59</v>
      </c>
      <c r="G5760">
        <v>-200.434</v>
      </c>
      <c r="H5760" s="1">
        <v>-6.3250660000000001E-6</v>
      </c>
      <c r="I5760">
        <v>-55.382959999999997</v>
      </c>
      <c r="J5760">
        <v>-205.85650000000001</v>
      </c>
      <c r="K5760">
        <v>1.1183369999999999</v>
      </c>
      <c r="L5760">
        <v>-60.477359999999997</v>
      </c>
      <c r="M5760">
        <v>0.95471079999999997</v>
      </c>
      <c r="N5760">
        <v>0</v>
      </c>
      <c r="O5760">
        <v>0.29726079999999999</v>
      </c>
      <c r="P5760">
        <v>0.84615249999999997</v>
      </c>
      <c r="Q5760">
        <v>1.8224489999999999E-2</v>
      </c>
      <c r="R5760">
        <v>0.53262929999999997</v>
      </c>
      <c r="S5760">
        <v>2.2515109999999998</v>
      </c>
      <c r="T5760">
        <v>-0.45121299999999998</v>
      </c>
      <c r="U5760">
        <v>2.0764770000000001</v>
      </c>
      <c r="V5760">
        <v>-0.2576176</v>
      </c>
      <c r="W5760">
        <v>2.4838579999999999E-2</v>
      </c>
      <c r="X5760">
        <v>0.96592769999999994</v>
      </c>
      <c r="Y5760">
        <v>-0.4273748</v>
      </c>
      <c r="Z5760">
        <v>-1.2157889999999999E-2</v>
      </c>
      <c r="AA5760">
        <v>0.90399280000000004</v>
      </c>
      <c r="AB5760">
        <v>35</v>
      </c>
      <c r="AC5760">
        <v>5.4224999999999799</v>
      </c>
      <c r="AD5760">
        <v>-1.118343325066</v>
      </c>
      <c r="AE5760">
        <v>5.0944000000000003</v>
      </c>
      <c r="AF5760">
        <v>-3.1801959990771</v>
      </c>
      <c r="AG5760">
        <v>-1.118343325066</v>
      </c>
      <c r="AH5760">
        <v>6.5439801498560097</v>
      </c>
      <c r="AI5760">
        <v>98.738383754369096</v>
      </c>
      <c r="AJ5760">
        <v>115.91848868014699</v>
      </c>
      <c r="AK5760">
        <v>7.3612508846645897</v>
      </c>
      <c r="AL5760">
        <v>88.576707894485097</v>
      </c>
      <c r="AM5760">
        <v>104.933459528615</v>
      </c>
      <c r="AN5760">
        <v>1.0000000522567301</v>
      </c>
    </row>
    <row r="5761" spans="1:40" x14ac:dyDescent="0.25">
      <c r="A5761" t="str">
        <f>"20190312151429274"</f>
        <v>20190312151429274</v>
      </c>
      <c r="B5761" t="str">
        <f>"1552374869266786"</f>
        <v>1552374869266786</v>
      </c>
      <c r="C5761" t="s">
        <v>40</v>
      </c>
      <c r="D5761">
        <v>4.5339140000000002</v>
      </c>
      <c r="E5761">
        <v>0.42972929999999998</v>
      </c>
      <c r="F5761" t="s">
        <v>59</v>
      </c>
      <c r="G5761">
        <v>-200.29759999999999</v>
      </c>
      <c r="H5761" s="1">
        <v>-6.3887060000000001E-6</v>
      </c>
      <c r="I5761">
        <v>-55.305959999999999</v>
      </c>
      <c r="J5761">
        <v>-205.69730000000001</v>
      </c>
      <c r="K5761">
        <v>1.1184050000000001</v>
      </c>
      <c r="L5761">
        <v>-60.423580000000001</v>
      </c>
      <c r="M5761">
        <v>0.95326049999999996</v>
      </c>
      <c r="N5761">
        <v>0</v>
      </c>
      <c r="O5761">
        <v>0.3018787</v>
      </c>
      <c r="P5761">
        <v>0.84354280000000004</v>
      </c>
      <c r="Q5761">
        <v>1.7673660000000001E-2</v>
      </c>
      <c r="R5761">
        <v>0.53677129999999995</v>
      </c>
      <c r="S5761">
        <v>2.2421570000000002</v>
      </c>
      <c r="T5761">
        <v>-0.45108280000000001</v>
      </c>
      <c r="U5761">
        <v>2.0858759999999998</v>
      </c>
      <c r="V5761">
        <v>-0.25766460000000002</v>
      </c>
      <c r="W5761">
        <v>2.4263219999999999E-2</v>
      </c>
      <c r="X5761">
        <v>0.9659297</v>
      </c>
      <c r="Y5761">
        <v>-0.42696010000000001</v>
      </c>
      <c r="Z5761">
        <v>-1.2913859999999999E-2</v>
      </c>
      <c r="AA5761">
        <v>0.90417829999999999</v>
      </c>
      <c r="AB5761">
        <v>35</v>
      </c>
      <c r="AC5761">
        <v>5.3997000000000197</v>
      </c>
      <c r="AD5761">
        <v>-1.1184113887060001</v>
      </c>
      <c r="AE5761">
        <v>5.1176199999999996</v>
      </c>
      <c r="AF5761">
        <v>-3.1768395015222999</v>
      </c>
      <c r="AG5761">
        <v>-1.1184113887060001</v>
      </c>
      <c r="AH5761">
        <v>6.5448544420876598</v>
      </c>
      <c r="AI5761">
        <v>98.739711521903402</v>
      </c>
      <c r="AJ5761">
        <v>115.89170356423099</v>
      </c>
      <c r="AK5761">
        <v>7.3605891694167003</v>
      </c>
      <c r="AL5761">
        <v>88.609683414726902</v>
      </c>
      <c r="AM5761">
        <v>104.936032707235</v>
      </c>
      <c r="AN5761">
        <v>0.99999996764000798</v>
      </c>
    </row>
    <row r="5762" spans="1:40" x14ac:dyDescent="0.25">
      <c r="A5762" t="str">
        <f>"20190312151429284"</f>
        <v>20190312151429284</v>
      </c>
      <c r="B5762" t="str">
        <f>"1552374869276546"</f>
        <v>1552374869276546</v>
      </c>
      <c r="C5762" t="s">
        <v>40</v>
      </c>
      <c r="D5762">
        <v>4.694782</v>
      </c>
      <c r="E5762">
        <v>0.42972929999999998</v>
      </c>
      <c r="F5762" t="s">
        <v>59</v>
      </c>
      <c r="G5762">
        <v>-200.17699999999999</v>
      </c>
      <c r="H5762" s="1">
        <v>-6.4439960000000004E-6</v>
      </c>
      <c r="I5762">
        <v>-55.244129999999998</v>
      </c>
      <c r="J5762">
        <v>-205.54060000000001</v>
      </c>
      <c r="K5762">
        <v>1.1184730000000001</v>
      </c>
      <c r="L5762">
        <v>-60.370359999999998</v>
      </c>
      <c r="M5762">
        <v>0.95180730000000002</v>
      </c>
      <c r="N5762">
        <v>0</v>
      </c>
      <c r="O5762">
        <v>0.30642950000000002</v>
      </c>
      <c r="P5762">
        <v>0.84079939999999997</v>
      </c>
      <c r="Q5762">
        <v>1.7293599999999999E-2</v>
      </c>
      <c r="R5762">
        <v>0.54107069999999902</v>
      </c>
      <c r="S5762">
        <v>2.2328190000000001</v>
      </c>
      <c r="T5762">
        <v>-0.45237179999999999</v>
      </c>
      <c r="U5762">
        <v>2.0949710000000001</v>
      </c>
      <c r="V5762">
        <v>-0.25797340000000002</v>
      </c>
      <c r="W5762">
        <v>2.3852290000000002E-2</v>
      </c>
      <c r="X5762">
        <v>0.96585759999999998</v>
      </c>
      <c r="Y5762">
        <v>-0.42652590000000001</v>
      </c>
      <c r="Z5762">
        <v>-1.370448E-2</v>
      </c>
      <c r="AA5762">
        <v>0.90437160000000005</v>
      </c>
      <c r="AB5762">
        <v>35</v>
      </c>
      <c r="AC5762">
        <v>5.3635999999999902</v>
      </c>
      <c r="AD5762">
        <v>-1.118479443996</v>
      </c>
      <c r="AE5762">
        <v>5.1262299999999899</v>
      </c>
      <c r="AF5762">
        <v>-3.1639777550533199</v>
      </c>
      <c r="AG5762">
        <v>-1.118479443996</v>
      </c>
      <c r="AH5762">
        <v>6.5281290873401598</v>
      </c>
      <c r="AI5762">
        <v>98.764742364298499</v>
      </c>
      <c r="AJ5762">
        <v>115.85800110694601</v>
      </c>
      <c r="AK5762">
        <v>7.3401785320311204</v>
      </c>
      <c r="AL5762">
        <v>88.633234906441004</v>
      </c>
      <c r="AM5762">
        <v>104.954197773527</v>
      </c>
      <c r="AN5762">
        <v>1.00000005516178</v>
      </c>
    </row>
    <row r="5763" spans="1:40" x14ac:dyDescent="0.25">
      <c r="A5763" t="str">
        <f>"20190312151429297"</f>
        <v>20190312151429297</v>
      </c>
      <c r="B5763" t="str">
        <f>"1552374869286306"</f>
        <v>1552374869286306</v>
      </c>
      <c r="C5763" t="s">
        <v>40</v>
      </c>
      <c r="D5763">
        <v>4.5916790000000001</v>
      </c>
      <c r="E5763">
        <v>0.42982559999999898</v>
      </c>
      <c r="F5763" t="s">
        <v>59</v>
      </c>
      <c r="G5763">
        <v>-200.05799999999999</v>
      </c>
      <c r="H5763" s="1">
        <v>-6.500182E-6</v>
      </c>
      <c r="I5763">
        <v>-55.172809999999998</v>
      </c>
      <c r="J5763">
        <v>-205.36689999999999</v>
      </c>
      <c r="K5763">
        <v>1.118554</v>
      </c>
      <c r="L5763">
        <v>-60.309600000000003</v>
      </c>
      <c r="M5763">
        <v>0.95014969999999999</v>
      </c>
      <c r="N5763">
        <v>0</v>
      </c>
      <c r="O5763">
        <v>0.3115308</v>
      </c>
      <c r="P5763">
        <v>0.83805750000000001</v>
      </c>
      <c r="Q5763">
        <v>1.7010319999999999E-2</v>
      </c>
      <c r="R5763">
        <v>0.54531660000000004</v>
      </c>
      <c r="S5763">
        <v>2.2218629999999999</v>
      </c>
      <c r="T5763">
        <v>-0.4532735</v>
      </c>
      <c r="U5763">
        <v>2.1063540000000001</v>
      </c>
      <c r="V5763">
        <v>-0.25767370000000001</v>
      </c>
      <c r="W5763">
        <v>2.354912E-2</v>
      </c>
      <c r="X5763">
        <v>0.96594500000000005</v>
      </c>
      <c r="Y5763">
        <v>-0.42638670000000001</v>
      </c>
      <c r="Z5763">
        <v>-1.454891E-2</v>
      </c>
      <c r="AA5763">
        <v>0.90442400000000001</v>
      </c>
      <c r="AB5763">
        <v>35</v>
      </c>
      <c r="AC5763">
        <v>5.3088999999999897</v>
      </c>
      <c r="AD5763">
        <v>-1.118560500182</v>
      </c>
      <c r="AE5763">
        <v>5.1367900000000004</v>
      </c>
      <c r="AF5763">
        <v>-3.1547674731636701</v>
      </c>
      <c r="AG5763">
        <v>-1.118560500182</v>
      </c>
      <c r="AH5763">
        <v>6.4961234140554804</v>
      </c>
      <c r="AI5763">
        <v>98.8045757652867</v>
      </c>
      <c r="AJ5763">
        <v>115.902993431049</v>
      </c>
      <c r="AK5763">
        <v>7.3077599038924896</v>
      </c>
      <c r="AL5763">
        <v>88.650610100124595</v>
      </c>
      <c r="AM5763">
        <v>104.936310618387</v>
      </c>
      <c r="AN5763">
        <v>1.0000000198747301</v>
      </c>
    </row>
    <row r="5764" spans="1:40" x14ac:dyDescent="0.25">
      <c r="A5764" t="str">
        <f>"20190312151429307"</f>
        <v>20190312151429307</v>
      </c>
      <c r="B5764" t="str">
        <f>"1552374869296067"</f>
        <v>1552374869296067</v>
      </c>
      <c r="C5764" t="s">
        <v>40</v>
      </c>
      <c r="D5764">
        <v>4.5098370000000001</v>
      </c>
      <c r="E5764">
        <v>0.4298227</v>
      </c>
      <c r="F5764" t="s">
        <v>59</v>
      </c>
      <c r="G5764">
        <v>-199.93899999999999</v>
      </c>
      <c r="H5764" s="1">
        <v>-9.1348189999999997E-6</v>
      </c>
      <c r="I5764">
        <v>-55.113059999999997</v>
      </c>
      <c r="J5764">
        <v>-205.19980000000001</v>
      </c>
      <c r="K5764">
        <v>1.118633</v>
      </c>
      <c r="L5764">
        <v>-60.25076</v>
      </c>
      <c r="M5764">
        <v>0.94852360000000002</v>
      </c>
      <c r="N5764">
        <v>0</v>
      </c>
      <c r="O5764">
        <v>0.31644670000000003</v>
      </c>
      <c r="P5764">
        <v>0.83506650000000004</v>
      </c>
      <c r="Q5764">
        <v>1.69517E-2</v>
      </c>
      <c r="R5764">
        <v>0.54988780000000004</v>
      </c>
      <c r="S5764">
        <v>2.2113649999999998</v>
      </c>
      <c r="T5764">
        <v>-0.45571469999999997</v>
      </c>
      <c r="U5764">
        <v>2.1171259999999998</v>
      </c>
      <c r="V5764">
        <v>-0.2579514</v>
      </c>
      <c r="W5764">
        <v>2.3456149999999999E-2</v>
      </c>
      <c r="X5764">
        <v>0.96587310000000004</v>
      </c>
      <c r="Y5764">
        <v>-0.42618329999999999</v>
      </c>
      <c r="Z5764">
        <v>-1.542495E-2</v>
      </c>
      <c r="AA5764">
        <v>0.90450529999999996</v>
      </c>
      <c r="AB5764">
        <v>35</v>
      </c>
      <c r="AC5764">
        <v>5.2607999999999802</v>
      </c>
      <c r="AD5764">
        <v>-1.1186421348190001</v>
      </c>
      <c r="AE5764">
        <v>5.1376999999999997</v>
      </c>
      <c r="AF5764">
        <v>-3.13615239872522</v>
      </c>
      <c r="AG5764">
        <v>-1.1186421348190001</v>
      </c>
      <c r="AH5764">
        <v>6.4666899609435804</v>
      </c>
      <c r="AI5764">
        <v>98.846938344706402</v>
      </c>
      <c r="AJ5764">
        <v>115.87200634770799</v>
      </c>
      <c r="AK5764">
        <v>7.27357485317851</v>
      </c>
      <c r="AL5764">
        <v>88.655938307534996</v>
      </c>
      <c r="AM5764">
        <v>104.95275039107</v>
      </c>
      <c r="AN5764">
        <v>0.99999998051919603</v>
      </c>
    </row>
    <row r="5765" spans="1:40" x14ac:dyDescent="0.25">
      <c r="A5765" t="str">
        <f>"20190312151429318"</f>
        <v>20190312151429318</v>
      </c>
      <c r="B5765" t="str">
        <f>"1552374869306802"</f>
        <v>1552374869306802</v>
      </c>
      <c r="C5765" t="s">
        <v>40</v>
      </c>
      <c r="D5765">
        <v>4.5523059999999997</v>
      </c>
      <c r="E5765">
        <v>0.4298227</v>
      </c>
      <c r="F5765" t="s">
        <v>59</v>
      </c>
      <c r="G5765">
        <v>-199.7696</v>
      </c>
      <c r="H5765" s="1">
        <v>-9.1573680000000006E-6</v>
      </c>
      <c r="I5765">
        <v>-54.994520000000001</v>
      </c>
      <c r="J5765">
        <v>-205.0436</v>
      </c>
      <c r="K5765">
        <v>1.1187069999999999</v>
      </c>
      <c r="L5765">
        <v>-60.194400000000002</v>
      </c>
      <c r="M5765">
        <v>0.94696259999999999</v>
      </c>
      <c r="N5765">
        <v>0</v>
      </c>
      <c r="O5765">
        <v>0.32108759999999997</v>
      </c>
      <c r="P5765">
        <v>0.83231840000000001</v>
      </c>
      <c r="Q5765">
        <v>1.6738030000000001E-2</v>
      </c>
      <c r="R5765">
        <v>0.55404519999999902</v>
      </c>
      <c r="S5765">
        <v>2.1996609999999999</v>
      </c>
      <c r="T5765">
        <v>-0.45313599999999998</v>
      </c>
      <c r="U5765">
        <v>2.129181</v>
      </c>
      <c r="V5765">
        <v>-0.25803579999999998</v>
      </c>
      <c r="W5765">
        <v>2.321494E-2</v>
      </c>
      <c r="X5765">
        <v>0.96585639999999995</v>
      </c>
      <c r="Y5765">
        <v>-0.42677019999999999</v>
      </c>
      <c r="Z5765">
        <v>-1.6025709999999999E-2</v>
      </c>
      <c r="AA5765">
        <v>0.90421810000000002</v>
      </c>
      <c r="AB5765">
        <v>35</v>
      </c>
      <c r="AC5765">
        <v>5.274</v>
      </c>
      <c r="AD5765">
        <v>-1.11871615736799</v>
      </c>
      <c r="AE5765">
        <v>5.1998800000000003</v>
      </c>
      <c r="AF5765">
        <v>-3.1588700987600302</v>
      </c>
      <c r="AG5765">
        <v>-1.11871615736799</v>
      </c>
      <c r="AH5765">
        <v>6.5157843393561201</v>
      </c>
      <c r="AI5765">
        <v>98.782462893801906</v>
      </c>
      <c r="AJ5765">
        <v>115.864234617899</v>
      </c>
      <c r="AK5765">
        <v>7.3270343044505299</v>
      </c>
      <c r="AL5765">
        <v>88.669762408485397</v>
      </c>
      <c r="AM5765">
        <v>104.957670622818</v>
      </c>
      <c r="AN5765">
        <v>0.99999999647090099</v>
      </c>
    </row>
    <row r="5766" spans="1:40" x14ac:dyDescent="0.25">
      <c r="A5766" t="str">
        <f>"20190312151429330"</f>
        <v>20190312151429330</v>
      </c>
      <c r="B5766" t="str">
        <f>"1552374869326323"</f>
        <v>1552374869326323</v>
      </c>
      <c r="C5766" t="s">
        <v>40</v>
      </c>
      <c r="D5766">
        <v>4.5728710000000001</v>
      </c>
      <c r="E5766">
        <v>0.42124099999999998</v>
      </c>
      <c r="F5766" t="s">
        <v>59</v>
      </c>
      <c r="G5766">
        <v>-199.6455</v>
      </c>
      <c r="H5766" s="1">
        <v>-9.1707319999999993E-6</v>
      </c>
      <c r="I5766">
        <v>-54.916690000000003</v>
      </c>
      <c r="J5766">
        <v>-204.87899999999999</v>
      </c>
      <c r="K5766">
        <v>1.1187860000000001</v>
      </c>
      <c r="L5766">
        <v>-60.134340000000002</v>
      </c>
      <c r="M5766">
        <v>0.94528319999999999</v>
      </c>
      <c r="N5766">
        <v>0</v>
      </c>
      <c r="O5766">
        <v>0.32599790000000001</v>
      </c>
      <c r="P5766">
        <v>0.82942870000000002</v>
      </c>
      <c r="Q5766">
        <v>1.6568980000000001E-2</v>
      </c>
      <c r="R5766">
        <v>0.55836699999999995</v>
      </c>
      <c r="S5766">
        <v>2.1889189999999998</v>
      </c>
      <c r="T5766">
        <v>-0.45363829999999999</v>
      </c>
      <c r="U5766">
        <v>2.1401059999999998</v>
      </c>
      <c r="V5766">
        <v>-0.25804529999999998</v>
      </c>
      <c r="W5766">
        <v>2.301949E-2</v>
      </c>
      <c r="X5766">
        <v>0.96585860000000001</v>
      </c>
      <c r="Y5766">
        <v>-0.42664849999999999</v>
      </c>
      <c r="Z5766">
        <v>-1.683217E-2</v>
      </c>
      <c r="AA5766">
        <v>0.90426090000000003</v>
      </c>
      <c r="AB5766">
        <v>35</v>
      </c>
      <c r="AC5766">
        <v>5.2335000000000198</v>
      </c>
      <c r="AD5766">
        <v>-1.1187951707320001</v>
      </c>
      <c r="AE5766">
        <v>5.2176499999999901</v>
      </c>
      <c r="AF5766">
        <v>-3.1540249737297299</v>
      </c>
      <c r="AG5766">
        <v>-1.1187951707320001</v>
      </c>
      <c r="AH5766">
        <v>6.4996632848769602</v>
      </c>
      <c r="AI5766">
        <v>98.802962111945106</v>
      </c>
      <c r="AJ5766">
        <v>115.885432423637</v>
      </c>
      <c r="AK5766">
        <v>7.3106223391542802</v>
      </c>
      <c r="AL5766">
        <v>88.680963938642094</v>
      </c>
      <c r="AM5766">
        <v>104.958164086116</v>
      </c>
      <c r="AN5766">
        <v>1.0000000544829499</v>
      </c>
    </row>
    <row r="5767" spans="1:40" x14ac:dyDescent="0.25">
      <c r="A5767" t="str">
        <f>"20190312151429340"</f>
        <v>20190312151429340</v>
      </c>
      <c r="B5767" t="str">
        <f>"1552374869336082"</f>
        <v>1552374869336082</v>
      </c>
      <c r="C5767" t="s">
        <v>40</v>
      </c>
      <c r="D5767">
        <v>4.5831220000000004</v>
      </c>
      <c r="E5767">
        <v>0.42059760000000002</v>
      </c>
      <c r="F5767" t="s">
        <v>41</v>
      </c>
      <c r="G5767">
        <v>-204.1328</v>
      </c>
      <c r="H5767">
        <v>0.99843990000000005</v>
      </c>
      <c r="I5767">
        <v>-59.365020000000001</v>
      </c>
      <c r="J5767">
        <v>-204.71299999999999</v>
      </c>
      <c r="K5767">
        <v>1.1188629999999999</v>
      </c>
      <c r="L5767">
        <v>-60.072719999999997</v>
      </c>
      <c r="M5767">
        <v>0.94354839999999995</v>
      </c>
      <c r="N5767">
        <v>0</v>
      </c>
      <c r="O5767">
        <v>0.33098499999999997</v>
      </c>
      <c r="P5767">
        <v>0.82652909999999902</v>
      </c>
      <c r="Q5767">
        <v>1.6268370000000001E-2</v>
      </c>
      <c r="R5767">
        <v>0.56265900000000002</v>
      </c>
      <c r="S5767">
        <v>2.1389619999999998</v>
      </c>
      <c r="T5767">
        <v>-0.34499940000000001</v>
      </c>
      <c r="U5767">
        <v>2.2057500000000001</v>
      </c>
      <c r="V5767">
        <v>-0.25794630000000002</v>
      </c>
      <c r="W5767">
        <v>2.2695799999999999E-2</v>
      </c>
      <c r="X5767">
        <v>0.96589270000000005</v>
      </c>
      <c r="Y5767">
        <v>-0.44625320000000002</v>
      </c>
      <c r="Z5767">
        <v>-1.2175480000000001E-2</v>
      </c>
      <c r="AA5767">
        <v>0.89482390000000001</v>
      </c>
      <c r="AB5767">
        <v>35</v>
      </c>
      <c r="AC5767">
        <v>0.58019999999998995</v>
      </c>
      <c r="AD5767">
        <v>-0.12042310000000001</v>
      </c>
      <c r="AE5767">
        <v>0.70770000000000199</v>
      </c>
      <c r="AF5767">
        <v>-0.46765311902399698</v>
      </c>
      <c r="AG5767">
        <v>-0.12042310000000001</v>
      </c>
      <c r="AH5767">
        <v>0.76844307465670503</v>
      </c>
      <c r="AI5767">
        <v>97.624809084109401</v>
      </c>
      <c r="AJ5767">
        <v>121.323532965406</v>
      </c>
      <c r="AK5767">
        <v>0.90758246001910703</v>
      </c>
      <c r="AL5767">
        <v>88.699514850159503</v>
      </c>
      <c r="AM5767">
        <v>104.952178171271</v>
      </c>
      <c r="AN5767">
        <v>1.0000000504672999</v>
      </c>
    </row>
    <row r="5768" spans="1:40" x14ac:dyDescent="0.25">
      <c r="A5768" t="str">
        <f>"20190312151429352"</f>
        <v>20190312151429352</v>
      </c>
      <c r="B5768" t="str">
        <f>"1552374869346835"</f>
        <v>1552374869346835</v>
      </c>
      <c r="C5768" t="s">
        <v>40</v>
      </c>
      <c r="D5768">
        <v>4.6190030000000002</v>
      </c>
      <c r="E5768">
        <v>0.42072080000000001</v>
      </c>
      <c r="F5768" t="s">
        <v>41</v>
      </c>
      <c r="G5768">
        <v>-204.0395</v>
      </c>
      <c r="H5768">
        <v>1.0079560000000001</v>
      </c>
      <c r="I5768">
        <v>-59.368609999999997</v>
      </c>
      <c r="J5768">
        <v>-204.5479</v>
      </c>
      <c r="K5768">
        <v>1.118938</v>
      </c>
      <c r="L5768">
        <v>-60.010249999999999</v>
      </c>
      <c r="M5768">
        <v>0.94178059999999997</v>
      </c>
      <c r="N5768">
        <v>0</v>
      </c>
      <c r="O5768">
        <v>0.33598169999999999</v>
      </c>
      <c r="P5768">
        <v>0.82356200000000002</v>
      </c>
      <c r="Q5768">
        <v>1.6118589999999999E-2</v>
      </c>
      <c r="R5768">
        <v>0.56699719999999998</v>
      </c>
      <c r="S5768">
        <v>2.1242679999999998</v>
      </c>
      <c r="T5768">
        <v>-0.34986080000000003</v>
      </c>
      <c r="U5768">
        <v>2.2214659999999999</v>
      </c>
      <c r="V5768">
        <v>-0.25790489999999999</v>
      </c>
      <c r="W5768">
        <v>2.2522750000000001E-2</v>
      </c>
      <c r="X5768">
        <v>0.96590779999999998</v>
      </c>
      <c r="Y5768">
        <v>-0.4477643</v>
      </c>
      <c r="Z5768">
        <v>-1.2860099999999999E-2</v>
      </c>
      <c r="AA5768">
        <v>0.8940591</v>
      </c>
      <c r="AB5768">
        <v>35</v>
      </c>
      <c r="AC5768">
        <v>0.50839999999999397</v>
      </c>
      <c r="AD5768">
        <v>-0.110982</v>
      </c>
      <c r="AE5768">
        <v>0.64164000000000199</v>
      </c>
      <c r="AF5768">
        <v>-0.42568332998769498</v>
      </c>
      <c r="AG5768">
        <v>-0.110982</v>
      </c>
      <c r="AH5768">
        <v>0.68190541363375701</v>
      </c>
      <c r="AI5768">
        <v>97.860578116355995</v>
      </c>
      <c r="AJ5768">
        <v>121.974706017682</v>
      </c>
      <c r="AK5768">
        <v>0.81149140161583799</v>
      </c>
      <c r="AL5768">
        <v>88.709432412289999</v>
      </c>
      <c r="AM5768">
        <v>104.949662577921</v>
      </c>
      <c r="AN5768">
        <v>1.0000000449062001</v>
      </c>
    </row>
    <row r="5769" spans="1:40" x14ac:dyDescent="0.25">
      <c r="A5769" t="str">
        <f>"20190312151429363"</f>
        <v>20190312151429363</v>
      </c>
      <c r="B5769" t="str">
        <f>"1552374869356578"</f>
        <v>1552374869356578</v>
      </c>
      <c r="C5769" t="s">
        <v>40</v>
      </c>
      <c r="D5769">
        <v>4.589105</v>
      </c>
      <c r="E5769">
        <v>0.42027799999999998</v>
      </c>
      <c r="F5769" t="s">
        <v>41</v>
      </c>
      <c r="G5769">
        <v>-203.84039999999999</v>
      </c>
      <c r="H5769">
        <v>1.000041</v>
      </c>
      <c r="I5769">
        <v>-59.262860000000003</v>
      </c>
      <c r="J5769">
        <v>-204.381</v>
      </c>
      <c r="K5769">
        <v>1.11901299999999</v>
      </c>
      <c r="L5769">
        <v>-59.946469999999998</v>
      </c>
      <c r="M5769">
        <v>0.93995629999999997</v>
      </c>
      <c r="N5769">
        <v>0</v>
      </c>
      <c r="O5769">
        <v>0.34105150000000001</v>
      </c>
      <c r="P5769">
        <v>0.82053430000000005</v>
      </c>
      <c r="Q5769">
        <v>1.600012E-2</v>
      </c>
      <c r="R5769">
        <v>0.57137329999999997</v>
      </c>
      <c r="S5769">
        <v>2.113022</v>
      </c>
      <c r="T5769">
        <v>-0.35507169999999999</v>
      </c>
      <c r="U5769">
        <v>2.231995</v>
      </c>
      <c r="V5769">
        <v>-0.25784170000000001</v>
      </c>
      <c r="W5769">
        <v>2.2381169999999999E-2</v>
      </c>
      <c r="X5769">
        <v>0.96592789999999995</v>
      </c>
      <c r="Y5769">
        <v>-0.44743680000000002</v>
      </c>
      <c r="Z5769">
        <v>-1.3704910000000001E-2</v>
      </c>
      <c r="AA5769">
        <v>0.89421049999999902</v>
      </c>
      <c r="AB5769">
        <v>35</v>
      </c>
      <c r="AC5769">
        <v>0.54059999999998298</v>
      </c>
      <c r="AD5769">
        <v>-0.118971999999999</v>
      </c>
      <c r="AE5769">
        <v>0.68361000000000105</v>
      </c>
      <c r="AF5769">
        <v>-0.44984639793640802</v>
      </c>
      <c r="AG5769">
        <v>-0.118971999999999</v>
      </c>
      <c r="AH5769">
        <v>0.72778610012220202</v>
      </c>
      <c r="AI5769">
        <v>97.916363261524907</v>
      </c>
      <c r="AJ5769">
        <v>121.72031420406999</v>
      </c>
      <c r="AK5769">
        <v>0.86382216112545196</v>
      </c>
      <c r="AL5769">
        <v>88.717546314998202</v>
      </c>
      <c r="AM5769">
        <v>104.945866007031</v>
      </c>
      <c r="AN5769">
        <v>0.99999998351393404</v>
      </c>
    </row>
    <row r="5770" spans="1:40" x14ac:dyDescent="0.25">
      <c r="A5770" t="str">
        <f>"20190312151429376"</f>
        <v>20190312151429376</v>
      </c>
      <c r="B5770" t="str">
        <f>"1552374869366338"</f>
        <v>1552374869366338</v>
      </c>
      <c r="C5770" t="s">
        <v>40</v>
      </c>
      <c r="D5770">
        <v>4.6172370000000003</v>
      </c>
      <c r="E5770">
        <v>0.42015619999999998</v>
      </c>
      <c r="F5770" t="s">
        <v>59</v>
      </c>
      <c r="G5770">
        <v>-197.87430000000001</v>
      </c>
      <c r="H5770" s="1">
        <v>-9.6503109999999998E-6</v>
      </c>
      <c r="I5770">
        <v>-52.982819999999997</v>
      </c>
      <c r="J5770">
        <v>-204.215</v>
      </c>
      <c r="K5770">
        <v>1.1190850000000001</v>
      </c>
      <c r="L5770">
        <v>-59.881410000000002</v>
      </c>
      <c r="M5770">
        <v>0.93809010000000004</v>
      </c>
      <c r="N5770">
        <v>0</v>
      </c>
      <c r="O5770">
        <v>0.34615109999999999</v>
      </c>
      <c r="P5770">
        <v>0.81749550000000004</v>
      </c>
      <c r="Q5770">
        <v>1.5933579999999999E-2</v>
      </c>
      <c r="R5770">
        <v>0.57571470000000002</v>
      </c>
      <c r="S5770">
        <v>2.0989529999999998</v>
      </c>
      <c r="T5770">
        <v>-0.36097980000000002</v>
      </c>
      <c r="U5770">
        <v>2.2463679999999999</v>
      </c>
      <c r="V5770">
        <v>-0.2577178</v>
      </c>
      <c r="W5770">
        <v>2.229488E-2</v>
      </c>
      <c r="X5770">
        <v>0.96596289999999996</v>
      </c>
      <c r="Y5770">
        <v>-0.44842589999999999</v>
      </c>
      <c r="Z5770">
        <v>-1.45115E-2</v>
      </c>
      <c r="AA5770">
        <v>0.893702199999999</v>
      </c>
      <c r="AB5770">
        <v>35</v>
      </c>
      <c r="AC5770">
        <v>6.3406999999999902</v>
      </c>
      <c r="AD5770">
        <v>-1.119094650311</v>
      </c>
      <c r="AE5770">
        <v>6.8985899999999898</v>
      </c>
      <c r="AF5770">
        <v>-4.21686209654563</v>
      </c>
      <c r="AG5770">
        <v>-1.119094650311</v>
      </c>
      <c r="AH5770">
        <v>8.2195463192765708</v>
      </c>
      <c r="AI5770">
        <v>96.907085917067207</v>
      </c>
      <c r="AJ5770">
        <v>117.159119504649</v>
      </c>
      <c r="AK5770">
        <v>9.3056563697769796</v>
      </c>
      <c r="AL5770">
        <v>88.722491527286394</v>
      </c>
      <c r="AM5770">
        <v>104.938488190397</v>
      </c>
      <c r="AN5770">
        <v>0.99999992514372904</v>
      </c>
    </row>
    <row r="5771" spans="1:40" x14ac:dyDescent="0.25">
      <c r="A5771" t="str">
        <f>"20190312151429390"</f>
        <v>20190312151429390</v>
      </c>
      <c r="B5771" t="str">
        <f>"1552374869386833"</f>
        <v>1552374869386833</v>
      </c>
      <c r="C5771" t="s">
        <v>40</v>
      </c>
      <c r="D5771">
        <v>4.6022379999999998</v>
      </c>
      <c r="E5771">
        <v>0.42064790000000002</v>
      </c>
      <c r="F5771" t="s">
        <v>41</v>
      </c>
      <c r="G5771">
        <v>-203.5479</v>
      </c>
      <c r="H5771">
        <v>1.0022660000000001</v>
      </c>
      <c r="I5771">
        <v>-59.159399999999998</v>
      </c>
      <c r="J5771">
        <v>-204.01920000000001</v>
      </c>
      <c r="K5771">
        <v>1.11917</v>
      </c>
      <c r="L5771">
        <v>-59.803739999999998</v>
      </c>
      <c r="M5771">
        <v>0.93583839999999996</v>
      </c>
      <c r="N5771">
        <v>0</v>
      </c>
      <c r="O5771">
        <v>0.35219260000000002</v>
      </c>
      <c r="P5771">
        <v>0.81382349999999903</v>
      </c>
      <c r="Q5771">
        <v>1.5945810000000001E-2</v>
      </c>
      <c r="R5771">
        <v>0.5808932</v>
      </c>
      <c r="S5771">
        <v>2.0862430000000001</v>
      </c>
      <c r="T5771">
        <v>-0.36537439999999999</v>
      </c>
      <c r="U5771">
        <v>2.2586360000000001</v>
      </c>
      <c r="V5771">
        <v>-0.25762620000000003</v>
      </c>
      <c r="W5771">
        <v>2.2282489999999999E-2</v>
      </c>
      <c r="X5771">
        <v>0.9659877</v>
      </c>
      <c r="Y5771">
        <v>-0.44781989999999999</v>
      </c>
      <c r="Z5771">
        <v>-1.5503050000000001E-2</v>
      </c>
      <c r="AA5771">
        <v>0.89398940000000005</v>
      </c>
      <c r="AB5771">
        <v>35</v>
      </c>
      <c r="AC5771">
        <v>0.47130000000001299</v>
      </c>
      <c r="AD5771">
        <v>-0.11690399999999999</v>
      </c>
      <c r="AE5771">
        <v>0.64434000000000602</v>
      </c>
      <c r="AF5771">
        <v>-0.42787072368289603</v>
      </c>
      <c r="AG5771">
        <v>-0.11690399999999999</v>
      </c>
      <c r="AH5771">
        <v>0.65402294633509594</v>
      </c>
      <c r="AI5771">
        <v>98.507218690915295</v>
      </c>
      <c r="AJ5771">
        <v>123.19325833764501</v>
      </c>
      <c r="AK5771">
        <v>0.79024421271766698</v>
      </c>
      <c r="AL5771">
        <v>88.723201697127706</v>
      </c>
      <c r="AM5771">
        <v>104.93304963115401</v>
      </c>
      <c r="AN5771">
        <v>1.00000000241916</v>
      </c>
    </row>
    <row r="5772" spans="1:40" x14ac:dyDescent="0.25">
      <c r="A5772" t="str">
        <f>"20190312151429403"</f>
        <v>20190312151429403</v>
      </c>
      <c r="B5772" t="str">
        <f>"1552374869396213"</f>
        <v>1552374869396213</v>
      </c>
      <c r="C5772" t="s">
        <v>40</v>
      </c>
      <c r="D5772">
        <v>4.6390799999999999</v>
      </c>
      <c r="E5772">
        <v>0.42089969999999999</v>
      </c>
      <c r="F5772" t="s">
        <v>41</v>
      </c>
      <c r="G5772">
        <v>-203.2885</v>
      </c>
      <c r="H5772">
        <v>0.98857950000000006</v>
      </c>
      <c r="I5772">
        <v>-59.00423</v>
      </c>
      <c r="J5772">
        <v>-203.82050000000001</v>
      </c>
      <c r="K5772">
        <v>1.1192569999999999</v>
      </c>
      <c r="L5772">
        <v>-59.723390000000002</v>
      </c>
      <c r="M5772">
        <v>0.93348900000000001</v>
      </c>
      <c r="N5772">
        <v>0</v>
      </c>
      <c r="O5772">
        <v>0.358373</v>
      </c>
      <c r="P5772">
        <v>0.81008729999999995</v>
      </c>
      <c r="Q5772">
        <v>1.5921910000000001E-2</v>
      </c>
      <c r="R5772">
        <v>0.58609299999999998</v>
      </c>
      <c r="S5772">
        <v>2.0739139999999998</v>
      </c>
      <c r="T5772">
        <v>-0.37061749999999999</v>
      </c>
      <c r="U5772">
        <v>2.2690730000000001</v>
      </c>
      <c r="V5772">
        <v>-0.25742789999999999</v>
      </c>
      <c r="W5772">
        <v>2.2236249999999999E-2</v>
      </c>
      <c r="X5772">
        <v>0.96604159999999994</v>
      </c>
      <c r="Y5772">
        <v>-0.44662669999999999</v>
      </c>
      <c r="Z5772">
        <v>-1.6614770000000001E-2</v>
      </c>
      <c r="AA5772">
        <v>0.89456610000000003</v>
      </c>
      <c r="AB5772">
        <v>35</v>
      </c>
      <c r="AC5772">
        <v>0.53200000000001002</v>
      </c>
      <c r="AD5772">
        <v>-0.130677499999999</v>
      </c>
      <c r="AE5772">
        <v>0.71915999999999503</v>
      </c>
      <c r="AF5772">
        <v>-0.47066957399751302</v>
      </c>
      <c r="AG5772">
        <v>-0.130677499999999</v>
      </c>
      <c r="AH5772">
        <v>0.73864401975502603</v>
      </c>
      <c r="AI5772">
        <v>98.485912580336404</v>
      </c>
      <c r="AJ5772">
        <v>122.505596410769</v>
      </c>
      <c r="AK5772">
        <v>0.88555149190383897</v>
      </c>
      <c r="AL5772">
        <v>88.725851673990206</v>
      </c>
      <c r="AM5772">
        <v>104.92127286973199</v>
      </c>
      <c r="AN5772">
        <v>0.99999997372151594</v>
      </c>
    </row>
    <row r="5773" spans="1:40" x14ac:dyDescent="0.25">
      <c r="A5773" t="str">
        <f>"20190312151429417"</f>
        <v>20190312151429417</v>
      </c>
      <c r="B5773" t="str">
        <f>"1552374869405973"</f>
        <v>1552374869405973</v>
      </c>
      <c r="C5773" t="s">
        <v>40</v>
      </c>
      <c r="D5773">
        <v>4.6708470000000002</v>
      </c>
      <c r="E5773">
        <v>0.42121750000000002</v>
      </c>
      <c r="F5773" t="s">
        <v>59</v>
      </c>
      <c r="G5773">
        <v>-197.64330000000001</v>
      </c>
      <c r="H5773" s="1">
        <v>-9.6582720000000004E-6</v>
      </c>
      <c r="I5773">
        <v>-52.886110000000002</v>
      </c>
      <c r="J5773">
        <v>-203.625</v>
      </c>
      <c r="K5773">
        <v>1.1193340000000001</v>
      </c>
      <c r="L5773">
        <v>-59.642429999999997</v>
      </c>
      <c r="M5773">
        <v>0.93110809999999999</v>
      </c>
      <c r="N5773">
        <v>0</v>
      </c>
      <c r="O5773">
        <v>0.364514</v>
      </c>
      <c r="P5773">
        <v>0.80640990000000001</v>
      </c>
      <c r="Q5773">
        <v>1.6295110000000002E-2</v>
      </c>
      <c r="R5773">
        <v>0.59113249999999995</v>
      </c>
      <c r="S5773">
        <v>2.0605470000000001</v>
      </c>
      <c r="T5773">
        <v>-0.3733571</v>
      </c>
      <c r="U5773">
        <v>2.2807309999999998</v>
      </c>
      <c r="V5773">
        <v>-0.25710349999999998</v>
      </c>
      <c r="W5773">
        <v>2.2591880000000002E-2</v>
      </c>
      <c r="X5773">
        <v>0.96611979999999997</v>
      </c>
      <c r="Y5773">
        <v>-0.44592710000000002</v>
      </c>
      <c r="Z5773">
        <v>-1.7595619999999999E-2</v>
      </c>
      <c r="AA5773">
        <v>0.89489629999999998</v>
      </c>
      <c r="AB5773">
        <v>35</v>
      </c>
      <c r="AC5773">
        <v>5.9816999999999796</v>
      </c>
      <c r="AD5773">
        <v>-1.119343658272</v>
      </c>
      <c r="AE5773">
        <v>6.7563199999999997</v>
      </c>
      <c r="AF5773">
        <v>-4.0485009545281603</v>
      </c>
      <c r="AG5773">
        <v>-1.119343658272</v>
      </c>
      <c r="AH5773">
        <v>7.9113239244147904</v>
      </c>
      <c r="AI5773">
        <v>97.178740061449901</v>
      </c>
      <c r="AJ5773">
        <v>117.100413040878</v>
      </c>
      <c r="AK5773">
        <v>8.9572504956123193</v>
      </c>
      <c r="AL5773">
        <v>88.705470534769404</v>
      </c>
      <c r="AM5773">
        <v>104.90215427597801</v>
      </c>
      <c r="AN5773">
        <v>1.00000003535311</v>
      </c>
    </row>
    <row r="5774" spans="1:40" x14ac:dyDescent="0.25">
      <c r="A5774" t="str">
        <f>"20190312151429431"</f>
        <v>20190312151429431</v>
      </c>
      <c r="B5774" t="str">
        <f>"1552374869426470"</f>
        <v>1552374869426470</v>
      </c>
      <c r="C5774" t="s">
        <v>40</v>
      </c>
      <c r="D5774">
        <v>4.6626669999999999</v>
      </c>
      <c r="E5774">
        <v>0.42184300000000002</v>
      </c>
      <c r="F5774" t="s">
        <v>41</v>
      </c>
      <c r="G5774">
        <v>-202.98089999999999</v>
      </c>
      <c r="H5774">
        <v>1.0021119999999999</v>
      </c>
      <c r="I5774">
        <v>-58.921590000000002</v>
      </c>
      <c r="J5774">
        <v>-203.41900000000001</v>
      </c>
      <c r="K5774">
        <v>1.1194200000000001</v>
      </c>
      <c r="L5774">
        <v>-59.555790000000002</v>
      </c>
      <c r="M5774">
        <v>0.92853330000000001</v>
      </c>
      <c r="N5774">
        <v>0</v>
      </c>
      <c r="O5774">
        <v>0.37102279999999999</v>
      </c>
      <c r="P5774">
        <v>0.80228120000000003</v>
      </c>
      <c r="Q5774">
        <v>1.6262929999999998E-2</v>
      </c>
      <c r="R5774">
        <v>0.596724699999999</v>
      </c>
      <c r="S5774">
        <v>2.047577</v>
      </c>
      <c r="T5774">
        <v>-0.3726757</v>
      </c>
      <c r="U5774">
        <v>2.2920229999999999</v>
      </c>
      <c r="V5774">
        <v>-0.25706089999999998</v>
      </c>
      <c r="W5774">
        <v>2.2532759999999999E-2</v>
      </c>
      <c r="X5774">
        <v>0.96613249999999995</v>
      </c>
      <c r="Y5774">
        <v>-0.44471840000000001</v>
      </c>
      <c r="Z5774">
        <v>-1.8504059999999999E-2</v>
      </c>
      <c r="AA5774">
        <v>0.89547929999999998</v>
      </c>
      <c r="AB5774">
        <v>35</v>
      </c>
      <c r="AC5774">
        <v>0.43810000000001897</v>
      </c>
      <c r="AD5774">
        <v>-0.117307999999999</v>
      </c>
      <c r="AE5774">
        <v>0.63419999999999899</v>
      </c>
      <c r="AF5774">
        <v>-0.41671482942737398</v>
      </c>
      <c r="AG5774">
        <v>-0.117307999999999</v>
      </c>
      <c r="AH5774">
        <v>0.62761067188564401</v>
      </c>
      <c r="AI5774">
        <v>98.850663645781694</v>
      </c>
      <c r="AJ5774">
        <v>123.58297841275601</v>
      </c>
      <c r="AK5774">
        <v>0.76243528997117804</v>
      </c>
      <c r="AL5774">
        <v>88.708858703254705</v>
      </c>
      <c r="AM5774">
        <v>104.89960779139101</v>
      </c>
      <c r="AN5774">
        <v>1.0000000195691301</v>
      </c>
    </row>
    <row r="5775" spans="1:40" x14ac:dyDescent="0.25">
      <c r="A5775" t="str">
        <f>"20190312151429443"</f>
        <v>20190312151429443</v>
      </c>
      <c r="B5775" t="str">
        <f>"1552374869436229"</f>
        <v>1552374869436229</v>
      </c>
      <c r="C5775" t="s">
        <v>40</v>
      </c>
      <c r="D5775">
        <v>4.6512690000000001</v>
      </c>
      <c r="E5775">
        <v>0.42218450000000002</v>
      </c>
      <c r="F5775" t="s">
        <v>41</v>
      </c>
      <c r="G5775">
        <v>-202.72120000000001</v>
      </c>
      <c r="H5775">
        <v>0.99066209999999999</v>
      </c>
      <c r="I5775">
        <v>-58.766350000000003</v>
      </c>
      <c r="J5775">
        <v>-203.25200000000001</v>
      </c>
      <c r="K5775">
        <v>1.1194919999999999</v>
      </c>
      <c r="L5775">
        <v>-59.484380000000002</v>
      </c>
      <c r="M5775">
        <v>0.92639360000000004</v>
      </c>
      <c r="N5775">
        <v>0</v>
      </c>
      <c r="O5775">
        <v>0.37633299999999997</v>
      </c>
      <c r="P5775">
        <v>0.79884919999999904</v>
      </c>
      <c r="Q5775">
        <v>1.6291030000000001E-2</v>
      </c>
      <c r="R5775">
        <v>0.60131080000000003</v>
      </c>
      <c r="S5775">
        <v>2.0345759999999999</v>
      </c>
      <c r="T5775">
        <v>-0.37546810000000003</v>
      </c>
      <c r="U5775">
        <v>2.3022459999999998</v>
      </c>
      <c r="V5775">
        <v>-0.25706830000000003</v>
      </c>
      <c r="W5775">
        <v>2.2537539999999998E-2</v>
      </c>
      <c r="X5775">
        <v>0.96613039999999994</v>
      </c>
      <c r="Y5775">
        <v>-0.44442720000000002</v>
      </c>
      <c r="Z5775">
        <v>-1.9373999999999999E-2</v>
      </c>
      <c r="AA5775">
        <v>0.89560550000000005</v>
      </c>
      <c r="AB5775">
        <v>35</v>
      </c>
      <c r="AC5775">
        <v>0.53079999999999905</v>
      </c>
      <c r="AD5775">
        <v>-0.1288299</v>
      </c>
      <c r="AE5775">
        <v>0.71802999999999795</v>
      </c>
      <c r="AF5775">
        <v>-0.45596846204265101</v>
      </c>
      <c r="AG5775">
        <v>-0.1288299</v>
      </c>
      <c r="AH5775">
        <v>0.74647346322214003</v>
      </c>
      <c r="AI5775">
        <v>98.378391047592004</v>
      </c>
      <c r="AJ5775">
        <v>121.417841459038</v>
      </c>
      <c r="AK5775">
        <v>0.88415327449849301</v>
      </c>
      <c r="AL5775">
        <v>88.7085847354804</v>
      </c>
      <c r="AM5775">
        <v>104.900048574415</v>
      </c>
      <c r="AN5775">
        <v>1.0000000006891501</v>
      </c>
    </row>
    <row r="5776" spans="1:40" x14ac:dyDescent="0.25">
      <c r="A5776" t="str">
        <f>"20190312151429454"</f>
        <v>20190312151429454</v>
      </c>
      <c r="B5776" t="str">
        <f>"1552374869445988"</f>
        <v>1552374869445988</v>
      </c>
      <c r="C5776" t="s">
        <v>40</v>
      </c>
      <c r="D5776">
        <v>4.6740059999999897</v>
      </c>
      <c r="E5776">
        <v>0.42240339999999998</v>
      </c>
      <c r="F5776" t="s">
        <v>59</v>
      </c>
      <c r="G5776">
        <v>-197.2193</v>
      </c>
      <c r="H5776" s="1">
        <v>-9.7205339999999992E-6</v>
      </c>
      <c r="I5776">
        <v>-52.591850000000001</v>
      </c>
      <c r="J5776">
        <v>-203.09059999999999</v>
      </c>
      <c r="K5776">
        <v>1.119556</v>
      </c>
      <c r="L5776">
        <v>-59.413879999999999</v>
      </c>
      <c r="M5776">
        <v>0.92427309999999996</v>
      </c>
      <c r="N5776">
        <v>0</v>
      </c>
      <c r="O5776">
        <v>0.38151069999999998</v>
      </c>
      <c r="P5776">
        <v>0.79541030000000001</v>
      </c>
      <c r="Q5776">
        <v>1.6279269999999998E-2</v>
      </c>
      <c r="R5776">
        <v>0.60585279999999997</v>
      </c>
      <c r="S5776">
        <v>2.0231479999999999</v>
      </c>
      <c r="T5776">
        <v>-0.37543890000000002</v>
      </c>
      <c r="U5776">
        <v>2.311493</v>
      </c>
      <c r="V5776">
        <v>-0.25717079999999998</v>
      </c>
      <c r="W5776">
        <v>2.2500349999999999E-2</v>
      </c>
      <c r="X5776">
        <v>0.96610399999999996</v>
      </c>
      <c r="Y5776">
        <v>-0.44373360000000001</v>
      </c>
      <c r="Z5776">
        <v>-2.0112620000000001E-2</v>
      </c>
      <c r="AA5776">
        <v>0.89593299999999998</v>
      </c>
      <c r="AB5776">
        <v>35</v>
      </c>
      <c r="AC5776">
        <v>5.87129999999999</v>
      </c>
      <c r="AD5776">
        <v>-1.1195657205339999</v>
      </c>
      <c r="AE5776">
        <v>6.8220299999999998</v>
      </c>
      <c r="AF5776">
        <v>-4.0038503987335599</v>
      </c>
      <c r="AG5776">
        <v>-1.1195657205339999</v>
      </c>
      <c r="AH5776">
        <v>7.90769158010285</v>
      </c>
      <c r="AI5776">
        <v>97.198980532777995</v>
      </c>
      <c r="AJ5776">
        <v>116.854167172215</v>
      </c>
      <c r="AK5776">
        <v>8.9339706482651504</v>
      </c>
      <c r="AL5776">
        <v>88.710716121190401</v>
      </c>
      <c r="AM5776">
        <v>104.90611440148599</v>
      </c>
      <c r="AN5776">
        <v>1.00000001246938</v>
      </c>
    </row>
    <row r="5777" spans="1:40" x14ac:dyDescent="0.25">
      <c r="A5777" t="str">
        <f>"20190312151429466"</f>
        <v>20190312151429466</v>
      </c>
      <c r="B5777" t="str">
        <f>"1552374869455749"</f>
        <v>1552374869455749</v>
      </c>
      <c r="C5777" t="s">
        <v>40</v>
      </c>
      <c r="D5777">
        <v>4.7033779999999998</v>
      </c>
      <c r="E5777">
        <v>0.42253410000000002</v>
      </c>
      <c r="F5777" t="s">
        <v>41</v>
      </c>
      <c r="G5777">
        <v>-202.43209999999999</v>
      </c>
      <c r="H5777">
        <v>0.99608739999999996</v>
      </c>
      <c r="I5777">
        <v>-58.653709999999997</v>
      </c>
      <c r="J5777">
        <v>-202.91990000000001</v>
      </c>
      <c r="K5777">
        <v>1.1196250000000001</v>
      </c>
      <c r="L5777">
        <v>-59.338679999999997</v>
      </c>
      <c r="M5777">
        <v>0.92198800000000003</v>
      </c>
      <c r="N5777">
        <v>0</v>
      </c>
      <c r="O5777">
        <v>0.38700010000000001</v>
      </c>
      <c r="P5777">
        <v>0.79185229999999995</v>
      </c>
      <c r="Q5777">
        <v>1.629071E-2</v>
      </c>
      <c r="R5777">
        <v>0.61049540000000002</v>
      </c>
      <c r="S5777">
        <v>2.0108489999999999</v>
      </c>
      <c r="T5777">
        <v>-0.37707879999999999</v>
      </c>
      <c r="U5777">
        <v>2.3218380000000001</v>
      </c>
      <c r="V5777">
        <v>-0.25708110000000001</v>
      </c>
      <c r="W5777">
        <v>2.2490340000000001E-2</v>
      </c>
      <c r="X5777">
        <v>0.96612810000000005</v>
      </c>
      <c r="Y5777">
        <v>-0.4431252</v>
      </c>
      <c r="Z5777">
        <v>-2.0977989999999998E-2</v>
      </c>
      <c r="AA5777">
        <v>0.89621419999999996</v>
      </c>
      <c r="AB5777">
        <v>35</v>
      </c>
      <c r="AC5777">
        <v>0.48780000000002099</v>
      </c>
      <c r="AD5777">
        <v>-0.1235376</v>
      </c>
      <c r="AE5777">
        <v>0.68497000000000696</v>
      </c>
      <c r="AF5777">
        <v>-0.433438312211052</v>
      </c>
      <c r="AG5777">
        <v>-0.1235376</v>
      </c>
      <c r="AH5777">
        <v>0.699786640657589</v>
      </c>
      <c r="AI5777">
        <v>98.535233218232904</v>
      </c>
      <c r="AJ5777">
        <v>121.773510010527</v>
      </c>
      <c r="AK5777">
        <v>0.83236509510488199</v>
      </c>
      <c r="AL5777">
        <v>88.711289789399302</v>
      </c>
      <c r="AM5777">
        <v>104.900791373942</v>
      </c>
      <c r="AN5777">
        <v>1.00000000649006</v>
      </c>
    </row>
    <row r="5778" spans="1:40" x14ac:dyDescent="0.25">
      <c r="A5778" t="str">
        <f>"20190312151429478"</f>
        <v>20190312151429478</v>
      </c>
      <c r="B5778" t="str">
        <f>"1552374869476245"</f>
        <v>1552374869476245</v>
      </c>
      <c r="C5778" t="s">
        <v>40</v>
      </c>
      <c r="D5778">
        <v>4.6911430000000003</v>
      </c>
      <c r="E5778">
        <v>0.42292380000000002</v>
      </c>
      <c r="F5778" t="s">
        <v>41</v>
      </c>
      <c r="G5778">
        <v>-202.18450000000001</v>
      </c>
      <c r="H5778">
        <v>0.98059390000000002</v>
      </c>
      <c r="I5778">
        <v>-58.479779999999998</v>
      </c>
      <c r="J5778">
        <v>-202.7483</v>
      </c>
      <c r="K5778">
        <v>1.119699</v>
      </c>
      <c r="L5778">
        <v>-59.261200000000002</v>
      </c>
      <c r="M5778">
        <v>0.91962600000000005</v>
      </c>
      <c r="N5778">
        <v>0</v>
      </c>
      <c r="O5778">
        <v>0.39257910000000001</v>
      </c>
      <c r="P5778">
        <v>0.78820690000000004</v>
      </c>
      <c r="Q5778">
        <v>1.6294449999999999E-2</v>
      </c>
      <c r="R5778">
        <v>0.61519460000000004</v>
      </c>
      <c r="S5778">
        <v>1.9976499999999999</v>
      </c>
      <c r="T5778">
        <v>-0.37765500000000002</v>
      </c>
      <c r="U5778">
        <v>2.3330380000000002</v>
      </c>
      <c r="V5778">
        <v>-0.25697789999999998</v>
      </c>
      <c r="W5778">
        <v>2.2472700000000002E-2</v>
      </c>
      <c r="X5778">
        <v>0.96615589999999996</v>
      </c>
      <c r="Y5778">
        <v>-0.44278010000000001</v>
      </c>
      <c r="Z5778">
        <v>-2.1783779999999999E-2</v>
      </c>
      <c r="AA5778">
        <v>0.89636559999999899</v>
      </c>
      <c r="AB5778">
        <v>35</v>
      </c>
      <c r="AC5778">
        <v>0.56379999999998598</v>
      </c>
      <c r="AD5778">
        <v>-0.13910509999999901</v>
      </c>
      <c r="AE5778">
        <v>0.78141999999999701</v>
      </c>
      <c r="AF5778">
        <v>-0.48716738946188898</v>
      </c>
      <c r="AG5778">
        <v>-0.13910509999999901</v>
      </c>
      <c r="AH5778">
        <v>0.80847521955498503</v>
      </c>
      <c r="AI5778">
        <v>98.383409927407797</v>
      </c>
      <c r="AJ5778">
        <v>121.07213868703199</v>
      </c>
      <c r="AK5778">
        <v>0.95410401677993295</v>
      </c>
      <c r="AL5778">
        <v>88.712300660965397</v>
      </c>
      <c r="AM5778">
        <v>104.894666150755</v>
      </c>
      <c r="AN5778">
        <v>0.99999994321925301</v>
      </c>
    </row>
    <row r="5779" spans="1:40" x14ac:dyDescent="0.25">
      <c r="A5779" t="str">
        <f>"20190312151429490"</f>
        <v>20190312151429490</v>
      </c>
      <c r="B5779" t="str">
        <f>"1552374869486005"</f>
        <v>1552374869486005</v>
      </c>
      <c r="C5779" t="s">
        <v>40</v>
      </c>
      <c r="D5779">
        <v>4.7156269999999996</v>
      </c>
      <c r="E5779">
        <v>0.42319649999999998</v>
      </c>
      <c r="F5779" t="s">
        <v>41</v>
      </c>
      <c r="G5779">
        <v>-202.12209999999999</v>
      </c>
      <c r="H5779">
        <v>1.000456</v>
      </c>
      <c r="I5779">
        <v>-58.522239999999996</v>
      </c>
      <c r="J5779">
        <v>-202.57759999999999</v>
      </c>
      <c r="K5779">
        <v>1.119769</v>
      </c>
      <c r="L5779">
        <v>-59.183199999999999</v>
      </c>
      <c r="M5779">
        <v>0.91722809999999999</v>
      </c>
      <c r="N5779">
        <v>0</v>
      </c>
      <c r="O5779">
        <v>0.39814929999999998</v>
      </c>
      <c r="P5779">
        <v>0.78446769999999999</v>
      </c>
      <c r="Q5779">
        <v>1.5933059999999999E-2</v>
      </c>
      <c r="R5779">
        <v>0.61996499999999999</v>
      </c>
      <c r="S5779">
        <v>1.985428</v>
      </c>
      <c r="T5779">
        <v>-0.37804290000000002</v>
      </c>
      <c r="U5779">
        <v>2.342743</v>
      </c>
      <c r="V5779">
        <v>-0.25697140000000002</v>
      </c>
      <c r="W5779">
        <v>2.2086560000000002E-2</v>
      </c>
      <c r="X5779">
        <v>0.96616659999999999</v>
      </c>
      <c r="Y5779">
        <v>-0.44193359999999898</v>
      </c>
      <c r="Z5779">
        <v>-2.26167E-2</v>
      </c>
      <c r="AA5779">
        <v>0.89676259999999997</v>
      </c>
      <c r="AB5779">
        <v>35</v>
      </c>
      <c r="AC5779">
        <v>0.45550000000000002</v>
      </c>
      <c r="AD5779">
        <v>-0.119313</v>
      </c>
      <c r="AE5779">
        <v>0.660959999999995</v>
      </c>
      <c r="AF5779">
        <v>-0.41574508736156801</v>
      </c>
      <c r="AG5779">
        <v>-0.119313</v>
      </c>
      <c r="AH5779">
        <v>0.66629549384644304</v>
      </c>
      <c r="AI5779">
        <v>98.638378452157596</v>
      </c>
      <c r="AJ5779">
        <v>121.96272106945101</v>
      </c>
      <c r="AK5779">
        <v>0.79437349827040005</v>
      </c>
      <c r="AL5779">
        <v>88.734430429416406</v>
      </c>
      <c r="AM5779">
        <v>104.89414853139699</v>
      </c>
      <c r="AN5779">
        <v>1.00000000775307</v>
      </c>
    </row>
    <row r="5780" spans="1:40" x14ac:dyDescent="0.25">
      <c r="A5780" t="str">
        <f>"20190312151429502"</f>
        <v>20190312151429502</v>
      </c>
      <c r="B5780" t="str">
        <f>"1552374869496437"</f>
        <v>1552374869496437</v>
      </c>
      <c r="C5780" t="s">
        <v>40</v>
      </c>
      <c r="D5780">
        <v>4.7099529999999996</v>
      </c>
      <c r="E5780">
        <v>0.42347889999999999</v>
      </c>
      <c r="F5780" t="s">
        <v>41</v>
      </c>
      <c r="G5780">
        <v>-201.89449999999999</v>
      </c>
      <c r="H5780">
        <v>0.98825220000000003</v>
      </c>
      <c r="I5780">
        <v>-58.368409999999997</v>
      </c>
      <c r="J5780">
        <v>-202.40199999999999</v>
      </c>
      <c r="K5780">
        <v>1.1198380000000001</v>
      </c>
      <c r="L5780">
        <v>-59.101680000000002</v>
      </c>
      <c r="M5780">
        <v>0.91470469999999904</v>
      </c>
      <c r="N5780">
        <v>0</v>
      </c>
      <c r="O5780">
        <v>0.4039121</v>
      </c>
      <c r="P5780">
        <v>0.78063769999999999</v>
      </c>
      <c r="Q5780">
        <v>1.5815470000000002E-2</v>
      </c>
      <c r="R5780">
        <v>0.62478369999999905</v>
      </c>
      <c r="S5780">
        <v>1.9723360000000001</v>
      </c>
      <c r="T5780">
        <v>-0.37976359999999998</v>
      </c>
      <c r="U5780">
        <v>2.3530579999999999</v>
      </c>
      <c r="V5780">
        <v>-0.2568414</v>
      </c>
      <c r="W5780">
        <v>2.1947359999999999E-2</v>
      </c>
      <c r="X5780">
        <v>0.96620430000000002</v>
      </c>
      <c r="Y5780">
        <v>-0.44119150000000001</v>
      </c>
      <c r="Z5780">
        <v>-2.3553569999999999E-2</v>
      </c>
      <c r="AA5780">
        <v>0.89710380000000001</v>
      </c>
      <c r="AB5780">
        <v>35</v>
      </c>
      <c r="AC5780">
        <v>0.50750000000002105</v>
      </c>
      <c r="AD5780">
        <v>-0.131585799999999</v>
      </c>
      <c r="AE5780">
        <v>0.73327000000000397</v>
      </c>
      <c r="AF5780">
        <v>-0.45585445338124703</v>
      </c>
      <c r="AG5780">
        <v>-0.131585799999999</v>
      </c>
      <c r="AH5780">
        <v>0.74424944840274698</v>
      </c>
      <c r="AI5780">
        <v>98.573890408644004</v>
      </c>
      <c r="AJ5780">
        <v>121.48756264404901</v>
      </c>
      <c r="AK5780">
        <v>0.88262412547864899</v>
      </c>
      <c r="AL5780">
        <v>88.742407888594599</v>
      </c>
      <c r="AM5780">
        <v>104.886393255619</v>
      </c>
      <c r="AN5780">
        <v>0.99999997035170896</v>
      </c>
    </row>
    <row r="5781" spans="1:40" x14ac:dyDescent="0.25">
      <c r="A5781" t="str">
        <f>"20190312151429514"</f>
        <v>20190312151429514</v>
      </c>
      <c r="B5781" t="str">
        <f>"1552374869506196"</f>
        <v>1552374869506196</v>
      </c>
      <c r="C5781" t="s">
        <v>40</v>
      </c>
      <c r="D5781">
        <v>4.7312969999999996</v>
      </c>
      <c r="E5781">
        <v>0.42379749999999999</v>
      </c>
      <c r="F5781" t="s">
        <v>59</v>
      </c>
      <c r="G5781">
        <v>-196.62729999999999</v>
      </c>
      <c r="H5781" s="1">
        <v>-9.8274780000000002E-6</v>
      </c>
      <c r="I5781">
        <v>-52.135089999999998</v>
      </c>
      <c r="J5781">
        <v>-202.23869999999999</v>
      </c>
      <c r="K5781">
        <v>1.119901</v>
      </c>
      <c r="L5781">
        <v>-59.024290000000001</v>
      </c>
      <c r="M5781">
        <v>0.91229800000000005</v>
      </c>
      <c r="N5781">
        <v>0</v>
      </c>
      <c r="O5781">
        <v>0.40931859999999998</v>
      </c>
      <c r="P5781">
        <v>0.7769585</v>
      </c>
      <c r="Q5781">
        <v>1.5836799999999901E-2</v>
      </c>
      <c r="R5781">
        <v>0.62935269999999899</v>
      </c>
      <c r="S5781">
        <v>1.9590909999999999</v>
      </c>
      <c r="T5781">
        <v>-0.37991599999999998</v>
      </c>
      <c r="U5781">
        <v>2.363464</v>
      </c>
      <c r="V5781">
        <v>-0.25679570000000002</v>
      </c>
      <c r="W5781">
        <v>2.1947359999999999E-2</v>
      </c>
      <c r="X5781">
        <v>0.96621650000000003</v>
      </c>
      <c r="Y5781">
        <v>-0.44083559999999999</v>
      </c>
      <c r="Z5781">
        <v>-2.432484E-2</v>
      </c>
      <c r="AA5781">
        <v>0.89725820000000001</v>
      </c>
      <c r="AB5781">
        <v>35</v>
      </c>
      <c r="AC5781">
        <v>5.6113999999999997</v>
      </c>
      <c r="AD5781">
        <v>-1.1199108274779901</v>
      </c>
      <c r="AE5781">
        <v>6.88919999999999</v>
      </c>
      <c r="AF5781">
        <v>-3.9261220260651601</v>
      </c>
      <c r="AG5781">
        <v>-1.1199108274779901</v>
      </c>
      <c r="AH5781">
        <v>7.8156627376582604</v>
      </c>
      <c r="AI5781">
        <v>97.2966148455764</v>
      </c>
      <c r="AJ5781">
        <v>116.672220197158</v>
      </c>
      <c r="AK5781">
        <v>8.8177785441615804</v>
      </c>
      <c r="AL5781">
        <v>88.742407952942202</v>
      </c>
      <c r="AM5781">
        <v>104.883682489648</v>
      </c>
      <c r="AN5781">
        <v>1.00000002151085</v>
      </c>
    </row>
    <row r="5782" spans="1:40" x14ac:dyDescent="0.25">
      <c r="A5782" t="str">
        <f>"20190312151429526"</f>
        <v>20190312151429526</v>
      </c>
      <c r="B5782" t="str">
        <f>"1552374869515955"</f>
        <v>1552374869515955</v>
      </c>
      <c r="C5782" t="s">
        <v>40</v>
      </c>
      <c r="D5782">
        <v>4.748901</v>
      </c>
      <c r="E5782">
        <v>0.42411559999999998</v>
      </c>
      <c r="F5782" t="s">
        <v>41</v>
      </c>
      <c r="G5782">
        <v>-201.6054</v>
      </c>
      <c r="H5782">
        <v>0.99661239999999995</v>
      </c>
      <c r="I5782">
        <v>-58.252299999999998</v>
      </c>
      <c r="J5782">
        <v>-202.07</v>
      </c>
      <c r="K5782">
        <v>1.119966</v>
      </c>
      <c r="L5782">
        <v>-58.9437</v>
      </c>
      <c r="M5782">
        <v>0.9097674</v>
      </c>
      <c r="N5782">
        <v>0</v>
      </c>
      <c r="O5782">
        <v>0.41491260000000002</v>
      </c>
      <c r="P5782">
        <v>0.77306889999999995</v>
      </c>
      <c r="Q5782">
        <v>1.5721889999999999E-2</v>
      </c>
      <c r="R5782">
        <v>0.6341272</v>
      </c>
      <c r="S5782">
        <v>1.946625</v>
      </c>
      <c r="T5782">
        <v>-0.37899729999999998</v>
      </c>
      <c r="U5782">
        <v>2.3731689999999999</v>
      </c>
      <c r="V5782">
        <v>-0.25681490000000001</v>
      </c>
      <c r="W5782">
        <v>2.1807670000000001E-2</v>
      </c>
      <c r="X5782">
        <v>0.96621449999999998</v>
      </c>
      <c r="Y5782">
        <v>-0.43998169999999998</v>
      </c>
      <c r="Z5782">
        <v>-2.508554E-2</v>
      </c>
      <c r="AA5782">
        <v>0.89765629999999996</v>
      </c>
      <c r="AB5782">
        <v>35</v>
      </c>
      <c r="AC5782">
        <v>0.46459999999999002</v>
      </c>
      <c r="AD5782">
        <v>-0.12335359999999999</v>
      </c>
      <c r="AE5782">
        <v>0.69140000000000101</v>
      </c>
      <c r="AF5782">
        <v>-0.42692020218808102</v>
      </c>
      <c r="AG5782">
        <v>-0.12335359999999999</v>
      </c>
      <c r="AH5782">
        <v>0.69438214725022795</v>
      </c>
      <c r="AI5782">
        <v>98.605336539357197</v>
      </c>
      <c r="AJ5782">
        <v>121.58404231689499</v>
      </c>
      <c r="AK5782">
        <v>0.82440495879701503</v>
      </c>
      <c r="AL5782">
        <v>88.750413443993295</v>
      </c>
      <c r="AM5782">
        <v>104.88477535381099</v>
      </c>
      <c r="AN5782">
        <v>0.99999996367154298</v>
      </c>
    </row>
    <row r="5783" spans="1:40" x14ac:dyDescent="0.25">
      <c r="A5783" t="str">
        <f>"20190312151429543"</f>
        <v>20190312151429543</v>
      </c>
      <c r="B5783" t="str">
        <f>"1552374869536455"</f>
        <v>1552374869536455</v>
      </c>
      <c r="C5783" t="s">
        <v>40</v>
      </c>
      <c r="D5783">
        <v>4.741072</v>
      </c>
      <c r="E5783">
        <v>0.42433539999999997</v>
      </c>
      <c r="F5783" t="s">
        <v>41</v>
      </c>
      <c r="G5783">
        <v>-201.36269999999999</v>
      </c>
      <c r="H5783">
        <v>0.98167910000000003</v>
      </c>
      <c r="I5783">
        <v>-58.071950000000001</v>
      </c>
      <c r="J5783">
        <v>-201.8415</v>
      </c>
      <c r="K5783">
        <v>1.1200509999999999</v>
      </c>
      <c r="L5783">
        <v>-58.831819999999901</v>
      </c>
      <c r="M5783">
        <v>0.90623640000000005</v>
      </c>
      <c r="N5783">
        <v>0</v>
      </c>
      <c r="O5783">
        <v>0.42256860000000002</v>
      </c>
      <c r="P5783">
        <v>0.76769160000000003</v>
      </c>
      <c r="Q5783">
        <v>1.5789979999999999E-2</v>
      </c>
      <c r="R5783">
        <v>0.64062509999999995</v>
      </c>
      <c r="S5783">
        <v>1.9334560000000001</v>
      </c>
      <c r="T5783">
        <v>-0.37803979999999998</v>
      </c>
      <c r="U5783">
        <v>2.3831790000000002</v>
      </c>
      <c r="V5783">
        <v>-0.25682440000000001</v>
      </c>
      <c r="W5783">
        <v>2.1842480000000001E-2</v>
      </c>
      <c r="X5783">
        <v>0.96621120000000005</v>
      </c>
      <c r="Y5783">
        <v>-0.43730839999999999</v>
      </c>
      <c r="Z5783">
        <v>-2.6240070000000001E-2</v>
      </c>
      <c r="AA5783">
        <v>0.89892870000000002</v>
      </c>
      <c r="AB5783">
        <v>35</v>
      </c>
      <c r="AC5783">
        <v>0.478800000000006</v>
      </c>
      <c r="AD5783">
        <v>-0.13837189999999999</v>
      </c>
      <c r="AE5783">
        <v>0.75986999999999205</v>
      </c>
      <c r="AF5783">
        <v>-0.47506156338390898</v>
      </c>
      <c r="AG5783">
        <v>-0.13837189999999999</v>
      </c>
      <c r="AH5783">
        <v>0.73756105416373696</v>
      </c>
      <c r="AI5783">
        <v>98.962981884879795</v>
      </c>
      <c r="AJ5783">
        <v>122.785501985908</v>
      </c>
      <c r="AK5783">
        <v>0.88815909629609602</v>
      </c>
      <c r="AL5783">
        <v>88.748418516438704</v>
      </c>
      <c r="AM5783">
        <v>104.885350105296</v>
      </c>
      <c r="AN5783">
        <v>0.99999997468667401</v>
      </c>
    </row>
    <row r="5784" spans="1:40" x14ac:dyDescent="0.25">
      <c r="A5784" t="str">
        <f>"20190312151429554"</f>
        <v>20190312151429554</v>
      </c>
      <c r="B5784" t="str">
        <f>"1552374869546211"</f>
        <v>1552374869546211</v>
      </c>
      <c r="C5784" t="s">
        <v>40</v>
      </c>
      <c r="D5784">
        <v>4.7815659999999998</v>
      </c>
      <c r="E5784">
        <v>0.43101309999999898</v>
      </c>
      <c r="F5784" t="s">
        <v>59</v>
      </c>
      <c r="G5784">
        <v>-196.15219999999999</v>
      </c>
      <c r="H5784" s="1">
        <v>-9.936551E-6</v>
      </c>
      <c r="I5784">
        <v>-51.704540000000001</v>
      </c>
      <c r="J5784">
        <v>-201.68270000000001</v>
      </c>
      <c r="K5784">
        <v>1.1201110000000001</v>
      </c>
      <c r="L5784">
        <v>-58.752499999999998</v>
      </c>
      <c r="M5784">
        <v>0.90371789999999996</v>
      </c>
      <c r="N5784">
        <v>0</v>
      </c>
      <c r="O5784">
        <v>0.42792790000000003</v>
      </c>
      <c r="P5784">
        <v>0.76375280000000001</v>
      </c>
      <c r="Q5784">
        <v>1.5814439999999999E-2</v>
      </c>
      <c r="R5784">
        <v>0.64531510000000003</v>
      </c>
      <c r="S5784">
        <v>1.914337</v>
      </c>
      <c r="T5784">
        <v>-0.37687949999999998</v>
      </c>
      <c r="U5784">
        <v>2.398193</v>
      </c>
      <c r="V5784">
        <v>-0.25702429999999998</v>
      </c>
      <c r="W5784">
        <v>2.1838659999999999E-2</v>
      </c>
      <c r="X5784">
        <v>0.96615819999999997</v>
      </c>
      <c r="Y5784">
        <v>-0.43912449999999997</v>
      </c>
      <c r="Z5784">
        <v>-2.677088E-2</v>
      </c>
      <c r="AA5784">
        <v>0.89802719999999903</v>
      </c>
      <c r="AB5784">
        <v>35</v>
      </c>
      <c r="AC5784">
        <v>5.5305000000000097</v>
      </c>
      <c r="AD5784">
        <v>-1.1201209365510001</v>
      </c>
      <c r="AE5784">
        <v>7.04795999999999</v>
      </c>
      <c r="AF5784">
        <v>-3.94144120958447</v>
      </c>
      <c r="AG5784">
        <v>-1.1201209365510001</v>
      </c>
      <c r="AH5784">
        <v>7.8913565348963601</v>
      </c>
      <c r="AI5784">
        <v>97.236955800232394</v>
      </c>
      <c r="AJ5784">
        <v>116.540435113467</v>
      </c>
      <c r="AK5784">
        <v>8.8917454800484492</v>
      </c>
      <c r="AL5784">
        <v>88.748637523595306</v>
      </c>
      <c r="AM5784">
        <v>104.897202080057</v>
      </c>
      <c r="AN5784">
        <v>1.00000004264416</v>
      </c>
    </row>
    <row r="5785" spans="1:40" x14ac:dyDescent="0.25">
      <c r="A5785" t="str">
        <f>"20190312151429565"</f>
        <v>20190312151429565</v>
      </c>
      <c r="B5785" t="str">
        <f>"1552374869555971"</f>
        <v>1552374869555971</v>
      </c>
      <c r="C5785" t="s">
        <v>40</v>
      </c>
      <c r="D5785">
        <v>4.7742550000000001</v>
      </c>
      <c r="E5785">
        <v>0.43098789999999998</v>
      </c>
      <c r="F5785" t="s">
        <v>41</v>
      </c>
      <c r="G5785">
        <v>-201.04159999999999</v>
      </c>
      <c r="H5785">
        <v>0.97828139999999997</v>
      </c>
      <c r="I5785">
        <v>-57.966650000000001</v>
      </c>
      <c r="J5785">
        <v>-201.5301</v>
      </c>
      <c r="K5785">
        <v>1.1201700000000001</v>
      </c>
      <c r="L5785">
        <v>-58.675780000000003</v>
      </c>
      <c r="M5785">
        <v>0.90125840000000002</v>
      </c>
      <c r="N5785">
        <v>0</v>
      </c>
      <c r="O5785">
        <v>0.43308350000000001</v>
      </c>
      <c r="P5785">
        <v>0.75989709999999999</v>
      </c>
      <c r="Q5785">
        <v>1.5657310000000001E-2</v>
      </c>
      <c r="R5785">
        <v>0.64985509999999902</v>
      </c>
      <c r="S5785">
        <v>1.9338070000000001</v>
      </c>
      <c r="T5785">
        <v>-0.42781730000000001</v>
      </c>
      <c r="U5785">
        <v>2.3706360000000002</v>
      </c>
      <c r="V5785">
        <v>-0.25726080000000001</v>
      </c>
      <c r="W5785">
        <v>2.1653220000000001E-2</v>
      </c>
      <c r="X5785">
        <v>0.96609940000000005</v>
      </c>
      <c r="Y5785">
        <v>-0.42451250000000001</v>
      </c>
      <c r="Z5785">
        <v>-3.2304149999999997E-2</v>
      </c>
      <c r="AA5785">
        <v>0.90484560000000003</v>
      </c>
      <c r="AB5785">
        <v>35</v>
      </c>
      <c r="AC5785">
        <v>0.48850000000001598</v>
      </c>
      <c r="AD5785">
        <v>-0.1418886</v>
      </c>
      <c r="AE5785">
        <v>0.70913000000000104</v>
      </c>
      <c r="AF5785">
        <v>-0.41628238079136998</v>
      </c>
      <c r="AG5785">
        <v>-0.1418886</v>
      </c>
      <c r="AH5785">
        <v>0.72768417852329204</v>
      </c>
      <c r="AI5785">
        <v>99.606236839292905</v>
      </c>
      <c r="AJ5785">
        <v>119.772346567013</v>
      </c>
      <c r="AK5785">
        <v>0.85026328807047102</v>
      </c>
      <c r="AL5785">
        <v>88.759264932424102</v>
      </c>
      <c r="AM5785">
        <v>104.91116647600499</v>
      </c>
      <c r="AN5785">
        <v>1.00000001591668</v>
      </c>
    </row>
    <row r="5786" spans="1:40" x14ac:dyDescent="0.25">
      <c r="A5786" t="str">
        <f>"20190312151429577"</f>
        <v>20190312151429577</v>
      </c>
      <c r="B5786" t="str">
        <f>"1552374869565731"</f>
        <v>1552374869565731</v>
      </c>
      <c r="C5786" t="s">
        <v>40</v>
      </c>
      <c r="D5786">
        <v>4.8044379999999904</v>
      </c>
      <c r="E5786">
        <v>0.43065110000000001</v>
      </c>
      <c r="F5786" t="s">
        <v>59</v>
      </c>
      <c r="G5786">
        <v>-196.65889999999999</v>
      </c>
      <c r="H5786" s="1">
        <v>-9.6509639999999994E-6</v>
      </c>
      <c r="I5786">
        <v>-52.629249999999999</v>
      </c>
      <c r="J5786">
        <v>-201.36590000000001</v>
      </c>
      <c r="K5786">
        <v>1.120228</v>
      </c>
      <c r="L5786">
        <v>-58.591059999999999</v>
      </c>
      <c r="M5786">
        <v>0.89854040000000002</v>
      </c>
      <c r="N5786">
        <v>0</v>
      </c>
      <c r="O5786">
        <v>0.43869439999999998</v>
      </c>
      <c r="P5786">
        <v>0.75566840000000002</v>
      </c>
      <c r="Q5786">
        <v>1.539506E-2</v>
      </c>
      <c r="R5786">
        <v>0.65477350000000001</v>
      </c>
      <c r="S5786">
        <v>1.919449</v>
      </c>
      <c r="T5786">
        <v>-0.44139980000000001</v>
      </c>
      <c r="U5786">
        <v>2.3825989999999999</v>
      </c>
      <c r="V5786">
        <v>-0.25750099999999998</v>
      </c>
      <c r="W5786">
        <v>2.1361459999999999E-2</v>
      </c>
      <c r="X5786">
        <v>0.96604190000000001</v>
      </c>
      <c r="Y5786">
        <v>-0.4244309</v>
      </c>
      <c r="Z5786">
        <v>-3.421155E-2</v>
      </c>
      <c r="AA5786">
        <v>0.9048138</v>
      </c>
      <c r="AB5786">
        <v>35</v>
      </c>
      <c r="AC5786">
        <v>4.7070000000000203</v>
      </c>
      <c r="AD5786">
        <v>-1.120237650964</v>
      </c>
      <c r="AE5786">
        <v>5.9618099999999998</v>
      </c>
      <c r="AF5786">
        <v>-3.2221948239090299</v>
      </c>
      <c r="AG5786">
        <v>-1.120237650964</v>
      </c>
      <c r="AH5786">
        <v>6.6997160008541101</v>
      </c>
      <c r="AI5786">
        <v>98.569153190412607</v>
      </c>
      <c r="AJ5786">
        <v>115.684994603852</v>
      </c>
      <c r="AK5786">
        <v>7.5182222878792402</v>
      </c>
      <c r="AL5786">
        <v>88.775985415046407</v>
      </c>
      <c r="AM5786">
        <v>104.925316459957</v>
      </c>
      <c r="AN5786">
        <v>1.0000000147649699</v>
      </c>
    </row>
    <row r="5787" spans="1:40" x14ac:dyDescent="0.25">
      <c r="A5787" t="str">
        <f>"20190312151429592"</f>
        <v>20190312151429592</v>
      </c>
      <c r="B5787" t="str">
        <f>"1552374869586228"</f>
        <v>1552374869586228</v>
      </c>
      <c r="C5787" t="s">
        <v>40</v>
      </c>
      <c r="D5787">
        <v>4.7718980000000002</v>
      </c>
      <c r="E5787">
        <v>0.43250810000000001</v>
      </c>
      <c r="F5787" t="s">
        <v>59</v>
      </c>
      <c r="G5787">
        <v>-196.685</v>
      </c>
      <c r="H5787" s="1">
        <v>-9.6310809999999997E-6</v>
      </c>
      <c r="I5787">
        <v>-52.691099999999999</v>
      </c>
      <c r="J5787">
        <v>-201.17339999999999</v>
      </c>
      <c r="K5787">
        <v>1.1202970000000001</v>
      </c>
      <c r="L5787">
        <v>-58.490659999999998</v>
      </c>
      <c r="M5787">
        <v>0.89529110000000001</v>
      </c>
      <c r="N5787">
        <v>0</v>
      </c>
      <c r="O5787">
        <v>0.4452875</v>
      </c>
      <c r="P5787">
        <v>0.75063819999999903</v>
      </c>
      <c r="Q5787">
        <v>1.492513E-2</v>
      </c>
      <c r="R5787">
        <v>0.66054489999999999</v>
      </c>
      <c r="S5787">
        <v>1.901993</v>
      </c>
      <c r="T5787">
        <v>-0.45519340000000003</v>
      </c>
      <c r="U5787">
        <v>2.3973689999999999</v>
      </c>
      <c r="V5787">
        <v>-0.25778990000000002</v>
      </c>
      <c r="W5787">
        <v>2.085565E-2</v>
      </c>
      <c r="X5787">
        <v>0.9659759</v>
      </c>
      <c r="Y5787">
        <v>-0.42458200000000001</v>
      </c>
      <c r="Z5787">
        <v>-3.6328430000000002E-2</v>
      </c>
      <c r="AA5787">
        <v>0.90466029999999997</v>
      </c>
      <c r="AB5787">
        <v>35</v>
      </c>
      <c r="AC5787">
        <v>4.48839999999998</v>
      </c>
      <c r="AD5787">
        <v>-1.1203066310809999</v>
      </c>
      <c r="AE5787">
        <v>5.7995599999999996</v>
      </c>
      <c r="AF5787">
        <v>-3.1211044468608402</v>
      </c>
      <c r="AG5787">
        <v>-1.1203066310809999</v>
      </c>
      <c r="AH5787">
        <v>6.4509206907405297</v>
      </c>
      <c r="AI5787">
        <v>98.8851410861175</v>
      </c>
      <c r="AJ5787">
        <v>115.81876962733701</v>
      </c>
      <c r="AK5787">
        <v>7.2533273519180703</v>
      </c>
      <c r="AL5787">
        <v>88.804972652136897</v>
      </c>
      <c r="AM5787">
        <v>104.942288419292</v>
      </c>
      <c r="AN5787">
        <v>1.00000001502987</v>
      </c>
    </row>
    <row r="5788" spans="1:40" x14ac:dyDescent="0.25">
      <c r="A5788" t="str">
        <f>"20190312151429604"</f>
        <v>20190312151429604</v>
      </c>
      <c r="B5788" t="str">
        <f>"1552374869595988"</f>
        <v>1552374869595988</v>
      </c>
      <c r="C5788" t="s">
        <v>40</v>
      </c>
      <c r="D5788">
        <v>4.7870339999999896</v>
      </c>
      <c r="E5788">
        <v>0.43319419999999997</v>
      </c>
      <c r="F5788" t="s">
        <v>59</v>
      </c>
      <c r="G5788">
        <v>-196.24690000000001</v>
      </c>
      <c r="H5788" s="1">
        <v>-9.7492210000000006E-6</v>
      </c>
      <c r="I5788">
        <v>-52.245800000000003</v>
      </c>
      <c r="J5788">
        <v>-200.99440000000001</v>
      </c>
      <c r="K5788">
        <v>1.120358</v>
      </c>
      <c r="L5788">
        <v>-58.395899999999997</v>
      </c>
      <c r="M5788">
        <v>0.89220140000000003</v>
      </c>
      <c r="N5788">
        <v>0</v>
      </c>
      <c r="O5788">
        <v>0.45144590000000001</v>
      </c>
      <c r="P5788">
        <v>0.74574079999999998</v>
      </c>
      <c r="Q5788">
        <v>1.477469E-2</v>
      </c>
      <c r="R5788">
        <v>0.66607240000000001</v>
      </c>
      <c r="S5788">
        <v>1.893265</v>
      </c>
      <c r="T5788">
        <v>-0.43053979999999997</v>
      </c>
      <c r="U5788">
        <v>2.3999329999999999</v>
      </c>
      <c r="V5788">
        <v>-0.25826850000000001</v>
      </c>
      <c r="W5788">
        <v>2.0666859999999999E-2</v>
      </c>
      <c r="X5788">
        <v>0.96585209999999999</v>
      </c>
      <c r="Y5788">
        <v>-0.42091889999999998</v>
      </c>
      <c r="Z5788">
        <v>-3.5644170000000003E-2</v>
      </c>
      <c r="AA5788">
        <v>0.90639769999999997</v>
      </c>
      <c r="AB5788">
        <v>35</v>
      </c>
      <c r="AC5788">
        <v>4.7474999999999996</v>
      </c>
      <c r="AD5788">
        <v>-1.120367749221</v>
      </c>
      <c r="AE5788">
        <v>6.1500999999999904</v>
      </c>
      <c r="AF5788">
        <v>-3.27605337103827</v>
      </c>
      <c r="AG5788">
        <v>-1.120367749221</v>
      </c>
      <c r="AH5788">
        <v>6.8699128789940804</v>
      </c>
      <c r="AI5788">
        <v>98.373949237326599</v>
      </c>
      <c r="AJ5788">
        <v>115.495060413264</v>
      </c>
      <c r="AK5788">
        <v>7.6930782232052302</v>
      </c>
      <c r="AL5788">
        <v>88.815791845987903</v>
      </c>
      <c r="AM5788">
        <v>104.97061795011101</v>
      </c>
      <c r="AN5788">
        <v>1.00000000813445</v>
      </c>
    </row>
    <row r="5789" spans="1:40" x14ac:dyDescent="0.25">
      <c r="A5789" t="str">
        <f>"20190312151429622"</f>
        <v>20190312151429622</v>
      </c>
      <c r="B5789" t="str">
        <f>"1552374869616484"</f>
        <v>1552374869616484</v>
      </c>
      <c r="C5789" t="s">
        <v>40</v>
      </c>
      <c r="D5789">
        <v>4.8304130000000001</v>
      </c>
      <c r="E5789">
        <v>0.43444480000000002</v>
      </c>
      <c r="F5789" t="s">
        <v>59</v>
      </c>
      <c r="G5789">
        <v>-196.02289999999999</v>
      </c>
      <c r="H5789" s="1">
        <v>-9.8083730000000003E-6</v>
      </c>
      <c r="I5789">
        <v>-52.021560000000001</v>
      </c>
      <c r="J5789">
        <v>-200.75370000000001</v>
      </c>
      <c r="K5789">
        <v>1.1204320000000001</v>
      </c>
      <c r="L5789">
        <v>-58.265320000000003</v>
      </c>
      <c r="M5789">
        <v>0.88792610000000005</v>
      </c>
      <c r="N5789">
        <v>0</v>
      </c>
      <c r="O5789">
        <v>0.45979730000000002</v>
      </c>
      <c r="P5789">
        <v>0.73884510000000003</v>
      </c>
      <c r="Q5789">
        <v>1.4662629999999999E-2</v>
      </c>
      <c r="R5789">
        <v>0.67371590000000003</v>
      </c>
      <c r="S5789">
        <v>1.879181</v>
      </c>
      <c r="T5789">
        <v>-0.42349029999999999</v>
      </c>
      <c r="U5789">
        <v>2.4094540000000002</v>
      </c>
      <c r="V5789">
        <v>-0.25915070000000001</v>
      </c>
      <c r="W5789">
        <v>2.049714E-2</v>
      </c>
      <c r="X5789">
        <v>0.96561940000000002</v>
      </c>
      <c r="Y5789">
        <v>-0.41752139999999999</v>
      </c>
      <c r="Z5789">
        <v>-3.6599930000000003E-2</v>
      </c>
      <c r="AA5789">
        <v>0.90792969999999895</v>
      </c>
      <c r="AB5789">
        <v>35</v>
      </c>
      <c r="AC5789">
        <v>4.7308000000000101</v>
      </c>
      <c r="AD5789">
        <v>-1.1204418083729999</v>
      </c>
      <c r="AE5789">
        <v>6.2437599999999902</v>
      </c>
      <c r="AF5789">
        <v>-3.3015389386745202</v>
      </c>
      <c r="AG5789">
        <v>-1.1204418083729999</v>
      </c>
      <c r="AH5789">
        <v>6.93030062138146</v>
      </c>
      <c r="AI5789">
        <v>98.304064183420195</v>
      </c>
      <c r="AJ5789">
        <v>115.47275088163499</v>
      </c>
      <c r="AK5789">
        <v>7.7578744455072597</v>
      </c>
      <c r="AL5789">
        <v>88.825518162078794</v>
      </c>
      <c r="AM5789">
        <v>105.022903814514</v>
      </c>
      <c r="AN5789">
        <v>1.00000002185751</v>
      </c>
    </row>
    <row r="5790" spans="1:40" x14ac:dyDescent="0.25">
      <c r="A5790" t="str">
        <f>"20190312151429634"</f>
        <v>20190312151429634</v>
      </c>
      <c r="B5790" t="str">
        <f>"1552374869626244"</f>
        <v>1552374869626244</v>
      </c>
      <c r="C5790" t="s">
        <v>40</v>
      </c>
      <c r="D5790">
        <v>4.8092739999999896</v>
      </c>
      <c r="E5790">
        <v>0.4350948</v>
      </c>
      <c r="F5790" t="s">
        <v>59</v>
      </c>
      <c r="G5790">
        <v>-195.9051</v>
      </c>
      <c r="H5790" s="1">
        <v>-9.8202490000000003E-6</v>
      </c>
      <c r="I5790">
        <v>-51.956539999999997</v>
      </c>
      <c r="J5790">
        <v>-200.5882</v>
      </c>
      <c r="K5790">
        <v>1.120484</v>
      </c>
      <c r="L5790">
        <v>-58.173679999999997</v>
      </c>
      <c r="M5790">
        <v>0.88490789999999997</v>
      </c>
      <c r="N5790">
        <v>0</v>
      </c>
      <c r="O5790">
        <v>0.46557920000000003</v>
      </c>
      <c r="P5790">
        <v>0.73401169999999905</v>
      </c>
      <c r="Q5790">
        <v>1.451597E-2</v>
      </c>
      <c r="R5790">
        <v>0.67898179999999997</v>
      </c>
      <c r="S5790">
        <v>1.860962</v>
      </c>
      <c r="T5790">
        <v>-0.4300448</v>
      </c>
      <c r="U5790">
        <v>2.4214169999999999</v>
      </c>
      <c r="V5790">
        <v>-0.25975500000000001</v>
      </c>
      <c r="W5790">
        <v>2.031121E-2</v>
      </c>
      <c r="X5790">
        <v>0.96546100000000001</v>
      </c>
      <c r="Y5790">
        <v>-0.41809439999999998</v>
      </c>
      <c r="Z5790">
        <v>-3.8039919999999998E-2</v>
      </c>
      <c r="AA5790">
        <v>0.90760680000000005</v>
      </c>
      <c r="AB5790">
        <v>35</v>
      </c>
      <c r="AC5790">
        <v>4.6830999999999898</v>
      </c>
      <c r="AD5790">
        <v>-1.120493820249</v>
      </c>
      <c r="AE5790">
        <v>6.2171399999999997</v>
      </c>
      <c r="AF5790">
        <v>-3.2540957243919801</v>
      </c>
      <c r="AG5790">
        <v>-1.120493820249</v>
      </c>
      <c r="AH5790">
        <v>6.8963799293073098</v>
      </c>
      <c r="AI5790">
        <v>98.359176048577098</v>
      </c>
      <c r="AJ5790">
        <v>115.26054559425999</v>
      </c>
      <c r="AK5790">
        <v>7.70744455147587</v>
      </c>
      <c r="AL5790">
        <v>88.836173444998593</v>
      </c>
      <c r="AM5790">
        <v>105.058704131097</v>
      </c>
      <c r="AN5790">
        <v>1.00000007389882</v>
      </c>
    </row>
    <row r="5791" spans="1:40" x14ac:dyDescent="0.25">
      <c r="A5791" t="str">
        <f>"20190312151429647"</f>
        <v>20190312151429647</v>
      </c>
      <c r="B5791" t="str">
        <f>"1552374869636003"</f>
        <v>1552374869636003</v>
      </c>
      <c r="C5791" t="s">
        <v>40</v>
      </c>
      <c r="D5791">
        <v>4.8753849999999996</v>
      </c>
      <c r="E5791">
        <v>0.4354827</v>
      </c>
      <c r="F5791" t="s">
        <v>59</v>
      </c>
      <c r="G5791">
        <v>-195.74799999999999</v>
      </c>
      <c r="H5791" s="1">
        <v>-9.8599759999999998E-6</v>
      </c>
      <c r="I5791">
        <v>-51.804110000000001</v>
      </c>
      <c r="J5791">
        <v>-200.41650000000001</v>
      </c>
      <c r="K5791">
        <v>1.1205400000000001</v>
      </c>
      <c r="L5791">
        <v>-58.077669999999998</v>
      </c>
      <c r="M5791">
        <v>0.88172050000000002</v>
      </c>
      <c r="N5791">
        <v>0</v>
      </c>
      <c r="O5791">
        <v>0.47158719999999998</v>
      </c>
      <c r="P5791">
        <v>0.72898560000000001</v>
      </c>
      <c r="Q5791">
        <v>1.4408829999999999E-2</v>
      </c>
      <c r="R5791">
        <v>0.68437740000000002</v>
      </c>
      <c r="S5791">
        <v>1.8470759999999999</v>
      </c>
      <c r="T5791">
        <v>-0.42759779999999997</v>
      </c>
      <c r="U5791">
        <v>2.4307249999999998</v>
      </c>
      <c r="V5791">
        <v>-0.26030809999999999</v>
      </c>
      <c r="W5791">
        <v>2.0165329999999999E-2</v>
      </c>
      <c r="X5791">
        <v>0.96531500000000003</v>
      </c>
      <c r="Y5791">
        <v>-0.41692669999999998</v>
      </c>
      <c r="Z5791">
        <v>-3.8853789999999999E-2</v>
      </c>
      <c r="AA5791">
        <v>0.90810930000000001</v>
      </c>
      <c r="AB5791">
        <v>35</v>
      </c>
      <c r="AC5791">
        <v>4.6685000000000203</v>
      </c>
      <c r="AD5791">
        <v>-1.12054985997599</v>
      </c>
      <c r="AE5791">
        <v>6.2735599999999998</v>
      </c>
      <c r="AF5791">
        <v>-3.2632092673820199</v>
      </c>
      <c r="AG5791">
        <v>-1.12054985997599</v>
      </c>
      <c r="AH5791">
        <v>6.9331038623949199</v>
      </c>
      <c r="AI5791">
        <v>98.319676525542704</v>
      </c>
      <c r="AJ5791">
        <v>115.204994603469</v>
      </c>
      <c r="AK5791">
        <v>7.7441652796266904</v>
      </c>
      <c r="AL5791">
        <v>88.844533377644197</v>
      </c>
      <c r="AM5791">
        <v>105.09148620066701</v>
      </c>
      <c r="AN5791">
        <v>0.99999999834230902</v>
      </c>
    </row>
    <row r="5792" spans="1:40" x14ac:dyDescent="0.25">
      <c r="A5792" t="str">
        <f>"20190312151429659"</f>
        <v>20190312151429659</v>
      </c>
      <c r="B5792" t="str">
        <f>"1552374869656499"</f>
        <v>1552374869656499</v>
      </c>
      <c r="C5792" t="s">
        <v>40</v>
      </c>
      <c r="D5792">
        <v>4.8243419999999997</v>
      </c>
      <c r="E5792">
        <v>0.43669750000000002</v>
      </c>
      <c r="F5792" t="s">
        <v>59</v>
      </c>
      <c r="G5792">
        <v>-195.69110000000001</v>
      </c>
      <c r="H5792" s="1">
        <v>-9.8647179999999998E-6</v>
      </c>
      <c r="I5792">
        <v>-51.775419999999997</v>
      </c>
      <c r="J5792">
        <v>-200.24629999999999</v>
      </c>
      <c r="K5792">
        <v>1.1205889999999901</v>
      </c>
      <c r="L5792">
        <v>-57.980440000000002</v>
      </c>
      <c r="M5792">
        <v>0.87848630000000005</v>
      </c>
      <c r="N5792">
        <v>0</v>
      </c>
      <c r="O5792">
        <v>0.47758460000000003</v>
      </c>
      <c r="P5792">
        <v>0.72398669999999998</v>
      </c>
      <c r="Q5792">
        <v>1.41264999999999E-2</v>
      </c>
      <c r="R5792">
        <v>0.68966930000000004</v>
      </c>
      <c r="S5792">
        <v>1.8311459999999999</v>
      </c>
      <c r="T5792">
        <v>-0.43422769999999999</v>
      </c>
      <c r="U5792">
        <v>2.4422000000000001</v>
      </c>
      <c r="V5792">
        <v>-0.26075389999999998</v>
      </c>
      <c r="W5792">
        <v>1.9849260000000001E-2</v>
      </c>
      <c r="X5792">
        <v>0.96520119999999998</v>
      </c>
      <c r="Y5792">
        <v>-0.41662480000000002</v>
      </c>
      <c r="Z5792">
        <v>-4.0422680000000002E-2</v>
      </c>
      <c r="AA5792">
        <v>0.90817939999999997</v>
      </c>
      <c r="AB5792">
        <v>35</v>
      </c>
      <c r="AC5792">
        <v>4.5551999999999797</v>
      </c>
      <c r="AD5792">
        <v>-1.1205988647180001</v>
      </c>
      <c r="AE5792">
        <v>6.2050199999999904</v>
      </c>
      <c r="AF5792">
        <v>-3.2078337125008498</v>
      </c>
      <c r="AG5792">
        <v>-1.1205988647180001</v>
      </c>
      <c r="AH5792">
        <v>6.82114955417254</v>
      </c>
      <c r="AI5792">
        <v>98.455894544297905</v>
      </c>
      <c r="AJ5792">
        <v>115.186549771968</v>
      </c>
      <c r="AK5792">
        <v>7.6206312194628998</v>
      </c>
      <c r="AL5792">
        <v>88.862646451562497</v>
      </c>
      <c r="AM5792">
        <v>105.117850551196</v>
      </c>
      <c r="AN5792">
        <v>0.99999997298459797</v>
      </c>
    </row>
    <row r="5793" spans="1:40" x14ac:dyDescent="0.25">
      <c r="A5793" t="str">
        <f>"20190312151429677"</f>
        <v>20190312151429677</v>
      </c>
      <c r="B5793" t="str">
        <f>"1552374869666263"</f>
        <v>1552374869666263</v>
      </c>
      <c r="C5793" t="s">
        <v>40</v>
      </c>
      <c r="D5793">
        <v>4.8778319999999997</v>
      </c>
      <c r="E5793">
        <v>0.43711270000000002</v>
      </c>
      <c r="F5793" t="s">
        <v>59</v>
      </c>
      <c r="G5793">
        <v>-195.49180000000001</v>
      </c>
      <c r="H5793" s="1">
        <v>-9.9140459999999994E-6</v>
      </c>
      <c r="I5793">
        <v>-51.585009999999997</v>
      </c>
      <c r="J5793">
        <v>-200.0094</v>
      </c>
      <c r="K5793">
        <v>1.1206560000000001</v>
      </c>
      <c r="L5793">
        <v>-57.842649999999999</v>
      </c>
      <c r="M5793">
        <v>0.87387530000000002</v>
      </c>
      <c r="N5793">
        <v>0</v>
      </c>
      <c r="O5793">
        <v>0.48597020000000002</v>
      </c>
      <c r="P5793">
        <v>0.71664890000000003</v>
      </c>
      <c r="Q5793">
        <v>1.3917799999999999E-2</v>
      </c>
      <c r="R5793">
        <v>0.697295199999999</v>
      </c>
      <c r="S5793">
        <v>1.8200069999999999</v>
      </c>
      <c r="T5793">
        <v>-0.4289618</v>
      </c>
      <c r="U5793">
        <v>2.4481510000000002</v>
      </c>
      <c r="V5793">
        <v>-0.26173039999999997</v>
      </c>
      <c r="W5793">
        <v>1.958418E-2</v>
      </c>
      <c r="X5793">
        <v>0.96494230000000003</v>
      </c>
      <c r="Y5793">
        <v>-0.41172779999999998</v>
      </c>
      <c r="Z5793">
        <v>-4.1617389999999997E-2</v>
      </c>
      <c r="AA5793">
        <v>0.91035600000000005</v>
      </c>
      <c r="AB5793">
        <v>35</v>
      </c>
      <c r="AC5793">
        <v>4.5175999999999803</v>
      </c>
      <c r="AD5793">
        <v>-1.12066591404599</v>
      </c>
      <c r="AE5793">
        <v>6.2576400000000003</v>
      </c>
      <c r="AF5793">
        <v>-3.2056766057377502</v>
      </c>
      <c r="AG5793">
        <v>-1.12066591404599</v>
      </c>
      <c r="AH5793">
        <v>6.8451356864808197</v>
      </c>
      <c r="AI5793">
        <v>98.433460440814301</v>
      </c>
      <c r="AJ5793">
        <v>115.094376285975</v>
      </c>
      <c r="AK5793">
        <v>7.6412130684736299</v>
      </c>
      <c r="AL5793">
        <v>88.877837392010406</v>
      </c>
      <c r="AM5793">
        <v>105.175743420423</v>
      </c>
      <c r="AN5793">
        <v>0.99999999235986103</v>
      </c>
    </row>
    <row r="5794" spans="1:40" x14ac:dyDescent="0.25">
      <c r="A5794" t="str">
        <f>"20190312151429689"</f>
        <v>20190312151429689</v>
      </c>
      <c r="B5794" t="str">
        <f>"1552374869685780"</f>
        <v>1552374869685780</v>
      </c>
      <c r="C5794" t="s">
        <v>40</v>
      </c>
      <c r="D5794">
        <v>4.8363259999999997</v>
      </c>
      <c r="E5794">
        <v>0.43818099999999999</v>
      </c>
      <c r="F5794" t="s">
        <v>59</v>
      </c>
      <c r="G5794">
        <v>-195.37809999999999</v>
      </c>
      <c r="H5794" s="1">
        <v>-9.9389870000000003E-6</v>
      </c>
      <c r="I5794">
        <v>-51.48516</v>
      </c>
      <c r="J5794">
        <v>-199.85380000000001</v>
      </c>
      <c r="K5794">
        <v>1.1206969999999901</v>
      </c>
      <c r="L5794">
        <v>-57.750729999999997</v>
      </c>
      <c r="M5794">
        <v>0.87078080000000002</v>
      </c>
      <c r="N5794">
        <v>0</v>
      </c>
      <c r="O5794">
        <v>0.49149300000000001</v>
      </c>
      <c r="P5794">
        <v>0.71157369999999898</v>
      </c>
      <c r="Q5794">
        <v>1.4061300000000001E-2</v>
      </c>
      <c r="R5794">
        <v>0.70247079999999995</v>
      </c>
      <c r="S5794">
        <v>1.795898</v>
      </c>
      <c r="T5794">
        <v>-0.43456539999999999</v>
      </c>
      <c r="U5794">
        <v>2.465271</v>
      </c>
      <c r="V5794">
        <v>-0.26262239999999998</v>
      </c>
      <c r="W5794">
        <v>1.9683820000000001E-2</v>
      </c>
      <c r="X5794">
        <v>0.9646979</v>
      </c>
      <c r="Y5794">
        <v>-0.41480479999999997</v>
      </c>
      <c r="Z5794">
        <v>-4.281836E-2</v>
      </c>
      <c r="AA5794">
        <v>0.9089024</v>
      </c>
      <c r="AB5794">
        <v>35</v>
      </c>
      <c r="AC5794">
        <v>4.4757000000000096</v>
      </c>
      <c r="AD5794">
        <v>-1.1207069389869999</v>
      </c>
      <c r="AE5794">
        <v>6.2655700000000003</v>
      </c>
      <c r="AF5794">
        <v>-3.1888949161260598</v>
      </c>
      <c r="AG5794">
        <v>-1.1207069389869999</v>
      </c>
      <c r="AH5794">
        <v>6.8327053963524698</v>
      </c>
      <c r="AI5794">
        <v>98.454012603476698</v>
      </c>
      <c r="AJ5794">
        <v>115.01895277736099</v>
      </c>
      <c r="AK5794">
        <v>7.6230504302760798</v>
      </c>
      <c r="AL5794">
        <v>88.872127357443702</v>
      </c>
      <c r="AM5794">
        <v>105.228745006007</v>
      </c>
      <c r="AN5794">
        <v>1.0000000080079801</v>
      </c>
    </row>
    <row r="5795" spans="1:40" x14ac:dyDescent="0.25">
      <c r="A5795" t="str">
        <f>"20190312151429700"</f>
        <v>20190312151429700</v>
      </c>
      <c r="B5795" t="str">
        <f>"1552374869696516"</f>
        <v>1552374869696516</v>
      </c>
      <c r="C5795" t="s">
        <v>40</v>
      </c>
      <c r="D5795">
        <v>4.9126050000000001</v>
      </c>
      <c r="E5795">
        <v>0.43888769999999999</v>
      </c>
      <c r="F5795" t="s">
        <v>59</v>
      </c>
      <c r="G5795">
        <v>-195.20769999999999</v>
      </c>
      <c r="H5795" s="1">
        <v>-9.9849059999999996E-6</v>
      </c>
      <c r="I5795">
        <v>-51.312069999999999</v>
      </c>
      <c r="J5795">
        <v>-199.7021</v>
      </c>
      <c r="K5795">
        <v>1.120733</v>
      </c>
      <c r="L5795">
        <v>-57.659610000000001</v>
      </c>
      <c r="M5795">
        <v>0.86770729999999996</v>
      </c>
      <c r="N5795">
        <v>0</v>
      </c>
      <c r="O5795">
        <v>0.49689909999999998</v>
      </c>
      <c r="P5795">
        <v>0.70670829999999996</v>
      </c>
      <c r="Q5795">
        <v>1.4325249999999999E-2</v>
      </c>
      <c r="R5795">
        <v>0.70736019999999999</v>
      </c>
      <c r="S5795">
        <v>1.78392</v>
      </c>
      <c r="T5795">
        <v>-0.43031360000000002</v>
      </c>
      <c r="U5795">
        <v>2.472229</v>
      </c>
      <c r="V5795">
        <v>-0.2632854</v>
      </c>
      <c r="W5795">
        <v>1.9911709999999999E-2</v>
      </c>
      <c r="X5795">
        <v>0.96451249999999999</v>
      </c>
      <c r="Y5795">
        <v>-0.41329749999999998</v>
      </c>
      <c r="Z5795">
        <v>-4.3379830000000001E-2</v>
      </c>
      <c r="AA5795">
        <v>0.90956219999999999</v>
      </c>
      <c r="AB5795">
        <v>35</v>
      </c>
      <c r="AC5795">
        <v>4.4944000000000104</v>
      </c>
      <c r="AD5795">
        <v>-1.120742984906</v>
      </c>
      <c r="AE5795">
        <v>6.3475400000000004</v>
      </c>
      <c r="AF5795">
        <v>-3.2082135369787501</v>
      </c>
      <c r="AG5795">
        <v>-1.120742984906</v>
      </c>
      <c r="AH5795">
        <v>6.9110248867521999</v>
      </c>
      <c r="AI5795">
        <v>98.367699999601896</v>
      </c>
      <c r="AJ5795">
        <v>114.901518243483</v>
      </c>
      <c r="AK5795">
        <v>7.7013611733496798</v>
      </c>
      <c r="AL5795">
        <v>88.859067676778295</v>
      </c>
      <c r="AM5795">
        <v>105.26819629141799</v>
      </c>
      <c r="AN5795">
        <v>1.0000000203522601</v>
      </c>
    </row>
    <row r="5796" spans="1:40" x14ac:dyDescent="0.25">
      <c r="A5796" t="str">
        <f>"20190312151429713"</f>
        <v>20190312151429713</v>
      </c>
      <c r="B5796" t="str">
        <f>"1552374869706276"</f>
        <v>1552374869706276</v>
      </c>
      <c r="C5796" t="s">
        <v>40</v>
      </c>
      <c r="D5796">
        <v>4.9404719999999998</v>
      </c>
      <c r="E5796">
        <v>0.43932169999999998</v>
      </c>
      <c r="F5796" t="s">
        <v>59</v>
      </c>
      <c r="G5796">
        <v>-195.0616</v>
      </c>
      <c r="H5796" s="1">
        <v>-1.0025189999999999E-5</v>
      </c>
      <c r="I5796">
        <v>-51.161140000000003</v>
      </c>
      <c r="J5796">
        <v>-199.54259999999999</v>
      </c>
      <c r="K5796">
        <v>1.120771</v>
      </c>
      <c r="L5796">
        <v>-57.562289999999997</v>
      </c>
      <c r="M5796">
        <v>0.86441569999999901</v>
      </c>
      <c r="N5796">
        <v>0</v>
      </c>
      <c r="O5796">
        <v>0.50260289999999996</v>
      </c>
      <c r="P5796">
        <v>0.70140219999999998</v>
      </c>
      <c r="Q5796">
        <v>1.466224E-2</v>
      </c>
      <c r="R5796">
        <v>0.71261479999999999</v>
      </c>
      <c r="S5796">
        <v>1.7711490000000001</v>
      </c>
      <c r="T5796">
        <v>-0.42775679999999999</v>
      </c>
      <c r="U5796">
        <v>2.480286</v>
      </c>
      <c r="V5796">
        <v>-0.26414599999999999</v>
      </c>
      <c r="W5796">
        <v>2.0208710000000001E-2</v>
      </c>
      <c r="X5796">
        <v>0.96427090000000004</v>
      </c>
      <c r="Y5796">
        <v>-0.41184470000000001</v>
      </c>
      <c r="Z5796">
        <v>-4.4131900000000002E-2</v>
      </c>
      <c r="AA5796">
        <v>0.91018480000000002</v>
      </c>
      <c r="AB5796">
        <v>35</v>
      </c>
      <c r="AC5796">
        <v>4.4809999999999901</v>
      </c>
      <c r="AD5796">
        <v>-1.1207810251899999</v>
      </c>
      <c r="AE5796">
        <v>6.4011500000000003</v>
      </c>
      <c r="AF5796">
        <v>-3.2152281097132498</v>
      </c>
      <c r="AG5796">
        <v>-1.1207810251899999</v>
      </c>
      <c r="AH5796">
        <v>6.9483487460222397</v>
      </c>
      <c r="AI5796">
        <v>98.328309950820596</v>
      </c>
      <c r="AJ5796">
        <v>114.831523238754</v>
      </c>
      <c r="AK5796">
        <v>7.7377898782704797</v>
      </c>
      <c r="AL5796">
        <v>88.842047306694397</v>
      </c>
      <c r="AM5796">
        <v>105.319420388875</v>
      </c>
      <c r="AN5796">
        <v>0.99999993493133499</v>
      </c>
    </row>
    <row r="5797" spans="1:40" x14ac:dyDescent="0.25">
      <c r="A5797" t="str">
        <f>"20190312151429724"</f>
        <v>20190312151429724</v>
      </c>
      <c r="B5797" t="str">
        <f>"1552374869716038"</f>
        <v>1552374869716038</v>
      </c>
      <c r="C5797" t="s">
        <v>40</v>
      </c>
      <c r="D5797">
        <v>4.892455</v>
      </c>
      <c r="E5797">
        <v>0.44006800000000001</v>
      </c>
      <c r="F5797" t="s">
        <v>59</v>
      </c>
      <c r="G5797">
        <v>-194.9804</v>
      </c>
      <c r="H5797" s="1">
        <v>-1.004368E-5</v>
      </c>
      <c r="I5797">
        <v>-51.087960000000002</v>
      </c>
      <c r="J5797">
        <v>-199.386</v>
      </c>
      <c r="K5797">
        <v>1.120806</v>
      </c>
      <c r="L5797">
        <v>-57.465879999999999</v>
      </c>
      <c r="M5797">
        <v>0.86113589999999995</v>
      </c>
      <c r="N5797">
        <v>0</v>
      </c>
      <c r="O5797">
        <v>0.50820149999999997</v>
      </c>
      <c r="P5797">
        <v>0.69623489999999999</v>
      </c>
      <c r="Q5797">
        <v>1.450689E-2</v>
      </c>
      <c r="R5797">
        <v>0.71766750000000001</v>
      </c>
      <c r="S5797">
        <v>1.755325</v>
      </c>
      <c r="T5797">
        <v>-0.431226</v>
      </c>
      <c r="U5797">
        <v>2.491028</v>
      </c>
      <c r="V5797">
        <v>-0.26485639999999999</v>
      </c>
      <c r="W5797">
        <v>2.0019450000000001E-2</v>
      </c>
      <c r="X5797">
        <v>0.96408000000000005</v>
      </c>
      <c r="Y5797">
        <v>-0.4116901</v>
      </c>
      <c r="Z5797">
        <v>-4.538706E-2</v>
      </c>
      <c r="AA5797">
        <v>0.91019300000000003</v>
      </c>
      <c r="AB5797">
        <v>35</v>
      </c>
      <c r="AC5797">
        <v>4.40559999999999</v>
      </c>
      <c r="AD5797">
        <v>-1.1208160436800001</v>
      </c>
      <c r="AE5797">
        <v>6.3779199999999996</v>
      </c>
      <c r="AF5797">
        <v>-3.1869805402822999</v>
      </c>
      <c r="AG5797">
        <v>-1.1208160436800001</v>
      </c>
      <c r="AH5797">
        <v>6.8916270496416798</v>
      </c>
      <c r="AI5797">
        <v>98.3970572898792</v>
      </c>
      <c r="AJ5797">
        <v>114.817822498749</v>
      </c>
      <c r="AK5797">
        <v>7.6751284653262601</v>
      </c>
      <c r="AL5797">
        <v>88.852893339625794</v>
      </c>
      <c r="AM5797">
        <v>105.36157526167</v>
      </c>
      <c r="AN5797">
        <v>0.99999996869963004</v>
      </c>
    </row>
    <row r="5798" spans="1:40" x14ac:dyDescent="0.25">
      <c r="A5798" t="str">
        <f>"20190312151429737"</f>
        <v>20190312151429737</v>
      </c>
      <c r="B5798" t="str">
        <f>"1552374869725795"</f>
        <v>1552374869725795</v>
      </c>
      <c r="C5798" t="s">
        <v>40</v>
      </c>
      <c r="D5798">
        <v>4.932429</v>
      </c>
      <c r="E5798">
        <v>0.44071199999999999</v>
      </c>
      <c r="F5798" t="s">
        <v>59</v>
      </c>
      <c r="G5798">
        <v>-194.84209999999999</v>
      </c>
      <c r="H5798" s="1">
        <v>-1.0081850000000001E-5</v>
      </c>
      <c r="I5798">
        <v>-50.944969999999998</v>
      </c>
      <c r="J5798">
        <v>-199.2251</v>
      </c>
      <c r="K5798">
        <v>1.1208340000000001</v>
      </c>
      <c r="L5798">
        <v>-57.364469999999997</v>
      </c>
      <c r="M5798">
        <v>0.85769249999999997</v>
      </c>
      <c r="N5798">
        <v>0</v>
      </c>
      <c r="O5798">
        <v>0.51399150000000005</v>
      </c>
      <c r="P5798">
        <v>0.69091320000000001</v>
      </c>
      <c r="Q5798">
        <v>1.4528859999999999E-2</v>
      </c>
      <c r="R5798">
        <v>0.72279179999999998</v>
      </c>
      <c r="S5798">
        <v>1.7415769999999999</v>
      </c>
      <c r="T5798">
        <v>-0.42958030000000003</v>
      </c>
      <c r="U5798">
        <v>2.499298</v>
      </c>
      <c r="V5798">
        <v>-0.26548620000000001</v>
      </c>
      <c r="W5798">
        <v>2.001325E-2</v>
      </c>
      <c r="X5798">
        <v>0.96390690000000001</v>
      </c>
      <c r="Y5798">
        <v>-0.41037849999999998</v>
      </c>
      <c r="Z5798">
        <v>-4.6236510000000001E-2</v>
      </c>
      <c r="AA5798">
        <v>0.9107423</v>
      </c>
      <c r="AB5798">
        <v>35</v>
      </c>
      <c r="AC5798">
        <v>4.3830000000000098</v>
      </c>
      <c r="AD5798">
        <v>-1.1208440818500001</v>
      </c>
      <c r="AE5798">
        <v>6.4194999999999904</v>
      </c>
      <c r="AF5798">
        <v>-3.1871505351115301</v>
      </c>
      <c r="AG5798">
        <v>-1.1208440818500001</v>
      </c>
      <c r="AH5798">
        <v>6.9156636978071004</v>
      </c>
      <c r="AI5798">
        <v>98.373462563097902</v>
      </c>
      <c r="AJ5798">
        <v>114.743070505343</v>
      </c>
      <c r="AK5798">
        <v>7.6967931224924397</v>
      </c>
      <c r="AL5798">
        <v>88.853248660157107</v>
      </c>
      <c r="AM5798">
        <v>105.39900579499</v>
      </c>
      <c r="AN5798">
        <v>0.99999998221680597</v>
      </c>
    </row>
    <row r="5799" spans="1:40" x14ac:dyDescent="0.25">
      <c r="A5799" t="str">
        <f>"20190312151429756"</f>
        <v>20190312151429756</v>
      </c>
      <c r="B5799" t="str">
        <f>"1552374869746295"</f>
        <v>1552374869746295</v>
      </c>
      <c r="C5799" t="s">
        <v>40</v>
      </c>
      <c r="D5799">
        <v>4.9362629999999896</v>
      </c>
      <c r="E5799">
        <v>0.44185780000000002</v>
      </c>
      <c r="F5799" t="s">
        <v>59</v>
      </c>
      <c r="G5799">
        <v>-194.68940000000001</v>
      </c>
      <c r="H5799" s="1">
        <v>-1.0128569999999999E-5</v>
      </c>
      <c r="I5799">
        <v>-50.774529999999999</v>
      </c>
      <c r="J5799">
        <v>-198.98410000000001</v>
      </c>
      <c r="K5799">
        <v>1.120878</v>
      </c>
      <c r="L5799">
        <v>-57.210299999999997</v>
      </c>
      <c r="M5799">
        <v>0.85243119999999994</v>
      </c>
      <c r="N5799">
        <v>0</v>
      </c>
      <c r="O5799">
        <v>0.52267019999999997</v>
      </c>
      <c r="P5799">
        <v>0.68259019999999904</v>
      </c>
      <c r="Q5799">
        <v>1.42782E-2</v>
      </c>
      <c r="R5799">
        <v>0.73066189999999998</v>
      </c>
      <c r="S5799">
        <v>1.726639</v>
      </c>
      <c r="T5799">
        <v>-0.42667929999999998</v>
      </c>
      <c r="U5799">
        <v>2.5086360000000001</v>
      </c>
      <c r="V5799">
        <v>-0.26674150000000002</v>
      </c>
      <c r="W5799">
        <v>1.9712899999999998E-2</v>
      </c>
      <c r="X5799">
        <v>0.96356649999999999</v>
      </c>
      <c r="Y5799">
        <v>-0.40646199999999999</v>
      </c>
      <c r="Z5799">
        <v>-4.7569710000000001E-2</v>
      </c>
      <c r="AA5799">
        <v>0.91242849999999998</v>
      </c>
      <c r="AB5799">
        <v>35</v>
      </c>
      <c r="AC5799">
        <v>4.2946999999999997</v>
      </c>
      <c r="AD5799">
        <v>-1.1208881285700001</v>
      </c>
      <c r="AE5799">
        <v>6.43576999999999</v>
      </c>
      <c r="AF5799">
        <v>-3.1749908958444801</v>
      </c>
      <c r="AG5799">
        <v>-1.1208881285700001</v>
      </c>
      <c r="AH5799">
        <v>6.8809290558959404</v>
      </c>
      <c r="AI5799">
        <v>98.4136897607994</v>
      </c>
      <c r="AJ5799">
        <v>114.769494167459</v>
      </c>
      <c r="AK5799">
        <v>7.6605575552787002</v>
      </c>
      <c r="AL5799">
        <v>88.870460878574207</v>
      </c>
      <c r="AM5799">
        <v>105.47354058464499</v>
      </c>
      <c r="AN5799">
        <v>1.0000000130854501</v>
      </c>
    </row>
    <row r="5800" spans="1:40" x14ac:dyDescent="0.25">
      <c r="A5800" t="str">
        <f>"20190312151429768"</f>
        <v>20190312151429768</v>
      </c>
      <c r="B5800" t="str">
        <f>"1552374869765812"</f>
        <v>1552374869765812</v>
      </c>
      <c r="C5800" t="s">
        <v>40</v>
      </c>
      <c r="D5800">
        <v>4.8789449999999999</v>
      </c>
      <c r="E5800">
        <v>0.44145430000000002</v>
      </c>
      <c r="F5800" t="s">
        <v>59</v>
      </c>
      <c r="G5800">
        <v>-194.54079999999999</v>
      </c>
      <c r="H5800" s="1">
        <v>-1.016459E-5</v>
      </c>
      <c r="I5800">
        <v>-50.634630000000001</v>
      </c>
      <c r="J5800">
        <v>-198.81819999999999</v>
      </c>
      <c r="K5800">
        <v>1.1209070000000001</v>
      </c>
      <c r="L5800">
        <v>-57.10248</v>
      </c>
      <c r="M5800">
        <v>0.84873580000000004</v>
      </c>
      <c r="N5800">
        <v>0</v>
      </c>
      <c r="O5800">
        <v>0.52864960000000005</v>
      </c>
      <c r="P5800">
        <v>0.67694370000000004</v>
      </c>
      <c r="Q5800">
        <v>1.4619740000000001E-2</v>
      </c>
      <c r="R5800">
        <v>0.73588959999999903</v>
      </c>
      <c r="S5800">
        <v>1.7042389999999901</v>
      </c>
      <c r="T5800">
        <v>-0.42992170000000002</v>
      </c>
      <c r="U5800">
        <v>2.522125</v>
      </c>
      <c r="V5800">
        <v>-0.26739259999999998</v>
      </c>
      <c r="W5800">
        <v>2.0029459999999999E-2</v>
      </c>
      <c r="X5800">
        <v>0.96337950000000006</v>
      </c>
      <c r="Y5800">
        <v>-0.40790219999999999</v>
      </c>
      <c r="Z5800">
        <v>-4.8799090000000003E-2</v>
      </c>
      <c r="AA5800">
        <v>0.91172059999999999</v>
      </c>
      <c r="AB5800">
        <v>35</v>
      </c>
      <c r="AC5800">
        <v>4.2774000000000001</v>
      </c>
      <c r="AD5800">
        <v>-1.12091716458999</v>
      </c>
      <c r="AE5800">
        <v>6.4678500000000003</v>
      </c>
      <c r="AF5800">
        <v>-3.1624536541707999</v>
      </c>
      <c r="AG5800">
        <v>-1.12091716458999</v>
      </c>
      <c r="AH5800">
        <v>6.9059276333760398</v>
      </c>
      <c r="AI5800">
        <v>98.394820382202994</v>
      </c>
      <c r="AJ5800">
        <v>114.604616717433</v>
      </c>
      <c r="AK5800">
        <v>7.6778515798416898</v>
      </c>
      <c r="AL5800">
        <v>88.852319754337898</v>
      </c>
      <c r="AM5800">
        <v>105.51235998699801</v>
      </c>
      <c r="AN5800">
        <v>1.0000000214114499</v>
      </c>
    </row>
    <row r="5801" spans="1:40" x14ac:dyDescent="0.25">
      <c r="A5801" t="str">
        <f>"20190312151429781"</f>
        <v>20190312151429781</v>
      </c>
      <c r="B5801" t="str">
        <f>"1552374869776548"</f>
        <v>1552374869776548</v>
      </c>
      <c r="C5801" t="s">
        <v>40</v>
      </c>
      <c r="D5801">
        <v>4.8942870000000003</v>
      </c>
      <c r="E5801">
        <v>0.44089020000000001</v>
      </c>
      <c r="F5801" t="s">
        <v>59</v>
      </c>
      <c r="G5801">
        <v>-194.3794</v>
      </c>
      <c r="H5801" s="1">
        <v>-1.023055E-5</v>
      </c>
      <c r="I5801">
        <v>-50.40887</v>
      </c>
      <c r="J5801">
        <v>-198.6456</v>
      </c>
      <c r="K5801">
        <v>1.1209309999999999</v>
      </c>
      <c r="L5801">
        <v>-56.988160000000001</v>
      </c>
      <c r="M5801">
        <v>0.84481669999999998</v>
      </c>
      <c r="N5801">
        <v>0</v>
      </c>
      <c r="O5801">
        <v>0.53488990000000003</v>
      </c>
      <c r="P5801">
        <v>0.6709889</v>
      </c>
      <c r="Q5801">
        <v>1.466571E-2</v>
      </c>
      <c r="R5801">
        <v>0.74132240000000005</v>
      </c>
      <c r="S5801">
        <v>1.6825869999999901</v>
      </c>
      <c r="T5801">
        <v>-0.42489670000000002</v>
      </c>
      <c r="U5801">
        <v>2.5372919999999999</v>
      </c>
      <c r="V5801">
        <v>-0.26806219999999997</v>
      </c>
      <c r="W5801">
        <v>2.004997E-2</v>
      </c>
      <c r="X5801">
        <v>0.96319290000000002</v>
      </c>
      <c r="Y5801">
        <v>-0.40910839999999998</v>
      </c>
      <c r="Z5801">
        <v>-4.9125679999999998E-2</v>
      </c>
      <c r="AA5801">
        <v>0.91116240000000004</v>
      </c>
      <c r="AB5801">
        <v>35</v>
      </c>
      <c r="AC5801">
        <v>4.2661999999999898</v>
      </c>
      <c r="AD5801">
        <v>-1.1209412305499999</v>
      </c>
      <c r="AE5801">
        <v>6.5792899999999896</v>
      </c>
      <c r="AF5801">
        <v>-3.2110198460094601</v>
      </c>
      <c r="AG5801">
        <v>-1.1209412305499999</v>
      </c>
      <c r="AH5801">
        <v>6.9813205699476502</v>
      </c>
      <c r="AI5801">
        <v>98.299367923144899</v>
      </c>
      <c r="AJ5801">
        <v>114.699804577832</v>
      </c>
      <c r="AK5801">
        <v>7.7656934393644299</v>
      </c>
      <c r="AL5801">
        <v>88.851144303847903</v>
      </c>
      <c r="AM5801">
        <v>105.552195087001</v>
      </c>
      <c r="AN5801">
        <v>0.99999995348812398</v>
      </c>
    </row>
    <row r="5802" spans="1:40" x14ac:dyDescent="0.25">
      <c r="A5802" t="str">
        <f>"20190312151429802"</f>
        <v>20190312151429802</v>
      </c>
      <c r="B5802" t="str">
        <f>"1552374869796067"</f>
        <v>1552374869796067</v>
      </c>
      <c r="C5802" t="s">
        <v>40</v>
      </c>
      <c r="D5802">
        <v>4.8874570000000004</v>
      </c>
      <c r="E5802">
        <v>0.44002999999999998</v>
      </c>
      <c r="F5802" t="s">
        <v>59</v>
      </c>
      <c r="G5802">
        <v>-194.30779999999999</v>
      </c>
      <c r="H5802" s="1">
        <v>-1.883193E-6</v>
      </c>
      <c r="I5802">
        <v>-50.311399999999999</v>
      </c>
      <c r="J5802">
        <v>-198.38200000000001</v>
      </c>
      <c r="K5802">
        <v>1.12096</v>
      </c>
      <c r="L5802">
        <v>-56.810180000000003</v>
      </c>
      <c r="M5802">
        <v>0.83869930000000004</v>
      </c>
      <c r="N5802">
        <v>0</v>
      </c>
      <c r="O5802">
        <v>0.54443129999999995</v>
      </c>
      <c r="P5802">
        <v>0.66149380000000002</v>
      </c>
      <c r="Q5802">
        <v>1.4488559999999999E-2</v>
      </c>
      <c r="R5802">
        <v>0.7498108</v>
      </c>
      <c r="S5802">
        <v>1.6590419999999999</v>
      </c>
      <c r="T5802">
        <v>-0.42872169999999998</v>
      </c>
      <c r="U5802">
        <v>2.5536500000000002</v>
      </c>
      <c r="V5802">
        <v>-0.26941029999999999</v>
      </c>
      <c r="W5802">
        <v>1.982542E-2</v>
      </c>
      <c r="X5802">
        <v>0.96282140000000005</v>
      </c>
      <c r="Y5802">
        <v>-0.40742669999999997</v>
      </c>
      <c r="Z5802">
        <v>-5.117787E-2</v>
      </c>
      <c r="AA5802">
        <v>0.91180280000000002</v>
      </c>
      <c r="AB5802">
        <v>35</v>
      </c>
      <c r="AC5802">
        <v>4.07420000000001</v>
      </c>
      <c r="AD5802">
        <v>-1.1209618831929999</v>
      </c>
      <c r="AE5802">
        <v>6.49878</v>
      </c>
      <c r="AF5802">
        <v>-3.1650883366973499</v>
      </c>
      <c r="AG5802">
        <v>-1.1209618831929999</v>
      </c>
      <c r="AH5802">
        <v>6.8103326644737097</v>
      </c>
      <c r="AI5802">
        <v>98.489564087498294</v>
      </c>
      <c r="AJ5802">
        <v>114.926553884854</v>
      </c>
      <c r="AK5802">
        <v>7.59308703515683</v>
      </c>
      <c r="AL5802">
        <v>88.864012685539706</v>
      </c>
      <c r="AM5802">
        <v>105.632330222394</v>
      </c>
      <c r="AN5802">
        <v>1.00000000266111</v>
      </c>
    </row>
    <row r="5803" spans="1:40" x14ac:dyDescent="0.25">
      <c r="A5803" t="str">
        <f>"20190312151429823"</f>
        <v>20190312151429823</v>
      </c>
      <c r="B5803" t="str">
        <f>"1552374869816564"</f>
        <v>1552374869816564</v>
      </c>
      <c r="C5803" t="s">
        <v>40</v>
      </c>
      <c r="D5803">
        <v>4.8999459999999999</v>
      </c>
      <c r="E5803">
        <v>0.4394516</v>
      </c>
      <c r="F5803" t="s">
        <v>59</v>
      </c>
      <c r="G5803">
        <v>-194.1514</v>
      </c>
      <c r="H5803" s="1">
        <v>-1.9843159999999998E-6</v>
      </c>
      <c r="I5803">
        <v>-50.081780000000002</v>
      </c>
      <c r="J5803">
        <v>-198.10919999999999</v>
      </c>
      <c r="K5803">
        <v>1.120989</v>
      </c>
      <c r="L5803">
        <v>-56.621369999999999</v>
      </c>
      <c r="M5803">
        <v>0.83219310000000002</v>
      </c>
      <c r="N5803">
        <v>0</v>
      </c>
      <c r="O5803">
        <v>0.55432499999999996</v>
      </c>
      <c r="P5803">
        <v>0.65202669999999996</v>
      </c>
      <c r="Q5803">
        <v>1.3756910000000001E-2</v>
      </c>
      <c r="R5803">
        <v>0.75807119999999995</v>
      </c>
      <c r="S5803">
        <v>1.6214900000000001</v>
      </c>
      <c r="T5803">
        <v>-0.42963119999999999</v>
      </c>
      <c r="U5803">
        <v>2.5787960000000001</v>
      </c>
      <c r="V5803">
        <v>-0.27009040000000001</v>
      </c>
      <c r="W5803">
        <v>1.906882E-2</v>
      </c>
      <c r="X5803">
        <v>0.96264609999999995</v>
      </c>
      <c r="Y5803">
        <v>-0.41018569999999999</v>
      </c>
      <c r="Z5803">
        <v>-5.2662059999999997E-2</v>
      </c>
      <c r="AA5803">
        <v>0.91048030000000002</v>
      </c>
      <c r="AB5803">
        <v>35</v>
      </c>
      <c r="AC5803">
        <v>3.95779999999999</v>
      </c>
      <c r="AD5803">
        <v>-1.120990984316</v>
      </c>
      <c r="AE5803">
        <v>6.5395899999999898</v>
      </c>
      <c r="AF5803">
        <v>-3.18018999092993</v>
      </c>
      <c r="AG5803">
        <v>-1.120990984316</v>
      </c>
      <c r="AH5803">
        <v>6.7736533745169396</v>
      </c>
      <c r="AI5803">
        <v>98.519787314268399</v>
      </c>
      <c r="AJ5803">
        <v>115.14977634652</v>
      </c>
      <c r="AK5803">
        <v>7.5665453942624001</v>
      </c>
      <c r="AL5803">
        <v>88.907370846938306</v>
      </c>
      <c r="AM5803">
        <v>105.67256952030399</v>
      </c>
      <c r="AN5803">
        <v>0.99999997895678105</v>
      </c>
    </row>
    <row r="5804" spans="1:40" x14ac:dyDescent="0.25">
      <c r="A5804" t="str">
        <f>"20190312151429845"</f>
        <v>20190312151429845</v>
      </c>
      <c r="B5804" t="str">
        <f>"1552374869836083"</f>
        <v>1552374869836083</v>
      </c>
      <c r="C5804" t="s">
        <v>40</v>
      </c>
      <c r="D5804">
        <v>4.9281629999999996</v>
      </c>
      <c r="E5804">
        <v>0.43920100000000001</v>
      </c>
      <c r="F5804" t="s">
        <v>59</v>
      </c>
      <c r="G5804">
        <v>-194.00139999999999</v>
      </c>
      <c r="H5804" s="1">
        <v>-2.070541E-6</v>
      </c>
      <c r="I5804">
        <v>-49.879770000000001</v>
      </c>
      <c r="J5804">
        <v>-197.8382</v>
      </c>
      <c r="K5804">
        <v>1.1210150000000001</v>
      </c>
      <c r="L5804">
        <v>-56.429049999999997</v>
      </c>
      <c r="M5804">
        <v>0.82555279999999998</v>
      </c>
      <c r="N5804">
        <v>0</v>
      </c>
      <c r="O5804">
        <v>0.56416639999999996</v>
      </c>
      <c r="P5804">
        <v>0.64236359999999904</v>
      </c>
      <c r="Q5804">
        <v>1.3878659999999999E-2</v>
      </c>
      <c r="R5804">
        <v>0.76627440000000002</v>
      </c>
      <c r="S5804">
        <v>1.585297</v>
      </c>
      <c r="T5804">
        <v>-0.43261739999999999</v>
      </c>
      <c r="U5804">
        <v>2.6017459999999999</v>
      </c>
      <c r="V5804">
        <v>-0.27086840000000001</v>
      </c>
      <c r="W5804">
        <v>1.9164170000000001E-2</v>
      </c>
      <c r="X5804">
        <v>0.96242559999999999</v>
      </c>
      <c r="Y5804">
        <v>-0.41222419999999999</v>
      </c>
      <c r="Z5804">
        <v>-5.4464859999999997E-2</v>
      </c>
      <c r="AA5804">
        <v>0.90945299999999996</v>
      </c>
      <c r="AB5804">
        <v>35</v>
      </c>
      <c r="AC5804">
        <v>3.83680000000001</v>
      </c>
      <c r="AD5804">
        <v>-1.1210170705410001</v>
      </c>
      <c r="AE5804">
        <v>6.5492799999999898</v>
      </c>
      <c r="AF5804">
        <v>-3.17325764429836</v>
      </c>
      <c r="AG5804">
        <v>-1.1210170705410001</v>
      </c>
      <c r="AH5804">
        <v>6.7164785596946697</v>
      </c>
      <c r="AI5804">
        <v>98.581766351831305</v>
      </c>
      <c r="AJ5804">
        <v>115.28879235751999</v>
      </c>
      <c r="AK5804">
        <v>7.5124781259169398</v>
      </c>
      <c r="AL5804">
        <v>88.901906713947</v>
      </c>
      <c r="AM5804">
        <v>105.71890973221301</v>
      </c>
      <c r="AN5804">
        <v>0.99999999553285401</v>
      </c>
    </row>
    <row r="5805" spans="1:40" x14ac:dyDescent="0.25">
      <c r="A5805" t="str">
        <f>"20190312151429869"</f>
        <v>20190312151429869</v>
      </c>
      <c r="B5805" t="str">
        <f>"1552374869866340"</f>
        <v>1552374869866340</v>
      </c>
      <c r="C5805" t="s">
        <v>40</v>
      </c>
      <c r="D5805">
        <v>4.9320349999999999</v>
      </c>
      <c r="E5805">
        <v>0.43906970000000001</v>
      </c>
      <c r="F5805" t="s">
        <v>59</v>
      </c>
      <c r="G5805">
        <v>-193.82689999999999</v>
      </c>
      <c r="H5805" s="1">
        <v>-2.1708539999999998E-6</v>
      </c>
      <c r="I5805">
        <v>-49.644750000000002</v>
      </c>
      <c r="J5805">
        <v>-197.5428</v>
      </c>
      <c r="K5805">
        <v>1.1210359999999999</v>
      </c>
      <c r="L5805">
        <v>-56.213380000000001</v>
      </c>
      <c r="M5805">
        <v>0.81810340000000004</v>
      </c>
      <c r="N5805">
        <v>0</v>
      </c>
      <c r="O5805">
        <v>0.57491519999999996</v>
      </c>
      <c r="P5805">
        <v>0.63192729999999997</v>
      </c>
      <c r="Q5805">
        <v>1.3499540000000001E-2</v>
      </c>
      <c r="R5805">
        <v>0.77491019999999999</v>
      </c>
      <c r="S5805">
        <v>1.550797</v>
      </c>
      <c r="T5805">
        <v>-0.43339420000000001</v>
      </c>
      <c r="U5805">
        <v>2.6228639999999999</v>
      </c>
      <c r="V5805">
        <v>-0.27131139999999998</v>
      </c>
      <c r="W5805">
        <v>1.8769890000000001E-2</v>
      </c>
      <c r="X5805">
        <v>0.96230859999999996</v>
      </c>
      <c r="Y5805">
        <v>-0.41245209999999999</v>
      </c>
      <c r="Z5805">
        <v>-5.6281629999999999E-2</v>
      </c>
      <c r="AA5805">
        <v>0.90923909999999997</v>
      </c>
      <c r="AB5805">
        <v>35</v>
      </c>
      <c r="AC5805">
        <v>3.7159</v>
      </c>
      <c r="AD5805">
        <v>-1.121038170854</v>
      </c>
      <c r="AE5805">
        <v>6.5686299999999997</v>
      </c>
      <c r="AF5805">
        <v>-3.1678811549547801</v>
      </c>
      <c r="AG5805">
        <v>-1.121038170854</v>
      </c>
      <c r="AH5805">
        <v>6.6698348730230501</v>
      </c>
      <c r="AI5805">
        <v>98.632816999072602</v>
      </c>
      <c r="AJ5805">
        <v>115.405682621482</v>
      </c>
      <c r="AK5805">
        <v>7.4685269515362798</v>
      </c>
      <c r="AL5805">
        <v>88.9245013775801</v>
      </c>
      <c r="AM5805">
        <v>105.74516328944701</v>
      </c>
      <c r="AN5805">
        <v>1.0000000130872599</v>
      </c>
    </row>
    <row r="5806" spans="1:40" x14ac:dyDescent="0.25">
      <c r="A5806" t="str">
        <f>"20190312151429891"</f>
        <v>20190312151429891</v>
      </c>
      <c r="B5806" t="str">
        <f>"1552374869885860"</f>
        <v>1552374869885860</v>
      </c>
      <c r="C5806" t="s">
        <v>40</v>
      </c>
      <c r="D5806">
        <v>4.9188720000000004</v>
      </c>
      <c r="E5806">
        <v>0.43917659999999997</v>
      </c>
      <c r="F5806" t="s">
        <v>59</v>
      </c>
      <c r="G5806">
        <v>-193.67859999999999</v>
      </c>
      <c r="H5806" s="1">
        <v>-2.2425679999999999E-6</v>
      </c>
      <c r="I5806">
        <v>-49.467880000000001</v>
      </c>
      <c r="J5806">
        <v>-197.26339999999999</v>
      </c>
      <c r="K5806">
        <v>1.121051</v>
      </c>
      <c r="L5806">
        <v>-56.00394</v>
      </c>
      <c r="M5806">
        <v>0.81085649999999998</v>
      </c>
      <c r="N5806">
        <v>0</v>
      </c>
      <c r="O5806">
        <v>0.58509169999999999</v>
      </c>
      <c r="P5806">
        <v>0.62199479999999996</v>
      </c>
      <c r="Q5806">
        <v>1.3039540000000001E-2</v>
      </c>
      <c r="R5806">
        <v>0.78291279999999996</v>
      </c>
      <c r="S5806">
        <v>1.5145869999999999</v>
      </c>
      <c r="T5806">
        <v>-0.43939470000000003</v>
      </c>
      <c r="U5806">
        <v>2.6439210000000002</v>
      </c>
      <c r="V5806">
        <v>-0.27155269999999998</v>
      </c>
      <c r="W5806">
        <v>1.830172E-2</v>
      </c>
      <c r="X5806">
        <v>0.96224949999999998</v>
      </c>
      <c r="Y5806">
        <v>-0.41364869999999998</v>
      </c>
      <c r="Z5806">
        <v>-5.86478E-2</v>
      </c>
      <c r="AA5806">
        <v>0.90854570000000001</v>
      </c>
      <c r="AB5806">
        <v>35</v>
      </c>
      <c r="AC5806">
        <v>3.5848</v>
      </c>
      <c r="AD5806">
        <v>-1.121053242568</v>
      </c>
      <c r="AE5806">
        <v>6.5360599999999902</v>
      </c>
      <c r="AF5806">
        <v>-3.1318296205512901</v>
      </c>
      <c r="AG5806">
        <v>-1.121053242568</v>
      </c>
      <c r="AH5806">
        <v>6.5826863889922498</v>
      </c>
      <c r="AI5806">
        <v>98.742759398109797</v>
      </c>
      <c r="AJ5806">
        <v>115.44359644096799</v>
      </c>
      <c r="AK5806">
        <v>7.3754238685419704</v>
      </c>
      <c r="AL5806">
        <v>88.951330097242007</v>
      </c>
      <c r="AM5806">
        <v>105.759391258739</v>
      </c>
      <c r="AN5806">
        <v>0.999999961041248</v>
      </c>
    </row>
    <row r="5807" spans="1:40" x14ac:dyDescent="0.25">
      <c r="A5807" t="str">
        <f>"20190312151429915"</f>
        <v>20190312151429915</v>
      </c>
      <c r="B5807" t="str">
        <f>"1552374869906356"</f>
        <v>1552374869906356</v>
      </c>
      <c r="C5807" t="s">
        <v>40</v>
      </c>
      <c r="D5807">
        <v>4.9588890000000001</v>
      </c>
      <c r="E5807">
        <v>0.43930859999999999</v>
      </c>
      <c r="F5807" t="s">
        <v>59</v>
      </c>
      <c r="G5807">
        <v>-193.49080000000001</v>
      </c>
      <c r="H5807" s="1">
        <v>-2.3459479999999999E-6</v>
      </c>
      <c r="I5807">
        <v>-49.222679999999997</v>
      </c>
      <c r="J5807">
        <v>-196.98400000000001</v>
      </c>
      <c r="K5807">
        <v>1.1210629999999999</v>
      </c>
      <c r="L5807">
        <v>-55.789090000000002</v>
      </c>
      <c r="M5807">
        <v>0.80341090000000004</v>
      </c>
      <c r="N5807">
        <v>0</v>
      </c>
      <c r="O5807">
        <v>0.59527390000000002</v>
      </c>
      <c r="P5807">
        <v>0.61226709999999995</v>
      </c>
      <c r="Q5807">
        <v>1.2600439999999999E-2</v>
      </c>
      <c r="R5807">
        <v>0.79055059999999999</v>
      </c>
      <c r="S5807">
        <v>1.481171</v>
      </c>
      <c r="T5807">
        <v>-0.44014589999999998</v>
      </c>
      <c r="U5807">
        <v>2.662445</v>
      </c>
      <c r="V5807">
        <v>-0.27130670000000001</v>
      </c>
      <c r="W5807">
        <v>1.7873119999999999E-2</v>
      </c>
      <c r="X5807">
        <v>0.96232700000000004</v>
      </c>
      <c r="Y5807">
        <v>-0.41362460000000001</v>
      </c>
      <c r="Z5807">
        <v>-6.0441399999999999E-2</v>
      </c>
      <c r="AA5807">
        <v>0.908439</v>
      </c>
      <c r="AB5807">
        <v>35</v>
      </c>
      <c r="AC5807">
        <v>3.4931999999999999</v>
      </c>
      <c r="AD5807">
        <v>-1.121065345948</v>
      </c>
      <c r="AE5807">
        <v>6.5664100000000003</v>
      </c>
      <c r="AF5807">
        <v>-3.1253980050168599</v>
      </c>
      <c r="AG5807">
        <v>-1.121065345948</v>
      </c>
      <c r="AH5807">
        <v>6.56670637351586</v>
      </c>
      <c r="AI5807">
        <v>98.7632010641899</v>
      </c>
      <c r="AJ5807">
        <v>115.45192835865301</v>
      </c>
      <c r="AK5807">
        <v>7.3584327676226504</v>
      </c>
      <c r="AL5807">
        <v>88.975891142094994</v>
      </c>
      <c r="AM5807">
        <v>105.74461793808401</v>
      </c>
      <c r="AN5807">
        <v>1.00000001440621</v>
      </c>
    </row>
    <row r="5808" spans="1:40" x14ac:dyDescent="0.25">
      <c r="A5808" t="str">
        <f>"20190312151429937"</f>
        <v>20190312151429937</v>
      </c>
      <c r="B5808" t="str">
        <f>"1552374869925875"</f>
        <v>1552374869925875</v>
      </c>
      <c r="C5808" t="s">
        <v>40</v>
      </c>
      <c r="D5808">
        <v>4.9785570000000003</v>
      </c>
      <c r="E5808">
        <v>0.43960890000000002</v>
      </c>
      <c r="F5808" t="s">
        <v>59</v>
      </c>
      <c r="G5808">
        <v>-193.31700000000001</v>
      </c>
      <c r="H5808" s="1">
        <v>-2.435145E-6</v>
      </c>
      <c r="I5808">
        <v>-49.006680000000003</v>
      </c>
      <c r="J5808">
        <v>-196.71209999999999</v>
      </c>
      <c r="K5808">
        <v>1.121068</v>
      </c>
      <c r="L5808">
        <v>-55.574579999999997</v>
      </c>
      <c r="M5808">
        <v>0.79596829999999996</v>
      </c>
      <c r="N5808">
        <v>0</v>
      </c>
      <c r="O5808">
        <v>0.60518930000000004</v>
      </c>
      <c r="P5808">
        <v>0.60251519999999903</v>
      </c>
      <c r="Q5808">
        <v>1.206728E-2</v>
      </c>
      <c r="R5808">
        <v>0.79801619999999995</v>
      </c>
      <c r="S5808">
        <v>1.4488369999999999</v>
      </c>
      <c r="T5808">
        <v>-0.44293589999999999</v>
      </c>
      <c r="U5808">
        <v>2.6797490000000002</v>
      </c>
      <c r="V5808">
        <v>-0.27118160000000002</v>
      </c>
      <c r="W5808">
        <v>1.7351060000000001E-2</v>
      </c>
      <c r="X5808">
        <v>0.9623718</v>
      </c>
      <c r="Y5808">
        <v>-0.41334690000000002</v>
      </c>
      <c r="Z5808">
        <v>-6.2504219999999999E-2</v>
      </c>
      <c r="AA5808">
        <v>0.90842590000000001</v>
      </c>
      <c r="AB5808">
        <v>35</v>
      </c>
      <c r="AC5808">
        <v>3.3950999999999798</v>
      </c>
      <c r="AD5808">
        <v>-1.121070435145</v>
      </c>
      <c r="AE5808">
        <v>6.5678999999999998</v>
      </c>
      <c r="AF5808">
        <v>-3.1021261891254399</v>
      </c>
      <c r="AG5808">
        <v>-1.121070435145</v>
      </c>
      <c r="AH5808">
        <v>6.52773567885228</v>
      </c>
      <c r="AI5808">
        <v>98.817173262340205</v>
      </c>
      <c r="AJ5808">
        <v>115.41811382403</v>
      </c>
      <c r="AK5808">
        <v>7.3137759677730898</v>
      </c>
      <c r="AL5808">
        <v>89.005807602969995</v>
      </c>
      <c r="AM5808">
        <v>105.737021504319</v>
      </c>
      <c r="AN5808">
        <v>1.0000000004484599</v>
      </c>
    </row>
    <row r="5809" spans="1:40" x14ac:dyDescent="0.25">
      <c r="A5809" t="str">
        <f>"20190312151429958"</f>
        <v>20190312151429958</v>
      </c>
      <c r="B5809" t="str">
        <f>"1552374869946387"</f>
        <v>1552374869946387</v>
      </c>
      <c r="C5809" t="s">
        <v>40</v>
      </c>
      <c r="D5809">
        <v>4.9816699999999896</v>
      </c>
      <c r="E5809">
        <v>0.43999080000000002</v>
      </c>
      <c r="F5809" t="s">
        <v>59</v>
      </c>
      <c r="G5809">
        <v>-193.13040000000001</v>
      </c>
      <c r="H5809" s="1">
        <v>-2.537382E-6</v>
      </c>
      <c r="I5809">
        <v>-48.76388</v>
      </c>
      <c r="J5809">
        <v>-196.4648</v>
      </c>
      <c r="K5809">
        <v>1.121073</v>
      </c>
      <c r="L5809">
        <v>-55.374659999999999</v>
      </c>
      <c r="M5809">
        <v>0.78902569999999905</v>
      </c>
      <c r="N5809">
        <v>0</v>
      </c>
      <c r="O5809">
        <v>0.61421300000000001</v>
      </c>
      <c r="P5809">
        <v>0.59368460000000001</v>
      </c>
      <c r="Q5809">
        <v>1.187011E-2</v>
      </c>
      <c r="R5809">
        <v>0.80461039999999995</v>
      </c>
      <c r="S5809">
        <v>1.417618</v>
      </c>
      <c r="T5809">
        <v>-0.44372479999999997</v>
      </c>
      <c r="U5809">
        <v>2.6957089999999999</v>
      </c>
      <c r="V5809">
        <v>-0.27082669999999998</v>
      </c>
      <c r="W5809">
        <v>1.717513E-2</v>
      </c>
      <c r="X5809">
        <v>0.96247490000000002</v>
      </c>
      <c r="Y5809">
        <v>-0.41349340000000001</v>
      </c>
      <c r="Z5809">
        <v>-6.4134549999999999E-2</v>
      </c>
      <c r="AA5809">
        <v>0.90824550000000004</v>
      </c>
      <c r="AB5809">
        <v>35</v>
      </c>
      <c r="AC5809">
        <v>3.33439999999998</v>
      </c>
      <c r="AD5809">
        <v>-1.1210755373819901</v>
      </c>
      <c r="AE5809">
        <v>6.6107799999999903</v>
      </c>
      <c r="AF5809">
        <v>-3.0973212151507901</v>
      </c>
      <c r="AG5809">
        <v>-1.1210755373819901</v>
      </c>
      <c r="AH5809">
        <v>6.5419788994571304</v>
      </c>
      <c r="AI5809">
        <v>98.804251389965401</v>
      </c>
      <c r="AJ5809">
        <v>115.335367289677</v>
      </c>
      <c r="AK5809">
        <v>7.3244588190037501</v>
      </c>
      <c r="AL5809">
        <v>89.015889161033897</v>
      </c>
      <c r="AM5809">
        <v>105.715844140084</v>
      </c>
      <c r="AN5809">
        <v>1.0000000098266999</v>
      </c>
    </row>
    <row r="5810" spans="1:40" x14ac:dyDescent="0.25">
      <c r="A5810" t="str">
        <f>"20190312151429981"</f>
        <v>20190312151429981</v>
      </c>
      <c r="B5810" t="str">
        <f>"1552374869976628"</f>
        <v>1552374869976628</v>
      </c>
      <c r="C5810" t="s">
        <v>40</v>
      </c>
      <c r="D5810">
        <v>4.9479430000000004</v>
      </c>
      <c r="E5810">
        <v>0.4406332</v>
      </c>
      <c r="F5810" t="s">
        <v>59</v>
      </c>
      <c r="G5810">
        <v>-192.96610000000001</v>
      </c>
      <c r="H5810" s="1">
        <v>-2.622605E-6</v>
      </c>
      <c r="I5810">
        <v>-48.558160000000001</v>
      </c>
      <c r="J5810">
        <v>-196.18629999999999</v>
      </c>
      <c r="K5810">
        <v>1.1210830000000001</v>
      </c>
      <c r="L5810">
        <v>-55.144129999999997</v>
      </c>
      <c r="M5810">
        <v>0.78100719999999901</v>
      </c>
      <c r="N5810">
        <v>0</v>
      </c>
      <c r="O5810">
        <v>0.62437679999999995</v>
      </c>
      <c r="P5810">
        <v>0.58349289999999998</v>
      </c>
      <c r="Q5810">
        <v>1.150873E-2</v>
      </c>
      <c r="R5810">
        <v>0.81203669999999994</v>
      </c>
      <c r="S5810">
        <v>1.3904879999999999</v>
      </c>
      <c r="T5810">
        <v>-0.44555260000000002</v>
      </c>
      <c r="U5810">
        <v>2.7091059999999998</v>
      </c>
      <c r="V5810">
        <v>-0.27049509999999899</v>
      </c>
      <c r="W5810">
        <v>1.6839010000000001E-2</v>
      </c>
      <c r="X5810">
        <v>0.96257409999999999</v>
      </c>
      <c r="Y5810">
        <v>-0.41081329999999999</v>
      </c>
      <c r="Z5810">
        <v>-6.6305249999999996E-2</v>
      </c>
      <c r="AA5810">
        <v>0.90930529999999998</v>
      </c>
      <c r="AB5810">
        <v>35</v>
      </c>
      <c r="AC5810">
        <v>3.22019999999997</v>
      </c>
      <c r="AD5810">
        <v>-1.1210856226049899</v>
      </c>
      <c r="AE5810">
        <v>6.5859699999999997</v>
      </c>
      <c r="AF5810">
        <v>-3.0617560415652698</v>
      </c>
      <c r="AG5810">
        <v>-1.1210856226049899</v>
      </c>
      <c r="AH5810">
        <v>6.4762779287008598</v>
      </c>
      <c r="AI5810">
        <v>98.894556902870903</v>
      </c>
      <c r="AJ5810">
        <v>115.303134588679</v>
      </c>
      <c r="AK5810">
        <v>7.2507488469158199</v>
      </c>
      <c r="AL5810">
        <v>89.035150218421606</v>
      </c>
      <c r="AM5810">
        <v>105.696012764283</v>
      </c>
      <c r="AN5810">
        <v>1.0000000246862899</v>
      </c>
    </row>
    <row r="5811" spans="1:40" x14ac:dyDescent="0.25">
      <c r="A5811" t="str">
        <f>"20190312151430003"</f>
        <v>20190312151430003</v>
      </c>
      <c r="B5811" t="str">
        <f>"1552374869996148"</f>
        <v>1552374869996148</v>
      </c>
      <c r="C5811" t="s">
        <v>40</v>
      </c>
      <c r="D5811">
        <v>5.0018260000000003</v>
      </c>
      <c r="E5811">
        <v>0.44105670000000002</v>
      </c>
      <c r="F5811" t="s">
        <v>59</v>
      </c>
      <c r="G5811">
        <v>-192.7654</v>
      </c>
      <c r="H5811" s="1">
        <v>-2.7323460000000001E-6</v>
      </c>
      <c r="I5811">
        <v>-48.297350000000002</v>
      </c>
      <c r="J5811">
        <v>-195.92080000000001</v>
      </c>
      <c r="K5811">
        <v>1.1210869999999999</v>
      </c>
      <c r="L5811">
        <v>-54.918489999999998</v>
      </c>
      <c r="M5811">
        <v>0.77315239999999996</v>
      </c>
      <c r="N5811">
        <v>0</v>
      </c>
      <c r="O5811">
        <v>0.63407690000000005</v>
      </c>
      <c r="P5811">
        <v>0.57351909999999995</v>
      </c>
      <c r="Q5811">
        <v>1.103969E-2</v>
      </c>
      <c r="R5811">
        <v>0.81911780000000001</v>
      </c>
      <c r="S5811">
        <v>1.3605799999999999</v>
      </c>
      <c r="T5811">
        <v>-0.44587539999999998</v>
      </c>
      <c r="U5811">
        <v>2.7230829999999999</v>
      </c>
      <c r="V5811">
        <v>-0.27024369999999998</v>
      </c>
      <c r="W5811">
        <v>1.6396569999999999E-2</v>
      </c>
      <c r="X5811">
        <v>0.96265230000000002</v>
      </c>
      <c r="Y5811">
        <v>-0.40935660000000001</v>
      </c>
      <c r="Z5811">
        <v>-6.8119209999999999E-2</v>
      </c>
      <c r="AA5811">
        <v>0.90982790000000002</v>
      </c>
      <c r="AB5811">
        <v>35</v>
      </c>
      <c r="AC5811">
        <v>3.15540000000001</v>
      </c>
      <c r="AD5811">
        <v>-1.1210897323459901</v>
      </c>
      <c r="AE5811">
        <v>6.6211399999999996</v>
      </c>
      <c r="AF5811">
        <v>-3.0474692909688201</v>
      </c>
      <c r="AG5811">
        <v>-1.1210897323459901</v>
      </c>
      <c r="AH5811">
        <v>6.4869650548501099</v>
      </c>
      <c r="AI5811">
        <v>98.890220940853496</v>
      </c>
      <c r="AJ5811">
        <v>115.16336455587999</v>
      </c>
      <c r="AK5811">
        <v>7.2542833478032902</v>
      </c>
      <c r="AL5811">
        <v>89.060503619564102</v>
      </c>
      <c r="AM5811">
        <v>105.680931566966</v>
      </c>
      <c r="AN5811">
        <v>0.99999997779637195</v>
      </c>
    </row>
    <row r="5812" spans="1:40" x14ac:dyDescent="0.25">
      <c r="A5812" t="str">
        <f>"20190312151430027"</f>
        <v>20190312151430027</v>
      </c>
      <c r="B5812" t="str">
        <f>"1552374870016643"</f>
        <v>1552374870016643</v>
      </c>
      <c r="C5812" t="s">
        <v>40</v>
      </c>
      <c r="D5812">
        <v>4.9928530000000002</v>
      </c>
      <c r="E5812">
        <v>0.44162360000000001</v>
      </c>
      <c r="F5812" t="s">
        <v>59</v>
      </c>
      <c r="G5812">
        <v>-192.57730000000001</v>
      </c>
      <c r="H5812" s="1">
        <v>-2.8453480000000002E-6</v>
      </c>
      <c r="I5812">
        <v>-48.035800000000002</v>
      </c>
      <c r="J5812">
        <v>-195.64879999999999</v>
      </c>
      <c r="K5812">
        <v>1.121092</v>
      </c>
      <c r="L5812">
        <v>-54.6811199999999</v>
      </c>
      <c r="M5812">
        <v>0.76488599999999995</v>
      </c>
      <c r="N5812">
        <v>0</v>
      </c>
      <c r="O5812">
        <v>0.64402380000000004</v>
      </c>
      <c r="P5812">
        <v>0.5629478</v>
      </c>
      <c r="Q5812">
        <v>1.026023E-2</v>
      </c>
      <c r="R5812">
        <v>0.82642879999999996</v>
      </c>
      <c r="S5812">
        <v>1.329788</v>
      </c>
      <c r="T5812">
        <v>-0.44588689999999997</v>
      </c>
      <c r="U5812">
        <v>2.7374269999999998</v>
      </c>
      <c r="V5812">
        <v>-0.27014680000000002</v>
      </c>
      <c r="W5812">
        <v>1.5646119999999999E-2</v>
      </c>
      <c r="X5812">
        <v>0.96269199999999999</v>
      </c>
      <c r="Y5812">
        <v>-0.40777580000000002</v>
      </c>
      <c r="Z5812">
        <v>-6.9936129999999999E-2</v>
      </c>
      <c r="AA5812">
        <v>0.91039990000000004</v>
      </c>
      <c r="AB5812">
        <v>35</v>
      </c>
      <c r="AC5812">
        <v>3.0714999999999799</v>
      </c>
      <c r="AD5812">
        <v>-1.1210948453479901</v>
      </c>
      <c r="AE5812">
        <v>6.6453199999999901</v>
      </c>
      <c r="AF5812">
        <v>-3.0339275814706701</v>
      </c>
      <c r="AG5812">
        <v>-1.1210948453479901</v>
      </c>
      <c r="AH5812">
        <v>6.4777854606930898</v>
      </c>
      <c r="AI5812">
        <v>98.907457347631293</v>
      </c>
      <c r="AJ5812">
        <v>115.096454017813</v>
      </c>
      <c r="AK5812">
        <v>7.2403918883331899</v>
      </c>
      <c r="AL5812">
        <v>89.103506770324103</v>
      </c>
      <c r="AM5812">
        <v>105.674970720026</v>
      </c>
      <c r="AN5812">
        <v>0.999999990742647</v>
      </c>
    </row>
    <row r="5813" spans="1:40" x14ac:dyDescent="0.25">
      <c r="A5813" t="str">
        <f>"20190312151430047"</f>
        <v>20190312151430047</v>
      </c>
      <c r="B5813" t="str">
        <f>"1552374870036164"</f>
        <v>1552374870036164</v>
      </c>
      <c r="C5813" t="s">
        <v>40</v>
      </c>
      <c r="D5813">
        <v>4.974685</v>
      </c>
      <c r="E5813">
        <v>0.44219249999999999</v>
      </c>
      <c r="F5813" t="s">
        <v>59</v>
      </c>
      <c r="G5813">
        <v>-192.39359999999999</v>
      </c>
      <c r="H5813" s="1">
        <v>-2.956008E-6</v>
      </c>
      <c r="I5813">
        <v>-47.779850000000003</v>
      </c>
      <c r="J5813">
        <v>-195.40989999999999</v>
      </c>
      <c r="K5813">
        <v>1.121094</v>
      </c>
      <c r="L5813">
        <v>-54.467410000000001</v>
      </c>
      <c r="M5813">
        <v>0.75744009999999995</v>
      </c>
      <c r="N5813">
        <v>0</v>
      </c>
      <c r="O5813">
        <v>0.65276409999999996</v>
      </c>
      <c r="P5813">
        <v>0.55361319999999903</v>
      </c>
      <c r="Q5813">
        <v>9.90247E-3</v>
      </c>
      <c r="R5813">
        <v>0.83271509999999904</v>
      </c>
      <c r="S5813">
        <v>1.2978209999999999</v>
      </c>
      <c r="T5813">
        <v>-0.44698369999999998</v>
      </c>
      <c r="U5813">
        <v>2.7515559999999999</v>
      </c>
      <c r="V5813">
        <v>-0.26991870000000001</v>
      </c>
      <c r="W5813">
        <v>1.532525E-2</v>
      </c>
      <c r="X5813">
        <v>0.96276119999999998</v>
      </c>
      <c r="Y5813">
        <v>-0.40780070000000002</v>
      </c>
      <c r="Z5813">
        <v>-7.1628620000000004E-2</v>
      </c>
      <c r="AA5813">
        <v>0.91025699999999998</v>
      </c>
      <c r="AB5813">
        <v>35</v>
      </c>
      <c r="AC5813">
        <v>3.0163000000000002</v>
      </c>
      <c r="AD5813">
        <v>-1.121096956008</v>
      </c>
      <c r="AE5813">
        <v>6.6875599999999897</v>
      </c>
      <c r="AF5813">
        <v>-3.0261111725720702</v>
      </c>
      <c r="AG5813">
        <v>-1.121096956008</v>
      </c>
      <c r="AH5813">
        <v>6.4989112022550701</v>
      </c>
      <c r="AI5813">
        <v>98.888114274806995</v>
      </c>
      <c r="AJ5813">
        <v>114.96826723077</v>
      </c>
      <c r="AK5813">
        <v>7.2560356964621002</v>
      </c>
      <c r="AL5813">
        <v>89.121893522438398</v>
      </c>
      <c r="AM5813">
        <v>105.66131476608901</v>
      </c>
      <c r="AN5813">
        <v>1.00000004806134</v>
      </c>
    </row>
    <row r="5814" spans="1:40" x14ac:dyDescent="0.25">
      <c r="A5814" t="str">
        <f>"20190312151430070"</f>
        <v>20190312151430070</v>
      </c>
      <c r="B5814" t="str">
        <f>"1552374870066420"</f>
        <v>1552374870066420</v>
      </c>
      <c r="C5814" t="s">
        <v>40</v>
      </c>
      <c r="D5814">
        <v>5.0413870000000003</v>
      </c>
      <c r="E5814">
        <v>0.44304529999999998</v>
      </c>
      <c r="F5814" t="s">
        <v>59</v>
      </c>
      <c r="G5814">
        <v>-192.22460000000001</v>
      </c>
      <c r="H5814" s="1">
        <v>-3.0616E-6</v>
      </c>
      <c r="I5814">
        <v>-47.537950000000002</v>
      </c>
      <c r="J5814">
        <v>-195.1574</v>
      </c>
      <c r="K5814">
        <v>1.1211089999999999</v>
      </c>
      <c r="L5814">
        <v>-54.235930000000003</v>
      </c>
      <c r="M5814">
        <v>0.74936800000000003</v>
      </c>
      <c r="N5814">
        <v>0</v>
      </c>
      <c r="O5814">
        <v>0.6620144</v>
      </c>
      <c r="P5814">
        <v>0.54371230000000004</v>
      </c>
      <c r="Q5814">
        <v>9.995004E-3</v>
      </c>
      <c r="R5814">
        <v>0.83921219999999996</v>
      </c>
      <c r="S5814">
        <v>1.270294</v>
      </c>
      <c r="T5814">
        <v>-0.4470922</v>
      </c>
      <c r="U5814">
        <v>2.763458</v>
      </c>
      <c r="V5814">
        <v>-0.26950350000000001</v>
      </c>
      <c r="W5814">
        <v>1.546638E-2</v>
      </c>
      <c r="X5814">
        <v>0.96287520000000004</v>
      </c>
      <c r="Y5814">
        <v>-0.40562619999999999</v>
      </c>
      <c r="Z5814">
        <v>-7.3395660000000001E-2</v>
      </c>
      <c r="AA5814">
        <v>0.91108750000000005</v>
      </c>
      <c r="AB5814">
        <v>35</v>
      </c>
      <c r="AC5814">
        <v>2.9327999999999799</v>
      </c>
      <c r="AD5814">
        <v>-1.1211120616000001</v>
      </c>
      <c r="AE5814">
        <v>6.6979800000000003</v>
      </c>
      <c r="AF5814">
        <v>-3.0072818016777201</v>
      </c>
      <c r="AG5814">
        <v>-1.1211120616000001</v>
      </c>
      <c r="AH5814">
        <v>6.4801750980770203</v>
      </c>
      <c r="AI5814">
        <v>98.918747975281804</v>
      </c>
      <c r="AJ5814">
        <v>114.894796239657</v>
      </c>
      <c r="AK5814">
        <v>7.2314110235212397</v>
      </c>
      <c r="AL5814">
        <v>89.113806366672407</v>
      </c>
      <c r="AM5814">
        <v>105.63664255909001</v>
      </c>
      <c r="AN5814">
        <v>0.99999999809879703</v>
      </c>
    </row>
    <row r="5815" spans="1:40" x14ac:dyDescent="0.25">
      <c r="A5815" t="str">
        <f>"20190312151430091"</f>
        <v>20190312151430091</v>
      </c>
      <c r="B5815" t="str">
        <f>"1552374870085940"</f>
        <v>1552374870085940</v>
      </c>
      <c r="C5815" t="s">
        <v>40</v>
      </c>
      <c r="D5815">
        <v>5.2190629999999896</v>
      </c>
      <c r="E5815">
        <v>0.44365729999999998</v>
      </c>
      <c r="F5815" t="s">
        <v>59</v>
      </c>
      <c r="G5815">
        <v>-192.03309999999999</v>
      </c>
      <c r="H5815" s="1">
        <v>-3.1821890000000001E-6</v>
      </c>
      <c r="I5815">
        <v>-47.262279999999997</v>
      </c>
      <c r="J5815">
        <v>-194.91229999999999</v>
      </c>
      <c r="K5815">
        <v>1.1211169999999999</v>
      </c>
      <c r="L5815">
        <v>-54.005710000000001</v>
      </c>
      <c r="M5815">
        <v>0.74132810000000005</v>
      </c>
      <c r="N5815">
        <v>0</v>
      </c>
      <c r="O5815">
        <v>0.6710045</v>
      </c>
      <c r="P5815">
        <v>0.53413459999999902</v>
      </c>
      <c r="Q5815">
        <v>9.9196430000000006E-3</v>
      </c>
      <c r="R5815">
        <v>0.84534129999999996</v>
      </c>
      <c r="S5815">
        <v>1.2431030000000001</v>
      </c>
      <c r="T5815">
        <v>-0.44607019999999997</v>
      </c>
      <c r="U5815">
        <v>2.774689</v>
      </c>
      <c r="V5815">
        <v>-0.26883780000000002</v>
      </c>
      <c r="W5815">
        <v>1.544683E-2</v>
      </c>
      <c r="X5815">
        <v>0.96306159999999996</v>
      </c>
      <c r="Y5815">
        <v>-0.40346690000000002</v>
      </c>
      <c r="Z5815">
        <v>-7.4938770000000002E-2</v>
      </c>
      <c r="AA5815">
        <v>0.91192030000000002</v>
      </c>
      <c r="AB5815">
        <v>35</v>
      </c>
      <c r="AC5815">
        <v>2.8791999999999902</v>
      </c>
      <c r="AD5815">
        <v>-1.121120182189</v>
      </c>
      <c r="AE5815">
        <v>6.74343</v>
      </c>
      <c r="AF5815">
        <v>-2.99734930319834</v>
      </c>
      <c r="AG5815">
        <v>-1.121120182189</v>
      </c>
      <c r="AH5815">
        <v>6.5077800455677801</v>
      </c>
      <c r="AI5815">
        <v>98.893225736572504</v>
      </c>
      <c r="AJ5815">
        <v>114.72982273890401</v>
      </c>
      <c r="AK5815">
        <v>7.2520489814800104</v>
      </c>
      <c r="AL5815">
        <v>89.114926640277602</v>
      </c>
      <c r="AM5815">
        <v>105.59702901905401</v>
      </c>
      <c r="AN5815">
        <v>1.0000000063302199</v>
      </c>
    </row>
    <row r="5816" spans="1:40" x14ac:dyDescent="0.25">
      <c r="A5816" t="str">
        <f>"20190312151430115"</f>
        <v>20190312151430115</v>
      </c>
      <c r="B5816" t="str">
        <f>"1552374870106436"</f>
        <v>1552374870106436</v>
      </c>
      <c r="C5816" t="s">
        <v>40</v>
      </c>
      <c r="D5816">
        <v>5.0776059999999896</v>
      </c>
      <c r="E5816">
        <v>0.44428669999999998</v>
      </c>
      <c r="F5816" t="s">
        <v>59</v>
      </c>
      <c r="G5816">
        <v>-191.8434</v>
      </c>
      <c r="H5816" s="1">
        <v>-3.312742E-6</v>
      </c>
      <c r="I5816">
        <v>-46.970460000000003</v>
      </c>
      <c r="J5816">
        <v>-194.6591</v>
      </c>
      <c r="K5816">
        <v>1.121129</v>
      </c>
      <c r="L5816">
        <v>-53.761899999999997</v>
      </c>
      <c r="M5816">
        <v>0.73279949999999905</v>
      </c>
      <c r="N5816">
        <v>0</v>
      </c>
      <c r="O5816">
        <v>0.68030760000000001</v>
      </c>
      <c r="P5816">
        <v>0.52381979999999995</v>
      </c>
      <c r="Q5816">
        <v>1.041981E-2</v>
      </c>
      <c r="R5816">
        <v>0.85176540000000001</v>
      </c>
      <c r="S5816">
        <v>1.215363</v>
      </c>
      <c r="T5816">
        <v>-0.44399119999999997</v>
      </c>
      <c r="U5816">
        <v>2.786133</v>
      </c>
      <c r="V5816">
        <v>-0.2683992</v>
      </c>
      <c r="W5816">
        <v>1.5994169999999999E-2</v>
      </c>
      <c r="X5816">
        <v>0.963175</v>
      </c>
      <c r="Y5816">
        <v>-0.40096860000000001</v>
      </c>
      <c r="Z5816">
        <v>-7.6367260000000006E-2</v>
      </c>
      <c r="AA5816">
        <v>0.91290320000000003</v>
      </c>
      <c r="AB5816">
        <v>35</v>
      </c>
      <c r="AC5816">
        <v>2.8156999999999899</v>
      </c>
      <c r="AD5816">
        <v>-1.1211323127420001</v>
      </c>
      <c r="AE5816">
        <v>6.7914399999999997</v>
      </c>
      <c r="AF5816">
        <v>-2.9919318680095599</v>
      </c>
      <c r="AG5816">
        <v>-1.1211323127420001</v>
      </c>
      <c r="AH5816">
        <v>6.5323301997377099</v>
      </c>
      <c r="AI5816">
        <v>98.8689000101825</v>
      </c>
      <c r="AJ5816">
        <v>114.60868337941</v>
      </c>
      <c r="AK5816">
        <v>7.2718588960382604</v>
      </c>
      <c r="AL5816">
        <v>89.083562497809297</v>
      </c>
      <c r="AM5816">
        <v>105.571074201889</v>
      </c>
      <c r="AN5816">
        <v>1.0000000123298101</v>
      </c>
    </row>
    <row r="5817" spans="1:40" x14ac:dyDescent="0.25">
      <c r="A5817" t="str">
        <f>"20190312151430137"</f>
        <v>20190312151430137</v>
      </c>
      <c r="B5817" t="str">
        <f>"1552374870125964"</f>
        <v>1552374870125964</v>
      </c>
      <c r="C5817" t="s">
        <v>40</v>
      </c>
      <c r="D5817">
        <v>5.0972540000000004</v>
      </c>
      <c r="E5817">
        <v>0.44460369999999999</v>
      </c>
      <c r="F5817" t="s">
        <v>59</v>
      </c>
      <c r="G5817">
        <v>-191.62629999999999</v>
      </c>
      <c r="H5817" s="1">
        <v>-3.4811270000000001E-6</v>
      </c>
      <c r="I5817">
        <v>-46.604399999999998</v>
      </c>
      <c r="J5817">
        <v>-194.4162</v>
      </c>
      <c r="K5817">
        <v>1.1211420000000001</v>
      </c>
      <c r="L5817">
        <v>-53.522280000000002</v>
      </c>
      <c r="M5817">
        <v>0.72440070000000001</v>
      </c>
      <c r="N5817">
        <v>0</v>
      </c>
      <c r="O5817">
        <v>0.68924319999999994</v>
      </c>
      <c r="P5817">
        <v>0.51346829999999999</v>
      </c>
      <c r="Q5817">
        <v>1.081995E-2</v>
      </c>
      <c r="R5817">
        <v>0.85804040000000004</v>
      </c>
      <c r="S5817">
        <v>1.1856990000000001</v>
      </c>
      <c r="T5817">
        <v>-0.43831550000000002</v>
      </c>
      <c r="U5817">
        <v>2.798279</v>
      </c>
      <c r="V5817">
        <v>-0.26825769999999999</v>
      </c>
      <c r="W5817">
        <v>1.6428990000000001E-2</v>
      </c>
      <c r="X5817">
        <v>0.96320709999999998</v>
      </c>
      <c r="Y5817">
        <v>-0.39938249999999997</v>
      </c>
      <c r="Z5817">
        <v>-7.7038280000000001E-2</v>
      </c>
      <c r="AA5817">
        <v>0.91354190000000002</v>
      </c>
      <c r="AB5817">
        <v>35</v>
      </c>
      <c r="AC5817">
        <v>2.78990000000001</v>
      </c>
      <c r="AD5817">
        <v>-1.1211454811270001</v>
      </c>
      <c r="AE5817">
        <v>6.9178800000000003</v>
      </c>
      <c r="AF5817">
        <v>-3.0204524781140401</v>
      </c>
      <c r="AG5817">
        <v>-1.1211454811270001</v>
      </c>
      <c r="AH5817">
        <v>6.6397462696321901</v>
      </c>
      <c r="AI5817">
        <v>98.737864245074704</v>
      </c>
      <c r="AJ5817">
        <v>114.46101614767301</v>
      </c>
      <c r="AK5817">
        <v>7.3801308177762897</v>
      </c>
      <c r="AL5817">
        <v>89.058645871751906</v>
      </c>
      <c r="AM5817">
        <v>105.562769581211</v>
      </c>
      <c r="AN5817">
        <v>1.0000000114060601</v>
      </c>
    </row>
    <row r="5818" spans="1:40" x14ac:dyDescent="0.25">
      <c r="A5818" t="str">
        <f>"20190312151430161"</f>
        <v>20190312151430161</v>
      </c>
      <c r="B5818" t="str">
        <f>"1552374870156213"</f>
        <v>1552374870156213</v>
      </c>
      <c r="C5818" t="s">
        <v>40</v>
      </c>
      <c r="D5818">
        <v>5.0347109999999997</v>
      </c>
      <c r="E5818">
        <v>0.46611570000000002</v>
      </c>
      <c r="F5818" t="s">
        <v>59</v>
      </c>
      <c r="G5818">
        <v>-191.4436</v>
      </c>
      <c r="H5818" s="1">
        <v>-3.631805E-6</v>
      </c>
      <c r="I5818">
        <v>-46.281210000000002</v>
      </c>
      <c r="J5818">
        <v>-194.1651</v>
      </c>
      <c r="K5818">
        <v>1.121162</v>
      </c>
      <c r="L5818">
        <v>-53.2682199999999</v>
      </c>
      <c r="M5818">
        <v>0.71547539999999998</v>
      </c>
      <c r="N5818">
        <v>0</v>
      </c>
      <c r="O5818">
        <v>0.69850299999999999</v>
      </c>
      <c r="P5818">
        <v>0.50268740000000001</v>
      </c>
      <c r="Q5818">
        <v>1.083785E-2</v>
      </c>
      <c r="R5818">
        <v>0.86440030000000001</v>
      </c>
      <c r="S5818">
        <v>1.154083</v>
      </c>
      <c r="T5818">
        <v>-0.43526530000000002</v>
      </c>
      <c r="U5818">
        <v>2.8112180000000002</v>
      </c>
      <c r="V5818">
        <v>-0.2679281</v>
      </c>
      <c r="W5818">
        <v>1.648906E-2</v>
      </c>
      <c r="X5818">
        <v>0.96329779999999998</v>
      </c>
      <c r="Y5818">
        <v>-0.39789600000000003</v>
      </c>
      <c r="Z5818">
        <v>-7.8176830000000003E-2</v>
      </c>
      <c r="AA5818">
        <v>0.91409359999999995</v>
      </c>
      <c r="AB5818">
        <v>35</v>
      </c>
      <c r="AC5818">
        <v>2.72149999999999</v>
      </c>
      <c r="AD5818">
        <v>-1.1211656318050001</v>
      </c>
      <c r="AE5818">
        <v>6.98700999999999</v>
      </c>
      <c r="AF5818">
        <v>-3.0305952727133998</v>
      </c>
      <c r="AG5818">
        <v>-1.1211656318050001</v>
      </c>
      <c r="AH5818">
        <v>6.6789372183011899</v>
      </c>
      <c r="AI5818">
        <v>98.691238066492502</v>
      </c>
      <c r="AJ5818">
        <v>114.406367119908</v>
      </c>
      <c r="AK5818">
        <v>7.4195500164728498</v>
      </c>
      <c r="AL5818">
        <v>89.055203640732401</v>
      </c>
      <c r="AM5818">
        <v>105.54318034585</v>
      </c>
      <c r="AN5818">
        <v>1.00000000367706</v>
      </c>
    </row>
    <row r="5819" spans="1:40" x14ac:dyDescent="0.25">
      <c r="A5819" t="str">
        <f>"20190312151430183"</f>
        <v>20190312151430183</v>
      </c>
      <c r="B5819" t="str">
        <f>"1552374870176708"</f>
        <v>1552374870176708</v>
      </c>
      <c r="C5819" t="s">
        <v>40</v>
      </c>
      <c r="D5819">
        <v>5.0816179999999997</v>
      </c>
      <c r="E5819">
        <v>0.46714349999999999</v>
      </c>
      <c r="F5819" t="s">
        <v>59</v>
      </c>
      <c r="G5819">
        <v>-190.1448</v>
      </c>
      <c r="H5819" s="1">
        <v>-4.2365169999999998E-6</v>
      </c>
      <c r="I5819">
        <v>-44.58822</v>
      </c>
      <c r="J5819">
        <v>-193.92400000000001</v>
      </c>
      <c r="K5819">
        <v>1.121176</v>
      </c>
      <c r="L5819">
        <v>-53.018009999999997</v>
      </c>
      <c r="M5819">
        <v>0.70665679999999997</v>
      </c>
      <c r="N5819">
        <v>0</v>
      </c>
      <c r="O5819">
        <v>0.70742260000000001</v>
      </c>
      <c r="P5819">
        <v>0.49190539999999999</v>
      </c>
      <c r="Q5819">
        <v>1.108955E-2</v>
      </c>
      <c r="R5819">
        <v>0.87057809999999902</v>
      </c>
      <c r="S5819">
        <v>1.2680049999999901</v>
      </c>
      <c r="T5819">
        <v>-0.35361189999999998</v>
      </c>
      <c r="U5819">
        <v>2.7376399999999999</v>
      </c>
      <c r="V5819">
        <v>-0.26782260000000002</v>
      </c>
      <c r="W5819">
        <v>1.6772740000000001E-2</v>
      </c>
      <c r="X5819">
        <v>0.96332220000000002</v>
      </c>
      <c r="Y5819">
        <v>-0.3450994</v>
      </c>
      <c r="Z5819">
        <v>-6.7816470000000004E-2</v>
      </c>
      <c r="AA5819">
        <v>0.93611290000000003</v>
      </c>
      <c r="AB5819">
        <v>35</v>
      </c>
      <c r="AC5819">
        <v>3.7791999999999999</v>
      </c>
      <c r="AD5819">
        <v>-1.1211802365170001</v>
      </c>
      <c r="AE5819">
        <v>8.4297899999999899</v>
      </c>
      <c r="AF5819">
        <v>-3.23612246352373</v>
      </c>
      <c r="AG5819">
        <v>-1.1211802365170001</v>
      </c>
      <c r="AH5819">
        <v>8.5095010396472297</v>
      </c>
      <c r="AI5819">
        <v>97.020712869792007</v>
      </c>
      <c r="AJ5819">
        <v>110.821569486277</v>
      </c>
      <c r="AK5819">
        <v>9.1728480672818602</v>
      </c>
      <c r="AL5819">
        <v>89.038947689017704</v>
      </c>
      <c r="AM5819">
        <v>105.53698121210201</v>
      </c>
      <c r="AN5819">
        <v>0.99999996544535297</v>
      </c>
    </row>
    <row r="5820" spans="1:40" x14ac:dyDescent="0.25">
      <c r="A5820" t="str">
        <f>"20190312151430206"</f>
        <v>20190312151430206</v>
      </c>
      <c r="B5820" t="str">
        <f>"1552374870196227"</f>
        <v>1552374870196227</v>
      </c>
      <c r="C5820" t="s">
        <v>40</v>
      </c>
      <c r="D5820">
        <v>5.3179119999999998</v>
      </c>
      <c r="E5820">
        <v>0.46806910000000002</v>
      </c>
      <c r="F5820" t="s">
        <v>59</v>
      </c>
      <c r="G5820">
        <v>-190.11340000000001</v>
      </c>
      <c r="H5820" s="1">
        <v>-4.2388059999999997E-6</v>
      </c>
      <c r="I5820">
        <v>-44.571330000000003</v>
      </c>
      <c r="J5820">
        <v>-193.6815</v>
      </c>
      <c r="K5820">
        <v>1.121192</v>
      </c>
      <c r="L5820">
        <v>-52.759889999999999</v>
      </c>
      <c r="M5820">
        <v>0.69753129999999997</v>
      </c>
      <c r="N5820">
        <v>0</v>
      </c>
      <c r="O5820">
        <v>0.71642139999999999</v>
      </c>
      <c r="P5820">
        <v>0.48043390000000002</v>
      </c>
      <c r="Q5820">
        <v>1.1291539999999999E-2</v>
      </c>
      <c r="R5820">
        <v>0.87695829999999997</v>
      </c>
      <c r="S5820">
        <v>1.2404790000000001</v>
      </c>
      <c r="T5820">
        <v>-0.36498839999999999</v>
      </c>
      <c r="U5820">
        <v>2.7497250000000002</v>
      </c>
      <c r="V5820">
        <v>-0.26812799999999998</v>
      </c>
      <c r="W5820">
        <v>1.6990620000000001E-2</v>
      </c>
      <c r="X5820">
        <v>0.96323349999999996</v>
      </c>
      <c r="Y5820">
        <v>-0.3425107</v>
      </c>
      <c r="Z5820">
        <v>-7.1378689999999995E-2</v>
      </c>
      <c r="AA5820">
        <v>0.93679860000000004</v>
      </c>
      <c r="AB5820">
        <v>35</v>
      </c>
      <c r="AC5820">
        <v>3.5680999999999798</v>
      </c>
      <c r="AD5820">
        <v>-1.1211962388059999</v>
      </c>
      <c r="AE5820">
        <v>8.1885600000000096</v>
      </c>
      <c r="AF5820">
        <v>-3.1068622720604102</v>
      </c>
      <c r="AG5820">
        <v>-1.1211962388059999</v>
      </c>
      <c r="AH5820">
        <v>8.2264994462461694</v>
      </c>
      <c r="AI5820">
        <v>97.266064355318093</v>
      </c>
      <c r="AJ5820">
        <v>110.689804127554</v>
      </c>
      <c r="AK5820">
        <v>8.8648162599432201</v>
      </c>
      <c r="AL5820">
        <v>89.026462377994307</v>
      </c>
      <c r="AM5820">
        <v>105.55520385470101</v>
      </c>
      <c r="AN5820">
        <v>1.0000000405371099</v>
      </c>
    </row>
    <row r="5821" spans="1:40" x14ac:dyDescent="0.25">
      <c r="A5821" t="str">
        <f>"20190312151430229"</f>
        <v>20190312151430229</v>
      </c>
      <c r="B5821" t="str">
        <f>"1552374870226484"</f>
        <v>1552374870226484</v>
      </c>
      <c r="C5821" t="s">
        <v>40</v>
      </c>
      <c r="D5821">
        <v>5.1004199999999997</v>
      </c>
      <c r="E5821">
        <v>0.46969490000000003</v>
      </c>
      <c r="F5821" t="s">
        <v>59</v>
      </c>
      <c r="G5821">
        <v>-189.9135</v>
      </c>
      <c r="H5821" s="1">
        <v>-6.4517200000000001E-6</v>
      </c>
      <c r="I5821">
        <v>-44.168689999999998</v>
      </c>
      <c r="J5821">
        <v>-193.44220000000001</v>
      </c>
      <c r="K5821">
        <v>1.121205</v>
      </c>
      <c r="L5821">
        <v>-52.497889999999998</v>
      </c>
      <c r="M5821">
        <v>0.68823990000000002</v>
      </c>
      <c r="N5821">
        <v>0</v>
      </c>
      <c r="O5821">
        <v>0.72535119999999997</v>
      </c>
      <c r="P5821">
        <v>0.46887960000000001</v>
      </c>
      <c r="Q5821">
        <v>1.088067E-2</v>
      </c>
      <c r="R5821">
        <v>0.88319509999999901</v>
      </c>
      <c r="S5821">
        <v>1.211349</v>
      </c>
      <c r="T5821">
        <v>-0.36044369999999998</v>
      </c>
      <c r="U5821">
        <v>2.7619020000000001</v>
      </c>
      <c r="V5821">
        <v>-0.26835300000000001</v>
      </c>
      <c r="W5821">
        <v>1.659395E-2</v>
      </c>
      <c r="X5821">
        <v>0.96317770000000003</v>
      </c>
      <c r="Y5821">
        <v>-0.34021220000000002</v>
      </c>
      <c r="Z5821">
        <v>-7.1872340000000007E-2</v>
      </c>
      <c r="AA5821">
        <v>0.93759800000000004</v>
      </c>
      <c r="AB5821">
        <v>35</v>
      </c>
      <c r="AC5821">
        <v>3.5287000000000099</v>
      </c>
      <c r="AD5821">
        <v>-1.12121145172</v>
      </c>
      <c r="AE5821">
        <v>8.3292000000000002</v>
      </c>
      <c r="AF5821">
        <v>-3.1252317851389901</v>
      </c>
      <c r="AG5821">
        <v>-1.12121145172</v>
      </c>
      <c r="AH5821">
        <v>8.3428272915280708</v>
      </c>
      <c r="AI5821">
        <v>97.1730705384511</v>
      </c>
      <c r="AJ5821">
        <v>110.53600209739101</v>
      </c>
      <c r="AK5821">
        <v>8.9792514190536394</v>
      </c>
      <c r="AL5821">
        <v>89.049193048005193</v>
      </c>
      <c r="AM5821">
        <v>105.56848240571399</v>
      </c>
      <c r="AN5821">
        <v>0.99999998678144597</v>
      </c>
    </row>
    <row r="5822" spans="1:40" x14ac:dyDescent="0.25">
      <c r="A5822" t="str">
        <f>"20190312151430249"</f>
        <v>20190312151430249</v>
      </c>
      <c r="B5822" t="str">
        <f>"1552374870246004"</f>
        <v>1552374870246004</v>
      </c>
      <c r="C5822" t="s">
        <v>40</v>
      </c>
      <c r="D5822">
        <v>5.3039489999999896</v>
      </c>
      <c r="E5822">
        <v>0.47069460000000002</v>
      </c>
      <c r="F5822" t="s">
        <v>59</v>
      </c>
      <c r="G5822">
        <v>-189.70760000000001</v>
      </c>
      <c r="H5822" s="1">
        <v>-6.5604389999999999E-6</v>
      </c>
      <c r="I5822">
        <v>-43.774709999999999</v>
      </c>
      <c r="J5822">
        <v>-193.23169999999999</v>
      </c>
      <c r="K5822">
        <v>1.121211</v>
      </c>
      <c r="L5822">
        <v>-52.261899999999997</v>
      </c>
      <c r="M5822">
        <v>0.67984480000000003</v>
      </c>
      <c r="N5822">
        <v>0</v>
      </c>
      <c r="O5822">
        <v>0.73322489999999996</v>
      </c>
      <c r="P5822">
        <v>0.45849529999999999</v>
      </c>
      <c r="Q5822">
        <v>1.0692470000000001E-2</v>
      </c>
      <c r="R5822">
        <v>0.88863250000000005</v>
      </c>
      <c r="S5822">
        <v>1.186447</v>
      </c>
      <c r="T5822">
        <v>-0.35619810000000002</v>
      </c>
      <c r="U5822">
        <v>2.771271</v>
      </c>
      <c r="V5822">
        <v>-0.2685535</v>
      </c>
      <c r="W5822">
        <v>1.6416589999999998E-2</v>
      </c>
      <c r="X5822">
        <v>0.96312489999999995</v>
      </c>
      <c r="Y5822">
        <v>-0.33765620000000002</v>
      </c>
      <c r="Z5822">
        <v>-7.2272600000000006E-2</v>
      </c>
      <c r="AA5822">
        <v>0.93849079999999996</v>
      </c>
      <c r="AB5822">
        <v>35</v>
      </c>
      <c r="AC5822">
        <v>3.52409999999997</v>
      </c>
      <c r="AD5822">
        <v>-1.121217560439</v>
      </c>
      <c r="AE5822">
        <v>8.4871899999999894</v>
      </c>
      <c r="AF5822">
        <v>-3.1395853201855899</v>
      </c>
      <c r="AG5822">
        <v>-1.121217560439</v>
      </c>
      <c r="AH5822">
        <v>8.4932601175809896</v>
      </c>
      <c r="AI5822">
        <v>97.058632890957</v>
      </c>
      <c r="AJ5822">
        <v>110.287139873516</v>
      </c>
      <c r="AK5822">
        <v>9.1241214495124705</v>
      </c>
      <c r="AL5822">
        <v>89.059356452631405</v>
      </c>
      <c r="AM5822">
        <v>105.580362264588</v>
      </c>
      <c r="AN5822">
        <v>1.00000002989474</v>
      </c>
    </row>
    <row r="5823" spans="1:40" x14ac:dyDescent="0.25">
      <c r="A5823" t="str">
        <f>"20190312151430273"</f>
        <v>20190312151430273</v>
      </c>
      <c r="B5823" t="str">
        <f>"1552374870266501"</f>
        <v>1552374870266501</v>
      </c>
      <c r="C5823" t="s">
        <v>40</v>
      </c>
      <c r="D5823">
        <v>5.1431300000000002</v>
      </c>
      <c r="E5823">
        <v>0.47186139999999999</v>
      </c>
      <c r="F5823" t="s">
        <v>59</v>
      </c>
      <c r="G5823">
        <v>-189.56379999999999</v>
      </c>
      <c r="H5823" s="1">
        <v>-6.6454169999999998E-6</v>
      </c>
      <c r="I5823">
        <v>-43.472549999999998</v>
      </c>
      <c r="J5823">
        <v>-193.0034</v>
      </c>
      <c r="K5823">
        <v>1.121224</v>
      </c>
      <c r="L5823">
        <v>-51.999450000000003</v>
      </c>
      <c r="M5823">
        <v>0.67047780000000001</v>
      </c>
      <c r="N5823">
        <v>0</v>
      </c>
      <c r="O5823">
        <v>0.7417996</v>
      </c>
      <c r="P5823">
        <v>0.44678289999999998</v>
      </c>
      <c r="Q5823">
        <v>1.074513E-2</v>
      </c>
      <c r="R5823">
        <v>0.89457790000000004</v>
      </c>
      <c r="S5823">
        <v>1.160706</v>
      </c>
      <c r="T5823">
        <v>-0.35480699999999998</v>
      </c>
      <c r="U5823">
        <v>2.7813720000000002</v>
      </c>
      <c r="V5823">
        <v>-0.26897529999999997</v>
      </c>
      <c r="W5823">
        <v>1.6471900000000001E-2</v>
      </c>
      <c r="X5823">
        <v>0.96300620000000003</v>
      </c>
      <c r="Y5823">
        <v>-0.33433449999999998</v>
      </c>
      <c r="Z5823">
        <v>-7.3344469999999995E-2</v>
      </c>
      <c r="AA5823">
        <v>0.93959619999999999</v>
      </c>
      <c r="AB5823">
        <v>35</v>
      </c>
      <c r="AC5823">
        <v>3.4396000000000102</v>
      </c>
      <c r="AD5823">
        <v>-1.121230645417</v>
      </c>
      <c r="AE5823">
        <v>8.5268999999999995</v>
      </c>
      <c r="AF5823">
        <v>-3.1195189227937199</v>
      </c>
      <c r="AG5823">
        <v>-1.121230645417</v>
      </c>
      <c r="AH5823">
        <v>8.5057715786870691</v>
      </c>
      <c r="AI5823">
        <v>97.055006607789906</v>
      </c>
      <c r="AJ5823">
        <v>110.140673591001</v>
      </c>
      <c r="AK5823">
        <v>9.1288940523313702</v>
      </c>
      <c r="AL5823">
        <v>89.0561869554042</v>
      </c>
      <c r="AM5823">
        <v>105.605471675635</v>
      </c>
      <c r="AN5823">
        <v>0.999999988369069</v>
      </c>
    </row>
    <row r="5824" spans="1:40" x14ac:dyDescent="0.25">
      <c r="A5824" t="str">
        <f>"20190312151430294"</f>
        <v>20190312151430294</v>
      </c>
      <c r="B5824" t="str">
        <f>"1552374870286021"</f>
        <v>1552374870286021</v>
      </c>
      <c r="C5824" t="s">
        <v>40</v>
      </c>
      <c r="D5824">
        <v>5.2945270000000004</v>
      </c>
      <c r="E5824">
        <v>0.47303000000000001</v>
      </c>
      <c r="F5824" t="s">
        <v>59</v>
      </c>
      <c r="G5824">
        <v>-189.39680000000001</v>
      </c>
      <c r="H5824" s="1">
        <v>-6.7476329999999998E-6</v>
      </c>
      <c r="I5824">
        <v>-43.111080000000001</v>
      </c>
      <c r="J5824">
        <v>-192.78569999999999</v>
      </c>
      <c r="K5824">
        <v>1.1212329999999999</v>
      </c>
      <c r="L5824">
        <v>-51.742890000000003</v>
      </c>
      <c r="M5824">
        <v>0.66129079999999996</v>
      </c>
      <c r="N5824">
        <v>0</v>
      </c>
      <c r="O5824">
        <v>0.75000049999999996</v>
      </c>
      <c r="P5824">
        <v>0.43519629999999998</v>
      </c>
      <c r="Q5824">
        <v>9.8022189999999992E-3</v>
      </c>
      <c r="R5824">
        <v>0.90028229999999998</v>
      </c>
      <c r="S5824">
        <v>1.132889</v>
      </c>
      <c r="T5824">
        <v>-0.35219800000000001</v>
      </c>
      <c r="U5824">
        <v>2.791992</v>
      </c>
      <c r="V5824">
        <v>-0.26952949999999998</v>
      </c>
      <c r="W5824">
        <v>1.552455E-2</v>
      </c>
      <c r="X5824">
        <v>0.96286700000000003</v>
      </c>
      <c r="Y5824">
        <v>-0.33202130000000002</v>
      </c>
      <c r="Z5824">
        <v>-7.4060500000000001E-2</v>
      </c>
      <c r="AA5824">
        <v>0.94035999999999997</v>
      </c>
      <c r="AB5824">
        <v>35</v>
      </c>
      <c r="AC5824">
        <v>3.3888999999999698</v>
      </c>
      <c r="AD5824">
        <v>-1.1212397476329901</v>
      </c>
      <c r="AE5824">
        <v>8.6318099999999998</v>
      </c>
      <c r="AF5824">
        <v>-3.1211368905786698</v>
      </c>
      <c r="AG5824">
        <v>-1.1212397476329901</v>
      </c>
      <c r="AH5824">
        <v>8.5901698022743496</v>
      </c>
      <c r="AI5824">
        <v>96.9940492913707</v>
      </c>
      <c r="AJ5824">
        <v>109.968017050067</v>
      </c>
      <c r="AK5824">
        <v>9.2081318025595902</v>
      </c>
      <c r="AL5824">
        <v>89.110473082762994</v>
      </c>
      <c r="AM5824">
        <v>105.63820393938001</v>
      </c>
      <c r="AN5824">
        <v>1.0000000113559699</v>
      </c>
    </row>
    <row r="5825" spans="1:40" x14ac:dyDescent="0.25">
      <c r="A5825" t="str">
        <f>"20190312151430318"</f>
        <v>20190312151430318</v>
      </c>
      <c r="B5825" t="str">
        <f>"1552374870316276"</f>
        <v>1552374870316276</v>
      </c>
      <c r="C5825" t="s">
        <v>40</v>
      </c>
      <c r="D5825">
        <v>5.2647430000000002</v>
      </c>
      <c r="E5825">
        <v>0.47417009999999998</v>
      </c>
      <c r="F5825" t="s">
        <v>59</v>
      </c>
      <c r="G5825">
        <v>-189.2938</v>
      </c>
      <c r="H5825" s="1">
        <v>-6.8092790000000002E-6</v>
      </c>
      <c r="I5825">
        <v>-42.892299999999999</v>
      </c>
      <c r="J5825">
        <v>-192.55269999999999</v>
      </c>
      <c r="K5825">
        <v>1.121248</v>
      </c>
      <c r="L5825">
        <v>-51.461089999999999</v>
      </c>
      <c r="M5825">
        <v>0.65116490000000005</v>
      </c>
      <c r="N5825">
        <v>0</v>
      </c>
      <c r="O5825">
        <v>0.75880829999999999</v>
      </c>
      <c r="P5825">
        <v>0.42331730000000001</v>
      </c>
      <c r="Q5825">
        <v>8.7882749999999999E-3</v>
      </c>
      <c r="R5825">
        <v>0.90593889999999999</v>
      </c>
      <c r="S5825">
        <v>1.105423</v>
      </c>
      <c r="T5825">
        <v>-0.35494540000000002</v>
      </c>
      <c r="U5825">
        <v>2.8017880000000002</v>
      </c>
      <c r="V5825">
        <v>-0.26924969999999998</v>
      </c>
      <c r="W5825">
        <v>1.4532359999999999E-2</v>
      </c>
      <c r="X5825">
        <v>0.9629607</v>
      </c>
      <c r="Y5825">
        <v>-0.32850970000000002</v>
      </c>
      <c r="Z5825">
        <v>-7.6036569999999998E-2</v>
      </c>
      <c r="AA5825">
        <v>0.94143500000000002</v>
      </c>
      <c r="AB5825">
        <v>35</v>
      </c>
      <c r="AC5825">
        <v>3.2588999999999801</v>
      </c>
      <c r="AD5825">
        <v>-1.121254809279</v>
      </c>
      <c r="AE5825">
        <v>8.5687899999999999</v>
      </c>
      <c r="AF5825">
        <v>-3.0613227500427498</v>
      </c>
      <c r="AG5825">
        <v>-1.121254809279</v>
      </c>
      <c r="AH5825">
        <v>8.4978694043503893</v>
      </c>
      <c r="AI5825">
        <v>97.076271337399703</v>
      </c>
      <c r="AJ5825">
        <v>109.811348788</v>
      </c>
      <c r="AK5825">
        <v>9.1017961821090694</v>
      </c>
      <c r="AL5825">
        <v>89.1673277537178</v>
      </c>
      <c r="AM5825">
        <v>105.621317053705</v>
      </c>
      <c r="AN5825">
        <v>0.99999995009087295</v>
      </c>
    </row>
    <row r="5826" spans="1:40" x14ac:dyDescent="0.25">
      <c r="A5826" t="str">
        <f>"20190312151430339"</f>
        <v>20190312151430339</v>
      </c>
      <c r="B5826" t="str">
        <f>"1552374870335796"</f>
        <v>1552374870335796</v>
      </c>
      <c r="C5826" t="s">
        <v>40</v>
      </c>
      <c r="D5826">
        <v>5.0736949999999998</v>
      </c>
      <c r="E5826">
        <v>0.48593029999999998</v>
      </c>
      <c r="F5826" t="s">
        <v>59</v>
      </c>
      <c r="G5826">
        <v>-189.1892</v>
      </c>
      <c r="H5826" s="1">
        <v>-6.8710279999999999E-6</v>
      </c>
      <c r="I5826">
        <v>-42.672710000000002</v>
      </c>
      <c r="J5826">
        <v>-192.34950000000001</v>
      </c>
      <c r="K5826">
        <v>1.1212610000000001</v>
      </c>
      <c r="L5826">
        <v>-51.208829999999999</v>
      </c>
      <c r="M5826">
        <v>0.64207479999999995</v>
      </c>
      <c r="N5826">
        <v>0</v>
      </c>
      <c r="O5826">
        <v>0.76651499999999995</v>
      </c>
      <c r="P5826">
        <v>0.41309820000000003</v>
      </c>
      <c r="Q5826">
        <v>8.2478229999999996E-3</v>
      </c>
      <c r="R5826">
        <v>0.91064920000000005</v>
      </c>
      <c r="S5826">
        <v>1.076233</v>
      </c>
      <c r="T5826">
        <v>-0.3587748</v>
      </c>
      <c r="U5826">
        <v>2.8120729999999998</v>
      </c>
      <c r="V5826">
        <v>-0.26859539999999998</v>
      </c>
      <c r="W5826">
        <v>1.402314E-2</v>
      </c>
      <c r="X5826">
        <v>0.96315099999999998</v>
      </c>
      <c r="Y5826">
        <v>-0.3269764</v>
      </c>
      <c r="Z5826">
        <v>-7.802771E-2</v>
      </c>
      <c r="AA5826">
        <v>0.94180580000000003</v>
      </c>
      <c r="AB5826">
        <v>35</v>
      </c>
      <c r="AC5826">
        <v>3.1602999999999999</v>
      </c>
      <c r="AD5826">
        <v>-1.121267871028</v>
      </c>
      <c r="AE5826">
        <v>8.5361200000000004</v>
      </c>
      <c r="AF5826">
        <v>-3.01298771384737</v>
      </c>
      <c r="AG5826">
        <v>-1.121267871028</v>
      </c>
      <c r="AH5826">
        <v>8.4449014045972906</v>
      </c>
      <c r="AI5826">
        <v>97.128042288497298</v>
      </c>
      <c r="AJ5826">
        <v>109.63547862417499</v>
      </c>
      <c r="AK5826">
        <v>9.0361328197279196</v>
      </c>
      <c r="AL5826">
        <v>89.196506921171306</v>
      </c>
      <c r="AM5826">
        <v>105.58227327708499</v>
      </c>
      <c r="AN5826">
        <v>0.99999999307880905</v>
      </c>
    </row>
    <row r="5827" spans="1:40" x14ac:dyDescent="0.25">
      <c r="A5827" t="str">
        <f>"20190312151430373"</f>
        <v>20190312151430373</v>
      </c>
      <c r="B5827" t="str">
        <f>"1552374870366051"</f>
        <v>1552374870366051</v>
      </c>
      <c r="C5827" t="s">
        <v>40</v>
      </c>
      <c r="D5827">
        <v>5.0883289999999999</v>
      </c>
      <c r="E5827">
        <v>0.48542390000000002</v>
      </c>
      <c r="F5827" t="s">
        <v>59</v>
      </c>
      <c r="G5827">
        <v>-189.27930000000001</v>
      </c>
      <c r="H5827" s="1">
        <v>-6.5604470000000001E-6</v>
      </c>
      <c r="I5827">
        <v>-43.630780000000001</v>
      </c>
      <c r="J5827">
        <v>-192.03229999999999</v>
      </c>
      <c r="K5827">
        <v>1.1212740000000001</v>
      </c>
      <c r="L5827">
        <v>-50.802059999999997</v>
      </c>
      <c r="M5827">
        <v>0.62737310000000002</v>
      </c>
      <c r="N5827">
        <v>0</v>
      </c>
      <c r="O5827">
        <v>0.77859339999999999</v>
      </c>
      <c r="P5827">
        <v>0.39634249999999999</v>
      </c>
      <c r="Q5827">
        <v>8.2668240000000007E-3</v>
      </c>
      <c r="R5827">
        <v>0.91806549999999998</v>
      </c>
      <c r="S5827">
        <v>1.128754</v>
      </c>
      <c r="T5827">
        <v>-0.41222989999999998</v>
      </c>
      <c r="U5827">
        <v>2.786041</v>
      </c>
      <c r="V5827">
        <v>-0.26791870000000001</v>
      </c>
      <c r="W5827">
        <v>1.40775E-2</v>
      </c>
      <c r="X5827">
        <v>0.96333869999999999</v>
      </c>
      <c r="Y5827">
        <v>-0.29107889999999997</v>
      </c>
      <c r="Z5827">
        <v>-9.3260239999999994E-2</v>
      </c>
      <c r="AA5827">
        <v>0.95214270000000001</v>
      </c>
      <c r="AB5827">
        <v>35</v>
      </c>
      <c r="AC5827">
        <v>2.7529999999999801</v>
      </c>
      <c r="AD5827">
        <v>-1.121280560447</v>
      </c>
      <c r="AE5827">
        <v>7.1712799999999897</v>
      </c>
      <c r="AF5827">
        <v>-2.3066812262356802</v>
      </c>
      <c r="AG5827">
        <v>-1.121280560447</v>
      </c>
      <c r="AH5827">
        <v>7.1588470373333397</v>
      </c>
      <c r="AI5827">
        <v>98.479251140487094</v>
      </c>
      <c r="AJ5827">
        <v>107.85967081378401</v>
      </c>
      <c r="AK5827">
        <v>7.6044157749718497</v>
      </c>
      <c r="AL5827">
        <v>89.193392043566206</v>
      </c>
      <c r="AM5827">
        <v>105.542033401064</v>
      </c>
      <c r="AN5827">
        <v>1.00000002836681</v>
      </c>
    </row>
    <row r="5828" spans="1:40" x14ac:dyDescent="0.25">
      <c r="A5828" t="str">
        <f>"20190312151430396"</f>
        <v>20190312151430396</v>
      </c>
      <c r="B5828" t="str">
        <f>"1552374870386548"</f>
        <v>1552374870386548</v>
      </c>
      <c r="C5828" t="s">
        <v>40</v>
      </c>
      <c r="D5828">
        <v>5.0832449999999998</v>
      </c>
      <c r="E5828">
        <v>0.486682</v>
      </c>
      <c r="F5828" t="s">
        <v>59</v>
      </c>
      <c r="G5828">
        <v>-188.99340000000001</v>
      </c>
      <c r="H5828" s="1">
        <v>-6.7839009999999998E-6</v>
      </c>
      <c r="I5828">
        <v>-42.867179999999998</v>
      </c>
      <c r="J5828">
        <v>-191.82339999999999</v>
      </c>
      <c r="K5828">
        <v>1.121281</v>
      </c>
      <c r="L5828">
        <v>-50.525269999999999</v>
      </c>
      <c r="M5828">
        <v>0.61734069999999996</v>
      </c>
      <c r="N5828">
        <v>0</v>
      </c>
      <c r="O5828">
        <v>0.78657149999999998</v>
      </c>
      <c r="P5828">
        <v>0.3846559</v>
      </c>
      <c r="Q5828">
        <v>8.3282510000000001E-3</v>
      </c>
      <c r="R5828">
        <v>0.92302240000000002</v>
      </c>
      <c r="S5828">
        <v>1.075089</v>
      </c>
      <c r="T5828">
        <v>-0.3966808</v>
      </c>
      <c r="U5828">
        <v>2.807159</v>
      </c>
      <c r="V5828">
        <v>-0.26780080000000001</v>
      </c>
      <c r="W5828">
        <v>1.415045E-2</v>
      </c>
      <c r="X5828">
        <v>0.96337039999999996</v>
      </c>
      <c r="Y5828">
        <v>-0.29695139999999998</v>
      </c>
      <c r="Z5828">
        <v>-9.0775709999999996E-2</v>
      </c>
      <c r="AA5828">
        <v>0.95056810000000003</v>
      </c>
      <c r="AB5828">
        <v>35</v>
      </c>
      <c r="AC5828">
        <v>2.8299999999999801</v>
      </c>
      <c r="AD5828">
        <v>-1.121287783901</v>
      </c>
      <c r="AE5828">
        <v>7.6580899999999996</v>
      </c>
      <c r="AF5828">
        <v>-2.4555797251290898</v>
      </c>
      <c r="AG5828">
        <v>-1.121287783901</v>
      </c>
      <c r="AH5828">
        <v>7.6275944289708102</v>
      </c>
      <c r="AI5828">
        <v>97.965761664179993</v>
      </c>
      <c r="AJ5828">
        <v>107.845116831425</v>
      </c>
      <c r="AK5828">
        <v>8.09118995288439</v>
      </c>
      <c r="AL5828">
        <v>89.189211889889904</v>
      </c>
      <c r="AM5828">
        <v>105.535037874442</v>
      </c>
      <c r="AN5828">
        <v>1.0000000156560001</v>
      </c>
    </row>
    <row r="5829" spans="1:40" x14ac:dyDescent="0.25">
      <c r="A5829" t="str">
        <f>"20190312151430420"</f>
        <v>20190312151430420</v>
      </c>
      <c r="B5829" t="str">
        <f>"1552374870415828"</f>
        <v>1552374870415828</v>
      </c>
      <c r="C5829" t="s">
        <v>40</v>
      </c>
      <c r="D5829">
        <v>5.0776789999999998</v>
      </c>
      <c r="E5829">
        <v>0.48784309999999997</v>
      </c>
      <c r="F5829" t="s">
        <v>59</v>
      </c>
      <c r="G5829">
        <v>-188.8049</v>
      </c>
      <c r="H5829" s="1">
        <v>-6.9117110000000003E-6</v>
      </c>
      <c r="I5829">
        <v>-42.422040000000003</v>
      </c>
      <c r="J5829">
        <v>-191.6087</v>
      </c>
      <c r="K5829">
        <v>1.1212819999999999</v>
      </c>
      <c r="L5829">
        <v>-50.232970000000002</v>
      </c>
      <c r="M5829">
        <v>0.60672630000000005</v>
      </c>
      <c r="N5829">
        <v>0</v>
      </c>
      <c r="O5829">
        <v>0.79478749999999998</v>
      </c>
      <c r="P5829">
        <v>0.37148870000000001</v>
      </c>
      <c r="Q5829">
        <v>7.6898009999999996E-3</v>
      </c>
      <c r="R5829">
        <v>0.92840560000000005</v>
      </c>
      <c r="S5829">
        <v>1.049164</v>
      </c>
      <c r="T5829">
        <v>-0.38973410000000003</v>
      </c>
      <c r="U5829">
        <v>2.8164980000000002</v>
      </c>
      <c r="V5829">
        <v>-0.26855649999999998</v>
      </c>
      <c r="W5829">
        <v>1.3494859999999999E-2</v>
      </c>
      <c r="X5829">
        <v>0.96316939999999995</v>
      </c>
      <c r="Y5829">
        <v>-0.29282459999999999</v>
      </c>
      <c r="Z5829">
        <v>-9.0654090000000007E-2</v>
      </c>
      <c r="AA5829">
        <v>0.95185900000000001</v>
      </c>
      <c r="AB5829">
        <v>35</v>
      </c>
      <c r="AC5829">
        <v>2.8037999999999901</v>
      </c>
      <c r="AD5829">
        <v>-1.1212889117110001</v>
      </c>
      <c r="AE5829">
        <v>7.8109299999999902</v>
      </c>
      <c r="AF5829">
        <v>-2.4659014095099301</v>
      </c>
      <c r="AG5829">
        <v>-1.1212889117110001</v>
      </c>
      <c r="AH5829">
        <v>7.7681331775873304</v>
      </c>
      <c r="AI5829">
        <v>97.833537129002906</v>
      </c>
      <c r="AJ5829">
        <v>107.611421233719</v>
      </c>
      <c r="AK5829">
        <v>8.2268980575720096</v>
      </c>
      <c r="AL5829">
        <v>89.226778006172395</v>
      </c>
      <c r="AM5829">
        <v>105.579842975614</v>
      </c>
      <c r="AN5829">
        <v>0.99999999901751402</v>
      </c>
    </row>
    <row r="5830" spans="1:40" x14ac:dyDescent="0.25">
      <c r="A5830" t="str">
        <f>"20190312151430441"</f>
        <v>20190312151430441</v>
      </c>
      <c r="B5830" t="str">
        <f>"1552374870436324"</f>
        <v>1552374870436324</v>
      </c>
      <c r="C5830" t="s">
        <v>40</v>
      </c>
      <c r="D5830">
        <v>5.0765140000000004</v>
      </c>
      <c r="E5830">
        <v>0.48889440000000001</v>
      </c>
      <c r="F5830" t="s">
        <v>59</v>
      </c>
      <c r="G5830">
        <v>-188.70009999999999</v>
      </c>
      <c r="H5830" s="1">
        <v>-6.9900809999999999E-6</v>
      </c>
      <c r="I5830">
        <v>-42.152700000000003</v>
      </c>
      <c r="J5830">
        <v>-191.41849999999999</v>
      </c>
      <c r="K5830">
        <v>1.121281</v>
      </c>
      <c r="L5830">
        <v>-49.967039999999997</v>
      </c>
      <c r="M5830">
        <v>0.59705220000000003</v>
      </c>
      <c r="N5830">
        <v>0</v>
      </c>
      <c r="O5830">
        <v>0.80208000000000002</v>
      </c>
      <c r="P5830">
        <v>0.35989759999999998</v>
      </c>
      <c r="Q5830">
        <v>6.8178309999999999E-3</v>
      </c>
      <c r="R5830">
        <v>0.93296690000000004</v>
      </c>
      <c r="S5830">
        <v>1.01774599999999</v>
      </c>
      <c r="T5830">
        <v>-0.39234960000000002</v>
      </c>
      <c r="U5830">
        <v>2.8273619999999999</v>
      </c>
      <c r="V5830">
        <v>-0.26886130000000003</v>
      </c>
      <c r="W5830">
        <v>1.261899E-2</v>
      </c>
      <c r="X5830">
        <v>0.96309630000000002</v>
      </c>
      <c r="Y5830">
        <v>-0.29181610000000002</v>
      </c>
      <c r="Z5830">
        <v>-9.2442360000000001E-2</v>
      </c>
      <c r="AA5830">
        <v>0.95199670000000003</v>
      </c>
      <c r="AB5830">
        <v>35</v>
      </c>
      <c r="AC5830">
        <v>2.7183999999999999</v>
      </c>
      <c r="AD5830">
        <v>-1.121287990081</v>
      </c>
      <c r="AE5830">
        <v>7.8143399999999996</v>
      </c>
      <c r="AF5830">
        <v>-2.4406119334299898</v>
      </c>
      <c r="AG5830">
        <v>-1.121287990081</v>
      </c>
      <c r="AH5830">
        <v>7.7491978513734798</v>
      </c>
      <c r="AI5830">
        <v>97.857981088011201</v>
      </c>
      <c r="AJ5830">
        <v>107.481835020964</v>
      </c>
      <c r="AK5830">
        <v>8.2014596692315802</v>
      </c>
      <c r="AL5830">
        <v>89.276965984832401</v>
      </c>
      <c r="AM5830">
        <v>105.59779139222201</v>
      </c>
      <c r="AN5830">
        <v>1.0000000603099899</v>
      </c>
    </row>
    <row r="5831" spans="1:40" x14ac:dyDescent="0.25">
      <c r="A5831" t="str">
        <f>"20190312151430463"</f>
        <v>20190312151430463</v>
      </c>
      <c r="B5831" t="str">
        <f>"1552374870455844"</f>
        <v>1552374870455844</v>
      </c>
      <c r="C5831" t="s">
        <v>40</v>
      </c>
      <c r="D5831">
        <v>5.1012269999999997</v>
      </c>
      <c r="E5831">
        <v>0.489707</v>
      </c>
      <c r="F5831" t="s">
        <v>59</v>
      </c>
      <c r="G5831">
        <v>-188.60589999999999</v>
      </c>
      <c r="H5831" s="1">
        <v>-7.0624210000000003E-6</v>
      </c>
      <c r="I5831">
        <v>-41.904919999999997</v>
      </c>
      <c r="J5831">
        <v>-191.22210000000001</v>
      </c>
      <c r="K5831">
        <v>1.121286</v>
      </c>
      <c r="L5831">
        <v>-49.685029999999998</v>
      </c>
      <c r="M5831">
        <v>0.58677979999999996</v>
      </c>
      <c r="N5831">
        <v>0</v>
      </c>
      <c r="O5831">
        <v>0.80962529999999999</v>
      </c>
      <c r="P5831">
        <v>0.34786590000000001</v>
      </c>
      <c r="Q5831">
        <v>6.4700549999999997E-3</v>
      </c>
      <c r="R5831">
        <v>0.93752190000000002</v>
      </c>
      <c r="S5831">
        <v>0.98965449999999999</v>
      </c>
      <c r="T5831">
        <v>-0.39452720000000002</v>
      </c>
      <c r="U5831">
        <v>2.8366699999999998</v>
      </c>
      <c r="V5831">
        <v>-0.26896629999999999</v>
      </c>
      <c r="W5831">
        <v>1.227378E-2</v>
      </c>
      <c r="X5831">
        <v>0.96307140000000002</v>
      </c>
      <c r="Y5831">
        <v>-0.28904750000000001</v>
      </c>
      <c r="Z5831">
        <v>-9.4258519999999998E-2</v>
      </c>
      <c r="AA5831">
        <v>0.95266309999999998</v>
      </c>
      <c r="AB5831">
        <v>35</v>
      </c>
      <c r="AC5831">
        <v>2.6162000000000201</v>
      </c>
      <c r="AD5831">
        <v>-1.121293062421</v>
      </c>
      <c r="AE5831">
        <v>7.7801099999999899</v>
      </c>
      <c r="AF5831">
        <v>-2.4024765986761998</v>
      </c>
      <c r="AG5831">
        <v>-1.121293062421</v>
      </c>
      <c r="AH5831">
        <v>7.6913458522638001</v>
      </c>
      <c r="AI5831">
        <v>97.922156366235498</v>
      </c>
      <c r="AJ5831">
        <v>107.346769580358</v>
      </c>
      <c r="AK5831">
        <v>8.1354774265654406</v>
      </c>
      <c r="AL5831">
        <v>89.296746562819195</v>
      </c>
      <c r="AM5831">
        <v>105.60396996614099</v>
      </c>
      <c r="AN5831">
        <v>1.0000000188545599</v>
      </c>
    </row>
    <row r="5832" spans="1:40" x14ac:dyDescent="0.25">
      <c r="A5832" t="str">
        <f>"20190312151430486"</f>
        <v>20190312151430486</v>
      </c>
      <c r="B5832" t="str">
        <f>"1552374870476340"</f>
        <v>1552374870476340</v>
      </c>
      <c r="C5832" t="s">
        <v>40</v>
      </c>
      <c r="D5832">
        <v>5.2586219999999999</v>
      </c>
      <c r="E5832">
        <v>0.48895880000000003</v>
      </c>
      <c r="F5832" t="s">
        <v>59</v>
      </c>
      <c r="G5832">
        <v>-188.5146</v>
      </c>
      <c r="H5832" s="1">
        <v>-7.1376750000000002E-6</v>
      </c>
      <c r="I5832">
        <v>-41.649439999999998</v>
      </c>
      <c r="J5832">
        <v>-191.03290000000001</v>
      </c>
      <c r="K5832">
        <v>1.1212839999999999</v>
      </c>
      <c r="L5832">
        <v>-49.40598</v>
      </c>
      <c r="M5832">
        <v>0.57660319999999898</v>
      </c>
      <c r="N5832">
        <v>0</v>
      </c>
      <c r="O5832">
        <v>0.81690390000000002</v>
      </c>
      <c r="P5832">
        <v>0.3359625</v>
      </c>
      <c r="Q5832">
        <v>6.9165449999999996E-3</v>
      </c>
      <c r="R5832">
        <v>0.94184990000000002</v>
      </c>
      <c r="S5832">
        <v>0.95918270000000005</v>
      </c>
      <c r="T5832">
        <v>-0.39724110000000001</v>
      </c>
      <c r="U5832">
        <v>2.8467709999999999</v>
      </c>
      <c r="V5832">
        <v>-0.26912589999999997</v>
      </c>
      <c r="W5832">
        <v>1.2720540000000001E-2</v>
      </c>
      <c r="X5832">
        <v>0.96302100000000002</v>
      </c>
      <c r="Y5832">
        <v>-0.2872982</v>
      </c>
      <c r="Z5832">
        <v>-9.6126199999999995E-2</v>
      </c>
      <c r="AA5832">
        <v>0.95300549999999995</v>
      </c>
      <c r="AB5832">
        <v>35</v>
      </c>
      <c r="AC5832">
        <v>2.5183</v>
      </c>
      <c r="AD5832">
        <v>-1.1212911376750001</v>
      </c>
      <c r="AE5832">
        <v>7.7565399999999904</v>
      </c>
      <c r="AF5832">
        <v>-2.37065698421643</v>
      </c>
      <c r="AG5832">
        <v>-1.1212911376750001</v>
      </c>
      <c r="AH5832">
        <v>7.6446515398791401</v>
      </c>
      <c r="AI5832">
        <v>97.974946513718905</v>
      </c>
      <c r="AJ5832">
        <v>107.229008855994</v>
      </c>
      <c r="AK5832">
        <v>8.0819555503862492</v>
      </c>
      <c r="AL5832">
        <v>89.2711470909084</v>
      </c>
      <c r="AM5832">
        <v>105.613554875632</v>
      </c>
      <c r="AN5832">
        <v>1.00000000431485</v>
      </c>
    </row>
    <row r="5833" spans="1:40" x14ac:dyDescent="0.25">
      <c r="A5833" t="str">
        <f>"20190312151430509"</f>
        <v>20190312151430509</v>
      </c>
      <c r="B5833" t="str">
        <f>"1552374870506596"</f>
        <v>1552374870506596</v>
      </c>
      <c r="C5833" t="s">
        <v>40</v>
      </c>
      <c r="D5833">
        <v>5.0267200000000001</v>
      </c>
      <c r="E5833">
        <v>0.4660337</v>
      </c>
      <c r="F5833" t="s">
        <v>59</v>
      </c>
      <c r="G5833">
        <v>-188.43510000000001</v>
      </c>
      <c r="H5833" s="1">
        <v>-7.243676E-6</v>
      </c>
      <c r="I5833">
        <v>-41.306060000000002</v>
      </c>
      <c r="J5833">
        <v>-190.84399999999999</v>
      </c>
      <c r="K5833">
        <v>1.121291</v>
      </c>
      <c r="L5833">
        <v>-49.119050000000001</v>
      </c>
      <c r="M5833">
        <v>0.56613369999999996</v>
      </c>
      <c r="N5833">
        <v>0</v>
      </c>
      <c r="O5833">
        <v>0.82419409999999904</v>
      </c>
      <c r="P5833">
        <v>0.32449309999999998</v>
      </c>
      <c r="Q5833">
        <v>7.4008889999999999E-3</v>
      </c>
      <c r="R5833">
        <v>0.94585909999999995</v>
      </c>
      <c r="S5833">
        <v>0.91755679999999995</v>
      </c>
      <c r="T5833">
        <v>-0.39603300000000002</v>
      </c>
      <c r="U5833">
        <v>2.86084</v>
      </c>
      <c r="V5833">
        <v>-0.26855329999999999</v>
      </c>
      <c r="W5833">
        <v>1.3229289999999999E-2</v>
      </c>
      <c r="X5833">
        <v>0.96317399999999997</v>
      </c>
      <c r="Y5833">
        <v>-0.28902299999999997</v>
      </c>
      <c r="Z5833">
        <v>-9.6908530000000007E-2</v>
      </c>
      <c r="AA5833">
        <v>0.95240460000000005</v>
      </c>
      <c r="AB5833">
        <v>35</v>
      </c>
      <c r="AC5833">
        <v>2.4089000000000098</v>
      </c>
      <c r="AD5833">
        <v>-1.121298243676</v>
      </c>
      <c r="AE5833">
        <v>7.8129900000000001</v>
      </c>
      <c r="AF5833">
        <v>-2.3930248010846</v>
      </c>
      <c r="AG5833">
        <v>-1.121298243676</v>
      </c>
      <c r="AH5833">
        <v>7.6598716183120104</v>
      </c>
      <c r="AI5833">
        <v>97.954218060202393</v>
      </c>
      <c r="AJ5833">
        <v>107.349356033699</v>
      </c>
      <c r="AK5833">
        <v>8.1029322259845404</v>
      </c>
      <c r="AL5833">
        <v>89.241995422121903</v>
      </c>
      <c r="AM5833">
        <v>105.579595556798</v>
      </c>
      <c r="AN5833">
        <v>1.0000000216653899</v>
      </c>
    </row>
    <row r="5834" spans="1:40" x14ac:dyDescent="0.25">
      <c r="A5834" t="str">
        <f>"20190312151430530"</f>
        <v>20190312151430530</v>
      </c>
      <c r="B5834" t="str">
        <f>"1552374870526117"</f>
        <v>1552374870526117</v>
      </c>
      <c r="C5834" t="s">
        <v>40</v>
      </c>
      <c r="D5834">
        <v>5.0275730000000003</v>
      </c>
      <c r="E5834">
        <v>0.46659810000000002</v>
      </c>
      <c r="F5834" t="s">
        <v>59</v>
      </c>
      <c r="G5834">
        <v>-188.8571</v>
      </c>
      <c r="H5834" s="1">
        <v>-7.4228819999999996E-6</v>
      </c>
      <c r="I5834">
        <v>-40.912509999999997</v>
      </c>
      <c r="J5834">
        <v>-190.6661</v>
      </c>
      <c r="K5834">
        <v>1.1212949999999999</v>
      </c>
      <c r="L5834">
        <v>-48.8414</v>
      </c>
      <c r="M5834">
        <v>0.55599100000000001</v>
      </c>
      <c r="N5834">
        <v>0</v>
      </c>
      <c r="O5834">
        <v>0.83106990000000003</v>
      </c>
      <c r="P5834">
        <v>0.31340249999999997</v>
      </c>
      <c r="Q5834">
        <v>7.243658E-3</v>
      </c>
      <c r="R5834">
        <v>0.94959280000000001</v>
      </c>
      <c r="S5834">
        <v>0.70974729999999997</v>
      </c>
      <c r="T5834">
        <v>-0.40052650000000001</v>
      </c>
      <c r="U5834">
        <v>2.9313660000000001</v>
      </c>
      <c r="V5834">
        <v>-0.2680169</v>
      </c>
      <c r="W5834">
        <v>1.3094349999999999E-2</v>
      </c>
      <c r="X5834">
        <v>0.96332519999999999</v>
      </c>
      <c r="Y5834">
        <v>-0.34598970000000001</v>
      </c>
      <c r="Z5834">
        <v>-9.6452819999999995E-2</v>
      </c>
      <c r="AA5834">
        <v>0.93326739999999997</v>
      </c>
      <c r="AB5834">
        <v>35</v>
      </c>
      <c r="AC5834">
        <v>1.8089999999999899</v>
      </c>
      <c r="AD5834">
        <v>-1.1213024228820001</v>
      </c>
      <c r="AE5834">
        <v>7.92889</v>
      </c>
      <c r="AF5834">
        <v>-2.8510729846572</v>
      </c>
      <c r="AG5834">
        <v>-1.1213024228820001</v>
      </c>
      <c r="AH5834">
        <v>7.4542908435464597</v>
      </c>
      <c r="AI5834">
        <v>97.997588036229601</v>
      </c>
      <c r="AJ5834">
        <v>110.93055665097501</v>
      </c>
      <c r="AK5834">
        <v>8.0593044530892293</v>
      </c>
      <c r="AL5834">
        <v>89.249727553565506</v>
      </c>
      <c r="AM5834">
        <v>105.54766184725101</v>
      </c>
      <c r="AN5834">
        <v>0.99999998082128605</v>
      </c>
    </row>
    <row r="5835" spans="1:40" x14ac:dyDescent="0.25">
      <c r="A5835" t="str">
        <f>"20190312151430553"</f>
        <v>20190312151430553</v>
      </c>
      <c r="B5835" t="str">
        <f>"1552374870546613"</f>
        <v>1552374870546613</v>
      </c>
      <c r="C5835" t="s">
        <v>40</v>
      </c>
      <c r="D5835">
        <v>4.9903519999999997</v>
      </c>
      <c r="E5835">
        <v>0.46686830000000001</v>
      </c>
      <c r="F5835" t="s">
        <v>59</v>
      </c>
      <c r="G5835">
        <v>-188.77950000000001</v>
      </c>
      <c r="H5835" s="1">
        <v>-7.49201299999999E-6</v>
      </c>
      <c r="I5835">
        <v>-40.679920000000003</v>
      </c>
      <c r="J5835">
        <v>-190.47839999999999</v>
      </c>
      <c r="K5835">
        <v>1.1212949999999999</v>
      </c>
      <c r="L5835">
        <v>-48.540219999999998</v>
      </c>
      <c r="M5835">
        <v>0.54498150000000001</v>
      </c>
      <c r="N5835">
        <v>0</v>
      </c>
      <c r="O5835">
        <v>0.83833060000000004</v>
      </c>
      <c r="P5835">
        <v>0.30155910000000002</v>
      </c>
      <c r="Q5835">
        <v>7.7124539999999997E-3</v>
      </c>
      <c r="R5835">
        <v>0.95341629999999999</v>
      </c>
      <c r="S5835">
        <v>0.67918400000000001</v>
      </c>
      <c r="T5835">
        <v>-0.40367419999999998</v>
      </c>
      <c r="U5835">
        <v>2.9381710000000001</v>
      </c>
      <c r="V5835">
        <v>-0.26731319999999997</v>
      </c>
      <c r="W5835">
        <v>1.3590700000000001E-2</v>
      </c>
      <c r="X5835">
        <v>0.96351390000000003</v>
      </c>
      <c r="Y5835">
        <v>-0.3433447</v>
      </c>
      <c r="Z5835">
        <v>-9.8537940000000004E-2</v>
      </c>
      <c r="AA5835">
        <v>0.93402609999999997</v>
      </c>
      <c r="AB5835">
        <v>35</v>
      </c>
      <c r="AC5835">
        <v>1.6988999999999801</v>
      </c>
      <c r="AD5835">
        <v>-1.1213024920129999</v>
      </c>
      <c r="AE5835">
        <v>7.8602999999999899</v>
      </c>
      <c r="AF5835">
        <v>-2.80522104156256</v>
      </c>
      <c r="AG5835">
        <v>-1.1213024920129999</v>
      </c>
      <c r="AH5835">
        <v>7.3727981011428296</v>
      </c>
      <c r="AI5835">
        <v>98.090117395787303</v>
      </c>
      <c r="AJ5835">
        <v>110.83094672586201</v>
      </c>
      <c r="AK5835">
        <v>7.9677309323819001</v>
      </c>
      <c r="AL5835">
        <v>89.221286310642796</v>
      </c>
      <c r="AM5835">
        <v>105.50591634112</v>
      </c>
      <c r="AN5835">
        <v>1.0000000447569599</v>
      </c>
    </row>
    <row r="5836" spans="1:40" x14ac:dyDescent="0.25">
      <c r="A5836" t="str">
        <f>"20190312151430575"</f>
        <v>20190312151430575</v>
      </c>
      <c r="B5836" t="str">
        <f>"1552374870566132"</f>
        <v>1552374870566132</v>
      </c>
      <c r="C5836" t="s">
        <v>40</v>
      </c>
      <c r="D5836">
        <v>5.2385640000000002</v>
      </c>
      <c r="E5836">
        <v>0.46779150000000003</v>
      </c>
      <c r="F5836" t="s">
        <v>42</v>
      </c>
      <c r="G5836">
        <v>-188.68770000000001</v>
      </c>
      <c r="H5836" s="1">
        <v>-3.4694810000000001E-7</v>
      </c>
      <c r="I5836">
        <v>-40.358460000000001</v>
      </c>
      <c r="J5836">
        <v>-190.30240000000001</v>
      </c>
      <c r="K5836">
        <v>1.121297</v>
      </c>
      <c r="L5836">
        <v>-48.249420000000001</v>
      </c>
      <c r="M5836">
        <v>0.53434190000000004</v>
      </c>
      <c r="N5836">
        <v>0</v>
      </c>
      <c r="O5836">
        <v>0.84515180000000001</v>
      </c>
      <c r="P5836">
        <v>0.29003830000000003</v>
      </c>
      <c r="Q5836">
        <v>8.5446919999999996E-3</v>
      </c>
      <c r="R5836">
        <v>0.95697690000000002</v>
      </c>
      <c r="S5836">
        <v>0.6447754</v>
      </c>
      <c r="T5836">
        <v>-0.40373300000000001</v>
      </c>
      <c r="U5836">
        <v>2.9459230000000001</v>
      </c>
      <c r="V5836">
        <v>-0.26677600000000001</v>
      </c>
      <c r="W5836">
        <v>1.444558E-2</v>
      </c>
      <c r="X5836">
        <v>0.96365029999999996</v>
      </c>
      <c r="Y5836">
        <v>-0.34241700000000003</v>
      </c>
      <c r="Z5836">
        <v>-9.973928E-2</v>
      </c>
      <c r="AA5836">
        <v>0.93423909999999999</v>
      </c>
      <c r="AB5836">
        <v>35</v>
      </c>
      <c r="AC5836">
        <v>1.61469999999999</v>
      </c>
      <c r="AD5836">
        <v>-1.1212973469481</v>
      </c>
      <c r="AE5836">
        <v>7.8909599999999998</v>
      </c>
      <c r="AF5836">
        <v>-2.7978608718898399</v>
      </c>
      <c r="AG5836">
        <v>-1.1212973469481</v>
      </c>
      <c r="AH5836">
        <v>7.3893925840739803</v>
      </c>
      <c r="AI5836">
        <v>98.077044288240302</v>
      </c>
      <c r="AJ5836">
        <v>110.73827190401801</v>
      </c>
      <c r="AK5836">
        <v>7.9805047434540501</v>
      </c>
      <c r="AL5836">
        <v>89.172300449001497</v>
      </c>
      <c r="AM5836">
        <v>105.474164728172</v>
      </c>
      <c r="AN5836">
        <v>1.00000000482381</v>
      </c>
    </row>
    <row r="5837" spans="1:40" x14ac:dyDescent="0.25">
      <c r="A5837" t="str">
        <f>"20190312151430600"</f>
        <v>20190312151430600</v>
      </c>
      <c r="B5837" t="str">
        <f>"1552374870595412"</f>
        <v>1552374870595412</v>
      </c>
      <c r="C5837" t="s">
        <v>40</v>
      </c>
      <c r="D5837">
        <v>5.0148570000000001</v>
      </c>
      <c r="E5837">
        <v>0.46871299999999999</v>
      </c>
      <c r="F5837" t="s">
        <v>42</v>
      </c>
      <c r="G5837">
        <v>-188.5471</v>
      </c>
      <c r="H5837" s="1">
        <v>-5.5773029999999998E-7</v>
      </c>
      <c r="I5837">
        <v>-39.84901</v>
      </c>
      <c r="J5837">
        <v>-190.11750000000001</v>
      </c>
      <c r="K5837">
        <v>1.1212949999999999</v>
      </c>
      <c r="L5837">
        <v>-47.935029999999998</v>
      </c>
      <c r="M5837">
        <v>0.52282870000000004</v>
      </c>
      <c r="N5837">
        <v>0</v>
      </c>
      <c r="O5837">
        <v>0.85232220000000003</v>
      </c>
      <c r="P5837">
        <v>0.27760119999999999</v>
      </c>
      <c r="Q5837">
        <v>8.9279359999999992E-3</v>
      </c>
      <c r="R5837">
        <v>0.96065489999999998</v>
      </c>
      <c r="S5837">
        <v>0.61671450000000005</v>
      </c>
      <c r="T5837">
        <v>-0.3939667</v>
      </c>
      <c r="U5837">
        <v>2.9514770000000001</v>
      </c>
      <c r="V5837">
        <v>-0.2662119</v>
      </c>
      <c r="W5837">
        <v>1.4852280000000001E-2</v>
      </c>
      <c r="X5837">
        <v>0.96380010000000005</v>
      </c>
      <c r="Y5837">
        <v>-0.33850550000000001</v>
      </c>
      <c r="Z5837">
        <v>-9.8711010000000002E-2</v>
      </c>
      <c r="AA5837">
        <v>0.93577250000000001</v>
      </c>
      <c r="AB5837">
        <v>35</v>
      </c>
      <c r="AC5837">
        <v>1.5704</v>
      </c>
      <c r="AD5837">
        <v>-1.1212955577302901</v>
      </c>
      <c r="AE5837">
        <v>8.0860199999999907</v>
      </c>
      <c r="AF5837">
        <v>-2.83683277268167</v>
      </c>
      <c r="AG5837">
        <v>-1.1212955577302901</v>
      </c>
      <c r="AH5837">
        <v>7.5733649179749003</v>
      </c>
      <c r="AI5837">
        <v>97.893730587597403</v>
      </c>
      <c r="AJ5837">
        <v>110.534956457538</v>
      </c>
      <c r="AK5837">
        <v>8.1646053235143796</v>
      </c>
      <c r="AL5837">
        <v>89.148995750134603</v>
      </c>
      <c r="AM5837">
        <v>105.44072212778499</v>
      </c>
      <c r="AN5837">
        <v>0.99999999934140904</v>
      </c>
    </row>
    <row r="5838" spans="1:40" x14ac:dyDescent="0.25">
      <c r="A5838" t="str">
        <f>"20190312151430624"</f>
        <v>20190312151430624</v>
      </c>
      <c r="B5838" t="str">
        <f>"1552374870616333"</f>
        <v>1552374870616333</v>
      </c>
      <c r="C5838" t="s">
        <v>40</v>
      </c>
      <c r="D5838">
        <v>5.043285</v>
      </c>
      <c r="E5838">
        <v>0.46974440000000001</v>
      </c>
      <c r="F5838" t="s">
        <v>42</v>
      </c>
      <c r="G5838">
        <v>-188.41159999999999</v>
      </c>
      <c r="H5838" s="1">
        <v>-7.7551690000000003E-7</v>
      </c>
      <c r="I5838">
        <v>-39.314950000000003</v>
      </c>
      <c r="J5838">
        <v>-189.94</v>
      </c>
      <c r="K5838">
        <v>1.121299</v>
      </c>
      <c r="L5838">
        <v>-47.623989999999999</v>
      </c>
      <c r="M5838">
        <v>0.51142879999999902</v>
      </c>
      <c r="N5838">
        <v>0</v>
      </c>
      <c r="O5838">
        <v>0.8592109</v>
      </c>
      <c r="P5838">
        <v>0.2654937</v>
      </c>
      <c r="Q5838">
        <v>9.005819E-3</v>
      </c>
      <c r="R5838">
        <v>0.96407050000000005</v>
      </c>
      <c r="S5838">
        <v>0.58523559999999997</v>
      </c>
      <c r="T5838">
        <v>-0.3846889</v>
      </c>
      <c r="U5838">
        <v>2.9573360000000002</v>
      </c>
      <c r="V5838">
        <v>-0.26550049999999997</v>
      </c>
      <c r="W5838">
        <v>1.4958600000000001E-2</v>
      </c>
      <c r="X5838">
        <v>0.96399469999999998</v>
      </c>
      <c r="Y5838">
        <v>-0.3358814</v>
      </c>
      <c r="Z5838">
        <v>-9.7650109999999998E-2</v>
      </c>
      <c r="AA5838">
        <v>0.93682880000000002</v>
      </c>
      <c r="AB5838">
        <v>34</v>
      </c>
      <c r="AC5838">
        <v>1.5284</v>
      </c>
      <c r="AD5838">
        <v>-1.1212997755169001</v>
      </c>
      <c r="AE5838">
        <v>8.3090399999999907</v>
      </c>
      <c r="AF5838">
        <v>-2.8857211151184501</v>
      </c>
      <c r="AG5838">
        <v>-1.1212997755169001</v>
      </c>
      <c r="AH5838">
        <v>7.7845395832826201</v>
      </c>
      <c r="AI5838">
        <v>97.691859948924602</v>
      </c>
      <c r="AJ5838">
        <v>110.33969333897301</v>
      </c>
      <c r="AK5838">
        <v>8.3775745931927492</v>
      </c>
      <c r="AL5838">
        <v>89.142903410961495</v>
      </c>
      <c r="AM5838">
        <v>105.39845983531001</v>
      </c>
      <c r="AN5838">
        <v>1.0000000284211401</v>
      </c>
    </row>
    <row r="5839" spans="1:40" x14ac:dyDescent="0.25">
      <c r="A5839" t="str">
        <f>"20190312151430647"</f>
        <v>20190312151430647</v>
      </c>
      <c r="B5839" t="str">
        <f>"1552374870635854"</f>
        <v>1552374870635854</v>
      </c>
      <c r="C5839" t="s">
        <v>40</v>
      </c>
      <c r="D5839">
        <v>5.0235329999999996</v>
      </c>
      <c r="E5839">
        <v>0.47064139999999999</v>
      </c>
      <c r="F5839" t="s">
        <v>42</v>
      </c>
      <c r="G5839">
        <v>-188.33580000000001</v>
      </c>
      <c r="H5839" s="1">
        <v>-8.7947289999999996E-7</v>
      </c>
      <c r="I5839">
        <v>-39.068759999999997</v>
      </c>
      <c r="J5839">
        <v>-189.77330000000001</v>
      </c>
      <c r="K5839">
        <v>1.121297</v>
      </c>
      <c r="L5839">
        <v>-47.322420000000001</v>
      </c>
      <c r="M5839">
        <v>0.50036800000000003</v>
      </c>
      <c r="N5839">
        <v>0</v>
      </c>
      <c r="O5839">
        <v>0.865699</v>
      </c>
      <c r="P5839">
        <v>0.25290489999999999</v>
      </c>
      <c r="Q5839">
        <v>9.401988E-3</v>
      </c>
      <c r="R5839">
        <v>0.96744549999999996</v>
      </c>
      <c r="S5839">
        <v>0.55551149999999905</v>
      </c>
      <c r="T5839">
        <v>-0.38827820000000002</v>
      </c>
      <c r="U5839">
        <v>2.9624630000000001</v>
      </c>
      <c r="V5839">
        <v>-0.26571270000000002</v>
      </c>
      <c r="W5839">
        <v>1.535195E-2</v>
      </c>
      <c r="X5839">
        <v>0.96392999999999995</v>
      </c>
      <c r="Y5839">
        <v>-0.3332078</v>
      </c>
      <c r="Z5839">
        <v>-9.973042E-2</v>
      </c>
      <c r="AA5839">
        <v>0.93756410000000001</v>
      </c>
      <c r="AB5839">
        <v>34</v>
      </c>
      <c r="AC5839">
        <v>1.4375</v>
      </c>
      <c r="AD5839">
        <v>-1.1212978794728901</v>
      </c>
      <c r="AE5839">
        <v>8.25366</v>
      </c>
      <c r="AF5839">
        <v>-2.8349270786374401</v>
      </c>
      <c r="AG5839">
        <v>-1.1212978794728901</v>
      </c>
      <c r="AH5839">
        <v>7.7268278598645601</v>
      </c>
      <c r="AI5839">
        <v>97.758062957395595</v>
      </c>
      <c r="AJ5839">
        <v>110.14778613373601</v>
      </c>
      <c r="AK5839">
        <v>8.3065028292104692</v>
      </c>
      <c r="AL5839">
        <v>89.120363488065095</v>
      </c>
      <c r="AM5839">
        <v>105.411167380674</v>
      </c>
      <c r="AN5839">
        <v>0.99999998310504601</v>
      </c>
    </row>
    <row r="5840" spans="1:40" x14ac:dyDescent="0.25">
      <c r="A5840" t="str">
        <f>"20190312151430667"</f>
        <v>20190312151430667</v>
      </c>
      <c r="B5840" t="str">
        <f>"1552374870656350"</f>
        <v>1552374870656350</v>
      </c>
      <c r="C5840" t="s">
        <v>40</v>
      </c>
      <c r="D5840">
        <v>5.0423439999999999</v>
      </c>
      <c r="E5840">
        <v>0.4715994</v>
      </c>
      <c r="F5840" t="s">
        <v>42</v>
      </c>
      <c r="G5840">
        <v>-188.27070000000001</v>
      </c>
      <c r="H5840" s="1">
        <v>-9.8578770000000001E-7</v>
      </c>
      <c r="I5840">
        <v>-38.807209999999998</v>
      </c>
      <c r="J5840">
        <v>-189.626</v>
      </c>
      <c r="K5840">
        <v>1.1212930000000001</v>
      </c>
      <c r="L5840">
        <v>-47.047849999999997</v>
      </c>
      <c r="M5840">
        <v>0.4902958</v>
      </c>
      <c r="N5840">
        <v>0</v>
      </c>
      <c r="O5840">
        <v>0.87144299999999997</v>
      </c>
      <c r="P5840">
        <v>0.24188750000000001</v>
      </c>
      <c r="Q5840">
        <v>9.5625090000000003E-3</v>
      </c>
      <c r="R5840">
        <v>0.97025720000000004</v>
      </c>
      <c r="S5840">
        <v>0.52369690000000002</v>
      </c>
      <c r="T5840">
        <v>-0.39081379999999999</v>
      </c>
      <c r="U5840">
        <v>2.9678650000000002</v>
      </c>
      <c r="V5840">
        <v>-0.26550010000000002</v>
      </c>
      <c r="W5840">
        <v>1.5524069999999999E-2</v>
      </c>
      <c r="X5840">
        <v>0.96398589999999995</v>
      </c>
      <c r="Y5840">
        <v>-0.33233669999999998</v>
      </c>
      <c r="Z5840">
        <v>-0.1013722</v>
      </c>
      <c r="AA5840">
        <v>0.93769720000000001</v>
      </c>
      <c r="AB5840">
        <v>34</v>
      </c>
      <c r="AC5840">
        <v>1.35529999999997</v>
      </c>
      <c r="AD5840">
        <v>-1.1212939857877</v>
      </c>
      <c r="AE5840">
        <v>8.2406399999999902</v>
      </c>
      <c r="AF5840">
        <v>-2.8089294775818399</v>
      </c>
      <c r="AG5840">
        <v>-1.1212939857877</v>
      </c>
      <c r="AH5840">
        <v>7.7075741066956898</v>
      </c>
      <c r="AI5840">
        <v>97.783268123229703</v>
      </c>
      <c r="AJ5840">
        <v>110.02363991410699</v>
      </c>
      <c r="AK5840">
        <v>8.2797393451000403</v>
      </c>
      <c r="AL5840">
        <v>89.110500629210193</v>
      </c>
      <c r="AM5840">
        <v>105.398571634261</v>
      </c>
      <c r="AN5840">
        <v>1.0000000576240899</v>
      </c>
    </row>
    <row r="5841" spans="1:40" x14ac:dyDescent="0.25">
      <c r="A5841" t="str">
        <f>"20190312151430689"</f>
        <v>20190312151430689</v>
      </c>
      <c r="B5841" t="str">
        <f>"1552374870686606"</f>
        <v>1552374870686606</v>
      </c>
      <c r="C5841" t="s">
        <v>40</v>
      </c>
      <c r="D5841">
        <v>5.0577529999999999</v>
      </c>
      <c r="E5841">
        <v>0.4728772</v>
      </c>
      <c r="F5841" t="s">
        <v>42</v>
      </c>
      <c r="G5841">
        <v>-188.18430000000001</v>
      </c>
      <c r="H5841" s="1">
        <v>-1.1505390000000001E-6</v>
      </c>
      <c r="I5841">
        <v>-38.436019999999999</v>
      </c>
      <c r="J5841">
        <v>-189.47139999999999</v>
      </c>
      <c r="K5841">
        <v>1.1212789999999999</v>
      </c>
      <c r="L5841">
        <v>-46.750889999999998</v>
      </c>
      <c r="M5841">
        <v>0.47939710000000002</v>
      </c>
      <c r="N5841">
        <v>0</v>
      </c>
      <c r="O5841">
        <v>0.87748579999999998</v>
      </c>
      <c r="P5841">
        <v>0.22988239999999999</v>
      </c>
      <c r="Q5841">
        <v>9.4189229999999992E-3</v>
      </c>
      <c r="R5841">
        <v>0.97317279999999995</v>
      </c>
      <c r="S5841">
        <v>0.49746699999999999</v>
      </c>
      <c r="T5841">
        <v>-0.38693240000000001</v>
      </c>
      <c r="U5841">
        <v>2.9717410000000002</v>
      </c>
      <c r="V5841">
        <v>-0.26539170000000001</v>
      </c>
      <c r="W5841">
        <v>1.538866E-2</v>
      </c>
      <c r="X5841">
        <v>0.96401789999999998</v>
      </c>
      <c r="Y5841">
        <v>-0.32882860000000003</v>
      </c>
      <c r="Z5841">
        <v>-0.1015216</v>
      </c>
      <c r="AA5841">
        <v>0.938917</v>
      </c>
      <c r="AB5841">
        <v>34</v>
      </c>
      <c r="AC5841">
        <v>1.2870999999999799</v>
      </c>
      <c r="AD5841">
        <v>-1.121280150539</v>
      </c>
      <c r="AE5841">
        <v>8.3148700000000009</v>
      </c>
      <c r="AF5841">
        <v>-2.8071403971789</v>
      </c>
      <c r="AG5841">
        <v>-1.121280150539</v>
      </c>
      <c r="AH5841">
        <v>7.7758953264323001</v>
      </c>
      <c r="AI5841">
        <v>97.724006037746605</v>
      </c>
      <c r="AJ5841">
        <v>109.84985735838301</v>
      </c>
      <c r="AK5841">
        <v>8.3427725914768995</v>
      </c>
      <c r="AL5841">
        <v>89.118259960229906</v>
      </c>
      <c r="AM5841">
        <v>105.392096118841</v>
      </c>
      <c r="AN5841">
        <v>1.0000000384029399</v>
      </c>
    </row>
    <row r="5842" spans="1:40" x14ac:dyDescent="0.25">
      <c r="A5842" t="str">
        <f>"20190312151430711"</f>
        <v>20190312151430711</v>
      </c>
      <c r="B5842" t="str">
        <f>"1552374870706127"</f>
        <v>1552374870706127</v>
      </c>
      <c r="C5842" t="s">
        <v>40</v>
      </c>
      <c r="D5842">
        <v>5.0227149999999998</v>
      </c>
      <c r="E5842">
        <v>0.48555890000000002</v>
      </c>
      <c r="F5842" t="s">
        <v>42</v>
      </c>
      <c r="G5842">
        <v>-188.11070000000001</v>
      </c>
      <c r="H5842" s="1">
        <v>-1.2877019999999901E-6</v>
      </c>
      <c r="I5842">
        <v>-38.146729999999998</v>
      </c>
      <c r="J5842">
        <v>-189.3177</v>
      </c>
      <c r="K5842">
        <v>1.121273</v>
      </c>
      <c r="L5842">
        <v>-46.446440000000003</v>
      </c>
      <c r="M5842">
        <v>0.4682151</v>
      </c>
      <c r="N5842">
        <v>0</v>
      </c>
      <c r="O5842">
        <v>0.88350289999999998</v>
      </c>
      <c r="P5842">
        <v>0.21754280000000001</v>
      </c>
      <c r="Q5842">
        <v>8.9161859999999996E-3</v>
      </c>
      <c r="R5842">
        <v>0.97601009999999999</v>
      </c>
      <c r="S5842">
        <v>0.4705048</v>
      </c>
      <c r="T5842">
        <v>-0.38773819999999998</v>
      </c>
      <c r="U5842">
        <v>2.975311</v>
      </c>
      <c r="V5842">
        <v>-0.26534219999999997</v>
      </c>
      <c r="W5842">
        <v>1.489186E-2</v>
      </c>
      <c r="X5842">
        <v>0.96403930000000004</v>
      </c>
      <c r="Y5842">
        <v>-0.32532529999999998</v>
      </c>
      <c r="Z5842">
        <v>-0.102877</v>
      </c>
      <c r="AA5842">
        <v>0.93998919999999997</v>
      </c>
      <c r="AB5842">
        <v>34</v>
      </c>
      <c r="AC5842">
        <v>1.2069999999999901</v>
      </c>
      <c r="AD5842">
        <v>-1.1212742877020001</v>
      </c>
      <c r="AE5842">
        <v>8.2997099999999993</v>
      </c>
      <c r="AF5842">
        <v>-2.77042261508329</v>
      </c>
      <c r="AG5842">
        <v>-1.1212742877020001</v>
      </c>
      <c r="AH5842">
        <v>7.7600338076980302</v>
      </c>
      <c r="AI5842">
        <v>97.749279521810394</v>
      </c>
      <c r="AJ5842">
        <v>109.647157500068</v>
      </c>
      <c r="AK5842">
        <v>8.3156853109676394</v>
      </c>
      <c r="AL5842">
        <v>89.146727742526494</v>
      </c>
      <c r="AM5842">
        <v>105.38903592190699</v>
      </c>
      <c r="AN5842">
        <v>1.00000001126979</v>
      </c>
    </row>
    <row r="5843" spans="1:40" x14ac:dyDescent="0.25">
      <c r="A5843" t="str">
        <f>"20190312151430734"</f>
        <v>20190312151430734</v>
      </c>
      <c r="B5843" t="str">
        <f>"1552374870726622"</f>
        <v>1552374870726622</v>
      </c>
      <c r="C5843" t="s">
        <v>40</v>
      </c>
      <c r="D5843">
        <v>5.1273799999999996</v>
      </c>
      <c r="E5843">
        <v>0.48540840000000002</v>
      </c>
      <c r="F5843" t="s">
        <v>42</v>
      </c>
      <c r="G5843">
        <v>-187.70330000000001</v>
      </c>
      <c r="H5843" s="1">
        <v>-1.6525169999999999E-6</v>
      </c>
      <c r="I5843">
        <v>-37.464820000000003</v>
      </c>
      <c r="J5843">
        <v>-189.16890000000001</v>
      </c>
      <c r="K5843">
        <v>1.121264</v>
      </c>
      <c r="L5843">
        <v>-46.142299999999999</v>
      </c>
      <c r="M5843">
        <v>0.45703739999999998</v>
      </c>
      <c r="N5843">
        <v>0</v>
      </c>
      <c r="O5843">
        <v>0.88933660000000003</v>
      </c>
      <c r="P5843">
        <v>0.20570740000000001</v>
      </c>
      <c r="Q5843">
        <v>8.7858709999999902E-3</v>
      </c>
      <c r="R5843">
        <v>0.9785741</v>
      </c>
      <c r="S5843">
        <v>0.53178409999999998</v>
      </c>
      <c r="T5843">
        <v>-0.36935279999999998</v>
      </c>
      <c r="U5843">
        <v>2.9585880000000002</v>
      </c>
      <c r="V5843">
        <v>-0.26485720000000001</v>
      </c>
      <c r="W5843">
        <v>1.478172E-2</v>
      </c>
      <c r="X5843">
        <v>0.96417430000000004</v>
      </c>
      <c r="Y5843">
        <v>-0.29344589999999998</v>
      </c>
      <c r="Z5843">
        <v>-0.1001659</v>
      </c>
      <c r="AA5843">
        <v>0.95071360000000005</v>
      </c>
      <c r="AB5843">
        <v>34</v>
      </c>
      <c r="AC5843">
        <v>1.46559999999999</v>
      </c>
      <c r="AD5843">
        <v>-1.1212656525169999</v>
      </c>
      <c r="AE5843">
        <v>8.6774799999999903</v>
      </c>
      <c r="AF5843">
        <v>-2.6202477609721599</v>
      </c>
      <c r="AG5843">
        <v>-1.1212656525169999</v>
      </c>
      <c r="AH5843">
        <v>8.2538718389172594</v>
      </c>
      <c r="AI5843">
        <v>97.377579171092506</v>
      </c>
      <c r="AJ5843">
        <v>107.61239488073601</v>
      </c>
      <c r="AK5843">
        <v>8.7320865390618696</v>
      </c>
      <c r="AL5843">
        <v>89.153038949357907</v>
      </c>
      <c r="AM5843">
        <v>105.360188005174</v>
      </c>
      <c r="AN5843">
        <v>0.99999995820924303</v>
      </c>
    </row>
    <row r="5844" spans="1:40" x14ac:dyDescent="0.25">
      <c r="A5844" t="str">
        <f>"20190312151430756"</f>
        <v>20190312151430756</v>
      </c>
      <c r="B5844" t="str">
        <f>"1552374870746142"</f>
        <v>1552374870746142</v>
      </c>
      <c r="C5844" t="s">
        <v>40</v>
      </c>
      <c r="D5844">
        <v>5.0045060000000001</v>
      </c>
      <c r="E5844">
        <v>0.48649979999999998</v>
      </c>
      <c r="F5844" t="s">
        <v>42</v>
      </c>
      <c r="G5844">
        <v>-187.71799999999999</v>
      </c>
      <c r="H5844" s="1">
        <v>-1.660507E-6</v>
      </c>
      <c r="I5844">
        <v>-37.440109999999997</v>
      </c>
      <c r="J5844">
        <v>-189.0257</v>
      </c>
      <c r="K5844">
        <v>1.1212549999999999</v>
      </c>
      <c r="L5844">
        <v>-45.840359999999997</v>
      </c>
      <c r="M5844">
        <v>0.44593310000000003</v>
      </c>
      <c r="N5844">
        <v>0</v>
      </c>
      <c r="O5844">
        <v>0.89495619999999998</v>
      </c>
      <c r="P5844">
        <v>0.19374959999999999</v>
      </c>
      <c r="Q5844">
        <v>8.3347549999999992E-3</v>
      </c>
      <c r="R5844">
        <v>0.98101559999999999</v>
      </c>
      <c r="S5844">
        <v>0.49436950000000002</v>
      </c>
      <c r="T5844">
        <v>-0.3820596</v>
      </c>
      <c r="U5844">
        <v>2.965179</v>
      </c>
      <c r="V5844">
        <v>-0.26461200000000001</v>
      </c>
      <c r="W5844">
        <v>1.4342590000000001E-2</v>
      </c>
      <c r="X5844">
        <v>0.96424829999999995</v>
      </c>
      <c r="Y5844">
        <v>-0.29363099999999998</v>
      </c>
      <c r="Z5844">
        <v>-0.1044682</v>
      </c>
      <c r="AA5844">
        <v>0.95019330000000002</v>
      </c>
      <c r="AB5844">
        <v>34</v>
      </c>
      <c r="AC5844">
        <v>1.3077000000000101</v>
      </c>
      <c r="AD5844">
        <v>-1.12125666050699</v>
      </c>
      <c r="AE5844">
        <v>8.4002499999999998</v>
      </c>
      <c r="AF5844">
        <v>-2.5318277928756299</v>
      </c>
      <c r="AG5844">
        <v>-1.12125666050699</v>
      </c>
      <c r="AH5844">
        <v>7.9632790507473201</v>
      </c>
      <c r="AI5844">
        <v>97.6425618945118</v>
      </c>
      <c r="AJ5844">
        <v>107.637429862487</v>
      </c>
      <c r="AK5844">
        <v>8.4309656452615194</v>
      </c>
      <c r="AL5844">
        <v>89.178201950583201</v>
      </c>
      <c r="AM5844">
        <v>105.34551631516101</v>
      </c>
      <c r="AN5844">
        <v>1.0000000022423901</v>
      </c>
    </row>
    <row r="5845" spans="1:40" x14ac:dyDescent="0.25">
      <c r="A5845" t="str">
        <f>"20190312151430778"</f>
        <v>20190312151430778</v>
      </c>
      <c r="B5845" t="str">
        <f>"1552374870766638"</f>
        <v>1552374870766638</v>
      </c>
      <c r="C5845" t="s">
        <v>40</v>
      </c>
      <c r="D5845">
        <v>5.0361500000000001</v>
      </c>
      <c r="E5845">
        <v>0.48770380000000002</v>
      </c>
      <c r="F5845" t="s">
        <v>42</v>
      </c>
      <c r="G5845">
        <v>-187.64619999999999</v>
      </c>
      <c r="H5845" s="1">
        <v>-1.8327310000000001E-6</v>
      </c>
      <c r="I5845">
        <v>-37.068339999999999</v>
      </c>
      <c r="J5845">
        <v>-188.88659999999999</v>
      </c>
      <c r="K5845">
        <v>1.121246</v>
      </c>
      <c r="L5845">
        <v>-45.537109999999998</v>
      </c>
      <c r="M5845">
        <v>0.43477280000000001</v>
      </c>
      <c r="N5845">
        <v>0</v>
      </c>
      <c r="O5845">
        <v>0.90043069999999903</v>
      </c>
      <c r="P5845">
        <v>0.1818948</v>
      </c>
      <c r="Q5845">
        <v>8.0331559999999996E-3</v>
      </c>
      <c r="R5845">
        <v>0.98328519999999997</v>
      </c>
      <c r="S5845">
        <v>0.46693420000000002</v>
      </c>
      <c r="T5845">
        <v>-0.37951030000000002</v>
      </c>
      <c r="U5845">
        <v>2.969055</v>
      </c>
      <c r="V5845">
        <v>-0.26425530000000003</v>
      </c>
      <c r="W5845">
        <v>1.4057470000000001E-2</v>
      </c>
      <c r="X5845">
        <v>0.96435029999999999</v>
      </c>
      <c r="Y5845">
        <v>-0.29050419999999999</v>
      </c>
      <c r="Z5845">
        <v>-0.10478410000000001</v>
      </c>
      <c r="AA5845">
        <v>0.9511191</v>
      </c>
      <c r="AB5845">
        <v>34</v>
      </c>
      <c r="AC5845">
        <v>1.24039999999999</v>
      </c>
      <c r="AD5845">
        <v>-1.121247832731</v>
      </c>
      <c r="AE5845">
        <v>8.4687699999999992</v>
      </c>
      <c r="AF5845">
        <v>-2.5220681392279398</v>
      </c>
      <c r="AG5845">
        <v>-1.121247832731</v>
      </c>
      <c r="AH5845">
        <v>8.0278708894269997</v>
      </c>
      <c r="AI5845">
        <v>97.589859654385705</v>
      </c>
      <c r="AJ5845">
        <v>107.44084210530499</v>
      </c>
      <c r="AK5845">
        <v>8.4890950883249108</v>
      </c>
      <c r="AL5845">
        <v>89.1945397595168</v>
      </c>
      <c r="AM5845">
        <v>105.32425885769599</v>
      </c>
      <c r="AN5845">
        <v>0.99999998857549</v>
      </c>
    </row>
    <row r="5846" spans="1:40" x14ac:dyDescent="0.25">
      <c r="A5846" t="str">
        <f>"20190312151430801"</f>
        <v>20190312151430801</v>
      </c>
      <c r="B5846" t="str">
        <f>"1552374870795918"</f>
        <v>1552374870795918</v>
      </c>
      <c r="C5846" t="s">
        <v>40</v>
      </c>
      <c r="D5846">
        <v>5.0500749999999996</v>
      </c>
      <c r="E5846">
        <v>0.4877436</v>
      </c>
      <c r="F5846" t="s">
        <v>42</v>
      </c>
      <c r="G5846">
        <v>-187.56909999999999</v>
      </c>
      <c r="H5846" s="1">
        <v>-2.0274790000000001E-6</v>
      </c>
      <c r="I5846">
        <v>-36.646259999999998</v>
      </c>
      <c r="J5846">
        <v>-188.74369999999999</v>
      </c>
      <c r="K5846">
        <v>1.1212390000000001</v>
      </c>
      <c r="L5846">
        <v>-45.215029999999999</v>
      </c>
      <c r="M5846">
        <v>0.42291289999999998</v>
      </c>
      <c r="N5846">
        <v>0</v>
      </c>
      <c r="O5846">
        <v>0.90606160000000002</v>
      </c>
      <c r="P5846">
        <v>0.169712</v>
      </c>
      <c r="Q5846">
        <v>8.0094539999999992E-3</v>
      </c>
      <c r="R5846">
        <v>0.98546120000000004</v>
      </c>
      <c r="S5846">
        <v>0.44049070000000001</v>
      </c>
      <c r="T5846">
        <v>-0.37487799999999999</v>
      </c>
      <c r="U5846">
        <v>2.9725649999999999</v>
      </c>
      <c r="V5846">
        <v>-0.26352720000000002</v>
      </c>
      <c r="W5846">
        <v>1.4061769999999999E-2</v>
      </c>
      <c r="X5846">
        <v>0.96454949999999995</v>
      </c>
      <c r="Y5846">
        <v>-0.28637190000000001</v>
      </c>
      <c r="Z5846">
        <v>-0.1045687</v>
      </c>
      <c r="AA5846">
        <v>0.95239510000000005</v>
      </c>
      <c r="AB5846">
        <v>34</v>
      </c>
      <c r="AC5846">
        <v>1.1745999999999901</v>
      </c>
      <c r="AD5846">
        <v>-1.1212410274789999</v>
      </c>
      <c r="AE5846">
        <v>8.56876999999999</v>
      </c>
      <c r="AF5846">
        <v>-2.5175249821482302</v>
      </c>
      <c r="AG5846">
        <v>-1.1212410274789999</v>
      </c>
      <c r="AH5846">
        <v>8.1248510559215301</v>
      </c>
      <c r="AI5846">
        <v>97.509347898169395</v>
      </c>
      <c r="AJ5846">
        <v>107.215851609319</v>
      </c>
      <c r="AK5846">
        <v>8.5795290172801302</v>
      </c>
      <c r="AL5846">
        <v>89.194293395262207</v>
      </c>
      <c r="AM5846">
        <v>105.28100441748001</v>
      </c>
      <c r="AN5846">
        <v>1.0000000282328101</v>
      </c>
    </row>
    <row r="5847" spans="1:40" x14ac:dyDescent="0.25">
      <c r="A5847" t="str">
        <f>"20190312151430826"</f>
        <v>20190312151430826</v>
      </c>
      <c r="B5847" t="str">
        <f>"1552374870816414"</f>
        <v>1552374870816414</v>
      </c>
      <c r="C5847" t="s">
        <v>40</v>
      </c>
      <c r="D5847">
        <v>5.0421849999999999</v>
      </c>
      <c r="E5847">
        <v>0.48847049999999997</v>
      </c>
      <c r="F5847" t="s">
        <v>42</v>
      </c>
      <c r="G5847">
        <v>-187.56389999999999</v>
      </c>
      <c r="H5847" s="1">
        <v>-2.0831520000000002E-6</v>
      </c>
      <c r="I5847">
        <v>-36.518630000000002</v>
      </c>
      <c r="J5847">
        <v>-188.59979999999999</v>
      </c>
      <c r="K5847">
        <v>1.121229</v>
      </c>
      <c r="L5847">
        <v>-44.87921</v>
      </c>
      <c r="M5847">
        <v>0.41053630000000002</v>
      </c>
      <c r="N5847">
        <v>0</v>
      </c>
      <c r="O5847">
        <v>0.9117362</v>
      </c>
      <c r="P5847">
        <v>0.1567878</v>
      </c>
      <c r="Q5847">
        <v>7.7880359999999999E-3</v>
      </c>
      <c r="R5847">
        <v>0.98760159999999997</v>
      </c>
      <c r="S5847">
        <v>0.40397640000000001</v>
      </c>
      <c r="T5847">
        <v>-0.38393450000000001</v>
      </c>
      <c r="U5847">
        <v>2.977814</v>
      </c>
      <c r="V5847">
        <v>-0.26302340000000002</v>
      </c>
      <c r="W5847">
        <v>1.386151E-2</v>
      </c>
      <c r="X5847">
        <v>0.96468989999999999</v>
      </c>
      <c r="Y5847">
        <v>-0.28506239999999999</v>
      </c>
      <c r="Z5847">
        <v>-0.10803649999999999</v>
      </c>
      <c r="AA5847">
        <v>0.95240089999999999</v>
      </c>
      <c r="AB5847">
        <v>34</v>
      </c>
      <c r="AC5847">
        <v>1.0358999999999901</v>
      </c>
      <c r="AD5847">
        <v>-1.121231083152</v>
      </c>
      <c r="AE5847">
        <v>8.3605799999999899</v>
      </c>
      <c r="AF5847">
        <v>-2.4447936982738598</v>
      </c>
      <c r="AG5847">
        <v>-1.121231083152</v>
      </c>
      <c r="AH5847">
        <v>7.9086227729605802</v>
      </c>
      <c r="AI5847">
        <v>97.713713268523506</v>
      </c>
      <c r="AJ5847">
        <v>107.177955560328</v>
      </c>
      <c r="AK5847">
        <v>8.3534717054609402</v>
      </c>
      <c r="AL5847">
        <v>89.205768565079396</v>
      </c>
      <c r="AM5847">
        <v>105.25103636350001</v>
      </c>
      <c r="AN5847">
        <v>1.0000000267845199</v>
      </c>
    </row>
    <row r="5848" spans="1:40" x14ac:dyDescent="0.25">
      <c r="A5848" t="str">
        <f>"20190312151430848"</f>
        <v>20190312151430848</v>
      </c>
      <c r="B5848" t="str">
        <f>"1552374870835935"</f>
        <v>1552374870835935</v>
      </c>
      <c r="C5848" t="s">
        <v>40</v>
      </c>
      <c r="D5848">
        <v>5.0405850000000001</v>
      </c>
      <c r="E5848">
        <v>0.48931479999999999</v>
      </c>
      <c r="F5848" t="s">
        <v>42</v>
      </c>
      <c r="G5848">
        <v>-187.5249</v>
      </c>
      <c r="H5848" s="1">
        <v>-2.213105E-6</v>
      </c>
      <c r="I5848">
        <v>-36.231830000000002</v>
      </c>
      <c r="J5848">
        <v>-188.47329999999999</v>
      </c>
      <c r="K5848">
        <v>1.1212200000000001</v>
      </c>
      <c r="L5848">
        <v>-44.571840000000002</v>
      </c>
      <c r="M5848">
        <v>0.39920749999999999</v>
      </c>
      <c r="N5848">
        <v>0</v>
      </c>
      <c r="O5848">
        <v>0.91675320000000005</v>
      </c>
      <c r="P5848">
        <v>0.1448102</v>
      </c>
      <c r="Q5848">
        <v>8.0301439999999995E-3</v>
      </c>
      <c r="R5848">
        <v>0.9894269</v>
      </c>
      <c r="S5848">
        <v>0.37066650000000001</v>
      </c>
      <c r="T5848">
        <v>-0.38663409999999998</v>
      </c>
      <c r="U5848">
        <v>2.9818730000000002</v>
      </c>
      <c r="V5848">
        <v>-0.26276389999999999</v>
      </c>
      <c r="W5848">
        <v>1.41166E-2</v>
      </c>
      <c r="X5848">
        <v>0.96475690000000003</v>
      </c>
      <c r="Y5848">
        <v>-0.2838388</v>
      </c>
      <c r="Z5848">
        <v>-0.1096748</v>
      </c>
      <c r="AA5848">
        <v>0.95257910000000001</v>
      </c>
      <c r="AB5848">
        <v>34</v>
      </c>
      <c r="AC5848">
        <v>0.94839999999999203</v>
      </c>
      <c r="AD5848">
        <v>-1.121222213105</v>
      </c>
      <c r="AE5848">
        <v>8.3400099999999995</v>
      </c>
      <c r="AF5848">
        <v>-2.4170602444443499</v>
      </c>
      <c r="AG5848">
        <v>-1.121222213105</v>
      </c>
      <c r="AH5848">
        <v>7.8844466121296204</v>
      </c>
      <c r="AI5848">
        <v>97.742544064517205</v>
      </c>
      <c r="AJ5848">
        <v>107.04347311012501</v>
      </c>
      <c r="AK5848">
        <v>8.3224886816357895</v>
      </c>
      <c r="AL5848">
        <v>89.191151541821995</v>
      </c>
      <c r="AM5848">
        <v>105.235680404601</v>
      </c>
      <c r="AN5848">
        <v>1.0000000108181899</v>
      </c>
    </row>
    <row r="5849" spans="1:40" x14ac:dyDescent="0.25">
      <c r="A5849" t="str">
        <f>"20190312151430870"</f>
        <v>20190312151430870</v>
      </c>
      <c r="B5849" t="str">
        <f>"1552374870866190"</f>
        <v>1552374870866190</v>
      </c>
      <c r="C5849" t="s">
        <v>40</v>
      </c>
      <c r="D5849">
        <v>5.0474680000000003</v>
      </c>
      <c r="E5849">
        <v>0.48884660000000002</v>
      </c>
      <c r="F5849" t="s">
        <v>42</v>
      </c>
      <c r="G5849">
        <v>-187.48840000000001</v>
      </c>
      <c r="H5849" s="1">
        <v>-2.3346999999999999E-6</v>
      </c>
      <c r="I5849">
        <v>-35.96349</v>
      </c>
      <c r="J5849">
        <v>-188.3511</v>
      </c>
      <c r="K5849">
        <v>1.1212089999999999</v>
      </c>
      <c r="L5849">
        <v>-44.264069999999997</v>
      </c>
      <c r="M5849">
        <v>0.38785770000000003</v>
      </c>
      <c r="N5849">
        <v>0</v>
      </c>
      <c r="O5849">
        <v>0.9216124</v>
      </c>
      <c r="P5849">
        <v>0.13265650000000001</v>
      </c>
      <c r="Q5849">
        <v>7.45789E-3</v>
      </c>
      <c r="R5849">
        <v>0.99113399999999996</v>
      </c>
      <c r="S5849">
        <v>0.34156799999999998</v>
      </c>
      <c r="T5849">
        <v>-0.38882100000000003</v>
      </c>
      <c r="U5849">
        <v>2.9852289999999999</v>
      </c>
      <c r="V5849">
        <v>-0.2626772</v>
      </c>
      <c r="W5849">
        <v>1.35516E-2</v>
      </c>
      <c r="X5849">
        <v>0.9647886</v>
      </c>
      <c r="Y5849">
        <v>-0.28130090000000002</v>
      </c>
      <c r="Z5849">
        <v>-0.1111885</v>
      </c>
      <c r="AA5849">
        <v>0.95315629999999996</v>
      </c>
      <c r="AB5849">
        <v>34</v>
      </c>
      <c r="AC5849">
        <v>0.86269999999998903</v>
      </c>
      <c r="AD5849">
        <v>-1.1212113346999999</v>
      </c>
      <c r="AE5849">
        <v>8.3005800000000001</v>
      </c>
      <c r="AF5849">
        <v>-2.3816180023284401</v>
      </c>
      <c r="AG5849">
        <v>-1.1212113346999999</v>
      </c>
      <c r="AH5849">
        <v>7.8437247834909396</v>
      </c>
      <c r="AI5849">
        <v>97.788457065148805</v>
      </c>
      <c r="AJ5849">
        <v>106.89005003885001</v>
      </c>
      <c r="AK5849">
        <v>8.2736471791601502</v>
      </c>
      <c r="AL5849">
        <v>89.223526747078495</v>
      </c>
      <c r="AM5849">
        <v>105.230409671253</v>
      </c>
      <c r="AN5849">
        <v>0.99999999997617905</v>
      </c>
    </row>
    <row r="5850" spans="1:40" x14ac:dyDescent="0.25">
      <c r="A5850" t="str">
        <f>"20190312151430902"</f>
        <v>20190312151430902</v>
      </c>
      <c r="B5850" t="str">
        <f>"1552374870896446"</f>
        <v>1552374870896446</v>
      </c>
      <c r="C5850" t="s">
        <v>40</v>
      </c>
      <c r="D5850">
        <v>5.3321120000000004</v>
      </c>
      <c r="E5850">
        <v>0.48830479999999998</v>
      </c>
      <c r="F5850" t="s">
        <v>42</v>
      </c>
      <c r="G5850">
        <v>-187.4881</v>
      </c>
      <c r="H5850" s="1">
        <v>-2.448164E-6</v>
      </c>
      <c r="I5850">
        <v>-35.699120000000001</v>
      </c>
      <c r="J5850">
        <v>-188.17679999999999</v>
      </c>
      <c r="K5850">
        <v>1.121184</v>
      </c>
      <c r="L5850">
        <v>-43.805390000000003</v>
      </c>
      <c r="M5850">
        <v>0.37092649999999999</v>
      </c>
      <c r="N5850">
        <v>0</v>
      </c>
      <c r="O5850">
        <v>0.92855620000000005</v>
      </c>
      <c r="P5850">
        <v>0.11480020000000001</v>
      </c>
      <c r="Q5850">
        <v>6.7943600000000002E-3</v>
      </c>
      <c r="R5850">
        <v>0.99336530000000001</v>
      </c>
      <c r="S5850">
        <v>0.30120849999999999</v>
      </c>
      <c r="T5850">
        <v>-0.39134239999999998</v>
      </c>
      <c r="U5850">
        <v>2.989471</v>
      </c>
      <c r="V5850">
        <v>-0.26236379999999998</v>
      </c>
      <c r="W5850">
        <v>1.2903629999999999E-2</v>
      </c>
      <c r="X5850">
        <v>0.96488269999999998</v>
      </c>
      <c r="Y5850">
        <v>-0.27662900000000001</v>
      </c>
      <c r="Z5850">
        <v>-0.11322699999999999</v>
      </c>
      <c r="AA5850">
        <v>0.95428299999999999</v>
      </c>
      <c r="AB5850">
        <v>34</v>
      </c>
      <c r="AC5850">
        <v>0.68869999999998199</v>
      </c>
      <c r="AD5850">
        <v>-1.1211864481639999</v>
      </c>
      <c r="AE5850">
        <v>8.1062700000000003</v>
      </c>
      <c r="AF5850">
        <v>-2.3234381164767499</v>
      </c>
      <c r="AG5850">
        <v>-1.1211864481639999</v>
      </c>
      <c r="AH5850">
        <v>7.6382780705848496</v>
      </c>
      <c r="AI5850">
        <v>97.993886478629705</v>
      </c>
      <c r="AJ5850">
        <v>106.918895370629</v>
      </c>
      <c r="AK5850">
        <v>8.0621780938044907</v>
      </c>
      <c r="AL5850">
        <v>89.260655902448704</v>
      </c>
      <c r="AM5850">
        <v>105.211665931705</v>
      </c>
      <c r="AN5850">
        <v>0.99999994598845099</v>
      </c>
    </row>
    <row r="5851" spans="1:40" x14ac:dyDescent="0.25">
      <c r="A5851" t="str">
        <f>"20190312151430925"</f>
        <v>20190312151430925</v>
      </c>
      <c r="B5851" t="str">
        <f>"1552374870915967"</f>
        <v>1552374870915967</v>
      </c>
      <c r="C5851" t="s">
        <v>40</v>
      </c>
      <c r="D5851">
        <v>4.9960389999999997</v>
      </c>
      <c r="E5851">
        <v>0.48466969999999998</v>
      </c>
      <c r="F5851" t="s">
        <v>42</v>
      </c>
      <c r="G5851">
        <v>-187.47559999999999</v>
      </c>
      <c r="H5851" s="1">
        <v>-2.680086E-6</v>
      </c>
      <c r="I5851">
        <v>-35.163670000000003</v>
      </c>
      <c r="J5851">
        <v>-188.05609999999999</v>
      </c>
      <c r="K5851">
        <v>1.12117</v>
      </c>
      <c r="L5851">
        <v>-43.472749999999998</v>
      </c>
      <c r="M5851">
        <v>0.35863800000000001</v>
      </c>
      <c r="N5851">
        <v>0</v>
      </c>
      <c r="O5851">
        <v>0.93337130000000001</v>
      </c>
      <c r="P5851">
        <v>0.10207670000000001</v>
      </c>
      <c r="Q5851">
        <v>6.3288260000000001E-3</v>
      </c>
      <c r="R5851">
        <v>0.99475639999999999</v>
      </c>
      <c r="S5851">
        <v>0.242981</v>
      </c>
      <c r="T5851">
        <v>-0.3885266</v>
      </c>
      <c r="U5851">
        <v>2.9946290000000002</v>
      </c>
      <c r="V5851">
        <v>-0.26196550000000002</v>
      </c>
      <c r="W5851">
        <v>1.245544E-2</v>
      </c>
      <c r="X5851">
        <v>0.96499690000000005</v>
      </c>
      <c r="Y5851">
        <v>-0.28249930000000001</v>
      </c>
      <c r="Z5851">
        <v>-0.11312270000000001</v>
      </c>
      <c r="AA5851">
        <v>0.95257409999999998</v>
      </c>
      <c r="AB5851">
        <v>34</v>
      </c>
      <c r="AC5851">
        <v>0.58050000000000002</v>
      </c>
      <c r="AD5851">
        <v>-1.121172680086</v>
      </c>
      <c r="AE5851">
        <v>8.3090799999999891</v>
      </c>
      <c r="AF5851">
        <v>-2.3949761366973399</v>
      </c>
      <c r="AG5851">
        <v>-1.121172680086</v>
      </c>
      <c r="AH5851">
        <v>7.8226936756923404</v>
      </c>
      <c r="AI5851">
        <v>97.803443813839706</v>
      </c>
      <c r="AJ5851">
        <v>107.022360441842</v>
      </c>
      <c r="AK5851">
        <v>8.25757078187271</v>
      </c>
      <c r="AL5851">
        <v>89.286337430414505</v>
      </c>
      <c r="AM5851">
        <v>105.18792591946099</v>
      </c>
      <c r="AN5851">
        <v>1.00000003909272</v>
      </c>
    </row>
    <row r="5852" spans="1:40" x14ac:dyDescent="0.25">
      <c r="A5852" t="str">
        <f>"20190312151430948"</f>
        <v>20190312151430948</v>
      </c>
      <c r="B5852" t="str">
        <f>"1552374870936463"</f>
        <v>1552374870936463</v>
      </c>
      <c r="C5852" t="s">
        <v>40</v>
      </c>
      <c r="D5852">
        <v>5.1555070000000001</v>
      </c>
      <c r="E5852">
        <v>0.48603659999999999</v>
      </c>
      <c r="F5852" t="s">
        <v>42</v>
      </c>
      <c r="G5852">
        <v>-187.3785</v>
      </c>
      <c r="H5852" s="1">
        <v>-4.0379900000000003E-6</v>
      </c>
      <c r="I5852">
        <v>-32.038499999999999</v>
      </c>
      <c r="J5852">
        <v>-187.94659999999999</v>
      </c>
      <c r="K5852">
        <v>1.1211599999999999</v>
      </c>
      <c r="L5852">
        <v>-43.157260000000001</v>
      </c>
      <c r="M5852">
        <v>0.34697889999999998</v>
      </c>
      <c r="N5852">
        <v>0</v>
      </c>
      <c r="O5852">
        <v>0.93776800000000005</v>
      </c>
      <c r="P5852">
        <v>9.0242149999999993E-2</v>
      </c>
      <c r="Q5852">
        <v>6.0072190000000003E-3</v>
      </c>
      <c r="R5852">
        <v>0.99590179999999995</v>
      </c>
      <c r="S5852">
        <v>0.17774960000000001</v>
      </c>
      <c r="T5852">
        <v>-0.29410819999999999</v>
      </c>
      <c r="U5852">
        <v>2.9994510000000001</v>
      </c>
      <c r="V5852">
        <v>-0.2614051</v>
      </c>
      <c r="W5852">
        <v>1.2155539999999999E-2</v>
      </c>
      <c r="X5852">
        <v>0.96515269999999997</v>
      </c>
      <c r="Y5852">
        <v>-0.29112270000000001</v>
      </c>
      <c r="Z5852">
        <v>-8.6349490000000001E-2</v>
      </c>
      <c r="AA5852">
        <v>0.95278079999999998</v>
      </c>
      <c r="AB5852">
        <v>34</v>
      </c>
      <c r="AC5852">
        <v>0.56809999999998695</v>
      </c>
      <c r="AD5852">
        <v>-1.1211640379900001</v>
      </c>
      <c r="AE5852">
        <v>11.11876</v>
      </c>
      <c r="AF5852">
        <v>-3.29216954395587</v>
      </c>
      <c r="AG5852">
        <v>-1.1211640379900001</v>
      </c>
      <c r="AH5852">
        <v>10.5183124163659</v>
      </c>
      <c r="AI5852">
        <v>95.808447434212894</v>
      </c>
      <c r="AJ5852">
        <v>107.37981126774601</v>
      </c>
      <c r="AK5852">
        <v>11.078370150636299</v>
      </c>
      <c r="AL5852">
        <v>89.303521748987393</v>
      </c>
      <c r="AM5852">
        <v>105.15459773466</v>
      </c>
      <c r="AN5852">
        <v>1.00000005888799</v>
      </c>
    </row>
    <row r="5853" spans="1:40" x14ac:dyDescent="0.25">
      <c r="A5853" t="str">
        <f>"20190312151430969"</f>
        <v>20190312151430969</v>
      </c>
      <c r="B5853" t="str">
        <f>"1552374870965743"</f>
        <v>1552374870965743</v>
      </c>
      <c r="C5853" t="s">
        <v>40</v>
      </c>
      <c r="D5853">
        <v>5.2031460000000003</v>
      </c>
      <c r="E5853">
        <v>0.48970550000000002</v>
      </c>
      <c r="F5853" t="s">
        <v>42</v>
      </c>
      <c r="G5853">
        <v>-187.37540000000001</v>
      </c>
      <c r="H5853" s="1">
        <v>-4.0751670000000001E-6</v>
      </c>
      <c r="I5853">
        <v>-31.95316</v>
      </c>
      <c r="J5853">
        <v>-187.84370000000001</v>
      </c>
      <c r="K5853">
        <v>1.121149</v>
      </c>
      <c r="L5853">
        <v>-42.848480000000002</v>
      </c>
      <c r="M5853">
        <v>0.33556279999999999</v>
      </c>
      <c r="N5853">
        <v>0</v>
      </c>
      <c r="O5853">
        <v>0.94191340000000001</v>
      </c>
      <c r="P5853">
        <v>7.889794E-2</v>
      </c>
      <c r="Q5853">
        <v>5.8161940000000002E-3</v>
      </c>
      <c r="R5853">
        <v>0.99686569999999997</v>
      </c>
      <c r="S5853">
        <v>0.1529846</v>
      </c>
      <c r="T5853">
        <v>-0.30023240000000001</v>
      </c>
      <c r="U5853">
        <v>3.000305</v>
      </c>
      <c r="V5853">
        <v>-0.26066499999999998</v>
      </c>
      <c r="W5853">
        <v>1.199247E-2</v>
      </c>
      <c r="X5853">
        <v>0.96535490000000002</v>
      </c>
      <c r="Y5853">
        <v>-0.28736729999999999</v>
      </c>
      <c r="Z5853">
        <v>-8.8792289999999996E-2</v>
      </c>
      <c r="AA5853">
        <v>0.95369599999999999</v>
      </c>
      <c r="AB5853">
        <v>34</v>
      </c>
      <c r="AC5853">
        <v>0.46829999999999899</v>
      </c>
      <c r="AD5853">
        <v>-1.121153075167</v>
      </c>
      <c r="AE5853">
        <v>10.89532</v>
      </c>
      <c r="AF5853">
        <v>-3.1816543499851599</v>
      </c>
      <c r="AG5853">
        <v>-1.121153075167</v>
      </c>
      <c r="AH5853">
        <v>10.311629944924</v>
      </c>
      <c r="AI5853">
        <v>95.931404717577706</v>
      </c>
      <c r="AJ5853">
        <v>107.14761487808801</v>
      </c>
      <c r="AK5853">
        <v>10.8494064695627</v>
      </c>
      <c r="AL5853">
        <v>89.312865661509406</v>
      </c>
      <c r="AM5853">
        <v>105.11063597453401</v>
      </c>
      <c r="AN5853">
        <v>1.0000000722578499</v>
      </c>
    </row>
    <row r="5854" spans="1:40" x14ac:dyDescent="0.25">
      <c r="A5854" t="str">
        <f>"20190312151430994"</f>
        <v>20190312151430994</v>
      </c>
      <c r="B5854" t="str">
        <f>"1552374870986238"</f>
        <v>1552374870986238</v>
      </c>
      <c r="C5854" t="s">
        <v>40</v>
      </c>
      <c r="D5854">
        <v>5.0225569999999999</v>
      </c>
      <c r="E5854">
        <v>0.49051479999999997</v>
      </c>
      <c r="F5854" t="s">
        <v>42</v>
      </c>
      <c r="G5854">
        <v>-187.31319999999999</v>
      </c>
      <c r="H5854" s="1">
        <v>-4.0383610000000001E-6</v>
      </c>
      <c r="I5854">
        <v>-32.064639999999997</v>
      </c>
      <c r="J5854">
        <v>-187.73259999999999</v>
      </c>
      <c r="K5854">
        <v>1.1211469999999999</v>
      </c>
      <c r="L5854">
        <v>-42.500369999999997</v>
      </c>
      <c r="M5854">
        <v>0.322685099999999</v>
      </c>
      <c r="N5854">
        <v>0</v>
      </c>
      <c r="O5854">
        <v>0.94640250000000004</v>
      </c>
      <c r="P5854">
        <v>6.5762070000000006E-2</v>
      </c>
      <c r="Q5854">
        <v>6.0648200000000003E-3</v>
      </c>
      <c r="R5854">
        <v>0.99781690000000001</v>
      </c>
      <c r="S5854">
        <v>0.1475525</v>
      </c>
      <c r="T5854">
        <v>-0.31185380000000001</v>
      </c>
      <c r="U5854">
        <v>2.9995729999999998</v>
      </c>
      <c r="V5854">
        <v>-0.26021949999999999</v>
      </c>
      <c r="W5854">
        <v>1.225996E-2</v>
      </c>
      <c r="X5854">
        <v>0.96547169999999904</v>
      </c>
      <c r="Y5854">
        <v>-0.27601479999999901</v>
      </c>
      <c r="Z5854">
        <v>-9.3083979999999997E-2</v>
      </c>
      <c r="AA5854">
        <v>0.95663540000000002</v>
      </c>
      <c r="AB5854">
        <v>34</v>
      </c>
      <c r="AC5854">
        <v>0.419399999999996</v>
      </c>
      <c r="AD5854">
        <v>-1.1211510383609999</v>
      </c>
      <c r="AE5854">
        <v>10.43573</v>
      </c>
      <c r="AF5854">
        <v>-2.93698137378566</v>
      </c>
      <c r="AG5854">
        <v>-1.1211510383609999</v>
      </c>
      <c r="AH5854">
        <v>9.8986531445836192</v>
      </c>
      <c r="AI5854">
        <v>96.197138891440005</v>
      </c>
      <c r="AJ5854">
        <v>106.52589402552</v>
      </c>
      <c r="AK5854">
        <v>10.385864110297</v>
      </c>
      <c r="AL5854">
        <v>89.297538471341994</v>
      </c>
      <c r="AM5854">
        <v>105.084246743167</v>
      </c>
      <c r="AN5854">
        <v>1.0000000491501599</v>
      </c>
    </row>
    <row r="5855" spans="1:40" x14ac:dyDescent="0.25">
      <c r="A5855" t="str">
        <f>"20190312151431027"</f>
        <v>20190312151431027</v>
      </c>
      <c r="B5855" t="str">
        <f>"1552374871015827"</f>
        <v>1552374871015827</v>
      </c>
      <c r="C5855" t="s">
        <v>40</v>
      </c>
      <c r="D5855">
        <v>5.097035</v>
      </c>
      <c r="E5855">
        <v>0.49140070000000002</v>
      </c>
      <c r="F5855" t="s">
        <v>42</v>
      </c>
      <c r="G5855">
        <v>-187.32320000000001</v>
      </c>
      <c r="H5855" s="1">
        <v>-4.1569760000000004E-6</v>
      </c>
      <c r="I5855">
        <v>-31.784020000000002</v>
      </c>
      <c r="J5855">
        <v>-187.58850000000001</v>
      </c>
      <c r="K5855">
        <v>1.12114</v>
      </c>
      <c r="L5855">
        <v>-42.023769999999999</v>
      </c>
      <c r="M5855">
        <v>0.3050368</v>
      </c>
      <c r="N5855">
        <v>0</v>
      </c>
      <c r="O5855">
        <v>0.95223729999999995</v>
      </c>
      <c r="P5855">
        <v>4.8090510000000003E-2</v>
      </c>
      <c r="Q5855">
        <v>5.8639909999999998E-3</v>
      </c>
      <c r="R5855">
        <v>0.99882579999999999</v>
      </c>
      <c r="S5855">
        <v>0.11465450000000001</v>
      </c>
      <c r="T5855">
        <v>-0.31395790000000001</v>
      </c>
      <c r="U5855">
        <v>3.0009160000000001</v>
      </c>
      <c r="V5855">
        <v>-0.25935530000000001</v>
      </c>
      <c r="W5855">
        <v>1.209212E-2</v>
      </c>
      <c r="X5855">
        <v>0.96570630000000002</v>
      </c>
      <c r="Y5855">
        <v>-0.2686345</v>
      </c>
      <c r="Z5855">
        <v>-9.4695420000000002E-2</v>
      </c>
      <c r="AA5855">
        <v>0.95857610000000004</v>
      </c>
      <c r="AB5855">
        <v>34</v>
      </c>
      <c r="AC5855">
        <v>0.26529999999999598</v>
      </c>
      <c r="AD5855">
        <v>-1.1211441569759999</v>
      </c>
      <c r="AE5855">
        <v>10.2397499999999</v>
      </c>
      <c r="AF5855">
        <v>-2.8371654474225698</v>
      </c>
      <c r="AG5855">
        <v>-1.1211441569759999</v>
      </c>
      <c r="AH5855">
        <v>9.7161665215636308</v>
      </c>
      <c r="AI5855">
        <v>96.320540335655807</v>
      </c>
      <c r="AJ5855">
        <v>106.278047947519</v>
      </c>
      <c r="AK5855">
        <v>10.183828546844399</v>
      </c>
      <c r="AL5855">
        <v>89.307155690320002</v>
      </c>
      <c r="AM5855">
        <v>105.03293602536399</v>
      </c>
      <c r="AN5855">
        <v>1.00000002443193</v>
      </c>
    </row>
    <row r="5856" spans="1:40" x14ac:dyDescent="0.25">
      <c r="A5856" t="str">
        <f>"20190312151431049"</f>
        <v>20190312151431049</v>
      </c>
      <c r="B5856" t="str">
        <f>"1552374871046083"</f>
        <v>1552374871046083</v>
      </c>
      <c r="C5856" t="s">
        <v>40</v>
      </c>
      <c r="D5856">
        <v>5.0558969999999999</v>
      </c>
      <c r="E5856">
        <v>0.49312830000000002</v>
      </c>
      <c r="F5856" t="s">
        <v>42</v>
      </c>
      <c r="G5856">
        <v>-187.34039999999999</v>
      </c>
      <c r="H5856" s="1">
        <v>-4.4025260000000001E-6</v>
      </c>
      <c r="I5856">
        <v>-31.204540000000001</v>
      </c>
      <c r="J5856">
        <v>-187.4922</v>
      </c>
      <c r="K5856">
        <v>1.1211279999999999</v>
      </c>
      <c r="L5856">
        <v>-41.684600000000003</v>
      </c>
      <c r="M5856">
        <v>0.29247220000000002</v>
      </c>
      <c r="N5856">
        <v>0</v>
      </c>
      <c r="O5856">
        <v>0.95617129999999995</v>
      </c>
      <c r="P5856">
        <v>3.5703539999999999E-2</v>
      </c>
      <c r="Q5856">
        <v>5.2740540000000002E-3</v>
      </c>
      <c r="R5856">
        <v>0.99934849999999997</v>
      </c>
      <c r="S5856">
        <v>6.8847660000000005E-2</v>
      </c>
      <c r="T5856">
        <v>-0.311087</v>
      </c>
      <c r="U5856">
        <v>3.0020449999999999</v>
      </c>
      <c r="V5856">
        <v>-0.2585962</v>
      </c>
      <c r="W5856">
        <v>1.1530449999999999E-2</v>
      </c>
      <c r="X5856">
        <v>0.96591669999999996</v>
      </c>
      <c r="Y5856">
        <v>-0.27057639999999999</v>
      </c>
      <c r="Z5856">
        <v>-9.4396910000000001E-2</v>
      </c>
      <c r="AA5856">
        <v>0.95805929999999995</v>
      </c>
      <c r="AB5856">
        <v>34</v>
      </c>
      <c r="AC5856">
        <v>0.15180000000000801</v>
      </c>
      <c r="AD5856">
        <v>-1.1211324025259899</v>
      </c>
      <c r="AE5856">
        <v>10.48006</v>
      </c>
      <c r="AF5856">
        <v>-2.88723108651772</v>
      </c>
      <c r="AG5856">
        <v>-1.1211324025259899</v>
      </c>
      <c r="AH5856">
        <v>9.9522468729969997</v>
      </c>
      <c r="AI5856">
        <v>96.174832208319202</v>
      </c>
      <c r="AJ5856">
        <v>106.177891455756</v>
      </c>
      <c r="AK5856">
        <v>10.423063802549899</v>
      </c>
      <c r="AL5856">
        <v>89.339339244985098</v>
      </c>
      <c r="AM5856">
        <v>104.987801503052</v>
      </c>
      <c r="AN5856">
        <v>1.0000000086352601</v>
      </c>
    </row>
    <row r="5857" spans="1:40" x14ac:dyDescent="0.25">
      <c r="A5857" t="str">
        <f>"20190312151431069"</f>
        <v>20190312151431069</v>
      </c>
      <c r="B5857" t="str">
        <f>"1552374871066579"</f>
        <v>1552374871066579</v>
      </c>
      <c r="C5857" t="s">
        <v>40</v>
      </c>
      <c r="D5857">
        <v>5.040934</v>
      </c>
      <c r="E5857">
        <v>0.49440269999999997</v>
      </c>
      <c r="F5857" t="s">
        <v>42</v>
      </c>
      <c r="G5857">
        <v>-187.33090000000001</v>
      </c>
      <c r="H5857" s="1">
        <v>-4.4788019999999998E-6</v>
      </c>
      <c r="I5857">
        <v>-31.030629999999999</v>
      </c>
      <c r="J5857">
        <v>-187.41560000000001</v>
      </c>
      <c r="K5857">
        <v>1.121124</v>
      </c>
      <c r="L5857">
        <v>-41.40231</v>
      </c>
      <c r="M5857">
        <v>0.28200920000000002</v>
      </c>
      <c r="N5857">
        <v>0</v>
      </c>
      <c r="O5857">
        <v>0.95930930000000003</v>
      </c>
      <c r="P5857">
        <v>2.5804400000000002E-2</v>
      </c>
      <c r="Q5857">
        <v>5.3740690000000004E-3</v>
      </c>
      <c r="R5857">
        <v>0.9996526</v>
      </c>
      <c r="S5857">
        <v>4.5440670000000002E-2</v>
      </c>
      <c r="T5857">
        <v>-0.31590289999999999</v>
      </c>
      <c r="U5857">
        <v>3.0019840000000002</v>
      </c>
      <c r="V5857">
        <v>-0.25761279999999998</v>
      </c>
      <c r="W5857">
        <v>1.1664900000000001E-2</v>
      </c>
      <c r="X5857">
        <v>0.96617779999999998</v>
      </c>
      <c r="Y5857">
        <v>-0.2675284</v>
      </c>
      <c r="Z5857">
        <v>-9.6384549999999999E-2</v>
      </c>
      <c r="AA5857">
        <v>0.95871719999999905</v>
      </c>
      <c r="AB5857">
        <v>34</v>
      </c>
      <c r="AC5857">
        <v>8.4699999999997999E-2</v>
      </c>
      <c r="AD5857">
        <v>-1.121128478802</v>
      </c>
      <c r="AE5857">
        <v>10.37168</v>
      </c>
      <c r="AF5857">
        <v>-2.8110908967985102</v>
      </c>
      <c r="AG5857">
        <v>-1.121128478802</v>
      </c>
      <c r="AH5857">
        <v>9.8593209993300999</v>
      </c>
      <c r="AI5857">
        <v>96.240752594848303</v>
      </c>
      <c r="AJ5857">
        <v>105.913917666008</v>
      </c>
      <c r="AK5857">
        <v>10.313358893390401</v>
      </c>
      <c r="AL5857">
        <v>89.331635292168102</v>
      </c>
      <c r="AM5857">
        <v>104.929500812602</v>
      </c>
      <c r="AN5857">
        <v>0.999999982914344</v>
      </c>
    </row>
    <row r="5858" spans="1:40" x14ac:dyDescent="0.25">
      <c r="A5858" t="str">
        <f>"20190312151431092"</f>
        <v>20190312151431092</v>
      </c>
      <c r="B5858" t="str">
        <f>"1552374871086099"</f>
        <v>1552374871086099</v>
      </c>
      <c r="C5858" t="s">
        <v>40</v>
      </c>
      <c r="D5858">
        <v>5.0265559999999896</v>
      </c>
      <c r="E5858">
        <v>0.495666</v>
      </c>
      <c r="F5858" t="s">
        <v>42</v>
      </c>
      <c r="G5858">
        <v>-187.32329999999999</v>
      </c>
      <c r="H5858" s="1">
        <v>-4.6242989999999997E-6</v>
      </c>
      <c r="I5858">
        <v>-30.69464</v>
      </c>
      <c r="J5858">
        <v>-187.32830000000001</v>
      </c>
      <c r="K5858">
        <v>1.1211169999999999</v>
      </c>
      <c r="L5858">
        <v>-41.064360000000001</v>
      </c>
      <c r="M5858">
        <v>0.26947589999999999</v>
      </c>
      <c r="N5858">
        <v>0</v>
      </c>
      <c r="O5858">
        <v>0.96290520000000002</v>
      </c>
      <c r="P5858">
        <v>1.42556E-2</v>
      </c>
      <c r="Q5858">
        <v>5.5698090000000002E-3</v>
      </c>
      <c r="R5858">
        <v>0.99988290000000002</v>
      </c>
      <c r="S5858">
        <v>2.5878910000000001E-2</v>
      </c>
      <c r="T5858">
        <v>-0.31432719999999997</v>
      </c>
      <c r="U5858">
        <v>3.002075</v>
      </c>
      <c r="V5858">
        <v>-0.25617990000000002</v>
      </c>
      <c r="W5858">
        <v>1.1910459999999999E-2</v>
      </c>
      <c r="X5858">
        <v>0.96655579999999996</v>
      </c>
      <c r="Y5858">
        <v>-0.26120719999999997</v>
      </c>
      <c r="Z5858">
        <v>-9.6558060000000001E-2</v>
      </c>
      <c r="AA5858">
        <v>0.96044119999999999</v>
      </c>
      <c r="AB5858">
        <v>34</v>
      </c>
      <c r="AC5858">
        <v>5.0000000000238699E-3</v>
      </c>
      <c r="AD5858">
        <v>-1.1211216242990001</v>
      </c>
      <c r="AE5858">
        <v>10.3697199999999</v>
      </c>
      <c r="AF5858">
        <v>-2.7576156425479099</v>
      </c>
      <c r="AG5858">
        <v>-1.1211216242990001</v>
      </c>
      <c r="AH5858">
        <v>9.8719929601748895</v>
      </c>
      <c r="AI5858">
        <v>96.242121691367302</v>
      </c>
      <c r="AJ5858">
        <v>105.607029747163</v>
      </c>
      <c r="AK5858">
        <v>10.3110427568815</v>
      </c>
      <c r="AL5858">
        <v>89.317564813507204</v>
      </c>
      <c r="AM5858">
        <v>104.844587307759</v>
      </c>
      <c r="AN5858">
        <v>1.0000000573675201</v>
      </c>
    </row>
    <row r="5859" spans="1:40" x14ac:dyDescent="0.25">
      <c r="A5859" t="str">
        <f>"20190312151431114"</f>
        <v>20190312151431114</v>
      </c>
      <c r="B5859" t="str">
        <f>"1552374871106594"</f>
        <v>1552374871106594</v>
      </c>
      <c r="C5859" t="s">
        <v>40</v>
      </c>
      <c r="D5859">
        <v>5.0090209999999997</v>
      </c>
      <c r="E5859">
        <v>0.49642140000000001</v>
      </c>
      <c r="F5859" t="s">
        <v>42</v>
      </c>
      <c r="G5859">
        <v>-187.32419999999999</v>
      </c>
      <c r="H5859" s="1">
        <v>-7.2282749999999905E-7</v>
      </c>
      <c r="I5859">
        <v>-30.319959999999998</v>
      </c>
      <c r="J5859">
        <v>-187.25069999999999</v>
      </c>
      <c r="K5859">
        <v>1.121105</v>
      </c>
      <c r="L5859">
        <v>-40.747860000000003</v>
      </c>
      <c r="M5859">
        <v>0.25773249999999998</v>
      </c>
      <c r="N5859">
        <v>0</v>
      </c>
      <c r="O5859">
        <v>0.96611469999999999</v>
      </c>
      <c r="P5859">
        <v>3.287969E-3</v>
      </c>
      <c r="Q5859">
        <v>5.6037709999999996E-3</v>
      </c>
      <c r="R5859">
        <v>0.9999789</v>
      </c>
      <c r="S5859">
        <v>1.12915E-3</v>
      </c>
      <c r="T5859">
        <v>-0.31324960000000002</v>
      </c>
      <c r="U5859">
        <v>3.002075</v>
      </c>
      <c r="V5859">
        <v>-0.25501390000000002</v>
      </c>
      <c r="W5859">
        <v>1.198484E-2</v>
      </c>
      <c r="X5859">
        <v>0.96686309999999998</v>
      </c>
      <c r="Y5859">
        <v>-0.2573722</v>
      </c>
      <c r="Z5859">
        <v>-9.6782060000000003E-2</v>
      </c>
      <c r="AA5859">
        <v>0.96145340000000001</v>
      </c>
      <c r="AB5859">
        <v>34</v>
      </c>
      <c r="AC5859">
        <v>-7.3499999999995597E-2</v>
      </c>
      <c r="AD5859">
        <v>-1.1211057228274901</v>
      </c>
      <c r="AE5859">
        <v>10.4278999999999</v>
      </c>
      <c r="AF5859">
        <v>-2.7273664770755501</v>
      </c>
      <c r="AG5859">
        <v>-1.1211057228274901</v>
      </c>
      <c r="AH5859">
        <v>9.9416867357828895</v>
      </c>
      <c r="AI5859">
        <v>96.2065309864402</v>
      </c>
      <c r="AJ5859">
        <v>105.34089660288301</v>
      </c>
      <c r="AK5859">
        <v>10.369789828847701</v>
      </c>
      <c r="AL5859">
        <v>89.313302803111895</v>
      </c>
      <c r="AM5859">
        <v>104.775494297398</v>
      </c>
      <c r="AN5859">
        <v>0.99999998986232197</v>
      </c>
    </row>
    <row r="5860" spans="1:40" x14ac:dyDescent="0.25">
      <c r="A5860" t="str">
        <f>"20190312151431136"</f>
        <v>20190312151431136</v>
      </c>
      <c r="B5860" t="str">
        <f>"1552374871126115"</f>
        <v>1552374871126115</v>
      </c>
      <c r="C5860" t="s">
        <v>40</v>
      </c>
      <c r="D5860">
        <v>4.9954769999999904</v>
      </c>
      <c r="E5860">
        <v>0.49742009999999998</v>
      </c>
      <c r="F5860" t="s">
        <v>42</v>
      </c>
      <c r="G5860">
        <v>-187.34229999999999</v>
      </c>
      <c r="H5860" s="1">
        <v>-8.3681700000000002E-7</v>
      </c>
      <c r="I5860">
        <v>-29.9709</v>
      </c>
      <c r="J5860">
        <v>-187.17449999999999</v>
      </c>
      <c r="K5860">
        <v>1.121094</v>
      </c>
      <c r="L5860">
        <v>-40.419400000000003</v>
      </c>
      <c r="M5860">
        <v>0.2455389</v>
      </c>
      <c r="N5860">
        <v>0</v>
      </c>
      <c r="O5860">
        <v>0.96928550000000002</v>
      </c>
      <c r="P5860">
        <v>-8.1573619999999996E-3</v>
      </c>
      <c r="Q5860">
        <v>5.8568300000000004E-3</v>
      </c>
      <c r="R5860">
        <v>0.99994959999999999</v>
      </c>
      <c r="S5860">
        <v>-2.549744E-2</v>
      </c>
      <c r="T5860">
        <v>-0.31228089999999997</v>
      </c>
      <c r="U5860">
        <v>3.0018919999999998</v>
      </c>
      <c r="V5860">
        <v>-0.25390360000000001</v>
      </c>
      <c r="W5860">
        <v>1.2277120000000001E-2</v>
      </c>
      <c r="X5860">
        <v>0.9671516</v>
      </c>
      <c r="Y5860">
        <v>-0.25372430000000001</v>
      </c>
      <c r="Z5860">
        <v>-9.7029180000000007E-2</v>
      </c>
      <c r="AA5860">
        <v>0.96239770000000002</v>
      </c>
      <c r="AB5860">
        <v>34</v>
      </c>
      <c r="AC5860">
        <v>-0.16779999999999901</v>
      </c>
      <c r="AD5860">
        <v>-1.121094836817</v>
      </c>
      <c r="AE5860">
        <v>10.448499999999999</v>
      </c>
      <c r="AF5860">
        <v>-2.6973809646343199</v>
      </c>
      <c r="AG5860">
        <v>-1.121094836817</v>
      </c>
      <c r="AH5860">
        <v>9.9725863903116707</v>
      </c>
      <c r="AI5860">
        <v>96.193397568043196</v>
      </c>
      <c r="AJ5860">
        <v>105.13518283356601</v>
      </c>
      <c r="AK5860">
        <v>10.3915926119983</v>
      </c>
      <c r="AL5860">
        <v>89.296555161309001</v>
      </c>
      <c r="AM5860">
        <v>104.70976178669299</v>
      </c>
      <c r="AN5860">
        <v>0.99999999157550701</v>
      </c>
    </row>
    <row r="5861" spans="1:40" x14ac:dyDescent="0.25">
      <c r="A5861" t="str">
        <f>"20190312151431159"</f>
        <v>20190312151431159</v>
      </c>
      <c r="B5861" t="str">
        <f>"1552374871156371"</f>
        <v>1552374871156371</v>
      </c>
      <c r="C5861" t="s">
        <v>40</v>
      </c>
      <c r="D5861">
        <v>5.0471709999999996</v>
      </c>
      <c r="E5861">
        <v>0.49810019999999999</v>
      </c>
      <c r="F5861" t="s">
        <v>42</v>
      </c>
      <c r="G5861">
        <v>-187.3639</v>
      </c>
      <c r="H5861" s="1">
        <v>-1.0060340000000001E-6</v>
      </c>
      <c r="I5861">
        <v>-29.456700000000001</v>
      </c>
      <c r="J5861">
        <v>-187.10230000000001</v>
      </c>
      <c r="K5861">
        <v>1.121089</v>
      </c>
      <c r="L5861">
        <v>-40.089599999999997</v>
      </c>
      <c r="M5861">
        <v>0.2332882</v>
      </c>
      <c r="N5861">
        <v>0</v>
      </c>
      <c r="O5861">
        <v>0.97230669999999997</v>
      </c>
      <c r="P5861">
        <v>-1.9496739999999999E-2</v>
      </c>
      <c r="Q5861">
        <v>6.171859E-3</v>
      </c>
      <c r="R5861">
        <v>0.99979079999999998</v>
      </c>
      <c r="S5861">
        <v>-5.186462E-2</v>
      </c>
      <c r="T5861">
        <v>-0.30694949999999999</v>
      </c>
      <c r="U5861">
        <v>3.0015260000000001</v>
      </c>
      <c r="V5861">
        <v>-0.2526755</v>
      </c>
      <c r="W5861">
        <v>1.263424E-2</v>
      </c>
      <c r="X5861">
        <v>0.96746860000000001</v>
      </c>
      <c r="Y5861">
        <v>-0.2499749</v>
      </c>
      <c r="Z5861">
        <v>-9.5904299999999998E-2</v>
      </c>
      <c r="AA5861">
        <v>0.96349099999999999</v>
      </c>
      <c r="AB5861">
        <v>34</v>
      </c>
      <c r="AC5861">
        <v>-0.26159999999998701</v>
      </c>
      <c r="AD5861">
        <v>-1.1210900060340001</v>
      </c>
      <c r="AE5861">
        <v>10.6328999999999</v>
      </c>
      <c r="AF5861">
        <v>-2.7051002899435201</v>
      </c>
      <c r="AG5861">
        <v>-1.1210900060340001</v>
      </c>
      <c r="AH5861">
        <v>10.165481906154801</v>
      </c>
      <c r="AI5861">
        <v>96.083340958633201</v>
      </c>
      <c r="AJ5861">
        <v>104.901445874445</v>
      </c>
      <c r="AK5861">
        <v>10.5788200081409</v>
      </c>
      <c r="AL5861">
        <v>89.276092119723899</v>
      </c>
      <c r="AM5861">
        <v>104.63708532826099</v>
      </c>
      <c r="AN5861">
        <v>1.0000000121532899</v>
      </c>
    </row>
    <row r="5862" spans="1:40" x14ac:dyDescent="0.25">
      <c r="A5862" t="str">
        <f>"20190312151431181"</f>
        <v>20190312151431181</v>
      </c>
      <c r="B5862" t="str">
        <f>"1552374871175891"</f>
        <v>1552374871175891</v>
      </c>
      <c r="C5862" t="s">
        <v>40</v>
      </c>
      <c r="D5862">
        <v>4.1679000000000004</v>
      </c>
      <c r="E5862">
        <v>0.4977105</v>
      </c>
      <c r="F5862" t="s">
        <v>42</v>
      </c>
      <c r="G5862">
        <v>-187.4025</v>
      </c>
      <c r="H5862" s="1">
        <v>-1.18149E-6</v>
      </c>
      <c r="I5862">
        <v>-28.91094</v>
      </c>
      <c r="J5862">
        <v>-187.03380000000001</v>
      </c>
      <c r="K5862">
        <v>1.1210800000000001</v>
      </c>
      <c r="L5862">
        <v>-39.756619999999998</v>
      </c>
      <c r="M5862">
        <v>0.22091259999999999</v>
      </c>
      <c r="N5862">
        <v>0</v>
      </c>
      <c r="O5862">
        <v>0.97519299999999998</v>
      </c>
      <c r="P5862">
        <v>-3.0609770000000001E-2</v>
      </c>
      <c r="Q5862">
        <v>6.579611E-3</v>
      </c>
      <c r="R5862">
        <v>0.9995098</v>
      </c>
      <c r="S5862">
        <v>-8.0596920000000002E-2</v>
      </c>
      <c r="T5862">
        <v>-0.30095709999999998</v>
      </c>
      <c r="U5862">
        <v>3.0009160000000001</v>
      </c>
      <c r="V5862">
        <v>-0.25114579999999997</v>
      </c>
      <c r="W5862">
        <v>1.309388E-2</v>
      </c>
      <c r="X5862">
        <v>0.96786070000000002</v>
      </c>
      <c r="Y5862">
        <v>-0.24689849999999999</v>
      </c>
      <c r="Z5862">
        <v>-9.4529210000000002E-2</v>
      </c>
      <c r="AA5862">
        <v>0.96441969999999999</v>
      </c>
      <c r="AB5862">
        <v>34</v>
      </c>
      <c r="AC5862">
        <v>-0.36869999999998898</v>
      </c>
      <c r="AD5862">
        <v>-1.1210811814899999</v>
      </c>
      <c r="AE5862">
        <v>10.8456799999999</v>
      </c>
      <c r="AF5862">
        <v>-2.72667151274789</v>
      </c>
      <c r="AG5862">
        <v>-1.1210811814899999</v>
      </c>
      <c r="AH5862">
        <v>10.3853745905488</v>
      </c>
      <c r="AI5862">
        <v>95.960624337526298</v>
      </c>
      <c r="AJ5862">
        <v>104.71093966522299</v>
      </c>
      <c r="AK5862">
        <v>10.795719797213099</v>
      </c>
      <c r="AL5862">
        <v>89.249754498213804</v>
      </c>
      <c r="AM5862">
        <v>104.546599659355</v>
      </c>
      <c r="AN5862">
        <v>0.99999999857779198</v>
      </c>
    </row>
    <row r="5863" spans="1:40" x14ac:dyDescent="0.25">
      <c r="A5863" t="str">
        <f>"20190312151431204"</f>
        <v>20190312151431204</v>
      </c>
      <c r="B5863" t="str">
        <f>"1552374871196387"</f>
        <v>1552374871196387</v>
      </c>
      <c r="C5863" t="s">
        <v>40</v>
      </c>
      <c r="D5863">
        <v>5.2389049999999999</v>
      </c>
      <c r="E5863">
        <v>0.4976836</v>
      </c>
      <c r="F5863" t="s">
        <v>42</v>
      </c>
      <c r="G5863">
        <v>-187.4872</v>
      </c>
      <c r="H5863" s="1">
        <v>-1.42722E-6</v>
      </c>
      <c r="I5863">
        <v>-28.122669999999999</v>
      </c>
      <c r="J5863">
        <v>-186.971</v>
      </c>
      <c r="K5863">
        <v>1.1210719999999901</v>
      </c>
      <c r="L5863">
        <v>-39.430970000000002</v>
      </c>
      <c r="M5863">
        <v>0.2088034</v>
      </c>
      <c r="N5863">
        <v>0</v>
      </c>
      <c r="O5863">
        <v>0.97785739999999999</v>
      </c>
      <c r="P5863">
        <v>-4.1380220000000002E-2</v>
      </c>
      <c r="Q5863">
        <v>6.9639539999999996E-3</v>
      </c>
      <c r="R5863">
        <v>0.99911919999999999</v>
      </c>
      <c r="S5863">
        <v>-0.1169128</v>
      </c>
      <c r="T5863">
        <v>-0.289068099999999</v>
      </c>
      <c r="U5863">
        <v>2.9997859999999998</v>
      </c>
      <c r="V5863">
        <v>-0.2495851</v>
      </c>
      <c r="W5863">
        <v>1.3531100000000001E-2</v>
      </c>
      <c r="X5863">
        <v>0.96825830000000002</v>
      </c>
      <c r="Y5863">
        <v>-0.24656990000000001</v>
      </c>
      <c r="Z5863">
        <v>-9.1231129999999994E-2</v>
      </c>
      <c r="AA5863">
        <v>0.96482129999999999</v>
      </c>
      <c r="AB5863">
        <v>34</v>
      </c>
      <c r="AC5863">
        <v>-0.51620000000002597</v>
      </c>
      <c r="AD5863">
        <v>-1.12107342721999</v>
      </c>
      <c r="AE5863">
        <v>11.308299999999999</v>
      </c>
      <c r="AF5863">
        <v>-2.8384238938284398</v>
      </c>
      <c r="AG5863">
        <v>-1.12107342721999</v>
      </c>
      <c r="AH5863">
        <v>10.844830633266101</v>
      </c>
      <c r="AI5863">
        <v>95.710899219643807</v>
      </c>
      <c r="AJ5863">
        <v>104.667053875961</v>
      </c>
      <c r="AK5863">
        <v>11.266046657745701</v>
      </c>
      <c r="AL5863">
        <v>89.224701398248897</v>
      </c>
      <c r="AM5863">
        <v>104.45431437685799</v>
      </c>
      <c r="AN5863">
        <v>0.99999997416405395</v>
      </c>
    </row>
    <row r="5864" spans="1:40" x14ac:dyDescent="0.25">
      <c r="A5864" t="str">
        <f>"20190312151431230"</f>
        <v>20190312151431230</v>
      </c>
      <c r="B5864" t="str">
        <f>"1552374871226174"</f>
        <v>1552374871226174</v>
      </c>
      <c r="C5864" t="s">
        <v>40</v>
      </c>
      <c r="D5864">
        <v>4.9313229999999999</v>
      </c>
      <c r="E5864">
        <v>0.49798369999999997</v>
      </c>
      <c r="F5864" t="s">
        <v>42</v>
      </c>
      <c r="G5864">
        <v>-187.57429999999999</v>
      </c>
      <c r="H5864" s="1">
        <v>-1.7278809999999999E-6</v>
      </c>
      <c r="I5864">
        <v>-27.342479999999998</v>
      </c>
      <c r="J5864">
        <v>-186.90549999999999</v>
      </c>
      <c r="K5864">
        <v>1.121065</v>
      </c>
      <c r="L5864">
        <v>-39.06418</v>
      </c>
      <c r="M5864">
        <v>0.19515669999999999</v>
      </c>
      <c r="N5864">
        <v>0</v>
      </c>
      <c r="O5864">
        <v>0.98067210000000005</v>
      </c>
      <c r="P5864">
        <v>-5.3272439999999997E-2</v>
      </c>
      <c r="Q5864">
        <v>7.2272769999999998E-3</v>
      </c>
      <c r="R5864">
        <v>0.99855389999999999</v>
      </c>
      <c r="S5864">
        <v>-0.1496429</v>
      </c>
      <c r="T5864">
        <v>-0.27806700000000001</v>
      </c>
      <c r="U5864">
        <v>2.998383</v>
      </c>
      <c r="V5864">
        <v>-0.24762670000000001</v>
      </c>
      <c r="W5864">
        <v>1.385961E-2</v>
      </c>
      <c r="X5864">
        <v>0.96875639999999996</v>
      </c>
      <c r="Y5864">
        <v>-0.24360960000000001</v>
      </c>
      <c r="Z5864">
        <v>-8.823193E-2</v>
      </c>
      <c r="AA5864">
        <v>0.96585169999999998</v>
      </c>
      <c r="AB5864">
        <v>34</v>
      </c>
      <c r="AC5864">
        <v>-0.66880000000000395</v>
      </c>
      <c r="AD5864">
        <v>-1.121066727881</v>
      </c>
      <c r="AE5864">
        <v>11.7217</v>
      </c>
      <c r="AF5864">
        <v>-2.9171338041722401</v>
      </c>
      <c r="AG5864">
        <v>-1.121066727881</v>
      </c>
      <c r="AH5864">
        <v>11.263048265242601</v>
      </c>
      <c r="AI5864">
        <v>95.503775870770298</v>
      </c>
      <c r="AJ5864">
        <v>104.520555822326</v>
      </c>
      <c r="AK5864">
        <v>11.688572045591799</v>
      </c>
      <c r="AL5864">
        <v>89.2058774296991</v>
      </c>
      <c r="AM5864">
        <v>104.33852327951</v>
      </c>
      <c r="AN5864">
        <v>1.0000000169415999</v>
      </c>
    </row>
    <row r="5865" spans="1:40" x14ac:dyDescent="0.25">
      <c r="A5865" t="str">
        <f>"20190312151431262"</f>
        <v>20190312151431262</v>
      </c>
      <c r="B5865" t="str">
        <f>"1552374871256430"</f>
        <v>1552374871256430</v>
      </c>
      <c r="C5865" t="s">
        <v>40</v>
      </c>
      <c r="D5865">
        <v>4.9070720000000003</v>
      </c>
      <c r="E5865">
        <v>0.49864819999999999</v>
      </c>
      <c r="F5865" t="s">
        <v>42</v>
      </c>
      <c r="G5865">
        <v>-187.6644</v>
      </c>
      <c r="H5865" s="1">
        <v>-2.0254900000000001E-6</v>
      </c>
      <c r="I5865">
        <v>-26.611460000000001</v>
      </c>
      <c r="J5865">
        <v>-186.8262</v>
      </c>
      <c r="K5865">
        <v>1.121062</v>
      </c>
      <c r="L5865">
        <v>-38.574800000000003</v>
      </c>
      <c r="M5865">
        <v>0.1769366</v>
      </c>
      <c r="N5865">
        <v>0</v>
      </c>
      <c r="O5865">
        <v>0.98412279999999996</v>
      </c>
      <c r="P5865">
        <v>-6.7214079999999995E-2</v>
      </c>
      <c r="Q5865">
        <v>8.3619079999999995E-3</v>
      </c>
      <c r="R5865">
        <v>0.99770360000000002</v>
      </c>
      <c r="S5865">
        <v>-0.18261720000000001</v>
      </c>
      <c r="T5865">
        <v>-0.26976729999999999</v>
      </c>
      <c r="U5865">
        <v>2.9965519999999999</v>
      </c>
      <c r="V5865">
        <v>-0.24322009999999999</v>
      </c>
      <c r="W5865">
        <v>1.5138830000000001E-2</v>
      </c>
      <c r="X5865">
        <v>0.96985299999999997</v>
      </c>
      <c r="Y5865">
        <v>-0.23625579999999999</v>
      </c>
      <c r="Z5865">
        <v>-8.6190450000000002E-2</v>
      </c>
      <c r="AA5865">
        <v>0.96786079999999997</v>
      </c>
      <c r="AB5865">
        <v>34</v>
      </c>
      <c r="AC5865">
        <v>-0.83819999999999995</v>
      </c>
      <c r="AD5865">
        <v>-1.1210640254899999</v>
      </c>
      <c r="AE5865">
        <v>11.963340000000001</v>
      </c>
      <c r="AF5865">
        <v>-2.9164474709420398</v>
      </c>
      <c r="AG5865">
        <v>-1.1210640254899999</v>
      </c>
      <c r="AH5865">
        <v>11.5255114933536</v>
      </c>
      <c r="AI5865">
        <v>95.386832789009503</v>
      </c>
      <c r="AJ5865">
        <v>104.200208886325</v>
      </c>
      <c r="AK5865">
        <v>11.941518562705401</v>
      </c>
      <c r="AL5865">
        <v>89.132575817341603</v>
      </c>
      <c r="AM5865">
        <v>104.07831785329699</v>
      </c>
      <c r="AN5865">
        <v>1.00000002141338</v>
      </c>
    </row>
    <row r="5866" spans="1:40" x14ac:dyDescent="0.25">
      <c r="A5866" t="str">
        <f>"20190312151431282"</f>
        <v>20190312151431282</v>
      </c>
      <c r="B5866" t="str">
        <f>"1552374871275949"</f>
        <v>1552374871275949</v>
      </c>
      <c r="C5866" t="s">
        <v>40</v>
      </c>
      <c r="D5866">
        <v>4.7505169999999897</v>
      </c>
      <c r="E5866">
        <v>0.49896509999999999</v>
      </c>
      <c r="F5866" t="s">
        <v>42</v>
      </c>
      <c r="G5866">
        <v>-187.7681</v>
      </c>
      <c r="H5866" s="1">
        <v>-2.3960520000000002E-6</v>
      </c>
      <c r="I5866">
        <v>-25.704799999999999</v>
      </c>
      <c r="J5866">
        <v>-186.7816</v>
      </c>
      <c r="K5866">
        <v>1.1210599999999999</v>
      </c>
      <c r="L5866">
        <v>-38.270809999999997</v>
      </c>
      <c r="M5866">
        <v>0.1656128</v>
      </c>
      <c r="N5866">
        <v>0</v>
      </c>
      <c r="O5866">
        <v>0.98609159999999996</v>
      </c>
      <c r="P5866">
        <v>-7.6078999999999994E-2</v>
      </c>
      <c r="Q5866">
        <v>8.6343989999999992E-3</v>
      </c>
      <c r="R5866">
        <v>0.99706439999999996</v>
      </c>
      <c r="S5866">
        <v>-0.2191467</v>
      </c>
      <c r="T5866">
        <v>-0.2608259</v>
      </c>
      <c r="U5866">
        <v>2.9943240000000002</v>
      </c>
      <c r="V5866">
        <v>-0.24069850000000001</v>
      </c>
      <c r="W5866">
        <v>1.549355E-2</v>
      </c>
      <c r="X5866">
        <v>0.97047629999999996</v>
      </c>
      <c r="Y5866">
        <v>-0.236903</v>
      </c>
      <c r="Z5866">
        <v>-8.3631810000000001E-2</v>
      </c>
      <c r="AA5866">
        <v>0.96792699999999998</v>
      </c>
      <c r="AB5866">
        <v>34</v>
      </c>
      <c r="AC5866">
        <v>-0.98650000000000604</v>
      </c>
      <c r="AD5866">
        <v>-1.1210623960520001</v>
      </c>
      <c r="AE5866">
        <v>12.56601</v>
      </c>
      <c r="AF5866">
        <v>-3.03020043277788</v>
      </c>
      <c r="AG5866">
        <v>-1.1210623960520001</v>
      </c>
      <c r="AH5866">
        <v>12.133079840151</v>
      </c>
      <c r="AI5866">
        <v>95.122517298848805</v>
      </c>
      <c r="AJ5866">
        <v>104.022600150689</v>
      </c>
      <c r="AK5866">
        <v>12.5558959045592</v>
      </c>
      <c r="AL5866">
        <v>89.112249485153697</v>
      </c>
      <c r="AM5866">
        <v>103.92947529676501</v>
      </c>
      <c r="AN5866">
        <v>1.0000000334277701</v>
      </c>
    </row>
    <row r="5867" spans="1:40" x14ac:dyDescent="0.25">
      <c r="A5867" t="str">
        <f>"20190312151431305"</f>
        <v>20190312151431305</v>
      </c>
      <c r="B5867" t="str">
        <f>"1552374871296446"</f>
        <v>1552374871296446</v>
      </c>
      <c r="C5867" t="s">
        <v>40</v>
      </c>
      <c r="D5867">
        <v>4.6690719999999999</v>
      </c>
      <c r="E5867">
        <v>0.49920239999999999</v>
      </c>
      <c r="F5867" t="s">
        <v>42</v>
      </c>
      <c r="G5867">
        <v>-187.85509999999999</v>
      </c>
      <c r="H5867" s="1">
        <v>-2.6583500000000001E-6</v>
      </c>
      <c r="I5867">
        <v>-25.057410000000001</v>
      </c>
      <c r="J5867">
        <v>-186.73689999999999</v>
      </c>
      <c r="K5867">
        <v>1.1210639999999901</v>
      </c>
      <c r="L5867">
        <v>-37.939</v>
      </c>
      <c r="M5867">
        <v>0.15324649999999901</v>
      </c>
      <c r="N5867">
        <v>0</v>
      </c>
      <c r="O5867">
        <v>0.988089</v>
      </c>
      <c r="P5867">
        <v>-8.6384420000000003E-2</v>
      </c>
      <c r="Q5867">
        <v>9.0212939999999991E-3</v>
      </c>
      <c r="R5867">
        <v>0.99622100000000002</v>
      </c>
      <c r="S5867">
        <v>-0.24311830000000001</v>
      </c>
      <c r="T5867">
        <v>-0.2538917</v>
      </c>
      <c r="U5867">
        <v>2.9924930000000001</v>
      </c>
      <c r="V5867">
        <v>-0.23858470000000001</v>
      </c>
      <c r="W5867">
        <v>1.5950309999999999E-2</v>
      </c>
      <c r="X5867">
        <v>0.97099069999999998</v>
      </c>
      <c r="Y5867">
        <v>-0.2324958</v>
      </c>
      <c r="Z5867">
        <v>-8.1746719999999995E-2</v>
      </c>
      <c r="AA5867">
        <v>0.96915589999999996</v>
      </c>
      <c r="AB5867">
        <v>34</v>
      </c>
      <c r="AC5867">
        <v>-1.1182000000000001</v>
      </c>
      <c r="AD5867">
        <v>-1.12106665834999</v>
      </c>
      <c r="AE5867">
        <v>12.881589999999999</v>
      </c>
      <c r="AF5867">
        <v>-3.0562659629910498</v>
      </c>
      <c r="AG5867">
        <v>-1.12106665834999</v>
      </c>
      <c r="AH5867">
        <v>12.4643271505002</v>
      </c>
      <c r="AI5867">
        <v>94.992360705814406</v>
      </c>
      <c r="AJ5867">
        <v>103.777166588687</v>
      </c>
      <c r="AK5867">
        <v>12.8824300271221</v>
      </c>
      <c r="AL5867">
        <v>89.086075805011703</v>
      </c>
      <c r="AM5867">
        <v>103.80481413880599</v>
      </c>
      <c r="AN5867">
        <v>1.0000000054748299</v>
      </c>
    </row>
    <row r="5868" spans="1:40" x14ac:dyDescent="0.25">
      <c r="A5868" t="str">
        <f>"20190312151431328"</f>
        <v>20190312151431328</v>
      </c>
      <c r="B5868" t="str">
        <f>"1552374871315965"</f>
        <v>1552374871315965</v>
      </c>
      <c r="C5868" t="s">
        <v>40</v>
      </c>
      <c r="D5868">
        <v>4.8297790000000003</v>
      </c>
      <c r="E5868">
        <v>0.49914029999999998</v>
      </c>
      <c r="F5868" t="s">
        <v>42</v>
      </c>
      <c r="G5868">
        <v>-187.97450000000001</v>
      </c>
      <c r="H5868" s="1">
        <v>-2.9482220000000002E-6</v>
      </c>
      <c r="I5868">
        <v>-24.332360000000001</v>
      </c>
      <c r="J5868">
        <v>-186.6952</v>
      </c>
      <c r="K5868">
        <v>1.1210599999999999</v>
      </c>
      <c r="L5868">
        <v>-37.593989999999998</v>
      </c>
      <c r="M5868">
        <v>0.14038580000000001</v>
      </c>
      <c r="N5868">
        <v>0</v>
      </c>
      <c r="O5868">
        <v>0.98999800000000004</v>
      </c>
      <c r="P5868">
        <v>-9.6034289999999994E-2</v>
      </c>
      <c r="Q5868">
        <v>9.8762220000000005E-3</v>
      </c>
      <c r="R5868">
        <v>0.99532900000000002</v>
      </c>
      <c r="S5868">
        <v>-0.27195740000000002</v>
      </c>
      <c r="T5868">
        <v>-0.2463514</v>
      </c>
      <c r="U5868">
        <v>2.990021</v>
      </c>
      <c r="V5868">
        <v>-0.23539009999999999</v>
      </c>
      <c r="W5868">
        <v>1.6909099999999899E-2</v>
      </c>
      <c r="X5868">
        <v>0.97175389999999995</v>
      </c>
      <c r="Y5868">
        <v>-0.22920950000000001</v>
      </c>
      <c r="Z5868">
        <v>-7.9634549999999998E-2</v>
      </c>
      <c r="AA5868">
        <v>0.97011409999999998</v>
      </c>
      <c r="AB5868">
        <v>34</v>
      </c>
      <c r="AC5868">
        <v>-1.2793000000000001</v>
      </c>
      <c r="AD5868">
        <v>-1.121062948222</v>
      </c>
      <c r="AE5868">
        <v>13.26163</v>
      </c>
      <c r="AF5868">
        <v>-3.10656029610346</v>
      </c>
      <c r="AG5868">
        <v>-1.121062948222</v>
      </c>
      <c r="AH5868">
        <v>12.8596112885292</v>
      </c>
      <c r="AI5868">
        <v>94.843642619091398</v>
      </c>
      <c r="AJ5868">
        <v>103.58102753624701</v>
      </c>
      <c r="AK5868">
        <v>13.276938709629899</v>
      </c>
      <c r="AL5868">
        <v>89.031133790153405</v>
      </c>
      <c r="AM5868">
        <v>103.61660277476901</v>
      </c>
      <c r="AN5868">
        <v>1.00000002950301</v>
      </c>
    </row>
    <row r="5869" spans="1:40" x14ac:dyDescent="0.25">
      <c r="A5869" t="str">
        <f>"20190312151431350"</f>
        <v>20190312151431350</v>
      </c>
      <c r="B5869" t="str">
        <f>"1552374871346222"</f>
        <v>1552374871346222</v>
      </c>
      <c r="C5869" t="s">
        <v>40</v>
      </c>
      <c r="D5869">
        <v>5.0091769999999904</v>
      </c>
      <c r="E5869">
        <v>0.58342179999999999</v>
      </c>
      <c r="F5869" t="s">
        <v>42</v>
      </c>
      <c r="G5869">
        <v>-188.0898</v>
      </c>
      <c r="H5869" s="1">
        <v>-3.1740480000000001E-6</v>
      </c>
      <c r="I5869">
        <v>-23.75826</v>
      </c>
      <c r="J5869">
        <v>-186.66050000000001</v>
      </c>
      <c r="K5869">
        <v>1.121054</v>
      </c>
      <c r="L5869">
        <v>-37.273530000000001</v>
      </c>
      <c r="M5869">
        <v>0.12844330000000001</v>
      </c>
      <c r="N5869">
        <v>0</v>
      </c>
      <c r="O5869">
        <v>0.99161820000000001</v>
      </c>
      <c r="P5869">
        <v>-0.104390899999999</v>
      </c>
      <c r="Q5869">
        <v>1.0081909999999999E-2</v>
      </c>
      <c r="R5869">
        <v>0.99448530000000002</v>
      </c>
      <c r="S5869">
        <v>-0.30113220000000002</v>
      </c>
      <c r="T5869">
        <v>-0.242061</v>
      </c>
      <c r="U5869">
        <v>2.9874269999999998</v>
      </c>
      <c r="V5869">
        <v>-0.23184389999999999</v>
      </c>
      <c r="W5869">
        <v>1.723044E-2</v>
      </c>
      <c r="X5869">
        <v>0.97260040000000003</v>
      </c>
      <c r="Y5869">
        <v>-0.2269514</v>
      </c>
      <c r="Z5869">
        <v>-7.8505039999999998E-2</v>
      </c>
      <c r="AA5869">
        <v>0.97073690000000001</v>
      </c>
      <c r="AB5869">
        <v>34</v>
      </c>
      <c r="AC5869">
        <v>-1.42929999999998</v>
      </c>
      <c r="AD5869">
        <v>-1.121057174048</v>
      </c>
      <c r="AE5869">
        <v>13.515269999999999</v>
      </c>
      <c r="AF5869">
        <v>-3.1322618306373302</v>
      </c>
      <c r="AG5869">
        <v>-1.121057174048</v>
      </c>
      <c r="AH5869">
        <v>13.1303557527651</v>
      </c>
      <c r="AI5869">
        <v>94.747446715078596</v>
      </c>
      <c r="AJ5869">
        <v>103.417217166078</v>
      </c>
      <c r="AK5869">
        <v>13.545260261705</v>
      </c>
      <c r="AL5869">
        <v>89.012719662706402</v>
      </c>
      <c r="AM5869">
        <v>103.40768162767201</v>
      </c>
      <c r="AN5869">
        <v>1.00000001005498</v>
      </c>
    </row>
    <row r="5870" spans="1:40" x14ac:dyDescent="0.25">
      <c r="A5870" t="str">
        <f>"20190312151431373"</f>
        <v>20190312151431373</v>
      </c>
      <c r="B5870" t="str">
        <f>"1552374871365741"</f>
        <v>1552374871365741</v>
      </c>
      <c r="C5870" t="s">
        <v>40</v>
      </c>
      <c r="D5870">
        <v>4.6675740000000001</v>
      </c>
      <c r="E5870">
        <v>0.59549510000000005</v>
      </c>
      <c r="F5870" t="s">
        <v>41</v>
      </c>
      <c r="G5870">
        <v>-186.56010000000001</v>
      </c>
      <c r="H5870">
        <v>0.9633273</v>
      </c>
      <c r="I5870">
        <v>-36.35783</v>
      </c>
      <c r="J5870">
        <v>-186.62710000000001</v>
      </c>
      <c r="K5870">
        <v>1.1210359999999999</v>
      </c>
      <c r="L5870">
        <v>-36.923740000000002</v>
      </c>
      <c r="M5870">
        <v>0.11541120000000001</v>
      </c>
      <c r="N5870">
        <v>0</v>
      </c>
      <c r="O5870">
        <v>0.99321939999999997</v>
      </c>
      <c r="P5870">
        <v>-0.11322690000000001</v>
      </c>
      <c r="Q5870">
        <v>1.028709E-2</v>
      </c>
      <c r="R5870">
        <v>0.99351590000000001</v>
      </c>
      <c r="S5870">
        <v>0.3349915</v>
      </c>
      <c r="T5870">
        <v>-0.52683449999999998</v>
      </c>
      <c r="U5870">
        <v>3.0571290000000002</v>
      </c>
      <c r="V5870">
        <v>-0.2277217</v>
      </c>
      <c r="W5870">
        <v>1.7570369999999998E-2</v>
      </c>
      <c r="X5870">
        <v>0.97356770000000004</v>
      </c>
      <c r="Y5870">
        <v>-8.0907989999999992E-3</v>
      </c>
      <c r="Z5870">
        <v>-0.1676532</v>
      </c>
      <c r="AA5870">
        <v>0.98581280000000004</v>
      </c>
      <c r="AB5870">
        <v>34</v>
      </c>
      <c r="AC5870">
        <v>6.7000000000007207E-2</v>
      </c>
      <c r="AD5870">
        <v>-0.15770870000000001</v>
      </c>
      <c r="AE5870">
        <v>0.56591000000000202</v>
      </c>
      <c r="AF5870">
        <v>1.1457177947964501E-3</v>
      </c>
      <c r="AG5870">
        <v>-0.15770870000000001</v>
      </c>
      <c r="AH5870">
        <v>0.52932045643693104</v>
      </c>
      <c r="AI5870">
        <v>106.591157036827</v>
      </c>
      <c r="AJ5870">
        <v>89.875983082007096</v>
      </c>
      <c r="AK5870">
        <v>0.55231647841392195</v>
      </c>
      <c r="AL5870">
        <v>88.993240127557399</v>
      </c>
      <c r="AM5870">
        <v>103.16504483096899</v>
      </c>
      <c r="AN5870">
        <v>0.999999978518058</v>
      </c>
    </row>
    <row r="5871" spans="1:40" x14ac:dyDescent="0.25">
      <c r="A5871" t="str">
        <f>"20190312151431395"</f>
        <v>20190312151431395</v>
      </c>
      <c r="B5871" t="str">
        <f>"1552374871386237"</f>
        <v>1552374871386237</v>
      </c>
      <c r="C5871" t="s">
        <v>40</v>
      </c>
      <c r="D5871">
        <v>4.5567489999999999</v>
      </c>
      <c r="E5871">
        <v>0.60006150000000003</v>
      </c>
      <c r="F5871" t="s">
        <v>41</v>
      </c>
      <c r="G5871">
        <v>-186.51769999999999</v>
      </c>
      <c r="H5871">
        <v>0.92748120000000001</v>
      </c>
      <c r="I5871">
        <v>-36.079949999999997</v>
      </c>
      <c r="J5871">
        <v>-186.6003</v>
      </c>
      <c r="K5871">
        <v>1.121008</v>
      </c>
      <c r="L5871">
        <v>-36.601230000000001</v>
      </c>
      <c r="M5871">
        <v>0.10341</v>
      </c>
      <c r="N5871">
        <v>0</v>
      </c>
      <c r="O5871">
        <v>0.9945406</v>
      </c>
      <c r="P5871">
        <v>-0.1220231</v>
      </c>
      <c r="Q5871">
        <v>1.0669980000000001E-2</v>
      </c>
      <c r="R5871">
        <v>0.99246990000000002</v>
      </c>
      <c r="S5871">
        <v>0.39772030000000003</v>
      </c>
      <c r="T5871">
        <v>-0.70517839999999998</v>
      </c>
      <c r="U5871">
        <v>3.0722049999999999</v>
      </c>
      <c r="V5871">
        <v>-0.22459850000000001</v>
      </c>
      <c r="W5871">
        <v>1.805762E-2</v>
      </c>
      <c r="X5871">
        <v>0.97428409999999999</v>
      </c>
      <c r="Y5871">
        <v>2.1940500000000002E-2</v>
      </c>
      <c r="Z5871">
        <v>-0.221052</v>
      </c>
      <c r="AA5871">
        <v>0.97501519999999997</v>
      </c>
      <c r="AB5871">
        <v>34</v>
      </c>
      <c r="AC5871">
        <v>8.2600000000013496E-2</v>
      </c>
      <c r="AD5871">
        <v>-0.193526799999999</v>
      </c>
      <c r="AE5871">
        <v>0.52128000000000396</v>
      </c>
      <c r="AF5871">
        <v>2.4898562828549801E-2</v>
      </c>
      <c r="AG5871">
        <v>-0.193526799999999</v>
      </c>
      <c r="AH5871">
        <v>0.46456512250071702</v>
      </c>
      <c r="AI5871">
        <v>112.586296635593</v>
      </c>
      <c r="AJ5871">
        <v>86.932143830317997</v>
      </c>
      <c r="AK5871">
        <v>0.50387827279341302</v>
      </c>
      <c r="AL5871">
        <v>88.965318386580094</v>
      </c>
      <c r="AM5871">
        <v>102.981422795127</v>
      </c>
      <c r="AN5871">
        <v>1.00000003567756</v>
      </c>
    </row>
    <row r="5872" spans="1:40" x14ac:dyDescent="0.25">
      <c r="A5872" t="str">
        <f>"20190312151431417"</f>
        <v>20190312151431417</v>
      </c>
      <c r="B5872" t="str">
        <f>"1552374871405757"</f>
        <v>1552374871405757</v>
      </c>
      <c r="C5872" t="s">
        <v>40</v>
      </c>
      <c r="D5872">
        <v>4.6349910000000003</v>
      </c>
      <c r="E5872">
        <v>0.60315730000000001</v>
      </c>
      <c r="F5872" t="s">
        <v>41</v>
      </c>
      <c r="G5872">
        <v>-186.49359999999999</v>
      </c>
      <c r="H5872">
        <v>0.91328799999999999</v>
      </c>
      <c r="I5872">
        <v>-35.788989999999998</v>
      </c>
      <c r="J5872">
        <v>-186.577</v>
      </c>
      <c r="K5872">
        <v>1.120978</v>
      </c>
      <c r="L5872">
        <v>-36.27411</v>
      </c>
      <c r="M5872">
        <v>9.1265280000000004E-2</v>
      </c>
      <c r="N5872">
        <v>0</v>
      </c>
      <c r="O5872">
        <v>0.99572859999999996</v>
      </c>
      <c r="P5872">
        <v>-0.13146729999999901</v>
      </c>
      <c r="Q5872">
        <v>1.0773949999999999E-2</v>
      </c>
      <c r="R5872">
        <v>0.99126199999999998</v>
      </c>
      <c r="S5872">
        <v>0.40454099999999998</v>
      </c>
      <c r="T5872">
        <v>-0.78810999999999998</v>
      </c>
      <c r="U5872">
        <v>3.0809630000000001</v>
      </c>
      <c r="V5872">
        <v>-0.22198599999999999</v>
      </c>
      <c r="W5872">
        <v>1.825357E-2</v>
      </c>
      <c r="X5872">
        <v>0.97487900000000005</v>
      </c>
      <c r="Y5872">
        <v>3.5153299999999998E-2</v>
      </c>
      <c r="Z5872">
        <v>-0.24524570000000001</v>
      </c>
      <c r="AA5872">
        <v>0.9688234</v>
      </c>
      <c r="AB5872">
        <v>34</v>
      </c>
      <c r="AC5872">
        <v>8.3400000000011604E-2</v>
      </c>
      <c r="AD5872">
        <v>-0.20769000000000001</v>
      </c>
      <c r="AE5872">
        <v>0.485119999999994</v>
      </c>
      <c r="AF5872">
        <v>3.2913484514226501E-2</v>
      </c>
      <c r="AG5872">
        <v>-0.20769000000000001</v>
      </c>
      <c r="AH5872">
        <v>0.41655050243089398</v>
      </c>
      <c r="AI5872">
        <v>116.429481730166</v>
      </c>
      <c r="AJ5872">
        <v>85.482195203784798</v>
      </c>
      <c r="AK5872">
        <v>0.46661842509517198</v>
      </c>
      <c r="AL5872">
        <v>88.954089412604702</v>
      </c>
      <c r="AM5872">
        <v>102.82788057534</v>
      </c>
      <c r="AN5872">
        <v>1.0000000208273701</v>
      </c>
    </row>
    <row r="5873" spans="1:40" x14ac:dyDescent="0.25">
      <c r="A5873" t="str">
        <f>"20190312151431441"</f>
        <v>20190312151431441</v>
      </c>
      <c r="B5873" t="str">
        <f>"1552374871436014"</f>
        <v>1552374871436014</v>
      </c>
      <c r="C5873" t="s">
        <v>40</v>
      </c>
      <c r="D5873">
        <v>4.5020480000000003</v>
      </c>
      <c r="E5873">
        <v>0.60488809999999904</v>
      </c>
      <c r="F5873" t="s">
        <v>41</v>
      </c>
      <c r="G5873">
        <v>-186.47620000000001</v>
      </c>
      <c r="H5873">
        <v>0.90843859999999999</v>
      </c>
      <c r="I5873">
        <v>-35.492989999999999</v>
      </c>
      <c r="J5873">
        <v>-186.55590000000001</v>
      </c>
      <c r="K5873">
        <v>1.120919</v>
      </c>
      <c r="L5873">
        <v>-35.913820000000001</v>
      </c>
      <c r="M5873">
        <v>7.7943009999999993E-2</v>
      </c>
      <c r="N5873">
        <v>0</v>
      </c>
      <c r="O5873">
        <v>0.99686010000000003</v>
      </c>
      <c r="P5873">
        <v>-0.14244000000000001</v>
      </c>
      <c r="Q5873">
        <v>1.1115089999999999E-2</v>
      </c>
      <c r="R5873">
        <v>0.98974099999999998</v>
      </c>
      <c r="S5873">
        <v>0.3982697</v>
      </c>
      <c r="T5873">
        <v>-0.840871699999999</v>
      </c>
      <c r="U5873">
        <v>3.088409</v>
      </c>
      <c r="V5873">
        <v>-0.21975649999999999</v>
      </c>
      <c r="W5873">
        <v>1.86774E-2</v>
      </c>
      <c r="X5873">
        <v>0.97537600000000002</v>
      </c>
      <c r="Y5873">
        <v>4.577295E-2</v>
      </c>
      <c r="Z5873">
        <v>-0.26040180000000002</v>
      </c>
      <c r="AA5873">
        <v>0.96441469999999896</v>
      </c>
      <c r="AB5873">
        <v>34</v>
      </c>
      <c r="AC5873">
        <v>7.9700000000002505E-2</v>
      </c>
      <c r="AD5873">
        <v>-0.21248039999999899</v>
      </c>
      <c r="AE5873">
        <v>0.42083000000000198</v>
      </c>
      <c r="AF5873">
        <v>3.7439497867680298E-2</v>
      </c>
      <c r="AG5873">
        <v>-0.21248039999999899</v>
      </c>
      <c r="AH5873">
        <v>0.34167444906055999</v>
      </c>
      <c r="AI5873">
        <v>121.723507579683</v>
      </c>
      <c r="AJ5873">
        <v>83.746676022324294</v>
      </c>
      <c r="AK5873">
        <v>0.40409289219878802</v>
      </c>
      <c r="AL5873">
        <v>88.929801635989406</v>
      </c>
      <c r="AM5873">
        <v>102.696982598331</v>
      </c>
      <c r="AN5873">
        <v>1.0000000529694999</v>
      </c>
    </row>
    <row r="5874" spans="1:40" x14ac:dyDescent="0.25">
      <c r="A5874" t="str">
        <f>"20190312151431465"</f>
        <v>20190312151431465</v>
      </c>
      <c r="B5874" t="str">
        <f>"1552374871456509"</f>
        <v>1552374871456509</v>
      </c>
      <c r="C5874" t="s">
        <v>40</v>
      </c>
      <c r="D5874">
        <v>5.2460100000000001</v>
      </c>
      <c r="E5874">
        <v>0.605383</v>
      </c>
      <c r="F5874" t="s">
        <v>41</v>
      </c>
      <c r="G5874">
        <v>-186.46770000000001</v>
      </c>
      <c r="H5874">
        <v>0.91536099999999998</v>
      </c>
      <c r="I5874">
        <v>-35.191130000000001</v>
      </c>
      <c r="J5874">
        <v>-186.53989999999999</v>
      </c>
      <c r="K5874">
        <v>1.1208419999999999</v>
      </c>
      <c r="L5874">
        <v>-35.563569999999999</v>
      </c>
      <c r="M5874">
        <v>6.507462E-2</v>
      </c>
      <c r="N5874">
        <v>0</v>
      </c>
      <c r="O5874">
        <v>0.99778299999999998</v>
      </c>
      <c r="P5874">
        <v>-0.15266370000000001</v>
      </c>
      <c r="Q5874">
        <v>1.01949E-2</v>
      </c>
      <c r="R5874">
        <v>0.98822560000000004</v>
      </c>
      <c r="S5874">
        <v>0.37745669999999998</v>
      </c>
      <c r="T5874">
        <v>-0.88059129999999997</v>
      </c>
      <c r="U5874">
        <v>3.0953059999999999</v>
      </c>
      <c r="V5874">
        <v>-0.21722620000000001</v>
      </c>
      <c r="W5874">
        <v>1.7850230000000002E-2</v>
      </c>
      <c r="X5874">
        <v>0.97595799999999999</v>
      </c>
      <c r="Y5874">
        <v>5.1628050000000002E-2</v>
      </c>
      <c r="Z5874">
        <v>-0.27168300000000001</v>
      </c>
      <c r="AA5874">
        <v>0.96100099999999999</v>
      </c>
      <c r="AB5874">
        <v>34</v>
      </c>
      <c r="AC5874">
        <v>7.2199999999980904E-2</v>
      </c>
      <c r="AD5874">
        <v>-0.205481</v>
      </c>
      <c r="AE5874">
        <v>0.372439999999997</v>
      </c>
      <c r="AF5874">
        <v>3.6964176370630701E-2</v>
      </c>
      <c r="AG5874">
        <v>-0.205481</v>
      </c>
      <c r="AH5874">
        <v>0.29098448033034202</v>
      </c>
      <c r="AI5874">
        <v>125.012332014392</v>
      </c>
      <c r="AJ5874">
        <v>82.7604104014695</v>
      </c>
      <c r="AK5874">
        <v>0.35813511345423599</v>
      </c>
      <c r="AL5874">
        <v>88.977202770730202</v>
      </c>
      <c r="AM5874">
        <v>102.54819910895399</v>
      </c>
      <c r="AN5874">
        <v>0.99999993522074404</v>
      </c>
    </row>
    <row r="5875" spans="1:40" x14ac:dyDescent="0.25">
      <c r="A5875" t="str">
        <f>"20190312151431510"</f>
        <v>20190312151431510</v>
      </c>
      <c r="B5875" t="str">
        <f>"1552374871506287"</f>
        <v>1552374871506287</v>
      </c>
      <c r="C5875" t="s">
        <v>40</v>
      </c>
      <c r="D5875">
        <v>4.6103430000000003</v>
      </c>
      <c r="E5875">
        <v>0.60631029999999997</v>
      </c>
      <c r="F5875" t="s">
        <v>41</v>
      </c>
      <c r="G5875">
        <v>-186.46360000000001</v>
      </c>
      <c r="H5875">
        <v>0.92632099999999995</v>
      </c>
      <c r="I5875">
        <v>-34.8872</v>
      </c>
      <c r="J5875">
        <v>-186.5224</v>
      </c>
      <c r="K5875">
        <v>1.12064599999999</v>
      </c>
      <c r="L5875">
        <v>-34.920679999999997</v>
      </c>
      <c r="M5875">
        <v>4.1812799999999997E-2</v>
      </c>
      <c r="N5875">
        <v>0</v>
      </c>
      <c r="O5875">
        <v>0.9990289</v>
      </c>
      <c r="P5875">
        <v>-0.16938210000000001</v>
      </c>
      <c r="Q5875">
        <v>8.3108890000000001E-3</v>
      </c>
      <c r="R5875">
        <v>0.98551540000000004</v>
      </c>
      <c r="S5875">
        <v>0.34924319999999998</v>
      </c>
      <c r="T5875">
        <v>-0.8914299</v>
      </c>
      <c r="U5875">
        <v>3.0989070000000001</v>
      </c>
      <c r="V5875">
        <v>-0.21095910000000001</v>
      </c>
      <c r="W5875">
        <v>1.6202049999999999E-2</v>
      </c>
      <c r="X5875">
        <v>0.97736060000000002</v>
      </c>
      <c r="Y5875">
        <v>6.6018430000000003E-2</v>
      </c>
      <c r="Z5875">
        <v>-0.27499790000000002</v>
      </c>
      <c r="AA5875">
        <v>0.95917549999999996</v>
      </c>
      <c r="AB5875">
        <v>34</v>
      </c>
      <c r="AC5875">
        <v>5.8799999999990797E-2</v>
      </c>
      <c r="AD5875">
        <v>-0.194324999999999</v>
      </c>
      <c r="AE5875">
        <v>3.34799999999972E-2</v>
      </c>
      <c r="AF5875">
        <v>6.2011870908679698E-3</v>
      </c>
      <c r="AG5875">
        <v>-0.194324999999999</v>
      </c>
      <c r="AH5875">
        <v>3.8829551084428099E-3</v>
      </c>
      <c r="AI5875">
        <v>177.84376621277599</v>
      </c>
      <c r="AJ5875">
        <v>32.053283399604503</v>
      </c>
      <c r="AK5875">
        <v>0.19446268970347499</v>
      </c>
      <c r="AL5875">
        <v>89.0716502919216</v>
      </c>
      <c r="AM5875">
        <v>102.180187241325</v>
      </c>
      <c r="AN5875">
        <v>0.99999999536468598</v>
      </c>
    </row>
    <row r="5876" spans="1:40" x14ac:dyDescent="0.25">
      <c r="A5876" t="str">
        <f>"20190312151431530"</f>
        <v>20190312151431530</v>
      </c>
      <c r="B5876" t="str">
        <f>"1552374871526782"</f>
        <v>1552374871526782</v>
      </c>
      <c r="C5876" t="s">
        <v>40</v>
      </c>
      <c r="D5876">
        <v>4.4857060000000004</v>
      </c>
      <c r="E5876">
        <v>0.60650280000000001</v>
      </c>
      <c r="F5876" t="s">
        <v>41</v>
      </c>
      <c r="G5876">
        <v>-186.43510000000001</v>
      </c>
      <c r="H5876">
        <v>0.85119219999999896</v>
      </c>
      <c r="I5876">
        <v>-34.023629999999997</v>
      </c>
      <c r="J5876">
        <v>-186.51910000000001</v>
      </c>
      <c r="K5876">
        <v>1.120525</v>
      </c>
      <c r="L5876">
        <v>-34.586640000000003</v>
      </c>
      <c r="M5876">
        <v>2.992013E-2</v>
      </c>
      <c r="N5876">
        <v>0</v>
      </c>
      <c r="O5876">
        <v>0.99945620000000002</v>
      </c>
      <c r="P5876">
        <v>-0.1786565</v>
      </c>
      <c r="Q5876">
        <v>8.5975189999999996E-3</v>
      </c>
      <c r="R5876">
        <v>0.98387400000000003</v>
      </c>
      <c r="S5876">
        <v>0.30201719999999999</v>
      </c>
      <c r="T5876">
        <v>-0.93223129999999998</v>
      </c>
      <c r="U5876">
        <v>3.1038510000000001</v>
      </c>
      <c r="V5876">
        <v>-0.2085342</v>
      </c>
      <c r="W5876">
        <v>1.6588700000000001E-2</v>
      </c>
      <c r="X5876">
        <v>0.97787440000000003</v>
      </c>
      <c r="Y5876">
        <v>6.2958799999999995E-2</v>
      </c>
      <c r="Z5876">
        <v>-0.2865645</v>
      </c>
      <c r="AA5876">
        <v>0.95599000000000001</v>
      </c>
      <c r="AB5876">
        <v>34</v>
      </c>
      <c r="AC5876">
        <v>8.40000000000031E-2</v>
      </c>
      <c r="AD5876">
        <v>-0.26933279999999998</v>
      </c>
      <c r="AE5876">
        <v>0.56301000000000501</v>
      </c>
      <c r="AF5876">
        <v>5.48389504492778E-2</v>
      </c>
      <c r="AG5876">
        <v>-0.26933279999999998</v>
      </c>
      <c r="AH5876">
        <v>0.46187425418373101</v>
      </c>
      <c r="AI5876">
        <v>120.073538789925</v>
      </c>
      <c r="AJ5876">
        <v>83.228894144809303</v>
      </c>
      <c r="AK5876">
        <v>0.53747120324720299</v>
      </c>
      <c r="AL5876">
        <v>89.0494939237023</v>
      </c>
      <c r="AM5876">
        <v>102.038147480769</v>
      </c>
      <c r="AN5876">
        <v>1.0000000198563399</v>
      </c>
    </row>
    <row r="5877" spans="1:40" x14ac:dyDescent="0.25">
      <c r="A5877" t="str">
        <f>"20190312151431551"</f>
        <v>20190312151431551</v>
      </c>
      <c r="B5877" t="str">
        <f>"1552374871546302"</f>
        <v>1552374871546302</v>
      </c>
      <c r="C5877" t="s">
        <v>40</v>
      </c>
      <c r="D5877">
        <v>4.7594609999999999</v>
      </c>
      <c r="E5877">
        <v>0.60666129999999996</v>
      </c>
      <c r="F5877" t="s">
        <v>41</v>
      </c>
      <c r="G5877">
        <v>-186.44280000000001</v>
      </c>
      <c r="H5877">
        <v>0.85775080000000004</v>
      </c>
      <c r="I5877">
        <v>-33.722149999999999</v>
      </c>
      <c r="J5877">
        <v>-186.51939999999999</v>
      </c>
      <c r="K5877">
        <v>1.1204179999999999</v>
      </c>
      <c r="L5877">
        <v>-34.279049999999998</v>
      </c>
      <c r="M5877">
        <v>1.9077190000000001E-2</v>
      </c>
      <c r="N5877">
        <v>0</v>
      </c>
      <c r="O5877">
        <v>0.99972240000000001</v>
      </c>
      <c r="P5877">
        <v>-0.18688350000000001</v>
      </c>
      <c r="Q5877">
        <v>8.5508519999999994E-3</v>
      </c>
      <c r="R5877">
        <v>0.98234489999999997</v>
      </c>
      <c r="S5877">
        <v>0.27409359999999999</v>
      </c>
      <c r="T5877">
        <v>-0.944716</v>
      </c>
      <c r="U5877">
        <v>3.107208</v>
      </c>
      <c r="V5877">
        <v>-0.2061035</v>
      </c>
      <c r="W5877">
        <v>1.6638770000000001E-2</v>
      </c>
      <c r="X5877">
        <v>0.9783887</v>
      </c>
      <c r="Y5877">
        <v>6.5074060000000003E-2</v>
      </c>
      <c r="Z5877">
        <v>-0.28999540000000001</v>
      </c>
      <c r="AA5877">
        <v>0.95481309999999997</v>
      </c>
      <c r="AB5877">
        <v>34</v>
      </c>
      <c r="AC5877">
        <v>7.6599999999984902E-2</v>
      </c>
      <c r="AD5877">
        <v>-0.26266719999999999</v>
      </c>
      <c r="AE5877">
        <v>0.55689999999999795</v>
      </c>
      <c r="AF5877">
        <v>5.4140375052704401E-2</v>
      </c>
      <c r="AG5877">
        <v>-0.26266719999999999</v>
      </c>
      <c r="AH5877">
        <v>0.45821669305680701</v>
      </c>
      <c r="AI5877">
        <v>119.651908500527</v>
      </c>
      <c r="AJ5877">
        <v>83.261486232356006</v>
      </c>
      <c r="AK5877">
        <v>0.53093104633521204</v>
      </c>
      <c r="AL5877">
        <v>89.046624685151599</v>
      </c>
      <c r="AM5877">
        <v>101.895775669134</v>
      </c>
      <c r="AN5877">
        <v>0.99999997483352598</v>
      </c>
    </row>
    <row r="5878" spans="1:40" x14ac:dyDescent="0.25">
      <c r="A5878" t="str">
        <f>"20190312151431572"</f>
        <v>20190312151431572</v>
      </c>
      <c r="B5878" t="str">
        <f>"1552374871566798"</f>
        <v>1552374871566798</v>
      </c>
      <c r="C5878" t="s">
        <v>40</v>
      </c>
      <c r="D5878">
        <v>4.9038690000000003</v>
      </c>
      <c r="E5878">
        <v>0.6073115</v>
      </c>
      <c r="F5878" t="s">
        <v>41</v>
      </c>
      <c r="G5878">
        <v>-186.45070000000001</v>
      </c>
      <c r="H5878">
        <v>0.85804799999999903</v>
      </c>
      <c r="I5878">
        <v>-33.42333</v>
      </c>
      <c r="J5878">
        <v>-186.52330000000001</v>
      </c>
      <c r="K5878">
        <v>1.120293</v>
      </c>
      <c r="L5878">
        <v>-33.953309999999902</v>
      </c>
      <c r="M5878">
        <v>7.769583E-3</v>
      </c>
      <c r="N5878">
        <v>0</v>
      </c>
      <c r="O5878">
        <v>0.99987459999999995</v>
      </c>
      <c r="P5878">
        <v>-0.19530510000000001</v>
      </c>
      <c r="Q5878">
        <v>7.3710090000000004E-3</v>
      </c>
      <c r="R5878">
        <v>0.98071489999999995</v>
      </c>
      <c r="S5878">
        <v>0.24981690000000001</v>
      </c>
      <c r="T5878">
        <v>-0.95334410000000003</v>
      </c>
      <c r="U5878">
        <v>3.1097410000000001</v>
      </c>
      <c r="V5878">
        <v>-0.2033961</v>
      </c>
      <c r="W5878">
        <v>1.55727E-2</v>
      </c>
      <c r="X5878">
        <v>0.97897270000000003</v>
      </c>
      <c r="Y5878">
        <v>6.8830760000000005E-2</v>
      </c>
      <c r="Z5878">
        <v>-0.29231380000000001</v>
      </c>
      <c r="AA5878">
        <v>0.95384219999999997</v>
      </c>
      <c r="AB5878">
        <v>34</v>
      </c>
      <c r="AC5878">
        <v>7.2599999999994197E-2</v>
      </c>
      <c r="AD5878">
        <v>-0.26224500000000001</v>
      </c>
      <c r="AE5878">
        <v>0.52997999999999401</v>
      </c>
      <c r="AF5878">
        <v>5.5210536106762298E-2</v>
      </c>
      <c r="AG5878">
        <v>-0.26224500000000001</v>
      </c>
      <c r="AH5878">
        <v>0.42772888058074798</v>
      </c>
      <c r="AI5878">
        <v>121.302349992985</v>
      </c>
      <c r="AJ5878">
        <v>82.645023300196797</v>
      </c>
      <c r="AK5878">
        <v>0.50475007538885597</v>
      </c>
      <c r="AL5878">
        <v>89.107713960641703</v>
      </c>
      <c r="AM5878">
        <v>101.737067684284</v>
      </c>
      <c r="AN5878">
        <v>1.00000001491289</v>
      </c>
    </row>
    <row r="5879" spans="1:40" x14ac:dyDescent="0.25">
      <c r="A5879" t="str">
        <f>"20190312151431597"</f>
        <v>20190312151431597</v>
      </c>
      <c r="B5879" t="str">
        <f>"1552374871586318"</f>
        <v>1552374871586318</v>
      </c>
      <c r="C5879" t="s">
        <v>40</v>
      </c>
      <c r="D5879">
        <v>4.528257</v>
      </c>
      <c r="E5879">
        <v>0.6072419</v>
      </c>
      <c r="F5879" t="s">
        <v>41</v>
      </c>
      <c r="G5879">
        <v>-186.46260000000001</v>
      </c>
      <c r="H5879">
        <v>0.85783189999999998</v>
      </c>
      <c r="I5879">
        <v>-33.124769999999998</v>
      </c>
      <c r="J5879">
        <v>-186.53139999999999</v>
      </c>
      <c r="K5879">
        <v>1.12012</v>
      </c>
      <c r="L5879">
        <v>-33.599789999999999</v>
      </c>
      <c r="M5879">
        <v>-4.2581040000000004E-3</v>
      </c>
      <c r="N5879">
        <v>0</v>
      </c>
      <c r="O5879">
        <v>0.99989620000000001</v>
      </c>
      <c r="P5879">
        <v>-0.20455119999999999</v>
      </c>
      <c r="Q5879">
        <v>7.0304800000000004E-3</v>
      </c>
      <c r="R5879">
        <v>0.9788306</v>
      </c>
      <c r="S5879">
        <v>0.22772220000000001</v>
      </c>
      <c r="T5879">
        <v>-0.98590219999999995</v>
      </c>
      <c r="U5879">
        <v>3.111755</v>
      </c>
      <c r="V5879">
        <v>-0.20084260000000001</v>
      </c>
      <c r="W5879">
        <v>1.535242E-2</v>
      </c>
      <c r="X5879">
        <v>0.97950320000000002</v>
      </c>
      <c r="Y5879">
        <v>7.3841649999999995E-2</v>
      </c>
      <c r="Z5879">
        <v>-0.30125099999999999</v>
      </c>
      <c r="AA5879">
        <v>0.95068140000000001</v>
      </c>
      <c r="AB5879">
        <v>34</v>
      </c>
      <c r="AC5879">
        <v>6.8799999999981695E-2</v>
      </c>
      <c r="AD5879">
        <v>-0.26228809999999902</v>
      </c>
      <c r="AE5879">
        <v>0.47502000000000699</v>
      </c>
      <c r="AF5879">
        <v>5.4536596397463798E-2</v>
      </c>
      <c r="AG5879">
        <v>-0.26228809999999902</v>
      </c>
      <c r="AH5879">
        <v>0.36555969115494802</v>
      </c>
      <c r="AI5879">
        <v>125.361174839502</v>
      </c>
      <c r="AJ5879">
        <v>81.514820372502498</v>
      </c>
      <c r="AK5879">
        <v>0.45321427111856299</v>
      </c>
      <c r="AL5879">
        <v>89.120336555599195</v>
      </c>
      <c r="AM5879">
        <v>101.587621094716</v>
      </c>
      <c r="AN5879">
        <v>0.99999998279242797</v>
      </c>
    </row>
    <row r="5880" spans="1:40" x14ac:dyDescent="0.25">
      <c r="A5880" t="str">
        <f>"20190312151431618"</f>
        <v>20190312151431618</v>
      </c>
      <c r="B5880" t="str">
        <f>"1552374871606814"</f>
        <v>1552374871606814</v>
      </c>
      <c r="C5880" t="s">
        <v>40</v>
      </c>
      <c r="D5880">
        <v>4.5947529999999999</v>
      </c>
      <c r="E5880">
        <v>0.6066397</v>
      </c>
      <c r="F5880" t="s">
        <v>41</v>
      </c>
      <c r="G5880">
        <v>-186.4821</v>
      </c>
      <c r="H5880">
        <v>0.86995990000000001</v>
      </c>
      <c r="I5880">
        <v>-32.821480000000001</v>
      </c>
      <c r="J5880">
        <v>-186.54230000000001</v>
      </c>
      <c r="K5880">
        <v>1.119939</v>
      </c>
      <c r="L5880">
        <v>-33.279139999999998</v>
      </c>
      <c r="M5880">
        <v>-1.492749E-2</v>
      </c>
      <c r="N5880">
        <v>0</v>
      </c>
      <c r="O5880">
        <v>0.99979439999999997</v>
      </c>
      <c r="P5880">
        <v>-0.2133699</v>
      </c>
      <c r="Q5880">
        <v>7.4769210000000001E-3</v>
      </c>
      <c r="R5880">
        <v>0.97694289999999995</v>
      </c>
      <c r="S5880">
        <v>0.19725039999999999</v>
      </c>
      <c r="T5880">
        <v>-1.0006569999999999</v>
      </c>
      <c r="U5880">
        <v>3.1132810000000002</v>
      </c>
      <c r="V5880">
        <v>-0.19922699999999999</v>
      </c>
      <c r="W5880">
        <v>1.5895949999999999E-2</v>
      </c>
      <c r="X5880">
        <v>0.97982440000000004</v>
      </c>
      <c r="Y5880">
        <v>7.5103879999999998E-2</v>
      </c>
      <c r="Z5880">
        <v>-0.30523470000000003</v>
      </c>
      <c r="AA5880">
        <v>0.94931089999999996</v>
      </c>
      <c r="AB5880">
        <v>34</v>
      </c>
      <c r="AC5880">
        <v>6.0200000000008899E-2</v>
      </c>
      <c r="AD5880">
        <v>-0.24997910000000001</v>
      </c>
      <c r="AE5880">
        <v>0.45766000000000401</v>
      </c>
      <c r="AF5880">
        <v>5.1826391861978002E-2</v>
      </c>
      <c r="AG5880">
        <v>-0.24997910000000001</v>
      </c>
      <c r="AH5880">
        <v>0.353143101960951</v>
      </c>
      <c r="AI5880">
        <v>125.00613555291</v>
      </c>
      <c r="AJ5880">
        <v>81.651014809710105</v>
      </c>
      <c r="AK5880">
        <v>0.435758621019532</v>
      </c>
      <c r="AL5880">
        <v>89.089190763258998</v>
      </c>
      <c r="AM5880">
        <v>101.493232078087</v>
      </c>
      <c r="AN5880">
        <v>0.99999996679537995</v>
      </c>
    </row>
    <row r="5881" spans="1:40" x14ac:dyDescent="0.25">
      <c r="A5881" t="str">
        <f>"20190312151431642"</f>
        <v>20190312151431642</v>
      </c>
      <c r="B5881" t="str">
        <f>"1552374871636094"</f>
        <v>1552374871636094</v>
      </c>
      <c r="C5881" t="s">
        <v>40</v>
      </c>
      <c r="D5881">
        <v>4.5449339999999996</v>
      </c>
      <c r="E5881">
        <v>0.60582060000000004</v>
      </c>
      <c r="F5881" t="s">
        <v>41</v>
      </c>
      <c r="G5881">
        <v>-186.50210000000001</v>
      </c>
      <c r="H5881">
        <v>0.87672070000000002</v>
      </c>
      <c r="I5881">
        <v>-32.520449999999997</v>
      </c>
      <c r="J5881">
        <v>-186.5583</v>
      </c>
      <c r="K5881">
        <v>1.119705</v>
      </c>
      <c r="L5881">
        <v>-32.916289999999996</v>
      </c>
      <c r="M5881">
        <v>-2.6691840000000001E-2</v>
      </c>
      <c r="N5881">
        <v>0</v>
      </c>
      <c r="O5881">
        <v>0.9995501</v>
      </c>
      <c r="P5881">
        <v>-0.2232025</v>
      </c>
      <c r="Q5881">
        <v>7.7309279999999998E-3</v>
      </c>
      <c r="R5881">
        <v>0.97474150000000004</v>
      </c>
      <c r="S5881">
        <v>0.16419979999999901</v>
      </c>
      <c r="T5881">
        <v>-0.99891949999999996</v>
      </c>
      <c r="U5881">
        <v>3.1143190000000001</v>
      </c>
      <c r="V5881">
        <v>-0.19756509999999999</v>
      </c>
      <c r="W5881">
        <v>1.6265459999999999E-2</v>
      </c>
      <c r="X5881">
        <v>0.98015479999999999</v>
      </c>
      <c r="Y5881">
        <v>7.6784359999999996E-2</v>
      </c>
      <c r="Z5881">
        <v>-0.30461559999999999</v>
      </c>
      <c r="AA5881">
        <v>0.94937530000000003</v>
      </c>
      <c r="AB5881">
        <v>34</v>
      </c>
      <c r="AC5881">
        <v>5.61999999999898E-2</v>
      </c>
      <c r="AD5881">
        <v>-0.24298429999999999</v>
      </c>
      <c r="AE5881">
        <v>0.39584000000000602</v>
      </c>
      <c r="AF5881">
        <v>4.8742958315620498E-2</v>
      </c>
      <c r="AG5881">
        <v>-0.24298429999999999</v>
      </c>
      <c r="AH5881">
        <v>0.28787076122919603</v>
      </c>
      <c r="AI5881">
        <v>129.768193503416</v>
      </c>
      <c r="AJ5881">
        <v>80.389693944889999</v>
      </c>
      <c r="AK5881">
        <v>0.37985105133792302</v>
      </c>
      <c r="AL5881">
        <v>89.068016676127201</v>
      </c>
      <c r="AM5881">
        <v>101.396136705567</v>
      </c>
      <c r="AN5881">
        <v>0.99999998294503001</v>
      </c>
    </row>
    <row r="5882" spans="1:40" x14ac:dyDescent="0.25">
      <c r="A5882" t="str">
        <f>"20190312151431685"</f>
        <v>20190312151431685</v>
      </c>
      <c r="B5882" t="str">
        <f>"1552374871676110"</f>
        <v>1552374871676110</v>
      </c>
      <c r="C5882" t="s">
        <v>40</v>
      </c>
      <c r="D5882">
        <v>4.581817</v>
      </c>
      <c r="E5882">
        <v>0.60521950000000002</v>
      </c>
      <c r="F5882" t="s">
        <v>41</v>
      </c>
      <c r="G5882">
        <v>-186.52979999999999</v>
      </c>
      <c r="H5882">
        <v>0.89485619999999999</v>
      </c>
      <c r="I5882">
        <v>-32.21499</v>
      </c>
      <c r="J5882">
        <v>-186.59620000000001</v>
      </c>
      <c r="K5882">
        <v>1.11921</v>
      </c>
      <c r="L5882">
        <v>-32.277979999999999</v>
      </c>
      <c r="M5882">
        <v>-4.6432139999999997E-2</v>
      </c>
      <c r="N5882">
        <v>0</v>
      </c>
      <c r="O5882">
        <v>0.99882899999999997</v>
      </c>
      <c r="P5882">
        <v>-0.23893020000000001</v>
      </c>
      <c r="Q5882">
        <v>7.5014690000000002E-3</v>
      </c>
      <c r="R5882">
        <v>0.97100779999999998</v>
      </c>
      <c r="S5882">
        <v>0.1268311</v>
      </c>
      <c r="T5882">
        <v>-0.99862720000000005</v>
      </c>
      <c r="U5882">
        <v>3.1146850000000001</v>
      </c>
      <c r="V5882">
        <v>-0.1940182</v>
      </c>
      <c r="W5882">
        <v>1.6283570000000001E-2</v>
      </c>
      <c r="X5882">
        <v>0.98086280000000003</v>
      </c>
      <c r="Y5882">
        <v>8.5106669999999995E-2</v>
      </c>
      <c r="Z5882">
        <v>-0.30414940000000001</v>
      </c>
      <c r="AA5882">
        <v>0.94881499999999996</v>
      </c>
      <c r="AB5882">
        <v>34</v>
      </c>
      <c r="AC5882">
        <v>6.6400000000015696E-2</v>
      </c>
      <c r="AD5882">
        <v>-0.22435379999999999</v>
      </c>
      <c r="AE5882">
        <v>6.2989999999999199E-2</v>
      </c>
      <c r="AF5882">
        <v>9.8808015023506696E-3</v>
      </c>
      <c r="AG5882">
        <v>-0.22435379999999999</v>
      </c>
      <c r="AH5882">
        <v>8.5375449207208305E-3</v>
      </c>
      <c r="AI5882">
        <v>176.66890478238199</v>
      </c>
      <c r="AJ5882">
        <v>40.828783220984498</v>
      </c>
      <c r="AK5882">
        <v>0.224733503256728</v>
      </c>
      <c r="AL5882">
        <v>89.066978950880696</v>
      </c>
      <c r="AM5882">
        <v>101.188877639773</v>
      </c>
      <c r="AN5882">
        <v>1.0000000245035101</v>
      </c>
    </row>
    <row r="5883" spans="1:40" x14ac:dyDescent="0.25">
      <c r="A5883" t="str">
        <f>"20190312151431709"</f>
        <v>20190312151431709</v>
      </c>
      <c r="B5883" t="str">
        <f>"1552374871706366"</f>
        <v>1552374871706366</v>
      </c>
      <c r="C5883" t="s">
        <v>40</v>
      </c>
      <c r="D5883">
        <v>4.6105010000000002</v>
      </c>
      <c r="E5883">
        <v>0.60504740000000001</v>
      </c>
      <c r="F5883" t="s">
        <v>41</v>
      </c>
      <c r="G5883">
        <v>-186.58090000000001</v>
      </c>
      <c r="H5883">
        <v>0.90347219999999995</v>
      </c>
      <c r="I5883">
        <v>-31.615670000000001</v>
      </c>
      <c r="J5883">
        <v>-186.62180000000001</v>
      </c>
      <c r="K5883">
        <v>1.1189209999999901</v>
      </c>
      <c r="L5883">
        <v>-31.931270000000001</v>
      </c>
      <c r="M5883">
        <v>-5.6612379999999997E-2</v>
      </c>
      <c r="N5883">
        <v>0</v>
      </c>
      <c r="O5883">
        <v>0.99830439999999998</v>
      </c>
      <c r="P5883">
        <v>-0.24635770000000001</v>
      </c>
      <c r="Q5883">
        <v>6.5856889999999996E-3</v>
      </c>
      <c r="R5883">
        <v>0.96915660000000003</v>
      </c>
      <c r="S5883">
        <v>7.1884160000000002E-2</v>
      </c>
      <c r="T5883">
        <v>-1.014886</v>
      </c>
      <c r="U5883">
        <v>3.1151119999999999</v>
      </c>
      <c r="V5883">
        <v>-0.19149430000000001</v>
      </c>
      <c r="W5883">
        <v>1.5518819999999999E-2</v>
      </c>
      <c r="X5883">
        <v>0.98137099999999999</v>
      </c>
      <c r="Y5883">
        <v>7.8503489999999995E-2</v>
      </c>
      <c r="Z5883">
        <v>-0.30851630000000002</v>
      </c>
      <c r="AA5883">
        <v>0.94797410000000004</v>
      </c>
      <c r="AB5883">
        <v>34</v>
      </c>
      <c r="AC5883">
        <v>4.0899999999993497E-2</v>
      </c>
      <c r="AD5883">
        <v>-0.215448799999999</v>
      </c>
      <c r="AE5883">
        <v>0.31559999999999899</v>
      </c>
      <c r="AF5883">
        <v>4.0253432797783602E-2</v>
      </c>
      <c r="AG5883">
        <v>-0.215448799999999</v>
      </c>
      <c r="AH5883">
        <v>0.21447649709178801</v>
      </c>
      <c r="AI5883">
        <v>134.63371561308</v>
      </c>
      <c r="AJ5883">
        <v>79.370257217430805</v>
      </c>
      <c r="AK5883">
        <v>0.30665728766525202</v>
      </c>
      <c r="AL5883">
        <v>89.110801390508996</v>
      </c>
      <c r="AM5883">
        <v>101.041349375481</v>
      </c>
      <c r="AN5883">
        <v>0.99999997017384001</v>
      </c>
    </row>
    <row r="5884" spans="1:40" x14ac:dyDescent="0.25">
      <c r="A5884" t="str">
        <f>"20190312151431753"</f>
        <v>20190312151431753</v>
      </c>
      <c r="B5884" t="str">
        <f>"1552374871746382"</f>
        <v>1552374871746382</v>
      </c>
      <c r="C5884" t="s">
        <v>40</v>
      </c>
      <c r="D5884">
        <v>4.4674800000000001</v>
      </c>
      <c r="E5884">
        <v>0.60493280000000005</v>
      </c>
      <c r="F5884" t="s">
        <v>41</v>
      </c>
      <c r="G5884">
        <v>-186.60849999999999</v>
      </c>
      <c r="H5884">
        <v>0.8279514</v>
      </c>
      <c r="I5884">
        <v>-31.04964</v>
      </c>
      <c r="J5884">
        <v>-186.67910000000001</v>
      </c>
      <c r="K5884">
        <v>1.118341</v>
      </c>
      <c r="L5884">
        <v>-31.273219999999998</v>
      </c>
      <c r="M5884">
        <v>-7.481952E-2</v>
      </c>
      <c r="N5884">
        <v>0</v>
      </c>
      <c r="O5884">
        <v>0.99710650000000001</v>
      </c>
      <c r="P5884">
        <v>-0.25822420000000001</v>
      </c>
      <c r="Q5884">
        <v>7.7348219999999997E-3</v>
      </c>
      <c r="R5884">
        <v>0.96605410000000003</v>
      </c>
      <c r="S5884">
        <v>4.695129E-2</v>
      </c>
      <c r="T5884">
        <v>-1.0278430000000001</v>
      </c>
      <c r="U5884">
        <v>3.1143800000000001</v>
      </c>
      <c r="V5884">
        <v>-0.1856188</v>
      </c>
      <c r="W5884">
        <v>1.6989669999999998E-2</v>
      </c>
      <c r="X5884">
        <v>0.98247490000000004</v>
      </c>
      <c r="Y5884">
        <v>8.9089600000000005E-2</v>
      </c>
      <c r="Z5884">
        <v>-0.31146560000000001</v>
      </c>
      <c r="AA5884">
        <v>0.94607200000000002</v>
      </c>
      <c r="AB5884">
        <v>34</v>
      </c>
      <c r="AC5884">
        <v>7.0600000000013097E-2</v>
      </c>
      <c r="AD5884">
        <v>-0.29038959999999903</v>
      </c>
      <c r="AE5884">
        <v>0.223579999999998</v>
      </c>
      <c r="AF5884">
        <v>3.4385430236842998E-2</v>
      </c>
      <c r="AG5884">
        <v>-0.29038959999999903</v>
      </c>
      <c r="AH5884">
        <v>8.59008799074054E-2</v>
      </c>
      <c r="AI5884">
        <v>162.326460723693</v>
      </c>
      <c r="AJ5884">
        <v>68.184171985017201</v>
      </c>
      <c r="AK5884">
        <v>0.30477440635591302</v>
      </c>
      <c r="AL5884">
        <v>89.026516736936998</v>
      </c>
      <c r="AM5884">
        <v>100.69877476913901</v>
      </c>
      <c r="AN5884">
        <v>0.99999995846507805</v>
      </c>
    </row>
    <row r="5885" spans="1:40" x14ac:dyDescent="0.25">
      <c r="A5885" t="str">
        <f>"20190312151431774"</f>
        <v>20190312151431774</v>
      </c>
      <c r="B5885" t="str">
        <f>"1552374871765902"</f>
        <v>1552374871765902</v>
      </c>
      <c r="C5885" t="s">
        <v>40</v>
      </c>
      <c r="D5885">
        <v>4.5480349999999996</v>
      </c>
      <c r="E5885">
        <v>0.60487139999999995</v>
      </c>
      <c r="F5885" t="s">
        <v>41</v>
      </c>
      <c r="G5885">
        <v>-186.6765</v>
      </c>
      <c r="H5885">
        <v>0.846935199999999</v>
      </c>
      <c r="I5885">
        <v>-30.447559999999999</v>
      </c>
      <c r="J5885">
        <v>-186.7105</v>
      </c>
      <c r="K5885">
        <v>1.1180600000000001</v>
      </c>
      <c r="L5885">
        <v>-30.956569999999999</v>
      </c>
      <c r="M5885">
        <v>-8.3089880000000005E-2</v>
      </c>
      <c r="N5885">
        <v>0</v>
      </c>
      <c r="O5885">
        <v>0.996452</v>
      </c>
      <c r="P5885">
        <v>-0.26440439999999998</v>
      </c>
      <c r="Q5885">
        <v>9.0641269999999999E-3</v>
      </c>
      <c r="R5885">
        <v>0.96436929999999998</v>
      </c>
      <c r="S5885">
        <v>9.3688959999999998E-3</v>
      </c>
      <c r="T5885">
        <v>-1.0244599999999999</v>
      </c>
      <c r="U5885">
        <v>3.1161189999999999</v>
      </c>
      <c r="V5885">
        <v>-0.18377299999999999</v>
      </c>
      <c r="W5885">
        <v>1.8444269999999999E-2</v>
      </c>
      <c r="X5885">
        <v>0.98279570000000005</v>
      </c>
      <c r="Y5885">
        <v>8.5936419999999999E-2</v>
      </c>
      <c r="Z5885">
        <v>-0.31014429999999998</v>
      </c>
      <c r="AA5885">
        <v>0.94679740000000001</v>
      </c>
      <c r="AB5885">
        <v>34</v>
      </c>
      <c r="AC5885">
        <v>3.3999999999991801E-2</v>
      </c>
      <c r="AD5885">
        <v>-0.2711248</v>
      </c>
      <c r="AE5885">
        <v>0.50901000000000296</v>
      </c>
      <c r="AF5885">
        <v>5.9401430379591898E-2</v>
      </c>
      <c r="AG5885">
        <v>-0.2711248</v>
      </c>
      <c r="AH5885">
        <v>0.39332641733530799</v>
      </c>
      <c r="AI5885">
        <v>124.27769671500199</v>
      </c>
      <c r="AJ5885">
        <v>81.4119057043482</v>
      </c>
      <c r="AK5885">
        <v>0.48139677780393397</v>
      </c>
      <c r="AL5885">
        <v>88.943161295809304</v>
      </c>
      <c r="AM5885">
        <v>100.591426034866</v>
      </c>
      <c r="AN5885">
        <v>1.0000000472816599</v>
      </c>
    </row>
    <row r="5886" spans="1:40" x14ac:dyDescent="0.25">
      <c r="A5886" t="str">
        <f>"20190312151431797"</f>
        <v>20190312151431797</v>
      </c>
      <c r="B5886" t="str">
        <f>"1552374871786398"</f>
        <v>1552374871786398</v>
      </c>
      <c r="C5886" t="s">
        <v>40</v>
      </c>
      <c r="D5886">
        <v>4.7296279999999999</v>
      </c>
      <c r="E5886">
        <v>0.60522549999999997</v>
      </c>
      <c r="F5886" t="s">
        <v>41</v>
      </c>
      <c r="G5886">
        <v>-186.71250000000001</v>
      </c>
      <c r="H5886">
        <v>0.85322819999999899</v>
      </c>
      <c r="I5886">
        <v>-30.147950000000002</v>
      </c>
      <c r="J5886">
        <v>-186.7466</v>
      </c>
      <c r="K5886">
        <v>1.1177569999999999</v>
      </c>
      <c r="L5886">
        <v>-30.619140000000002</v>
      </c>
      <c r="M5886">
        <v>-9.1542490000000004E-2</v>
      </c>
      <c r="N5886">
        <v>0</v>
      </c>
      <c r="O5886">
        <v>0.99571169999999998</v>
      </c>
      <c r="P5886">
        <v>-0.26988230000000002</v>
      </c>
      <c r="Q5886">
        <v>7.5244379999999996E-3</v>
      </c>
      <c r="R5886">
        <v>0.96286389999999999</v>
      </c>
      <c r="S5886">
        <v>-8.0108639999999995E-3</v>
      </c>
      <c r="T5886">
        <v>-1.021382</v>
      </c>
      <c r="U5886">
        <v>3.1182560000000001</v>
      </c>
      <c r="V5886">
        <v>-0.18097289999999999</v>
      </c>
      <c r="W5886">
        <v>1.70569E-2</v>
      </c>
      <c r="X5886">
        <v>0.98334010000000005</v>
      </c>
      <c r="Y5886">
        <v>8.9108899999999894E-2</v>
      </c>
      <c r="Z5886">
        <v>-0.30873</v>
      </c>
      <c r="AA5886">
        <v>0.94696639999999999</v>
      </c>
      <c r="AB5886">
        <v>34</v>
      </c>
      <c r="AC5886">
        <v>3.40999999999951E-2</v>
      </c>
      <c r="AD5886">
        <v>-0.26452880000000001</v>
      </c>
      <c r="AE5886">
        <v>0.471189999999999</v>
      </c>
      <c r="AF5886">
        <v>5.8692445028495202E-2</v>
      </c>
      <c r="AG5886">
        <v>-0.26452880000000001</v>
      </c>
      <c r="AH5886">
        <v>0.35483603268770703</v>
      </c>
      <c r="AI5886">
        <v>126.334566071303</v>
      </c>
      <c r="AJ5886">
        <v>80.607902261419099</v>
      </c>
      <c r="AK5886">
        <v>0.44646265154704101</v>
      </c>
      <c r="AL5886">
        <v>89.022664165523594</v>
      </c>
      <c r="AM5886">
        <v>100.427968255835</v>
      </c>
      <c r="AN5886">
        <v>0.99999994032001305</v>
      </c>
    </row>
    <row r="5887" spans="1:40" x14ac:dyDescent="0.25">
      <c r="A5887" t="str">
        <f>"20190312151431819"</f>
        <v>20190312151431819</v>
      </c>
      <c r="B5887" t="str">
        <f>"1552374871816654"</f>
        <v>1552374871816654</v>
      </c>
      <c r="C5887" t="s">
        <v>40</v>
      </c>
      <c r="D5887">
        <v>4.4985350000000004</v>
      </c>
      <c r="E5887">
        <v>0.60611910000000002</v>
      </c>
      <c r="F5887" t="s">
        <v>41</v>
      </c>
      <c r="G5887">
        <v>-186.7518</v>
      </c>
      <c r="H5887">
        <v>0.86285840000000003</v>
      </c>
      <c r="I5887">
        <v>-29.847380000000001</v>
      </c>
      <c r="J5887">
        <v>-186.78389999999999</v>
      </c>
      <c r="K5887">
        <v>1.117421</v>
      </c>
      <c r="L5887">
        <v>-30.293369999999999</v>
      </c>
      <c r="M5887">
        <v>-9.9272280000000004E-2</v>
      </c>
      <c r="N5887">
        <v>0</v>
      </c>
      <c r="O5887">
        <v>0.99497139999999995</v>
      </c>
      <c r="P5887">
        <v>-0.27262029999999998</v>
      </c>
      <c r="Q5887">
        <v>5.143547E-3</v>
      </c>
      <c r="R5887">
        <v>0.96210799999999996</v>
      </c>
      <c r="S5887">
        <v>-2.0965580000000001E-2</v>
      </c>
      <c r="T5887">
        <v>-1.0297229999999999</v>
      </c>
      <c r="U5887">
        <v>3.1178889999999999</v>
      </c>
      <c r="V5887">
        <v>-0.17607030000000001</v>
      </c>
      <c r="W5887">
        <v>1.488184E-2</v>
      </c>
      <c r="X5887">
        <v>0.9842651</v>
      </c>
      <c r="Y5887">
        <v>9.2911240000000006E-2</v>
      </c>
      <c r="Z5887">
        <v>-0.31063980000000002</v>
      </c>
      <c r="AA5887">
        <v>0.94597589999999998</v>
      </c>
      <c r="AB5887">
        <v>34</v>
      </c>
      <c r="AC5887">
        <v>3.2099999999985501E-2</v>
      </c>
      <c r="AD5887">
        <v>-0.25456259999999997</v>
      </c>
      <c r="AE5887">
        <v>0.445990000000001</v>
      </c>
      <c r="AF5887">
        <v>5.7562936938887602E-2</v>
      </c>
      <c r="AG5887">
        <v>-0.25456259999999997</v>
      </c>
      <c r="AH5887">
        <v>0.33275105938300997</v>
      </c>
      <c r="AI5887">
        <v>127.01000364750401</v>
      </c>
      <c r="AJ5887">
        <v>80.185479539938299</v>
      </c>
      <c r="AK5887">
        <v>0.42289345767971598</v>
      </c>
      <c r="AL5887">
        <v>89.147301903138498</v>
      </c>
      <c r="AM5887">
        <v>100.142083948205</v>
      </c>
      <c r="AN5887">
        <v>1.00000000339094</v>
      </c>
    </row>
    <row r="5888" spans="1:40" x14ac:dyDescent="0.25">
      <c r="A5888" t="str">
        <f>"20190312151431845"</f>
        <v>20190312151431845</v>
      </c>
      <c r="B5888" t="str">
        <f>"1552374871836174"</f>
        <v>1552374871836174</v>
      </c>
      <c r="C5888" t="s">
        <v>40</v>
      </c>
      <c r="D5888">
        <v>4.8796780000000002</v>
      </c>
      <c r="E5888">
        <v>0.60683920000000002</v>
      </c>
      <c r="F5888" t="s">
        <v>41</v>
      </c>
      <c r="G5888">
        <v>-186.78970000000001</v>
      </c>
      <c r="H5888">
        <v>0.86791479999999999</v>
      </c>
      <c r="I5888">
        <v>-29.54842</v>
      </c>
      <c r="J5888">
        <v>-186.83099999999999</v>
      </c>
      <c r="K5888">
        <v>1.116962</v>
      </c>
      <c r="L5888">
        <v>-29.904820000000001</v>
      </c>
      <c r="M5888">
        <v>-0.1079319</v>
      </c>
      <c r="N5888">
        <v>0</v>
      </c>
      <c r="O5888">
        <v>0.99407009999999996</v>
      </c>
      <c r="P5888">
        <v>-0.27748440000000002</v>
      </c>
      <c r="Q5888">
        <v>4.4646030000000001E-3</v>
      </c>
      <c r="R5888">
        <v>0.96071980000000001</v>
      </c>
      <c r="S5888">
        <v>-2.4902339999999999E-2</v>
      </c>
      <c r="T5888">
        <v>-1.0441530000000001</v>
      </c>
      <c r="U5888">
        <v>3.1166689999999999</v>
      </c>
      <c r="V5888">
        <v>-0.1724484</v>
      </c>
      <c r="W5888">
        <v>1.4412680000000001E-2</v>
      </c>
      <c r="X5888">
        <v>0.98491309999999999</v>
      </c>
      <c r="Y5888">
        <v>0.1003873</v>
      </c>
      <c r="Z5888">
        <v>-0.31413079999999999</v>
      </c>
      <c r="AA5888">
        <v>0.94405729999999999</v>
      </c>
      <c r="AB5888">
        <v>34</v>
      </c>
      <c r="AC5888">
        <v>4.1299999999978299E-2</v>
      </c>
      <c r="AD5888">
        <v>-0.249047199999999</v>
      </c>
      <c r="AE5888">
        <v>0.35639999999999999</v>
      </c>
      <c r="AF5888">
        <v>5.3669406110699001E-2</v>
      </c>
      <c r="AG5888">
        <v>-0.249047199999999</v>
      </c>
      <c r="AH5888">
        <v>0.236099553958564</v>
      </c>
      <c r="AI5888">
        <v>135.80770019211499</v>
      </c>
      <c r="AJ5888">
        <v>77.193330259223004</v>
      </c>
      <c r="AK5888">
        <v>0.347344083524605</v>
      </c>
      <c r="AL5888">
        <v>89.174185668518305</v>
      </c>
      <c r="AM5888">
        <v>99.931246864086106</v>
      </c>
      <c r="AN5888">
        <v>0.99999999527947603</v>
      </c>
    </row>
    <row r="5889" spans="1:40" x14ac:dyDescent="0.25">
      <c r="A5889" t="str">
        <f>"20190312151431932"</f>
        <v>20190312151431932</v>
      </c>
      <c r="B5889" t="str">
        <f>"1552374871925966"</f>
        <v>1552374871925966</v>
      </c>
      <c r="C5889" t="s">
        <v>40</v>
      </c>
      <c r="D5889">
        <v>5.0295920000000001</v>
      </c>
      <c r="E5889">
        <v>0.60832489999999995</v>
      </c>
      <c r="F5889" t="s">
        <v>41</v>
      </c>
      <c r="G5889">
        <v>-186.93190000000001</v>
      </c>
      <c r="H5889">
        <v>0.81944629999999996</v>
      </c>
      <c r="I5889">
        <v>-28.37792</v>
      </c>
      <c r="J5889">
        <v>-187.00710000000001</v>
      </c>
      <c r="K5889">
        <v>1.1153729999999999</v>
      </c>
      <c r="L5889">
        <v>-28.615169999999999</v>
      </c>
      <c r="M5889">
        <v>-0.1319641</v>
      </c>
      <c r="N5889">
        <v>0</v>
      </c>
      <c r="O5889">
        <v>0.99116859999999996</v>
      </c>
      <c r="P5889">
        <v>-0.29416969999999998</v>
      </c>
      <c r="Q5889">
        <v>2.857671E-3</v>
      </c>
      <c r="R5889">
        <v>0.95574890000000001</v>
      </c>
      <c r="S5889">
        <v>-5.2017210000000001E-2</v>
      </c>
      <c r="T5889">
        <v>-1.0639989999999999</v>
      </c>
      <c r="U5889">
        <v>3.1191409999999999</v>
      </c>
      <c r="V5889">
        <v>-0.16566649999999999</v>
      </c>
      <c r="W5889">
        <v>1.3399029999999999E-2</v>
      </c>
      <c r="X5889">
        <v>0.98609080000000005</v>
      </c>
      <c r="Y5889">
        <v>0.1162753</v>
      </c>
      <c r="Z5889">
        <v>-0.31758940000000002</v>
      </c>
      <c r="AA5889">
        <v>0.94107229999999997</v>
      </c>
      <c r="AB5889">
        <v>34</v>
      </c>
      <c r="AC5889">
        <v>7.5199999999995201E-2</v>
      </c>
      <c r="AD5889">
        <v>-0.29592669999999999</v>
      </c>
      <c r="AE5889">
        <v>0.23725000000000299</v>
      </c>
      <c r="AF5889">
        <v>4.3853955071491403E-2</v>
      </c>
      <c r="AG5889">
        <v>-0.29592669999999999</v>
      </c>
      <c r="AH5889">
        <v>9.3318833557832603E-2</v>
      </c>
      <c r="AI5889">
        <v>160.790167700719</v>
      </c>
      <c r="AJ5889">
        <v>64.8294409410329</v>
      </c>
      <c r="AK5889">
        <v>0.313375471032588</v>
      </c>
      <c r="AL5889">
        <v>89.232269153768101</v>
      </c>
      <c r="AM5889">
        <v>99.536819164126101</v>
      </c>
      <c r="AN5889">
        <v>0.99999999453591504</v>
      </c>
    </row>
    <row r="5890" spans="1:40" x14ac:dyDescent="0.25">
      <c r="A5890" t="str">
        <f>"20190312151431956"</f>
        <v>20190312151431956</v>
      </c>
      <c r="B5890" t="str">
        <f>"1552374871946462"</f>
        <v>1552374871946462</v>
      </c>
      <c r="C5890" t="s">
        <v>40</v>
      </c>
      <c r="D5890">
        <v>4.5865619999999998</v>
      </c>
      <c r="E5890">
        <v>0.60835229999999996</v>
      </c>
      <c r="F5890" t="s">
        <v>41</v>
      </c>
      <c r="G5890">
        <v>-187.02670000000001</v>
      </c>
      <c r="H5890">
        <v>0.83101829999999999</v>
      </c>
      <c r="I5890">
        <v>-27.781199999999998</v>
      </c>
      <c r="J5890">
        <v>-187.05850000000001</v>
      </c>
      <c r="K5890">
        <v>1.1150409999999999</v>
      </c>
      <c r="L5890">
        <v>-28.269929999999999</v>
      </c>
      <c r="M5890">
        <v>-0.13738159999999999</v>
      </c>
      <c r="N5890">
        <v>0</v>
      </c>
      <c r="O5890">
        <v>0.9904328</v>
      </c>
      <c r="P5890">
        <v>-0.29813000000000001</v>
      </c>
      <c r="Q5890">
        <v>2.8874349999999998E-3</v>
      </c>
      <c r="R5890">
        <v>0.95452090000000001</v>
      </c>
      <c r="S5890">
        <v>-7.3547360000000006E-2</v>
      </c>
      <c r="T5890">
        <v>-1.0636330000000001</v>
      </c>
      <c r="U5890">
        <v>3.1194459999999999</v>
      </c>
      <c r="V5890">
        <v>-0.16435179999999999</v>
      </c>
      <c r="W5890">
        <v>1.354493E-2</v>
      </c>
      <c r="X5890">
        <v>0.98630879999999999</v>
      </c>
      <c r="Y5890">
        <v>0.1152121</v>
      </c>
      <c r="Z5890">
        <v>-0.31711899999999998</v>
      </c>
      <c r="AA5890">
        <v>0.94136160000000002</v>
      </c>
      <c r="AB5890">
        <v>34</v>
      </c>
      <c r="AC5890">
        <v>3.1800000000003999E-2</v>
      </c>
      <c r="AD5890">
        <v>-0.28402269999999902</v>
      </c>
      <c r="AE5890">
        <v>0.48873</v>
      </c>
      <c r="AF5890">
        <v>7.3820434791801601E-2</v>
      </c>
      <c r="AG5890">
        <v>-0.28402269999999902</v>
      </c>
      <c r="AH5890">
        <v>0.35899443880604998</v>
      </c>
      <c r="AI5890">
        <v>127.773803652133</v>
      </c>
      <c r="AJ5890">
        <v>78.380174973660303</v>
      </c>
      <c r="AK5890">
        <v>0.46367591893672</v>
      </c>
      <c r="AL5890">
        <v>89.223908955987994</v>
      </c>
      <c r="AM5890">
        <v>99.460457002054099</v>
      </c>
      <c r="AN5890">
        <v>1.0000000141246901</v>
      </c>
    </row>
    <row r="5891" spans="1:40" x14ac:dyDescent="0.25">
      <c r="A5891" t="str">
        <f>"20190312151431975"</f>
        <v>20190312151431975</v>
      </c>
      <c r="B5891" t="str">
        <f>"1552374871965982"</f>
        <v>1552374871965982</v>
      </c>
      <c r="C5891" t="s">
        <v>40</v>
      </c>
      <c r="D5891">
        <v>4.6176209999999998</v>
      </c>
      <c r="E5891">
        <v>0.60851679999999997</v>
      </c>
      <c r="F5891" t="s">
        <v>41</v>
      </c>
      <c r="G5891">
        <v>-187.08029999999999</v>
      </c>
      <c r="H5891">
        <v>0.846194</v>
      </c>
      <c r="I5891">
        <v>-27.479970000000002</v>
      </c>
      <c r="J5891">
        <v>-187.10290000000001</v>
      </c>
      <c r="K5891">
        <v>1.1147549999999999</v>
      </c>
      <c r="L5891">
        <v>-27.980409999999999</v>
      </c>
      <c r="M5891">
        <v>-0.1416135</v>
      </c>
      <c r="N5891">
        <v>0</v>
      </c>
      <c r="O5891">
        <v>0.98983699999999997</v>
      </c>
      <c r="P5891">
        <v>-0.30066589999999999</v>
      </c>
      <c r="Q5891">
        <v>1.3438839999999901E-3</v>
      </c>
      <c r="R5891">
        <v>0.95372860000000004</v>
      </c>
      <c r="S5891">
        <v>-8.5968020000000006E-2</v>
      </c>
      <c r="T5891">
        <v>-1.0616209999999999</v>
      </c>
      <c r="U5891">
        <v>3.1192929999999999</v>
      </c>
      <c r="V5891">
        <v>-0.16272729999999999</v>
      </c>
      <c r="W5891">
        <v>1.2104520000000001E-2</v>
      </c>
      <c r="X5891">
        <v>0.98659680000000005</v>
      </c>
      <c r="Y5891">
        <v>0.11570370000000001</v>
      </c>
      <c r="Z5891">
        <v>-0.31629180000000001</v>
      </c>
      <c r="AA5891">
        <v>0.94157959999999996</v>
      </c>
      <c r="AB5891">
        <v>34</v>
      </c>
      <c r="AC5891">
        <v>2.2600000000011201E-2</v>
      </c>
      <c r="AD5891">
        <v>-0.26856099999999899</v>
      </c>
      <c r="AE5891">
        <v>0.500439999999997</v>
      </c>
      <c r="AF5891">
        <v>7.2430271900412097E-2</v>
      </c>
      <c r="AG5891">
        <v>-0.26856099999999899</v>
      </c>
      <c r="AH5891">
        <v>0.38231504621347401</v>
      </c>
      <c r="AI5891">
        <v>124.612781985772</v>
      </c>
      <c r="AJ5891">
        <v>79.272351381708205</v>
      </c>
      <c r="AK5891">
        <v>0.47279588573694098</v>
      </c>
      <c r="AL5891">
        <v>89.306445132687998</v>
      </c>
      <c r="AM5891">
        <v>99.365926703403005</v>
      </c>
      <c r="AN5891">
        <v>0.99999996966997895</v>
      </c>
    </row>
    <row r="5892" spans="1:40" x14ac:dyDescent="0.25">
      <c r="A5892" t="str">
        <f>"20190312151432001"</f>
        <v>20190312151432001</v>
      </c>
      <c r="B5892" t="str">
        <f>"1552374871996238"</f>
        <v>1552374871996238</v>
      </c>
      <c r="C5892" t="s">
        <v>40</v>
      </c>
      <c r="D5892">
        <v>4.636647</v>
      </c>
      <c r="E5892">
        <v>0.60883569999999998</v>
      </c>
      <c r="F5892" t="s">
        <v>41</v>
      </c>
      <c r="G5892">
        <v>-187.12639999999999</v>
      </c>
      <c r="H5892">
        <v>0.84292880000000003</v>
      </c>
      <c r="I5892">
        <v>-27.184989999999999</v>
      </c>
      <c r="J5892">
        <v>-187.1635</v>
      </c>
      <c r="K5892">
        <v>1.1143529999999999</v>
      </c>
      <c r="L5892">
        <v>-27.59525</v>
      </c>
      <c r="M5892">
        <v>-0.1467908</v>
      </c>
      <c r="N5892">
        <v>0</v>
      </c>
      <c r="O5892">
        <v>0.98908309999999999</v>
      </c>
      <c r="P5892">
        <v>-0.3042917</v>
      </c>
      <c r="Q5892">
        <v>5.8380360000000002E-4</v>
      </c>
      <c r="R5892">
        <v>0.9525787</v>
      </c>
      <c r="S5892">
        <v>-9.2300419999999994E-2</v>
      </c>
      <c r="T5892">
        <v>-1.0655680000000001</v>
      </c>
      <c r="U5892">
        <v>3.11795</v>
      </c>
      <c r="V5892">
        <v>-0.1612973</v>
      </c>
      <c r="W5892">
        <v>1.1479430000000001E-2</v>
      </c>
      <c r="X5892">
        <v>0.98683909999999997</v>
      </c>
      <c r="Y5892">
        <v>0.1189853</v>
      </c>
      <c r="Z5892">
        <v>-0.3170403</v>
      </c>
      <c r="AA5892">
        <v>0.9409187</v>
      </c>
      <c r="AB5892">
        <v>34</v>
      </c>
      <c r="AC5892">
        <v>3.7100000000009403E-2</v>
      </c>
      <c r="AD5892">
        <v>-0.2714242</v>
      </c>
      <c r="AE5892">
        <v>0.41025999999999702</v>
      </c>
      <c r="AF5892">
        <v>6.7583827111967407E-2</v>
      </c>
      <c r="AG5892">
        <v>-0.2714242</v>
      </c>
      <c r="AH5892">
        <v>0.27916759858402501</v>
      </c>
      <c r="AI5892">
        <v>133.37920186999699</v>
      </c>
      <c r="AJ5892">
        <v>76.391066442907004</v>
      </c>
      <c r="AK5892">
        <v>0.39518757335208798</v>
      </c>
      <c r="AL5892">
        <v>89.342262665273097</v>
      </c>
      <c r="AM5892">
        <v>99.282821201939299</v>
      </c>
      <c r="AN5892">
        <v>1.0000000027946101</v>
      </c>
    </row>
    <row r="5893" spans="1:40" x14ac:dyDescent="0.25">
      <c r="A5893" t="str">
        <f>"20190312151432022"</f>
        <v>20190312151432022</v>
      </c>
      <c r="B5893" t="str">
        <f>"1552374872016734"</f>
        <v>1552374872016734</v>
      </c>
      <c r="C5893" t="s">
        <v>40</v>
      </c>
      <c r="D5893">
        <v>4.8831369999999996</v>
      </c>
      <c r="E5893">
        <v>0.60912999999999995</v>
      </c>
      <c r="F5893" t="s">
        <v>41</v>
      </c>
      <c r="G5893">
        <v>-187.1866</v>
      </c>
      <c r="H5893">
        <v>0.8691257</v>
      </c>
      <c r="I5893">
        <v>-26.880320000000001</v>
      </c>
      <c r="J5893">
        <v>-187.2131</v>
      </c>
      <c r="K5893">
        <v>1.114009</v>
      </c>
      <c r="L5893">
        <v>-27.287600000000001</v>
      </c>
      <c r="M5893">
        <v>-0.15056349999999999</v>
      </c>
      <c r="N5893">
        <v>0</v>
      </c>
      <c r="O5893">
        <v>0.98851630000000001</v>
      </c>
      <c r="P5893">
        <v>-0.30630200000000002</v>
      </c>
      <c r="Q5893">
        <v>-1.8806899999999999E-4</v>
      </c>
      <c r="R5893">
        <v>0.95193439999999996</v>
      </c>
      <c r="S5893">
        <v>-0.1010284</v>
      </c>
      <c r="T5893">
        <v>-1.069591</v>
      </c>
      <c r="U5893">
        <v>3.117737</v>
      </c>
      <c r="V5893">
        <v>-0.15959660000000001</v>
      </c>
      <c r="W5893">
        <v>1.083049E-2</v>
      </c>
      <c r="X5893">
        <v>0.98712290000000003</v>
      </c>
      <c r="Y5893">
        <v>0.12014900000000001</v>
      </c>
      <c r="Z5893">
        <v>-0.31782870000000002</v>
      </c>
      <c r="AA5893">
        <v>0.94050469999999997</v>
      </c>
      <c r="AB5893">
        <v>34</v>
      </c>
      <c r="AC5893">
        <v>2.6499999999998601E-2</v>
      </c>
      <c r="AD5893">
        <v>-0.2448833</v>
      </c>
      <c r="AE5893">
        <v>0.40727999999999998</v>
      </c>
      <c r="AF5893">
        <v>6.4356416113391005E-2</v>
      </c>
      <c r="AG5893">
        <v>-0.2448833</v>
      </c>
      <c r="AH5893">
        <v>0.29312304109630299</v>
      </c>
      <c r="AI5893">
        <v>129.21419504092</v>
      </c>
      <c r="AJ5893">
        <v>77.616943050000899</v>
      </c>
      <c r="AK5893">
        <v>0.38733796113393698</v>
      </c>
      <c r="AL5893">
        <v>89.379446498890104</v>
      </c>
      <c r="AM5893">
        <v>99.184025572023003</v>
      </c>
      <c r="AN5893">
        <v>0.99999999697480502</v>
      </c>
    </row>
    <row r="5894" spans="1:40" x14ac:dyDescent="0.25">
      <c r="A5894" t="str">
        <f>"20190312151432046"</f>
        <v>20190312151432046</v>
      </c>
      <c r="B5894" t="str">
        <f>"1552374872036254"</f>
        <v>1552374872036254</v>
      </c>
      <c r="C5894" t="s">
        <v>40</v>
      </c>
      <c r="D5894">
        <v>4.9022649999999999</v>
      </c>
      <c r="E5894">
        <v>0.60944339999999997</v>
      </c>
      <c r="F5894" t="s">
        <v>41</v>
      </c>
      <c r="G5894">
        <v>-187.23670000000001</v>
      </c>
      <c r="H5894">
        <v>0.87132369999999904</v>
      </c>
      <c r="I5894">
        <v>-26.583680000000001</v>
      </c>
      <c r="J5894">
        <v>-187.27019999999999</v>
      </c>
      <c r="K5894">
        <v>1.1136159999999999</v>
      </c>
      <c r="L5894">
        <v>-26.939789999999999</v>
      </c>
      <c r="M5894">
        <v>-0.15447669999999999</v>
      </c>
      <c r="N5894">
        <v>0</v>
      </c>
      <c r="O5894">
        <v>0.98791280000000004</v>
      </c>
      <c r="P5894">
        <v>-0.30896050000000003</v>
      </c>
      <c r="Q5894">
        <v>-1.019409E-3</v>
      </c>
      <c r="R5894">
        <v>0.95107430000000004</v>
      </c>
      <c r="S5894">
        <v>-0.1053162</v>
      </c>
      <c r="T5894">
        <v>-1.074953</v>
      </c>
      <c r="U5894">
        <v>3.1173709999999999</v>
      </c>
      <c r="V5894">
        <v>-0.1584266</v>
      </c>
      <c r="W5894">
        <v>1.0129579999999999E-2</v>
      </c>
      <c r="X5894">
        <v>0.98731880000000005</v>
      </c>
      <c r="Y5894">
        <v>0.12279619999999999</v>
      </c>
      <c r="Z5894">
        <v>-0.31894070000000002</v>
      </c>
      <c r="AA5894">
        <v>0.93978609999999896</v>
      </c>
      <c r="AB5894">
        <v>34</v>
      </c>
      <c r="AC5894">
        <v>3.3499999999975202E-2</v>
      </c>
      <c r="AD5894">
        <v>-0.24229229999999999</v>
      </c>
      <c r="AE5894">
        <v>0.35611000000000398</v>
      </c>
      <c r="AF5894">
        <v>6.0398382216382399E-2</v>
      </c>
      <c r="AG5894">
        <v>-0.24229229999999999</v>
      </c>
      <c r="AH5894">
        <v>0.23762268266440001</v>
      </c>
      <c r="AI5894">
        <v>134.66076744922299</v>
      </c>
      <c r="AJ5894">
        <v>75.738695686746098</v>
      </c>
      <c r="AK5894">
        <v>0.34469996015415</v>
      </c>
      <c r="AL5894">
        <v>89.419607894511799</v>
      </c>
      <c r="AM5894">
        <v>99.116053899409806</v>
      </c>
      <c r="AN5894">
        <v>1.00000000440598</v>
      </c>
    </row>
    <row r="5895" spans="1:40" x14ac:dyDescent="0.25">
      <c r="A5895" t="str">
        <f>"20190312151432088"</f>
        <v>20190312151432088</v>
      </c>
      <c r="B5895" t="str">
        <f>"1552374872086031"</f>
        <v>1552374872086031</v>
      </c>
      <c r="C5895" t="s">
        <v>40</v>
      </c>
      <c r="D5895">
        <v>4.9726589999999904</v>
      </c>
      <c r="E5895">
        <v>0.60986619999999903</v>
      </c>
      <c r="F5895" t="s">
        <v>41</v>
      </c>
      <c r="G5895">
        <v>-187.30279999999999</v>
      </c>
      <c r="H5895">
        <v>0.79418929999999999</v>
      </c>
      <c r="I5895">
        <v>-26.017379999999999</v>
      </c>
      <c r="J5895">
        <v>-187.37649999999999</v>
      </c>
      <c r="K5895">
        <v>1.113002</v>
      </c>
      <c r="L5895">
        <v>-26.307559999999999</v>
      </c>
      <c r="M5895">
        <v>-0.160627399999999</v>
      </c>
      <c r="N5895">
        <v>0</v>
      </c>
      <c r="O5895">
        <v>0.98693220000000004</v>
      </c>
      <c r="P5895">
        <v>-0.31216509999999997</v>
      </c>
      <c r="Q5895">
        <v>3.7908940000000002E-4</v>
      </c>
      <c r="R5895">
        <v>0.95002779999999998</v>
      </c>
      <c r="S5895">
        <v>-0.11067200000000001</v>
      </c>
      <c r="T5895">
        <v>-1.0795859999999999</v>
      </c>
      <c r="U5895">
        <v>3.1172179999999998</v>
      </c>
      <c r="V5895">
        <v>-0.1555994</v>
      </c>
      <c r="W5895">
        <v>1.174263E-2</v>
      </c>
      <c r="X5895">
        <v>0.98775049999999998</v>
      </c>
      <c r="Y5895">
        <v>0.12736980000000001</v>
      </c>
      <c r="Z5895">
        <v>-0.31961070000000003</v>
      </c>
      <c r="AA5895">
        <v>0.93894929999999999</v>
      </c>
      <c r="AB5895">
        <v>34</v>
      </c>
      <c r="AC5895">
        <v>7.3700000000002305E-2</v>
      </c>
      <c r="AD5895">
        <v>-0.3188127</v>
      </c>
      <c r="AE5895">
        <v>0.29017999999999899</v>
      </c>
      <c r="AF5895">
        <v>5.5933067027423601E-2</v>
      </c>
      <c r="AG5895">
        <v>-0.3188127</v>
      </c>
      <c r="AH5895">
        <v>0.12866943713099299</v>
      </c>
      <c r="AI5895">
        <v>156.24700123164101</v>
      </c>
      <c r="AJ5895">
        <v>66.505241795035204</v>
      </c>
      <c r="AK5895">
        <v>0.34831863246170303</v>
      </c>
      <c r="AL5895">
        <v>89.327181435570097</v>
      </c>
      <c r="AM5895">
        <v>98.952182920972504</v>
      </c>
      <c r="AN5895">
        <v>1.00000005644496</v>
      </c>
    </row>
    <row r="5896" spans="1:40" x14ac:dyDescent="0.25">
      <c r="A5896" t="str">
        <f>"20190312151432111"</f>
        <v>20190312151432111</v>
      </c>
      <c r="B5896" t="str">
        <f>"1552374872106526"</f>
        <v>1552374872106526</v>
      </c>
      <c r="C5896" t="s">
        <v>40</v>
      </c>
      <c r="D5896">
        <v>4.7128459999999999</v>
      </c>
      <c r="E5896">
        <v>0.609990699999999</v>
      </c>
      <c r="F5896" t="s">
        <v>41</v>
      </c>
      <c r="G5896">
        <v>-187.40979999999999</v>
      </c>
      <c r="H5896">
        <v>0.80775989999999998</v>
      </c>
      <c r="I5896">
        <v>-25.421309999999998</v>
      </c>
      <c r="J5896">
        <v>-187.4359</v>
      </c>
      <c r="K5896">
        <v>1.112757</v>
      </c>
      <c r="L5896">
        <v>-25.962620000000001</v>
      </c>
      <c r="M5896">
        <v>-0.16359000000000001</v>
      </c>
      <c r="N5896">
        <v>0</v>
      </c>
      <c r="O5896">
        <v>0.98644580000000004</v>
      </c>
      <c r="P5896">
        <v>-0.31295339999999999</v>
      </c>
      <c r="Q5896">
        <v>1.3781310000000001E-3</v>
      </c>
      <c r="R5896">
        <v>0.94976749999999999</v>
      </c>
      <c r="S5896">
        <v>-0.11763</v>
      </c>
      <c r="T5896">
        <v>-1.0745150000000001</v>
      </c>
      <c r="U5896">
        <v>3.1195680000000001</v>
      </c>
      <c r="V5896">
        <v>-0.15345300000000001</v>
      </c>
      <c r="W5896">
        <v>1.28345E-2</v>
      </c>
      <c r="X5896">
        <v>0.98807259999999997</v>
      </c>
      <c r="Y5896">
        <v>0.12825889999999901</v>
      </c>
      <c r="Z5896">
        <v>-0.31779269999999998</v>
      </c>
      <c r="AA5896">
        <v>0.93944530000000004</v>
      </c>
      <c r="AB5896">
        <v>34</v>
      </c>
      <c r="AC5896">
        <v>2.6100000000013699E-2</v>
      </c>
      <c r="AD5896">
        <v>-0.30499709999999902</v>
      </c>
      <c r="AE5896">
        <v>0.54130999999999896</v>
      </c>
      <c r="AF5896">
        <v>8.6812293352081002E-2</v>
      </c>
      <c r="AG5896">
        <v>-0.30499709999999902</v>
      </c>
      <c r="AH5896">
        <v>0.40231936097062998</v>
      </c>
      <c r="AI5896">
        <v>126.53998142599499</v>
      </c>
      <c r="AJ5896">
        <v>77.823434799947194</v>
      </c>
      <c r="AK5896">
        <v>0.51226992249913905</v>
      </c>
      <c r="AL5896">
        <v>89.264617131497701</v>
      </c>
      <c r="AM5896">
        <v>98.8278192097724</v>
      </c>
      <c r="AN5896">
        <v>1.000000005235</v>
      </c>
    </row>
    <row r="5897" spans="1:40" x14ac:dyDescent="0.25">
      <c r="A5897" t="str">
        <f>"20190312151432154"</f>
        <v>20190312151432154</v>
      </c>
      <c r="B5897" t="str">
        <f>"1552374872146542"</f>
        <v>1552374872146542</v>
      </c>
      <c r="C5897" t="s">
        <v>40</v>
      </c>
      <c r="D5897">
        <v>4.7752589999999904</v>
      </c>
      <c r="E5897">
        <v>0.57910689999999998</v>
      </c>
      <c r="F5897" t="s">
        <v>41</v>
      </c>
      <c r="G5897">
        <v>-187.4682</v>
      </c>
      <c r="H5897">
        <v>0.82419659999999995</v>
      </c>
      <c r="I5897">
        <v>-25.120270000000001</v>
      </c>
      <c r="J5897">
        <v>-187.54499999999999</v>
      </c>
      <c r="K5897">
        <v>1.112409</v>
      </c>
      <c r="L5897">
        <v>-25.340450000000001</v>
      </c>
      <c r="M5897">
        <v>-0.1683993</v>
      </c>
      <c r="N5897">
        <v>0</v>
      </c>
      <c r="O5897">
        <v>0.98563679999999998</v>
      </c>
      <c r="P5897">
        <v>-0.31353109999999901</v>
      </c>
      <c r="Q5897">
        <v>4.4087320000000003E-3</v>
      </c>
      <c r="R5897">
        <v>0.94956770000000001</v>
      </c>
      <c r="S5897">
        <v>-0.11999509999999999</v>
      </c>
      <c r="T5897">
        <v>-1.06908799999999</v>
      </c>
      <c r="U5897">
        <v>3.1206969999999998</v>
      </c>
      <c r="V5897">
        <v>-0.1492426</v>
      </c>
      <c r="W5897">
        <v>1.599894E-2</v>
      </c>
      <c r="X5897">
        <v>0.98867119999999997</v>
      </c>
      <c r="Y5897">
        <v>0.13237019999999999</v>
      </c>
      <c r="Z5897">
        <v>-0.31577690000000003</v>
      </c>
      <c r="AA5897">
        <v>0.93955480000000002</v>
      </c>
      <c r="AB5897">
        <v>34</v>
      </c>
      <c r="AC5897">
        <v>7.67999999999915E-2</v>
      </c>
      <c r="AD5897">
        <v>-0.28821239999999898</v>
      </c>
      <c r="AE5897">
        <v>0.22017999999999899</v>
      </c>
      <c r="AF5897">
        <v>4.4621265979820302E-2</v>
      </c>
      <c r="AG5897">
        <v>-0.28821239999999898</v>
      </c>
      <c r="AH5897">
        <v>8.0749289275487399E-2</v>
      </c>
      <c r="AI5897">
        <v>162.24994554036101</v>
      </c>
      <c r="AJ5897">
        <v>61.075390334839703</v>
      </c>
      <c r="AK5897">
        <v>0.30261839436805199</v>
      </c>
      <c r="AL5897">
        <v>89.083289178832601</v>
      </c>
      <c r="AM5897">
        <v>98.584143405198901</v>
      </c>
      <c r="AN5897">
        <v>1.00000003072266</v>
      </c>
    </row>
    <row r="5898" spans="1:40" x14ac:dyDescent="0.25">
      <c r="A5898" t="str">
        <f>"20190312151432175"</f>
        <v>20190312151432175</v>
      </c>
      <c r="B5898" t="str">
        <f>"1552374872166062"</f>
        <v>1552374872166062</v>
      </c>
      <c r="C5898" t="s">
        <v>40</v>
      </c>
      <c r="D5898">
        <v>4.7874840000000001</v>
      </c>
      <c r="E5898">
        <v>0.56479599999999996</v>
      </c>
      <c r="F5898" t="s">
        <v>41</v>
      </c>
      <c r="G5898">
        <v>-187.64269999999999</v>
      </c>
      <c r="H5898">
        <v>0.94798839999999995</v>
      </c>
      <c r="I5898">
        <v>-24.487860000000001</v>
      </c>
      <c r="J5898">
        <v>-187.60230000000001</v>
      </c>
      <c r="K5898">
        <v>1.1122369999999999</v>
      </c>
      <c r="L5898">
        <v>-25.019469999999998</v>
      </c>
      <c r="M5898">
        <v>-0.17064579999999999</v>
      </c>
      <c r="N5898">
        <v>0</v>
      </c>
      <c r="O5898">
        <v>0.98525059999999998</v>
      </c>
      <c r="P5898">
        <v>-0.3127722</v>
      </c>
      <c r="Q5898">
        <v>6.3426690000000004E-3</v>
      </c>
      <c r="R5898">
        <v>0.94980699999999996</v>
      </c>
      <c r="S5898">
        <v>-0.34934999999999999</v>
      </c>
      <c r="T5898">
        <v>-0.587557</v>
      </c>
      <c r="U5898">
        <v>3.0466920000000002</v>
      </c>
      <c r="V5898">
        <v>-0.14620420000000001</v>
      </c>
      <c r="W5898">
        <v>1.8002799999999999E-2</v>
      </c>
      <c r="X5898">
        <v>0.98909060000000004</v>
      </c>
      <c r="Y5898">
        <v>5.9283669999999997E-2</v>
      </c>
      <c r="Z5898">
        <v>-0.18449969999999999</v>
      </c>
      <c r="AA5898">
        <v>0.981043</v>
      </c>
      <c r="AB5898">
        <v>34</v>
      </c>
      <c r="AC5898">
        <v>-4.0399999999976899E-2</v>
      </c>
      <c r="AD5898">
        <v>-0.16424859999999999</v>
      </c>
      <c r="AE5898">
        <v>0.53161000000000003</v>
      </c>
      <c r="AF5898">
        <v>4.65033230082363E-2</v>
      </c>
      <c r="AG5898">
        <v>-0.16424859999999999</v>
      </c>
      <c r="AH5898">
        <v>0.48470241356198202</v>
      </c>
      <c r="AI5898">
        <v>108.64006921671</v>
      </c>
      <c r="AJ5898">
        <v>84.519701908445896</v>
      </c>
      <c r="AK5898">
        <v>0.51388383061308596</v>
      </c>
      <c r="AL5898">
        <v>88.968459806665393</v>
      </c>
      <c r="AM5898">
        <v>98.408390588024602</v>
      </c>
      <c r="AN5898">
        <v>0.99999999195692002</v>
      </c>
    </row>
    <row r="5899" spans="1:40" x14ac:dyDescent="0.25">
      <c r="A5899" t="str">
        <f>"20190312151432199"</f>
        <v>20190312151432199</v>
      </c>
      <c r="B5899" t="str">
        <f>"1552374872196319"</f>
        <v>1552374872196319</v>
      </c>
      <c r="C5899" t="s">
        <v>40</v>
      </c>
      <c r="D5899">
        <v>4.7258719999999999</v>
      </c>
      <c r="E5899">
        <v>0.55847819999999904</v>
      </c>
      <c r="F5899" t="s">
        <v>41</v>
      </c>
      <c r="G5899">
        <v>-187.72900000000001</v>
      </c>
      <c r="H5899">
        <v>0.9903805</v>
      </c>
      <c r="I5899">
        <v>-24.176850000000002</v>
      </c>
      <c r="J5899">
        <v>-187.66390000000001</v>
      </c>
      <c r="K5899">
        <v>1.112066</v>
      </c>
      <c r="L5899">
        <v>-24.6785</v>
      </c>
      <c r="M5899">
        <v>-0.17290349999999999</v>
      </c>
      <c r="N5899">
        <v>0</v>
      </c>
      <c r="O5899">
        <v>0.98485710000000004</v>
      </c>
      <c r="P5899">
        <v>-0.31160300000000002</v>
      </c>
      <c r="Q5899">
        <v>7.6954980000000003E-3</v>
      </c>
      <c r="R5899">
        <v>0.95018119999999995</v>
      </c>
      <c r="S5899">
        <v>-0.45341490000000001</v>
      </c>
      <c r="T5899">
        <v>-0.43564589999999997</v>
      </c>
      <c r="U5899">
        <v>3.0121150000000001</v>
      </c>
      <c r="V5899">
        <v>-0.14272019999999999</v>
      </c>
      <c r="W5899">
        <v>1.942638E-2</v>
      </c>
      <c r="X5899">
        <v>0.98957240000000002</v>
      </c>
      <c r="Y5899">
        <v>2.5850169999999999E-2</v>
      </c>
      <c r="Z5899">
        <v>-0.13914960000000001</v>
      </c>
      <c r="AA5899">
        <v>0.98993390000000003</v>
      </c>
      <c r="AB5899">
        <v>34</v>
      </c>
      <c r="AC5899">
        <v>-6.5100000000001004E-2</v>
      </c>
      <c r="AD5899">
        <v>-0.1216855</v>
      </c>
      <c r="AE5899">
        <v>0.50164999999999704</v>
      </c>
      <c r="AF5899">
        <v>2.1387079743276499E-2</v>
      </c>
      <c r="AG5899">
        <v>-0.1216855</v>
      </c>
      <c r="AH5899">
        <v>0.47770724735003101</v>
      </c>
      <c r="AI5899">
        <v>104.27721213463001</v>
      </c>
      <c r="AJ5899">
        <v>87.436564587508101</v>
      </c>
      <c r="AK5899">
        <v>0.49342576165107099</v>
      </c>
      <c r="AL5899">
        <v>88.886880380840495</v>
      </c>
      <c r="AM5899">
        <v>98.206842716519205</v>
      </c>
      <c r="AN5899">
        <v>0.99999998728485195</v>
      </c>
    </row>
    <row r="5900" spans="1:40" x14ac:dyDescent="0.25">
      <c r="A5900" t="str">
        <f>"20190312151432220"</f>
        <v>20190312151432220</v>
      </c>
      <c r="B5900" t="str">
        <f>"1552374872216075"</f>
        <v>1552374872216075</v>
      </c>
      <c r="C5900" t="s">
        <v>40</v>
      </c>
      <c r="D5900">
        <v>4.7846950000000001</v>
      </c>
      <c r="E5900">
        <v>0.55723420000000001</v>
      </c>
      <c r="F5900" t="s">
        <v>41</v>
      </c>
      <c r="G5900">
        <v>-187.798</v>
      </c>
      <c r="H5900">
        <v>1.0236160000000001</v>
      </c>
      <c r="I5900">
        <v>-23.867830000000001</v>
      </c>
      <c r="J5900">
        <v>-187.7244</v>
      </c>
      <c r="K5900">
        <v>1.11192</v>
      </c>
      <c r="L5900">
        <v>-24.34656</v>
      </c>
      <c r="M5900">
        <v>-0.17497879999999999</v>
      </c>
      <c r="N5900">
        <v>0</v>
      </c>
      <c r="O5900">
        <v>0.9844908</v>
      </c>
      <c r="P5900">
        <v>-0.30929610000000002</v>
      </c>
      <c r="Q5900">
        <v>9.5280629999999998E-3</v>
      </c>
      <c r="R5900">
        <v>0.95091809999999999</v>
      </c>
      <c r="S5900">
        <v>-0.49607849999999998</v>
      </c>
      <c r="T5900">
        <v>-0.32706429999999997</v>
      </c>
      <c r="U5900">
        <v>2.9972530000000002</v>
      </c>
      <c r="V5900">
        <v>-0.13823589999999999</v>
      </c>
      <c r="W5900">
        <v>2.1330950000000001E-2</v>
      </c>
      <c r="X5900">
        <v>0.99016959999999998</v>
      </c>
      <c r="Y5900">
        <v>1.279579E-2</v>
      </c>
      <c r="Z5900">
        <v>-0.1052757</v>
      </c>
      <c r="AA5900">
        <v>0.99436069999999999</v>
      </c>
      <c r="AB5900">
        <v>34</v>
      </c>
      <c r="AC5900">
        <v>-7.3599999999999E-2</v>
      </c>
      <c r="AD5900">
        <v>-8.8303999999999896E-2</v>
      </c>
      <c r="AE5900">
        <v>0.47873000000000199</v>
      </c>
      <c r="AF5900">
        <v>1.0946156940631399E-2</v>
      </c>
      <c r="AG5900">
        <v>-8.8303999999999896E-2</v>
      </c>
      <c r="AH5900">
        <v>0.46864571723549298</v>
      </c>
      <c r="AI5900">
        <v>100.667935377302</v>
      </c>
      <c r="AJ5900">
        <v>88.661985891749396</v>
      </c>
      <c r="AK5900">
        <v>0.47701805317088197</v>
      </c>
      <c r="AL5900">
        <v>88.777733895868593</v>
      </c>
      <c r="AM5900">
        <v>97.947598185140606</v>
      </c>
      <c r="AN5900">
        <v>1.0000000051204301</v>
      </c>
    </row>
    <row r="5901" spans="1:40" x14ac:dyDescent="0.25">
      <c r="A5901" t="str">
        <f>"20190312151432246"</f>
        <v>20190312151432246</v>
      </c>
      <c r="B5901" t="str">
        <f>"1552374872236572"</f>
        <v>1552374872236572</v>
      </c>
      <c r="C5901" t="s">
        <v>40</v>
      </c>
      <c r="D5901">
        <v>4.6350790000000002</v>
      </c>
      <c r="E5901">
        <v>0.55593599999999999</v>
      </c>
      <c r="F5901" t="s">
        <v>41</v>
      </c>
      <c r="G5901">
        <v>-187.8535</v>
      </c>
      <c r="H5901">
        <v>1.0321959999999999</v>
      </c>
      <c r="I5901">
        <v>-23.568909999999999</v>
      </c>
      <c r="J5901">
        <v>-187.79</v>
      </c>
      <c r="K5901">
        <v>1.1117709999999901</v>
      </c>
      <c r="L5901">
        <v>-23.990169999999999</v>
      </c>
      <c r="M5901">
        <v>-0.1770835</v>
      </c>
      <c r="N5901">
        <v>0</v>
      </c>
      <c r="O5901">
        <v>0.98411459999999995</v>
      </c>
      <c r="P5901">
        <v>-0.30718709999999999</v>
      </c>
      <c r="Q5901">
        <v>1.14234E-2</v>
      </c>
      <c r="R5901">
        <v>0.9515806</v>
      </c>
      <c r="S5901">
        <v>-0.49798579999999998</v>
      </c>
      <c r="T5901">
        <v>-0.30720310000000001</v>
      </c>
      <c r="U5901">
        <v>2.9959410000000002</v>
      </c>
      <c r="V5901">
        <v>-0.13392599999999999</v>
      </c>
      <c r="W5901">
        <v>2.329169E-2</v>
      </c>
      <c r="X5901">
        <v>0.99071759999999998</v>
      </c>
      <c r="Y5901">
        <v>1.413939E-2</v>
      </c>
      <c r="Z5901">
        <v>-9.8929180000000005E-2</v>
      </c>
      <c r="AA5901">
        <v>0.99499400000000005</v>
      </c>
      <c r="AB5901">
        <v>34</v>
      </c>
      <c r="AC5901">
        <v>-6.3500000000004705E-2</v>
      </c>
      <c r="AD5901">
        <v>-7.9574999999999896E-2</v>
      </c>
      <c r="AE5901">
        <v>0.42126000000000302</v>
      </c>
      <c r="AF5901">
        <v>1.16996893271104E-2</v>
      </c>
      <c r="AG5901">
        <v>-7.9574999999999896E-2</v>
      </c>
      <c r="AH5901">
        <v>0.41149025824459501</v>
      </c>
      <c r="AI5901">
        <v>100.940584360906</v>
      </c>
      <c r="AJ5901">
        <v>88.371377553164095</v>
      </c>
      <c r="AK5901">
        <v>0.41927711121113498</v>
      </c>
      <c r="AL5901">
        <v>88.665363798928396</v>
      </c>
      <c r="AM5901">
        <v>97.698621316112593</v>
      </c>
      <c r="AN5901">
        <v>1.0000000196244001</v>
      </c>
    </row>
    <row r="5902" spans="1:40" x14ac:dyDescent="0.25">
      <c r="A5902" t="str">
        <f>"20190312151432289"</f>
        <v>20190312151432289</v>
      </c>
      <c r="B5902" t="str">
        <f>"1552374872286349"</f>
        <v>1552374872286349</v>
      </c>
      <c r="C5902" t="s">
        <v>40</v>
      </c>
      <c r="D5902">
        <v>4.7234749999999996</v>
      </c>
      <c r="E5902">
        <v>0.55478839999999996</v>
      </c>
      <c r="F5902" t="s">
        <v>41</v>
      </c>
      <c r="G5902">
        <v>-187.91069999999999</v>
      </c>
      <c r="H5902">
        <v>1.0409010000000001</v>
      </c>
      <c r="I5902">
        <v>-23.268409999999999</v>
      </c>
      <c r="J5902">
        <v>-187.90710000000001</v>
      </c>
      <c r="K5902">
        <v>1.1115630000000001</v>
      </c>
      <c r="L5902">
        <v>-23.362950000000001</v>
      </c>
      <c r="M5902">
        <v>-0.18048400000000001</v>
      </c>
      <c r="N5902">
        <v>0</v>
      </c>
      <c r="O5902">
        <v>0.98349699999999995</v>
      </c>
      <c r="P5902">
        <v>-0.2997977</v>
      </c>
      <c r="Q5902">
        <v>1.42305E-2</v>
      </c>
      <c r="R5902">
        <v>0.95389659999999998</v>
      </c>
      <c r="S5902">
        <v>-0.50119020000000003</v>
      </c>
      <c r="T5902">
        <v>-0.2940487</v>
      </c>
      <c r="U5902">
        <v>2.9943849999999999</v>
      </c>
      <c r="V5902">
        <v>-0.12281350000000001</v>
      </c>
      <c r="W5902">
        <v>2.6213799999999999E-2</v>
      </c>
      <c r="X5902">
        <v>0.99208350000000001</v>
      </c>
      <c r="Y5902">
        <v>1.6407060000000001E-2</v>
      </c>
      <c r="Z5902">
        <v>-9.46824E-2</v>
      </c>
      <c r="AA5902">
        <v>0.99537229999999999</v>
      </c>
      <c r="AB5902">
        <v>34</v>
      </c>
      <c r="AC5902">
        <v>-3.5999999999773899E-3</v>
      </c>
      <c r="AD5902">
        <v>-7.0661999999999697E-2</v>
      </c>
      <c r="AE5902">
        <v>9.4540000000001997E-2</v>
      </c>
      <c r="AF5902">
        <v>8.6808820511331004E-3</v>
      </c>
      <c r="AG5902">
        <v>-7.0661999999999697E-2</v>
      </c>
      <c r="AH5902">
        <v>6.0106858491169597E-2</v>
      </c>
      <c r="AI5902">
        <v>139.32257389964801</v>
      </c>
      <c r="AJ5902">
        <v>81.781929678159997</v>
      </c>
      <c r="AK5902">
        <v>9.3173549867240399E-2</v>
      </c>
      <c r="AL5902">
        <v>88.497887821301703</v>
      </c>
      <c r="AM5902">
        <v>97.056943051807096</v>
      </c>
      <c r="AN5902">
        <v>0.99999999503246995</v>
      </c>
    </row>
    <row r="5903" spans="1:40" x14ac:dyDescent="0.25">
      <c r="A5903" t="str">
        <f>"20190312151432310"</f>
        <v>20190312151432310</v>
      </c>
      <c r="B5903" t="str">
        <f>"1552374872305867"</f>
        <v>1552374872305867</v>
      </c>
      <c r="C5903" t="s">
        <v>40</v>
      </c>
      <c r="D5903">
        <v>4.655977</v>
      </c>
      <c r="E5903">
        <v>0.55432919999999997</v>
      </c>
      <c r="F5903" t="s">
        <v>41</v>
      </c>
      <c r="G5903">
        <v>-188.0643</v>
      </c>
      <c r="H5903">
        <v>1.022313</v>
      </c>
      <c r="I5903">
        <v>-22.39357</v>
      </c>
      <c r="J5903">
        <v>-187.96799999999999</v>
      </c>
      <c r="K5903">
        <v>1.1114740000000001</v>
      </c>
      <c r="L5903">
        <v>-23.041170000000001</v>
      </c>
      <c r="M5903">
        <v>-0.1821188</v>
      </c>
      <c r="N5903">
        <v>0</v>
      </c>
      <c r="O5903">
        <v>0.98319570000000001</v>
      </c>
      <c r="P5903">
        <v>-0.2962052</v>
      </c>
      <c r="Q5903">
        <v>1.4815750000000001E-2</v>
      </c>
      <c r="R5903">
        <v>0.95500940000000001</v>
      </c>
      <c r="S5903">
        <v>-0.48619079999999898</v>
      </c>
      <c r="T5903">
        <v>-0.2758758</v>
      </c>
      <c r="U5903">
        <v>2.9963069999999998</v>
      </c>
      <c r="V5903">
        <v>-0.1174253</v>
      </c>
      <c r="W5903">
        <v>2.684539E-2</v>
      </c>
      <c r="X5903">
        <v>0.99271880000000001</v>
      </c>
      <c r="Y5903">
        <v>2.2936129999999999E-2</v>
      </c>
      <c r="Z5903">
        <v>-8.8812950000000002E-2</v>
      </c>
      <c r="AA5903">
        <v>0.99578420000000001</v>
      </c>
      <c r="AB5903">
        <v>34</v>
      </c>
      <c r="AC5903">
        <v>-9.6300000000013597E-2</v>
      </c>
      <c r="AD5903">
        <v>-8.9161000000000004E-2</v>
      </c>
      <c r="AE5903">
        <v>0.64759999999999995</v>
      </c>
      <c r="AF5903">
        <v>2.2836720408393799E-2</v>
      </c>
      <c r="AG5903">
        <v>-8.9161000000000004E-2</v>
      </c>
      <c r="AH5903">
        <v>0.64239409180679996</v>
      </c>
      <c r="AI5903">
        <v>97.896951951715593</v>
      </c>
      <c r="AJ5903">
        <v>87.964027154232696</v>
      </c>
      <c r="AK5903">
        <v>0.64895405762526404</v>
      </c>
      <c r="AL5903">
        <v>88.461687639123198</v>
      </c>
      <c r="AM5903">
        <v>96.745975086144398</v>
      </c>
      <c r="AN5903">
        <v>0.999999995958891</v>
      </c>
    </row>
    <row r="5904" spans="1:40" x14ac:dyDescent="0.25">
      <c r="A5904" t="str">
        <f>"20190312151432333"</f>
        <v>20190312151432333</v>
      </c>
      <c r="B5904" t="str">
        <f>"1552374872326364"</f>
        <v>1552374872326364</v>
      </c>
      <c r="C5904" t="s">
        <v>40</v>
      </c>
      <c r="D5904">
        <v>4.7230540000000003</v>
      </c>
      <c r="E5904">
        <v>0.55392159999999901</v>
      </c>
      <c r="F5904" t="s">
        <v>41</v>
      </c>
      <c r="G5904">
        <v>-188.11859999999999</v>
      </c>
      <c r="H5904">
        <v>1.0255860000000001</v>
      </c>
      <c r="I5904">
        <v>-22.09721</v>
      </c>
      <c r="J5904">
        <v>-188.03190000000001</v>
      </c>
      <c r="K5904">
        <v>1.111399</v>
      </c>
      <c r="L5904">
        <v>-22.70599</v>
      </c>
      <c r="M5904">
        <v>-0.18376439999999999</v>
      </c>
      <c r="N5904">
        <v>0</v>
      </c>
      <c r="O5904">
        <v>0.98288949999999997</v>
      </c>
      <c r="P5904">
        <v>-0.29299760000000002</v>
      </c>
      <c r="Q5904">
        <v>1.5392029999999999E-2</v>
      </c>
      <c r="R5904">
        <v>0.95598919999999998</v>
      </c>
      <c r="S5904">
        <v>-0.4784698</v>
      </c>
      <c r="T5904">
        <v>-0.27271640000000003</v>
      </c>
      <c r="U5904">
        <v>2.9971619999999999</v>
      </c>
      <c r="V5904">
        <v>-0.1124275</v>
      </c>
      <c r="W5904">
        <v>2.7460289999999998E-2</v>
      </c>
      <c r="X5904">
        <v>0.99328039999999995</v>
      </c>
      <c r="Y5904">
        <v>2.7139819999999999E-2</v>
      </c>
      <c r="Z5904">
        <v>-8.7751250000000003E-2</v>
      </c>
      <c r="AA5904">
        <v>0.99577269999999896</v>
      </c>
      <c r="AB5904">
        <v>34</v>
      </c>
      <c r="AC5904">
        <v>-8.6699999999979099E-2</v>
      </c>
      <c r="AD5904">
        <v>-8.5812999999999903E-2</v>
      </c>
      <c r="AE5904">
        <v>0.60877999999999899</v>
      </c>
      <c r="AF5904">
        <v>2.61484627358421E-2</v>
      </c>
      <c r="AG5904">
        <v>-8.5812999999999903E-2</v>
      </c>
      <c r="AH5904">
        <v>0.60260916923514796</v>
      </c>
      <c r="AI5904">
        <v>98.097049640518406</v>
      </c>
      <c r="AJ5904">
        <v>87.515375821378001</v>
      </c>
      <c r="AK5904">
        <v>0.60924988626894605</v>
      </c>
      <c r="AL5904">
        <v>88.426443446336904</v>
      </c>
      <c r="AM5904">
        <v>96.457715025047804</v>
      </c>
      <c r="AN5904">
        <v>0.99999998165364601</v>
      </c>
    </row>
    <row r="5905" spans="1:40" x14ac:dyDescent="0.25">
      <c r="A5905" t="str">
        <f>"20190312151432355"</f>
        <v>20190312151432355</v>
      </c>
      <c r="B5905" t="str">
        <f>"1552374872345883"</f>
        <v>1552374872345883</v>
      </c>
      <c r="C5905" t="s">
        <v>40</v>
      </c>
      <c r="D5905">
        <v>4.7187020000000004</v>
      </c>
      <c r="E5905">
        <v>0.55342349999999996</v>
      </c>
      <c r="F5905" t="s">
        <v>41</v>
      </c>
      <c r="G5905">
        <v>-188.17400000000001</v>
      </c>
      <c r="H5905">
        <v>1.029658</v>
      </c>
      <c r="I5905">
        <v>-21.80068</v>
      </c>
      <c r="J5905">
        <v>-188.09649999999999</v>
      </c>
      <c r="K5905">
        <v>1.111326</v>
      </c>
      <c r="L5905">
        <v>-22.36938</v>
      </c>
      <c r="M5905">
        <v>-0.1853389</v>
      </c>
      <c r="N5905">
        <v>0</v>
      </c>
      <c r="O5905">
        <v>0.98259399999999997</v>
      </c>
      <c r="P5905">
        <v>-0.2902112</v>
      </c>
      <c r="Q5905">
        <v>1.6117949999999999E-2</v>
      </c>
      <c r="R5905">
        <v>0.95682690000000004</v>
      </c>
      <c r="S5905">
        <v>-0.47109990000000002</v>
      </c>
      <c r="T5905">
        <v>-0.27072790000000002</v>
      </c>
      <c r="U5905">
        <v>2.9980769999999999</v>
      </c>
      <c r="V5905">
        <v>-0.1079397</v>
      </c>
      <c r="W5905">
        <v>2.82215E-2</v>
      </c>
      <c r="X5905">
        <v>0.9937568</v>
      </c>
      <c r="Y5905">
        <v>3.1167070000000002E-2</v>
      </c>
      <c r="Z5905">
        <v>-8.706216E-2</v>
      </c>
      <c r="AA5905">
        <v>0.99571520000000002</v>
      </c>
      <c r="AB5905">
        <v>34</v>
      </c>
      <c r="AC5905">
        <v>-7.7500000000014696E-2</v>
      </c>
      <c r="AD5905">
        <v>-8.1668000000000004E-2</v>
      </c>
      <c r="AE5905">
        <v>0.56869999999999898</v>
      </c>
      <c r="AF5905">
        <v>2.8672993666208801E-2</v>
      </c>
      <c r="AG5905">
        <v>-8.1668000000000004E-2</v>
      </c>
      <c r="AH5905">
        <v>0.56183531176648904</v>
      </c>
      <c r="AI5905">
        <v>98.259948885096193</v>
      </c>
      <c r="AJ5905">
        <v>87.078472212098603</v>
      </c>
      <c r="AK5905">
        <v>0.56846347317794299</v>
      </c>
      <c r="AL5905">
        <v>88.382812448650697</v>
      </c>
      <c r="AM5905">
        <v>96.199040639940606</v>
      </c>
      <c r="AN5905">
        <v>1.0000000047222899</v>
      </c>
    </row>
    <row r="5906" spans="1:40" x14ac:dyDescent="0.25">
      <c r="A5906" t="str">
        <f>"20190312151432379"</f>
        <v>20190312151432379</v>
      </c>
      <c r="B5906" t="str">
        <f>"1552374872366380"</f>
        <v>1552374872366380</v>
      </c>
      <c r="C5906" t="s">
        <v>40</v>
      </c>
      <c r="D5906">
        <v>4.6466050000000001</v>
      </c>
      <c r="E5906">
        <v>0.552979199999999</v>
      </c>
      <c r="F5906" t="s">
        <v>41</v>
      </c>
      <c r="G5906">
        <v>-188.23079999999999</v>
      </c>
      <c r="H5906">
        <v>1.0339969999999901</v>
      </c>
      <c r="I5906">
        <v>-21.504270000000002</v>
      </c>
      <c r="J5906">
        <v>-188.1617</v>
      </c>
      <c r="K5906">
        <v>1.111243</v>
      </c>
      <c r="L5906">
        <v>-22.03238</v>
      </c>
      <c r="M5906">
        <v>-0.1868165</v>
      </c>
      <c r="N5906">
        <v>0</v>
      </c>
      <c r="O5906">
        <v>0.98231420000000003</v>
      </c>
      <c r="P5906">
        <v>-0.28825129999999999</v>
      </c>
      <c r="Q5906">
        <v>1.7139160000000001E-2</v>
      </c>
      <c r="R5906">
        <v>0.95740139999999996</v>
      </c>
      <c r="S5906">
        <v>-0.46574399999999999</v>
      </c>
      <c r="T5906">
        <v>-0.26804029999999901</v>
      </c>
      <c r="U5906">
        <v>2.9986269999999999</v>
      </c>
      <c r="V5906">
        <v>-0.1044089</v>
      </c>
      <c r="W5906">
        <v>2.9275349999999999E-2</v>
      </c>
      <c r="X5906">
        <v>0.99410350000000003</v>
      </c>
      <c r="Y5906">
        <v>3.4422080000000001E-2</v>
      </c>
      <c r="Z5906">
        <v>-8.6159089999999994E-2</v>
      </c>
      <c r="AA5906">
        <v>0.99568659999999998</v>
      </c>
      <c r="AB5906">
        <v>34</v>
      </c>
      <c r="AC5906">
        <v>-6.9099999999991696E-2</v>
      </c>
      <c r="AD5906">
        <v>-7.7246000000000106E-2</v>
      </c>
      <c r="AE5906">
        <v>0.52810999999999797</v>
      </c>
      <c r="AF5906">
        <v>3.0150000529020799E-2</v>
      </c>
      <c r="AG5906">
        <v>-7.7246000000000106E-2</v>
      </c>
      <c r="AH5906">
        <v>0.52076704497357995</v>
      </c>
      <c r="AI5906">
        <v>98.423329228756202</v>
      </c>
      <c r="AJ5906">
        <v>86.686538468632605</v>
      </c>
      <c r="AK5906">
        <v>0.52732749044442395</v>
      </c>
      <c r="AL5906">
        <v>88.322406341704706</v>
      </c>
      <c r="AM5906">
        <v>95.995690996644001</v>
      </c>
      <c r="AN5906">
        <v>1.00000001661454</v>
      </c>
    </row>
    <row r="5907" spans="1:40" x14ac:dyDescent="0.25">
      <c r="A5907" t="str">
        <f>"20190312151432401"</f>
        <v>20190312151432401</v>
      </c>
      <c r="B5907" t="str">
        <f>"1552374872396636"</f>
        <v>1552374872396636</v>
      </c>
      <c r="C5907" t="s">
        <v>40</v>
      </c>
      <c r="D5907">
        <v>4.6156689999999996</v>
      </c>
      <c r="E5907">
        <v>0.55251819999999996</v>
      </c>
      <c r="F5907" t="s">
        <v>41</v>
      </c>
      <c r="G5907">
        <v>-188.28890000000001</v>
      </c>
      <c r="H5907">
        <v>1.0385279999999999</v>
      </c>
      <c r="I5907">
        <v>-21.208010000000002</v>
      </c>
      <c r="J5907">
        <v>-188.22640000000001</v>
      </c>
      <c r="K5907">
        <v>1.1111279999999999</v>
      </c>
      <c r="L5907">
        <v>-21.700289999999999</v>
      </c>
      <c r="M5907">
        <v>-0.1881476</v>
      </c>
      <c r="N5907">
        <v>0</v>
      </c>
      <c r="O5907">
        <v>0.9820603</v>
      </c>
      <c r="P5907">
        <v>-0.28606720000000002</v>
      </c>
      <c r="Q5907">
        <v>1.8161130000000001E-2</v>
      </c>
      <c r="R5907">
        <v>0.95803740000000004</v>
      </c>
      <c r="S5907">
        <v>-0.46296690000000001</v>
      </c>
      <c r="T5907">
        <v>-0.26452789999999998</v>
      </c>
      <c r="U5907">
        <v>2.99884</v>
      </c>
      <c r="V5907">
        <v>-0.1007916</v>
      </c>
      <c r="W5907">
        <v>3.033489E-2</v>
      </c>
      <c r="X5907">
        <v>0.99444500000000002</v>
      </c>
      <c r="Y5907">
        <v>3.6672360000000001E-2</v>
      </c>
      <c r="Z5907">
        <v>-8.5002040000000001E-2</v>
      </c>
      <c r="AA5907">
        <v>0.99570570000000003</v>
      </c>
      <c r="AB5907">
        <v>34</v>
      </c>
      <c r="AC5907">
        <v>-6.25E-2</v>
      </c>
      <c r="AD5907">
        <v>-7.2599999999999998E-2</v>
      </c>
      <c r="AE5907">
        <v>0.492279999999997</v>
      </c>
      <c r="AF5907">
        <v>3.0590233475231401E-2</v>
      </c>
      <c r="AG5907">
        <v>-7.2599999999999998E-2</v>
      </c>
      <c r="AH5907">
        <v>0.484868654497289</v>
      </c>
      <c r="AI5907">
        <v>98.499056648895305</v>
      </c>
      <c r="AJ5907">
        <v>86.390009184312902</v>
      </c>
      <c r="AK5907">
        <v>0.49122717198673099</v>
      </c>
      <c r="AL5907">
        <v>88.261672167182596</v>
      </c>
      <c r="AM5907">
        <v>95.787428619798206</v>
      </c>
      <c r="AN5907">
        <v>1.0000000051034299</v>
      </c>
    </row>
    <row r="5908" spans="1:40" x14ac:dyDescent="0.25">
      <c r="A5908" t="str">
        <f>"20190312151432422"</f>
        <v>20190312151432422</v>
      </c>
      <c r="B5908" t="str">
        <f>"1552374872416156"</f>
        <v>1552374872416156</v>
      </c>
      <c r="C5908" t="s">
        <v>40</v>
      </c>
      <c r="D5908">
        <v>4.6124939999999999</v>
      </c>
      <c r="E5908">
        <v>0.55221169999999997</v>
      </c>
      <c r="F5908" t="s">
        <v>41</v>
      </c>
      <c r="G5908">
        <v>-188.34710000000001</v>
      </c>
      <c r="H5908">
        <v>1.0425930000000001</v>
      </c>
      <c r="I5908">
        <v>-20.911770000000001</v>
      </c>
      <c r="J5908">
        <v>-188.28909999999999</v>
      </c>
      <c r="K5908">
        <v>1.110981</v>
      </c>
      <c r="L5908">
        <v>-21.379270000000002</v>
      </c>
      <c r="M5908">
        <v>-0.1892586</v>
      </c>
      <c r="N5908">
        <v>0</v>
      </c>
      <c r="O5908">
        <v>0.98184689999999997</v>
      </c>
      <c r="P5908">
        <v>-0.28378360000000002</v>
      </c>
      <c r="Q5908">
        <v>1.833156E-2</v>
      </c>
      <c r="R5908">
        <v>0.95871309999999998</v>
      </c>
      <c r="S5908">
        <v>-0.45957949999999997</v>
      </c>
      <c r="T5908">
        <v>-0.2606754</v>
      </c>
      <c r="U5908">
        <v>2.9991150000000002</v>
      </c>
      <c r="V5908">
        <v>-9.7285140000000006E-2</v>
      </c>
      <c r="W5908">
        <v>3.0548889999999999E-2</v>
      </c>
      <c r="X5908">
        <v>0.99478759999999999</v>
      </c>
      <c r="Y5908">
        <v>3.8898990000000001E-2</v>
      </c>
      <c r="Z5908">
        <v>-8.3741720000000006E-2</v>
      </c>
      <c r="AA5908">
        <v>0.99572799999999995</v>
      </c>
      <c r="AB5908">
        <v>34</v>
      </c>
      <c r="AC5908">
        <v>-5.8000000000021097E-2</v>
      </c>
      <c r="AD5908">
        <v>-6.8387999999999893E-2</v>
      </c>
      <c r="AE5908">
        <v>0.46750000000000103</v>
      </c>
      <c r="AF5908">
        <v>3.0882913808210399E-2</v>
      </c>
      <c r="AG5908">
        <v>-6.8387999999999893E-2</v>
      </c>
      <c r="AH5908">
        <v>0.460326251760311</v>
      </c>
      <c r="AI5908">
        <v>98.431613003366905</v>
      </c>
      <c r="AJ5908">
        <v>86.161824350931994</v>
      </c>
      <c r="AK5908">
        <v>0.46640211295509998</v>
      </c>
      <c r="AL5908">
        <v>88.249405178170093</v>
      </c>
      <c r="AM5908">
        <v>95.585473225220198</v>
      </c>
      <c r="AN5908">
        <v>1.0000000011293999</v>
      </c>
    </row>
    <row r="5909" spans="1:40" x14ac:dyDescent="0.25">
      <c r="A5909" t="str">
        <f>"20190312151432447"</f>
        <v>20190312151432447</v>
      </c>
      <c r="B5909" t="str">
        <f>"1552374872436652"</f>
        <v>1552374872436652</v>
      </c>
      <c r="C5909" t="s">
        <v>40</v>
      </c>
      <c r="D5909">
        <v>4.7384709999999997</v>
      </c>
      <c r="E5909">
        <v>0.55226489999999995</v>
      </c>
      <c r="F5909" t="s">
        <v>41</v>
      </c>
      <c r="G5909">
        <v>-188.40479999999999</v>
      </c>
      <c r="H5909">
        <v>1.044764</v>
      </c>
      <c r="I5909">
        <v>-20.615829999999999</v>
      </c>
      <c r="J5909">
        <v>-188.35659999999999</v>
      </c>
      <c r="K5909">
        <v>1.110784</v>
      </c>
      <c r="L5909">
        <v>-21.035029999999999</v>
      </c>
      <c r="M5909">
        <v>-0.19022240000000001</v>
      </c>
      <c r="N5909">
        <v>0</v>
      </c>
      <c r="O5909">
        <v>0.98166070000000005</v>
      </c>
      <c r="P5909">
        <v>-0.28115109999999999</v>
      </c>
      <c r="Q5909">
        <v>1.792622E-2</v>
      </c>
      <c r="R5909">
        <v>0.95949600000000002</v>
      </c>
      <c r="S5909">
        <v>-0.45497130000000002</v>
      </c>
      <c r="T5909">
        <v>-0.26015939999999999</v>
      </c>
      <c r="U5909">
        <v>2.9995120000000002</v>
      </c>
      <c r="V5909">
        <v>-9.3559920000000005E-2</v>
      </c>
      <c r="W5909">
        <v>3.0195719999999999E-2</v>
      </c>
      <c r="X5909">
        <v>0.99515560000000003</v>
      </c>
      <c r="Y5909">
        <v>4.1392079999999998E-2</v>
      </c>
      <c r="Z5909">
        <v>-8.3547609999999994E-2</v>
      </c>
      <c r="AA5909">
        <v>0.99564370000000002</v>
      </c>
      <c r="AB5909">
        <v>34</v>
      </c>
      <c r="AC5909">
        <v>-4.8200000000008403E-2</v>
      </c>
      <c r="AD5909">
        <v>-6.6019999999999898E-2</v>
      </c>
      <c r="AE5909">
        <v>0.41920000000000002</v>
      </c>
      <c r="AF5909">
        <v>3.1652891110523898E-2</v>
      </c>
      <c r="AG5909">
        <v>-6.6019999999999898E-2</v>
      </c>
      <c r="AH5909">
        <v>0.41066123508692598</v>
      </c>
      <c r="AI5909">
        <v>99.106459238993395</v>
      </c>
      <c r="AJ5909">
        <v>85.592478232535797</v>
      </c>
      <c r="AK5909">
        <v>0.417136903089111</v>
      </c>
      <c r="AL5909">
        <v>88.269649587121293</v>
      </c>
      <c r="AM5909">
        <v>95.370896671288307</v>
      </c>
      <c r="AN5909">
        <v>0.99999995417404097</v>
      </c>
    </row>
    <row r="5910" spans="1:40" x14ac:dyDescent="0.25">
      <c r="A5910" t="str">
        <f>"20190312151432490"</f>
        <v>20190312151432490</v>
      </c>
      <c r="B5910" t="str">
        <f>"1552374872486428"</f>
        <v>1552374872486428</v>
      </c>
      <c r="C5910" t="s">
        <v>40</v>
      </c>
      <c r="D5910">
        <v>4.6714659999999997</v>
      </c>
      <c r="E5910">
        <v>0.5749725</v>
      </c>
      <c r="F5910" t="s">
        <v>41</v>
      </c>
      <c r="G5910">
        <v>-188.505</v>
      </c>
      <c r="H5910">
        <v>1.0235989999999999</v>
      </c>
      <c r="I5910">
        <v>-20.036290000000001</v>
      </c>
      <c r="J5910">
        <v>-188.4811</v>
      </c>
      <c r="K5910">
        <v>1.110392</v>
      </c>
      <c r="L5910">
        <v>-20.40024</v>
      </c>
      <c r="M5910">
        <v>-0.19131110000000001</v>
      </c>
      <c r="N5910">
        <v>0</v>
      </c>
      <c r="O5910">
        <v>0.98144920000000002</v>
      </c>
      <c r="P5910">
        <v>-0.2773291</v>
      </c>
      <c r="Q5910">
        <v>1.69797E-2</v>
      </c>
      <c r="R5910">
        <v>0.9606249</v>
      </c>
      <c r="S5910">
        <v>-0.44628909999999999</v>
      </c>
      <c r="T5910">
        <v>-0.26194879999999998</v>
      </c>
      <c r="U5910">
        <v>3.0007630000000001</v>
      </c>
      <c r="V5910">
        <v>-8.845741E-2</v>
      </c>
      <c r="W5910">
        <v>2.9341599999999999E-2</v>
      </c>
      <c r="X5910">
        <v>0.99564770000000002</v>
      </c>
      <c r="Y5910">
        <v>4.5385269999999998E-2</v>
      </c>
      <c r="Z5910">
        <v>-8.4066509999999997E-2</v>
      </c>
      <c r="AA5910">
        <v>0.99542609999999998</v>
      </c>
      <c r="AB5910">
        <v>34</v>
      </c>
      <c r="AC5910">
        <v>-2.38999999999975E-2</v>
      </c>
      <c r="AD5910">
        <v>-8.6793000000000106E-2</v>
      </c>
      <c r="AE5910">
        <v>0.363949999999999</v>
      </c>
      <c r="AF5910">
        <v>4.3700106593217401E-2</v>
      </c>
      <c r="AG5910">
        <v>-8.6793000000000106E-2</v>
      </c>
      <c r="AH5910">
        <v>0.342409909695232</v>
      </c>
      <c r="AI5910">
        <v>104.11373158110599</v>
      </c>
      <c r="AJ5910">
        <v>82.7269373619569</v>
      </c>
      <c r="AK5910">
        <v>0.35593155300247797</v>
      </c>
      <c r="AL5910">
        <v>88.318608824803107</v>
      </c>
      <c r="AM5910">
        <v>95.077060963701598</v>
      </c>
      <c r="AN5910">
        <v>0.99999999269487905</v>
      </c>
    </row>
    <row r="5911" spans="1:40" x14ac:dyDescent="0.25">
      <c r="A5911" t="str">
        <f>"20190312151432533"</f>
        <v>20190312151432533</v>
      </c>
      <c r="B5911" t="str">
        <f>"1552374872526444"</f>
        <v>1552374872526444</v>
      </c>
      <c r="C5911" t="s">
        <v>40</v>
      </c>
      <c r="D5911">
        <v>4.6650960000000001</v>
      </c>
      <c r="E5911">
        <v>0.574988099999999</v>
      </c>
      <c r="F5911" t="s">
        <v>41</v>
      </c>
      <c r="G5911">
        <v>-188.56319999999999</v>
      </c>
      <c r="H5911">
        <v>1.029374</v>
      </c>
      <c r="I5911">
        <v>-19.433700000000002</v>
      </c>
      <c r="J5911">
        <v>-188.60740000000001</v>
      </c>
      <c r="K5911">
        <v>1.110069</v>
      </c>
      <c r="L5911">
        <v>-19.755279999999999</v>
      </c>
      <c r="M5911">
        <v>-0.19163959999999999</v>
      </c>
      <c r="N5911">
        <v>0</v>
      </c>
      <c r="O5911">
        <v>0.98138530000000002</v>
      </c>
      <c r="P5911">
        <v>-0.27455819999999997</v>
      </c>
      <c r="Q5911">
        <v>1.634149E-2</v>
      </c>
      <c r="R5911">
        <v>0.96143160000000005</v>
      </c>
      <c r="S5911">
        <v>-0.25967410000000002</v>
      </c>
      <c r="T5911">
        <v>-0.25586130000000001</v>
      </c>
      <c r="U5911">
        <v>3.052521</v>
      </c>
      <c r="V5911">
        <v>-8.5226189999999993E-2</v>
      </c>
      <c r="W5911">
        <v>2.8771069999999999E-2</v>
      </c>
      <c r="X5911">
        <v>0.9959462</v>
      </c>
      <c r="Y5911">
        <v>0.1080542</v>
      </c>
      <c r="Z5911">
        <v>-8.0824839999999995E-2</v>
      </c>
      <c r="AA5911">
        <v>0.99085400000000001</v>
      </c>
      <c r="AB5911">
        <v>34</v>
      </c>
      <c r="AC5911">
        <v>4.4200000000017697E-2</v>
      </c>
      <c r="AD5911">
        <v>-8.0694999999999906E-2</v>
      </c>
      <c r="AE5911">
        <v>0.32157999999999698</v>
      </c>
      <c r="AF5911">
        <v>9.8900887296422199E-2</v>
      </c>
      <c r="AG5911">
        <v>-8.0694999999999906E-2</v>
      </c>
      <c r="AH5911">
        <v>0.28927067334749001</v>
      </c>
      <c r="AI5911">
        <v>104.786475026544</v>
      </c>
      <c r="AJ5911">
        <v>71.124575846003907</v>
      </c>
      <c r="AK5911">
        <v>0.31618126287294401</v>
      </c>
      <c r="AL5911">
        <v>88.351311698241602</v>
      </c>
      <c r="AM5911">
        <v>94.891061224023204</v>
      </c>
      <c r="AN5911">
        <v>1.00000005561264</v>
      </c>
    </row>
    <row r="5912" spans="1:40" x14ac:dyDescent="0.25">
      <c r="A5912" t="str">
        <f>"20190312151432556"</f>
        <v>20190312151432556</v>
      </c>
      <c r="B5912" t="str">
        <f>"1552374872545964"</f>
        <v>1552374872545964</v>
      </c>
      <c r="C5912" t="s">
        <v>40</v>
      </c>
      <c r="D5912">
        <v>4.6981380000000001</v>
      </c>
      <c r="E5912">
        <v>0.57483209999999996</v>
      </c>
      <c r="F5912" t="s">
        <v>41</v>
      </c>
      <c r="G5912">
        <v>-188.68190000000001</v>
      </c>
      <c r="H5912">
        <v>1.0324230000000001</v>
      </c>
      <c r="I5912">
        <v>-18.844439999999999</v>
      </c>
      <c r="J5912">
        <v>-188.67259999999999</v>
      </c>
      <c r="K5912">
        <v>1.1098939999999999</v>
      </c>
      <c r="L5912">
        <v>-19.42099</v>
      </c>
      <c r="M5912">
        <v>-0.19147040000000001</v>
      </c>
      <c r="N5912">
        <v>0</v>
      </c>
      <c r="O5912">
        <v>0.98141840000000002</v>
      </c>
      <c r="P5912">
        <v>-0.27236719999999998</v>
      </c>
      <c r="Q5912">
        <v>1.6320009999999999E-2</v>
      </c>
      <c r="R5912">
        <v>0.96205499999999999</v>
      </c>
      <c r="S5912">
        <v>-0.25044250000000001</v>
      </c>
      <c r="T5912">
        <v>-0.26024659999999999</v>
      </c>
      <c r="U5912">
        <v>3.0532530000000002</v>
      </c>
      <c r="V5912">
        <v>-8.3115499999999995E-2</v>
      </c>
      <c r="W5912">
        <v>2.8785370000000001E-2</v>
      </c>
      <c r="X5912">
        <v>0.99612409999999996</v>
      </c>
      <c r="Y5912">
        <v>0.1108866</v>
      </c>
      <c r="Z5912">
        <v>-8.2181829999999997E-2</v>
      </c>
      <c r="AA5912">
        <v>0.99042929999999996</v>
      </c>
      <c r="AB5912">
        <v>34</v>
      </c>
      <c r="AC5912">
        <v>-9.3000000000245091E-3</v>
      </c>
      <c r="AD5912">
        <v>-7.7471000000000206E-2</v>
      </c>
      <c r="AE5912">
        <v>0.57655000000000101</v>
      </c>
      <c r="AF5912">
        <v>9.9477393179930707E-2</v>
      </c>
      <c r="AG5912">
        <v>-7.7471000000000206E-2</v>
      </c>
      <c r="AH5912">
        <v>0.55759706369584705</v>
      </c>
      <c r="AI5912">
        <v>97.788451409024404</v>
      </c>
      <c r="AJ5912">
        <v>79.884640393248105</v>
      </c>
      <c r="AK5912">
        <v>0.571674726603429</v>
      </c>
      <c r="AL5912">
        <v>88.350491942727004</v>
      </c>
      <c r="AM5912">
        <v>94.769648496275096</v>
      </c>
      <c r="AN5912">
        <v>1.0000000032335401</v>
      </c>
    </row>
    <row r="5913" spans="1:40" x14ac:dyDescent="0.25">
      <c r="A5913" t="str">
        <f>"20190312151432578"</f>
        <v>20190312151432578</v>
      </c>
      <c r="B5913" t="str">
        <f>"1552374872576220"</f>
        <v>1552374872576220</v>
      </c>
      <c r="C5913" t="s">
        <v>40</v>
      </c>
      <c r="D5913">
        <v>4.6840869999999999</v>
      </c>
      <c r="E5913">
        <v>0.57469369999999997</v>
      </c>
      <c r="F5913" t="s">
        <v>41</v>
      </c>
      <c r="G5913">
        <v>-188.74250000000001</v>
      </c>
      <c r="H5913">
        <v>1.034605</v>
      </c>
      <c r="I5913">
        <v>-18.54975</v>
      </c>
      <c r="J5913">
        <v>-188.7364</v>
      </c>
      <c r="K5913">
        <v>1.1096919999999999</v>
      </c>
      <c r="L5913">
        <v>-19.093139999999998</v>
      </c>
      <c r="M5913">
        <v>-0.1910577</v>
      </c>
      <c r="N5913">
        <v>0</v>
      </c>
      <c r="O5913">
        <v>0.9814988</v>
      </c>
      <c r="P5913">
        <v>-0.2704761</v>
      </c>
      <c r="Q5913">
        <v>1.720089E-2</v>
      </c>
      <c r="R5913">
        <v>0.96257300000000001</v>
      </c>
      <c r="S5913">
        <v>-0.24478150000000001</v>
      </c>
      <c r="T5913">
        <v>-0.26389220000000002</v>
      </c>
      <c r="U5913">
        <v>3.0534970000000001</v>
      </c>
      <c r="V5913">
        <v>-8.1564730000000002E-2</v>
      </c>
      <c r="W5913">
        <v>2.970575E-2</v>
      </c>
      <c r="X5913">
        <v>0.99622520000000003</v>
      </c>
      <c r="Y5913">
        <v>0.1123069</v>
      </c>
      <c r="Z5913">
        <v>-8.3327579999999998E-2</v>
      </c>
      <c r="AA5913">
        <v>0.99017359999999999</v>
      </c>
      <c r="AB5913">
        <v>34</v>
      </c>
      <c r="AC5913">
        <v>-6.1000000000035401E-3</v>
      </c>
      <c r="AD5913">
        <v>-7.5086999999999904E-2</v>
      </c>
      <c r="AE5913">
        <v>0.54338999999999804</v>
      </c>
      <c r="AF5913">
        <v>9.6006429542794494E-2</v>
      </c>
      <c r="AG5913">
        <v>-7.5086999999999904E-2</v>
      </c>
      <c r="AH5913">
        <v>0.52452974108066797</v>
      </c>
      <c r="AI5913">
        <v>98.015225561031599</v>
      </c>
      <c r="AJ5913">
        <v>79.627772582367896</v>
      </c>
      <c r="AK5913">
        <v>0.53850417023520603</v>
      </c>
      <c r="AL5913">
        <v>88.297735382615699</v>
      </c>
      <c r="AM5913">
        <v>94.680582611030999</v>
      </c>
      <c r="AN5913">
        <v>0.99999994293903605</v>
      </c>
    </row>
    <row r="5914" spans="1:40" x14ac:dyDescent="0.25">
      <c r="A5914" t="str">
        <f>"20190312151432600"</f>
        <v>20190312151432600</v>
      </c>
      <c r="B5914" t="str">
        <f>"1552374872596716"</f>
        <v>1552374872596716</v>
      </c>
      <c r="C5914" t="s">
        <v>40</v>
      </c>
      <c r="D5914">
        <v>4.6770940000000003</v>
      </c>
      <c r="E5914">
        <v>0.57475080000000001</v>
      </c>
      <c r="F5914" t="s">
        <v>41</v>
      </c>
      <c r="G5914">
        <v>-188.8021</v>
      </c>
      <c r="H5914">
        <v>1.036956</v>
      </c>
      <c r="I5914">
        <v>-18.2547</v>
      </c>
      <c r="J5914">
        <v>-188.80029999999999</v>
      </c>
      <c r="K5914">
        <v>1.1094329999999999</v>
      </c>
      <c r="L5914">
        <v>-18.761780000000002</v>
      </c>
      <c r="M5914">
        <v>-0.1903376</v>
      </c>
      <c r="N5914">
        <v>0</v>
      </c>
      <c r="O5914">
        <v>0.98163869999999998</v>
      </c>
      <c r="P5914">
        <v>-0.26832460000000002</v>
      </c>
      <c r="Q5914">
        <v>1.8392180000000001E-2</v>
      </c>
      <c r="R5914">
        <v>0.96315300000000004</v>
      </c>
      <c r="S5914">
        <v>-0.2398682</v>
      </c>
      <c r="T5914">
        <v>-0.26489689999999999</v>
      </c>
      <c r="U5914">
        <v>3.0539860000000001</v>
      </c>
      <c r="V5914">
        <v>-8.0053369999999999E-2</v>
      </c>
      <c r="W5914">
        <v>3.0947809999999999E-2</v>
      </c>
      <c r="X5914">
        <v>0.99631009999999998</v>
      </c>
      <c r="Y5914">
        <v>0.1131755</v>
      </c>
      <c r="Z5914">
        <v>-8.3648159999999999E-2</v>
      </c>
      <c r="AA5914">
        <v>0.99004760000000003</v>
      </c>
      <c r="AB5914">
        <v>34</v>
      </c>
      <c r="AC5914">
        <v>-1.8000000000029099E-3</v>
      </c>
      <c r="AD5914">
        <v>-7.2476999999999903E-2</v>
      </c>
      <c r="AE5914">
        <v>0.50707999999999798</v>
      </c>
      <c r="AF5914">
        <v>9.2859870236845596E-2</v>
      </c>
      <c r="AG5914">
        <v>-7.2476999999999903E-2</v>
      </c>
      <c r="AH5914">
        <v>0.48817820634521902</v>
      </c>
      <c r="AI5914">
        <v>98.298028144438106</v>
      </c>
      <c r="AJ5914">
        <v>79.230024755367495</v>
      </c>
      <c r="AK5914">
        <v>0.50218904028248101</v>
      </c>
      <c r="AL5914">
        <v>88.226538041379897</v>
      </c>
      <c r="AM5914">
        <v>94.593838328309999</v>
      </c>
      <c r="AN5914">
        <v>1.0000000621770699</v>
      </c>
    </row>
    <row r="5915" spans="1:40" x14ac:dyDescent="0.25">
      <c r="A5915" t="str">
        <f>"20190312151432622"</f>
        <v>20190312151432622</v>
      </c>
      <c r="B5915" t="str">
        <f>"1552374872616236"</f>
        <v>1552374872616236</v>
      </c>
      <c r="C5915" t="s">
        <v>40</v>
      </c>
      <c r="D5915">
        <v>4.736148</v>
      </c>
      <c r="E5915">
        <v>0.57477579999999995</v>
      </c>
      <c r="F5915" t="s">
        <v>41</v>
      </c>
      <c r="G5915">
        <v>-188.86150000000001</v>
      </c>
      <c r="H5915">
        <v>1.040014</v>
      </c>
      <c r="I5915">
        <v>-17.959229999999899</v>
      </c>
      <c r="J5915">
        <v>-188.8614</v>
      </c>
      <c r="K5915">
        <v>1.1091470000000001</v>
      </c>
      <c r="L5915">
        <v>-18.44247</v>
      </c>
      <c r="M5915">
        <v>-0.18932740000000001</v>
      </c>
      <c r="N5915">
        <v>0</v>
      </c>
      <c r="O5915">
        <v>0.98183410000000004</v>
      </c>
      <c r="P5915">
        <v>-0.2658915</v>
      </c>
      <c r="Q5915">
        <v>1.8332950000000001E-2</v>
      </c>
      <c r="R5915">
        <v>0.96382860000000004</v>
      </c>
      <c r="S5915">
        <v>-0.2327728</v>
      </c>
      <c r="T5915">
        <v>-0.26425270000000001</v>
      </c>
      <c r="U5915">
        <v>3.0549620000000002</v>
      </c>
      <c r="V5915">
        <v>-7.8539680000000001E-2</v>
      </c>
      <c r="W5915">
        <v>3.094591E-2</v>
      </c>
      <c r="X5915">
        <v>0.99643060000000006</v>
      </c>
      <c r="Y5915">
        <v>0.11446199999999999</v>
      </c>
      <c r="Z5915">
        <v>-8.3445770000000002E-2</v>
      </c>
      <c r="AA5915">
        <v>0.98991680000000004</v>
      </c>
      <c r="AB5915">
        <v>34</v>
      </c>
      <c r="AC5915">
        <v>-1.0000000000331901E-4</v>
      </c>
      <c r="AD5915">
        <v>-6.9132999999999806E-2</v>
      </c>
      <c r="AE5915">
        <v>0.483240000000002</v>
      </c>
      <c r="AF5915">
        <v>8.9566443802138296E-2</v>
      </c>
      <c r="AG5915">
        <v>-6.9132999999999806E-2</v>
      </c>
      <c r="AH5915">
        <v>0.46500071010341298</v>
      </c>
      <c r="AI5915">
        <v>98.305900074383601</v>
      </c>
      <c r="AJ5915">
        <v>79.097454972014205</v>
      </c>
      <c r="AK5915">
        <v>0.47856784256888801</v>
      </c>
      <c r="AL5915">
        <v>88.226646908460694</v>
      </c>
      <c r="AM5915">
        <v>94.506794210059894</v>
      </c>
      <c r="AN5915">
        <v>1.0000000356482901</v>
      </c>
    </row>
    <row r="5916" spans="1:40" x14ac:dyDescent="0.25">
      <c r="A5916" t="str">
        <f>"20190312151432670"</f>
        <v>20190312151432670</v>
      </c>
      <c r="B5916" t="str">
        <f>"1552374872666012"</f>
        <v>1552374872666012</v>
      </c>
      <c r="C5916" t="s">
        <v>40</v>
      </c>
      <c r="D5916">
        <v>4.7486889999999997</v>
      </c>
      <c r="E5916">
        <v>0.57479709999999995</v>
      </c>
      <c r="F5916" t="s">
        <v>41</v>
      </c>
      <c r="G5916">
        <v>-188.9186</v>
      </c>
      <c r="H5916">
        <v>1.0408200000000001</v>
      </c>
      <c r="I5916">
        <v>-17.664379999999898</v>
      </c>
      <c r="J5916">
        <v>-188.99279999999999</v>
      </c>
      <c r="K5916">
        <v>1.108479</v>
      </c>
      <c r="L5916">
        <v>-17.741</v>
      </c>
      <c r="M5916">
        <v>-0.1859442</v>
      </c>
      <c r="N5916">
        <v>0</v>
      </c>
      <c r="O5916">
        <v>0.98248029999999997</v>
      </c>
      <c r="P5916">
        <v>-0.25990639999999998</v>
      </c>
      <c r="Q5916">
        <v>1.7141340000000001E-2</v>
      </c>
      <c r="R5916">
        <v>0.96548160000000005</v>
      </c>
      <c r="S5916">
        <v>-0.2252808</v>
      </c>
      <c r="T5916">
        <v>-0.26823580000000002</v>
      </c>
      <c r="U5916">
        <v>3.055542</v>
      </c>
      <c r="V5916">
        <v>-7.5738059999999996E-2</v>
      </c>
      <c r="W5916">
        <v>2.9884959999999999E-2</v>
      </c>
      <c r="X5916">
        <v>0.9966798</v>
      </c>
      <c r="Y5916">
        <v>0.1134761</v>
      </c>
      <c r="Z5916">
        <v>-8.4774909999999995E-2</v>
      </c>
      <c r="AA5916">
        <v>0.9899173</v>
      </c>
      <c r="AB5916">
        <v>34</v>
      </c>
      <c r="AC5916">
        <v>7.4199999999990496E-2</v>
      </c>
      <c r="AD5916">
        <v>-6.76589999999999E-2</v>
      </c>
      <c r="AE5916">
        <v>7.6620000000001895E-2</v>
      </c>
      <c r="AF5916">
        <v>6.2146540463651201E-2</v>
      </c>
      <c r="AG5916">
        <v>-6.76589999999999E-2</v>
      </c>
      <c r="AH5916">
        <v>4.3843181962299999E-2</v>
      </c>
      <c r="AI5916">
        <v>131.65635706316499</v>
      </c>
      <c r="AJ5916">
        <v>35.202228544068497</v>
      </c>
      <c r="AK5916">
        <v>0.101794682460232</v>
      </c>
      <c r="AL5916">
        <v>88.287462932288307</v>
      </c>
      <c r="AM5916">
        <v>94.345575377348993</v>
      </c>
      <c r="AN5916">
        <v>0.99999999414740204</v>
      </c>
    </row>
    <row r="5917" spans="1:40" x14ac:dyDescent="0.25">
      <c r="A5917" t="str">
        <f>"20190312151432691"</f>
        <v>20190312151432691</v>
      </c>
      <c r="B5917" t="str">
        <f>"1552374872686508"</f>
        <v>1552374872686508</v>
      </c>
      <c r="C5917" t="s">
        <v>40</v>
      </c>
      <c r="D5917">
        <v>4.7457310000000001</v>
      </c>
      <c r="E5917">
        <v>0.5747814</v>
      </c>
      <c r="F5917" t="s">
        <v>41</v>
      </c>
      <c r="G5917">
        <v>-189.05709999999999</v>
      </c>
      <c r="H5917">
        <v>1.0215669999999999</v>
      </c>
      <c r="I5917">
        <v>-16.784020000000002</v>
      </c>
      <c r="J5917">
        <v>-189.0497</v>
      </c>
      <c r="K5917">
        <v>1.108228</v>
      </c>
      <c r="L5917">
        <v>-17.429929999999999</v>
      </c>
      <c r="M5917">
        <v>-0.18400240000000001</v>
      </c>
      <c r="N5917">
        <v>0</v>
      </c>
      <c r="O5917">
        <v>0.98284570000000004</v>
      </c>
      <c r="P5917">
        <v>-0.25576120000000002</v>
      </c>
      <c r="Q5917">
        <v>1.7361290000000001E-2</v>
      </c>
      <c r="R5917">
        <v>0.96658409999999995</v>
      </c>
      <c r="S5917">
        <v>-0.20581050000000001</v>
      </c>
      <c r="T5917">
        <v>-0.27756360000000002</v>
      </c>
      <c r="U5917">
        <v>3.0567929999999999</v>
      </c>
      <c r="V5917">
        <v>-7.3411840000000006E-2</v>
      </c>
      <c r="W5917">
        <v>3.014853E-2</v>
      </c>
      <c r="X5917">
        <v>0.99684589999999995</v>
      </c>
      <c r="Y5917">
        <v>0.1178323</v>
      </c>
      <c r="Z5917">
        <v>-8.7709319999999993E-2</v>
      </c>
      <c r="AA5917">
        <v>0.98915249999999999</v>
      </c>
      <c r="AB5917">
        <v>33</v>
      </c>
      <c r="AC5917">
        <v>-7.3999999999898496E-3</v>
      </c>
      <c r="AD5917">
        <v>-8.6660999999999794E-2</v>
      </c>
      <c r="AE5917">
        <v>0.64590999999999699</v>
      </c>
      <c r="AF5917">
        <v>0.10961182257481999</v>
      </c>
      <c r="AG5917">
        <v>-8.6660999999999794E-2</v>
      </c>
      <c r="AH5917">
        <v>0.62499238678590996</v>
      </c>
      <c r="AI5917">
        <v>97.777042368965496</v>
      </c>
      <c r="AJ5917">
        <v>80.052571925227696</v>
      </c>
      <c r="AK5917">
        <v>0.64042202031904105</v>
      </c>
      <c r="AL5917">
        <v>88.272354668938902</v>
      </c>
      <c r="AM5917">
        <v>94.211893954594998</v>
      </c>
      <c r="AN5917">
        <v>0.99999999023007802</v>
      </c>
    </row>
    <row r="5918" spans="1:40" x14ac:dyDescent="0.25">
      <c r="A5918" t="str">
        <f>"20190312151432711"</f>
        <v>20190312151432711</v>
      </c>
      <c r="B5918" t="str">
        <f>"1552374872706028"</f>
        <v>1552374872706028</v>
      </c>
      <c r="C5918" t="s">
        <v>40</v>
      </c>
      <c r="D5918">
        <v>4.7645350000000004</v>
      </c>
      <c r="E5918">
        <v>0.57481499999999996</v>
      </c>
      <c r="F5918" t="s">
        <v>41</v>
      </c>
      <c r="G5918">
        <v>-189.10890000000001</v>
      </c>
      <c r="H5918">
        <v>1.0221519999999999</v>
      </c>
      <c r="I5918">
        <v>-16.488229999999898</v>
      </c>
      <c r="J5918">
        <v>-189.10570000000001</v>
      </c>
      <c r="K5918">
        <v>1.10802</v>
      </c>
      <c r="L5918">
        <v>-17.119350000000001</v>
      </c>
      <c r="M5918">
        <v>-0.18185380000000001</v>
      </c>
      <c r="N5918">
        <v>0</v>
      </c>
      <c r="O5918">
        <v>0.98324549999999999</v>
      </c>
      <c r="P5918">
        <v>-0.25086619999999998</v>
      </c>
      <c r="Q5918">
        <v>1.715844E-2</v>
      </c>
      <c r="R5918">
        <v>0.96786970000000005</v>
      </c>
      <c r="S5918">
        <v>-0.19265750000000001</v>
      </c>
      <c r="T5918">
        <v>-0.27935110000000002</v>
      </c>
      <c r="U5918">
        <v>3.0577700000000001</v>
      </c>
      <c r="V5918">
        <v>-7.0529969999999997E-2</v>
      </c>
      <c r="W5918">
        <v>2.9975990000000001E-2</v>
      </c>
      <c r="X5918">
        <v>0.99705920000000003</v>
      </c>
      <c r="Y5918">
        <v>0.1199228</v>
      </c>
      <c r="Z5918">
        <v>-8.8296429999999995E-2</v>
      </c>
      <c r="AA5918">
        <v>0.98884899999999998</v>
      </c>
      <c r="AB5918">
        <v>33</v>
      </c>
      <c r="AC5918">
        <v>-3.19999999999254E-3</v>
      </c>
      <c r="AD5918">
        <v>-8.5868E-2</v>
      </c>
      <c r="AE5918">
        <v>0.63112000000000201</v>
      </c>
      <c r="AF5918">
        <v>0.109605085885428</v>
      </c>
      <c r="AG5918">
        <v>-8.5868E-2</v>
      </c>
      <c r="AH5918">
        <v>0.60988718267422204</v>
      </c>
      <c r="AI5918">
        <v>97.889421258576206</v>
      </c>
      <c r="AJ5918">
        <v>79.811915712661005</v>
      </c>
      <c r="AK5918">
        <v>0.62557890299006402</v>
      </c>
      <c r="AL5918">
        <v>88.2822450427456</v>
      </c>
      <c r="AM5918">
        <v>94.046248661713193</v>
      </c>
      <c r="AN5918">
        <v>1.00000004247465</v>
      </c>
    </row>
    <row r="5919" spans="1:40" x14ac:dyDescent="0.25">
      <c r="A5919" t="str">
        <f>"20190312151432736"</f>
        <v>20190312151432736</v>
      </c>
      <c r="B5919" t="str">
        <f>"1552374872726258"</f>
        <v>1552374872726258</v>
      </c>
      <c r="C5919" t="s">
        <v>40</v>
      </c>
      <c r="D5919">
        <v>4.7854510000000001</v>
      </c>
      <c r="E5919">
        <v>0.57472179999999995</v>
      </c>
      <c r="F5919" t="s">
        <v>41</v>
      </c>
      <c r="G5919">
        <v>-189.1593</v>
      </c>
      <c r="H5919">
        <v>1.022322</v>
      </c>
      <c r="I5919">
        <v>-16.19239</v>
      </c>
      <c r="J5919">
        <v>-189.16749999999999</v>
      </c>
      <c r="K5919">
        <v>1.1077969999999999</v>
      </c>
      <c r="L5919">
        <v>-16.771059999999999</v>
      </c>
      <c r="M5919">
        <v>-0.17916879999999999</v>
      </c>
      <c r="N5919">
        <v>0</v>
      </c>
      <c r="O5919">
        <v>0.98373829999999995</v>
      </c>
      <c r="P5919">
        <v>-0.2444964</v>
      </c>
      <c r="Q5919">
        <v>1.6693739999999999E-2</v>
      </c>
      <c r="R5919">
        <v>0.96950650000000005</v>
      </c>
      <c r="S5919">
        <v>-0.17678829999999901</v>
      </c>
      <c r="T5919">
        <v>-0.28275749999999999</v>
      </c>
      <c r="U5919">
        <v>3.0587770000000001</v>
      </c>
      <c r="V5919">
        <v>-6.6678360000000006E-2</v>
      </c>
      <c r="W5919">
        <v>2.9536550000000002E-2</v>
      </c>
      <c r="X5919">
        <v>0.99733720000000003</v>
      </c>
      <c r="Y5919">
        <v>0.1223495</v>
      </c>
      <c r="Z5919">
        <v>-8.9402519999999999E-2</v>
      </c>
      <c r="AA5919">
        <v>0.9884522</v>
      </c>
      <c r="AB5919">
        <v>33</v>
      </c>
      <c r="AC5919">
        <v>8.1999999999879895E-3</v>
      </c>
      <c r="AD5919">
        <v>-8.5474999999999898E-2</v>
      </c>
      <c r="AE5919">
        <v>0.57867000000000202</v>
      </c>
      <c r="AF5919">
        <v>0.109369316433896</v>
      </c>
      <c r="AG5919">
        <v>-8.5474999999999898E-2</v>
      </c>
      <c r="AH5919">
        <v>0.55571322168701798</v>
      </c>
      <c r="AI5919">
        <v>98.582105688499595</v>
      </c>
      <c r="AJ5919">
        <v>78.865978462974198</v>
      </c>
      <c r="AK5919">
        <v>0.57278687813180795</v>
      </c>
      <c r="AL5919">
        <v>88.307434098522293</v>
      </c>
      <c r="AM5919">
        <v>93.8248966704884</v>
      </c>
      <c r="AN5919">
        <v>0.99999995099101402</v>
      </c>
    </row>
    <row r="5920" spans="1:40" x14ac:dyDescent="0.25">
      <c r="A5920" t="str">
        <f>"20190312151432757"</f>
        <v>20190312151432757</v>
      </c>
      <c r="B5920" t="str">
        <f>"1552374872746755"</f>
        <v>1552374872746755</v>
      </c>
      <c r="C5920" t="s">
        <v>40</v>
      </c>
      <c r="D5920">
        <v>4.4695419999999997</v>
      </c>
      <c r="E5920">
        <v>0.57509540000000003</v>
      </c>
      <c r="F5920" t="s">
        <v>41</v>
      </c>
      <c r="G5920">
        <v>-189.2123</v>
      </c>
      <c r="H5920">
        <v>1.0258560000000001</v>
      </c>
      <c r="I5920">
        <v>-15.89542</v>
      </c>
      <c r="J5920">
        <v>-189.22409999999999</v>
      </c>
      <c r="K5920">
        <v>1.107588</v>
      </c>
      <c r="L5920">
        <v>-16.4451</v>
      </c>
      <c r="M5920">
        <v>-0.17642430000000001</v>
      </c>
      <c r="N5920">
        <v>0</v>
      </c>
      <c r="O5920">
        <v>0.98423419999999895</v>
      </c>
      <c r="P5920">
        <v>-0.23824980000000001</v>
      </c>
      <c r="Q5920">
        <v>1.5865420000000002E-2</v>
      </c>
      <c r="R5920">
        <v>0.97107429999999995</v>
      </c>
      <c r="S5920">
        <v>-0.157196</v>
      </c>
      <c r="T5920">
        <v>-0.28620590000000001</v>
      </c>
      <c r="U5920">
        <v>3.0596619999999999</v>
      </c>
      <c r="V5920">
        <v>-6.3025129999999999E-2</v>
      </c>
      <c r="W5920">
        <v>2.8730080000000002E-2</v>
      </c>
      <c r="X5920">
        <v>0.9975984</v>
      </c>
      <c r="Y5920">
        <v>0.12591240000000001</v>
      </c>
      <c r="Z5920">
        <v>-9.0520959999999998E-2</v>
      </c>
      <c r="AA5920">
        <v>0.98790279999999997</v>
      </c>
      <c r="AB5920">
        <v>33</v>
      </c>
      <c r="AC5920">
        <v>1.17999999999938E-2</v>
      </c>
      <c r="AD5920">
        <v>-8.1732000000000096E-2</v>
      </c>
      <c r="AE5920">
        <v>0.54967999999999795</v>
      </c>
      <c r="AF5920">
        <v>0.10625142054990599</v>
      </c>
      <c r="AG5920">
        <v>-8.1732000000000096E-2</v>
      </c>
      <c r="AH5920">
        <v>0.52732144281914695</v>
      </c>
      <c r="AI5920">
        <v>98.6394974186029</v>
      </c>
      <c r="AJ5920">
        <v>78.607855287256996</v>
      </c>
      <c r="AK5920">
        <v>0.54409317974933302</v>
      </c>
      <c r="AL5920">
        <v>88.353661257098494</v>
      </c>
      <c r="AM5920">
        <v>93.614962808254802</v>
      </c>
      <c r="AN5920">
        <v>1.00000007609543</v>
      </c>
    </row>
    <row r="5921" spans="1:40" x14ac:dyDescent="0.25">
      <c r="A5921" t="str">
        <f>"20190312151432803"</f>
        <v>20190312151432803</v>
      </c>
      <c r="B5921" t="str">
        <f>"1552374872796530"</f>
        <v>1552374872796530</v>
      </c>
      <c r="C5921" t="s">
        <v>40</v>
      </c>
      <c r="D5921">
        <v>4.8589630000000001</v>
      </c>
      <c r="E5921">
        <v>0.5767177</v>
      </c>
      <c r="F5921" t="s">
        <v>41</v>
      </c>
      <c r="G5921">
        <v>-189.2612</v>
      </c>
      <c r="H5921">
        <v>1.028521</v>
      </c>
      <c r="I5921">
        <v>-15.59811</v>
      </c>
      <c r="J5921">
        <v>-189.3355</v>
      </c>
      <c r="K5921">
        <v>1.1071519999999999</v>
      </c>
      <c r="L5921">
        <v>-15.78467</v>
      </c>
      <c r="M5921">
        <v>-0.17029639999999999</v>
      </c>
      <c r="N5921">
        <v>0</v>
      </c>
      <c r="O5921">
        <v>0.98531279999999999</v>
      </c>
      <c r="P5921">
        <v>-0.2265267</v>
      </c>
      <c r="Q5921">
        <v>1.415928E-2</v>
      </c>
      <c r="R5921">
        <v>0.97390200000000005</v>
      </c>
      <c r="S5921">
        <v>-0.1341705</v>
      </c>
      <c r="T5921">
        <v>-0.28574539999999998</v>
      </c>
      <c r="U5921">
        <v>3.0611269999999999</v>
      </c>
      <c r="V5921">
        <v>-5.7181910000000002E-2</v>
      </c>
      <c r="W5921">
        <v>2.7066090000000001E-2</v>
      </c>
      <c r="X5921">
        <v>0.99799680000000002</v>
      </c>
      <c r="Y5921">
        <v>0.12717709999999999</v>
      </c>
      <c r="Z5921">
        <v>-9.0491459999999996E-2</v>
      </c>
      <c r="AA5921">
        <v>0.98774360000000005</v>
      </c>
      <c r="AB5921">
        <v>33</v>
      </c>
      <c r="AC5921">
        <v>7.4299999999993802E-2</v>
      </c>
      <c r="AD5921">
        <v>-7.8631000000000104E-2</v>
      </c>
      <c r="AE5921">
        <v>0.186560000000001</v>
      </c>
      <c r="AF5921">
        <v>9.1030331636877196E-2</v>
      </c>
      <c r="AG5921">
        <v>-7.8631000000000104E-2</v>
      </c>
      <c r="AH5921">
        <v>0.14842347019638</v>
      </c>
      <c r="AI5921">
        <v>114.304112077204</v>
      </c>
      <c r="AJ5921">
        <v>58.478588570257301</v>
      </c>
      <c r="AK5921">
        <v>0.19104680563687901</v>
      </c>
      <c r="AL5921">
        <v>88.449037836747905</v>
      </c>
      <c r="AM5921">
        <v>93.279272945801097</v>
      </c>
      <c r="AN5921">
        <v>0.99999997843468702</v>
      </c>
    </row>
    <row r="5922" spans="1:40" x14ac:dyDescent="0.25">
      <c r="A5922" t="str">
        <f>"20190312151432823"</f>
        <v>20190312151432823</v>
      </c>
      <c r="B5922" t="str">
        <f>"1552374872816051"</f>
        <v>1552374872816051</v>
      </c>
      <c r="C5922" t="s">
        <v>40</v>
      </c>
      <c r="D5922">
        <v>4.9360799999999996</v>
      </c>
      <c r="E5922">
        <v>0.57751660000000005</v>
      </c>
      <c r="F5922" t="s">
        <v>41</v>
      </c>
      <c r="G5922">
        <v>-189.357</v>
      </c>
      <c r="H5922">
        <v>1.0336609999999999</v>
      </c>
      <c r="I5922">
        <v>-15.003329999999901</v>
      </c>
      <c r="J5922">
        <v>-189.38659999999999</v>
      </c>
      <c r="K5922">
        <v>1.106975</v>
      </c>
      <c r="L5922">
        <v>-15.47086</v>
      </c>
      <c r="M5922">
        <v>-0.1671636</v>
      </c>
      <c r="N5922">
        <v>0</v>
      </c>
      <c r="O5922">
        <v>0.98584899999999998</v>
      </c>
      <c r="P5922">
        <v>-0.22184319999999999</v>
      </c>
      <c r="Q5922">
        <v>1.247379E-2</v>
      </c>
      <c r="R5922">
        <v>0.97500260000000005</v>
      </c>
      <c r="S5922">
        <v>-8.4472660000000005E-2</v>
      </c>
      <c r="T5922">
        <v>-0.28827909999999901</v>
      </c>
      <c r="U5922">
        <v>3.0649410000000001</v>
      </c>
      <c r="V5922">
        <v>-5.5553909999999998E-2</v>
      </c>
      <c r="W5922">
        <v>2.5399640000000001E-2</v>
      </c>
      <c r="X5922">
        <v>0.99813260000000004</v>
      </c>
      <c r="Y5922">
        <v>0.1400634</v>
      </c>
      <c r="Z5922">
        <v>-9.119302E-2</v>
      </c>
      <c r="AA5922">
        <v>0.98593410000000004</v>
      </c>
      <c r="AB5922">
        <v>33</v>
      </c>
      <c r="AC5922">
        <v>2.9599999999987799E-2</v>
      </c>
      <c r="AD5922">
        <v>-7.3313999999999796E-2</v>
      </c>
      <c r="AE5922">
        <v>0.467530000000001</v>
      </c>
      <c r="AF5922">
        <v>0.104777443569185</v>
      </c>
      <c r="AG5922">
        <v>-7.3313999999999796E-2</v>
      </c>
      <c r="AH5922">
        <v>0.44510074515115</v>
      </c>
      <c r="AI5922">
        <v>99.108760917485199</v>
      </c>
      <c r="AJ5922">
        <v>76.753643045652595</v>
      </c>
      <c r="AK5922">
        <v>0.46310682203029901</v>
      </c>
      <c r="AL5922">
        <v>88.544551351025007</v>
      </c>
      <c r="AM5922">
        <v>93.185672833421094</v>
      </c>
      <c r="AN5922">
        <v>1.00000003290558</v>
      </c>
    </row>
    <row r="5923" spans="1:40" x14ac:dyDescent="0.25">
      <c r="A5923" t="str">
        <f>"20190312151432847"</f>
        <v>20190312151432847</v>
      </c>
      <c r="B5923" t="str">
        <f>"1552374872836546"</f>
        <v>1552374872836546</v>
      </c>
      <c r="C5923" t="s">
        <v>40</v>
      </c>
      <c r="D5923">
        <v>4.8992610000000001</v>
      </c>
      <c r="E5923">
        <v>0.57793240000000001</v>
      </c>
      <c r="F5923" t="s">
        <v>41</v>
      </c>
      <c r="G5923">
        <v>-189.4023</v>
      </c>
      <c r="H5923">
        <v>1.034554</v>
      </c>
      <c r="I5923">
        <v>-14.706340000000001</v>
      </c>
      <c r="J5923">
        <v>-189.43969999999999</v>
      </c>
      <c r="K5923">
        <v>1.106819</v>
      </c>
      <c r="L5923">
        <v>-15.137510000000001</v>
      </c>
      <c r="M5923">
        <v>-0.16369110000000001</v>
      </c>
      <c r="N5923">
        <v>0</v>
      </c>
      <c r="O5923">
        <v>0.98643150000000002</v>
      </c>
      <c r="P5923">
        <v>-0.21746660000000001</v>
      </c>
      <c r="Q5923">
        <v>1.177627E-2</v>
      </c>
      <c r="R5923">
        <v>0.97599669999999905</v>
      </c>
      <c r="S5923">
        <v>-6.3171389999999994E-2</v>
      </c>
      <c r="T5923">
        <v>-0.29030080000000003</v>
      </c>
      <c r="U5923">
        <v>3.0662539999999998</v>
      </c>
      <c r="V5923">
        <v>-5.458387E-2</v>
      </c>
      <c r="W5923">
        <v>2.4721320000000001E-2</v>
      </c>
      <c r="X5923">
        <v>0.99820310000000001</v>
      </c>
      <c r="Y5923">
        <v>0.1434339</v>
      </c>
      <c r="Z5923">
        <v>-9.1854560000000002E-2</v>
      </c>
      <c r="AA5923">
        <v>0.98538800000000004</v>
      </c>
      <c r="AB5923">
        <v>33</v>
      </c>
      <c r="AC5923">
        <v>3.7399999999991003E-2</v>
      </c>
      <c r="AD5923">
        <v>-7.2264999999999802E-2</v>
      </c>
      <c r="AE5923">
        <v>0.431170000000001</v>
      </c>
      <c r="AF5923">
        <v>0.10456439944406</v>
      </c>
      <c r="AG5923">
        <v>-7.2264999999999802E-2</v>
      </c>
      <c r="AH5923">
        <v>0.40785936659732702</v>
      </c>
      <c r="AI5923">
        <v>99.738818010568494</v>
      </c>
      <c r="AJ5923">
        <v>75.6205727786908</v>
      </c>
      <c r="AK5923">
        <v>0.42720628129425903</v>
      </c>
      <c r="AL5923">
        <v>88.583428366609994</v>
      </c>
      <c r="AM5923">
        <v>93.129938005052793</v>
      </c>
      <c r="AN5923">
        <v>0.99999998568816395</v>
      </c>
    </row>
    <row r="5924" spans="1:40" x14ac:dyDescent="0.25">
      <c r="A5924" t="str">
        <f>"20190312151432873"</f>
        <v>20190312151432873</v>
      </c>
      <c r="B5924" t="str">
        <f>"1552374872866803"</f>
        <v>1552374872866803</v>
      </c>
      <c r="C5924" t="s">
        <v>40</v>
      </c>
      <c r="D5924">
        <v>4.9528220000000003</v>
      </c>
      <c r="E5924">
        <v>0.57859890000000003</v>
      </c>
      <c r="F5924" t="s">
        <v>41</v>
      </c>
      <c r="G5924">
        <v>-189.45480000000001</v>
      </c>
      <c r="H5924">
        <v>1.0102009999999999</v>
      </c>
      <c r="I5924">
        <v>-14.118639999999999</v>
      </c>
      <c r="J5924">
        <v>-189.50120000000001</v>
      </c>
      <c r="K5924">
        <v>1.106668</v>
      </c>
      <c r="L5924">
        <v>-14.7395</v>
      </c>
      <c r="M5924">
        <v>-0.1593589</v>
      </c>
      <c r="N5924">
        <v>0</v>
      </c>
      <c r="O5924">
        <v>0.98714049999999998</v>
      </c>
      <c r="P5924">
        <v>-0.21339810000000001</v>
      </c>
      <c r="Q5924">
        <v>1.243382E-2</v>
      </c>
      <c r="R5924">
        <v>0.97688620000000004</v>
      </c>
      <c r="S5924">
        <v>-4.5730590000000002E-2</v>
      </c>
      <c r="T5924">
        <v>-0.29073670000000001</v>
      </c>
      <c r="U5924">
        <v>3.0671080000000002</v>
      </c>
      <c r="V5924">
        <v>-5.4794259999999997E-2</v>
      </c>
      <c r="W5924">
        <v>2.5406310000000001E-2</v>
      </c>
      <c r="X5924">
        <v>0.99817440000000002</v>
      </c>
      <c r="Y5924">
        <v>0.1446964</v>
      </c>
      <c r="Z5924">
        <v>-9.2061539999999997E-2</v>
      </c>
      <c r="AA5924">
        <v>0.98518410000000001</v>
      </c>
      <c r="AB5924">
        <v>33</v>
      </c>
      <c r="AC5924">
        <v>4.6400000000005499E-2</v>
      </c>
      <c r="AD5924">
        <v>-9.6466999999999803E-2</v>
      </c>
      <c r="AE5924">
        <v>0.62085999999999997</v>
      </c>
      <c r="AF5924">
        <v>0.14136060061817601</v>
      </c>
      <c r="AG5924">
        <v>-9.6466999999999803E-2</v>
      </c>
      <c r="AH5924">
        <v>0.59133317748416003</v>
      </c>
      <c r="AI5924">
        <v>99.015634496000999</v>
      </c>
      <c r="AJ5924">
        <v>76.555523934249507</v>
      </c>
      <c r="AK5924">
        <v>0.61560021790902997</v>
      </c>
      <c r="AL5924">
        <v>88.544169034621802</v>
      </c>
      <c r="AM5924">
        <v>93.142068182211304</v>
      </c>
      <c r="AN5924">
        <v>1.0000000121660599</v>
      </c>
    </row>
    <row r="5925" spans="1:40" x14ac:dyDescent="0.25">
      <c r="A5925" t="str">
        <f>"20190312151432916"</f>
        <v>20190312151432916</v>
      </c>
      <c r="B5925" t="str">
        <f>"1552374872906819"</f>
        <v>1552374872906819</v>
      </c>
      <c r="C5925" t="s">
        <v>40</v>
      </c>
      <c r="D5925">
        <v>4.7930400000000004</v>
      </c>
      <c r="E5925">
        <v>0.57895839999999998</v>
      </c>
      <c r="F5925" t="s">
        <v>41</v>
      </c>
      <c r="G5925">
        <v>-189.5094</v>
      </c>
      <c r="H5925">
        <v>1.021026</v>
      </c>
      <c r="I5925">
        <v>-13.81879</v>
      </c>
      <c r="J5925">
        <v>-189.5942</v>
      </c>
      <c r="K5925">
        <v>1.106495</v>
      </c>
      <c r="L5925">
        <v>-14.112920000000001</v>
      </c>
      <c r="M5925">
        <v>-0.15229029999999999</v>
      </c>
      <c r="N5925">
        <v>0</v>
      </c>
      <c r="O5925">
        <v>0.98825560000000001</v>
      </c>
      <c r="P5925">
        <v>-0.20762530000000001</v>
      </c>
      <c r="Q5925">
        <v>1.4195579999999999E-2</v>
      </c>
      <c r="R5925">
        <v>0.97810540000000001</v>
      </c>
      <c r="S5925">
        <v>-2.732849E-2</v>
      </c>
      <c r="T5925">
        <v>-0.28548430000000002</v>
      </c>
      <c r="U5925">
        <v>3.0686339999999999</v>
      </c>
      <c r="V5925">
        <v>-5.6020979999999998E-2</v>
      </c>
      <c r="W5925">
        <v>2.7210990000000001E-2</v>
      </c>
      <c r="X5925">
        <v>0.99805869999999997</v>
      </c>
      <c r="Y5925">
        <v>0.1435285</v>
      </c>
      <c r="Z5925">
        <v>-9.0533520000000006E-2</v>
      </c>
      <c r="AA5925">
        <v>0.9854965</v>
      </c>
      <c r="AB5925">
        <v>33</v>
      </c>
      <c r="AC5925">
        <v>8.4800000000001305E-2</v>
      </c>
      <c r="AD5925">
        <v>-8.5469000000000003E-2</v>
      </c>
      <c r="AE5925">
        <v>0.29413</v>
      </c>
      <c r="AF5925">
        <v>0.119306502932104</v>
      </c>
      <c r="AG5925">
        <v>-8.5469000000000003E-2</v>
      </c>
      <c r="AH5925">
        <v>0.25769407249640702</v>
      </c>
      <c r="AI5925">
        <v>106.75056120315099</v>
      </c>
      <c r="AJ5925">
        <v>65.156934981196002</v>
      </c>
      <c r="AK5925">
        <v>0.29655560457133801</v>
      </c>
      <c r="AL5925">
        <v>88.440732619112396</v>
      </c>
      <c r="AM5925">
        <v>93.212637905292496</v>
      </c>
      <c r="AN5925">
        <v>0.99999997841131405</v>
      </c>
    </row>
    <row r="5926" spans="1:40" x14ac:dyDescent="0.25">
      <c r="A5926" t="str">
        <f>"20190312151432938"</f>
        <v>20190312151432938</v>
      </c>
      <c r="B5926" t="str">
        <f>"1552374872926848"</f>
        <v>1552374872926848</v>
      </c>
      <c r="C5926" t="s">
        <v>40</v>
      </c>
      <c r="D5926">
        <v>4.7556510000000003</v>
      </c>
      <c r="E5926">
        <v>0.57921730000000005</v>
      </c>
      <c r="F5926" t="s">
        <v>41</v>
      </c>
      <c r="G5926">
        <v>-189.596</v>
      </c>
      <c r="H5926">
        <v>1.0274559999999999</v>
      </c>
      <c r="I5926">
        <v>-13.22254</v>
      </c>
      <c r="J5926">
        <v>-189.64449999999999</v>
      </c>
      <c r="K5926">
        <v>1.106417</v>
      </c>
      <c r="L5926">
        <v>-13.75977</v>
      </c>
      <c r="M5926">
        <v>-0.14820120000000001</v>
      </c>
      <c r="N5926">
        <v>0</v>
      </c>
      <c r="O5926">
        <v>0.98887700000000001</v>
      </c>
      <c r="P5926">
        <v>-0.20407829999999999</v>
      </c>
      <c r="Q5926">
        <v>1.573076E-2</v>
      </c>
      <c r="R5926">
        <v>0.97882809999999998</v>
      </c>
      <c r="S5926">
        <v>-6.2408450000000001E-3</v>
      </c>
      <c r="T5926">
        <v>-0.27245710000000001</v>
      </c>
      <c r="U5926">
        <v>3.069763</v>
      </c>
      <c r="V5926">
        <v>-5.6516789999999997E-2</v>
      </c>
      <c r="W5926">
        <v>2.8765349999999999E-2</v>
      </c>
      <c r="X5926">
        <v>0.99798719999999996</v>
      </c>
      <c r="Y5926">
        <v>0.14620669999999999</v>
      </c>
      <c r="Z5926">
        <v>-8.6469840000000006E-2</v>
      </c>
      <c r="AA5926">
        <v>0.98546769999999995</v>
      </c>
      <c r="AB5926">
        <v>33</v>
      </c>
      <c r="AC5926">
        <v>4.8500000000018403E-2</v>
      </c>
      <c r="AD5926">
        <v>-7.8961000000000003E-2</v>
      </c>
      <c r="AE5926">
        <v>0.53723000000000198</v>
      </c>
      <c r="AF5926">
        <v>0.124912183165794</v>
      </c>
      <c r="AG5926">
        <v>-7.8961000000000003E-2</v>
      </c>
      <c r="AH5926">
        <v>0.51311327878256496</v>
      </c>
      <c r="AI5926">
        <v>98.503832412099698</v>
      </c>
      <c r="AJ5926">
        <v>76.318061725096399</v>
      </c>
      <c r="AK5926">
        <v>0.53396922185388096</v>
      </c>
      <c r="AL5926">
        <v>88.351639510590203</v>
      </c>
      <c r="AM5926">
        <v>93.241242501413396</v>
      </c>
      <c r="AN5926">
        <v>1.00000002213818</v>
      </c>
    </row>
    <row r="5927" spans="1:40" x14ac:dyDescent="0.25">
      <c r="A5927" t="str">
        <f>"20190312151432959"</f>
        <v>20190312151432959</v>
      </c>
      <c r="B5927" t="str">
        <f>"1552374872956129"</f>
        <v>1552374872956129</v>
      </c>
      <c r="C5927" t="s">
        <v>40</v>
      </c>
      <c r="D5927">
        <v>4.7147670000000002</v>
      </c>
      <c r="E5927">
        <v>0.57935890000000001</v>
      </c>
      <c r="F5927" t="s">
        <v>41</v>
      </c>
      <c r="G5927">
        <v>-189.64250000000001</v>
      </c>
      <c r="H5927">
        <v>1.0340780000000001</v>
      </c>
      <c r="I5927">
        <v>-12.92337</v>
      </c>
      <c r="J5927">
        <v>-189.68629999999999</v>
      </c>
      <c r="K5927">
        <v>1.106366</v>
      </c>
      <c r="L5927">
        <v>-13.45776</v>
      </c>
      <c r="M5927">
        <v>-0.14464949999999999</v>
      </c>
      <c r="N5927">
        <v>0</v>
      </c>
      <c r="O5927">
        <v>0.98940269999999997</v>
      </c>
      <c r="P5927">
        <v>-0.20125270000000001</v>
      </c>
      <c r="Q5927">
        <v>1.746603E-2</v>
      </c>
      <c r="R5927">
        <v>0.97938360000000002</v>
      </c>
      <c r="S5927">
        <v>7.019043E-3</v>
      </c>
      <c r="T5927">
        <v>-0.26553490000000002</v>
      </c>
      <c r="U5927">
        <v>3.0706180000000001</v>
      </c>
      <c r="V5927">
        <v>-5.7205249999999999E-2</v>
      </c>
      <c r="W5927">
        <v>3.0517430000000002E-2</v>
      </c>
      <c r="X5927">
        <v>0.99789589999999995</v>
      </c>
      <c r="Y5927">
        <v>0.14691129999999999</v>
      </c>
      <c r="Z5927">
        <v>-8.4329230000000005E-2</v>
      </c>
      <c r="AA5927">
        <v>0.98554839999999999</v>
      </c>
      <c r="AB5927">
        <v>33</v>
      </c>
      <c r="AC5927">
        <v>4.3799999999975997E-2</v>
      </c>
      <c r="AD5927">
        <v>-7.2287999999999894E-2</v>
      </c>
      <c r="AE5927">
        <v>0.53439000000000003</v>
      </c>
      <c r="AF5927">
        <v>0.118490926214006</v>
      </c>
      <c r="AG5927">
        <v>-7.2287999999999894E-2</v>
      </c>
      <c r="AH5927">
        <v>0.51310632023792602</v>
      </c>
      <c r="AI5927">
        <v>97.816167360319895</v>
      </c>
      <c r="AJ5927">
        <v>76.996713800411499</v>
      </c>
      <c r="AK5927">
        <v>0.53154844596438999</v>
      </c>
      <c r="AL5927">
        <v>88.251208525956997</v>
      </c>
      <c r="AM5927">
        <v>93.280939513863501</v>
      </c>
      <c r="AN5927">
        <v>0.99999999069908796</v>
      </c>
    </row>
    <row r="5928" spans="1:40" x14ac:dyDescent="0.25">
      <c r="A5928" t="str">
        <f>"20190312151432982"</f>
        <v>20190312151432982</v>
      </c>
      <c r="B5928" t="str">
        <f>"1552374872976625"</f>
        <v>1552374872976625</v>
      </c>
      <c r="C5928" t="s">
        <v>40</v>
      </c>
      <c r="D5928">
        <v>4.7624230000000001</v>
      </c>
      <c r="E5928">
        <v>0.57959459999999996</v>
      </c>
      <c r="F5928" t="s">
        <v>41</v>
      </c>
      <c r="G5928">
        <v>-189.68170000000001</v>
      </c>
      <c r="H5928">
        <v>1.0361750000000001</v>
      </c>
      <c r="I5928">
        <v>-12.624610000000001</v>
      </c>
      <c r="J5928">
        <v>-189.73099999999999</v>
      </c>
      <c r="K5928">
        <v>1.106298</v>
      </c>
      <c r="L5928">
        <v>-13.12491</v>
      </c>
      <c r="M5928">
        <v>-0.1406715</v>
      </c>
      <c r="N5928">
        <v>0</v>
      </c>
      <c r="O5928">
        <v>0.98997610000000003</v>
      </c>
      <c r="P5928">
        <v>-0.1981414</v>
      </c>
      <c r="Q5928">
        <v>1.9115940000000001E-2</v>
      </c>
      <c r="R5928">
        <v>0.97998700000000005</v>
      </c>
      <c r="S5928">
        <v>1.6555790000000001E-2</v>
      </c>
      <c r="T5928">
        <v>-0.2586215</v>
      </c>
      <c r="U5928">
        <v>3.071167</v>
      </c>
      <c r="V5928">
        <v>-5.8032519999999997E-2</v>
      </c>
      <c r="W5928">
        <v>3.2187449999999999E-2</v>
      </c>
      <c r="X5928">
        <v>0.9977956</v>
      </c>
      <c r="Y5928">
        <v>0.1459966</v>
      </c>
      <c r="Z5928">
        <v>-8.2211820000000005E-2</v>
      </c>
      <c r="AA5928">
        <v>0.98586320000000005</v>
      </c>
      <c r="AB5928">
        <v>33</v>
      </c>
      <c r="AC5928">
        <v>4.9299999999988103E-2</v>
      </c>
      <c r="AD5928">
        <v>-7.0122999999999894E-2</v>
      </c>
      <c r="AE5928">
        <v>0.50029999999999897</v>
      </c>
      <c r="AF5928">
        <v>0.116918425219561</v>
      </c>
      <c r="AG5928">
        <v>-7.0122999999999894E-2</v>
      </c>
      <c r="AH5928">
        <v>0.47906778053396198</v>
      </c>
      <c r="AI5928">
        <v>98.093212697667695</v>
      </c>
      <c r="AJ5928">
        <v>76.284841126745903</v>
      </c>
      <c r="AK5928">
        <v>0.49808944139638101</v>
      </c>
      <c r="AL5928">
        <v>88.155476245773997</v>
      </c>
      <c r="AM5928">
        <v>93.328614512029205</v>
      </c>
      <c r="AN5928">
        <v>0.99999993234720397</v>
      </c>
    </row>
    <row r="5929" spans="1:40" x14ac:dyDescent="0.25">
      <c r="A5929" t="str">
        <f>"20190312151433004"</f>
        <v>20190312151433004</v>
      </c>
      <c r="B5929" t="str">
        <f>"1552374872996145"</f>
        <v>1552374872996145</v>
      </c>
      <c r="C5929" t="s">
        <v>40</v>
      </c>
      <c r="D5929">
        <v>4.7573949999999998</v>
      </c>
      <c r="E5929">
        <v>0.57964349999999998</v>
      </c>
      <c r="F5929" t="s">
        <v>41</v>
      </c>
      <c r="G5929">
        <v>-189.7236</v>
      </c>
      <c r="H5929">
        <v>1.040586</v>
      </c>
      <c r="I5929">
        <v>-12.324859999999999</v>
      </c>
      <c r="J5929">
        <v>-189.77529999999999</v>
      </c>
      <c r="K5929">
        <v>1.106214</v>
      </c>
      <c r="L5929">
        <v>-12.78406</v>
      </c>
      <c r="M5929">
        <v>-0.13652529999999999</v>
      </c>
      <c r="N5929">
        <v>0</v>
      </c>
      <c r="O5929">
        <v>0.9905564</v>
      </c>
      <c r="P5929">
        <v>-0.19477900000000001</v>
      </c>
      <c r="Q5929">
        <v>1.903502E-2</v>
      </c>
      <c r="R5929">
        <v>0.98066240000000005</v>
      </c>
      <c r="S5929">
        <v>2.7832030000000001E-2</v>
      </c>
      <c r="T5929">
        <v>-0.25206410000000001</v>
      </c>
      <c r="U5929">
        <v>3.0718079999999999</v>
      </c>
      <c r="V5929">
        <v>-5.8782470000000003E-2</v>
      </c>
      <c r="W5929">
        <v>3.2127879999999998E-2</v>
      </c>
      <c r="X5929">
        <v>0.99775369999999997</v>
      </c>
      <c r="Y5929">
        <v>0.14547389999999999</v>
      </c>
      <c r="Z5929">
        <v>-8.0197879999999999E-2</v>
      </c>
      <c r="AA5929">
        <v>0.98610629999999999</v>
      </c>
      <c r="AB5929">
        <v>33</v>
      </c>
      <c r="AC5929">
        <v>5.1699999999982503E-2</v>
      </c>
      <c r="AD5929">
        <v>-6.5628000000000006E-2</v>
      </c>
      <c r="AE5929">
        <v>0.459199999999999</v>
      </c>
      <c r="AF5929">
        <v>0.111661038237394</v>
      </c>
      <c r="AG5929">
        <v>-6.5628000000000006E-2</v>
      </c>
      <c r="AH5929">
        <v>0.43898639505314102</v>
      </c>
      <c r="AI5929">
        <v>98.243955318229297</v>
      </c>
      <c r="AJ5929">
        <v>75.728827642434894</v>
      </c>
      <c r="AK5929">
        <v>0.45769452354819101</v>
      </c>
      <c r="AL5929">
        <v>88.158891269647995</v>
      </c>
      <c r="AM5929">
        <v>93.371672612852805</v>
      </c>
      <c r="AN5929">
        <v>1.0000000126581401</v>
      </c>
    </row>
    <row r="5930" spans="1:40" x14ac:dyDescent="0.25">
      <c r="A5930" t="str">
        <f>"20190312151433048"</f>
        <v>20190312151433048</v>
      </c>
      <c r="B5930" t="str">
        <f>"1552374873036160"</f>
        <v>1552374873036160</v>
      </c>
      <c r="C5930" t="s">
        <v>40</v>
      </c>
      <c r="D5930">
        <v>4.7983549999999999</v>
      </c>
      <c r="E5930">
        <v>0.57961070000000003</v>
      </c>
      <c r="F5930" t="s">
        <v>41</v>
      </c>
      <c r="G5930">
        <v>-189.76580000000001</v>
      </c>
      <c r="H5930">
        <v>1.0438970000000001</v>
      </c>
      <c r="I5930">
        <v>-12.02577</v>
      </c>
      <c r="J5930">
        <v>-189.8544</v>
      </c>
      <c r="K5930">
        <v>1.1060639999999999</v>
      </c>
      <c r="L5930">
        <v>-12.14255</v>
      </c>
      <c r="M5930">
        <v>-0.12850039999999999</v>
      </c>
      <c r="N5930">
        <v>0</v>
      </c>
      <c r="O5930">
        <v>0.99162919999999999</v>
      </c>
      <c r="P5930">
        <v>-0.18738009999999999</v>
      </c>
      <c r="Q5930">
        <v>1.7857640000000001E-2</v>
      </c>
      <c r="R5930">
        <v>0.98212520000000003</v>
      </c>
      <c r="S5930">
        <v>3.8406370000000002E-2</v>
      </c>
      <c r="T5930">
        <v>-0.25238699999999997</v>
      </c>
      <c r="U5930">
        <v>3.0716860000000001</v>
      </c>
      <c r="V5930">
        <v>-5.933505E-2</v>
      </c>
      <c r="W5930">
        <v>3.098689E-2</v>
      </c>
      <c r="X5930">
        <v>0.99775709999999995</v>
      </c>
      <c r="Y5930">
        <v>0.14085629999999999</v>
      </c>
      <c r="Z5930">
        <v>-8.046056E-2</v>
      </c>
      <c r="AA5930">
        <v>0.9867551</v>
      </c>
      <c r="AB5930">
        <v>33</v>
      </c>
      <c r="AC5930">
        <v>8.8599999999985302E-2</v>
      </c>
      <c r="AD5930">
        <v>-6.2167E-2</v>
      </c>
      <c r="AE5930">
        <v>0.11677999999999999</v>
      </c>
      <c r="AF5930">
        <v>8.7190731235257807E-2</v>
      </c>
      <c r="AG5930">
        <v>-6.2167E-2</v>
      </c>
      <c r="AH5930">
        <v>8.8506839051025202E-2</v>
      </c>
      <c r="AI5930">
        <v>116.58230939751699</v>
      </c>
      <c r="AJ5930">
        <v>45.429180737934303</v>
      </c>
      <c r="AK5930">
        <v>0.138925951719407</v>
      </c>
      <c r="AL5930">
        <v>88.224297796323398</v>
      </c>
      <c r="AM5930">
        <v>93.403282033846807</v>
      </c>
      <c r="AN5930">
        <v>1.00000003305539</v>
      </c>
    </row>
    <row r="5931" spans="1:40" x14ac:dyDescent="0.25">
      <c r="A5931" t="str">
        <f>"20190312151433071"</f>
        <v>20190312151433071</v>
      </c>
      <c r="B5931" t="str">
        <f>"1552374873066416"</f>
        <v>1552374873066416</v>
      </c>
      <c r="C5931" t="s">
        <v>40</v>
      </c>
      <c r="D5931">
        <v>4.7557600000000004</v>
      </c>
      <c r="E5931">
        <v>0.57959069999999902</v>
      </c>
      <c r="F5931" t="s">
        <v>41</v>
      </c>
      <c r="G5931">
        <v>-189.83439999999999</v>
      </c>
      <c r="H5931">
        <v>1.02251</v>
      </c>
      <c r="I5931">
        <v>-11.14141</v>
      </c>
      <c r="J5931">
        <v>-189.89490000000001</v>
      </c>
      <c r="K5931">
        <v>1.1059840000000001</v>
      </c>
      <c r="L5931">
        <v>-11.79532</v>
      </c>
      <c r="M5931">
        <v>-0.1240473</v>
      </c>
      <c r="N5931">
        <v>0</v>
      </c>
      <c r="O5931">
        <v>0.99219599999999997</v>
      </c>
      <c r="P5931">
        <v>-0.1823333</v>
      </c>
      <c r="Q5931">
        <v>1.787797E-2</v>
      </c>
      <c r="R5931">
        <v>0.98307420000000001</v>
      </c>
      <c r="S5931">
        <v>6.1065670000000002E-2</v>
      </c>
      <c r="T5931">
        <v>-0.25620219999999999</v>
      </c>
      <c r="U5931">
        <v>3.0709230000000001</v>
      </c>
      <c r="V5931">
        <v>-5.8684140000000003E-2</v>
      </c>
      <c r="W5931">
        <v>3.1017400000000001E-2</v>
      </c>
      <c r="X5931">
        <v>0.99779459999999998</v>
      </c>
      <c r="Y5931">
        <v>0.14369100000000001</v>
      </c>
      <c r="Z5931">
        <v>-8.1737340000000006E-2</v>
      </c>
      <c r="AA5931">
        <v>0.98624129999999999</v>
      </c>
      <c r="AB5931">
        <v>33</v>
      </c>
      <c r="AC5931">
        <v>6.0500000000018803E-2</v>
      </c>
      <c r="AD5931">
        <v>-8.3474000000000007E-2</v>
      </c>
      <c r="AE5931">
        <v>0.65390999999999899</v>
      </c>
      <c r="AF5931">
        <v>0.13891047859022401</v>
      </c>
      <c r="AG5931">
        <v>-8.3474000000000007E-2</v>
      </c>
      <c r="AH5931">
        <v>0.63115545824930497</v>
      </c>
      <c r="AI5931">
        <v>97.3598334265765</v>
      </c>
      <c r="AJ5931">
        <v>77.587708566165105</v>
      </c>
      <c r="AK5931">
        <v>0.65162968181019498</v>
      </c>
      <c r="AL5931">
        <v>88.222548777071694</v>
      </c>
      <c r="AM5931">
        <v>93.365907875309901</v>
      </c>
      <c r="AN5931">
        <v>0.99999998558972902</v>
      </c>
    </row>
    <row r="5932" spans="1:40" x14ac:dyDescent="0.25">
      <c r="A5932" t="str">
        <f>"20190312151433116"</f>
        <v>20190312151433116</v>
      </c>
      <c r="B5932" t="str">
        <f>"1552374873106435"</f>
        <v>1552374873106435</v>
      </c>
      <c r="C5932" t="s">
        <v>40</v>
      </c>
      <c r="D5932">
        <v>4.7397980000000004</v>
      </c>
      <c r="E5932">
        <v>0.57940449999999999</v>
      </c>
      <c r="F5932" t="s">
        <v>41</v>
      </c>
      <c r="G5932">
        <v>-189.87119999999999</v>
      </c>
      <c r="H5932">
        <v>1.0263469999999999</v>
      </c>
      <c r="I5932">
        <v>-10.84258</v>
      </c>
      <c r="J5932">
        <v>-189.96729999999999</v>
      </c>
      <c r="K5932">
        <v>1.1058619999999999</v>
      </c>
      <c r="L5932">
        <v>-11.1355</v>
      </c>
      <c r="M5932">
        <v>-0.1154104</v>
      </c>
      <c r="N5932">
        <v>0</v>
      </c>
      <c r="O5932">
        <v>0.99323760000000005</v>
      </c>
      <c r="P5932">
        <v>-0.1726384</v>
      </c>
      <c r="Q5932">
        <v>1.6000029999999998E-2</v>
      </c>
      <c r="R5932">
        <v>0.98485529999999999</v>
      </c>
      <c r="S5932">
        <v>7.633972E-2</v>
      </c>
      <c r="T5932">
        <v>-0.25664500000000001</v>
      </c>
      <c r="U5932">
        <v>3.070465</v>
      </c>
      <c r="V5932">
        <v>-5.7538770000000003E-2</v>
      </c>
      <c r="W5932">
        <v>2.9154289999999999E-2</v>
      </c>
      <c r="X5932">
        <v>0.99791750000000001</v>
      </c>
      <c r="Y5932">
        <v>0.13998640000000001</v>
      </c>
      <c r="Z5932">
        <v>-8.2037269999999995E-2</v>
      </c>
      <c r="AA5932">
        <v>0.98674910000000005</v>
      </c>
      <c r="AB5932">
        <v>33</v>
      </c>
      <c r="AC5932">
        <v>9.6100000000006902E-2</v>
      </c>
      <c r="AD5932">
        <v>-7.9515000000000197E-2</v>
      </c>
      <c r="AE5932">
        <v>0.29292000000000001</v>
      </c>
      <c r="AF5932">
        <v>0.121203070935021</v>
      </c>
      <c r="AG5932">
        <v>-7.9515000000000197E-2</v>
      </c>
      <c r="AH5932">
        <v>0.26241276764128102</v>
      </c>
      <c r="AI5932">
        <v>105.381023493833</v>
      </c>
      <c r="AJ5932">
        <v>65.208754138539902</v>
      </c>
      <c r="AK5932">
        <v>0.29978872602257201</v>
      </c>
      <c r="AL5932">
        <v>88.329345519127997</v>
      </c>
      <c r="AM5932">
        <v>93.299954733944503</v>
      </c>
      <c r="AN5932">
        <v>1.00000000974238</v>
      </c>
    </row>
    <row r="5933" spans="1:40" x14ac:dyDescent="0.25">
      <c r="A5933" t="str">
        <f>"20190312151433137"</f>
        <v>20190312151433137</v>
      </c>
      <c r="B5933" t="str">
        <f>"1552374873125952"</f>
        <v>1552374873125952</v>
      </c>
      <c r="C5933" t="s">
        <v>40</v>
      </c>
      <c r="D5933">
        <v>4.7750629999999896</v>
      </c>
      <c r="E5933">
        <v>0.57929129999999995</v>
      </c>
      <c r="F5933" t="s">
        <v>41</v>
      </c>
      <c r="G5933">
        <v>-189.93680000000001</v>
      </c>
      <c r="H5933">
        <v>1.0296160000000001</v>
      </c>
      <c r="I5933">
        <v>-10.246169999999999</v>
      </c>
      <c r="J5933">
        <v>-190.00069999999999</v>
      </c>
      <c r="K5933">
        <v>1.1058079999999999</v>
      </c>
      <c r="L5933">
        <v>-10.811</v>
      </c>
      <c r="M5933">
        <v>-0.1110776</v>
      </c>
      <c r="N5933">
        <v>0</v>
      </c>
      <c r="O5933">
        <v>0.99373140000000004</v>
      </c>
      <c r="P5933">
        <v>-0.16715079999999999</v>
      </c>
      <c r="Q5933">
        <v>1.539103E-2</v>
      </c>
      <c r="R5933">
        <v>0.9858112</v>
      </c>
      <c r="S5933">
        <v>0.1050415</v>
      </c>
      <c r="T5933">
        <v>-0.26308379999999998</v>
      </c>
      <c r="U5933">
        <v>3.0688170000000001</v>
      </c>
      <c r="V5933">
        <v>-5.6334410000000001E-2</v>
      </c>
      <c r="W5933">
        <v>2.854514E-2</v>
      </c>
      <c r="X5933">
        <v>0.9980038</v>
      </c>
      <c r="Y5933">
        <v>0.1448941</v>
      </c>
      <c r="Z5933">
        <v>-8.4146830000000006E-2</v>
      </c>
      <c r="AA5933">
        <v>0.98586260000000003</v>
      </c>
      <c r="AB5933">
        <v>33</v>
      </c>
      <c r="AC5933">
        <v>6.3899999999989604E-2</v>
      </c>
      <c r="AD5933">
        <v>-7.6191999999999802E-2</v>
      </c>
      <c r="AE5933">
        <v>0.56483000000000005</v>
      </c>
      <c r="AF5933">
        <v>0.124021266175561</v>
      </c>
      <c r="AG5933">
        <v>-7.6191999999999802E-2</v>
      </c>
      <c r="AH5933">
        <v>0.54445384384597595</v>
      </c>
      <c r="AI5933">
        <v>97.769846025216907</v>
      </c>
      <c r="AJ5933">
        <v>77.167542703830605</v>
      </c>
      <c r="AK5933">
        <v>0.56357473630961197</v>
      </c>
      <c r="AL5933">
        <v>88.364261741034298</v>
      </c>
      <c r="AM5933">
        <v>93.230751561994396</v>
      </c>
      <c r="AN5933">
        <v>0.99999998779105304</v>
      </c>
    </row>
    <row r="5934" spans="1:40" x14ac:dyDescent="0.25">
      <c r="A5934" t="str">
        <f>"20190312151433160"</f>
        <v>20190312151433160</v>
      </c>
      <c r="B5934" t="str">
        <f>"1552374873156208"</f>
        <v>1552374873156208</v>
      </c>
      <c r="C5934" t="s">
        <v>40</v>
      </c>
      <c r="D5934">
        <v>4.7869190000000001</v>
      </c>
      <c r="E5934">
        <v>0.57914500000000002</v>
      </c>
      <c r="F5934" t="s">
        <v>41</v>
      </c>
      <c r="G5934">
        <v>-189.9665</v>
      </c>
      <c r="H5934">
        <v>1.0310079999999999</v>
      </c>
      <c r="I5934">
        <v>-9.9477840000000004</v>
      </c>
      <c r="J5934">
        <v>-190.03399999999999</v>
      </c>
      <c r="K5934">
        <v>1.1057490000000001</v>
      </c>
      <c r="L5934">
        <v>-10.47165</v>
      </c>
      <c r="M5934">
        <v>-0.10650129999999999</v>
      </c>
      <c r="N5934">
        <v>0</v>
      </c>
      <c r="O5934">
        <v>0.99423220000000001</v>
      </c>
      <c r="P5934">
        <v>-0.16162199999999999</v>
      </c>
      <c r="Q5934">
        <v>1.4562490000000001E-2</v>
      </c>
      <c r="R5934">
        <v>0.98674530000000005</v>
      </c>
      <c r="S5934">
        <v>0.12127690000000001</v>
      </c>
      <c r="T5934">
        <v>-0.26585130000000001</v>
      </c>
      <c r="U5934">
        <v>3.0679020000000001</v>
      </c>
      <c r="V5934">
        <v>-5.5337740000000003E-2</v>
      </c>
      <c r="W5934">
        <v>2.7718630000000001E-2</v>
      </c>
      <c r="X5934">
        <v>0.9980829</v>
      </c>
      <c r="Y5934">
        <v>0.14555570000000001</v>
      </c>
      <c r="Z5934">
        <v>-8.5102919999999999E-2</v>
      </c>
      <c r="AA5934">
        <v>0.98568299999999998</v>
      </c>
      <c r="AB5934">
        <v>33</v>
      </c>
      <c r="AC5934">
        <v>6.7500000000023805E-2</v>
      </c>
      <c r="AD5934">
        <v>-7.4740999999999905E-2</v>
      </c>
      <c r="AE5934">
        <v>0.52386599999999905</v>
      </c>
      <c r="AF5934">
        <v>0.12050014631603299</v>
      </c>
      <c r="AG5934">
        <v>-7.4740999999999905E-2</v>
      </c>
      <c r="AH5934">
        <v>0.50361288046314501</v>
      </c>
      <c r="AI5934">
        <v>98.213092894121402</v>
      </c>
      <c r="AJ5934">
        <v>76.5437467130062</v>
      </c>
      <c r="AK5934">
        <v>0.52319445305887102</v>
      </c>
      <c r="AL5934">
        <v>88.4116360970702</v>
      </c>
      <c r="AM5934">
        <v>93.173459898413498</v>
      </c>
      <c r="AN5934">
        <v>1.00000003159489</v>
      </c>
    </row>
    <row r="5935" spans="1:40" x14ac:dyDescent="0.25">
      <c r="A5935" t="str">
        <f>"20190312151433183"</f>
        <v>20190312151433183</v>
      </c>
      <c r="B5935" t="str">
        <f>"1552374873176704"</f>
        <v>1552374873176704</v>
      </c>
      <c r="C5935" t="s">
        <v>40</v>
      </c>
      <c r="D5935">
        <v>4.7682570000000002</v>
      </c>
      <c r="E5935">
        <v>0.57898590000000005</v>
      </c>
      <c r="F5935" t="s">
        <v>41</v>
      </c>
      <c r="G5935">
        <v>-189.99719999999999</v>
      </c>
      <c r="H5935">
        <v>1.0335559999999999</v>
      </c>
      <c r="I5935">
        <v>-9.6490120000000008</v>
      </c>
      <c r="J5935">
        <v>-190.0669</v>
      </c>
      <c r="K5935">
        <v>1.1056999999999999</v>
      </c>
      <c r="L5935">
        <v>-10.12064</v>
      </c>
      <c r="M5935">
        <v>-0.1017289</v>
      </c>
      <c r="N5935">
        <v>0</v>
      </c>
      <c r="O5935">
        <v>0.99473180000000005</v>
      </c>
      <c r="P5935">
        <v>-0.1559384</v>
      </c>
      <c r="Q5935">
        <v>1.3918949999999999E-2</v>
      </c>
      <c r="R5935">
        <v>0.98766869999999995</v>
      </c>
      <c r="S5935">
        <v>0.13723750000000001</v>
      </c>
      <c r="T5935">
        <v>-0.26912320000000001</v>
      </c>
      <c r="U5935">
        <v>3.0667420000000001</v>
      </c>
      <c r="V5935">
        <v>-5.4383500000000001E-2</v>
      </c>
      <c r="W5935">
        <v>2.7075620000000002E-2</v>
      </c>
      <c r="X5935">
        <v>0.99815299999999996</v>
      </c>
      <c r="Y5935">
        <v>0.1459395</v>
      </c>
      <c r="Z5935">
        <v>-8.6228239999999998E-2</v>
      </c>
      <c r="AA5935">
        <v>0.98552850000000003</v>
      </c>
      <c r="AB5935">
        <v>33</v>
      </c>
      <c r="AC5935">
        <v>6.97000000000116E-2</v>
      </c>
      <c r="AD5935">
        <v>-7.2143999999999903E-2</v>
      </c>
      <c r="AE5935">
        <v>0.47162799999999999</v>
      </c>
      <c r="AF5935">
        <v>0.114693995633359</v>
      </c>
      <c r="AG5935">
        <v>-7.2143999999999903E-2</v>
      </c>
      <c r="AH5935">
        <v>0.45174525346308603</v>
      </c>
      <c r="AI5935">
        <v>98.798961436925396</v>
      </c>
      <c r="AJ5935">
        <v>75.754132478439999</v>
      </c>
      <c r="AK5935">
        <v>0.471628289436472</v>
      </c>
      <c r="AL5935">
        <v>88.448491692204598</v>
      </c>
      <c r="AM5935">
        <v>93.118627360819204</v>
      </c>
      <c r="AN5935">
        <v>1.00000003283981</v>
      </c>
    </row>
    <row r="5936" spans="1:40" x14ac:dyDescent="0.25">
      <c r="A5936" t="str">
        <f>"20190312151433205"</f>
        <v>20190312151433205</v>
      </c>
      <c r="B5936" t="str">
        <f>"1552374873196224"</f>
        <v>1552374873196224</v>
      </c>
      <c r="C5936" t="s">
        <v>40</v>
      </c>
      <c r="D5936">
        <v>4.8143479999999998</v>
      </c>
      <c r="E5936">
        <v>0.57878739999999995</v>
      </c>
      <c r="F5936" t="s">
        <v>41</v>
      </c>
      <c r="G5936">
        <v>-190.0282</v>
      </c>
      <c r="H5936">
        <v>1.037247</v>
      </c>
      <c r="I5936">
        <v>-9.3493259999999996</v>
      </c>
      <c r="J5936">
        <v>-190.09540000000001</v>
      </c>
      <c r="K5936">
        <v>1.1056649999999999</v>
      </c>
      <c r="L5936">
        <v>-9.8006589999999996</v>
      </c>
      <c r="M5936">
        <v>-9.7351489999999999E-2</v>
      </c>
      <c r="N5936">
        <v>0</v>
      </c>
      <c r="O5936">
        <v>0.99516979999999999</v>
      </c>
      <c r="P5936">
        <v>-0.15148909999999999</v>
      </c>
      <c r="Q5936">
        <v>1.4439209999999999E-2</v>
      </c>
      <c r="R5936">
        <v>0.98835340000000005</v>
      </c>
      <c r="S5936">
        <v>0.1533813</v>
      </c>
      <c r="T5936">
        <v>-0.27192250000000001</v>
      </c>
      <c r="U5936">
        <v>3.0655209999999999</v>
      </c>
      <c r="V5936">
        <v>-5.427324E-2</v>
      </c>
      <c r="W5936">
        <v>2.7601850000000001E-2</v>
      </c>
      <c r="X5936">
        <v>0.99814460000000005</v>
      </c>
      <c r="Y5936">
        <v>0.14677870000000001</v>
      </c>
      <c r="Z5936">
        <v>-8.7194240000000006E-2</v>
      </c>
      <c r="AA5936">
        <v>0.98531880000000005</v>
      </c>
      <c r="AB5936">
        <v>33</v>
      </c>
      <c r="AC5936">
        <v>6.7200000000013901E-2</v>
      </c>
      <c r="AD5936">
        <v>-6.8417999999999798E-2</v>
      </c>
      <c r="AE5936">
        <v>0.45133299999999998</v>
      </c>
      <c r="AF5936">
        <v>0.108385541435688</v>
      </c>
      <c r="AG5936">
        <v>-6.8417999999999798E-2</v>
      </c>
      <c r="AH5936">
        <v>0.43291379003296898</v>
      </c>
      <c r="AI5936">
        <v>98.716089443960001</v>
      </c>
      <c r="AJ5936">
        <v>75.944189967763805</v>
      </c>
      <c r="AK5936">
        <v>0.45148953245564499</v>
      </c>
      <c r="AL5936">
        <v>88.418329679653894</v>
      </c>
      <c r="AM5936">
        <v>93.112343073527995</v>
      </c>
      <c r="AN5936">
        <v>1.00000004460633</v>
      </c>
    </row>
    <row r="5937" spans="1:40" x14ac:dyDescent="0.25">
      <c r="A5937" t="str">
        <f>"20190312151433227"</f>
        <v>20190312151433227</v>
      </c>
      <c r="B5937" t="str">
        <f>"1552374873216720"</f>
        <v>1552374873216720</v>
      </c>
      <c r="C5937" t="s">
        <v>40</v>
      </c>
      <c r="D5937">
        <v>4.8390519999999997</v>
      </c>
      <c r="E5937">
        <v>0.57860649999999902</v>
      </c>
      <c r="F5937" t="s">
        <v>41</v>
      </c>
      <c r="G5937">
        <v>-190.0547</v>
      </c>
      <c r="H5937">
        <v>1.0393479999999999</v>
      </c>
      <c r="I5937">
        <v>-9.0497130000000006</v>
      </c>
      <c r="J5937">
        <v>-190.12289999999999</v>
      </c>
      <c r="K5937">
        <v>1.105639</v>
      </c>
      <c r="L5937">
        <v>-9.473236</v>
      </c>
      <c r="M5937">
        <v>-9.2854660000000006E-2</v>
      </c>
      <c r="N5937">
        <v>0</v>
      </c>
      <c r="O5937">
        <v>0.99559929999999996</v>
      </c>
      <c r="P5937">
        <v>-0.14744649999999901</v>
      </c>
      <c r="Q5937">
        <v>1.409942E-2</v>
      </c>
      <c r="R5937">
        <v>0.98896949999999995</v>
      </c>
      <c r="S5937">
        <v>0.165817299999999</v>
      </c>
      <c r="T5937">
        <v>-0.2705727</v>
      </c>
      <c r="U5937">
        <v>3.0647280000000001</v>
      </c>
      <c r="V5937">
        <v>-5.4702569999999999E-2</v>
      </c>
      <c r="W5937">
        <v>2.7271050000000002E-2</v>
      </c>
      <c r="X5937">
        <v>0.99813019999999997</v>
      </c>
      <c r="Y5937">
        <v>0.1463121</v>
      </c>
      <c r="Z5937">
        <v>-8.6837559999999994E-2</v>
      </c>
      <c r="AA5937">
        <v>0.98541970000000001</v>
      </c>
      <c r="AB5937">
        <v>33</v>
      </c>
      <c r="AC5937">
        <v>6.8199999999990199E-2</v>
      </c>
      <c r="AD5937">
        <v>-6.62910000000001E-2</v>
      </c>
      <c r="AE5937">
        <v>0.42352299999999898</v>
      </c>
      <c r="AF5937">
        <v>0.10473348633931</v>
      </c>
      <c r="AG5937">
        <v>-6.62910000000001E-2</v>
      </c>
      <c r="AH5937">
        <v>0.40567223911477002</v>
      </c>
      <c r="AI5937">
        <v>98.990936792106396</v>
      </c>
      <c r="AJ5937">
        <v>75.523896049478495</v>
      </c>
      <c r="AK5937">
        <v>0.42418576759502202</v>
      </c>
      <c r="AL5937">
        <v>88.437290173151993</v>
      </c>
      <c r="AM5937">
        <v>93.136959539447005</v>
      </c>
      <c r="AN5937">
        <v>0.99999998874237295</v>
      </c>
    </row>
    <row r="5938" spans="1:40" x14ac:dyDescent="0.25">
      <c r="A5938" t="str">
        <f>"20190312151433249"</f>
        <v>20190312151433249</v>
      </c>
      <c r="B5938" t="str">
        <f>"1552374873246000"</f>
        <v>1552374873246000</v>
      </c>
      <c r="C5938" t="s">
        <v>40</v>
      </c>
      <c r="D5938">
        <v>4.8271319999999998</v>
      </c>
      <c r="E5938">
        <v>0.57824980000000004</v>
      </c>
      <c r="F5938" t="s">
        <v>41</v>
      </c>
      <c r="G5938">
        <v>-190.06450000000001</v>
      </c>
      <c r="H5938">
        <v>1.016116</v>
      </c>
      <c r="I5938">
        <v>-8.4619309999999999</v>
      </c>
      <c r="J5938">
        <v>-190.15020000000001</v>
      </c>
      <c r="K5938">
        <v>1.1056140000000001</v>
      </c>
      <c r="L5938">
        <v>-9.1296389999999992</v>
      </c>
      <c r="M5938">
        <v>-8.8122000000000006E-2</v>
      </c>
      <c r="N5938">
        <v>0</v>
      </c>
      <c r="O5938">
        <v>0.99602939999999995</v>
      </c>
      <c r="P5938">
        <v>-0.14355419999999999</v>
      </c>
      <c r="Q5938">
        <v>1.369182E-2</v>
      </c>
      <c r="R5938">
        <v>0.98954770000000003</v>
      </c>
      <c r="S5938">
        <v>0.1773071</v>
      </c>
      <c r="T5938">
        <v>-0.27124189999999998</v>
      </c>
      <c r="U5938">
        <v>3.0637509999999999</v>
      </c>
      <c r="V5938">
        <v>-5.5521300000000003E-2</v>
      </c>
      <c r="W5938">
        <v>2.6875429999999999E-2</v>
      </c>
      <c r="X5938">
        <v>0.99809579999999998</v>
      </c>
      <c r="Y5938">
        <v>0.14531050000000001</v>
      </c>
      <c r="Z5938">
        <v>-8.7132440000000005E-2</v>
      </c>
      <c r="AA5938">
        <v>0.98554189999999997</v>
      </c>
      <c r="AB5938">
        <v>33</v>
      </c>
      <c r="AC5938">
        <v>8.5700000000002705E-2</v>
      </c>
      <c r="AD5938">
        <v>-8.94979999999998E-2</v>
      </c>
      <c r="AE5938">
        <v>0.66770799999999897</v>
      </c>
      <c r="AF5938">
        <v>0.141706369109763</v>
      </c>
      <c r="AG5938">
        <v>-8.94979999999998E-2</v>
      </c>
      <c r="AH5938">
        <v>0.64613691587066802</v>
      </c>
      <c r="AI5938">
        <v>97.705152416398107</v>
      </c>
      <c r="AJ5938">
        <v>77.630119746075493</v>
      </c>
      <c r="AK5938">
        <v>0.66752041249772398</v>
      </c>
      <c r="AL5938">
        <v>88.459965958611207</v>
      </c>
      <c r="AM5938">
        <v>93.183923846058505</v>
      </c>
      <c r="AN5938">
        <v>1.0000000647345</v>
      </c>
    </row>
    <row r="5939" spans="1:40" x14ac:dyDescent="0.25">
      <c r="A5939" t="str">
        <f>"20190312151433274"</f>
        <v>20190312151433274</v>
      </c>
      <c r="B5939" t="str">
        <f>"1552374873266496"</f>
        <v>1552374873266496</v>
      </c>
      <c r="C5939" t="s">
        <v>40</v>
      </c>
      <c r="D5939">
        <v>4.7311969999999999</v>
      </c>
      <c r="E5939">
        <v>0.57795569999999996</v>
      </c>
      <c r="F5939" t="s">
        <v>41</v>
      </c>
      <c r="G5939">
        <v>-190.09119999999999</v>
      </c>
      <c r="H5939">
        <v>1.0190969999999999</v>
      </c>
      <c r="I5939">
        <v>-8.1629089999999902</v>
      </c>
      <c r="J5939">
        <v>-190.1764</v>
      </c>
      <c r="K5939">
        <v>1.105604</v>
      </c>
      <c r="L5939">
        <v>-8.7785949999999993</v>
      </c>
      <c r="M5939">
        <v>-8.3280099999999996E-2</v>
      </c>
      <c r="N5939">
        <v>0</v>
      </c>
      <c r="O5939">
        <v>0.9964459</v>
      </c>
      <c r="P5939">
        <v>-0.13885129999999901</v>
      </c>
      <c r="Q5939">
        <v>1.3427990000000001E-2</v>
      </c>
      <c r="R5939">
        <v>0.99022220000000005</v>
      </c>
      <c r="S5939">
        <v>0.18666079999999999</v>
      </c>
      <c r="T5939">
        <v>-0.27399679999999998</v>
      </c>
      <c r="U5939">
        <v>3.0625610000000001</v>
      </c>
      <c r="V5939">
        <v>-5.5632090000000002E-2</v>
      </c>
      <c r="W5939">
        <v>2.661612E-2</v>
      </c>
      <c r="X5939">
        <v>0.99809650000000005</v>
      </c>
      <c r="Y5939">
        <v>0.14351839999999999</v>
      </c>
      <c r="Z5939">
        <v>-8.8103669999999995E-2</v>
      </c>
      <c r="AA5939">
        <v>0.98571810000000004</v>
      </c>
      <c r="AB5939">
        <v>33</v>
      </c>
      <c r="AC5939">
        <v>8.5200000000014597E-2</v>
      </c>
      <c r="AD5939">
        <v>-8.6507000000000098E-2</v>
      </c>
      <c r="AE5939">
        <v>0.61568599999999996</v>
      </c>
      <c r="AF5939">
        <v>0.13359465097992501</v>
      </c>
      <c r="AG5939">
        <v>-8.6507000000000098E-2</v>
      </c>
      <c r="AH5939">
        <v>0.59492667774226604</v>
      </c>
      <c r="AI5939">
        <v>98.074934384248493</v>
      </c>
      <c r="AJ5939">
        <v>77.343805193815598</v>
      </c>
      <c r="AK5939">
        <v>0.61584798750089098</v>
      </c>
      <c r="AL5939">
        <v>88.474828521952702</v>
      </c>
      <c r="AM5939">
        <v>93.190261864814303</v>
      </c>
      <c r="AN5939">
        <v>0.99999998529693601</v>
      </c>
    </row>
    <row r="5940" spans="1:40" x14ac:dyDescent="0.25">
      <c r="A5940" t="str">
        <f>"20190312151433316"</f>
        <v>20190312151433316</v>
      </c>
      <c r="B5940" t="str">
        <f>"1552374873306512"</f>
        <v>1552374873306512</v>
      </c>
      <c r="C5940" t="s">
        <v>40</v>
      </c>
      <c r="D5940">
        <v>4.8351259999999998</v>
      </c>
      <c r="E5940">
        <v>0.57743129999999998</v>
      </c>
      <c r="F5940" t="s">
        <v>41</v>
      </c>
      <c r="G5940">
        <v>-190.11670000000001</v>
      </c>
      <c r="H5940">
        <v>1.02379</v>
      </c>
      <c r="I5940">
        <v>-7.8630240000000002</v>
      </c>
      <c r="J5940">
        <v>-190.21950000000001</v>
      </c>
      <c r="K5940">
        <v>1.1055999999999999</v>
      </c>
      <c r="L5940">
        <v>-8.1421200000000002</v>
      </c>
      <c r="M5940">
        <v>-7.4504479999999998E-2</v>
      </c>
      <c r="N5940">
        <v>0</v>
      </c>
      <c r="O5940">
        <v>0.99714040000000004</v>
      </c>
      <c r="P5940">
        <v>-0.1322953</v>
      </c>
      <c r="Q5940">
        <v>1.547917E-2</v>
      </c>
      <c r="R5940">
        <v>0.99108949999999996</v>
      </c>
      <c r="S5940">
        <v>0.19917299999999999</v>
      </c>
      <c r="T5940">
        <v>-0.27351009999999998</v>
      </c>
      <c r="U5940">
        <v>3.0612490000000001</v>
      </c>
      <c r="V5940">
        <v>-5.7795079999999999E-2</v>
      </c>
      <c r="W5940">
        <v>2.8690520000000001E-2</v>
      </c>
      <c r="X5940">
        <v>0.99791609999999997</v>
      </c>
      <c r="Y5940">
        <v>0.13884360000000001</v>
      </c>
      <c r="Z5940">
        <v>-8.809678E-2</v>
      </c>
      <c r="AA5940">
        <v>0.98638809999999999</v>
      </c>
      <c r="AB5940">
        <v>33</v>
      </c>
      <c r="AC5940">
        <v>0.102800000000001</v>
      </c>
      <c r="AD5940">
        <v>-8.1809999999999897E-2</v>
      </c>
      <c r="AE5940">
        <v>0.27909600000000001</v>
      </c>
      <c r="AF5940">
        <v>0.114636645269639</v>
      </c>
      <c r="AG5940">
        <v>-8.1809999999999897E-2</v>
      </c>
      <c r="AH5940">
        <v>0.25162323225635302</v>
      </c>
      <c r="AI5940">
        <v>106.481912579069</v>
      </c>
      <c r="AJ5940">
        <v>65.506536890768103</v>
      </c>
      <c r="AK5940">
        <v>0.28835514136184798</v>
      </c>
      <c r="AL5940">
        <v>88.355928654552997</v>
      </c>
      <c r="AM5940">
        <v>93.314626522230697</v>
      </c>
      <c r="AN5940">
        <v>0.99999997992464296</v>
      </c>
    </row>
    <row r="5941" spans="1:40" x14ac:dyDescent="0.25">
      <c r="A5941" t="str">
        <f>"20190312151433336"</f>
        <v>20190312151433336</v>
      </c>
      <c r="B5941" t="str">
        <f>"1552374873326032"</f>
        <v>1552374873326032</v>
      </c>
      <c r="C5941" t="s">
        <v>40</v>
      </c>
      <c r="D5941">
        <v>4.8628859999999996</v>
      </c>
      <c r="E5941">
        <v>0.57718809999999998</v>
      </c>
      <c r="F5941" t="s">
        <v>41</v>
      </c>
      <c r="G5941">
        <v>-190.1576</v>
      </c>
      <c r="H5941">
        <v>1.0301880000000001</v>
      </c>
      <c r="I5941">
        <v>-7.2638379999999998</v>
      </c>
      <c r="J5941">
        <v>-190.239</v>
      </c>
      <c r="K5941">
        <v>1.105599</v>
      </c>
      <c r="L5941">
        <v>-7.8224179999999901</v>
      </c>
      <c r="M5941">
        <v>-7.0108879999999998E-2</v>
      </c>
      <c r="N5941">
        <v>0</v>
      </c>
      <c r="O5941">
        <v>0.99745910000000004</v>
      </c>
      <c r="P5941">
        <v>-0.1293551</v>
      </c>
      <c r="Q5941">
        <v>1.534275E-2</v>
      </c>
      <c r="R5941">
        <v>0.99147960000000002</v>
      </c>
      <c r="S5941">
        <v>0.2155762</v>
      </c>
      <c r="T5941">
        <v>-0.26276240000000001</v>
      </c>
      <c r="U5941">
        <v>3.0598450000000001</v>
      </c>
      <c r="V5941">
        <v>-5.9235129999999997E-2</v>
      </c>
      <c r="W5941">
        <v>2.856802E-2</v>
      </c>
      <c r="X5941">
        <v>0.99783520000000003</v>
      </c>
      <c r="Y5941">
        <v>0.13979269999999999</v>
      </c>
      <c r="Z5941">
        <v>-8.4719130000000004E-2</v>
      </c>
      <c r="AA5941">
        <v>0.98654989999999998</v>
      </c>
      <c r="AB5941">
        <v>33</v>
      </c>
      <c r="AC5941">
        <v>8.1400000000002096E-2</v>
      </c>
      <c r="AD5941">
        <v>-7.5411000000000103E-2</v>
      </c>
      <c r="AE5941">
        <v>0.55857999999999797</v>
      </c>
      <c r="AF5941">
        <v>0.118253714827107</v>
      </c>
      <c r="AG5941">
        <v>-7.5411000000000103E-2</v>
      </c>
      <c r="AH5941">
        <v>0.54182782611411195</v>
      </c>
      <c r="AI5941">
        <v>97.743476142394499</v>
      </c>
      <c r="AJ5941">
        <v>77.688276236058599</v>
      </c>
      <c r="AK5941">
        <v>0.559685762855333</v>
      </c>
      <c r="AL5941">
        <v>88.3629503140846</v>
      </c>
      <c r="AM5941">
        <v>93.3972990540301</v>
      </c>
      <c r="AN5941">
        <v>1.00000000937593</v>
      </c>
    </row>
    <row r="5942" spans="1:40" x14ac:dyDescent="0.25">
      <c r="A5942" t="str">
        <f>"20190312151433361"</f>
        <v>20190312151433361</v>
      </c>
      <c r="B5942" t="str">
        <f>"1552374873356289"</f>
        <v>1552374873356289</v>
      </c>
      <c r="C5942" t="s">
        <v>40</v>
      </c>
      <c r="D5942">
        <v>4.7986319999999996</v>
      </c>
      <c r="E5942">
        <v>0.5768221</v>
      </c>
      <c r="F5942" t="s">
        <v>41</v>
      </c>
      <c r="G5942">
        <v>-190.1765</v>
      </c>
      <c r="H5942">
        <v>1.0321739999999999</v>
      </c>
      <c r="I5942">
        <v>-6.9648079999999997</v>
      </c>
      <c r="J5942">
        <v>-190.25899999999999</v>
      </c>
      <c r="K5942">
        <v>1.105602</v>
      </c>
      <c r="L5942">
        <v>-7.4708249999999996</v>
      </c>
      <c r="M5942">
        <v>-6.5300049999999998E-2</v>
      </c>
      <c r="N5942">
        <v>0</v>
      </c>
      <c r="O5942">
        <v>0.99778540000000004</v>
      </c>
      <c r="P5942">
        <v>-0.12541820000000001</v>
      </c>
      <c r="Q5942">
        <v>1.4681720000000001E-2</v>
      </c>
      <c r="R5942">
        <v>0.99199530000000002</v>
      </c>
      <c r="S5942">
        <v>0.2225647</v>
      </c>
      <c r="T5942">
        <v>-0.26172820000000002</v>
      </c>
      <c r="U5942">
        <v>3.0588679999999999</v>
      </c>
      <c r="V5942">
        <v>-6.0090289999999998E-2</v>
      </c>
      <c r="W5942">
        <v>2.791358E-2</v>
      </c>
      <c r="X5942">
        <v>0.99780259999999998</v>
      </c>
      <c r="Y5942">
        <v>0.13728580000000001</v>
      </c>
      <c r="Z5942">
        <v>-8.4464549999999999E-2</v>
      </c>
      <c r="AA5942">
        <v>0.98692369999999996</v>
      </c>
      <c r="AB5942">
        <v>33</v>
      </c>
      <c r="AC5942">
        <v>8.2500000000010204E-2</v>
      </c>
      <c r="AD5942">
        <v>-7.3427999999999993E-2</v>
      </c>
      <c r="AE5942">
        <v>0.50601699999999805</v>
      </c>
      <c r="AF5942">
        <v>0.113050621798075</v>
      </c>
      <c r="AG5942">
        <v>-7.3427999999999993E-2</v>
      </c>
      <c r="AH5942">
        <v>0.48950852680937401</v>
      </c>
      <c r="AI5942">
        <v>98.315269243682494</v>
      </c>
      <c r="AJ5942">
        <v>76.995702477720002</v>
      </c>
      <c r="AK5942">
        <v>0.507730944587796</v>
      </c>
      <c r="AL5942">
        <v>88.400461942461902</v>
      </c>
      <c r="AM5942">
        <v>93.446339807807902</v>
      </c>
      <c r="AN5942">
        <v>1.00000001973373</v>
      </c>
    </row>
    <row r="5943" spans="1:40" x14ac:dyDescent="0.25">
      <c r="A5943" t="str">
        <f>"20190312151433383"</f>
        <v>20190312151433383</v>
      </c>
      <c r="B5943" t="str">
        <f>"1552374873375808"</f>
        <v>1552374873375808</v>
      </c>
      <c r="C5943" t="s">
        <v>40</v>
      </c>
      <c r="D5943">
        <v>4.8580110000000003</v>
      </c>
      <c r="E5943">
        <v>0.57659450000000001</v>
      </c>
      <c r="F5943" t="s">
        <v>41</v>
      </c>
      <c r="G5943">
        <v>-190.19800000000001</v>
      </c>
      <c r="H5943">
        <v>1.0363359999999999</v>
      </c>
      <c r="I5943">
        <v>-6.6649219999999998</v>
      </c>
      <c r="J5943">
        <v>-190.2766</v>
      </c>
      <c r="K5943">
        <v>1.1056220000000001</v>
      </c>
      <c r="L5943">
        <v>-7.1314390000000003</v>
      </c>
      <c r="M5943">
        <v>-6.0706599999999999E-2</v>
      </c>
      <c r="N5943">
        <v>0</v>
      </c>
      <c r="O5943">
        <v>0.9980755</v>
      </c>
      <c r="P5943">
        <v>-0.1213344</v>
      </c>
      <c r="Q5943">
        <v>1.3854409999999999E-2</v>
      </c>
      <c r="R5943">
        <v>0.99251500000000004</v>
      </c>
      <c r="S5943">
        <v>0.23107910000000001</v>
      </c>
      <c r="T5943">
        <v>-0.26272760000000001</v>
      </c>
      <c r="U5943">
        <v>3.057312</v>
      </c>
      <c r="V5943">
        <v>-6.0586470000000003E-2</v>
      </c>
      <c r="W5943">
        <v>2.7086579999999999E-2</v>
      </c>
      <c r="X5943">
        <v>0.99779530000000005</v>
      </c>
      <c r="Y5943">
        <v>0.1354938</v>
      </c>
      <c r="Z5943">
        <v>-8.4866570000000002E-2</v>
      </c>
      <c r="AA5943">
        <v>0.98713680000000004</v>
      </c>
      <c r="AB5943">
        <v>33</v>
      </c>
      <c r="AC5943">
        <v>7.8600000000022804E-2</v>
      </c>
      <c r="AD5943">
        <v>-6.9285999999999695E-2</v>
      </c>
      <c r="AE5943">
        <v>0.46651700000000002</v>
      </c>
      <c r="AF5943">
        <v>0.104535787830277</v>
      </c>
      <c r="AG5943">
        <v>-6.9285999999999695E-2</v>
      </c>
      <c r="AH5943">
        <v>0.451206752560321</v>
      </c>
      <c r="AI5943">
        <v>98.508056786760093</v>
      </c>
      <c r="AJ5943">
        <v>76.955823355775394</v>
      </c>
      <c r="AK5943">
        <v>0.46831166362725501</v>
      </c>
      <c r="AL5943">
        <v>88.447863343425794</v>
      </c>
      <c r="AM5943">
        <v>93.474752986067998</v>
      </c>
      <c r="AN5943">
        <v>0.99999993193262104</v>
      </c>
    </row>
    <row r="5944" spans="1:40" x14ac:dyDescent="0.25">
      <c r="A5944" t="str">
        <f>"20190312151433405"</f>
        <v>20190312151433405</v>
      </c>
      <c r="B5944" t="str">
        <f>"1552374873396304"</f>
        <v>1552374873396304</v>
      </c>
      <c r="C5944" t="s">
        <v>40</v>
      </c>
      <c r="D5944">
        <v>4.84321</v>
      </c>
      <c r="E5944">
        <v>0.57631619999999995</v>
      </c>
      <c r="F5944" t="s">
        <v>41</v>
      </c>
      <c r="G5944">
        <v>-190.2159</v>
      </c>
      <c r="H5944">
        <v>1.039191</v>
      </c>
      <c r="I5944">
        <v>-6.365056</v>
      </c>
      <c r="J5944">
        <v>-190.29179999999999</v>
      </c>
      <c r="K5944">
        <v>1.1056520000000001</v>
      </c>
      <c r="L5944">
        <v>-6.8139039999999902</v>
      </c>
      <c r="M5944">
        <v>-5.6470720000000002E-2</v>
      </c>
      <c r="N5944">
        <v>0</v>
      </c>
      <c r="O5944">
        <v>0.99832410000000005</v>
      </c>
      <c r="P5944">
        <v>-0.11727990000000001</v>
      </c>
      <c r="Q5944">
        <v>1.186192E-2</v>
      </c>
      <c r="R5944">
        <v>0.99302800000000002</v>
      </c>
      <c r="S5944">
        <v>0.24159240000000001</v>
      </c>
      <c r="T5944">
        <v>-0.26464720000000003</v>
      </c>
      <c r="U5944">
        <v>3.055847</v>
      </c>
      <c r="V5944">
        <v>-6.0766639999999997E-2</v>
      </c>
      <c r="W5944">
        <v>2.5086939999999999E-2</v>
      </c>
      <c r="X5944">
        <v>0.99783670000000002</v>
      </c>
      <c r="Y5944">
        <v>0.1346966</v>
      </c>
      <c r="Z5944">
        <v>-8.5548189999999996E-2</v>
      </c>
      <c r="AA5944">
        <v>0.98718709999999998</v>
      </c>
      <c r="AB5944">
        <v>33</v>
      </c>
      <c r="AC5944">
        <v>7.5899999999990003E-2</v>
      </c>
      <c r="AD5944">
        <v>-6.6461000000000103E-2</v>
      </c>
      <c r="AE5944">
        <v>0.44884799999999803</v>
      </c>
      <c r="AF5944">
        <v>9.9017085780526606E-2</v>
      </c>
      <c r="AG5944">
        <v>-6.6461000000000103E-2</v>
      </c>
      <c r="AH5944">
        <v>0.43458193556639602</v>
      </c>
      <c r="AI5944">
        <v>98.480859105949705</v>
      </c>
      <c r="AJ5944">
        <v>77.164588928534499</v>
      </c>
      <c r="AK5944">
        <v>0.45064720848808498</v>
      </c>
      <c r="AL5944">
        <v>88.562473418185306</v>
      </c>
      <c r="AM5944">
        <v>93.484916420971203</v>
      </c>
      <c r="AN5944">
        <v>1.0000000094811701</v>
      </c>
    </row>
    <row r="5945" spans="1:40" x14ac:dyDescent="0.25">
      <c r="A5945" t="str">
        <f>"20190312151433427"</f>
        <v>20190312151433427</v>
      </c>
      <c r="B5945" t="str">
        <f>"1552374873415825"</f>
        <v>1552374873415825</v>
      </c>
      <c r="C5945" t="s">
        <v>40</v>
      </c>
      <c r="D5945">
        <v>4.8021269999999996</v>
      </c>
      <c r="E5945">
        <v>0.57619909999999996</v>
      </c>
      <c r="F5945" t="s">
        <v>41</v>
      </c>
      <c r="G5945">
        <v>-190.23009999999999</v>
      </c>
      <c r="H5945">
        <v>1.0397369999999999</v>
      </c>
      <c r="I5945">
        <v>-6.0665279999999999</v>
      </c>
      <c r="J5945">
        <v>-190.30629999999999</v>
      </c>
      <c r="K5945">
        <v>1.1056969999999999</v>
      </c>
      <c r="L5945">
        <v>-6.4795530000000001</v>
      </c>
      <c r="M5945">
        <v>-5.2091150000000003E-2</v>
      </c>
      <c r="N5945">
        <v>0</v>
      </c>
      <c r="O5945">
        <v>0.99856230000000001</v>
      </c>
      <c r="P5945">
        <v>-0.1129158</v>
      </c>
      <c r="Q5945">
        <v>9.6321600000000007E-3</v>
      </c>
      <c r="R5945">
        <v>0.99355789999999999</v>
      </c>
      <c r="S5945">
        <v>0.2520599</v>
      </c>
      <c r="T5945">
        <v>-0.2693352</v>
      </c>
      <c r="U5945">
        <v>3.0540470000000002</v>
      </c>
      <c r="V5945">
        <v>-6.0783230000000001E-2</v>
      </c>
      <c r="W5945">
        <v>2.2845959999999998E-2</v>
      </c>
      <c r="X5945">
        <v>0.99788949999999998</v>
      </c>
      <c r="Y5945">
        <v>0.13374639999999999</v>
      </c>
      <c r="Z5945">
        <v>-8.7127839999999998E-2</v>
      </c>
      <c r="AA5945">
        <v>0.98717809999999995</v>
      </c>
      <c r="AB5945">
        <v>33</v>
      </c>
      <c r="AC5945">
        <v>7.6200000000000004E-2</v>
      </c>
      <c r="AD5945">
        <v>-6.5959999999999797E-2</v>
      </c>
      <c r="AE5945">
        <v>0.41302499999999998</v>
      </c>
      <c r="AF5945">
        <v>9.5263567905678498E-2</v>
      </c>
      <c r="AG5945">
        <v>-6.5959999999999797E-2</v>
      </c>
      <c r="AH5945">
        <v>0.39866170541947499</v>
      </c>
      <c r="AI5945">
        <v>99.141828057292699</v>
      </c>
      <c r="AJ5945">
        <v>76.560708386667002</v>
      </c>
      <c r="AK5945">
        <v>0.41515903499512602</v>
      </c>
      <c r="AL5945">
        <v>88.690909014380694</v>
      </c>
      <c r="AM5945">
        <v>93.485681509791704</v>
      </c>
      <c r="AN5945">
        <v>0.99999999657390204</v>
      </c>
    </row>
    <row r="5946" spans="1:40" x14ac:dyDescent="0.25">
      <c r="A5946" t="str">
        <f>"20190312151433449"</f>
        <v>20190312151433449</v>
      </c>
      <c r="B5946" t="str">
        <f>"1552374873446080"</f>
        <v>1552374873446080</v>
      </c>
      <c r="C5946" t="s">
        <v>40</v>
      </c>
      <c r="D5946">
        <v>4.8610639999999998</v>
      </c>
      <c r="E5946">
        <v>0.56345900000000004</v>
      </c>
      <c r="F5946" t="s">
        <v>41</v>
      </c>
      <c r="G5946">
        <v>-190.21979999999999</v>
      </c>
      <c r="H5946">
        <v>1.015299</v>
      </c>
      <c r="I5946">
        <v>-5.4803319999999998</v>
      </c>
      <c r="J5946">
        <v>-190.3193</v>
      </c>
      <c r="K5946">
        <v>1.1057539999999999</v>
      </c>
      <c r="L5946">
        <v>-6.1494749999999998</v>
      </c>
      <c r="M5946">
        <v>-4.7851810000000002E-2</v>
      </c>
      <c r="N5946">
        <v>0</v>
      </c>
      <c r="O5946">
        <v>0.99877439999999995</v>
      </c>
      <c r="P5946">
        <v>-0.1080323</v>
      </c>
      <c r="Q5946">
        <v>6.9656869999999999E-3</v>
      </c>
      <c r="R5946">
        <v>0.99412299999999998</v>
      </c>
      <c r="S5946">
        <v>0.26428220000000002</v>
      </c>
      <c r="T5946">
        <v>-0.27611350000000001</v>
      </c>
      <c r="U5946">
        <v>3.052155</v>
      </c>
      <c r="V5946">
        <v>-6.0144320000000001E-2</v>
      </c>
      <c r="W5946">
        <v>2.0160569999999999E-2</v>
      </c>
      <c r="X5946">
        <v>0.99798609999999999</v>
      </c>
      <c r="Y5946">
        <v>0.1334979</v>
      </c>
      <c r="Z5946">
        <v>-8.9372999999999994E-2</v>
      </c>
      <c r="AA5946">
        <v>0.98701099999999997</v>
      </c>
      <c r="AB5946">
        <v>33</v>
      </c>
      <c r="AC5946">
        <v>9.9500000000006097E-2</v>
      </c>
      <c r="AD5946">
        <v>-9.0455000000000105E-2</v>
      </c>
      <c r="AE5946">
        <v>0.66914300000000004</v>
      </c>
      <c r="AF5946">
        <v>0.12910015590681601</v>
      </c>
      <c r="AG5946">
        <v>-9.0455000000000105E-2</v>
      </c>
      <c r="AH5946">
        <v>0.65195870827040003</v>
      </c>
      <c r="AI5946">
        <v>97.750378169635695</v>
      </c>
      <c r="AJ5946">
        <v>78.799251125749706</v>
      </c>
      <c r="AK5946">
        <v>0.67074519347496897</v>
      </c>
      <c r="AL5946">
        <v>88.844806188114305</v>
      </c>
      <c r="AM5946">
        <v>93.448798377884401</v>
      </c>
      <c r="AN5946">
        <v>1.0000000218020899</v>
      </c>
    </row>
    <row r="5947" spans="1:40" x14ac:dyDescent="0.25">
      <c r="A5947" t="str">
        <f>"20190312151433476"</f>
        <v>20190312151433476</v>
      </c>
      <c r="B5947" t="str">
        <f>"1552374873466577"</f>
        <v>1552374873466577</v>
      </c>
      <c r="C5947" t="s">
        <v>40</v>
      </c>
      <c r="D5947">
        <v>4.907737</v>
      </c>
      <c r="E5947">
        <v>0.56367860000000003</v>
      </c>
      <c r="F5947" t="s">
        <v>41</v>
      </c>
      <c r="G5947">
        <v>-190.26230000000001</v>
      </c>
      <c r="H5947">
        <v>1.0265150000000001</v>
      </c>
      <c r="I5947">
        <v>-5.1785949999999996</v>
      </c>
      <c r="J5947">
        <v>-190.3329</v>
      </c>
      <c r="K5947">
        <v>1.1058209999999999</v>
      </c>
      <c r="L5947">
        <v>-5.7563170000000001</v>
      </c>
      <c r="M5947">
        <v>-4.2897699999999997E-2</v>
      </c>
      <c r="N5947">
        <v>0</v>
      </c>
      <c r="O5947">
        <v>0.99899950000000004</v>
      </c>
      <c r="P5947">
        <v>-0.102436</v>
      </c>
      <c r="Q5947">
        <v>4.7265639999999999E-3</v>
      </c>
      <c r="R5947">
        <v>0.99472839999999996</v>
      </c>
      <c r="S5947">
        <v>0.17819209999999999</v>
      </c>
      <c r="T5947">
        <v>-0.2479547</v>
      </c>
      <c r="U5947">
        <v>3.0388489999999999</v>
      </c>
      <c r="V5947">
        <v>-5.9501579999999998E-2</v>
      </c>
      <c r="W5947">
        <v>1.7900289999999999E-2</v>
      </c>
      <c r="X5947">
        <v>0.9980677</v>
      </c>
      <c r="Y5947">
        <v>0.1011186</v>
      </c>
      <c r="Z5947">
        <v>-8.0934809999999996E-2</v>
      </c>
      <c r="AA5947">
        <v>0.99157689999999998</v>
      </c>
      <c r="AB5947">
        <v>33</v>
      </c>
      <c r="AC5947">
        <v>7.0599999999984606E-2</v>
      </c>
      <c r="AD5947">
        <v>-7.9305999999999793E-2</v>
      </c>
      <c r="AE5947">
        <v>0.57772199999999996</v>
      </c>
      <c r="AF5947">
        <v>9.3582401775218205E-2</v>
      </c>
      <c r="AG5947">
        <v>-7.9305999999999793E-2</v>
      </c>
      <c r="AH5947">
        <v>0.56369527979149303</v>
      </c>
      <c r="AI5947">
        <v>97.901596818682194</v>
      </c>
      <c r="AJ5947">
        <v>80.573957831706295</v>
      </c>
      <c r="AK5947">
        <v>0.57688774992820602</v>
      </c>
      <c r="AL5947">
        <v>88.974334147918995</v>
      </c>
      <c r="AM5947">
        <v>93.411751592112196</v>
      </c>
      <c r="AN5947">
        <v>0.99999999609393497</v>
      </c>
    </row>
    <row r="5948" spans="1:40" x14ac:dyDescent="0.25">
      <c r="A5948" t="str">
        <f>"20190312151433497"</f>
        <v>20190312151433497</v>
      </c>
      <c r="B5948" t="str">
        <f>"1552374873486096"</f>
        <v>1552374873486096</v>
      </c>
      <c r="C5948" t="s">
        <v>40</v>
      </c>
      <c r="D5948">
        <v>4.8793980000000001</v>
      </c>
      <c r="E5948">
        <v>0.56288559999999999</v>
      </c>
      <c r="F5948" t="s">
        <v>41</v>
      </c>
      <c r="G5948">
        <v>-190.27600000000001</v>
      </c>
      <c r="H5948">
        <v>1.033674</v>
      </c>
      <c r="I5948">
        <v>-4.8770509999999998</v>
      </c>
      <c r="J5948">
        <v>-190.34299999999999</v>
      </c>
      <c r="K5948">
        <v>1.1058790000000001</v>
      </c>
      <c r="L5948">
        <v>-5.4265749999999997</v>
      </c>
      <c r="M5948">
        <v>-3.8816330000000003E-2</v>
      </c>
      <c r="N5948">
        <v>0</v>
      </c>
      <c r="O5948">
        <v>0.99916649999999996</v>
      </c>
      <c r="P5948">
        <v>-9.7846100000000005E-2</v>
      </c>
      <c r="Q5948">
        <v>4.0637850000000003E-3</v>
      </c>
      <c r="R5948">
        <v>0.9951932</v>
      </c>
      <c r="S5948">
        <v>0.1968384</v>
      </c>
      <c r="T5948">
        <v>-0.2492354</v>
      </c>
      <c r="U5948">
        <v>3.0373540000000001</v>
      </c>
      <c r="V5948">
        <v>-5.8982569999999998E-2</v>
      </c>
      <c r="W5948">
        <v>1.722185E-2</v>
      </c>
      <c r="X5948">
        <v>0.99811050000000001</v>
      </c>
      <c r="Y5948">
        <v>0.1031446</v>
      </c>
      <c r="Z5948">
        <v>-8.1386449999999999E-2</v>
      </c>
      <c r="AA5948">
        <v>0.99133119999999997</v>
      </c>
      <c r="AB5948">
        <v>33</v>
      </c>
      <c r="AC5948">
        <v>6.7000000000007207E-2</v>
      </c>
      <c r="AD5948">
        <v>-7.2205000000000005E-2</v>
      </c>
      <c r="AE5948">
        <v>0.54952399999999901</v>
      </c>
      <c r="AF5948">
        <v>8.6804987878675799E-2</v>
      </c>
      <c r="AG5948">
        <v>-7.2205000000000005E-2</v>
      </c>
      <c r="AH5948">
        <v>0.53736725320599799</v>
      </c>
      <c r="AI5948">
        <v>97.556088568410502</v>
      </c>
      <c r="AJ5948">
        <v>80.823847730658798</v>
      </c>
      <c r="AK5948">
        <v>0.54910129554006404</v>
      </c>
      <c r="AL5948">
        <v>89.013211948815396</v>
      </c>
      <c r="AM5948">
        <v>93.381916853154706</v>
      </c>
      <c r="AN5948">
        <v>1.00000005294573</v>
      </c>
    </row>
    <row r="5949" spans="1:40" x14ac:dyDescent="0.25">
      <c r="A5949" t="str">
        <f>"20190312151433518"</f>
        <v>20190312151433518</v>
      </c>
      <c r="B5949" t="str">
        <f>"1552374873516353"</f>
        <v>1552374873516353</v>
      </c>
      <c r="C5949" t="s">
        <v>40</v>
      </c>
      <c r="D5949">
        <v>4.8050550000000003</v>
      </c>
      <c r="E5949">
        <v>0.56218489999999999</v>
      </c>
      <c r="F5949" t="s">
        <v>41</v>
      </c>
      <c r="G5949">
        <v>-190.28579999999999</v>
      </c>
      <c r="H5949">
        <v>1.0360879999999999</v>
      </c>
      <c r="I5949">
        <v>-4.5777659999999996</v>
      </c>
      <c r="J5949">
        <v>-190.35140000000001</v>
      </c>
      <c r="K5949">
        <v>1.1059270000000001</v>
      </c>
      <c r="L5949">
        <v>-5.1137389999999998</v>
      </c>
      <c r="M5949">
        <v>-3.4997630000000002E-2</v>
      </c>
      <c r="N5949">
        <v>0</v>
      </c>
      <c r="O5949">
        <v>0.99930759999999996</v>
      </c>
      <c r="P5949">
        <v>-9.3433479999999999E-2</v>
      </c>
      <c r="Q5949">
        <v>4.9059139999999999E-3</v>
      </c>
      <c r="R5949">
        <v>0.99561350000000004</v>
      </c>
      <c r="S5949">
        <v>0.20451349999999999</v>
      </c>
      <c r="T5949">
        <v>-0.24951609999999999</v>
      </c>
      <c r="U5949">
        <v>3.0356139999999998</v>
      </c>
      <c r="V5949">
        <v>-5.8366790000000002E-2</v>
      </c>
      <c r="W5949">
        <v>1.8049989999999998E-2</v>
      </c>
      <c r="X5949">
        <v>0.99813200000000002</v>
      </c>
      <c r="Y5949">
        <v>0.1018748</v>
      </c>
      <c r="Z5949">
        <v>-8.1539699999999896E-2</v>
      </c>
      <c r="AA5949">
        <v>0.99144980000000005</v>
      </c>
      <c r="AB5949">
        <v>33</v>
      </c>
      <c r="AC5949">
        <v>6.5600000000017603E-2</v>
      </c>
      <c r="AD5949">
        <v>-6.9839000000000206E-2</v>
      </c>
      <c r="AE5949">
        <v>0.53597299999999903</v>
      </c>
      <c r="AF5949">
        <v>8.2931777374724597E-2</v>
      </c>
      <c r="AG5949">
        <v>-6.9839000000000206E-2</v>
      </c>
      <c r="AH5949">
        <v>0.52457334479542606</v>
      </c>
      <c r="AI5949">
        <v>97.491504254372501</v>
      </c>
      <c r="AJ5949">
        <v>81.016247392028703</v>
      </c>
      <c r="AK5949">
        <v>0.53566067588482902</v>
      </c>
      <c r="AL5949">
        <v>88.965755574139095</v>
      </c>
      <c r="AM5949">
        <v>93.346618278749503</v>
      </c>
      <c r="AN5949">
        <v>0.99999998686895197</v>
      </c>
    </row>
    <row r="5950" spans="1:40" x14ac:dyDescent="0.25">
      <c r="A5950" t="str">
        <f>"20190312151433538"</f>
        <v>20190312151433538</v>
      </c>
      <c r="B5950" t="str">
        <f>"1552374873535872"</f>
        <v>1552374873535872</v>
      </c>
      <c r="C5950" t="s">
        <v>40</v>
      </c>
      <c r="D5950">
        <v>4.855702</v>
      </c>
      <c r="E5950">
        <v>0.55390819999999996</v>
      </c>
      <c r="F5950" t="s">
        <v>41</v>
      </c>
      <c r="G5950">
        <v>-190.2929</v>
      </c>
      <c r="H5950">
        <v>1.038435</v>
      </c>
      <c r="I5950">
        <v>-4.2784329999999997</v>
      </c>
      <c r="J5950">
        <v>-190.35839999999999</v>
      </c>
      <c r="K5950">
        <v>1.10597099999999</v>
      </c>
      <c r="L5950">
        <v>-4.8110049999999998</v>
      </c>
      <c r="M5950">
        <v>-3.1337980000000001E-2</v>
      </c>
      <c r="N5950">
        <v>0</v>
      </c>
      <c r="O5950">
        <v>0.99942900000000001</v>
      </c>
      <c r="P5950">
        <v>-8.9400950000000007E-2</v>
      </c>
      <c r="Q5950">
        <v>6.7952610000000004E-3</v>
      </c>
      <c r="R5950">
        <v>0.99597250000000004</v>
      </c>
      <c r="S5950">
        <v>0.21218870000000001</v>
      </c>
      <c r="T5950">
        <v>-0.2450724</v>
      </c>
      <c r="U5950">
        <v>3.034332</v>
      </c>
      <c r="V5950">
        <v>-5.796494E-2</v>
      </c>
      <c r="W5950">
        <v>1.9928390000000001E-2</v>
      </c>
      <c r="X5950">
        <v>0.99811970000000005</v>
      </c>
      <c r="Y5950">
        <v>0.1007641</v>
      </c>
      <c r="Z5950">
        <v>-8.0142829999999998E-2</v>
      </c>
      <c r="AA5950">
        <v>0.99167720000000004</v>
      </c>
      <c r="AB5950">
        <v>33</v>
      </c>
      <c r="AC5950">
        <v>6.5499999999985903E-2</v>
      </c>
      <c r="AD5950">
        <v>-6.7535999999999805E-2</v>
      </c>
      <c r="AE5950">
        <v>0.53257200000000005</v>
      </c>
      <c r="AF5950">
        <v>8.0877670017130907E-2</v>
      </c>
      <c r="AG5950">
        <v>-6.7535999999999805E-2</v>
      </c>
      <c r="AH5950">
        <v>0.52198854297963304</v>
      </c>
      <c r="AI5950">
        <v>97.286108741122803</v>
      </c>
      <c r="AJ5950">
        <v>81.192542117904097</v>
      </c>
      <c r="AK5950">
        <v>0.53251699297336996</v>
      </c>
      <c r="AL5950">
        <v>88.858111776292503</v>
      </c>
      <c r="AM5950">
        <v>93.323669816439207</v>
      </c>
      <c r="AN5950">
        <v>1.0000000052626401</v>
      </c>
    </row>
    <row r="5951" spans="1:40" x14ac:dyDescent="0.25">
      <c r="A5951" t="str">
        <f>"20190312151433561"</f>
        <v>20190312151433561</v>
      </c>
      <c r="B5951" t="str">
        <f>"1552374873556368"</f>
        <v>1552374873556368</v>
      </c>
      <c r="C5951" t="s">
        <v>40</v>
      </c>
      <c r="D5951">
        <v>4.7967620000000002</v>
      </c>
      <c r="E5951">
        <v>0.55292739999999996</v>
      </c>
      <c r="F5951" t="s">
        <v>41</v>
      </c>
      <c r="G5951">
        <v>-190.31469999999999</v>
      </c>
      <c r="H5951">
        <v>1.04315</v>
      </c>
      <c r="I5951">
        <v>-3.9780890000000002</v>
      </c>
      <c r="J5951">
        <v>-190.36490000000001</v>
      </c>
      <c r="K5951">
        <v>1.10602</v>
      </c>
      <c r="L5951">
        <v>-4.4799189999999998</v>
      </c>
      <c r="M5951">
        <v>-2.7361090000000001E-2</v>
      </c>
      <c r="N5951">
        <v>0</v>
      </c>
      <c r="O5951">
        <v>0.99954589999999999</v>
      </c>
      <c r="P5951">
        <v>-8.5374050000000007E-2</v>
      </c>
      <c r="Q5951">
        <v>8.8489069999999996E-3</v>
      </c>
      <c r="R5951">
        <v>0.99630969999999996</v>
      </c>
      <c r="S5951">
        <v>0.15850829999999999</v>
      </c>
      <c r="T5951">
        <v>-0.22825280000000001</v>
      </c>
      <c r="U5951">
        <v>3.0279240000000001</v>
      </c>
      <c r="V5951">
        <v>-5.788488E-2</v>
      </c>
      <c r="W5951">
        <v>2.1974049999999998E-2</v>
      </c>
      <c r="X5951">
        <v>0.99808140000000001</v>
      </c>
      <c r="Y5951">
        <v>7.9436290000000007E-2</v>
      </c>
      <c r="Z5951">
        <v>-7.4957259999999998E-2</v>
      </c>
      <c r="AA5951">
        <v>0.9940177</v>
      </c>
      <c r="AB5951">
        <v>33</v>
      </c>
      <c r="AC5951">
        <v>5.0200000000018001E-2</v>
      </c>
      <c r="AD5951">
        <v>-6.2869999999999898E-2</v>
      </c>
      <c r="AE5951">
        <v>0.50183</v>
      </c>
      <c r="AF5951">
        <v>6.29349080851523E-2</v>
      </c>
      <c r="AG5951">
        <v>-6.2869999999999898E-2</v>
      </c>
      <c r="AH5951">
        <v>0.49261327469937599</v>
      </c>
      <c r="AI5951">
        <v>97.215064126125</v>
      </c>
      <c r="AJ5951">
        <v>82.719489509023106</v>
      </c>
      <c r="AK5951">
        <v>0.50058094047389501</v>
      </c>
      <c r="AL5951">
        <v>88.740878332162296</v>
      </c>
      <c r="AM5951">
        <v>93.319216581954606</v>
      </c>
      <c r="AN5951">
        <v>0.99999999961598796</v>
      </c>
    </row>
    <row r="5952" spans="1:40" x14ac:dyDescent="0.25">
      <c r="A5952" t="str">
        <f>"20190312151433582"</f>
        <v>20190312151433582</v>
      </c>
      <c r="B5952" t="str">
        <f>"1552374873575889"</f>
        <v>1552374873575889</v>
      </c>
      <c r="C5952" t="s">
        <v>40</v>
      </c>
      <c r="D5952">
        <v>4.9056259999999998</v>
      </c>
      <c r="E5952">
        <v>0.55304819999999999</v>
      </c>
      <c r="F5952" t="s">
        <v>41</v>
      </c>
      <c r="G5952">
        <v>-190.32169999999999</v>
      </c>
      <c r="H5952">
        <v>1.0470520000000001</v>
      </c>
      <c r="I5952">
        <v>-3.6763379999999999</v>
      </c>
      <c r="J5952">
        <v>-190.3699</v>
      </c>
      <c r="K5952">
        <v>1.106053</v>
      </c>
      <c r="L5952">
        <v>-4.1544489999999996</v>
      </c>
      <c r="M5952">
        <v>-2.3466509999999999E-2</v>
      </c>
      <c r="N5952">
        <v>0</v>
      </c>
      <c r="O5952">
        <v>0.99964489999999995</v>
      </c>
      <c r="P5952">
        <v>-8.1653710000000004E-2</v>
      </c>
      <c r="Q5952">
        <v>1.0459660000000001E-2</v>
      </c>
      <c r="R5952">
        <v>0.99660590000000004</v>
      </c>
      <c r="S5952">
        <v>0.1625366</v>
      </c>
      <c r="T5952">
        <v>-0.22207679999999999</v>
      </c>
      <c r="U5952">
        <v>3.0270079999999999</v>
      </c>
      <c r="V5952">
        <v>-5.8034099999999998E-2</v>
      </c>
      <c r="W5952">
        <v>2.358058E-2</v>
      </c>
      <c r="X5952">
        <v>0.99803609999999998</v>
      </c>
      <c r="Y5952">
        <v>7.6894989999999996E-2</v>
      </c>
      <c r="Z5952">
        <v>-7.2977600000000004E-2</v>
      </c>
      <c r="AA5952">
        <v>0.9943649</v>
      </c>
      <c r="AB5952">
        <v>33</v>
      </c>
      <c r="AC5952">
        <v>4.8200000000008403E-2</v>
      </c>
      <c r="AD5952">
        <v>-5.9000999999999998E-2</v>
      </c>
      <c r="AE5952">
        <v>0.47811099999999901</v>
      </c>
      <c r="AF5952">
        <v>5.8524927228909097E-2</v>
      </c>
      <c r="AG5952">
        <v>-5.9000999999999998E-2</v>
      </c>
      <c r="AH5952">
        <v>0.46976621550455899</v>
      </c>
      <c r="AI5952">
        <v>97.104312992925202</v>
      </c>
      <c r="AJ5952">
        <v>82.898504482085002</v>
      </c>
      <c r="AK5952">
        <v>0.47706035502609601</v>
      </c>
      <c r="AL5952">
        <v>88.648807086195106</v>
      </c>
      <c r="AM5952">
        <v>93.327904607701399</v>
      </c>
      <c r="AN5952">
        <v>1.0000000287095701</v>
      </c>
    </row>
    <row r="5953" spans="1:40" x14ac:dyDescent="0.25">
      <c r="A5953" t="str">
        <f>"20190312151433605"</f>
        <v>20190312151433605</v>
      </c>
      <c r="B5953" t="str">
        <f>"1552374873596384"</f>
        <v>1552374873596384</v>
      </c>
      <c r="C5953" t="s">
        <v>40</v>
      </c>
      <c r="D5953">
        <v>4.8559780000000003</v>
      </c>
      <c r="E5953">
        <v>0.55235000000000001</v>
      </c>
      <c r="F5953" t="s">
        <v>41</v>
      </c>
      <c r="G5953">
        <v>-190.32470000000001</v>
      </c>
      <c r="H5953">
        <v>1.050551</v>
      </c>
      <c r="I5953">
        <v>-3.3749560000000001</v>
      </c>
      <c r="J5953">
        <v>-190.37370000000001</v>
      </c>
      <c r="K5953">
        <v>1.10607099999999</v>
      </c>
      <c r="L5953">
        <v>-3.82843</v>
      </c>
      <c r="M5953">
        <v>-1.957132E-2</v>
      </c>
      <c r="N5953">
        <v>0</v>
      </c>
      <c r="O5953">
        <v>0.99972879999999997</v>
      </c>
      <c r="P5953">
        <v>-7.8283790000000006E-2</v>
      </c>
      <c r="Q5953">
        <v>1.085127E-2</v>
      </c>
      <c r="R5953">
        <v>0.99687210000000004</v>
      </c>
      <c r="S5953">
        <v>0.17478940000000001</v>
      </c>
      <c r="T5953">
        <v>-0.21530579999999999</v>
      </c>
      <c r="U5953">
        <v>3.0267940000000002</v>
      </c>
      <c r="V5953">
        <v>-5.8546559999999997E-2</v>
      </c>
      <c r="W5953">
        <v>2.3971949999999999E-2</v>
      </c>
      <c r="X5953">
        <v>0.99799680000000002</v>
      </c>
      <c r="Y5953">
        <v>7.7035960000000001E-2</v>
      </c>
      <c r="Z5953">
        <v>-7.0769490000000004E-2</v>
      </c>
      <c r="AA5953">
        <v>0.99451350000000005</v>
      </c>
      <c r="AB5953">
        <v>33</v>
      </c>
      <c r="AC5953">
        <v>4.9000000000006497E-2</v>
      </c>
      <c r="AD5953">
        <v>-5.5519999999999702E-2</v>
      </c>
      <c r="AE5953">
        <v>0.45347399999999999</v>
      </c>
      <c r="AF5953">
        <v>5.7021531511668298E-2</v>
      </c>
      <c r="AG5953">
        <v>-5.5519999999999702E-2</v>
      </c>
      <c r="AH5953">
        <v>0.445822421761358</v>
      </c>
      <c r="AI5953">
        <v>97.041936945114202</v>
      </c>
      <c r="AJ5953">
        <v>82.711334286949395</v>
      </c>
      <c r="AK5953">
        <v>0.45287035363456801</v>
      </c>
      <c r="AL5953">
        <v>88.626376834365601</v>
      </c>
      <c r="AM5953">
        <v>93.357356067319699</v>
      </c>
      <c r="AN5953">
        <v>0.99999998344243701</v>
      </c>
    </row>
    <row r="5954" spans="1:40" x14ac:dyDescent="0.25">
      <c r="A5954" t="str">
        <f>"20190312151433627"</f>
        <v>20190312151433627</v>
      </c>
      <c r="B5954" t="str">
        <f>"1552374873615904"</f>
        <v>1552374873615904</v>
      </c>
      <c r="C5954" t="s">
        <v>40</v>
      </c>
      <c r="D5954">
        <v>4.8163159999999996</v>
      </c>
      <c r="E5954">
        <v>0.55198199999999997</v>
      </c>
      <c r="F5954" t="s">
        <v>42</v>
      </c>
      <c r="G5954">
        <v>-189.44980000000001</v>
      </c>
      <c r="H5954" s="1">
        <v>-1.0156310000000001E-6</v>
      </c>
      <c r="I5954">
        <v>11.77275</v>
      </c>
      <c r="J5954">
        <v>-190.37620000000001</v>
      </c>
      <c r="K5954">
        <v>1.106088</v>
      </c>
      <c r="L5954">
        <v>-3.499695</v>
      </c>
      <c r="M5954">
        <v>-1.5646150000000001E-2</v>
      </c>
      <c r="N5954">
        <v>0</v>
      </c>
      <c r="O5954">
        <v>0.99979790000000002</v>
      </c>
      <c r="P5954">
        <v>-7.4884779999999998E-2</v>
      </c>
      <c r="Q5954">
        <v>1.0132759999999999E-2</v>
      </c>
      <c r="R5954">
        <v>0.99714069999999999</v>
      </c>
      <c r="S5954">
        <v>0.17918399999999901</v>
      </c>
      <c r="T5954">
        <v>-0.21452060000000001</v>
      </c>
      <c r="U5954">
        <v>3.0258180000000001</v>
      </c>
      <c r="V5954">
        <v>-5.9069589999999998E-2</v>
      </c>
      <c r="W5954">
        <v>2.3254509999999999E-2</v>
      </c>
      <c r="X5954">
        <v>0.99798299999999995</v>
      </c>
      <c r="Y5954">
        <v>7.4580250000000001E-2</v>
      </c>
      <c r="Z5954">
        <v>-7.0546250000000005E-2</v>
      </c>
      <c r="AA5954">
        <v>0.9947165</v>
      </c>
      <c r="AB5954">
        <v>33</v>
      </c>
      <c r="AC5954">
        <v>0.926400000000001</v>
      </c>
      <c r="AD5954">
        <v>-1.1060890156309999</v>
      </c>
      <c r="AE5954">
        <v>15.272444999999999</v>
      </c>
      <c r="AF5954">
        <v>1.1592026166551499</v>
      </c>
      <c r="AG5954">
        <v>-1.1060890156309999</v>
      </c>
      <c r="AH5954">
        <v>15.1767659547415</v>
      </c>
      <c r="AI5954">
        <v>94.156306958028495</v>
      </c>
      <c r="AJ5954">
        <v>85.632224278957693</v>
      </c>
      <c r="AK5954">
        <v>15.261107707567</v>
      </c>
      <c r="AL5954">
        <v>88.667494644936994</v>
      </c>
      <c r="AM5954">
        <v>93.387326455753595</v>
      </c>
      <c r="AN5954">
        <v>1.00000002849355</v>
      </c>
    </row>
    <row r="5955" spans="1:40" x14ac:dyDescent="0.25">
      <c r="A5955" t="str">
        <f>"20190312151433650"</f>
        <v>20190312151433650</v>
      </c>
      <c r="B5955" t="str">
        <f>"1552374873646160"</f>
        <v>1552374873646160</v>
      </c>
      <c r="C5955" t="s">
        <v>40</v>
      </c>
      <c r="D5955">
        <v>4.7963579999999997</v>
      </c>
      <c r="E5955">
        <v>0.55154449999999999</v>
      </c>
      <c r="F5955" t="s">
        <v>41</v>
      </c>
      <c r="G5955">
        <v>-190.3141</v>
      </c>
      <c r="H5955">
        <v>1.034273</v>
      </c>
      <c r="I5955">
        <v>-2.4919760000000002</v>
      </c>
      <c r="J5955">
        <v>-190.37739999999999</v>
      </c>
      <c r="K5955">
        <v>1.10609</v>
      </c>
      <c r="L5955">
        <v>-3.1513369999999998</v>
      </c>
      <c r="M5955">
        <v>-1.148478E-2</v>
      </c>
      <c r="N5955">
        <v>0</v>
      </c>
      <c r="O5955">
        <v>0.99985440000000003</v>
      </c>
      <c r="P5955">
        <v>-7.1932259999999998E-2</v>
      </c>
      <c r="Q5955">
        <v>9.6015849999999993E-3</v>
      </c>
      <c r="R5955">
        <v>0.99736329999999995</v>
      </c>
      <c r="S5955">
        <v>0.1863098</v>
      </c>
      <c r="T5955">
        <v>-0.215556</v>
      </c>
      <c r="U5955">
        <v>3.0247799999999998</v>
      </c>
      <c r="V5955">
        <v>-6.0273769999999997E-2</v>
      </c>
      <c r="W5955">
        <v>2.2729650000000001E-2</v>
      </c>
      <c r="X5955">
        <v>0.99792309999999995</v>
      </c>
      <c r="Y5955">
        <v>7.278308E-2</v>
      </c>
      <c r="Z5955">
        <v>-7.0914930000000001E-2</v>
      </c>
      <c r="AA5955">
        <v>0.99482349999999997</v>
      </c>
      <c r="AB5955">
        <v>33</v>
      </c>
      <c r="AC5955">
        <v>6.3299999999998094E-2</v>
      </c>
      <c r="AD5955">
        <v>-7.1817000000000006E-2</v>
      </c>
      <c r="AE5955">
        <v>0.65936099999999997</v>
      </c>
      <c r="AF5955">
        <v>7.0045655013541194E-2</v>
      </c>
      <c r="AG5955">
        <v>-7.1817000000000006E-2</v>
      </c>
      <c r="AH5955">
        <v>0.650938659309234</v>
      </c>
      <c r="AI5955">
        <v>96.260037278220494</v>
      </c>
      <c r="AJ5955">
        <v>83.858197530010301</v>
      </c>
      <c r="AK5955">
        <v>0.65862372676557801</v>
      </c>
      <c r="AL5955">
        <v>88.697574872640303</v>
      </c>
      <c r="AM5955">
        <v>93.456420996294298</v>
      </c>
      <c r="AN5955">
        <v>1.0000000389263699</v>
      </c>
    </row>
    <row r="5956" spans="1:40" x14ac:dyDescent="0.25">
      <c r="A5956" t="str">
        <f>"20190312151433674"</f>
        <v>20190312151433674</v>
      </c>
      <c r="B5956" t="str">
        <f>"1552374873666658"</f>
        <v>1552374873666658</v>
      </c>
      <c r="C5956" t="s">
        <v>40</v>
      </c>
      <c r="D5956">
        <v>4.9255550000000001</v>
      </c>
      <c r="E5956">
        <v>0.55116919999999903</v>
      </c>
      <c r="F5956" t="s">
        <v>41</v>
      </c>
      <c r="G5956">
        <v>-190.31649999999999</v>
      </c>
      <c r="H5956">
        <v>1.0378449999999999</v>
      </c>
      <c r="I5956">
        <v>-2.1922540000000001</v>
      </c>
      <c r="J5956">
        <v>-190.37710000000001</v>
      </c>
      <c r="K5956">
        <v>1.106101</v>
      </c>
      <c r="L5956">
        <v>-2.7889710000000001</v>
      </c>
      <c r="M5956">
        <v>-7.1538610000000001E-3</v>
      </c>
      <c r="N5956">
        <v>0</v>
      </c>
      <c r="O5956">
        <v>0.99989479999999997</v>
      </c>
      <c r="P5956">
        <v>-6.8827479999999996E-2</v>
      </c>
      <c r="Q5956">
        <v>9.3316700000000002E-3</v>
      </c>
      <c r="R5956">
        <v>0.9975849</v>
      </c>
      <c r="S5956">
        <v>0.1917267</v>
      </c>
      <c r="T5956">
        <v>-0.21507860000000001</v>
      </c>
      <c r="U5956">
        <v>3.0238339999999999</v>
      </c>
      <c r="V5956">
        <v>-6.149367E-2</v>
      </c>
      <c r="W5956">
        <v>2.24665E-2</v>
      </c>
      <c r="X5956">
        <v>0.99785460000000004</v>
      </c>
      <c r="Y5956">
        <v>7.0257810000000004E-2</v>
      </c>
      <c r="Z5956">
        <v>-7.0787420000000004E-2</v>
      </c>
      <c r="AA5956">
        <v>0.99501410000000001</v>
      </c>
      <c r="AB5956">
        <v>33</v>
      </c>
      <c r="AC5956">
        <v>6.0600000000022101E-2</v>
      </c>
      <c r="AD5956">
        <v>-6.8255999999999803E-2</v>
      </c>
      <c r="AE5956">
        <v>0.59671699999999905</v>
      </c>
      <c r="AF5956">
        <v>6.4038287477052799E-2</v>
      </c>
      <c r="AG5956">
        <v>-6.8255999999999803E-2</v>
      </c>
      <c r="AH5956">
        <v>0.58864488658517999</v>
      </c>
      <c r="AI5956">
        <v>96.575708361084594</v>
      </c>
      <c r="AJ5956">
        <v>83.791247032930599</v>
      </c>
      <c r="AK5956">
        <v>0.59603908118668902</v>
      </c>
      <c r="AL5956">
        <v>88.712656069104895</v>
      </c>
      <c r="AM5956">
        <v>93.526443286458502</v>
      </c>
      <c r="AN5956">
        <v>1.00000000890673</v>
      </c>
    </row>
    <row r="5957" spans="1:40" x14ac:dyDescent="0.25">
      <c r="A5957" t="str">
        <f>"20190312151433696"</f>
        <v>20190312151433696</v>
      </c>
      <c r="B5957" t="str">
        <f>"1552374873686176"</f>
        <v>1552374873686176</v>
      </c>
      <c r="C5957" t="s">
        <v>40</v>
      </c>
      <c r="D5957">
        <v>4.8842449999999999</v>
      </c>
      <c r="E5957">
        <v>0.55104730000000002</v>
      </c>
      <c r="F5957" t="s">
        <v>41</v>
      </c>
      <c r="G5957">
        <v>-190.31829999999999</v>
      </c>
      <c r="H5957">
        <v>1.0418719999999999</v>
      </c>
      <c r="I5957">
        <v>-1.8923110000000001</v>
      </c>
      <c r="J5957">
        <v>-190.37559999999999</v>
      </c>
      <c r="K5957">
        <v>1.1061080000000001</v>
      </c>
      <c r="L5957">
        <v>-2.4680179999999998</v>
      </c>
      <c r="M5957">
        <v>-3.3160920000000001E-3</v>
      </c>
      <c r="N5957">
        <v>0</v>
      </c>
      <c r="O5957">
        <v>0.99991490000000005</v>
      </c>
      <c r="P5957">
        <v>-6.6567470000000004E-2</v>
      </c>
      <c r="Q5957">
        <v>9.6204870000000005E-3</v>
      </c>
      <c r="R5957">
        <v>0.99773559999999994</v>
      </c>
      <c r="S5957">
        <v>0.19839480000000001</v>
      </c>
      <c r="T5957">
        <v>-0.21657709999999999</v>
      </c>
      <c r="U5957">
        <v>3.02298</v>
      </c>
      <c r="V5957">
        <v>-6.3060980000000003E-2</v>
      </c>
      <c r="W5957">
        <v>2.2765400000000002E-2</v>
      </c>
      <c r="X5957">
        <v>0.99775000000000003</v>
      </c>
      <c r="Y5957">
        <v>6.8630200000000002E-2</v>
      </c>
      <c r="Z5957">
        <v>-7.1299269999999998E-2</v>
      </c>
      <c r="AA5957">
        <v>0.99509110000000001</v>
      </c>
      <c r="AB5957">
        <v>33</v>
      </c>
      <c r="AC5957">
        <v>5.7299999999997901E-2</v>
      </c>
      <c r="AD5957">
        <v>-6.4236000000000099E-2</v>
      </c>
      <c r="AE5957">
        <v>0.57570699999999897</v>
      </c>
      <c r="AF5957">
        <v>5.8487927783370197E-2</v>
      </c>
      <c r="AG5957">
        <v>-6.4236000000000099E-2</v>
      </c>
      <c r="AH5957">
        <v>0.56850558788657102</v>
      </c>
      <c r="AI5957">
        <v>96.412999285292301</v>
      </c>
      <c r="AJ5957">
        <v>84.126068544003502</v>
      </c>
      <c r="AK5957">
        <v>0.57510495116165405</v>
      </c>
      <c r="AL5957">
        <v>88.695525976225994</v>
      </c>
      <c r="AM5957">
        <v>93.616465499586397</v>
      </c>
      <c r="AN5957">
        <v>1.00000000656786</v>
      </c>
    </row>
    <row r="5958" spans="1:40" x14ac:dyDescent="0.25">
      <c r="A5958" t="str">
        <f>"20190312151433719"</f>
        <v>20190312151433719</v>
      </c>
      <c r="B5958" t="str">
        <f>"1552374873716433"</f>
        <v>1552374873716433</v>
      </c>
      <c r="C5958" t="s">
        <v>40</v>
      </c>
      <c r="D5958">
        <v>4.890568</v>
      </c>
      <c r="E5958">
        <v>0.54104229999999998</v>
      </c>
      <c r="F5958" t="s">
        <v>41</v>
      </c>
      <c r="G5958">
        <v>-190.31639999999999</v>
      </c>
      <c r="H5958">
        <v>1.0439769999999999</v>
      </c>
      <c r="I5958">
        <v>-1.592611</v>
      </c>
      <c r="J5958">
        <v>-190.37270000000001</v>
      </c>
      <c r="K5958">
        <v>1.106128</v>
      </c>
      <c r="L5958">
        <v>-2.1240540000000001</v>
      </c>
      <c r="M5958">
        <v>7.9244000000000005E-4</v>
      </c>
      <c r="N5958">
        <v>0</v>
      </c>
      <c r="O5958">
        <v>0.99992009999999998</v>
      </c>
      <c r="P5958">
        <v>-6.3552479999999995E-2</v>
      </c>
      <c r="Q5958">
        <v>1.019492E-2</v>
      </c>
      <c r="R5958">
        <v>0.99792639999999999</v>
      </c>
      <c r="S5958">
        <v>0.20419309999999999</v>
      </c>
      <c r="T5958">
        <v>-0.214453</v>
      </c>
      <c r="U5958">
        <v>3.022491</v>
      </c>
      <c r="V5958">
        <v>-6.4141509999999999E-2</v>
      </c>
      <c r="W5958">
        <v>2.3345560000000001E-2</v>
      </c>
      <c r="X5958">
        <v>0.99766770000000005</v>
      </c>
      <c r="Y5958">
        <v>6.6445249999999997E-2</v>
      </c>
      <c r="Z5958">
        <v>-7.0616159999999997E-2</v>
      </c>
      <c r="AA5958">
        <v>0.99528810000000001</v>
      </c>
      <c r="AB5958">
        <v>33</v>
      </c>
      <c r="AC5958">
        <v>5.63000000000215E-2</v>
      </c>
      <c r="AD5958">
        <v>-6.2150999999999998E-2</v>
      </c>
      <c r="AE5958">
        <v>0.531443</v>
      </c>
      <c r="AF5958">
        <v>5.5133138627690897E-2</v>
      </c>
      <c r="AG5958">
        <v>-6.2150999999999998E-2</v>
      </c>
      <c r="AH5958">
        <v>0.52439502935508597</v>
      </c>
      <c r="AI5958">
        <v>96.722422741100203</v>
      </c>
      <c r="AJ5958">
        <v>83.998162858846101</v>
      </c>
      <c r="AK5958">
        <v>0.53093554843150303</v>
      </c>
      <c r="AL5958">
        <v>88.662276401624794</v>
      </c>
      <c r="AM5958">
        <v>93.678566398987797</v>
      </c>
      <c r="AN5958">
        <v>0.99999999405004103</v>
      </c>
    </row>
    <row r="5959" spans="1:40" x14ac:dyDescent="0.25">
      <c r="A5959" t="str">
        <f>"20190312151433739"</f>
        <v>20190312151433739</v>
      </c>
      <c r="B5959" t="str">
        <f>"1552374873735952"</f>
        <v>1552374873735952</v>
      </c>
      <c r="C5959" t="s">
        <v>40</v>
      </c>
      <c r="D5959">
        <v>4.8570729999999998</v>
      </c>
      <c r="E5959">
        <v>0.54005319999999901</v>
      </c>
      <c r="F5959" t="s">
        <v>41</v>
      </c>
      <c r="G5959">
        <v>-190.33600000000001</v>
      </c>
      <c r="H5959">
        <v>1.0381670000000001</v>
      </c>
      <c r="I5959">
        <v>-1.2981529999999999</v>
      </c>
      <c r="J5959">
        <v>-190.3689</v>
      </c>
      <c r="K5959">
        <v>1.1061379999999901</v>
      </c>
      <c r="L5959">
        <v>-1.823334</v>
      </c>
      <c r="M5959">
        <v>4.3708729999999999E-3</v>
      </c>
      <c r="N5959">
        <v>0</v>
      </c>
      <c r="O5959">
        <v>0.99991090000000005</v>
      </c>
      <c r="P5959">
        <v>-6.1230340000000001E-2</v>
      </c>
      <c r="Q5959">
        <v>1.086207E-2</v>
      </c>
      <c r="R5959">
        <v>0.99806459999999997</v>
      </c>
      <c r="S5959">
        <v>0.13381960000000001</v>
      </c>
      <c r="T5959">
        <v>-0.24825249999999999</v>
      </c>
      <c r="U5959">
        <v>3.0173030000000001</v>
      </c>
      <c r="V5959">
        <v>-6.5385390000000002E-2</v>
      </c>
      <c r="W5959">
        <v>2.4019140000000001E-2</v>
      </c>
      <c r="X5959">
        <v>0.99757099999999999</v>
      </c>
      <c r="Y5959">
        <v>3.9790880000000001E-2</v>
      </c>
      <c r="Z5959">
        <v>-8.1925590000000006E-2</v>
      </c>
      <c r="AA5959">
        <v>0.99584379999999995</v>
      </c>
      <c r="AB5959">
        <v>33</v>
      </c>
      <c r="AC5959">
        <v>3.29000000000121E-2</v>
      </c>
      <c r="AD5959">
        <v>-6.7970999999999698E-2</v>
      </c>
      <c r="AE5959">
        <v>0.52518099999999901</v>
      </c>
      <c r="AF5959">
        <v>3.01017534446942E-2</v>
      </c>
      <c r="AG5959">
        <v>-6.7970999999999698E-2</v>
      </c>
      <c r="AH5959">
        <v>0.51669863752615097</v>
      </c>
      <c r="AI5959">
        <v>97.481608983810503</v>
      </c>
      <c r="AJ5959">
        <v>86.665839494300599</v>
      </c>
      <c r="AK5959">
        <v>0.52201882573603198</v>
      </c>
      <c r="AL5959">
        <v>88.623672337587195</v>
      </c>
      <c r="AM5959">
        <v>93.750064753266699</v>
      </c>
      <c r="AN5959">
        <v>1.0000000341763899</v>
      </c>
    </row>
    <row r="5960" spans="1:40" x14ac:dyDescent="0.25">
      <c r="A5960" t="str">
        <f>"20190312151433764"</f>
        <v>20190312151433764</v>
      </c>
      <c r="B5960" t="str">
        <f>"1552374873756449"</f>
        <v>1552374873756449</v>
      </c>
      <c r="C5960" t="s">
        <v>40</v>
      </c>
      <c r="D5960">
        <v>4.8882589999999997</v>
      </c>
      <c r="E5960">
        <v>0.53954239999999998</v>
      </c>
      <c r="F5960" t="s">
        <v>41</v>
      </c>
      <c r="G5960">
        <v>-190.33250000000001</v>
      </c>
      <c r="H5960">
        <v>1.037037</v>
      </c>
      <c r="I5960">
        <v>-1.000807</v>
      </c>
      <c r="J5960">
        <v>-190.363</v>
      </c>
      <c r="K5960">
        <v>1.1061650000000001</v>
      </c>
      <c r="L5960">
        <v>-1.4591369999999999</v>
      </c>
      <c r="M5960">
        <v>8.6727279999999993E-3</v>
      </c>
      <c r="N5960">
        <v>0</v>
      </c>
      <c r="O5960">
        <v>0.99988290000000002</v>
      </c>
      <c r="P5960">
        <v>-5.807561E-2</v>
      </c>
      <c r="Q5960">
        <v>1.082084E-2</v>
      </c>
      <c r="R5960">
        <v>0.99825350000000002</v>
      </c>
      <c r="S5960">
        <v>0.13314819999999999</v>
      </c>
      <c r="T5960">
        <v>-0.25330049999999998</v>
      </c>
      <c r="U5960">
        <v>3.0167540000000002</v>
      </c>
      <c r="V5960">
        <v>-6.6526080000000001E-2</v>
      </c>
      <c r="W5960">
        <v>2.398053E-2</v>
      </c>
      <c r="X5960">
        <v>0.99749650000000001</v>
      </c>
      <c r="Y5960">
        <v>3.5272329999999998E-2</v>
      </c>
      <c r="Z5960">
        <v>-8.3599049999999994E-2</v>
      </c>
      <c r="AA5960">
        <v>0.99587499999999995</v>
      </c>
      <c r="AB5960">
        <v>33</v>
      </c>
      <c r="AC5960">
        <v>3.04999999999893E-2</v>
      </c>
      <c r="AD5960">
        <v>-6.9127999999999995E-2</v>
      </c>
      <c r="AE5960">
        <v>0.45833000000000002</v>
      </c>
      <c r="AF5960">
        <v>2.59361596875042E-2</v>
      </c>
      <c r="AG5960">
        <v>-6.9127999999999995E-2</v>
      </c>
      <c r="AH5960">
        <v>0.44842139099772299</v>
      </c>
      <c r="AI5960">
        <v>98.749252114401799</v>
      </c>
      <c r="AJ5960">
        <v>86.689768271155501</v>
      </c>
      <c r="AK5960">
        <v>0.45445913861167803</v>
      </c>
      <c r="AL5960">
        <v>88.625885154146204</v>
      </c>
      <c r="AM5960">
        <v>93.815579570728104</v>
      </c>
      <c r="AN5960">
        <v>1.00000002632574</v>
      </c>
    </row>
    <row r="5961" spans="1:40" x14ac:dyDescent="0.25">
      <c r="A5961" t="str">
        <f>"20190312151433784"</f>
        <v>20190312151433784</v>
      </c>
      <c r="B5961" t="str">
        <f>"1552374873775968"</f>
        <v>1552374873775968</v>
      </c>
      <c r="C5961" t="s">
        <v>40</v>
      </c>
      <c r="D5961">
        <v>4.8855969999999997</v>
      </c>
      <c r="E5961">
        <v>0.53941949999999905</v>
      </c>
      <c r="F5961" t="s">
        <v>41</v>
      </c>
      <c r="G5961">
        <v>-190.328</v>
      </c>
      <c r="H5961">
        <v>1.0422260000000001</v>
      </c>
      <c r="I5961">
        <v>-0.69857849999999999</v>
      </c>
      <c r="J5961">
        <v>-190.3569</v>
      </c>
      <c r="K5961">
        <v>1.106195</v>
      </c>
      <c r="L5961">
        <v>-1.1531370000000001</v>
      </c>
      <c r="M5961">
        <v>1.22425E-2</v>
      </c>
      <c r="N5961">
        <v>0</v>
      </c>
      <c r="O5961">
        <v>0.9998456</v>
      </c>
      <c r="P5961">
        <v>-5.5306710000000002E-2</v>
      </c>
      <c r="Q5961">
        <v>1.040804E-2</v>
      </c>
      <c r="R5961">
        <v>0.99841519999999995</v>
      </c>
      <c r="S5961">
        <v>0.13891600000000001</v>
      </c>
      <c r="T5961">
        <v>-0.25355119999999998</v>
      </c>
      <c r="U5961">
        <v>3.0160830000000001</v>
      </c>
      <c r="V5961">
        <v>-6.7326750000000005E-2</v>
      </c>
      <c r="W5961">
        <v>2.3565800000000001E-2</v>
      </c>
      <c r="X5961">
        <v>0.99745260000000002</v>
      </c>
      <c r="Y5961">
        <v>3.361426E-2</v>
      </c>
      <c r="Z5961">
        <v>-8.3693829999999997E-2</v>
      </c>
      <c r="AA5961">
        <v>0.99592440000000004</v>
      </c>
      <c r="AB5961">
        <v>33</v>
      </c>
      <c r="AC5961">
        <v>2.8899999999993001E-2</v>
      </c>
      <c r="AD5961">
        <v>-6.3968999999999901E-2</v>
      </c>
      <c r="AE5961">
        <v>0.45455849999999998</v>
      </c>
      <c r="AF5961">
        <v>2.2881138536977399E-2</v>
      </c>
      <c r="AG5961">
        <v>-6.3968999999999901E-2</v>
      </c>
      <c r="AH5961">
        <v>0.44607953720663202</v>
      </c>
      <c r="AI5961">
        <v>98.150161202165904</v>
      </c>
      <c r="AJ5961">
        <v>87.063652096794499</v>
      </c>
      <c r="AK5961">
        <v>0.45122337370334797</v>
      </c>
      <c r="AL5961">
        <v>88.649654065406907</v>
      </c>
      <c r="AM5961">
        <v>93.861533045031507</v>
      </c>
      <c r="AN5961">
        <v>0.99999996372097999</v>
      </c>
    </row>
    <row r="5962" spans="1:40" x14ac:dyDescent="0.25">
      <c r="A5962" t="str">
        <f>"20190312151433807"</f>
        <v>20190312151433807</v>
      </c>
      <c r="B5962" t="str">
        <f>"1552374873796465"</f>
        <v>1552374873796465</v>
      </c>
      <c r="C5962" t="s">
        <v>40</v>
      </c>
      <c r="D5962">
        <v>4.8984740000000002</v>
      </c>
      <c r="E5962">
        <v>0.53920100000000004</v>
      </c>
      <c r="F5962" t="s">
        <v>41</v>
      </c>
      <c r="G5962">
        <v>-190.3202</v>
      </c>
      <c r="H5962">
        <v>1.0425679999999999</v>
      </c>
      <c r="I5962">
        <v>-0.40050639999999998</v>
      </c>
      <c r="J5962">
        <v>-190.34880000000001</v>
      </c>
      <c r="K5962">
        <v>1.106244</v>
      </c>
      <c r="L5962">
        <v>-0.81362919999999905</v>
      </c>
      <c r="M5962">
        <v>1.6134880000000001E-2</v>
      </c>
      <c r="N5962">
        <v>0</v>
      </c>
      <c r="O5962">
        <v>0.99979039999999997</v>
      </c>
      <c r="P5962">
        <v>-5.1638789999999997E-2</v>
      </c>
      <c r="Q5962">
        <v>9.7410269999999993E-3</v>
      </c>
      <c r="R5962">
        <v>0.99861829999999996</v>
      </c>
      <c r="S5962">
        <v>0.14640810000000001</v>
      </c>
      <c r="T5962">
        <v>-0.25476290000000001</v>
      </c>
      <c r="U5962">
        <v>3.015533</v>
      </c>
      <c r="V5962">
        <v>-6.7554690000000001E-2</v>
      </c>
      <c r="W5962">
        <v>2.2888390000000002E-2</v>
      </c>
      <c r="X5962">
        <v>0.99745300000000003</v>
      </c>
      <c r="Y5962">
        <v>3.2198909999999997E-2</v>
      </c>
      <c r="Z5962">
        <v>-8.4096279999999995E-2</v>
      </c>
      <c r="AA5962">
        <v>0.99593730000000003</v>
      </c>
      <c r="AB5962">
        <v>33</v>
      </c>
      <c r="AC5962">
        <v>2.8600000000011502E-2</v>
      </c>
      <c r="AD5962">
        <v>-6.3675999999999996E-2</v>
      </c>
      <c r="AE5962">
        <v>0.41312279999999901</v>
      </c>
      <c r="AF5962">
        <v>2.14235271788158E-2</v>
      </c>
      <c r="AG5962">
        <v>-6.3675999999999996E-2</v>
      </c>
      <c r="AH5962">
        <v>0.40397892126257501</v>
      </c>
      <c r="AI5962">
        <v>98.945018558002303</v>
      </c>
      <c r="AJ5962">
        <v>86.964373939617204</v>
      </c>
      <c r="AK5962">
        <v>0.40952725100688397</v>
      </c>
      <c r="AL5962">
        <v>88.688477324228003</v>
      </c>
      <c r="AM5962">
        <v>93.874565265881103</v>
      </c>
      <c r="AN5962">
        <v>1.00000000087339</v>
      </c>
    </row>
    <row r="5963" spans="1:40" x14ac:dyDescent="0.25">
      <c r="A5963" t="str">
        <f>"20190312151433827"</f>
        <v>20190312151433827</v>
      </c>
      <c r="B5963" t="str">
        <f>"1552374873815985"</f>
        <v>1552374873815985</v>
      </c>
      <c r="C5963" t="s">
        <v>40</v>
      </c>
      <c r="D5963">
        <v>4.8527060000000004</v>
      </c>
      <c r="E5963">
        <v>0.53887099999999999</v>
      </c>
      <c r="F5963" t="s">
        <v>41</v>
      </c>
      <c r="G5963">
        <v>-190.29730000000001</v>
      </c>
      <c r="H5963">
        <v>1.0208109999999999</v>
      </c>
      <c r="I5963">
        <v>0.18176790000000001</v>
      </c>
      <c r="J5963">
        <v>-190.34030000000001</v>
      </c>
      <c r="K5963">
        <v>1.1063000000000001</v>
      </c>
      <c r="L5963">
        <v>-0.5014343</v>
      </c>
      <c r="M5963">
        <v>1.9632589999999998E-2</v>
      </c>
      <c r="N5963">
        <v>0</v>
      </c>
      <c r="O5963">
        <v>0.99972780000000006</v>
      </c>
      <c r="P5963">
        <v>-4.82181E-2</v>
      </c>
      <c r="Q5963">
        <v>8.6765660000000001E-3</v>
      </c>
      <c r="R5963">
        <v>0.99879910000000005</v>
      </c>
      <c r="S5963">
        <v>0.15556339999999999</v>
      </c>
      <c r="T5963">
        <v>-0.25864120000000002</v>
      </c>
      <c r="U5963">
        <v>3.0147089999999999</v>
      </c>
      <c r="V5963">
        <v>-6.7640510000000001E-2</v>
      </c>
      <c r="W5963">
        <v>2.1810059999999999E-2</v>
      </c>
      <c r="X5963">
        <v>0.99747129999999995</v>
      </c>
      <c r="Y5963">
        <v>3.1726709999999998E-2</v>
      </c>
      <c r="Z5963">
        <v>-8.5376579999999994E-2</v>
      </c>
      <c r="AA5963">
        <v>0.99584349999999999</v>
      </c>
      <c r="AB5963">
        <v>33</v>
      </c>
      <c r="AC5963">
        <v>4.3000000000006297E-2</v>
      </c>
      <c r="AD5963">
        <v>-8.5488999999999898E-2</v>
      </c>
      <c r="AE5963">
        <v>0.68320219999999998</v>
      </c>
      <c r="AF5963">
        <v>2.91234163833025E-2</v>
      </c>
      <c r="AG5963">
        <v>-8.5488999999999898E-2</v>
      </c>
      <c r="AH5963">
        <v>0.673412427619547</v>
      </c>
      <c r="AI5963">
        <v>97.228253501801106</v>
      </c>
      <c r="AJ5963">
        <v>87.523642832624702</v>
      </c>
      <c r="AK5963">
        <v>0.67944156494527597</v>
      </c>
      <c r="AL5963">
        <v>88.750276464680695</v>
      </c>
      <c r="AM5963">
        <v>93.879401451047997</v>
      </c>
      <c r="AN5963">
        <v>0.99999995581697498</v>
      </c>
    </row>
    <row r="5964" spans="1:40" x14ac:dyDescent="0.25">
      <c r="A5964" t="str">
        <f>"20190312151433851"</f>
        <v>20190312151433851</v>
      </c>
      <c r="B5964" t="str">
        <f>"1552374873846241"</f>
        <v>1552374873846241</v>
      </c>
      <c r="C5964" t="s">
        <v>40</v>
      </c>
      <c r="D5964">
        <v>4.9229019999999997</v>
      </c>
      <c r="E5964">
        <v>0.53832080000000004</v>
      </c>
      <c r="F5964" t="s">
        <v>41</v>
      </c>
      <c r="G5964">
        <v>-190.28710000000001</v>
      </c>
      <c r="H5964">
        <v>1.0207040000000001</v>
      </c>
      <c r="I5964">
        <v>0.4791397</v>
      </c>
      <c r="J5964">
        <v>-190.3297</v>
      </c>
      <c r="K5964">
        <v>1.106368</v>
      </c>
      <c r="L5964">
        <v>-0.1579285</v>
      </c>
      <c r="M5964">
        <v>2.3397069999999999E-2</v>
      </c>
      <c r="N5964">
        <v>0</v>
      </c>
      <c r="O5964">
        <v>0.9996469</v>
      </c>
      <c r="P5964">
        <v>-4.3995310000000003E-2</v>
      </c>
      <c r="Q5964">
        <v>8.0398039999999994E-3</v>
      </c>
      <c r="R5964">
        <v>0.99899939999999998</v>
      </c>
      <c r="S5964">
        <v>0.16320799999999999</v>
      </c>
      <c r="T5964">
        <v>-0.26302550000000002</v>
      </c>
      <c r="U5964">
        <v>3.013763</v>
      </c>
      <c r="V5964">
        <v>-6.7189120000000005E-2</v>
      </c>
      <c r="W5964">
        <v>2.1153600000000002E-2</v>
      </c>
      <c r="X5964">
        <v>0.99751599999999996</v>
      </c>
      <c r="Y5964">
        <v>3.0491239999999999E-2</v>
      </c>
      <c r="Z5964">
        <v>-8.6825390000000002E-2</v>
      </c>
      <c r="AA5964">
        <v>0.9957568</v>
      </c>
      <c r="AB5964">
        <v>33</v>
      </c>
      <c r="AC5964">
        <v>4.2599999999992998E-2</v>
      </c>
      <c r="AD5964">
        <v>-8.5663999999999907E-2</v>
      </c>
      <c r="AE5964">
        <v>0.63706819999999997</v>
      </c>
      <c r="AF5964">
        <v>2.7192149327664401E-2</v>
      </c>
      <c r="AG5964">
        <v>-8.5663999999999907E-2</v>
      </c>
      <c r="AH5964">
        <v>0.62661118552742001</v>
      </c>
      <c r="AI5964">
        <v>97.7774166736843</v>
      </c>
      <c r="AJ5964">
        <v>87.515176015073493</v>
      </c>
      <c r="AK5964">
        <v>0.63302394244541504</v>
      </c>
      <c r="AL5964">
        <v>88.787897603360307</v>
      </c>
      <c r="AM5964">
        <v>93.853418878000198</v>
      </c>
      <c r="AN5964">
        <v>1.0000000114476599</v>
      </c>
    </row>
    <row r="5965" spans="1:40" x14ac:dyDescent="0.25">
      <c r="A5965" t="str">
        <f>"20190312151433876"</f>
        <v>20190312151433876</v>
      </c>
      <c r="B5965" t="str">
        <f>"1552374873866739"</f>
        <v>1552374873866739</v>
      </c>
      <c r="C5965" t="s">
        <v>40</v>
      </c>
      <c r="D5965">
        <v>4.8637759999999997</v>
      </c>
      <c r="E5965">
        <v>0.53773490000000002</v>
      </c>
      <c r="F5965" t="s">
        <v>41</v>
      </c>
      <c r="G5965">
        <v>-190.27629999999999</v>
      </c>
      <c r="H5965">
        <v>1.023944</v>
      </c>
      <c r="I5965">
        <v>0.77801940000000003</v>
      </c>
      <c r="J5965">
        <v>-190.31710000000001</v>
      </c>
      <c r="K5965">
        <v>1.10644599999999</v>
      </c>
      <c r="L5965">
        <v>0.2071228</v>
      </c>
      <c r="M5965">
        <v>2.7289810000000001E-2</v>
      </c>
      <c r="N5965">
        <v>0</v>
      </c>
      <c r="O5965">
        <v>0.99954829999999995</v>
      </c>
      <c r="P5965">
        <v>-3.9917359999999999E-2</v>
      </c>
      <c r="Q5965">
        <v>7.1290609999999999E-3</v>
      </c>
      <c r="R5965">
        <v>0.9991776</v>
      </c>
      <c r="S5965">
        <v>0.1713104</v>
      </c>
      <c r="T5965">
        <v>-0.26519890000000002</v>
      </c>
      <c r="U5965">
        <v>3.0126949999999999</v>
      </c>
      <c r="V5965">
        <v>-6.7013459999999997E-2</v>
      </c>
      <c r="W5965">
        <v>2.0225400000000001E-2</v>
      </c>
      <c r="X5965">
        <v>0.99754699999999996</v>
      </c>
      <c r="Y5965">
        <v>2.9283980000000001E-2</v>
      </c>
      <c r="Z5965">
        <v>-8.7550290000000003E-2</v>
      </c>
      <c r="AA5965">
        <v>0.99572959999999999</v>
      </c>
      <c r="AB5965">
        <v>33</v>
      </c>
      <c r="AC5965">
        <v>4.0800000000018599E-2</v>
      </c>
      <c r="AD5965">
        <v>-8.2501999999999798E-2</v>
      </c>
      <c r="AE5965">
        <v>0.57089659999999998</v>
      </c>
      <c r="AF5965">
        <v>2.46908833343315E-2</v>
      </c>
      <c r="AG5965">
        <v>-8.2501999999999798E-2</v>
      </c>
      <c r="AH5965">
        <v>0.56015854099782503</v>
      </c>
      <c r="AI5965">
        <v>98.370462926862004</v>
      </c>
      <c r="AJ5965">
        <v>87.476128323299406</v>
      </c>
      <c r="AK5965">
        <v>0.56673963226215396</v>
      </c>
      <c r="AL5965">
        <v>88.8410908550008</v>
      </c>
      <c r="AM5965">
        <v>93.843255609396195</v>
      </c>
      <c r="AN5965">
        <v>0.999999943917664</v>
      </c>
    </row>
    <row r="5966" spans="1:40" x14ac:dyDescent="0.25">
      <c r="A5966" t="str">
        <f>"20190312151433902"</f>
        <v>20190312151433902</v>
      </c>
      <c r="B5966" t="str">
        <f>"1552374873896017"</f>
        <v>1552374873896017</v>
      </c>
      <c r="C5966" t="s">
        <v>40</v>
      </c>
      <c r="D5966">
        <v>4.8974199999999897</v>
      </c>
      <c r="E5966">
        <v>0.53196659999999996</v>
      </c>
      <c r="F5966" t="s">
        <v>41</v>
      </c>
      <c r="G5966">
        <v>-190.2654</v>
      </c>
      <c r="H5966">
        <v>1.0288040000000001</v>
      </c>
      <c r="I5966">
        <v>1.0776490000000001</v>
      </c>
      <c r="J5966">
        <v>-190.30240000000001</v>
      </c>
      <c r="K5966">
        <v>1.106538</v>
      </c>
      <c r="L5966">
        <v>0.59420779999999995</v>
      </c>
      <c r="M5966">
        <v>3.1290329999999998E-2</v>
      </c>
      <c r="N5966">
        <v>0</v>
      </c>
      <c r="O5966">
        <v>0.99943099999999996</v>
      </c>
      <c r="P5966">
        <v>-3.6051600000000003E-2</v>
      </c>
      <c r="Q5966">
        <v>6.7616459999999996E-3</v>
      </c>
      <c r="R5966">
        <v>0.99932710000000002</v>
      </c>
      <c r="S5966">
        <v>0.17878720000000001</v>
      </c>
      <c r="T5966">
        <v>-0.26861099999999999</v>
      </c>
      <c r="U5966">
        <v>3.011536</v>
      </c>
      <c r="V5966">
        <v>-6.71543E-2</v>
      </c>
      <c r="W5966">
        <v>1.9847819999999999E-2</v>
      </c>
      <c r="X5966">
        <v>0.99754520000000002</v>
      </c>
      <c r="Y5966">
        <v>2.776269E-2</v>
      </c>
      <c r="Z5966">
        <v>-8.8681759999999998E-2</v>
      </c>
      <c r="AA5966">
        <v>0.99567300000000003</v>
      </c>
      <c r="AB5966">
        <v>33</v>
      </c>
      <c r="AC5966">
        <v>3.7000000000006097E-2</v>
      </c>
      <c r="AD5966">
        <v>-7.77339999999999E-2</v>
      </c>
      <c r="AE5966">
        <v>0.48344120000000002</v>
      </c>
      <c r="AF5966">
        <v>2.1305999014621602E-2</v>
      </c>
      <c r="AG5966">
        <v>-7.77339999999999E-2</v>
      </c>
      <c r="AH5966">
        <v>0.47222428972290997</v>
      </c>
      <c r="AI5966">
        <v>99.338435056499605</v>
      </c>
      <c r="AJ5966">
        <v>87.416658746235498</v>
      </c>
      <c r="AK5966">
        <v>0.47905354622872498</v>
      </c>
      <c r="AL5966">
        <v>88.862729039737999</v>
      </c>
      <c r="AM5966">
        <v>93.851315499952406</v>
      </c>
      <c r="AN5966">
        <v>1.00000003100514</v>
      </c>
    </row>
    <row r="5967" spans="1:40" x14ac:dyDescent="0.25">
      <c r="A5967" t="str">
        <f>"20190312151433928"</f>
        <v>20190312151433928</v>
      </c>
      <c r="B5967" t="str">
        <f>"1552374873916513"</f>
        <v>1552374873916513</v>
      </c>
      <c r="C5967" t="s">
        <v>40</v>
      </c>
      <c r="D5967">
        <v>4.8935089999999999</v>
      </c>
      <c r="E5967">
        <v>0.53246130000000003</v>
      </c>
      <c r="F5967" t="s">
        <v>41</v>
      </c>
      <c r="G5967">
        <v>-190.2646</v>
      </c>
      <c r="H5967">
        <v>1.035684</v>
      </c>
      <c r="I5967">
        <v>1.3794759999999999</v>
      </c>
      <c r="J5967">
        <v>-190.28700000000001</v>
      </c>
      <c r="K5967">
        <v>1.1066260000000001</v>
      </c>
      <c r="L5967">
        <v>0.96618649999999995</v>
      </c>
      <c r="M5967">
        <v>3.5018880000000002E-2</v>
      </c>
      <c r="N5967">
        <v>0</v>
      </c>
      <c r="O5967">
        <v>0.99930719999999995</v>
      </c>
      <c r="P5967">
        <v>-3.2593299999999999E-2</v>
      </c>
      <c r="Q5967">
        <v>6.78679E-3</v>
      </c>
      <c r="R5967">
        <v>0.99944569999999999</v>
      </c>
      <c r="S5967">
        <v>0.14451600000000001</v>
      </c>
      <c r="T5967">
        <v>-0.27139600000000003</v>
      </c>
      <c r="U5967">
        <v>3.009064</v>
      </c>
      <c r="V5967">
        <v>-6.7427780000000007E-2</v>
      </c>
      <c r="W5967">
        <v>1.9866419999999999E-2</v>
      </c>
      <c r="X5967">
        <v>0.99752629999999998</v>
      </c>
      <c r="Y5967">
        <v>1.276738E-2</v>
      </c>
      <c r="Z5967">
        <v>-8.9690919999999993E-2</v>
      </c>
      <c r="AA5967">
        <v>0.99588779999999999</v>
      </c>
      <c r="AB5967">
        <v>33</v>
      </c>
      <c r="AC5967">
        <v>2.24000000000046E-2</v>
      </c>
      <c r="AD5967">
        <v>-7.0942000000000005E-2</v>
      </c>
      <c r="AE5967">
        <v>0.41328949999999998</v>
      </c>
      <c r="AF5967">
        <v>7.6863631089373902E-3</v>
      </c>
      <c r="AG5967">
        <v>-7.0942000000000005E-2</v>
      </c>
      <c r="AH5967">
        <v>0.40201014605403701</v>
      </c>
      <c r="AI5967">
        <v>100.00605434001599</v>
      </c>
      <c r="AJ5967">
        <v>88.904648260317998</v>
      </c>
      <c r="AK5967">
        <v>0.40829401792364101</v>
      </c>
      <c r="AL5967">
        <v>88.861663035511398</v>
      </c>
      <c r="AM5967">
        <v>93.867025200513297</v>
      </c>
      <c r="AN5967">
        <v>0.99999994967551598</v>
      </c>
    </row>
    <row r="5968" spans="1:40" x14ac:dyDescent="0.25">
      <c r="A5968" t="str">
        <f>"20190312151433963"</f>
        <v>20190312151433963</v>
      </c>
      <c r="B5968" t="str">
        <f>"1552374873956529"</f>
        <v>1552374873956529</v>
      </c>
      <c r="C5968" t="s">
        <v>40</v>
      </c>
      <c r="D5968">
        <v>4.9036559999999998</v>
      </c>
      <c r="E5968">
        <v>0.53150889999999995</v>
      </c>
      <c r="F5968" t="s">
        <v>41</v>
      </c>
      <c r="G5968">
        <v>-190.23419999999999</v>
      </c>
      <c r="H5968">
        <v>1.0171730000000001</v>
      </c>
      <c r="I5968">
        <v>1.963241</v>
      </c>
      <c r="J5968">
        <v>-190.26249999999999</v>
      </c>
      <c r="K5968">
        <v>1.106735</v>
      </c>
      <c r="L5968">
        <v>1.500275</v>
      </c>
      <c r="M5968">
        <v>4.022564E-2</v>
      </c>
      <c r="N5968">
        <v>0</v>
      </c>
      <c r="O5968">
        <v>0.99911110000000003</v>
      </c>
      <c r="P5968">
        <v>-2.9491449999999999E-2</v>
      </c>
      <c r="Q5968">
        <v>8.4764200000000001E-3</v>
      </c>
      <c r="R5968">
        <v>0.99952909999999995</v>
      </c>
      <c r="S5968">
        <v>0.15908810000000001</v>
      </c>
      <c r="T5968">
        <v>-0.26985999999999999</v>
      </c>
      <c r="U5968">
        <v>3.0086979999999999</v>
      </c>
      <c r="V5968">
        <v>-6.9522360000000005E-2</v>
      </c>
      <c r="W5968">
        <v>2.156073E-2</v>
      </c>
      <c r="X5968">
        <v>0.9973474</v>
      </c>
      <c r="Y5968">
        <v>1.2376389999999999E-2</v>
      </c>
      <c r="Z5968">
        <v>-8.9161379999999998E-2</v>
      </c>
      <c r="AA5968">
        <v>0.9959403</v>
      </c>
      <c r="AB5968">
        <v>33</v>
      </c>
      <c r="AC5968">
        <v>2.8300000000001501E-2</v>
      </c>
      <c r="AD5968">
        <v>-8.95620000000001E-2</v>
      </c>
      <c r="AE5968">
        <v>0.46296599999999999</v>
      </c>
      <c r="AF5968">
        <v>9.30555349805204E-3</v>
      </c>
      <c r="AG5968">
        <v>-8.95620000000001E-2</v>
      </c>
      <c r="AH5968">
        <v>0.44706119878308198</v>
      </c>
      <c r="AI5968">
        <v>101.32599662510501</v>
      </c>
      <c r="AJ5968">
        <v>88.807563791392397</v>
      </c>
      <c r="AK5968">
        <v>0.45603909988867303</v>
      </c>
      <c r="AL5968">
        <v>88.764565473781204</v>
      </c>
      <c r="AM5968">
        <v>93.987481933297005</v>
      </c>
      <c r="AN5968">
        <v>1.0000000299524301</v>
      </c>
    </row>
    <row r="5969" spans="1:40" x14ac:dyDescent="0.25">
      <c r="A5969" t="str">
        <f>"20190312151433985"</f>
        <v>20190312151433985</v>
      </c>
      <c r="B5969" t="str">
        <f>"1552374873976049"</f>
        <v>1552374873976049</v>
      </c>
      <c r="C5969" t="s">
        <v>40</v>
      </c>
      <c r="D5969">
        <v>4.8615729999999999</v>
      </c>
      <c r="E5969">
        <v>0.53106619999999904</v>
      </c>
      <c r="F5969" t="s">
        <v>41</v>
      </c>
      <c r="G5969">
        <v>-190.22110000000001</v>
      </c>
      <c r="H5969">
        <v>1.0385709999999999</v>
      </c>
      <c r="I5969">
        <v>2.2727979999999999</v>
      </c>
      <c r="J5969">
        <v>-190.2456</v>
      </c>
      <c r="K5969">
        <v>1.1067849999999999</v>
      </c>
      <c r="L5969">
        <v>1.837952</v>
      </c>
      <c r="M5969">
        <v>4.3465049999999998E-2</v>
      </c>
      <c r="N5969">
        <v>0</v>
      </c>
      <c r="O5969">
        <v>0.99897530000000001</v>
      </c>
      <c r="P5969">
        <v>-2.7789270000000001E-2</v>
      </c>
      <c r="Q5969">
        <v>9.7203519999999998E-3</v>
      </c>
      <c r="R5969">
        <v>0.99956659999999997</v>
      </c>
      <c r="S5969">
        <v>0.16073609999999999</v>
      </c>
      <c r="T5969">
        <v>-0.26538899999999999</v>
      </c>
      <c r="U5969">
        <v>3.0083920000000002</v>
      </c>
      <c r="V5969">
        <v>-7.105069E-2</v>
      </c>
      <c r="W5969">
        <v>2.2812120000000002E-2</v>
      </c>
      <c r="X5969">
        <v>0.99721179999999998</v>
      </c>
      <c r="Y5969">
        <v>9.6904009999999995E-3</v>
      </c>
      <c r="Z5969">
        <v>-8.768666E-2</v>
      </c>
      <c r="AA5969">
        <v>0.99610100000000001</v>
      </c>
      <c r="AB5969">
        <v>33</v>
      </c>
      <c r="AC5969">
        <v>2.4499999999988999E-2</v>
      </c>
      <c r="AD5969">
        <v>-6.8214000000000205E-2</v>
      </c>
      <c r="AE5969">
        <v>0.43484599999999901</v>
      </c>
      <c r="AF5969">
        <v>5.4412605526248598E-3</v>
      </c>
      <c r="AG5969">
        <v>-6.8214000000000205E-2</v>
      </c>
      <c r="AH5969">
        <v>0.42507287332188198</v>
      </c>
      <c r="AI5969">
        <v>99.116133401818701</v>
      </c>
      <c r="AJ5969">
        <v>89.266609897355195</v>
      </c>
      <c r="AK5969">
        <v>0.43054582188952101</v>
      </c>
      <c r="AL5969">
        <v>88.692848392191394</v>
      </c>
      <c r="AM5969">
        <v>94.075399997058199</v>
      </c>
      <c r="AN5969">
        <v>0.99999998371380505</v>
      </c>
    </row>
    <row r="5970" spans="1:40" x14ac:dyDescent="0.25">
      <c r="A5970" t="str">
        <f>"20190312151434008"</f>
        <v>20190312151434008</v>
      </c>
      <c r="B5970" t="str">
        <f>"1552374873996545"</f>
        <v>1552374873996545</v>
      </c>
      <c r="C5970" t="s">
        <v>40</v>
      </c>
      <c r="D5970">
        <v>5.1916949999999904</v>
      </c>
      <c r="E5970">
        <v>0.53081999999999996</v>
      </c>
      <c r="F5970" t="s">
        <v>41</v>
      </c>
      <c r="G5970">
        <v>-190.2056</v>
      </c>
      <c r="H5970">
        <v>1.0422389999999999</v>
      </c>
      <c r="I5970">
        <v>2.5776509999999999</v>
      </c>
      <c r="J5970">
        <v>-190.22839999999999</v>
      </c>
      <c r="K5970">
        <v>1.1068169999999999</v>
      </c>
      <c r="L5970">
        <v>2.1617739999999999</v>
      </c>
      <c r="M5970">
        <v>4.6546150000000001E-2</v>
      </c>
      <c r="N5970">
        <v>0</v>
      </c>
      <c r="O5970">
        <v>0.99883639999999996</v>
      </c>
      <c r="P5970">
        <v>-2.6519859999999999E-2</v>
      </c>
      <c r="Q5970">
        <v>9.7495180000000004E-3</v>
      </c>
      <c r="R5970">
        <v>0.99960079999999996</v>
      </c>
      <c r="S5970">
        <v>0.1622314</v>
      </c>
      <c r="T5970">
        <v>-0.26238450000000002</v>
      </c>
      <c r="U5970">
        <v>3.008362</v>
      </c>
      <c r="V5970">
        <v>-7.2861720000000005E-2</v>
      </c>
      <c r="W5970">
        <v>2.285264E-2</v>
      </c>
      <c r="X5970">
        <v>0.99708019999999997</v>
      </c>
      <c r="Y5970">
        <v>7.1049879999999996E-3</v>
      </c>
      <c r="Z5970">
        <v>-8.6684120000000003E-2</v>
      </c>
      <c r="AA5970">
        <v>0.9962105</v>
      </c>
      <c r="AB5970">
        <v>33</v>
      </c>
      <c r="AC5970">
        <v>2.2799999999989402E-2</v>
      </c>
      <c r="AD5970">
        <v>-6.4577999999999997E-2</v>
      </c>
      <c r="AE5970">
        <v>0.415876999999999</v>
      </c>
      <c r="AF5970">
        <v>3.3360694250591499E-3</v>
      </c>
      <c r="AG5970">
        <v>-6.4577999999999997E-2</v>
      </c>
      <c r="AH5970">
        <v>0.40671016588660402</v>
      </c>
      <c r="AI5970">
        <v>99.021886345152893</v>
      </c>
      <c r="AJ5970">
        <v>89.530037782207998</v>
      </c>
      <c r="AK5970">
        <v>0.41181865727370598</v>
      </c>
      <c r="AL5970">
        <v>88.690526182210704</v>
      </c>
      <c r="AM5970">
        <v>94.179465097813605</v>
      </c>
      <c r="AN5970">
        <v>0.99999999931418304</v>
      </c>
    </row>
    <row r="5971" spans="1:40" x14ac:dyDescent="0.25">
      <c r="A5971" t="str">
        <f>"20190312151434028"</f>
        <v>20190312151434028</v>
      </c>
      <c r="B5971" t="str">
        <f>"1552374874017041"</f>
        <v>1552374874017041</v>
      </c>
      <c r="C5971" t="s">
        <v>40</v>
      </c>
      <c r="D5971">
        <v>4.8601660000000004</v>
      </c>
      <c r="E5971">
        <v>0.52450259999999904</v>
      </c>
      <c r="F5971" t="s">
        <v>41</v>
      </c>
      <c r="G5971">
        <v>-190.17420000000001</v>
      </c>
      <c r="H5971">
        <v>1.020451</v>
      </c>
      <c r="I5971">
        <v>3.151497</v>
      </c>
      <c r="J5971">
        <v>-190.2107</v>
      </c>
      <c r="K5971">
        <v>1.1068389999999999</v>
      </c>
      <c r="L5971">
        <v>2.4754939999999999</v>
      </c>
      <c r="M5971">
        <v>4.952024E-2</v>
      </c>
      <c r="N5971">
        <v>0</v>
      </c>
      <c r="O5971">
        <v>0.99869330000000001</v>
      </c>
      <c r="P5971">
        <v>-2.5094149999999999E-2</v>
      </c>
      <c r="Q5971">
        <v>9.2699299999999991E-3</v>
      </c>
      <c r="R5971">
        <v>0.99964209999999998</v>
      </c>
      <c r="S5971">
        <v>0.16410829999999901</v>
      </c>
      <c r="T5971">
        <v>-0.26237890000000003</v>
      </c>
      <c r="U5971">
        <v>3.0081180000000001</v>
      </c>
      <c r="V5971">
        <v>-7.441333E-2</v>
      </c>
      <c r="W5971">
        <v>2.2383549999999999E-2</v>
      </c>
      <c r="X5971">
        <v>0.99697630000000004</v>
      </c>
      <c r="Y5971">
        <v>4.7514109999999997E-3</v>
      </c>
      <c r="Z5971">
        <v>-8.6669839999999998E-2</v>
      </c>
      <c r="AA5971">
        <v>0.99622580000000005</v>
      </c>
      <c r="AB5971">
        <v>33</v>
      </c>
      <c r="AC5971">
        <v>3.6499999999989499E-2</v>
      </c>
      <c r="AD5971">
        <v>-8.6387999999999895E-2</v>
      </c>
      <c r="AE5971">
        <v>0.67600300000000002</v>
      </c>
      <c r="AF5971">
        <v>2.9290175698938698E-3</v>
      </c>
      <c r="AG5971">
        <v>-8.6387999999999895E-2</v>
      </c>
      <c r="AH5971">
        <v>0.66613419096115201</v>
      </c>
      <c r="AI5971">
        <v>97.389125321928901</v>
      </c>
      <c r="AJ5971">
        <v>89.748069884985398</v>
      </c>
      <c r="AK5971">
        <v>0.67171885938642095</v>
      </c>
      <c r="AL5971">
        <v>88.717410008415499</v>
      </c>
      <c r="AM5971">
        <v>94.268585606208205</v>
      </c>
      <c r="AN5971">
        <v>1.0000000548769801</v>
      </c>
    </row>
    <row r="5972" spans="1:40" x14ac:dyDescent="0.25">
      <c r="A5972" t="str">
        <f>"20190312151434051"</f>
        <v>20190312151434051</v>
      </c>
      <c r="B5972" t="str">
        <f>"1552374874046321"</f>
        <v>1552374874046321</v>
      </c>
      <c r="C5972" t="s">
        <v>40</v>
      </c>
      <c r="D5972">
        <v>4.9171849999999999</v>
      </c>
      <c r="E5972">
        <v>0.52426790000000001</v>
      </c>
      <c r="F5972" t="s">
        <v>42</v>
      </c>
      <c r="G5972">
        <v>-189.57140000000001</v>
      </c>
      <c r="H5972" s="1">
        <v>-3.9832710000000003E-6</v>
      </c>
      <c r="I5972">
        <v>18.740629999999999</v>
      </c>
      <c r="J5972">
        <v>-190.19049999999999</v>
      </c>
      <c r="K5972">
        <v>1.1068579999999999</v>
      </c>
      <c r="L5972">
        <v>2.8162229999999999</v>
      </c>
      <c r="M5972">
        <v>5.2747540000000002E-2</v>
      </c>
      <c r="N5972">
        <v>0</v>
      </c>
      <c r="O5972">
        <v>0.99852810000000003</v>
      </c>
      <c r="P5972">
        <v>-2.349157E-2</v>
      </c>
      <c r="Q5972">
        <v>9.4555090000000008E-3</v>
      </c>
      <c r="R5972">
        <v>0.99967930000000005</v>
      </c>
      <c r="S5972">
        <v>0.11816409999999999</v>
      </c>
      <c r="T5972">
        <v>-0.20455499999999999</v>
      </c>
      <c r="U5972">
        <v>3.005951</v>
      </c>
      <c r="V5972">
        <v>-7.6036839999999994E-2</v>
      </c>
      <c r="W5972">
        <v>2.257996E-2</v>
      </c>
      <c r="X5972">
        <v>0.99684930000000005</v>
      </c>
      <c r="Y5972">
        <v>-1.3576309999999999E-2</v>
      </c>
      <c r="Z5972">
        <v>-6.7722290000000004E-2</v>
      </c>
      <c r="AA5972">
        <v>0.99761180000000005</v>
      </c>
      <c r="AB5972">
        <v>33</v>
      </c>
      <c r="AC5972">
        <v>0.619099999999974</v>
      </c>
      <c r="AD5972">
        <v>-1.1068619832709901</v>
      </c>
      <c r="AE5972">
        <v>15.924407</v>
      </c>
      <c r="AF5972">
        <v>-0.22073738887413499</v>
      </c>
      <c r="AG5972">
        <v>-1.1068619832709901</v>
      </c>
      <c r="AH5972">
        <v>15.858392983587599</v>
      </c>
      <c r="AI5972">
        <v>93.992190431471499</v>
      </c>
      <c r="AJ5972">
        <v>90.797464413995499</v>
      </c>
      <c r="AK5972">
        <v>15.8985061080202</v>
      </c>
      <c r="AL5972">
        <v>88.706153617656696</v>
      </c>
      <c r="AM5972">
        <v>94.361913293561898</v>
      </c>
      <c r="AN5972">
        <v>0.99999999127063799</v>
      </c>
    </row>
    <row r="5973" spans="1:40" x14ac:dyDescent="0.25">
      <c r="A5973" t="str">
        <f>"20190312151434074"</f>
        <v>20190312151434074</v>
      </c>
      <c r="B5973" t="str">
        <f>"1552374874066817"</f>
        <v>1552374874066817</v>
      </c>
      <c r="C5973" t="s">
        <v>40</v>
      </c>
      <c r="D5973">
        <v>5.0370460000000001</v>
      </c>
      <c r="E5973">
        <v>0.51253490000000002</v>
      </c>
      <c r="F5973" t="s">
        <v>42</v>
      </c>
      <c r="G5973">
        <v>-189.55439999999999</v>
      </c>
      <c r="H5973" s="1">
        <v>-3.9415840000000001E-6</v>
      </c>
      <c r="I5973">
        <v>18.63644</v>
      </c>
      <c r="J5973">
        <v>-190.16929999999999</v>
      </c>
      <c r="K5973">
        <v>1.106873</v>
      </c>
      <c r="L5973">
        <v>3.155243</v>
      </c>
      <c r="M5973">
        <v>5.596135E-2</v>
      </c>
      <c r="N5973">
        <v>0</v>
      </c>
      <c r="O5973">
        <v>0.99835300000000005</v>
      </c>
      <c r="P5973">
        <v>-2.1586609999999999E-2</v>
      </c>
      <c r="Q5973">
        <v>8.9932989999999997E-3</v>
      </c>
      <c r="R5973">
        <v>0.99972649999999996</v>
      </c>
      <c r="S5973">
        <v>0.120864899999999</v>
      </c>
      <c r="T5973">
        <v>-0.21030070000000001</v>
      </c>
      <c r="U5973">
        <v>3.005798</v>
      </c>
      <c r="V5973">
        <v>-7.7350420000000003E-2</v>
      </c>
      <c r="W5973">
        <v>2.212708E-2</v>
      </c>
      <c r="X5973">
        <v>0.99675840000000004</v>
      </c>
      <c r="Y5973">
        <v>-1.590306E-2</v>
      </c>
      <c r="Z5973">
        <v>-6.9598190000000004E-2</v>
      </c>
      <c r="AA5973">
        <v>0.99744829999999995</v>
      </c>
      <c r="AB5973">
        <v>33</v>
      </c>
      <c r="AC5973">
        <v>0.614900000000005</v>
      </c>
      <c r="AD5973">
        <v>-1.1068769415840001</v>
      </c>
      <c r="AE5973">
        <v>15.481197</v>
      </c>
      <c r="AF5973">
        <v>-0.25119946936385801</v>
      </c>
      <c r="AG5973">
        <v>-1.1068769415840001</v>
      </c>
      <c r="AH5973">
        <v>15.412681177069301</v>
      </c>
      <c r="AI5973">
        <v>94.107157290644196</v>
      </c>
      <c r="AJ5973">
        <v>90.933737294749207</v>
      </c>
      <c r="AK5973">
        <v>15.4544174527287</v>
      </c>
      <c r="AL5973">
        <v>88.732108229080794</v>
      </c>
      <c r="AM5973">
        <v>94.437372499467799</v>
      </c>
      <c r="AN5973">
        <v>1.0000000015570301</v>
      </c>
    </row>
    <row r="5974" spans="1:40" x14ac:dyDescent="0.25">
      <c r="A5974" t="str">
        <f>"20190312151434100"</f>
        <v>20190312151434100</v>
      </c>
      <c r="B5974" t="str">
        <f>"1552374874096098"</f>
        <v>1552374874096098</v>
      </c>
      <c r="C5974" t="s">
        <v>40</v>
      </c>
      <c r="D5974">
        <v>4.9208559999999997</v>
      </c>
      <c r="E5974">
        <v>0.51116899999999998</v>
      </c>
      <c r="F5974" t="s">
        <v>42</v>
      </c>
      <c r="G5974">
        <v>-190.0187</v>
      </c>
      <c r="H5974" s="1">
        <v>-3.2067469999999898E-6</v>
      </c>
      <c r="I5974">
        <v>17.052510000000002</v>
      </c>
      <c r="J5974">
        <v>-190.1446</v>
      </c>
      <c r="K5974">
        <v>1.106886</v>
      </c>
      <c r="L5974">
        <v>3.5298159999999998</v>
      </c>
      <c r="M5974">
        <v>5.9516010000000001E-2</v>
      </c>
      <c r="N5974">
        <v>0</v>
      </c>
      <c r="O5974">
        <v>0.99814740000000002</v>
      </c>
      <c r="P5974">
        <v>-1.963881E-2</v>
      </c>
      <c r="Q5974">
        <v>8.5739869999999999E-3</v>
      </c>
      <c r="R5974">
        <v>0.99977039999999995</v>
      </c>
      <c r="S5974">
        <v>3.2547E-2</v>
      </c>
      <c r="T5974">
        <v>-0.2392329</v>
      </c>
      <c r="U5974">
        <v>3.0036619999999998</v>
      </c>
      <c r="V5974">
        <v>-7.8961799999999999E-2</v>
      </c>
      <c r="W5974">
        <v>2.171853E-2</v>
      </c>
      <c r="X5974">
        <v>0.996641</v>
      </c>
      <c r="Y5974">
        <v>-4.8735279999999999E-2</v>
      </c>
      <c r="Z5974">
        <v>-7.913531E-2</v>
      </c>
      <c r="AA5974">
        <v>0.99567190000000005</v>
      </c>
      <c r="AB5974">
        <v>33</v>
      </c>
      <c r="AC5974">
        <v>0.12590000000000101</v>
      </c>
      <c r="AD5974">
        <v>-1.106889206747</v>
      </c>
      <c r="AE5974">
        <v>13.522694</v>
      </c>
      <c r="AF5974">
        <v>-0.67468417488683596</v>
      </c>
      <c r="AG5974">
        <v>-1.106889206747</v>
      </c>
      <c r="AH5974">
        <v>13.4163297656683</v>
      </c>
      <c r="AI5974">
        <v>94.710473803201396</v>
      </c>
      <c r="AJ5974">
        <v>92.878881141257395</v>
      </c>
      <c r="AK5974">
        <v>13.4788095480652</v>
      </c>
      <c r="AL5974">
        <v>88.755522009820496</v>
      </c>
      <c r="AM5974">
        <v>94.529963337205004</v>
      </c>
      <c r="AN5974">
        <v>0.99999997164279997</v>
      </c>
    </row>
    <row r="5975" spans="1:40" x14ac:dyDescent="0.25">
      <c r="A5975" t="str">
        <f>"20190312151434122"</f>
        <v>20190312151434122</v>
      </c>
      <c r="B5975" t="str">
        <f>"1552374874116593"</f>
        <v>1552374874116593</v>
      </c>
      <c r="C5975" t="s">
        <v>40</v>
      </c>
      <c r="D5975">
        <v>4.8945540000000003</v>
      </c>
      <c r="E5975">
        <v>0.51071610000000001</v>
      </c>
      <c r="F5975" t="s">
        <v>42</v>
      </c>
      <c r="G5975">
        <v>-190.01320000000001</v>
      </c>
      <c r="H5975" s="1">
        <v>-3.573064E-6</v>
      </c>
      <c r="I5975">
        <v>17.909829999999999</v>
      </c>
      <c r="J5975">
        <v>-190.12200000000001</v>
      </c>
      <c r="K5975">
        <v>1.1068990000000001</v>
      </c>
      <c r="L5975">
        <v>3.856995</v>
      </c>
      <c r="M5975">
        <v>6.2623579999999998E-2</v>
      </c>
      <c r="N5975">
        <v>0</v>
      </c>
      <c r="O5975">
        <v>0.99795719999999999</v>
      </c>
      <c r="P5975">
        <v>-1.819467E-2</v>
      </c>
      <c r="Q5975">
        <v>8.3195470000000001E-3</v>
      </c>
      <c r="R5975">
        <v>0.99979980000000002</v>
      </c>
      <c r="S5975">
        <v>2.7450559999999999E-2</v>
      </c>
      <c r="T5975">
        <v>-0.23116919999999999</v>
      </c>
      <c r="U5975">
        <v>3.0032040000000002</v>
      </c>
      <c r="V5975">
        <v>-8.0627809999999994E-2</v>
      </c>
      <c r="W5975">
        <v>2.1474440000000001E-2</v>
      </c>
      <c r="X5975">
        <v>0.99651290000000003</v>
      </c>
      <c r="Y5975">
        <v>-5.3530559999999998E-2</v>
      </c>
      <c r="Z5975">
        <v>-7.6464840000000006E-2</v>
      </c>
      <c r="AA5975">
        <v>0.99563429999999997</v>
      </c>
      <c r="AB5975">
        <v>33</v>
      </c>
      <c r="AC5975">
        <v>0.10880000000000201</v>
      </c>
      <c r="AD5975">
        <v>-1.1069025730640001</v>
      </c>
      <c r="AE5975">
        <v>14.052835</v>
      </c>
      <c r="AF5975">
        <v>-0.76676576849338995</v>
      </c>
      <c r="AG5975">
        <v>-1.1069025730640001</v>
      </c>
      <c r="AH5975">
        <v>13.945545135376801</v>
      </c>
      <c r="AI5975">
        <v>94.531419236472502</v>
      </c>
      <c r="AJ5975">
        <v>93.147116243477498</v>
      </c>
      <c r="AK5975">
        <v>14.010402998230299</v>
      </c>
      <c r="AL5975">
        <v>88.769510606972304</v>
      </c>
      <c r="AM5975">
        <v>94.625722305138495</v>
      </c>
      <c r="AN5975">
        <v>0.99999997759255899</v>
      </c>
    </row>
    <row r="5976" spans="1:40" x14ac:dyDescent="0.25">
      <c r="A5976" t="str">
        <f>"20190312151434151"</f>
        <v>20190312151434151</v>
      </c>
      <c r="B5976" t="str">
        <f>"1552374874146850"</f>
        <v>1552374874146850</v>
      </c>
      <c r="C5976" t="s">
        <v>40</v>
      </c>
      <c r="D5976">
        <v>4.8352510000000004</v>
      </c>
      <c r="E5976">
        <v>0.51047010000000004</v>
      </c>
      <c r="F5976" t="s">
        <v>42</v>
      </c>
      <c r="G5976">
        <v>-189.9898</v>
      </c>
      <c r="H5976" s="1">
        <v>-3.5723460000000001E-6</v>
      </c>
      <c r="I5976">
        <v>17.92267</v>
      </c>
      <c r="J5976">
        <v>-190.09010000000001</v>
      </c>
      <c r="K5976">
        <v>1.1069150000000001</v>
      </c>
      <c r="L5976">
        <v>4.2940370000000003</v>
      </c>
      <c r="M5976">
        <v>6.6768519999999998E-2</v>
      </c>
      <c r="N5976">
        <v>0</v>
      </c>
      <c r="O5976">
        <v>0.99768840000000003</v>
      </c>
      <c r="P5976">
        <v>-1.6730930000000001E-2</v>
      </c>
      <c r="Q5976">
        <v>8.8518980000000004E-3</v>
      </c>
      <c r="R5976">
        <v>0.99982079999999995</v>
      </c>
      <c r="S5976">
        <v>2.8228759999999999E-2</v>
      </c>
      <c r="T5976">
        <v>-0.23632839999999999</v>
      </c>
      <c r="U5976">
        <v>3.003082</v>
      </c>
      <c r="V5976">
        <v>-8.3305550000000006E-2</v>
      </c>
      <c r="W5976">
        <v>2.2022679999999999E-2</v>
      </c>
      <c r="X5976">
        <v>0.99628070000000002</v>
      </c>
      <c r="Y5976">
        <v>-5.7420989999999998E-2</v>
      </c>
      <c r="Z5976">
        <v>-7.8123970000000001E-2</v>
      </c>
      <c r="AA5976">
        <v>0.99528859999999997</v>
      </c>
      <c r="AB5976">
        <v>33</v>
      </c>
      <c r="AC5976">
        <v>0.100300000000004</v>
      </c>
      <c r="AD5976">
        <v>-1.10691857234599</v>
      </c>
      <c r="AE5976">
        <v>13.628632999999899</v>
      </c>
      <c r="AF5976">
        <v>-0.80465247178766797</v>
      </c>
      <c r="AG5976">
        <v>-1.10691857234599</v>
      </c>
      <c r="AH5976">
        <v>13.5157585749192</v>
      </c>
      <c r="AI5976">
        <v>94.673743027375494</v>
      </c>
      <c r="AJ5976">
        <v>93.407047956169905</v>
      </c>
      <c r="AK5976">
        <v>13.584861581247701</v>
      </c>
      <c r="AL5976">
        <v>88.738091393670302</v>
      </c>
      <c r="AM5976">
        <v>94.779756237522903</v>
      </c>
      <c r="AN5976">
        <v>1.00000002314383</v>
      </c>
    </row>
    <row r="5977" spans="1:40" x14ac:dyDescent="0.25">
      <c r="A5977" t="str">
        <f>"20190312151434174"</f>
        <v>20190312151434174</v>
      </c>
      <c r="B5977" t="str">
        <f>"1552374874166369"</f>
        <v>1552374874166369</v>
      </c>
      <c r="C5977" t="s">
        <v>40</v>
      </c>
      <c r="D5977">
        <v>4.7621900000000004</v>
      </c>
      <c r="E5977">
        <v>0.51040659999999904</v>
      </c>
      <c r="F5977" t="s">
        <v>42</v>
      </c>
      <c r="G5977">
        <v>-189.9365</v>
      </c>
      <c r="H5977" s="1">
        <v>-4.0874970000000004E-6</v>
      </c>
      <c r="I5977">
        <v>19.13458</v>
      </c>
      <c r="J5977">
        <v>-190.06489999999999</v>
      </c>
      <c r="K5977">
        <v>1.1069279999999999</v>
      </c>
      <c r="L5977">
        <v>4.6236569999999997</v>
      </c>
      <c r="M5977">
        <v>6.9881360000000003E-2</v>
      </c>
      <c r="N5977">
        <v>0</v>
      </c>
      <c r="O5977">
        <v>0.99747520000000001</v>
      </c>
      <c r="P5977">
        <v>-1.546113E-2</v>
      </c>
      <c r="Q5977">
        <v>9.4108400000000002E-3</v>
      </c>
      <c r="R5977">
        <v>0.99983619999999995</v>
      </c>
      <c r="S5977">
        <v>3.1082149999999999E-2</v>
      </c>
      <c r="T5977">
        <v>-0.22398999999999999</v>
      </c>
      <c r="U5977">
        <v>3.0030519999999998</v>
      </c>
      <c r="V5977">
        <v>-8.5145670000000007E-2</v>
      </c>
      <c r="W5977">
        <v>2.259092E-2</v>
      </c>
      <c r="X5977">
        <v>0.99611229999999995</v>
      </c>
      <c r="Y5977">
        <v>-5.9587170000000002E-2</v>
      </c>
      <c r="Z5977">
        <v>-7.4040300000000003E-2</v>
      </c>
      <c r="AA5977">
        <v>0.99547339999999995</v>
      </c>
      <c r="AB5977">
        <v>33</v>
      </c>
      <c r="AC5977">
        <v>0.12839999999999899</v>
      </c>
      <c r="AD5977">
        <v>-1.1069320874969999</v>
      </c>
      <c r="AE5977">
        <v>14.510923</v>
      </c>
      <c r="AF5977">
        <v>-0.88091235570505699</v>
      </c>
      <c r="AG5977">
        <v>-1.1069320874969999</v>
      </c>
      <c r="AH5977">
        <v>14.400624736508099</v>
      </c>
      <c r="AI5977">
        <v>94.387339448643601</v>
      </c>
      <c r="AJ5977">
        <v>93.500524875967201</v>
      </c>
      <c r="AK5977">
        <v>14.469944644900799</v>
      </c>
      <c r="AL5977">
        <v>88.705525409234895</v>
      </c>
      <c r="AM5977">
        <v>94.885651767364905</v>
      </c>
      <c r="AN5977">
        <v>0.99999992449873898</v>
      </c>
    </row>
    <row r="5978" spans="1:40" x14ac:dyDescent="0.25">
      <c r="A5978" t="str">
        <f>"20190312151434196"</f>
        <v>20190312151434196</v>
      </c>
      <c r="B5978" t="str">
        <f>"1552374874186746"</f>
        <v>1552374874186746</v>
      </c>
      <c r="C5978" t="s">
        <v>40</v>
      </c>
      <c r="D5978">
        <v>4.6533470000000001</v>
      </c>
      <c r="E5978">
        <v>0.51028620000000002</v>
      </c>
      <c r="F5978" t="s">
        <v>42</v>
      </c>
      <c r="G5978">
        <v>-189.88499999999999</v>
      </c>
      <c r="H5978" s="1">
        <v>-2.9244069999999999E-7</v>
      </c>
      <c r="I5978">
        <v>20.26689</v>
      </c>
      <c r="J5978">
        <v>-190.03800000000001</v>
      </c>
      <c r="K5978">
        <v>1.1069439999999999</v>
      </c>
      <c r="L5978">
        <v>4.9615169999999997</v>
      </c>
      <c r="M5978">
        <v>7.3050210000000004E-2</v>
      </c>
      <c r="N5978">
        <v>0</v>
      </c>
      <c r="O5978">
        <v>0.99724809999999997</v>
      </c>
      <c r="P5978">
        <v>-1.462894E-2</v>
      </c>
      <c r="Q5978">
        <v>9.9882170000000006E-3</v>
      </c>
      <c r="R5978">
        <v>0.99984309999999998</v>
      </c>
      <c r="S5978">
        <v>3.4545899999999997E-2</v>
      </c>
      <c r="T5978">
        <v>-0.2124963</v>
      </c>
      <c r="U5978">
        <v>3.0030209999999999</v>
      </c>
      <c r="V5978">
        <v>-8.7478340000000002E-2</v>
      </c>
      <c r="W5978">
        <v>2.3178239999999999E-2</v>
      </c>
      <c r="X5978">
        <v>0.99589680000000003</v>
      </c>
      <c r="Y5978">
        <v>-6.1607299999999997E-2</v>
      </c>
      <c r="Z5978">
        <v>-7.0232370000000002E-2</v>
      </c>
      <c r="AA5978">
        <v>0.99562640000000002</v>
      </c>
      <c r="AB5978">
        <v>33</v>
      </c>
      <c r="AC5978">
        <v>0.152999999999991</v>
      </c>
      <c r="AD5978">
        <v>-1.1069442924407</v>
      </c>
      <c r="AE5978">
        <v>15.305372999999999</v>
      </c>
      <c r="AF5978">
        <v>-0.96053513502570798</v>
      </c>
      <c r="AG5978">
        <v>-1.1069442924407</v>
      </c>
      <c r="AH5978">
        <v>15.1961727276523</v>
      </c>
      <c r="AI5978">
        <v>94.158004667272806</v>
      </c>
      <c r="AJ5978">
        <v>93.616798175332306</v>
      </c>
      <c r="AK5978">
        <v>15.266683299945299</v>
      </c>
      <c r="AL5978">
        <v>88.671865818615402</v>
      </c>
      <c r="AM5978">
        <v>95.019906073482801</v>
      </c>
      <c r="AN5978">
        <v>1.0000000635144399</v>
      </c>
    </row>
    <row r="5979" spans="1:40" x14ac:dyDescent="0.25">
      <c r="A5979" t="str">
        <f>"20190312151434218"</f>
        <v>20190312151434218</v>
      </c>
      <c r="B5979" t="str">
        <f>"1552374874216026"</f>
        <v>1552374874216026</v>
      </c>
      <c r="C5979" t="s">
        <v>40</v>
      </c>
      <c r="D5979">
        <v>4.5450150000000002</v>
      </c>
      <c r="E5979">
        <v>0.51009649999999995</v>
      </c>
      <c r="F5979" t="s">
        <v>42</v>
      </c>
      <c r="G5979">
        <v>-189.84129999999999</v>
      </c>
      <c r="H5979" s="1">
        <v>-7.0791500000000002E-7</v>
      </c>
      <c r="I5979">
        <v>21.217300000000002</v>
      </c>
      <c r="J5979">
        <v>-190.01060000000001</v>
      </c>
      <c r="K5979">
        <v>1.1069709999999999</v>
      </c>
      <c r="L5979">
        <v>5.2936709999999998</v>
      </c>
      <c r="M5979">
        <v>7.6118959999999999E-2</v>
      </c>
      <c r="N5979">
        <v>0</v>
      </c>
      <c r="O5979">
        <v>0.99701859999999998</v>
      </c>
      <c r="P5979">
        <v>-1.4309189999999999E-2</v>
      </c>
      <c r="Q5979">
        <v>1.0238789999999999E-2</v>
      </c>
      <c r="R5979">
        <v>0.99984519999999999</v>
      </c>
      <c r="S5979">
        <v>3.6346440000000001E-2</v>
      </c>
      <c r="T5979">
        <v>-0.20449419999999999</v>
      </c>
      <c r="U5979">
        <v>3.0030519999999998</v>
      </c>
      <c r="V5979">
        <v>-9.0225109999999997E-2</v>
      </c>
      <c r="W5979">
        <v>2.3437570000000001E-2</v>
      </c>
      <c r="X5979">
        <v>0.99564560000000002</v>
      </c>
      <c r="Y5979">
        <v>-6.4079869999999997E-2</v>
      </c>
      <c r="Z5979">
        <v>-6.7570459999999999E-2</v>
      </c>
      <c r="AA5979">
        <v>0.99565459999999995</v>
      </c>
      <c r="AB5979">
        <v>33</v>
      </c>
      <c r="AC5979">
        <v>0.16930000000002099</v>
      </c>
      <c r="AD5979">
        <v>-1.1069717079150001</v>
      </c>
      <c r="AE5979">
        <v>15.923629</v>
      </c>
      <c r="AF5979">
        <v>-1.03836069886138</v>
      </c>
      <c r="AG5979">
        <v>-1.1069717079150001</v>
      </c>
      <c r="AH5979">
        <v>15.813896019703</v>
      </c>
      <c r="AI5979">
        <v>93.995593199990907</v>
      </c>
      <c r="AJ5979">
        <v>93.756721660557702</v>
      </c>
      <c r="AK5979">
        <v>15.886563084098601</v>
      </c>
      <c r="AL5979">
        <v>88.657003216276607</v>
      </c>
      <c r="AM5979">
        <v>95.177983762575295</v>
      </c>
      <c r="AN5979">
        <v>1.00000002548068</v>
      </c>
    </row>
    <row r="5980" spans="1:40" x14ac:dyDescent="0.25">
      <c r="A5980" t="str">
        <f>"20190312151434242"</f>
        <v>20190312151434242</v>
      </c>
      <c r="B5980" t="str">
        <f>"1552374874236525"</f>
        <v>1552374874236525</v>
      </c>
      <c r="C5980" t="s">
        <v>40</v>
      </c>
      <c r="D5980">
        <v>4.4675050000000001</v>
      </c>
      <c r="E5980">
        <v>0.51002219999999998</v>
      </c>
      <c r="F5980" t="s">
        <v>42</v>
      </c>
      <c r="G5980">
        <v>-189.8074</v>
      </c>
      <c r="H5980" s="1">
        <v>-1.18264E-6</v>
      </c>
      <c r="I5980">
        <v>22.309889999999999</v>
      </c>
      <c r="J5980">
        <v>-189.98179999999999</v>
      </c>
      <c r="K5980">
        <v>1.1070230000000001</v>
      </c>
      <c r="L5980">
        <v>5.6307070000000001</v>
      </c>
      <c r="M5980">
        <v>7.9154440000000006E-2</v>
      </c>
      <c r="N5980">
        <v>0</v>
      </c>
      <c r="O5980">
        <v>0.99678219999999995</v>
      </c>
      <c r="P5980">
        <v>-1.4078480000000001E-2</v>
      </c>
      <c r="Q5980">
        <v>1.011448E-2</v>
      </c>
      <c r="R5980">
        <v>0.99984969999999995</v>
      </c>
      <c r="S5980">
        <v>3.5858149999999998E-2</v>
      </c>
      <c r="T5980">
        <v>-0.19535640000000001</v>
      </c>
      <c r="U5980">
        <v>3.0029910000000002</v>
      </c>
      <c r="V5980">
        <v>-9.3030860000000007E-2</v>
      </c>
      <c r="W5980">
        <v>2.331505E-2</v>
      </c>
      <c r="X5980">
        <v>0.9953902</v>
      </c>
      <c r="Y5980">
        <v>-6.7277409999999996E-2</v>
      </c>
      <c r="Z5980">
        <v>-6.4535609999999993E-2</v>
      </c>
      <c r="AA5980">
        <v>0.995645</v>
      </c>
      <c r="AB5980">
        <v>33</v>
      </c>
      <c r="AC5980">
        <v>0.17439999999999101</v>
      </c>
      <c r="AD5980">
        <v>-1.10702418263999</v>
      </c>
      <c r="AE5980">
        <v>16.679182999999998</v>
      </c>
      <c r="AF5980">
        <v>-1.1414564108279699</v>
      </c>
      <c r="AG5980">
        <v>-1.10702418263999</v>
      </c>
      <c r="AH5980">
        <v>16.5676713043059</v>
      </c>
      <c r="AI5980">
        <v>93.813712285841405</v>
      </c>
      <c r="AJ5980">
        <v>93.941256882538696</v>
      </c>
      <c r="AK5980">
        <v>16.6438023818564</v>
      </c>
      <c r="AL5980">
        <v>88.664024968217902</v>
      </c>
      <c r="AM5980">
        <v>95.339450132897198</v>
      </c>
      <c r="AN5980">
        <v>0.999999991362441</v>
      </c>
    </row>
    <row r="5981" spans="1:40" x14ac:dyDescent="0.25">
      <c r="A5981" t="str">
        <f>"20190312151434262"</f>
        <v>20190312151434262</v>
      </c>
      <c r="B5981" t="str">
        <f>"1552374874256042"</f>
        <v>1552374874256042</v>
      </c>
      <c r="C5981" t="s">
        <v>40</v>
      </c>
      <c r="D5981">
        <v>4.4192839999999904</v>
      </c>
      <c r="E5981">
        <v>0.51001450000000004</v>
      </c>
      <c r="F5981" t="s">
        <v>42</v>
      </c>
      <c r="G5981">
        <v>-189.77180000000001</v>
      </c>
      <c r="H5981" s="1">
        <v>-1.536945E-6</v>
      </c>
      <c r="I5981">
        <v>23.12105</v>
      </c>
      <c r="J5981">
        <v>-189.95419999999999</v>
      </c>
      <c r="K5981">
        <v>1.1070949999999999</v>
      </c>
      <c r="L5981">
        <v>5.94339</v>
      </c>
      <c r="M5981">
        <v>8.1868079999999996E-2</v>
      </c>
      <c r="N5981">
        <v>0</v>
      </c>
      <c r="O5981">
        <v>0.99656299999999998</v>
      </c>
      <c r="P5981">
        <v>-1.366553E-2</v>
      </c>
      <c r="Q5981">
        <v>9.3636369999999993E-3</v>
      </c>
      <c r="R5981">
        <v>0.99986280000000005</v>
      </c>
      <c r="S5981">
        <v>3.6056520000000002E-2</v>
      </c>
      <c r="T5981">
        <v>-0.19006200000000001</v>
      </c>
      <c r="U5981">
        <v>3.002869</v>
      </c>
      <c r="V5981">
        <v>-9.5339980000000005E-2</v>
      </c>
      <c r="W5981">
        <v>2.255708E-2</v>
      </c>
      <c r="X5981">
        <v>0.9951892</v>
      </c>
      <c r="Y5981">
        <v>-6.9926080000000002E-2</v>
      </c>
      <c r="Z5981">
        <v>-6.2769699999999998E-2</v>
      </c>
      <c r="AA5981">
        <v>0.9955754</v>
      </c>
      <c r="AB5981">
        <v>33</v>
      </c>
      <c r="AC5981">
        <v>0.182399999999972</v>
      </c>
      <c r="AD5981">
        <v>-1.1070965369450001</v>
      </c>
      <c r="AE5981">
        <v>17.177659999999999</v>
      </c>
      <c r="AF5981">
        <v>-1.2195615927646299</v>
      </c>
      <c r="AG5981">
        <v>-1.1070965369450001</v>
      </c>
      <c r="AH5981">
        <v>17.064050058513502</v>
      </c>
      <c r="AI5981">
        <v>93.702665697470593</v>
      </c>
      <c r="AJ5981">
        <v>94.087958145547404</v>
      </c>
      <c r="AK5981">
        <v>17.143360161302098</v>
      </c>
      <c r="AL5981">
        <v>88.7074649404247</v>
      </c>
      <c r="AM5981">
        <v>95.472284472381503</v>
      </c>
      <c r="AN5981">
        <v>1.0000000387205801</v>
      </c>
    </row>
    <row r="5982" spans="1:40" x14ac:dyDescent="0.25">
      <c r="A5982" t="str">
        <f>"20190312151434289"</f>
        <v>20190312151434289</v>
      </c>
      <c r="B5982" t="str">
        <f>"1552374874276540"</f>
        <v>1552374874276540</v>
      </c>
      <c r="C5982" t="s">
        <v>40</v>
      </c>
      <c r="D5982">
        <v>4.3736870000000003</v>
      </c>
      <c r="E5982">
        <v>0.51001920000000001</v>
      </c>
      <c r="F5982" t="s">
        <v>42</v>
      </c>
      <c r="G5982">
        <v>-189.7345</v>
      </c>
      <c r="H5982" s="1">
        <v>-1.822328E-6</v>
      </c>
      <c r="I5982">
        <v>23.770879999999998</v>
      </c>
      <c r="J5982">
        <v>-189.9203</v>
      </c>
      <c r="K5982">
        <v>1.107229</v>
      </c>
      <c r="L5982">
        <v>6.3162229999999999</v>
      </c>
      <c r="M5982">
        <v>8.4925769999999998E-2</v>
      </c>
      <c r="N5982">
        <v>0</v>
      </c>
      <c r="O5982">
        <v>0.99630719999999995</v>
      </c>
      <c r="P5982">
        <v>-1.2567439999999999E-2</v>
      </c>
      <c r="Q5982">
        <v>8.6947350000000003E-3</v>
      </c>
      <c r="R5982">
        <v>0.99988319999999997</v>
      </c>
      <c r="S5982">
        <v>3.7002559999999997E-2</v>
      </c>
      <c r="T5982">
        <v>-0.18646650000000001</v>
      </c>
      <c r="U5982">
        <v>3.0026549999999999</v>
      </c>
      <c r="V5982">
        <v>-9.7312990000000002E-2</v>
      </c>
      <c r="W5982">
        <v>2.186488E-2</v>
      </c>
      <c r="X5982">
        <v>0.99501360000000005</v>
      </c>
      <c r="Y5982">
        <v>-7.2671529999999998E-2</v>
      </c>
      <c r="Z5982">
        <v>-6.1561230000000002E-2</v>
      </c>
      <c r="AA5982">
        <v>0.99545419999999996</v>
      </c>
      <c r="AB5982">
        <v>33</v>
      </c>
      <c r="AC5982">
        <v>0.18579999999999999</v>
      </c>
      <c r="AD5982">
        <v>-1.1072308223280001</v>
      </c>
      <c r="AE5982">
        <v>17.454656999999902</v>
      </c>
      <c r="AF5982">
        <v>-1.2921408902076501</v>
      </c>
      <c r="AG5982">
        <v>-1.1072308223280001</v>
      </c>
      <c r="AH5982">
        <v>17.337610658292501</v>
      </c>
      <c r="AI5982">
        <v>93.644035738392702</v>
      </c>
      <c r="AJ5982">
        <v>94.262271361056605</v>
      </c>
      <c r="AK5982">
        <v>17.420916494622102</v>
      </c>
      <c r="AL5982">
        <v>88.747134788005198</v>
      </c>
      <c r="AM5982">
        <v>95.585801096384799</v>
      </c>
      <c r="AN5982">
        <v>0.99999997759255699</v>
      </c>
    </row>
    <row r="5983" spans="1:40" x14ac:dyDescent="0.25">
      <c r="A5983" t="str">
        <f>"20190312151434332"</f>
        <v>20190312151434332</v>
      </c>
      <c r="B5983" t="str">
        <f>"1552374874326314"</f>
        <v>1552374874326314</v>
      </c>
      <c r="C5983" t="s">
        <v>40</v>
      </c>
      <c r="D5983">
        <v>4.2957510000000001</v>
      </c>
      <c r="E5983">
        <v>0.51087550000000004</v>
      </c>
      <c r="F5983" t="s">
        <v>42</v>
      </c>
      <c r="G5983">
        <v>-189.67789999999999</v>
      </c>
      <c r="H5983" s="1">
        <v>-2.054332E-6</v>
      </c>
      <c r="I5983">
        <v>24.2883</v>
      </c>
      <c r="J5983">
        <v>-189.86060000000001</v>
      </c>
      <c r="K5983">
        <v>1.1074850000000001</v>
      </c>
      <c r="L5983">
        <v>6.9509889999999999</v>
      </c>
      <c r="M5983">
        <v>8.9640570000000003E-2</v>
      </c>
      <c r="N5983">
        <v>0</v>
      </c>
      <c r="O5983">
        <v>0.9958941</v>
      </c>
      <c r="P5983">
        <v>-1.061782E-2</v>
      </c>
      <c r="Q5983">
        <v>9.5058710000000008E-3</v>
      </c>
      <c r="R5983">
        <v>0.99989839999999997</v>
      </c>
      <c r="S5983">
        <v>4.0496829999999998E-2</v>
      </c>
      <c r="T5983">
        <v>-0.18497749999999999</v>
      </c>
      <c r="U5983">
        <v>3.002472</v>
      </c>
      <c r="V5983">
        <v>-0.10009079999999999</v>
      </c>
      <c r="W5983">
        <v>2.2618099999999999E-2</v>
      </c>
      <c r="X5983">
        <v>0.99472119999999997</v>
      </c>
      <c r="Y5983">
        <v>-7.6232259999999996E-2</v>
      </c>
      <c r="Z5983">
        <v>-6.1028550000000001E-2</v>
      </c>
      <c r="AA5983">
        <v>0.99522069999999996</v>
      </c>
      <c r="AB5983">
        <v>33</v>
      </c>
      <c r="AC5983">
        <v>0.18270000000001099</v>
      </c>
      <c r="AD5983">
        <v>-1.1074870543319999</v>
      </c>
      <c r="AE5983">
        <v>17.337311</v>
      </c>
      <c r="AF5983">
        <v>-1.3667097932144801</v>
      </c>
      <c r="AG5983">
        <v>-1.1074870543319999</v>
      </c>
      <c r="AH5983">
        <v>17.2136490268649</v>
      </c>
      <c r="AI5983">
        <v>93.669689831176399</v>
      </c>
      <c r="AJ5983">
        <v>94.539582370196101</v>
      </c>
      <c r="AK5983">
        <v>17.303298415460201</v>
      </c>
      <c r="AL5983">
        <v>88.703967817735204</v>
      </c>
      <c r="AM5983">
        <v>95.745873997541906</v>
      </c>
      <c r="AN5983">
        <v>1.0000000062108401</v>
      </c>
    </row>
    <row r="5984" spans="1:40" x14ac:dyDescent="0.25">
      <c r="A5984" t="str">
        <f>"20190312151434352"</f>
        <v>20190312151434352</v>
      </c>
      <c r="B5984" t="str">
        <f>"1552374874346810"</f>
        <v>1552374874346810</v>
      </c>
      <c r="C5984" t="s">
        <v>40</v>
      </c>
      <c r="D5984">
        <v>4.25793</v>
      </c>
      <c r="E5984">
        <v>0.5099688</v>
      </c>
      <c r="F5984" t="s">
        <v>42</v>
      </c>
      <c r="G5984">
        <v>-189.29390000000001</v>
      </c>
      <c r="H5984" s="1">
        <v>-3.9701240000000001E-6</v>
      </c>
      <c r="I5984">
        <v>38.595269999999999</v>
      </c>
      <c r="J5984">
        <v>-189.83070000000001</v>
      </c>
      <c r="K5984">
        <v>1.107615</v>
      </c>
      <c r="L5984">
        <v>7.2596129999999999</v>
      </c>
      <c r="M5984">
        <v>9.1710130000000001E-2</v>
      </c>
      <c r="N5984">
        <v>0</v>
      </c>
      <c r="O5984">
        <v>0.99570570000000003</v>
      </c>
      <c r="P5984">
        <v>-9.772813E-3</v>
      </c>
      <c r="Q5984">
        <v>9.8037330000000002E-3</v>
      </c>
      <c r="R5984">
        <v>0.99990420000000002</v>
      </c>
      <c r="S5984">
        <v>5.3756709999999999E-2</v>
      </c>
      <c r="T5984">
        <v>-0.1050594</v>
      </c>
      <c r="U5984">
        <v>3.001862</v>
      </c>
      <c r="V5984">
        <v>-0.10132330000000001</v>
      </c>
      <c r="W5984">
        <v>2.2886489999999999E-2</v>
      </c>
      <c r="X5984">
        <v>0.99459030000000004</v>
      </c>
      <c r="Y5984">
        <v>-7.3884030000000003E-2</v>
      </c>
      <c r="Z5984">
        <v>-3.4705069999999998E-2</v>
      </c>
      <c r="AA5984">
        <v>0.99666279999999996</v>
      </c>
      <c r="AB5984">
        <v>33</v>
      </c>
      <c r="AC5984">
        <v>0.53679999999999894</v>
      </c>
      <c r="AD5984">
        <v>-1.107618970124</v>
      </c>
      <c r="AE5984">
        <v>31.335657000000001</v>
      </c>
      <c r="AF5984">
        <v>-2.3365703692312301</v>
      </c>
      <c r="AG5984">
        <v>-1.107618970124</v>
      </c>
      <c r="AH5984">
        <v>31.213826144769001</v>
      </c>
      <c r="AI5984">
        <v>92.026615873126801</v>
      </c>
      <c r="AJ5984">
        <v>94.281000272482402</v>
      </c>
      <c r="AK5984">
        <v>31.320749088570899</v>
      </c>
      <c r="AL5984">
        <v>88.688586257790803</v>
      </c>
      <c r="AM5984">
        <v>95.816905742689599</v>
      </c>
      <c r="AN5984">
        <v>1.00000003370074</v>
      </c>
    </row>
    <row r="5985" spans="1:40" x14ac:dyDescent="0.25">
      <c r="A5985" t="str">
        <f>"20190312151434375"</f>
        <v>20190312151434375</v>
      </c>
      <c r="B5985" t="str">
        <f>"1552374874366330"</f>
        <v>1552374874366330</v>
      </c>
      <c r="C5985" t="s">
        <v>40</v>
      </c>
      <c r="D5985">
        <v>4.2250040000000002</v>
      </c>
      <c r="E5985">
        <v>0.50986790000000004</v>
      </c>
      <c r="F5985" t="s">
        <v>42</v>
      </c>
      <c r="G5985">
        <v>-189.3092</v>
      </c>
      <c r="H5985" s="1">
        <v>-4.2313749999999998E-6</v>
      </c>
      <c r="I5985">
        <v>39.210560000000001</v>
      </c>
      <c r="J5985">
        <v>-189.79810000000001</v>
      </c>
      <c r="K5985">
        <v>1.1077539999999999</v>
      </c>
      <c r="L5985">
        <v>7.5900270000000001</v>
      </c>
      <c r="M5985">
        <v>9.3751440000000005E-2</v>
      </c>
      <c r="N5985">
        <v>0</v>
      </c>
      <c r="O5985">
        <v>0.99551559999999994</v>
      </c>
      <c r="P5985">
        <v>-9.0619210000000006E-3</v>
      </c>
      <c r="Q5985">
        <v>1.0721659999999999E-2</v>
      </c>
      <c r="R5985">
        <v>0.9999015</v>
      </c>
      <c r="S5985">
        <v>4.899597E-2</v>
      </c>
      <c r="T5985">
        <v>-0.1040611</v>
      </c>
      <c r="U5985">
        <v>3.0018009999999999</v>
      </c>
      <c r="V5985">
        <v>-0.1026575</v>
      </c>
      <c r="W5985">
        <v>2.3771250000000001E-2</v>
      </c>
      <c r="X5985">
        <v>0.99443269999999995</v>
      </c>
      <c r="Y5985">
        <v>-7.7507880000000001E-2</v>
      </c>
      <c r="Z5985">
        <v>-3.4362219999999999E-2</v>
      </c>
      <c r="AA5985">
        <v>0.99639940000000005</v>
      </c>
      <c r="AB5985">
        <v>33</v>
      </c>
      <c r="AC5985">
        <v>0.488900000000001</v>
      </c>
      <c r="AD5985">
        <v>-1.1077582313750001</v>
      </c>
      <c r="AE5985">
        <v>31.620533000000002</v>
      </c>
      <c r="AF5985">
        <v>-2.47492362046893</v>
      </c>
      <c r="AG5985">
        <v>-1.1077582313750001</v>
      </c>
      <c r="AH5985">
        <v>31.488444493221799</v>
      </c>
      <c r="AI5985">
        <v>92.008635412903999</v>
      </c>
      <c r="AJ5985">
        <v>94.494085271595495</v>
      </c>
      <c r="AK5985">
        <v>31.604976061200301</v>
      </c>
      <c r="AL5985">
        <v>88.637879417997993</v>
      </c>
      <c r="AM5985">
        <v>95.893893096902602</v>
      </c>
      <c r="AN5985">
        <v>1.0000000147310499</v>
      </c>
    </row>
    <row r="5986" spans="1:40" x14ac:dyDescent="0.25">
      <c r="A5986" t="str">
        <f>"20190312151434397"</f>
        <v>20190312151434397</v>
      </c>
      <c r="B5986" t="str">
        <f>"1552374874386826"</f>
        <v>1552374874386826</v>
      </c>
      <c r="C5986" t="s">
        <v>40</v>
      </c>
      <c r="D5986">
        <v>4.1916209999999996</v>
      </c>
      <c r="E5986">
        <v>0.50943579999999999</v>
      </c>
      <c r="F5986" t="s">
        <v>42</v>
      </c>
      <c r="G5986">
        <v>-189.25409999999999</v>
      </c>
      <c r="H5986" s="1">
        <v>-3.687549E-7</v>
      </c>
      <c r="I5986">
        <v>40.148470000000003</v>
      </c>
      <c r="J5986">
        <v>-189.7646</v>
      </c>
      <c r="K5986">
        <v>1.1079270000000001</v>
      </c>
      <c r="L5986">
        <v>7.9249270000000003</v>
      </c>
      <c r="M5986">
        <v>9.5587539999999999E-2</v>
      </c>
      <c r="N5986">
        <v>0</v>
      </c>
      <c r="O5986">
        <v>0.99534109999999998</v>
      </c>
      <c r="P5986">
        <v>-7.9464700000000006E-3</v>
      </c>
      <c r="Q5986">
        <v>1.151485E-2</v>
      </c>
      <c r="R5986">
        <v>0.99990210000000002</v>
      </c>
      <c r="S5986">
        <v>5.0155640000000001E-2</v>
      </c>
      <c r="T5986">
        <v>-0.102133</v>
      </c>
      <c r="U5986">
        <v>3.0018310000000001</v>
      </c>
      <c r="V5986">
        <v>-0.1033878</v>
      </c>
      <c r="W5986">
        <v>2.4521580000000001E-2</v>
      </c>
      <c r="X5986">
        <v>0.99433879999999997</v>
      </c>
      <c r="Y5986">
        <v>-7.8961740000000002E-2</v>
      </c>
      <c r="Z5986">
        <v>-3.371499E-2</v>
      </c>
      <c r="AA5986">
        <v>0.99630739999999995</v>
      </c>
      <c r="AB5986">
        <v>33</v>
      </c>
      <c r="AC5986">
        <v>0.51050000000000695</v>
      </c>
      <c r="AD5986">
        <v>-1.1079273687549001</v>
      </c>
      <c r="AE5986">
        <v>32.223542999999999</v>
      </c>
      <c r="AF5986">
        <v>-2.56921576617464</v>
      </c>
      <c r="AG5986">
        <v>-1.1079273687549001</v>
      </c>
      <c r="AH5986">
        <v>32.086847824813503</v>
      </c>
      <c r="AI5986">
        <v>91.971277225678307</v>
      </c>
      <c r="AJ5986">
        <v>94.577945224079699</v>
      </c>
      <c r="AK5986">
        <v>32.208604068483602</v>
      </c>
      <c r="AL5986">
        <v>88.594876112296603</v>
      </c>
      <c r="AM5986">
        <v>95.936080162858303</v>
      </c>
      <c r="AN5986">
        <v>0.99999999712998799</v>
      </c>
    </row>
    <row r="5987" spans="1:40" x14ac:dyDescent="0.25">
      <c r="A5987" t="str">
        <f>"20190312151434420"</f>
        <v>20190312151434420</v>
      </c>
      <c r="B5987" t="str">
        <f>"1552374874416108"</f>
        <v>1552374874416108</v>
      </c>
      <c r="C5987" t="s">
        <v>40</v>
      </c>
      <c r="D5987">
        <v>4.1513640000000001</v>
      </c>
      <c r="E5987">
        <v>0.50167299999999904</v>
      </c>
      <c r="F5987" t="s">
        <v>42</v>
      </c>
      <c r="G5987">
        <v>-189.20580000000001</v>
      </c>
      <c r="H5987" s="1">
        <v>-8.8342959999999904E-7</v>
      </c>
      <c r="I5987">
        <v>41.363700000000001</v>
      </c>
      <c r="J5987">
        <v>-189.73089999999999</v>
      </c>
      <c r="K5987">
        <v>1.108131</v>
      </c>
      <c r="L5987">
        <v>8.2569890000000008</v>
      </c>
      <c r="M5987">
        <v>9.7150539999999994E-2</v>
      </c>
      <c r="N5987">
        <v>0</v>
      </c>
      <c r="O5987">
        <v>0.99518980000000001</v>
      </c>
      <c r="P5987">
        <v>-7.4017730000000004E-3</v>
      </c>
      <c r="Q5987">
        <v>1.262838E-2</v>
      </c>
      <c r="R5987">
        <v>0.99989289999999997</v>
      </c>
      <c r="S5987">
        <v>5.0155640000000001E-2</v>
      </c>
      <c r="T5987">
        <v>-9.9459770000000003E-2</v>
      </c>
      <c r="U5987">
        <v>3.0018310000000001</v>
      </c>
      <c r="V5987">
        <v>-0.1044134</v>
      </c>
      <c r="W5987">
        <v>2.5582210000000001E-2</v>
      </c>
      <c r="X5987">
        <v>0.99420489999999995</v>
      </c>
      <c r="Y5987">
        <v>-8.0526689999999998E-2</v>
      </c>
      <c r="Z5987">
        <v>-3.2823919999999999E-2</v>
      </c>
      <c r="AA5987">
        <v>0.99621179999999998</v>
      </c>
      <c r="AB5987">
        <v>33</v>
      </c>
      <c r="AC5987">
        <v>0.52509999999998003</v>
      </c>
      <c r="AD5987">
        <v>-1.1081318834295999</v>
      </c>
      <c r="AE5987">
        <v>33.106710999999997</v>
      </c>
      <c r="AF5987">
        <v>-2.6909608736556998</v>
      </c>
      <c r="AG5987">
        <v>-1.1081318834295999</v>
      </c>
      <c r="AH5987">
        <v>32.964177227489103</v>
      </c>
      <c r="AI5987">
        <v>91.918965467545405</v>
      </c>
      <c r="AJ5987">
        <v>94.666871546550993</v>
      </c>
      <c r="AK5987">
        <v>33.092388958489103</v>
      </c>
      <c r="AL5987">
        <v>88.534087405658397</v>
      </c>
      <c r="AM5987">
        <v>95.995340448431307</v>
      </c>
      <c r="AN5987">
        <v>0.99999999537602602</v>
      </c>
    </row>
    <row r="5988" spans="1:40" x14ac:dyDescent="0.25">
      <c r="A5988" t="str">
        <f>"20190312151434443"</f>
        <v>20190312151434443</v>
      </c>
      <c r="B5988" t="str">
        <f>"1552374874436603"</f>
        <v>1552374874436603</v>
      </c>
      <c r="C5988" t="s">
        <v>40</v>
      </c>
      <c r="D5988">
        <v>4.1720230000000003</v>
      </c>
      <c r="E5988">
        <v>0.50104059999999995</v>
      </c>
      <c r="F5988" t="s">
        <v>42</v>
      </c>
      <c r="G5988">
        <v>-189.852</v>
      </c>
      <c r="H5988" s="1">
        <v>-1.8345439999999999E-6</v>
      </c>
      <c r="I5988">
        <v>43.847929999999998</v>
      </c>
      <c r="J5988">
        <v>-189.69710000000001</v>
      </c>
      <c r="K5988">
        <v>1.108355</v>
      </c>
      <c r="L5988">
        <v>8.5887449999999994</v>
      </c>
      <c r="M5988">
        <v>9.8453659999999998E-2</v>
      </c>
      <c r="N5988">
        <v>0</v>
      </c>
      <c r="O5988">
        <v>0.9950618</v>
      </c>
      <c r="P5988">
        <v>-7.1124020000000003E-3</v>
      </c>
      <c r="Q5988">
        <v>1.3854750000000001E-2</v>
      </c>
      <c r="R5988">
        <v>0.99987870000000001</v>
      </c>
      <c r="S5988">
        <v>-1.0208129999999999E-2</v>
      </c>
      <c r="T5988">
        <v>-9.3450430000000001E-2</v>
      </c>
      <c r="U5988">
        <v>3.0014340000000002</v>
      </c>
      <c r="V5988">
        <v>-0.1054365</v>
      </c>
      <c r="W5988">
        <v>2.674816E-2</v>
      </c>
      <c r="X5988">
        <v>0.99406620000000001</v>
      </c>
      <c r="Y5988">
        <v>-0.1018437</v>
      </c>
      <c r="Z5988">
        <v>-3.081238E-2</v>
      </c>
      <c r="AA5988">
        <v>0.99432310000000002</v>
      </c>
      <c r="AB5988">
        <v>33</v>
      </c>
      <c r="AC5988">
        <v>-0.15489999999999701</v>
      </c>
      <c r="AD5988">
        <v>-1.108356834544</v>
      </c>
      <c r="AE5988">
        <v>35.259184999999903</v>
      </c>
      <c r="AF5988">
        <v>-3.6222397716392898</v>
      </c>
      <c r="AG5988">
        <v>-1.108356834544</v>
      </c>
      <c r="AH5988">
        <v>35.037982632106498</v>
      </c>
      <c r="AI5988">
        <v>91.802235043812004</v>
      </c>
      <c r="AJ5988">
        <v>95.902291827425003</v>
      </c>
      <c r="AK5988">
        <v>35.242152357137897</v>
      </c>
      <c r="AL5988">
        <v>88.467260461210103</v>
      </c>
      <c r="AM5988">
        <v>96.054490349103006</v>
      </c>
      <c r="AN5988">
        <v>0.99999996478903697</v>
      </c>
    </row>
    <row r="5989" spans="1:40" x14ac:dyDescent="0.25">
      <c r="A5989" t="str">
        <f>"20190312151434464"</f>
        <v>20190312151434464</v>
      </c>
      <c r="B5989" t="str">
        <f>"1552374874456122"</f>
        <v>1552374874456122</v>
      </c>
      <c r="C5989" t="s">
        <v>40</v>
      </c>
      <c r="D5989">
        <v>4.1366940000000003</v>
      </c>
      <c r="E5989">
        <v>0.50041289999999905</v>
      </c>
      <c r="F5989" t="s">
        <v>42</v>
      </c>
      <c r="G5989">
        <v>-189.8579</v>
      </c>
      <c r="H5989" s="1">
        <v>-9.3651339999999996E-7</v>
      </c>
      <c r="I5989">
        <v>41.757069999999999</v>
      </c>
      <c r="J5989">
        <v>-189.66409999999999</v>
      </c>
      <c r="K5989">
        <v>1.108595</v>
      </c>
      <c r="L5989">
        <v>8.910736</v>
      </c>
      <c r="M5989">
        <v>9.9460370000000006E-2</v>
      </c>
      <c r="N5989">
        <v>0</v>
      </c>
      <c r="O5989">
        <v>0.99496169999999995</v>
      </c>
      <c r="P5989">
        <v>-7.5286809999999997E-3</v>
      </c>
      <c r="Q5989">
        <v>1.4906279999999999E-2</v>
      </c>
      <c r="R5989">
        <v>0.99986050000000004</v>
      </c>
      <c r="S5989">
        <v>-1.4556879999999999E-2</v>
      </c>
      <c r="T5989">
        <v>-0.1003034</v>
      </c>
      <c r="U5989">
        <v>3.0016479999999999</v>
      </c>
      <c r="V5989">
        <v>-0.1068664</v>
      </c>
      <c r="W5989">
        <v>2.7737700000000001E-2</v>
      </c>
      <c r="X5989">
        <v>0.99388639999999995</v>
      </c>
      <c r="Y5989">
        <v>-0.1042898</v>
      </c>
      <c r="Z5989">
        <v>-3.305781E-2</v>
      </c>
      <c r="AA5989">
        <v>0.99399740000000003</v>
      </c>
      <c r="AB5989">
        <v>33</v>
      </c>
      <c r="AC5989">
        <v>-0.19380000000000999</v>
      </c>
      <c r="AD5989">
        <v>-1.1085959365133999</v>
      </c>
      <c r="AE5989">
        <v>32.846333999999999</v>
      </c>
      <c r="AF5989">
        <v>-3.4560701614720002</v>
      </c>
      <c r="AG5989">
        <v>-1.1085959365133999</v>
      </c>
      <c r="AH5989">
        <v>32.626998302290403</v>
      </c>
      <c r="AI5989">
        <v>91.935221476736899</v>
      </c>
      <c r="AJ5989">
        <v>96.046604706532506</v>
      </c>
      <c r="AK5989">
        <v>32.828256489328403</v>
      </c>
      <c r="AL5989">
        <v>88.410542983007801</v>
      </c>
      <c r="AM5989">
        <v>96.137078975961799</v>
      </c>
      <c r="AN5989">
        <v>0.99999999177760401</v>
      </c>
    </row>
    <row r="5990" spans="1:40" x14ac:dyDescent="0.25">
      <c r="A5990" t="str">
        <f>"20190312151434490"</f>
        <v>20190312151434490</v>
      </c>
      <c r="B5990" t="str">
        <f>"1552374874486378"</f>
        <v>1552374874486378</v>
      </c>
      <c r="C5990" t="s">
        <v>40</v>
      </c>
      <c r="D5990">
        <v>4.131278</v>
      </c>
      <c r="E5990">
        <v>0.49951570000000001</v>
      </c>
      <c r="F5990" t="s">
        <v>42</v>
      </c>
      <c r="G5990">
        <v>-189.87970000000001</v>
      </c>
      <c r="H5990" s="1">
        <v>-2.3968619999999998E-7</v>
      </c>
      <c r="I5990">
        <v>40.141730000000003</v>
      </c>
      <c r="J5990">
        <v>-189.6267</v>
      </c>
      <c r="K5990">
        <v>1.108868</v>
      </c>
      <c r="L5990">
        <v>9.2745060000000006</v>
      </c>
      <c r="M5990">
        <v>0.10024520000000001</v>
      </c>
      <c r="N5990">
        <v>0</v>
      </c>
      <c r="O5990">
        <v>0.99488310000000002</v>
      </c>
      <c r="P5990">
        <v>-7.9597049999999992E-3</v>
      </c>
      <c r="Q5990">
        <v>1.5954329999999999E-2</v>
      </c>
      <c r="R5990">
        <v>0.99984099999999998</v>
      </c>
      <c r="S5990">
        <v>-2.0721440000000001E-2</v>
      </c>
      <c r="T5990">
        <v>-0.1065559</v>
      </c>
      <c r="U5990">
        <v>3.001862</v>
      </c>
      <c r="V5990">
        <v>-0.1080932</v>
      </c>
      <c r="W5990">
        <v>2.87134E-2</v>
      </c>
      <c r="X5990">
        <v>0.993726</v>
      </c>
      <c r="Y5990">
        <v>-0.1071143</v>
      </c>
      <c r="Z5990">
        <v>-3.5103750000000003E-2</v>
      </c>
      <c r="AA5990">
        <v>0.99362680000000003</v>
      </c>
      <c r="AB5990">
        <v>33</v>
      </c>
      <c r="AC5990">
        <v>-0.25300000000001399</v>
      </c>
      <c r="AD5990">
        <v>-1.1088682396862</v>
      </c>
      <c r="AE5990">
        <v>30.867224</v>
      </c>
      <c r="AF5990">
        <v>-3.3419491356713702</v>
      </c>
      <c r="AG5990">
        <v>-1.1088682396862</v>
      </c>
      <c r="AH5990">
        <v>30.646802065220299</v>
      </c>
      <c r="AI5990">
        <v>92.059981383717101</v>
      </c>
      <c r="AJ5990">
        <v>96.223356342530195</v>
      </c>
      <c r="AK5990">
        <v>30.848414701945298</v>
      </c>
      <c r="AL5990">
        <v>88.354617188803104</v>
      </c>
      <c r="AM5990">
        <v>96.207978359825503</v>
      </c>
      <c r="AN5990">
        <v>0.99999998115089905</v>
      </c>
    </row>
    <row r="5991" spans="1:40" x14ac:dyDescent="0.25">
      <c r="A5991" t="str">
        <f>"20190312151434511"</f>
        <v>20190312151434511</v>
      </c>
      <c r="B5991" t="str">
        <f>"1552374874506367"</f>
        <v>1552374874506367</v>
      </c>
      <c r="C5991" t="s">
        <v>40</v>
      </c>
      <c r="D5991">
        <v>4.0633650000000001</v>
      </c>
      <c r="E5991">
        <v>0.50454679999999996</v>
      </c>
      <c r="F5991" t="s">
        <v>42</v>
      </c>
      <c r="G5991">
        <v>-189.90799999999999</v>
      </c>
      <c r="H5991" s="1">
        <v>-3.6613739999999999E-6</v>
      </c>
      <c r="I5991">
        <v>38.1295</v>
      </c>
      <c r="J5991">
        <v>-189.595</v>
      </c>
      <c r="K5991">
        <v>1.109089</v>
      </c>
      <c r="L5991">
        <v>9.5845029999999998</v>
      </c>
      <c r="M5991">
        <v>0.1006606</v>
      </c>
      <c r="N5991">
        <v>0</v>
      </c>
      <c r="O5991">
        <v>0.99484119999999998</v>
      </c>
      <c r="P5991">
        <v>-7.8249489999999994E-3</v>
      </c>
      <c r="Q5991">
        <v>1.6677730000000002E-2</v>
      </c>
      <c r="R5991">
        <v>0.99983029999999995</v>
      </c>
      <c r="S5991">
        <v>-2.9266360000000002E-2</v>
      </c>
      <c r="T5991">
        <v>-0.1153671</v>
      </c>
      <c r="U5991">
        <v>3.002075</v>
      </c>
      <c r="V5991">
        <v>-0.1083872</v>
      </c>
      <c r="W5991">
        <v>2.93764E-2</v>
      </c>
      <c r="X5991">
        <v>0.99367459999999996</v>
      </c>
      <c r="Y5991">
        <v>-0.1103553</v>
      </c>
      <c r="Z5991">
        <v>-3.7989990000000001E-2</v>
      </c>
      <c r="AA5991">
        <v>0.99316590000000005</v>
      </c>
      <c r="AB5991">
        <v>33</v>
      </c>
      <c r="AC5991">
        <v>-0.31299999999998801</v>
      </c>
      <c r="AD5991">
        <v>-1.109092661374</v>
      </c>
      <c r="AE5991">
        <v>28.544996999999999</v>
      </c>
      <c r="AF5991">
        <v>-3.18019373500278</v>
      </c>
      <c r="AG5991">
        <v>-1.109092661374</v>
      </c>
      <c r="AH5991">
        <v>28.325722878821601</v>
      </c>
      <c r="AI5991">
        <v>92.228283168791506</v>
      </c>
      <c r="AJ5991">
        <v>96.405902565760201</v>
      </c>
      <c r="AK5991">
        <v>28.5252571475081</v>
      </c>
      <c r="AL5991">
        <v>88.316614057723001</v>
      </c>
      <c r="AM5991">
        <v>96.225050373311504</v>
      </c>
      <c r="AN5991">
        <v>0.99999998434297899</v>
      </c>
    </row>
    <row r="5992" spans="1:40" x14ac:dyDescent="0.25">
      <c r="A5992" t="str">
        <f>"20190312151434532"</f>
        <v>20190312151434532</v>
      </c>
      <c r="B5992" t="str">
        <f>"1552374874526311"</f>
        <v>1552374874526311</v>
      </c>
      <c r="C5992" t="s">
        <v>40</v>
      </c>
      <c r="D5992">
        <v>4.0632890000000002</v>
      </c>
      <c r="E5992">
        <v>0.50393180000000004</v>
      </c>
      <c r="F5992" t="s">
        <v>42</v>
      </c>
      <c r="G5992">
        <v>-188.602</v>
      </c>
      <c r="H5992" s="1">
        <v>-2.646516E-6</v>
      </c>
      <c r="I5992">
        <v>255.22380000000001</v>
      </c>
      <c r="J5992">
        <v>-189.5634</v>
      </c>
      <c r="K5992">
        <v>1.109283</v>
      </c>
      <c r="L5992">
        <v>9.8928530000000006</v>
      </c>
      <c r="M5992">
        <v>0.10087839999999999</v>
      </c>
      <c r="N5992">
        <v>0</v>
      </c>
      <c r="O5992">
        <v>0.99481909999999896</v>
      </c>
      <c r="P5992">
        <v>-7.2778769999999899E-3</v>
      </c>
      <c r="Q5992">
        <v>1.7482330000000001E-2</v>
      </c>
      <c r="R5992">
        <v>0.99982070000000001</v>
      </c>
      <c r="S5992">
        <v>1.2130739999999999E-2</v>
      </c>
      <c r="T5992">
        <v>-1.354909E-2</v>
      </c>
      <c r="U5992">
        <v>3.0008240000000002</v>
      </c>
      <c r="V5992">
        <v>-0.1080716</v>
      </c>
      <c r="W5992">
        <v>3.0127080000000001E-2</v>
      </c>
      <c r="X5992">
        <v>0.99368650000000003</v>
      </c>
      <c r="Y5992">
        <v>-9.68638E-2</v>
      </c>
      <c r="Z5992">
        <v>-4.4698919999999996E-3</v>
      </c>
      <c r="AA5992">
        <v>0.99528760000000005</v>
      </c>
      <c r="AB5992">
        <v>33</v>
      </c>
      <c r="AC5992">
        <v>0.96139999999999703</v>
      </c>
      <c r="AD5992">
        <v>-1.1092856465159999</v>
      </c>
      <c r="AE5992">
        <v>245.33094700000001</v>
      </c>
      <c r="AF5992">
        <v>-23.7935737081337</v>
      </c>
      <c r="AG5992">
        <v>-1.1092856465159999</v>
      </c>
      <c r="AH5992">
        <v>244.17125699445199</v>
      </c>
      <c r="AI5992">
        <v>90.259069492929399</v>
      </c>
      <c r="AJ5992">
        <v>95.565686497022099</v>
      </c>
      <c r="AK5992">
        <v>245.33032304772399</v>
      </c>
      <c r="AL5992">
        <v>88.273584214600803</v>
      </c>
      <c r="AM5992">
        <v>96.206992316348106</v>
      </c>
      <c r="AN5992">
        <v>0.99999998597906803</v>
      </c>
    </row>
    <row r="5993" spans="1:40" x14ac:dyDescent="0.25">
      <c r="A5993" t="str">
        <f>"20190312151434553"</f>
        <v>20190312151434553</v>
      </c>
      <c r="B5993" t="str">
        <f>"1552374874546807"</f>
        <v>1552374874546807</v>
      </c>
      <c r="C5993" t="s">
        <v>40</v>
      </c>
      <c r="D5993">
        <v>4.0749149999999998</v>
      </c>
      <c r="E5993">
        <v>0.50414380000000003</v>
      </c>
      <c r="F5993" t="s">
        <v>70</v>
      </c>
      <c r="G5993">
        <v>-188.4427</v>
      </c>
      <c r="H5993">
        <v>0.27013019999999999</v>
      </c>
      <c r="I5993">
        <v>391.87</v>
      </c>
      <c r="J5993">
        <v>-189.5307</v>
      </c>
      <c r="K5993">
        <v>1.1094599999999999</v>
      </c>
      <c r="L5993">
        <v>10.21393</v>
      </c>
      <c r="M5993">
        <v>0.1009058</v>
      </c>
      <c r="N5993">
        <v>0</v>
      </c>
      <c r="O5993">
        <v>0.99481640000000005</v>
      </c>
      <c r="P5993">
        <v>-6.3376469999999897E-3</v>
      </c>
      <c r="Q5993">
        <v>1.7891210000000001E-2</v>
      </c>
      <c r="R5993">
        <v>0.99981989999999998</v>
      </c>
      <c r="S5993">
        <v>8.8043210000000004E-3</v>
      </c>
      <c r="T5993">
        <v>-6.5921549999999997E-3</v>
      </c>
      <c r="U5993">
        <v>3.000702</v>
      </c>
      <c r="V5993">
        <v>-0.1071768</v>
      </c>
      <c r="W5993">
        <v>3.0485499999999999E-2</v>
      </c>
      <c r="X5993">
        <v>0.99377249999999995</v>
      </c>
      <c r="Y5993">
        <v>-9.7994250000000005E-2</v>
      </c>
      <c r="Z5993">
        <v>-2.1747530000000002E-3</v>
      </c>
      <c r="AA5993">
        <v>0.99518459999999997</v>
      </c>
      <c r="AB5993">
        <v>33</v>
      </c>
      <c r="AC5993">
        <v>1.0879999999999901</v>
      </c>
      <c r="AD5993">
        <v>-0.83932980000000001</v>
      </c>
      <c r="AE5993">
        <v>381.65607</v>
      </c>
      <c r="AF5993">
        <v>-37.431733577927403</v>
      </c>
      <c r="AG5993">
        <v>-0.83932980000000001</v>
      </c>
      <c r="AH5993">
        <v>379.81573939792202</v>
      </c>
      <c r="AI5993">
        <v>90.126003537180196</v>
      </c>
      <c r="AJ5993">
        <v>95.628458400140204</v>
      </c>
      <c r="AK5993">
        <v>381.656697894263</v>
      </c>
      <c r="AL5993">
        <v>88.253038860234994</v>
      </c>
      <c r="AM5993">
        <v>96.155467886351403</v>
      </c>
      <c r="AN5993">
        <v>1.00000000696237</v>
      </c>
    </row>
    <row r="5994" spans="1:40" x14ac:dyDescent="0.25">
      <c r="A5994" t="str">
        <f>"20190312151434578"</f>
        <v>20190312151434578</v>
      </c>
      <c r="B5994" t="str">
        <f>"1552374874566326"</f>
        <v>1552374874566326</v>
      </c>
      <c r="C5994" t="s">
        <v>40</v>
      </c>
      <c r="D5994">
        <v>4.1118600000000001</v>
      </c>
      <c r="E5994">
        <v>0.50389150000000005</v>
      </c>
      <c r="F5994" t="s">
        <v>70</v>
      </c>
      <c r="G5994">
        <v>-187.84229999999999</v>
      </c>
      <c r="H5994">
        <v>0.39210319999999999</v>
      </c>
      <c r="I5994">
        <v>391.87</v>
      </c>
      <c r="J5994">
        <v>-189.4956</v>
      </c>
      <c r="K5994">
        <v>1.1096619999999999</v>
      </c>
      <c r="L5994">
        <v>10.559839999999999</v>
      </c>
      <c r="M5994">
        <v>0.100705</v>
      </c>
      <c r="N5994">
        <v>0</v>
      </c>
      <c r="O5994">
        <v>0.99483679999999997</v>
      </c>
      <c r="P5994">
        <v>-6.5830699999999999E-3</v>
      </c>
      <c r="Q5994">
        <v>1.775266E-2</v>
      </c>
      <c r="R5994">
        <v>0.99982070000000001</v>
      </c>
      <c r="S5994">
        <v>1.3275149999999999E-2</v>
      </c>
      <c r="T5994">
        <v>-5.6401489999999997E-3</v>
      </c>
      <c r="U5994">
        <v>3.0007320000000002</v>
      </c>
      <c r="V5994">
        <v>-0.1072343</v>
      </c>
      <c r="W5994">
        <v>3.0292949999999999E-2</v>
      </c>
      <c r="X5994">
        <v>0.99377219999999999</v>
      </c>
      <c r="Y5994">
        <v>-9.6310569999999998E-2</v>
      </c>
      <c r="Z5994">
        <v>-1.860876E-3</v>
      </c>
      <c r="AA5994">
        <v>0.99534959999999995</v>
      </c>
      <c r="AB5994">
        <v>33</v>
      </c>
      <c r="AC5994">
        <v>1.6533</v>
      </c>
      <c r="AD5994">
        <v>-0.71755880000000005</v>
      </c>
      <c r="AE5994">
        <v>381.31016</v>
      </c>
      <c r="AF5994">
        <v>-36.757854301138899</v>
      </c>
      <c r="AG5994">
        <v>-0.71755880000000005</v>
      </c>
      <c r="AH5994">
        <v>379.536561995677</v>
      </c>
      <c r="AI5994">
        <v>90.107819842522005</v>
      </c>
      <c r="AJ5994">
        <v>95.531804066654203</v>
      </c>
      <c r="AK5994">
        <v>381.31306905868502</v>
      </c>
      <c r="AL5994">
        <v>88.264076285843799</v>
      </c>
      <c r="AM5994">
        <v>96.158746747345305</v>
      </c>
      <c r="AN5994">
        <v>1.00000002170451</v>
      </c>
    </row>
    <row r="5995" spans="1:40" x14ac:dyDescent="0.25">
      <c r="A5995" t="str">
        <f>"20190312151434599"</f>
        <v>20190312151434599</v>
      </c>
      <c r="B5995" t="str">
        <f>"1552374874596582"</f>
        <v>1552374874596582</v>
      </c>
      <c r="C5995" t="s">
        <v>40</v>
      </c>
      <c r="D5995">
        <v>4.1574179999999998</v>
      </c>
      <c r="E5995">
        <v>0.50391969999999997</v>
      </c>
      <c r="F5995" t="s">
        <v>51</v>
      </c>
      <c r="G5995">
        <v>-188.249</v>
      </c>
      <c r="H5995" s="1">
        <v>-7.6642360000000004E-6</v>
      </c>
      <c r="I5995">
        <v>365.85840000000002</v>
      </c>
      <c r="J5995">
        <v>-189.46379999999999</v>
      </c>
      <c r="K5995">
        <v>1.1098479999999999</v>
      </c>
      <c r="L5995">
        <v>10.87637</v>
      </c>
      <c r="M5995">
        <v>0.10031619999999999</v>
      </c>
      <c r="N5995">
        <v>0</v>
      </c>
      <c r="O5995">
        <v>0.99487610000000004</v>
      </c>
      <c r="P5995">
        <v>-6.9447809999999997E-3</v>
      </c>
      <c r="Q5995">
        <v>1.753859E-2</v>
      </c>
      <c r="R5995">
        <v>0.99982210000000005</v>
      </c>
      <c r="S5995">
        <v>1.0528559999999999E-2</v>
      </c>
      <c r="T5995">
        <v>-9.3719960000000005E-3</v>
      </c>
      <c r="U5995">
        <v>3.0007630000000001</v>
      </c>
      <c r="V5995">
        <v>-0.1072195</v>
      </c>
      <c r="W5995">
        <v>3.002842E-2</v>
      </c>
      <c r="X5995">
        <v>0.99378180000000005</v>
      </c>
      <c r="Y5995">
        <v>-9.6832669999999996E-2</v>
      </c>
      <c r="Z5995">
        <v>-3.092207E-3</v>
      </c>
      <c r="AA5995">
        <v>0.99529590000000001</v>
      </c>
      <c r="AB5995">
        <v>33</v>
      </c>
      <c r="AC5995">
        <v>1.2147999999999599</v>
      </c>
      <c r="AD5995">
        <v>-1.109855664236</v>
      </c>
      <c r="AE5995">
        <v>354.98203000000001</v>
      </c>
      <c r="AF5995">
        <v>-34.4042581397512</v>
      </c>
      <c r="AG5995">
        <v>-1.109855664236</v>
      </c>
      <c r="AH5995">
        <v>353.30949726938297</v>
      </c>
      <c r="AI5995">
        <v>90.179136074761402</v>
      </c>
      <c r="AJ5995">
        <v>95.561762278680902</v>
      </c>
      <c r="AK5995">
        <v>354.98237367295599</v>
      </c>
      <c r="AL5995">
        <v>88.279239593269295</v>
      </c>
      <c r="AM5995">
        <v>96.157844246769798</v>
      </c>
      <c r="AN5995">
        <v>0.99999999659959304</v>
      </c>
    </row>
    <row r="5996" spans="1:40" x14ac:dyDescent="0.25">
      <c r="A5996" t="str">
        <f>"20190312151434620"</f>
        <v>20190312151434620</v>
      </c>
      <c r="B5996" t="str">
        <f>"1552374874616103"</f>
        <v>1552374874616103</v>
      </c>
      <c r="C5996" t="s">
        <v>40</v>
      </c>
      <c r="D5996">
        <v>4.1845540000000003</v>
      </c>
      <c r="E5996">
        <v>0.50227529999999998</v>
      </c>
      <c r="F5996" t="s">
        <v>53</v>
      </c>
      <c r="G5996">
        <v>-188.63409999999999</v>
      </c>
      <c r="H5996" s="1">
        <v>7.5233660000000002E-6</v>
      </c>
      <c r="I5996">
        <v>269.87549999999999</v>
      </c>
      <c r="J5996">
        <v>-189.4325</v>
      </c>
      <c r="K5996">
        <v>1.1100410000000001</v>
      </c>
      <c r="L5996">
        <v>11.190429999999999</v>
      </c>
      <c r="M5996">
        <v>9.9743970000000001E-2</v>
      </c>
      <c r="N5996">
        <v>0</v>
      </c>
      <c r="O5996">
        <v>0.99493370000000003</v>
      </c>
      <c r="P5996">
        <v>-6.9703999999999903E-3</v>
      </c>
      <c r="Q5996">
        <v>1.721582E-2</v>
      </c>
      <c r="R5996">
        <v>0.99982749999999998</v>
      </c>
      <c r="S5996">
        <v>9.6130369999999996E-3</v>
      </c>
      <c r="T5996">
        <v>-1.285887E-2</v>
      </c>
      <c r="U5996">
        <v>3.0008240000000002</v>
      </c>
      <c r="V5996">
        <v>-0.1066875</v>
      </c>
      <c r="W5996">
        <v>2.9654750000000001E-2</v>
      </c>
      <c r="X5996">
        <v>0.99385029999999996</v>
      </c>
      <c r="Y5996">
        <v>-9.6563910000000003E-2</v>
      </c>
      <c r="Z5996">
        <v>-4.2429929999999996E-3</v>
      </c>
      <c r="AA5996">
        <v>0.99531780000000003</v>
      </c>
      <c r="AB5996">
        <v>33</v>
      </c>
      <c r="AC5996">
        <v>0.79840000000001499</v>
      </c>
      <c r="AD5996">
        <v>-1.1100334766339901</v>
      </c>
      <c r="AE5996">
        <v>258.68507</v>
      </c>
      <c r="AF5996">
        <v>-25.009437069457199</v>
      </c>
      <c r="AG5996">
        <v>-1.1100334766339901</v>
      </c>
      <c r="AH5996">
        <v>257.46973930999599</v>
      </c>
      <c r="AI5996">
        <v>90.245861545494506</v>
      </c>
      <c r="AJ5996">
        <v>95.548045439657798</v>
      </c>
      <c r="AK5996">
        <v>258.68392060042697</v>
      </c>
      <c r="AL5996">
        <v>88.3006588912517</v>
      </c>
      <c r="AM5996">
        <v>96.127104243783194</v>
      </c>
      <c r="AN5996">
        <v>1.0000000228319501</v>
      </c>
    </row>
    <row r="5997" spans="1:40" x14ac:dyDescent="0.25">
      <c r="A5997" t="str">
        <f>"20190312151434655"</f>
        <v>20190312151434655</v>
      </c>
      <c r="B5997" t="str">
        <f>"1552374874646359"</f>
        <v>1552374874646359</v>
      </c>
      <c r="C5997" t="s">
        <v>40</v>
      </c>
      <c r="D5997">
        <v>4.1799809999999997</v>
      </c>
      <c r="E5997">
        <v>0.50185249999999904</v>
      </c>
      <c r="F5997" t="s">
        <v>42</v>
      </c>
      <c r="G5997">
        <v>-189.5504</v>
      </c>
      <c r="H5997" s="1">
        <v>-1.4330160000000001E-6</v>
      </c>
      <c r="I5997">
        <v>102.7872</v>
      </c>
      <c r="J5997">
        <v>-189.38419999999999</v>
      </c>
      <c r="K5997">
        <v>1.110341</v>
      </c>
      <c r="L5997">
        <v>11.68533</v>
      </c>
      <c r="M5997">
        <v>9.8472799999999999E-2</v>
      </c>
      <c r="N5997">
        <v>0</v>
      </c>
      <c r="O5997">
        <v>0.99506030000000001</v>
      </c>
      <c r="P5997">
        <v>-8.4135919999999993E-3</v>
      </c>
      <c r="Q5997">
        <v>1.7434599999999901E-2</v>
      </c>
      <c r="R5997">
        <v>0.99981260000000005</v>
      </c>
      <c r="S5997">
        <v>-3.860474E-3</v>
      </c>
      <c r="T5997">
        <v>-3.6370039999999999E-2</v>
      </c>
      <c r="U5997">
        <v>3.0011290000000002</v>
      </c>
      <c r="V5997">
        <v>-0.1068738</v>
      </c>
      <c r="W5997">
        <v>2.9794399999999999E-2</v>
      </c>
      <c r="X5997">
        <v>0.99382610000000005</v>
      </c>
      <c r="Y5997">
        <v>-9.9760470000000004E-2</v>
      </c>
      <c r="Z5997">
        <v>-1.1999309999999999E-2</v>
      </c>
      <c r="AA5997">
        <v>0.99493909999999997</v>
      </c>
      <c r="AB5997">
        <v>33</v>
      </c>
      <c r="AC5997">
        <v>-0.16620000000000301</v>
      </c>
      <c r="AD5997">
        <v>-1.1103424330159899</v>
      </c>
      <c r="AE5997">
        <v>91.101870000000005</v>
      </c>
      <c r="AF5997">
        <v>-9.1358005220600198</v>
      </c>
      <c r="AG5997">
        <v>-1.1103424330159899</v>
      </c>
      <c r="AH5997">
        <v>90.629191309519996</v>
      </c>
      <c r="AI5997">
        <v>90.698384438300195</v>
      </c>
      <c r="AJ5997">
        <v>95.756208920932195</v>
      </c>
      <c r="AK5997">
        <v>91.095257993569604</v>
      </c>
      <c r="AL5997">
        <v>88.292653987381598</v>
      </c>
      <c r="AM5997">
        <v>96.137870244747404</v>
      </c>
      <c r="AN5997">
        <v>1.0000000162195</v>
      </c>
    </row>
    <row r="5998" spans="1:40" x14ac:dyDescent="0.25">
      <c r="A5998" t="str">
        <f>"20190312151434676"</f>
        <v>20190312151434676</v>
      </c>
      <c r="B5998" t="str">
        <f>"1552374874666854"</f>
        <v>1552374874666854</v>
      </c>
      <c r="C5998" t="s">
        <v>40</v>
      </c>
      <c r="D5998">
        <v>4.1963800000000004</v>
      </c>
      <c r="E5998">
        <v>0.50178290000000003</v>
      </c>
      <c r="F5998" t="s">
        <v>42</v>
      </c>
      <c r="G5998">
        <v>-189.72829999999999</v>
      </c>
      <c r="H5998" s="1">
        <v>-9.0411209999999996E-8</v>
      </c>
      <c r="I5998">
        <v>99.701300000000003</v>
      </c>
      <c r="J5998">
        <v>-189.3537</v>
      </c>
      <c r="K5998">
        <v>1.110506</v>
      </c>
      <c r="L5998">
        <v>12.00296</v>
      </c>
      <c r="M5998">
        <v>9.7449919999999995E-2</v>
      </c>
      <c r="N5998">
        <v>0</v>
      </c>
      <c r="O5998">
        <v>0.99516099999999996</v>
      </c>
      <c r="P5998">
        <v>-9.2940550000000007E-3</v>
      </c>
      <c r="Q5998">
        <v>1.7954919999999999E-2</v>
      </c>
      <c r="R5998">
        <v>0.99979560000000001</v>
      </c>
      <c r="S5998">
        <v>-1.173401E-2</v>
      </c>
      <c r="T5998">
        <v>-3.7859919999999998E-2</v>
      </c>
      <c r="U5998">
        <v>3.0011290000000002</v>
      </c>
      <c r="V5998">
        <v>-0.1067396</v>
      </c>
      <c r="W5998">
        <v>3.0270539999999999E-2</v>
      </c>
      <c r="X5998">
        <v>0.99382610000000005</v>
      </c>
      <c r="Y5998">
        <v>-0.1013478</v>
      </c>
      <c r="Z5998">
        <v>-1.249162E-2</v>
      </c>
      <c r="AA5998">
        <v>0.99477260000000001</v>
      </c>
      <c r="AB5998">
        <v>33</v>
      </c>
      <c r="AC5998">
        <v>-0.374599999999986</v>
      </c>
      <c r="AD5998">
        <v>-1.1105060904112001</v>
      </c>
      <c r="AE5998">
        <v>87.698340000000002</v>
      </c>
      <c r="AF5998">
        <v>-8.9182586600249003</v>
      </c>
      <c r="AG5998">
        <v>-1.1105060904112001</v>
      </c>
      <c r="AH5998">
        <v>87.230372989722198</v>
      </c>
      <c r="AI5998">
        <v>90.725595624398196</v>
      </c>
      <c r="AJ5998">
        <v>95.837523036049902</v>
      </c>
      <c r="AK5998">
        <v>87.692112149440305</v>
      </c>
      <c r="AL5998">
        <v>88.265360805178801</v>
      </c>
      <c r="AM5998">
        <v>96.130221723786704</v>
      </c>
      <c r="AN5998">
        <v>0.99999998242063004</v>
      </c>
    </row>
    <row r="5999" spans="1:40" x14ac:dyDescent="0.25">
      <c r="A5999" t="str">
        <f>"20190312151434701"</f>
        <v>20190312151434701</v>
      </c>
      <c r="B5999" t="str">
        <f>"1552374874696134"</f>
        <v>1552374874696134</v>
      </c>
      <c r="C5999" t="s">
        <v>40</v>
      </c>
      <c r="D5999">
        <v>4.2358419999999999</v>
      </c>
      <c r="E5999">
        <v>0.50194850000000002</v>
      </c>
      <c r="F5999" t="s">
        <v>42</v>
      </c>
      <c r="G5999">
        <v>-189.7929</v>
      </c>
      <c r="H5999" s="1">
        <v>-2.9743939999999999E-7</v>
      </c>
      <c r="I5999">
        <v>100.2405</v>
      </c>
      <c r="J5999">
        <v>-189.32060000000001</v>
      </c>
      <c r="K5999">
        <v>1.11066</v>
      </c>
      <c r="L5999">
        <v>12.35355</v>
      </c>
      <c r="M5999">
        <v>9.6167559999999999E-2</v>
      </c>
      <c r="N5999">
        <v>0</v>
      </c>
      <c r="O5999">
        <v>0.99528570000000005</v>
      </c>
      <c r="P5999">
        <v>-1.066157E-2</v>
      </c>
      <c r="Q5999">
        <v>1.833309E-2</v>
      </c>
      <c r="R5999">
        <v>0.99977510000000003</v>
      </c>
      <c r="S5999">
        <v>-1.493835E-2</v>
      </c>
      <c r="T5999">
        <v>-3.7770869999999998E-2</v>
      </c>
      <c r="U5999">
        <v>3.00116</v>
      </c>
      <c r="V5999">
        <v>-0.10682999999999999</v>
      </c>
      <c r="W5999">
        <v>3.0607990000000002E-2</v>
      </c>
      <c r="X5999">
        <v>0.99380610000000003</v>
      </c>
      <c r="Y5999">
        <v>-0.101128</v>
      </c>
      <c r="Z5999">
        <v>-1.2464579999999999E-2</v>
      </c>
      <c r="AA5999">
        <v>0.99479530000000005</v>
      </c>
      <c r="AB5999">
        <v>33</v>
      </c>
      <c r="AC5999">
        <v>-0.47229999999999001</v>
      </c>
      <c r="AD5999">
        <v>-1.1106602974394</v>
      </c>
      <c r="AE5999">
        <v>87.886949999999999</v>
      </c>
      <c r="AF5999">
        <v>-8.9212279673221992</v>
      </c>
      <c r="AG5999">
        <v>-1.1106602974394</v>
      </c>
      <c r="AH5999">
        <v>87.420158987647895</v>
      </c>
      <c r="AI5999">
        <v>90.724134838279099</v>
      </c>
      <c r="AJ5999">
        <v>95.826863274153894</v>
      </c>
      <c r="AK5999">
        <v>87.881204316775694</v>
      </c>
      <c r="AL5999">
        <v>88.246017466099403</v>
      </c>
      <c r="AM5999">
        <v>96.135496486285106</v>
      </c>
      <c r="AN5999">
        <v>1.0000000311745201</v>
      </c>
    </row>
    <row r="6000" spans="1:40" x14ac:dyDescent="0.25">
      <c r="A6000" t="str">
        <f>"20190312151434724"</f>
        <v>20190312151434724</v>
      </c>
      <c r="B6000" t="str">
        <f>"1552374874716630"</f>
        <v>1552374874716630</v>
      </c>
      <c r="C6000" t="s">
        <v>40</v>
      </c>
      <c r="D6000">
        <v>4.644558</v>
      </c>
      <c r="E6000">
        <v>0.50188370000000004</v>
      </c>
      <c r="F6000" t="s">
        <v>42</v>
      </c>
      <c r="G6000">
        <v>-189.83699999999999</v>
      </c>
      <c r="H6000" s="1">
        <v>-3.12292599999999E-7</v>
      </c>
      <c r="I6000">
        <v>100.2933</v>
      </c>
      <c r="J6000">
        <v>-189.28829999999999</v>
      </c>
      <c r="K6000">
        <v>1.1107819999999999</v>
      </c>
      <c r="L6000">
        <v>12.70166</v>
      </c>
      <c r="M6000">
        <v>9.4762869999999999E-2</v>
      </c>
      <c r="N6000">
        <v>0</v>
      </c>
      <c r="O6000">
        <v>0.99542050000000004</v>
      </c>
      <c r="P6000">
        <v>-1.1971000000000001E-2</v>
      </c>
      <c r="Q6000">
        <v>1.8379949999999999E-2</v>
      </c>
      <c r="R6000">
        <v>0.99975939999999996</v>
      </c>
      <c r="S6000">
        <v>-1.7623900000000001E-2</v>
      </c>
      <c r="T6000">
        <v>-3.7904380000000001E-2</v>
      </c>
      <c r="U6000">
        <v>3.0011899999999998</v>
      </c>
      <c r="V6000">
        <v>-0.1067385</v>
      </c>
      <c r="W6000">
        <v>3.062229E-2</v>
      </c>
      <c r="X6000">
        <v>0.99381549999999996</v>
      </c>
      <c r="Y6000">
        <v>-0.100614</v>
      </c>
      <c r="Z6000">
        <v>-1.2511359999999999E-2</v>
      </c>
      <c r="AA6000">
        <v>0.99484689999999998</v>
      </c>
      <c r="AB6000">
        <v>33</v>
      </c>
      <c r="AC6000">
        <v>-0.54870000000002495</v>
      </c>
      <c r="AD6000">
        <v>-1.1107823122925999</v>
      </c>
      <c r="AE6000">
        <v>87.591639999999998</v>
      </c>
      <c r="AF6000">
        <v>-8.8458989894517099</v>
      </c>
      <c r="AG6000">
        <v>-1.1107823122925999</v>
      </c>
      <c r="AH6000">
        <v>87.131391938114803</v>
      </c>
      <c r="AI6000">
        <v>90.7266528098246</v>
      </c>
      <c r="AJ6000">
        <v>95.797015739983195</v>
      </c>
      <c r="AK6000">
        <v>87.586318722448098</v>
      </c>
      <c r="AL6000">
        <v>88.245197767785299</v>
      </c>
      <c r="AM6000">
        <v>96.130223916296899</v>
      </c>
      <c r="AN6000">
        <v>1.0000000400336699</v>
      </c>
    </row>
    <row r="6001" spans="1:40" x14ac:dyDescent="0.25">
      <c r="A6001" t="str">
        <f>"20190312151434743"</f>
        <v>20190312151434743</v>
      </c>
      <c r="B6001" t="str">
        <f>"1552374874736151"</f>
        <v>1552374874736151</v>
      </c>
      <c r="C6001" t="s">
        <v>40</v>
      </c>
      <c r="D6001">
        <v>4.2996540000000003</v>
      </c>
      <c r="E6001">
        <v>0.50437429999999905</v>
      </c>
      <c r="F6001" t="s">
        <v>42</v>
      </c>
      <c r="G6001">
        <v>-189.9451</v>
      </c>
      <c r="H6001" s="1">
        <v>-6.4820149999999898E-7</v>
      </c>
      <c r="I6001">
        <v>101.1211</v>
      </c>
      <c r="J6001">
        <v>-189.262</v>
      </c>
      <c r="K6001">
        <v>1.1108579999999999</v>
      </c>
      <c r="L6001">
        <v>12.99057</v>
      </c>
      <c r="M6001">
        <v>9.3523289999999995E-2</v>
      </c>
      <c r="N6001">
        <v>0</v>
      </c>
      <c r="O6001">
        <v>0.99553769999999997</v>
      </c>
      <c r="P6001">
        <v>-1.3672780000000001E-2</v>
      </c>
      <c r="Q6001">
        <v>1.8210190000000001E-2</v>
      </c>
      <c r="R6001">
        <v>0.99974070000000004</v>
      </c>
      <c r="S6001">
        <v>-2.2293090000000002E-2</v>
      </c>
      <c r="T6001">
        <v>-3.7702560000000003E-2</v>
      </c>
      <c r="U6001">
        <v>3.00116</v>
      </c>
      <c r="V6001">
        <v>-0.1071978</v>
      </c>
      <c r="W6001">
        <v>3.042926E-2</v>
      </c>
      <c r="X6001">
        <v>0.99377199999999999</v>
      </c>
      <c r="Y6001">
        <v>-0.1009229</v>
      </c>
      <c r="Z6001">
        <v>-1.2446830000000001E-2</v>
      </c>
      <c r="AA6001">
        <v>0.99481640000000005</v>
      </c>
      <c r="AB6001">
        <v>33</v>
      </c>
      <c r="AC6001">
        <v>-0.68309999999999504</v>
      </c>
      <c r="AD6001">
        <v>-1.1108586482014999</v>
      </c>
      <c r="AE6001">
        <v>88.130529999999993</v>
      </c>
      <c r="AF6001">
        <v>-8.9215968664148697</v>
      </c>
      <c r="AG6001">
        <v>-1.1108586482014999</v>
      </c>
      <c r="AH6001">
        <v>87.6663825373371</v>
      </c>
      <c r="AI6001">
        <v>90.722250733522699</v>
      </c>
      <c r="AJ6001">
        <v>95.810848462639896</v>
      </c>
      <c r="AK6001">
        <v>88.126179565245195</v>
      </c>
      <c r="AL6001">
        <v>88.256262742218595</v>
      </c>
      <c r="AM6001">
        <v>96.156667788137895</v>
      </c>
      <c r="AN6001">
        <v>1.0000000480864899</v>
      </c>
    </row>
    <row r="6002" spans="1:40" x14ac:dyDescent="0.25">
      <c r="A6002" t="str">
        <f>"20190312151434766"</f>
        <v>20190312151434766</v>
      </c>
      <c r="B6002" t="str">
        <f>"1552374874756647"</f>
        <v>1552374874756647</v>
      </c>
      <c r="C6002" t="s">
        <v>40</v>
      </c>
      <c r="D6002">
        <v>4.3369460000000002</v>
      </c>
      <c r="E6002">
        <v>0.50427829999999996</v>
      </c>
      <c r="F6002" t="s">
        <v>42</v>
      </c>
      <c r="G6002">
        <v>-189.99289999999999</v>
      </c>
      <c r="H6002" s="1">
        <v>-1.3634510000000001E-6</v>
      </c>
      <c r="I6002">
        <v>322.77179999999998</v>
      </c>
      <c r="J6002">
        <v>-189.23249999999999</v>
      </c>
      <c r="K6002">
        <v>1.1109230000000001</v>
      </c>
      <c r="L6002">
        <v>13.321009999999999</v>
      </c>
      <c r="M6002">
        <v>9.2061909999999997E-2</v>
      </c>
      <c r="N6002">
        <v>0</v>
      </c>
      <c r="O6002">
        <v>0.99567399999999995</v>
      </c>
      <c r="P6002">
        <v>-1.5888389999999999E-2</v>
      </c>
      <c r="Q6002">
        <v>1.8647489999999999E-2</v>
      </c>
      <c r="R6002">
        <v>0.99969989999999997</v>
      </c>
      <c r="S6002">
        <v>-7.0800780000000001E-3</v>
      </c>
      <c r="T6002">
        <v>-1.076102E-2</v>
      </c>
      <c r="U6002">
        <v>3.0008849999999998</v>
      </c>
      <c r="V6002">
        <v>-0.1079475</v>
      </c>
      <c r="W6002">
        <v>3.0845339999999999E-2</v>
      </c>
      <c r="X6002">
        <v>0.99367799999999995</v>
      </c>
      <c r="Y6002">
        <v>-9.4418210000000002E-2</v>
      </c>
      <c r="Z6002">
        <v>-3.555065E-3</v>
      </c>
      <c r="AA6002">
        <v>0.99552629999999998</v>
      </c>
      <c r="AB6002">
        <v>33</v>
      </c>
      <c r="AC6002">
        <v>-0.76040000000000396</v>
      </c>
      <c r="AD6002">
        <v>-1.110924363451</v>
      </c>
      <c r="AE6002">
        <v>309.45078999999998</v>
      </c>
      <c r="AF6002">
        <v>-29.247673431124401</v>
      </c>
      <c r="AG6002">
        <v>-1.110924363451</v>
      </c>
      <c r="AH6002">
        <v>308.06245305211002</v>
      </c>
      <c r="AI6002">
        <v>90.205692259169396</v>
      </c>
      <c r="AJ6002">
        <v>95.4234467952692</v>
      </c>
      <c r="AK6002">
        <v>309.449730222146</v>
      </c>
      <c r="AL6002">
        <v>88.232411891737399</v>
      </c>
      <c r="AM6002">
        <v>96.199972909362799</v>
      </c>
      <c r="AN6002">
        <v>1.0000000327199801</v>
      </c>
    </row>
    <row r="6003" spans="1:40" x14ac:dyDescent="0.25">
      <c r="A6003" t="str">
        <f>"20190312151434787"</f>
        <v>20190312151434787</v>
      </c>
      <c r="B6003" t="str">
        <f>"1552374874777143"</f>
        <v>1552374874777143</v>
      </c>
      <c r="C6003" t="s">
        <v>40</v>
      </c>
      <c r="D6003">
        <v>4.3783719999999997</v>
      </c>
      <c r="E6003">
        <v>0.50472499999999998</v>
      </c>
      <c r="F6003" t="s">
        <v>51</v>
      </c>
      <c r="G6003">
        <v>-191.01669999999999</v>
      </c>
      <c r="H6003">
        <v>3.3507769999999999E-2</v>
      </c>
      <c r="I6003">
        <v>379.6</v>
      </c>
      <c r="J6003">
        <v>-189.2054</v>
      </c>
      <c r="K6003">
        <v>1.110968</v>
      </c>
      <c r="L6003">
        <v>13.62927</v>
      </c>
      <c r="M6003">
        <v>9.0674589999999999E-2</v>
      </c>
      <c r="N6003">
        <v>0</v>
      </c>
      <c r="O6003">
        <v>0.9958013</v>
      </c>
      <c r="P6003">
        <v>-1.7894050000000002E-2</v>
      </c>
      <c r="Q6003">
        <v>1.8257829999999999E-2</v>
      </c>
      <c r="R6003">
        <v>0.99967320000000004</v>
      </c>
      <c r="S6003">
        <v>-1.461792E-2</v>
      </c>
      <c r="T6003">
        <v>-8.8269709999999994E-3</v>
      </c>
      <c r="U6003">
        <v>3.0008240000000002</v>
      </c>
      <c r="V6003">
        <v>-0.10856</v>
      </c>
      <c r="W6003">
        <v>3.044022E-2</v>
      </c>
      <c r="X6003">
        <v>0.9936237</v>
      </c>
      <c r="Y6003">
        <v>-9.5531840000000007E-2</v>
      </c>
      <c r="Z6003">
        <v>-2.9165789999999999E-3</v>
      </c>
      <c r="AA6003">
        <v>0.99542209999999998</v>
      </c>
      <c r="AB6003">
        <v>33</v>
      </c>
      <c r="AC6003">
        <v>-1.8112999999999799</v>
      </c>
      <c r="AD6003">
        <v>-1.07746023</v>
      </c>
      <c r="AE6003">
        <v>365.97073</v>
      </c>
      <c r="AF6003">
        <v>-34.990399950373899</v>
      </c>
      <c r="AG6003">
        <v>-1.07746023</v>
      </c>
      <c r="AH6003">
        <v>364.29549286922003</v>
      </c>
      <c r="AI6003">
        <v>90.168684321822198</v>
      </c>
      <c r="AJ6003">
        <v>95.486400674378103</v>
      </c>
      <c r="AK6003">
        <v>365.97362628208901</v>
      </c>
      <c r="AL6003">
        <v>88.255634351294006</v>
      </c>
      <c r="AM6003">
        <v>96.235213648157398</v>
      </c>
      <c r="AN6003">
        <v>0.99999996889766796</v>
      </c>
    </row>
    <row r="6004" spans="1:40" x14ac:dyDescent="0.25">
      <c r="A6004" t="str">
        <f>"20190312151434810"</f>
        <v>20190312151434810</v>
      </c>
      <c r="B6004" t="str">
        <f>"1552374874806423"</f>
        <v>1552374874806423</v>
      </c>
      <c r="C6004" t="s">
        <v>40</v>
      </c>
      <c r="D6004">
        <v>4.3843899999999998</v>
      </c>
      <c r="E6004">
        <v>0.50480779999999903</v>
      </c>
      <c r="F6004" t="s">
        <v>42</v>
      </c>
      <c r="G6004">
        <v>-189.66210000000001</v>
      </c>
      <c r="H6004" s="1">
        <v>-7.9400119999999995E-7</v>
      </c>
      <c r="I6004">
        <v>91.343879999999999</v>
      </c>
      <c r="J6004">
        <v>-189.17699999999999</v>
      </c>
      <c r="K6004">
        <v>1.1109960000000001</v>
      </c>
      <c r="L6004">
        <v>13.957890000000001</v>
      </c>
      <c r="M6004">
        <v>8.9185249999999994E-2</v>
      </c>
      <c r="N6004">
        <v>0</v>
      </c>
      <c r="O6004">
        <v>0.99593569999999998</v>
      </c>
      <c r="P6004">
        <v>-2.0182729999999999E-2</v>
      </c>
      <c r="Q6004">
        <v>1.8178929999999999E-2</v>
      </c>
      <c r="R6004">
        <v>0.99963100000000005</v>
      </c>
      <c r="S6004">
        <v>-1.7639160000000001E-2</v>
      </c>
      <c r="T6004">
        <v>-4.2907000000000001E-2</v>
      </c>
      <c r="U6004">
        <v>3.0014340000000002</v>
      </c>
      <c r="V6004">
        <v>-0.10935110000000001</v>
      </c>
      <c r="W6004">
        <v>3.0347280000000001E-2</v>
      </c>
      <c r="X6004">
        <v>0.99353979999999997</v>
      </c>
      <c r="Y6004">
        <v>-9.5043539999999996E-2</v>
      </c>
      <c r="Z6004">
        <v>-1.4176100000000001E-2</v>
      </c>
      <c r="AA6004">
        <v>0.99537220000000004</v>
      </c>
      <c r="AB6004">
        <v>33</v>
      </c>
      <c r="AC6004">
        <v>-0.48509999999998799</v>
      </c>
      <c r="AD6004">
        <v>-1.11099679400119</v>
      </c>
      <c r="AE6004">
        <v>77.385989999999893</v>
      </c>
      <c r="AF6004">
        <v>-7.3838791726719597</v>
      </c>
      <c r="AG6004">
        <v>-1.11099679400119</v>
      </c>
      <c r="AH6004">
        <v>77.018421393052506</v>
      </c>
      <c r="AI6004">
        <v>90.822667265132694</v>
      </c>
      <c r="AJ6004">
        <v>95.476300672978695</v>
      </c>
      <c r="AK6004">
        <v>77.379540056727606</v>
      </c>
      <c r="AL6004">
        <v>88.2609618971792</v>
      </c>
      <c r="AM6004">
        <v>96.280815316523302</v>
      </c>
      <c r="AN6004">
        <v>0.999999977329324</v>
      </c>
    </row>
    <row r="6005" spans="1:40" x14ac:dyDescent="0.25">
      <c r="A6005" t="str">
        <f>"20190312151434832"</f>
        <v>20190312151434832</v>
      </c>
      <c r="B6005" t="str">
        <f>"1552374874826918"</f>
        <v>1552374874826918</v>
      </c>
      <c r="C6005" t="s">
        <v>40</v>
      </c>
      <c r="D6005">
        <v>4.3949720000000001</v>
      </c>
      <c r="E6005">
        <v>0.50495699999999999</v>
      </c>
      <c r="F6005" t="s">
        <v>42</v>
      </c>
      <c r="G6005">
        <v>-189.70650000000001</v>
      </c>
      <c r="H6005" s="1">
        <v>-3.4159739999999998E-7</v>
      </c>
      <c r="I6005">
        <v>80.307699999999997</v>
      </c>
      <c r="J6005">
        <v>-189.14959999999999</v>
      </c>
      <c r="K6005">
        <v>1.1110120000000001</v>
      </c>
      <c r="L6005">
        <v>14.280670000000001</v>
      </c>
      <c r="M6005">
        <v>8.7719749999999999E-2</v>
      </c>
      <c r="N6005">
        <v>0</v>
      </c>
      <c r="O6005">
        <v>0.99606600000000001</v>
      </c>
      <c r="P6005">
        <v>-2.2628659999999998E-2</v>
      </c>
      <c r="Q6005">
        <v>1.801548E-2</v>
      </c>
      <c r="R6005">
        <v>0.99958159999999896</v>
      </c>
      <c r="S6005">
        <v>-2.39563E-2</v>
      </c>
      <c r="T6005">
        <v>-5.0259110000000003E-2</v>
      </c>
      <c r="U6005">
        <v>3.0015260000000001</v>
      </c>
      <c r="V6005">
        <v>-0.1103219</v>
      </c>
      <c r="W6005">
        <v>3.0167119999999999E-2</v>
      </c>
      <c r="X6005">
        <v>0.99343800000000004</v>
      </c>
      <c r="Y6005">
        <v>-9.5673099999999997E-2</v>
      </c>
      <c r="Z6005">
        <v>-1.6606679999999999E-2</v>
      </c>
      <c r="AA6005">
        <v>0.9952742</v>
      </c>
      <c r="AB6005">
        <v>33</v>
      </c>
      <c r="AC6005">
        <v>-0.55690000000001205</v>
      </c>
      <c r="AD6005">
        <v>-1.11101234159739</v>
      </c>
      <c r="AE6005">
        <v>66.027029999999996</v>
      </c>
      <c r="AF6005">
        <v>-6.34528797876371</v>
      </c>
      <c r="AG6005">
        <v>-1.11101234159739</v>
      </c>
      <c r="AH6005">
        <v>65.705011223226094</v>
      </c>
      <c r="AI6005">
        <v>90.964242436026197</v>
      </c>
      <c r="AJ6005">
        <v>95.516083000092905</v>
      </c>
      <c r="AK6005">
        <v>66.0200388351968</v>
      </c>
      <c r="AL6005">
        <v>88.271289104225701</v>
      </c>
      <c r="AM6005">
        <v>96.336767772479803</v>
      </c>
      <c r="AN6005">
        <v>1.00000001829635</v>
      </c>
    </row>
    <row r="6006" spans="1:40" x14ac:dyDescent="0.25">
      <c r="A6006" t="str">
        <f>"20190312151434855"</f>
        <v>20190312151434855</v>
      </c>
      <c r="B6006" t="str">
        <f>"1552374874846439"</f>
        <v>1552374874846439</v>
      </c>
      <c r="C6006" t="s">
        <v>40</v>
      </c>
      <c r="D6006">
        <v>4.4324379999999897</v>
      </c>
      <c r="E6006">
        <v>0.50515770000000004</v>
      </c>
      <c r="F6006" t="s">
        <v>42</v>
      </c>
      <c r="G6006">
        <v>-189.7878</v>
      </c>
      <c r="H6006" s="1">
        <v>-3.6157279999999999E-6</v>
      </c>
      <c r="I6006">
        <v>77.973369999999903</v>
      </c>
      <c r="J6006">
        <v>-189.1225</v>
      </c>
      <c r="K6006">
        <v>1.111022</v>
      </c>
      <c r="L6006">
        <v>14.605499999999999</v>
      </c>
      <c r="M6006">
        <v>8.6247589999999999E-2</v>
      </c>
      <c r="N6006">
        <v>0</v>
      </c>
      <c r="O6006">
        <v>0.99619469999999999</v>
      </c>
      <c r="P6006">
        <v>-2.5070720000000001E-2</v>
      </c>
      <c r="Q6006">
        <v>1.7855289999999999E-2</v>
      </c>
      <c r="R6006">
        <v>0.99952620000000003</v>
      </c>
      <c r="S6006">
        <v>-3.0075069999999999E-2</v>
      </c>
      <c r="T6006">
        <v>-5.2356720000000002E-2</v>
      </c>
      <c r="U6006">
        <v>3.0015260000000001</v>
      </c>
      <c r="V6006">
        <v>-0.111282199999999</v>
      </c>
      <c r="W6006">
        <v>2.998839E-2</v>
      </c>
      <c r="X6006">
        <v>0.99333629999999995</v>
      </c>
      <c r="Y6006">
        <v>-9.6230599999999999E-2</v>
      </c>
      <c r="Z6006">
        <v>-1.73023E-2</v>
      </c>
      <c r="AA6006">
        <v>0.99520869999999995</v>
      </c>
      <c r="AB6006">
        <v>33</v>
      </c>
      <c r="AC6006">
        <v>-0.665300000000002</v>
      </c>
      <c r="AD6006">
        <v>-1.1110256157279901</v>
      </c>
      <c r="AE6006">
        <v>63.367869999999897</v>
      </c>
      <c r="AF6006">
        <v>-6.1266938018843202</v>
      </c>
      <c r="AG6006">
        <v>-1.1110256157279901</v>
      </c>
      <c r="AH6006">
        <v>63.054940943709397</v>
      </c>
      <c r="AI6006">
        <v>91.004714364515806</v>
      </c>
      <c r="AJ6006">
        <v>95.549687534930598</v>
      </c>
      <c r="AK6006">
        <v>63.361631389000202</v>
      </c>
      <c r="AL6006">
        <v>88.281534213895398</v>
      </c>
      <c r="AM6006">
        <v>96.392120787745597</v>
      </c>
      <c r="AN6006">
        <v>1.00000001823466</v>
      </c>
    </row>
    <row r="6007" spans="1:40" x14ac:dyDescent="0.25">
      <c r="A6007" t="str">
        <f>"20190312151434878"</f>
        <v>20190312151434878</v>
      </c>
      <c r="B6007" t="str">
        <f>"1552374874866936"</f>
        <v>1552374874866936</v>
      </c>
      <c r="C6007" t="s">
        <v>40</v>
      </c>
      <c r="D6007">
        <v>4.4103539999999999</v>
      </c>
      <c r="E6007">
        <v>0.50567829999999903</v>
      </c>
      <c r="F6007" t="s">
        <v>42</v>
      </c>
      <c r="G6007">
        <v>-189.8578</v>
      </c>
      <c r="H6007" s="1">
        <v>-2.7126519999999998E-6</v>
      </c>
      <c r="I6007">
        <v>75.89725</v>
      </c>
      <c r="J6007">
        <v>-189.09360000000001</v>
      </c>
      <c r="K6007">
        <v>1.1110329999999999</v>
      </c>
      <c r="L6007">
        <v>14.958220000000001</v>
      </c>
      <c r="M6007">
        <v>8.4654069999999998E-2</v>
      </c>
      <c r="N6007">
        <v>0</v>
      </c>
      <c r="O6007">
        <v>0.99633150000000004</v>
      </c>
      <c r="P6007">
        <v>-2.7583509999999999E-2</v>
      </c>
      <c r="Q6007">
        <v>1.7412779999999999E-2</v>
      </c>
      <c r="R6007">
        <v>0.99946780000000002</v>
      </c>
      <c r="S6007">
        <v>-3.6010739999999999E-2</v>
      </c>
      <c r="T6007">
        <v>-5.44076E-2</v>
      </c>
      <c r="U6007">
        <v>3.0014949999999998</v>
      </c>
      <c r="V6007">
        <v>-0.1121912</v>
      </c>
      <c r="W6007">
        <v>2.9527970000000001E-2</v>
      </c>
      <c r="X6007">
        <v>0.99324780000000001</v>
      </c>
      <c r="Y6007">
        <v>-9.6606330000000004E-2</v>
      </c>
      <c r="Z6007">
        <v>-1.7983209999999999E-2</v>
      </c>
      <c r="AA6007">
        <v>0.99516020000000005</v>
      </c>
      <c r="AB6007">
        <v>33</v>
      </c>
      <c r="AC6007">
        <v>-0.764199999999988</v>
      </c>
      <c r="AD6007">
        <v>-1.1110357126520001</v>
      </c>
      <c r="AE6007">
        <v>60.939030000000002</v>
      </c>
      <c r="AF6007">
        <v>-5.9186318496607999</v>
      </c>
      <c r="AG6007">
        <v>-1.1110357126520001</v>
      </c>
      <c r="AH6007">
        <v>60.635398947446603</v>
      </c>
      <c r="AI6007">
        <v>91.044761461917304</v>
      </c>
      <c r="AJ6007">
        <v>95.574990080795203</v>
      </c>
      <c r="AK6007">
        <v>60.933703390181499</v>
      </c>
      <c r="AL6007">
        <v>88.3079259587428</v>
      </c>
      <c r="AM6007">
        <v>96.444466234099906</v>
      </c>
      <c r="AN6007">
        <v>0.9999999792873</v>
      </c>
    </row>
    <row r="6008" spans="1:40" x14ac:dyDescent="0.25">
      <c r="A6008" t="str">
        <f>"20190312151434904"</f>
        <v>20190312151434904</v>
      </c>
      <c r="B6008" t="str">
        <f>"1552374874896215"</f>
        <v>1552374874896215</v>
      </c>
      <c r="C6008" t="s">
        <v>40</v>
      </c>
      <c r="D6008">
        <v>4.6631320000000001</v>
      </c>
      <c r="E6008">
        <v>0.50644270000000002</v>
      </c>
      <c r="F6008" t="s">
        <v>42</v>
      </c>
      <c r="G6008">
        <v>-189.77850000000001</v>
      </c>
      <c r="H6008" s="1">
        <v>-3.240135E-6</v>
      </c>
      <c r="I6008">
        <v>67.094009999999997</v>
      </c>
      <c r="J6008">
        <v>-189.06489999999999</v>
      </c>
      <c r="K6008">
        <v>1.111035</v>
      </c>
      <c r="L6008">
        <v>15.31546</v>
      </c>
      <c r="M6008">
        <v>8.3044690000000004E-2</v>
      </c>
      <c r="N6008">
        <v>0</v>
      </c>
      <c r="O6008">
        <v>0.99646710000000005</v>
      </c>
      <c r="P6008">
        <v>-2.9958889999999998E-2</v>
      </c>
      <c r="Q6008">
        <v>1.7292620000000002E-2</v>
      </c>
      <c r="R6008">
        <v>0.99940150000000005</v>
      </c>
      <c r="S6008">
        <v>-3.9428709999999999E-2</v>
      </c>
      <c r="T6008">
        <v>-6.3965800000000003E-2</v>
      </c>
      <c r="U6008">
        <v>3.001617</v>
      </c>
      <c r="V6008">
        <v>-0.11294800000000001</v>
      </c>
      <c r="W6008">
        <v>2.9387839999999998E-2</v>
      </c>
      <c r="X6008">
        <v>0.9931662</v>
      </c>
      <c r="Y6008">
        <v>-9.6130350000000003E-2</v>
      </c>
      <c r="Z6008">
        <v>-2.1144940000000001E-2</v>
      </c>
      <c r="AA6008">
        <v>0.99514409999999998</v>
      </c>
      <c r="AB6008">
        <v>33</v>
      </c>
      <c r="AC6008">
        <v>-0.713600000000013</v>
      </c>
      <c r="AD6008">
        <v>-1.1110382401350001</v>
      </c>
      <c r="AE6008">
        <v>51.778550000000003</v>
      </c>
      <c r="AF6008">
        <v>-5.0090998379881304</v>
      </c>
      <c r="AG6008">
        <v>-1.1110382401350001</v>
      </c>
      <c r="AH6008">
        <v>51.5166892920683</v>
      </c>
      <c r="AI6008">
        <v>91.229684508033699</v>
      </c>
      <c r="AJ6008">
        <v>95.553558078678805</v>
      </c>
      <c r="AK6008">
        <v>51.771563263759802</v>
      </c>
      <c r="AL6008">
        <v>88.315958334444701</v>
      </c>
      <c r="AM6008">
        <v>96.488097293441101</v>
      </c>
      <c r="AN6008">
        <v>0.99999999833315201</v>
      </c>
    </row>
    <row r="6009" spans="1:40" x14ac:dyDescent="0.25">
      <c r="A6009" t="str">
        <f>"20190312151434967"</f>
        <v>20190312151434967</v>
      </c>
      <c r="B6009" t="str">
        <f>"1552374874956727"</f>
        <v>1552374874956727</v>
      </c>
      <c r="C6009" t="s">
        <v>40</v>
      </c>
      <c r="D6009">
        <v>4.5538809999999996</v>
      </c>
      <c r="E6009">
        <v>0.51926629999999996</v>
      </c>
      <c r="F6009" t="s">
        <v>42</v>
      </c>
      <c r="G6009">
        <v>-189.70670000000001</v>
      </c>
      <c r="H6009" s="1">
        <v>-1.5332190000000001E-6</v>
      </c>
      <c r="I6009">
        <v>63.085479999999997</v>
      </c>
      <c r="J6009">
        <v>-188.99279999999999</v>
      </c>
      <c r="K6009">
        <v>1.111035</v>
      </c>
      <c r="L6009">
        <v>16.249359999999999</v>
      </c>
      <c r="M6009">
        <v>7.8847739999999999E-2</v>
      </c>
      <c r="N6009">
        <v>0</v>
      </c>
      <c r="O6009">
        <v>0.9968089</v>
      </c>
      <c r="P6009">
        <v>-3.4774989999999999E-2</v>
      </c>
      <c r="Q6009">
        <v>1.8199150000000001E-2</v>
      </c>
      <c r="R6009">
        <v>0.99922940000000005</v>
      </c>
      <c r="S6009">
        <v>-4.032898E-2</v>
      </c>
      <c r="T6009">
        <v>-6.9815989999999994E-2</v>
      </c>
      <c r="U6009">
        <v>3.0018009999999999</v>
      </c>
      <c r="V6009">
        <v>-0.11355419999999999</v>
      </c>
      <c r="W6009">
        <v>3.0217170000000002E-2</v>
      </c>
      <c r="X6009">
        <v>0.99307219999999996</v>
      </c>
      <c r="Y6009">
        <v>-9.2234999999999998E-2</v>
      </c>
      <c r="Z6009">
        <v>-2.3092540000000002E-2</v>
      </c>
      <c r="AA6009">
        <v>0.99546950000000001</v>
      </c>
      <c r="AB6009">
        <v>33</v>
      </c>
      <c r="AC6009">
        <v>-0.71390000000002296</v>
      </c>
      <c r="AD6009">
        <v>-1.111036533219</v>
      </c>
      <c r="AE6009">
        <v>46.836120000000001</v>
      </c>
      <c r="AF6009">
        <v>-4.4024088274179602</v>
      </c>
      <c r="AG6009">
        <v>-1.111036533219</v>
      </c>
      <c r="AH6009">
        <v>46.607766132470204</v>
      </c>
      <c r="AI6009">
        <v>91.359509867043201</v>
      </c>
      <c r="AJ6009">
        <v>95.395952075713396</v>
      </c>
      <c r="AK6009">
        <v>46.828404516072503</v>
      </c>
      <c r="AL6009">
        <v>88.268420135248107</v>
      </c>
      <c r="AM6009">
        <v>96.523232168591505</v>
      </c>
      <c r="AN6009">
        <v>1.0000000140566401</v>
      </c>
    </row>
    <row r="6010" spans="1:40" x14ac:dyDescent="0.25">
      <c r="A6010" t="str">
        <f>"20190312151435012"</f>
        <v>20190312151435012</v>
      </c>
      <c r="B6010" t="str">
        <f>"1552374875006502"</f>
        <v>1552374875006502</v>
      </c>
      <c r="C6010" t="s">
        <v>40</v>
      </c>
      <c r="D6010">
        <v>4.6132849999999896</v>
      </c>
      <c r="E6010">
        <v>0.52889039999999998</v>
      </c>
      <c r="F6010" t="s">
        <v>42</v>
      </c>
      <c r="G6010">
        <v>-187.5831</v>
      </c>
      <c r="H6010" s="1">
        <v>-2.4152510000000001E-6</v>
      </c>
      <c r="I6010">
        <v>104.2634</v>
      </c>
      <c r="J6010">
        <v>-188.9451</v>
      </c>
      <c r="K6010">
        <v>1.1110310000000001</v>
      </c>
      <c r="L6010">
        <v>16.896329999999999</v>
      </c>
      <c r="M6010">
        <v>7.5939950000000006E-2</v>
      </c>
      <c r="N6010">
        <v>0</v>
      </c>
      <c r="O6010">
        <v>0.99703540000000002</v>
      </c>
      <c r="P6010">
        <v>-3.795105E-2</v>
      </c>
      <c r="Q6010">
        <v>1.9277229999999999E-2</v>
      </c>
      <c r="R6010">
        <v>0.99909369999999997</v>
      </c>
      <c r="S6010">
        <v>4.8126219999999997E-2</v>
      </c>
      <c r="T6010">
        <v>-3.792918E-2</v>
      </c>
      <c r="U6010">
        <v>3.0046689999999998</v>
      </c>
      <c r="V6010">
        <v>-0.1138163</v>
      </c>
      <c r="W6010">
        <v>3.1229489999999999E-2</v>
      </c>
      <c r="X6010">
        <v>0.99301090000000003</v>
      </c>
      <c r="Y6010">
        <v>-5.9968460000000001E-2</v>
      </c>
      <c r="Z6010">
        <v>-1.255557E-2</v>
      </c>
      <c r="AA6010">
        <v>0.99812129999999999</v>
      </c>
      <c r="AB6010">
        <v>33</v>
      </c>
      <c r="AC6010">
        <v>1.3619999999999901</v>
      </c>
      <c r="AD6010">
        <v>-1.111033415251</v>
      </c>
      <c r="AE6010">
        <v>87.367069999999998</v>
      </c>
      <c r="AF6010">
        <v>-5.2762407814175303</v>
      </c>
      <c r="AG6010">
        <v>-1.111033415251</v>
      </c>
      <c r="AH6010">
        <v>87.204088526281296</v>
      </c>
      <c r="AI6010">
        <v>90.728611488255396</v>
      </c>
      <c r="AJ6010">
        <v>93.462432184118697</v>
      </c>
      <c r="AK6010">
        <v>87.370625313847896</v>
      </c>
      <c r="AL6010">
        <v>88.210391121402594</v>
      </c>
      <c r="AM6010">
        <v>96.538558655013603</v>
      </c>
      <c r="AN6010">
        <v>1.0000000393550701</v>
      </c>
    </row>
    <row r="6011" spans="1:40" x14ac:dyDescent="0.25">
      <c r="A6011" t="str">
        <f>"20190312151435033"</f>
        <v>20190312151435033</v>
      </c>
      <c r="B6011" t="str">
        <f>"1552374875026023"</f>
        <v>1552374875026023</v>
      </c>
      <c r="C6011" t="s">
        <v>40</v>
      </c>
      <c r="D6011">
        <v>4.5099799999999997</v>
      </c>
      <c r="E6011">
        <v>0.52187050000000001</v>
      </c>
      <c r="F6011" t="s">
        <v>70</v>
      </c>
      <c r="G6011">
        <v>-174.40270000000001</v>
      </c>
      <c r="H6011">
        <v>15.989179999999999</v>
      </c>
      <c r="I6011">
        <v>391.00349999999997</v>
      </c>
      <c r="J6011">
        <v>-188.922</v>
      </c>
      <c r="K6011">
        <v>1.1110260000000001</v>
      </c>
      <c r="L6011">
        <v>17.220949999999998</v>
      </c>
      <c r="M6011">
        <v>7.4480389999999994E-2</v>
      </c>
      <c r="N6011">
        <v>0</v>
      </c>
      <c r="O6011">
        <v>0.99714599999999998</v>
      </c>
      <c r="P6011">
        <v>-3.9047659999999998E-2</v>
      </c>
      <c r="Q6011">
        <v>1.9357360000000001E-2</v>
      </c>
      <c r="R6011">
        <v>0.99904979999999999</v>
      </c>
      <c r="S6011">
        <v>0.11680599999999999</v>
      </c>
      <c r="T6011">
        <v>0.1195022</v>
      </c>
      <c r="U6011">
        <v>3.0048520000000001</v>
      </c>
      <c r="V6011">
        <v>-0.1134525</v>
      </c>
      <c r="W6011">
        <v>3.127286E-2</v>
      </c>
      <c r="X6011">
        <v>0.99305109999999996</v>
      </c>
      <c r="Y6011">
        <v>-3.5725100000000003E-2</v>
      </c>
      <c r="Z6011">
        <v>3.9545299999999999E-2</v>
      </c>
      <c r="AA6011">
        <v>0.99857890000000005</v>
      </c>
      <c r="AB6011">
        <v>33</v>
      </c>
      <c r="AC6011">
        <v>14.5192999999999</v>
      </c>
      <c r="AD6011">
        <v>14.878154</v>
      </c>
      <c r="AE6011">
        <v>373.78255000000001</v>
      </c>
      <c r="AF6011">
        <v>-13.341521068874799</v>
      </c>
      <c r="AG6011">
        <v>14.878154</v>
      </c>
      <c r="AH6011">
        <v>373.23523145210299</v>
      </c>
      <c r="AI6011">
        <v>87.718701143395293</v>
      </c>
      <c r="AJ6011">
        <v>92.047200957172095</v>
      </c>
      <c r="AK6011">
        <v>373.76984047403198</v>
      </c>
      <c r="AL6011">
        <v>88.207904872725805</v>
      </c>
      <c r="AM6011">
        <v>96.517577489522395</v>
      </c>
      <c r="AN6011">
        <v>0.99999997437001897</v>
      </c>
    </row>
    <row r="6012" spans="1:40" x14ac:dyDescent="0.25">
      <c r="A6012" t="str">
        <f>"20190312151435055"</f>
        <v>20190312151435055</v>
      </c>
      <c r="B6012" t="str">
        <f>"1552374875046520"</f>
        <v>1552374875046520</v>
      </c>
      <c r="C6012" t="s">
        <v>40</v>
      </c>
      <c r="D6012">
        <v>4.554786</v>
      </c>
      <c r="E6012">
        <v>0.5223698</v>
      </c>
      <c r="F6012" t="s">
        <v>70</v>
      </c>
      <c r="G6012">
        <v>-181.77350000000001</v>
      </c>
      <c r="H6012">
        <v>10.203250000000001</v>
      </c>
      <c r="I6012">
        <v>391.87</v>
      </c>
      <c r="J6012">
        <v>-188.89959999999999</v>
      </c>
      <c r="K6012">
        <v>1.1110249999999999</v>
      </c>
      <c r="L6012">
        <v>17.53961</v>
      </c>
      <c r="M6012">
        <v>7.3047500000000001E-2</v>
      </c>
      <c r="N6012">
        <v>0</v>
      </c>
      <c r="O6012">
        <v>0.99725249999999999</v>
      </c>
      <c r="P6012">
        <v>-4.0549370000000001E-2</v>
      </c>
      <c r="Q6012">
        <v>1.915619E-2</v>
      </c>
      <c r="R6012">
        <v>0.99899389999999999</v>
      </c>
      <c r="S6012">
        <v>5.7312009999999997E-2</v>
      </c>
      <c r="T6012">
        <v>7.289553E-2</v>
      </c>
      <c r="U6012">
        <v>3.0036930000000002</v>
      </c>
      <c r="V6012">
        <v>-0.1135177</v>
      </c>
      <c r="W6012">
        <v>3.1028839999999999E-2</v>
      </c>
      <c r="X6012">
        <v>0.99305140000000003</v>
      </c>
      <c r="Y6012">
        <v>-5.4019240000000003E-2</v>
      </c>
      <c r="Z6012">
        <v>2.4144390000000002E-2</v>
      </c>
      <c r="AA6012">
        <v>0.99824789999999997</v>
      </c>
      <c r="AB6012">
        <v>33</v>
      </c>
      <c r="AC6012">
        <v>7.1260999999999797</v>
      </c>
      <c r="AD6012">
        <v>9.0922249999999991</v>
      </c>
      <c r="AE6012">
        <v>374.330389999999</v>
      </c>
      <c r="AF6012">
        <v>-20.226982423955299</v>
      </c>
      <c r="AG6012">
        <v>9.0922249999999991</v>
      </c>
      <c r="AH6012">
        <v>373.63043291189899</v>
      </c>
      <c r="AI6012">
        <v>88.608030764465497</v>
      </c>
      <c r="AJ6012">
        <v>93.098758676202294</v>
      </c>
      <c r="AK6012">
        <v>374.28799041829097</v>
      </c>
      <c r="AL6012">
        <v>88.221893147983707</v>
      </c>
      <c r="AM6012">
        <v>96.521288866663795</v>
      </c>
      <c r="AN6012">
        <v>1.0000000700834899</v>
      </c>
    </row>
    <row r="6013" spans="1:40" x14ac:dyDescent="0.25">
      <c r="A6013" t="str">
        <f>"20190312151435079"</f>
        <v>20190312151435079</v>
      </c>
      <c r="B6013" t="str">
        <f>"1552374875076775"</f>
        <v>1552374875076775</v>
      </c>
      <c r="C6013" t="s">
        <v>40</v>
      </c>
      <c r="D6013">
        <v>4.556934</v>
      </c>
      <c r="E6013">
        <v>0.51959149999999998</v>
      </c>
      <c r="F6013" t="s">
        <v>70</v>
      </c>
      <c r="G6013">
        <v>-181.8322</v>
      </c>
      <c r="H6013">
        <v>9.4920120000000008</v>
      </c>
      <c r="I6013">
        <v>391.87</v>
      </c>
      <c r="J6013">
        <v>-188.87569999999999</v>
      </c>
      <c r="K6013">
        <v>1.1110249999999999</v>
      </c>
      <c r="L6013">
        <v>17.888179999999998</v>
      </c>
      <c r="M6013">
        <v>7.1479920000000002E-2</v>
      </c>
      <c r="N6013">
        <v>0</v>
      </c>
      <c r="O6013">
        <v>0.99736670000000005</v>
      </c>
      <c r="P6013">
        <v>-4.1774480000000003E-2</v>
      </c>
      <c r="Q6013">
        <v>1.9518230000000001E-2</v>
      </c>
      <c r="R6013">
        <v>0.99893639999999995</v>
      </c>
      <c r="S6013">
        <v>5.6716919999999997E-2</v>
      </c>
      <c r="T6013">
        <v>6.7257999999999998E-2</v>
      </c>
      <c r="U6013">
        <v>3.0040279999999999</v>
      </c>
      <c r="V6013">
        <v>-0.1131752</v>
      </c>
      <c r="W6013">
        <v>3.13453E-2</v>
      </c>
      <c r="X6013">
        <v>0.99308050000000003</v>
      </c>
      <c r="Y6013">
        <v>-5.264862E-2</v>
      </c>
      <c r="Z6013">
        <v>2.228028E-2</v>
      </c>
      <c r="AA6013">
        <v>0.99836449999999999</v>
      </c>
      <c r="AB6013">
        <v>33</v>
      </c>
      <c r="AC6013">
        <v>7.0434999999999901</v>
      </c>
      <c r="AD6013">
        <v>8.3809869999999993</v>
      </c>
      <c r="AE6013">
        <v>373.98182000000003</v>
      </c>
      <c r="AF6013">
        <v>-19.698829726736601</v>
      </c>
      <c r="AG6013">
        <v>8.3809869999999993</v>
      </c>
      <c r="AH6013">
        <v>373.34112085833999</v>
      </c>
      <c r="AI6013">
        <v>88.7157915000207</v>
      </c>
      <c r="AJ6013">
        <v>93.020332054435201</v>
      </c>
      <c r="AK6013">
        <v>373.954378714114</v>
      </c>
      <c r="AL6013">
        <v>88.203752406456104</v>
      </c>
      <c r="AM6013">
        <v>96.501592995236393</v>
      </c>
      <c r="AN6013">
        <v>1.00000001660368</v>
      </c>
    </row>
    <row r="6014" spans="1:40" x14ac:dyDescent="0.25">
      <c r="A6014" t="str">
        <f>"20190312151435103"</f>
        <v>20190312151435103</v>
      </c>
      <c r="B6014" t="str">
        <f>"1552374875096295"</f>
        <v>1552374875096295</v>
      </c>
      <c r="C6014" t="s">
        <v>40</v>
      </c>
      <c r="D6014">
        <v>4.5955680000000001</v>
      </c>
      <c r="E6014">
        <v>0.51825059999999901</v>
      </c>
      <c r="F6014" t="s">
        <v>70</v>
      </c>
      <c r="G6014">
        <v>-185.09950000000001</v>
      </c>
      <c r="H6014">
        <v>2.8849999999999998</v>
      </c>
      <c r="I6014">
        <v>391.87</v>
      </c>
      <c r="J6014">
        <v>-188.85339999999999</v>
      </c>
      <c r="K6014">
        <v>1.111024</v>
      </c>
      <c r="L6014">
        <v>18.220549999999999</v>
      </c>
      <c r="M6014">
        <v>6.9984939999999995E-2</v>
      </c>
      <c r="N6014">
        <v>0</v>
      </c>
      <c r="O6014">
        <v>0.99747319999999995</v>
      </c>
      <c r="P6014">
        <v>-4.344932E-2</v>
      </c>
      <c r="Q6014">
        <v>1.996701E-2</v>
      </c>
      <c r="R6014">
        <v>0.99885610000000002</v>
      </c>
      <c r="S6014">
        <v>3.0334469999999999E-2</v>
      </c>
      <c r="T6014">
        <v>1.4250280000000001E-2</v>
      </c>
      <c r="U6014">
        <v>3.004181</v>
      </c>
      <c r="V6014">
        <v>-0.1133523</v>
      </c>
      <c r="W6014">
        <v>3.1750889999999997E-2</v>
      </c>
      <c r="X6014">
        <v>0.99304740000000002</v>
      </c>
      <c r="Y6014">
        <v>-5.9914580000000002E-2</v>
      </c>
      <c r="Z6014">
        <v>4.7216020000000001E-3</v>
      </c>
      <c r="AA6014">
        <v>0.99819239999999998</v>
      </c>
      <c r="AB6014">
        <v>33</v>
      </c>
      <c r="AC6014">
        <v>3.7538999999999798</v>
      </c>
      <c r="AD6014">
        <v>1.77397599999999</v>
      </c>
      <c r="AE6014">
        <v>373.64945</v>
      </c>
      <c r="AF6014">
        <v>-22.406587700024399</v>
      </c>
      <c r="AG6014">
        <v>1.77397599999999</v>
      </c>
      <c r="AH6014">
        <v>372.98747205400099</v>
      </c>
      <c r="AI6014">
        <v>89.727986390118105</v>
      </c>
      <c r="AJ6014">
        <v>93.437814967177601</v>
      </c>
      <c r="AK6014">
        <v>373.664095776463</v>
      </c>
      <c r="AL6014">
        <v>88.180502209564395</v>
      </c>
      <c r="AM6014">
        <v>96.511894754178797</v>
      </c>
      <c r="AN6014">
        <v>1.00000000078892</v>
      </c>
    </row>
    <row r="6015" spans="1:40" x14ac:dyDescent="0.25">
      <c r="A6015" t="str">
        <f>"20190312151435125"</f>
        <v>20190312151435125</v>
      </c>
      <c r="B6015" t="str">
        <f>"1552374875116791"</f>
        <v>1552374875116791</v>
      </c>
      <c r="C6015" t="s">
        <v>40</v>
      </c>
      <c r="D6015">
        <v>4.6008620000000002</v>
      </c>
      <c r="E6015">
        <v>0.51693579999999995</v>
      </c>
      <c r="F6015" t="s">
        <v>53</v>
      </c>
      <c r="G6015">
        <v>-187.96449999999999</v>
      </c>
      <c r="H6015" s="1">
        <v>5.5242240000000002E-6</v>
      </c>
      <c r="I6015">
        <v>205.41130000000001</v>
      </c>
      <c r="J6015">
        <v>-188.83150000000001</v>
      </c>
      <c r="K6015">
        <v>1.111016</v>
      </c>
      <c r="L6015">
        <v>18.554079999999999</v>
      </c>
      <c r="M6015">
        <v>6.8484489999999995E-2</v>
      </c>
      <c r="N6015">
        <v>0</v>
      </c>
      <c r="O6015">
        <v>0.99757779999999996</v>
      </c>
      <c r="P6015">
        <v>-4.484751E-2</v>
      </c>
      <c r="Q6015">
        <v>2.087696E-2</v>
      </c>
      <c r="R6015">
        <v>0.99877570000000004</v>
      </c>
      <c r="S6015">
        <v>1.426697E-2</v>
      </c>
      <c r="T6015">
        <v>-1.7831920000000001E-2</v>
      </c>
      <c r="U6015">
        <v>3.0044249999999999</v>
      </c>
      <c r="V6015">
        <v>-0.11325060000000001</v>
      </c>
      <c r="W6015">
        <v>3.2617809999999997E-2</v>
      </c>
      <c r="X6015">
        <v>0.99303090000000005</v>
      </c>
      <c r="Y6015">
        <v>-6.3751440000000006E-2</v>
      </c>
      <c r="Z6015">
        <v>-5.9081419999999999E-3</v>
      </c>
      <c r="AA6015">
        <v>0.99794830000000001</v>
      </c>
      <c r="AB6015">
        <v>33</v>
      </c>
      <c r="AC6015">
        <v>0.86700000000001798</v>
      </c>
      <c r="AD6015">
        <v>-1.111010475776</v>
      </c>
      <c r="AE6015">
        <v>186.85721999999899</v>
      </c>
      <c r="AF6015">
        <v>-11.9323851271763</v>
      </c>
      <c r="AG6015">
        <v>-1.111010475776</v>
      </c>
      <c r="AH6015">
        <v>186.47123634129699</v>
      </c>
      <c r="AI6015">
        <v>90.340672017893894</v>
      </c>
      <c r="AJ6015">
        <v>93.661392713950804</v>
      </c>
      <c r="AK6015">
        <v>186.855928837574</v>
      </c>
      <c r="AL6015">
        <v>88.1308055930931</v>
      </c>
      <c r="AM6015">
        <v>96.506209557087402</v>
      </c>
      <c r="AN6015">
        <v>0.99999999414218299</v>
      </c>
    </row>
    <row r="6016" spans="1:40" x14ac:dyDescent="0.25">
      <c r="A6016" t="str">
        <f>"20190312151435167"</f>
        <v>20190312151435167</v>
      </c>
      <c r="B6016" t="str">
        <f>"1552374875156807"</f>
        <v>1552374875156807</v>
      </c>
      <c r="C6016" t="s">
        <v>40</v>
      </c>
      <c r="D6016">
        <v>4.555682</v>
      </c>
      <c r="E6016">
        <v>0.51586259999999995</v>
      </c>
      <c r="F6016" t="s">
        <v>42</v>
      </c>
      <c r="G6016">
        <v>-188.84350000000001</v>
      </c>
      <c r="H6016" s="1">
        <v>-2.923645E-6</v>
      </c>
      <c r="I6016">
        <v>105.9697</v>
      </c>
      <c r="J6016">
        <v>-188.79239999999999</v>
      </c>
      <c r="K6016">
        <v>1.11102099999999</v>
      </c>
      <c r="L6016">
        <v>19.17117</v>
      </c>
      <c r="M6016">
        <v>6.5709539999999997E-2</v>
      </c>
      <c r="N6016">
        <v>0</v>
      </c>
      <c r="O6016">
        <v>0.99776540000000002</v>
      </c>
      <c r="P6016">
        <v>-4.7477640000000002E-2</v>
      </c>
      <c r="Q6016">
        <v>2.3140569999999999E-2</v>
      </c>
      <c r="R6016">
        <v>0.99860420000000005</v>
      </c>
      <c r="S6016">
        <v>-4.1198729999999999E-4</v>
      </c>
      <c r="T6016">
        <v>-3.8185480000000001E-2</v>
      </c>
      <c r="U6016">
        <v>3.0044559999999998</v>
      </c>
      <c r="V6016">
        <v>-0.11310729999999999</v>
      </c>
      <c r="W6016">
        <v>3.4803340000000002E-2</v>
      </c>
      <c r="X6016">
        <v>0.99297299999999999</v>
      </c>
      <c r="Y6016">
        <v>-6.5851170000000001E-2</v>
      </c>
      <c r="Z6016">
        <v>-1.2653589999999999E-2</v>
      </c>
      <c r="AA6016">
        <v>0.9977492</v>
      </c>
      <c r="AB6016">
        <v>33</v>
      </c>
      <c r="AC6016">
        <v>-5.1100000000019401E-2</v>
      </c>
      <c r="AD6016">
        <v>-1.1110239236449999</v>
      </c>
      <c r="AE6016">
        <v>86.79853</v>
      </c>
      <c r="AF6016">
        <v>-5.7539560134981498</v>
      </c>
      <c r="AG6016">
        <v>-1.1110239236449999</v>
      </c>
      <c r="AH6016">
        <v>86.593367354767196</v>
      </c>
      <c r="AI6016">
        <v>90.733467749223294</v>
      </c>
      <c r="AJ6016">
        <v>93.801601373112305</v>
      </c>
      <c r="AK6016">
        <v>86.791437675624607</v>
      </c>
      <c r="AL6016">
        <v>88.0055126349029</v>
      </c>
      <c r="AM6016">
        <v>96.498423133776001</v>
      </c>
      <c r="AN6016">
        <v>0.99999995625872096</v>
      </c>
    </row>
    <row r="6017" spans="1:40" x14ac:dyDescent="0.25">
      <c r="A6017" t="str">
        <f>"20190312151435190"</f>
        <v>20190312151435190</v>
      </c>
      <c r="B6017" t="str">
        <f>"1552374875186088"</f>
        <v>1552374875186088</v>
      </c>
      <c r="C6017" t="s">
        <v>40</v>
      </c>
      <c r="D6017">
        <v>4.5503159999999996</v>
      </c>
      <c r="E6017">
        <v>0.51536879999999996</v>
      </c>
      <c r="F6017" t="s">
        <v>42</v>
      </c>
      <c r="G6017">
        <v>-189.14619999999999</v>
      </c>
      <c r="H6017" s="1">
        <v>-8.2533860000000001E-7</v>
      </c>
      <c r="I6017">
        <v>81.203630000000004</v>
      </c>
      <c r="J6017">
        <v>-188.77209999999999</v>
      </c>
      <c r="K6017">
        <v>1.111022</v>
      </c>
      <c r="L6017">
        <v>19.50394</v>
      </c>
      <c r="M6017">
        <v>6.4213350000000002E-2</v>
      </c>
      <c r="N6017">
        <v>0</v>
      </c>
      <c r="O6017">
        <v>0.99786330000000001</v>
      </c>
      <c r="P6017">
        <v>-4.8377110000000001E-2</v>
      </c>
      <c r="Q6017">
        <v>2.4123840000000001E-2</v>
      </c>
      <c r="R6017">
        <v>0.99853780000000003</v>
      </c>
      <c r="S6017">
        <v>-1.7135620000000001E-2</v>
      </c>
      <c r="T6017">
        <v>-5.3814050000000002E-2</v>
      </c>
      <c r="U6017">
        <v>3.0046390000000001</v>
      </c>
      <c r="V6017">
        <v>-0.11251360000000001</v>
      </c>
      <c r="W6017">
        <v>3.575118E-2</v>
      </c>
      <c r="X6017">
        <v>0.99300679999999997</v>
      </c>
      <c r="Y6017">
        <v>-6.9907259999999999E-2</v>
      </c>
      <c r="Z6017">
        <v>-1.7829959999999999E-2</v>
      </c>
      <c r="AA6017">
        <v>0.99739409999999895</v>
      </c>
      <c r="AB6017">
        <v>33</v>
      </c>
      <c r="AC6017">
        <v>-0.37409999999999799</v>
      </c>
      <c r="AD6017">
        <v>-1.1110228253386001</v>
      </c>
      <c r="AE6017">
        <v>61.699689999999997</v>
      </c>
      <c r="AF6017">
        <v>-4.3341545319173802</v>
      </c>
      <c r="AG6017">
        <v>-1.1110228253386001</v>
      </c>
      <c r="AH6017">
        <v>61.528361412724401</v>
      </c>
      <c r="AI6017">
        <v>91.031925819283998</v>
      </c>
      <c r="AJ6017">
        <v>94.029349039213898</v>
      </c>
      <c r="AK6017">
        <v>61.6908301561893</v>
      </c>
      <c r="AL6017">
        <v>87.951171625594597</v>
      </c>
      <c r="AM6017">
        <v>96.464384247470406</v>
      </c>
      <c r="AN6017">
        <v>0.99999998095129505</v>
      </c>
    </row>
    <row r="6018" spans="1:40" x14ac:dyDescent="0.25">
      <c r="A6018" t="str">
        <f>"20190312151435212"</f>
        <v>20190312151435212</v>
      </c>
      <c r="B6018" t="str">
        <f>"1552374875206583"</f>
        <v>1552374875206583</v>
      </c>
      <c r="C6018" t="s">
        <v>40</v>
      </c>
      <c r="D6018">
        <v>4.5512689999999996</v>
      </c>
      <c r="E6018">
        <v>0.51506660000000004</v>
      </c>
      <c r="F6018" t="s">
        <v>42</v>
      </c>
      <c r="G6018">
        <v>-189.18459999999999</v>
      </c>
      <c r="H6018" s="1">
        <v>-9.4734980000000004E-7</v>
      </c>
      <c r="I6018">
        <v>71.503889999999998</v>
      </c>
      <c r="J6018">
        <v>-188.75239999999999</v>
      </c>
      <c r="K6018">
        <v>1.111024</v>
      </c>
      <c r="L6018">
        <v>19.83426</v>
      </c>
      <c r="M6018">
        <v>6.2727489999999997E-2</v>
      </c>
      <c r="N6018">
        <v>0</v>
      </c>
      <c r="O6018">
        <v>0.99795820000000002</v>
      </c>
      <c r="P6018">
        <v>-4.8934039999999998E-2</v>
      </c>
      <c r="Q6018">
        <v>2.5483909999999999E-2</v>
      </c>
      <c r="R6018">
        <v>0.9984769</v>
      </c>
      <c r="S6018">
        <v>-2.3834230000000001E-2</v>
      </c>
      <c r="T6018">
        <v>-6.4199919999999994E-2</v>
      </c>
      <c r="U6018">
        <v>3.004791</v>
      </c>
      <c r="V6018">
        <v>-0.1115905</v>
      </c>
      <c r="W6018">
        <v>3.7080189999999999E-2</v>
      </c>
      <c r="X6018">
        <v>0.99306229999999995</v>
      </c>
      <c r="Y6018">
        <v>-7.0644440000000003E-2</v>
      </c>
      <c r="Z6018">
        <v>-2.1270850000000001E-2</v>
      </c>
      <c r="AA6018">
        <v>0.99727480000000002</v>
      </c>
      <c r="AB6018">
        <v>33</v>
      </c>
      <c r="AC6018">
        <v>-0.43219999999999398</v>
      </c>
      <c r="AD6018">
        <v>-1.1110249473498</v>
      </c>
      <c r="AE6018">
        <v>51.669629999999998</v>
      </c>
      <c r="AF6018">
        <v>-3.67099226090893</v>
      </c>
      <c r="AG6018">
        <v>-1.1110249473498</v>
      </c>
      <c r="AH6018">
        <v>51.516931538292802</v>
      </c>
      <c r="AI6018">
        <v>91.232337489349703</v>
      </c>
      <c r="AJ6018">
        <v>94.075891869008998</v>
      </c>
      <c r="AK6018">
        <v>51.659508280029499</v>
      </c>
      <c r="AL6018">
        <v>87.874974574583007</v>
      </c>
      <c r="AM6018">
        <v>96.411436354792301</v>
      </c>
      <c r="AN6018">
        <v>1.0000000559309801</v>
      </c>
    </row>
    <row r="6019" spans="1:40" x14ac:dyDescent="0.25">
      <c r="A6019" t="str">
        <f>"20190312151435235"</f>
        <v>20190312151435235</v>
      </c>
      <c r="B6019" t="str">
        <f>"1552374875226103"</f>
        <v>1552374875226103</v>
      </c>
      <c r="C6019" t="s">
        <v>40</v>
      </c>
      <c r="D6019">
        <v>4.5760050000000003</v>
      </c>
      <c r="E6019">
        <v>0.51488800000000001</v>
      </c>
      <c r="F6019" t="s">
        <v>42</v>
      </c>
      <c r="G6019">
        <v>-189.21780000000001</v>
      </c>
      <c r="H6019" s="1">
        <v>-2.4415309999999999E-7</v>
      </c>
      <c r="I6019">
        <v>69.753929999999997</v>
      </c>
      <c r="J6019">
        <v>-188.73310000000001</v>
      </c>
      <c r="K6019">
        <v>1.111027</v>
      </c>
      <c r="L6019">
        <v>20.165130000000001</v>
      </c>
      <c r="M6019">
        <v>6.1239139999999997E-2</v>
      </c>
      <c r="N6019">
        <v>0</v>
      </c>
      <c r="O6019">
        <v>0.99805109999999997</v>
      </c>
      <c r="P6019">
        <v>-4.918372E-2</v>
      </c>
      <c r="Q6019">
        <v>2.6575979999999999E-2</v>
      </c>
      <c r="R6019">
        <v>0.99843610000000005</v>
      </c>
      <c r="S6019">
        <v>-2.8015140000000001E-2</v>
      </c>
      <c r="T6019">
        <v>-6.6878080000000006E-2</v>
      </c>
      <c r="U6019">
        <v>3.0049130000000002</v>
      </c>
      <c r="V6019">
        <v>-0.1103595</v>
      </c>
      <c r="W6019">
        <v>3.8140880000000002E-2</v>
      </c>
      <c r="X6019">
        <v>0.99315969999999998</v>
      </c>
      <c r="Y6019">
        <v>-7.0543789999999995E-2</v>
      </c>
      <c r="Z6019">
        <v>-2.215988E-2</v>
      </c>
      <c r="AA6019">
        <v>0.99726250000000005</v>
      </c>
      <c r="AB6019">
        <v>33</v>
      </c>
      <c r="AC6019">
        <v>-0.48470000000000302</v>
      </c>
      <c r="AD6019">
        <v>-1.1110272441530999</v>
      </c>
      <c r="AE6019">
        <v>49.588799999999999</v>
      </c>
      <c r="AF6019">
        <v>-3.51901764294333</v>
      </c>
      <c r="AG6019">
        <v>-1.1110272441530999</v>
      </c>
      <c r="AH6019">
        <v>49.441213868087999</v>
      </c>
      <c r="AI6019">
        <v>91.284068547127603</v>
      </c>
      <c r="AJ6019">
        <v>94.071206947741203</v>
      </c>
      <c r="AK6019">
        <v>49.578740357724001</v>
      </c>
      <c r="AL6019">
        <v>87.814158511792201</v>
      </c>
      <c r="AM6019">
        <v>96.340671701442403</v>
      </c>
      <c r="AN6019">
        <v>1.0000000678357499</v>
      </c>
    </row>
    <row r="6020" spans="1:40" x14ac:dyDescent="0.25">
      <c r="A6020" t="str">
        <f>"20190312151435257"</f>
        <v>20190312151435257</v>
      </c>
      <c r="B6020" t="str">
        <f>"1552374875246599"</f>
        <v>1552374875246599</v>
      </c>
      <c r="C6020" t="s">
        <v>40</v>
      </c>
      <c r="D6020">
        <v>4.5778089999999896</v>
      </c>
      <c r="E6020">
        <v>0.51477819999999996</v>
      </c>
      <c r="F6020" t="s">
        <v>42</v>
      </c>
      <c r="G6020">
        <v>-189.2236</v>
      </c>
      <c r="H6020" s="1">
        <v>-4.1346680000000004E-6</v>
      </c>
      <c r="I6020">
        <v>68.949749999999995</v>
      </c>
      <c r="J6020">
        <v>-188.7149</v>
      </c>
      <c r="K6020">
        <v>1.111029</v>
      </c>
      <c r="L6020">
        <v>20.486360000000001</v>
      </c>
      <c r="M6020">
        <v>5.9794159999999999E-2</v>
      </c>
      <c r="N6020">
        <v>0</v>
      </c>
      <c r="O6020">
        <v>0.99813909999999995</v>
      </c>
      <c r="P6020">
        <v>-4.9041830000000002E-2</v>
      </c>
      <c r="Q6020">
        <v>2.8083569999999999E-2</v>
      </c>
      <c r="R6020">
        <v>0.99840180000000001</v>
      </c>
      <c r="S6020">
        <v>-3.02124E-2</v>
      </c>
      <c r="T6020">
        <v>-6.8437339999999999E-2</v>
      </c>
      <c r="U6020">
        <v>3.0050349999999999</v>
      </c>
      <c r="V6020">
        <v>-0.1087813</v>
      </c>
      <c r="W6020">
        <v>3.9620820000000001E-2</v>
      </c>
      <c r="X6020">
        <v>0.99327580000000004</v>
      </c>
      <c r="Y6020">
        <v>-6.9828230000000005E-2</v>
      </c>
      <c r="Z6020">
        <v>-2.2678839999999999E-2</v>
      </c>
      <c r="AA6020">
        <v>0.9973012</v>
      </c>
      <c r="AB6020">
        <v>33</v>
      </c>
      <c r="AC6020">
        <v>-0.50870000000000404</v>
      </c>
      <c r="AD6020">
        <v>-1.111033134668</v>
      </c>
      <c r="AE6020">
        <v>48.463389999999897</v>
      </c>
      <c r="AF6020">
        <v>-3.40403572846314</v>
      </c>
      <c r="AG6020">
        <v>-1.111033134668</v>
      </c>
      <c r="AH6020">
        <v>48.320851008395799</v>
      </c>
      <c r="AI6020">
        <v>91.313904977041503</v>
      </c>
      <c r="AJ6020">
        <v>94.029631028893306</v>
      </c>
      <c r="AK6020">
        <v>48.453343497044301</v>
      </c>
      <c r="AL6020">
        <v>87.729299869163697</v>
      </c>
      <c r="AM6020">
        <v>96.249994755207396</v>
      </c>
      <c r="AN6020">
        <v>0.99999999773640103</v>
      </c>
    </row>
    <row r="6021" spans="1:40" x14ac:dyDescent="0.25">
      <c r="A6021" t="str">
        <f>"20190312151435279"</f>
        <v>20190312151435279</v>
      </c>
      <c r="B6021" t="str">
        <f>"1552374875276855"</f>
        <v>1552374875276855</v>
      </c>
      <c r="C6021" t="s">
        <v>40</v>
      </c>
      <c r="D6021">
        <v>4.5876320000000002</v>
      </c>
      <c r="E6021">
        <v>0.51466999999999996</v>
      </c>
      <c r="F6021" t="s">
        <v>42</v>
      </c>
      <c r="G6021">
        <v>-189.2107</v>
      </c>
      <c r="H6021" s="1">
        <v>-4.2936059999999996E-6</v>
      </c>
      <c r="I6021">
        <v>69.314920000000001</v>
      </c>
      <c r="J6021">
        <v>-188.697</v>
      </c>
      <c r="K6021">
        <v>1.11103</v>
      </c>
      <c r="L6021">
        <v>20.809139999999999</v>
      </c>
      <c r="M6021">
        <v>5.8342129999999999E-2</v>
      </c>
      <c r="N6021">
        <v>0</v>
      </c>
      <c r="O6021">
        <v>0.99822549999999999</v>
      </c>
      <c r="P6021">
        <v>-4.8360199999999999E-2</v>
      </c>
      <c r="Q6021">
        <v>2.9626070000000001E-2</v>
      </c>
      <c r="R6021">
        <v>0.99839049999999996</v>
      </c>
      <c r="S6021">
        <v>-3.0517579999999999E-2</v>
      </c>
      <c r="T6021">
        <v>-6.8379999999999996E-2</v>
      </c>
      <c r="U6021">
        <v>3.0052189999999999</v>
      </c>
      <c r="V6021">
        <v>-0.106660199999999</v>
      </c>
      <c r="W6021">
        <v>4.1140219999999998E-2</v>
      </c>
      <c r="X6021">
        <v>0.99344399999999999</v>
      </c>
      <c r="Y6021">
        <v>-6.8477689999999994E-2</v>
      </c>
      <c r="Z6021">
        <v>-2.2662450000000001E-2</v>
      </c>
      <c r="AA6021">
        <v>0.99739520000000004</v>
      </c>
      <c r="AB6021">
        <v>33</v>
      </c>
      <c r="AC6021">
        <v>-0.51370000000000005</v>
      </c>
      <c r="AD6021">
        <v>-1.111034293606</v>
      </c>
      <c r="AE6021">
        <v>48.505780000000001</v>
      </c>
      <c r="AF6021">
        <v>-3.34120363988175</v>
      </c>
      <c r="AG6021">
        <v>-1.111034293606</v>
      </c>
      <c r="AH6021">
        <v>48.367800097048303</v>
      </c>
      <c r="AI6021">
        <v>91.312756001414897</v>
      </c>
      <c r="AJ6021">
        <v>93.951662642906498</v>
      </c>
      <c r="AK6021">
        <v>48.495794922784398</v>
      </c>
      <c r="AL6021">
        <v>87.642173474666606</v>
      </c>
      <c r="AM6021">
        <v>96.128034492249597</v>
      </c>
      <c r="AN6021">
        <v>0.99999994855084295</v>
      </c>
    </row>
    <row r="6022" spans="1:40" x14ac:dyDescent="0.25">
      <c r="A6022" t="str">
        <f>"20190312151435304"</f>
        <v>20190312151435304</v>
      </c>
      <c r="B6022" t="str">
        <f>"1552374875296375"</f>
        <v>1552374875296375</v>
      </c>
      <c r="C6022" t="s">
        <v>40</v>
      </c>
      <c r="D6022">
        <v>4.6508609999999999</v>
      </c>
      <c r="E6022">
        <v>0.54352299999999998</v>
      </c>
      <c r="F6022" t="s">
        <v>42</v>
      </c>
      <c r="G6022">
        <v>-189.16849999999999</v>
      </c>
      <c r="H6022" s="1">
        <v>-4.3297409999999999E-6</v>
      </c>
      <c r="I6022">
        <v>69.381709999999998</v>
      </c>
      <c r="J6022">
        <v>-188.67789999999999</v>
      </c>
      <c r="K6022">
        <v>1.1110340000000001</v>
      </c>
      <c r="L6022">
        <v>21.16422</v>
      </c>
      <c r="M6022">
        <v>5.6744759999999998E-2</v>
      </c>
      <c r="N6022">
        <v>0</v>
      </c>
      <c r="O6022">
        <v>0.99831789999999998</v>
      </c>
      <c r="P6022">
        <v>-4.7969890000000001E-2</v>
      </c>
      <c r="Q6022">
        <v>3.105341E-2</v>
      </c>
      <c r="R6022">
        <v>0.99836590000000003</v>
      </c>
      <c r="S6022">
        <v>-2.9174800000000001E-2</v>
      </c>
      <c r="T6022">
        <v>-6.8746089999999996E-2</v>
      </c>
      <c r="U6022">
        <v>3.0054630000000002</v>
      </c>
      <c r="V6022">
        <v>-0.10468280000000001</v>
      </c>
      <c r="W6022">
        <v>4.2544220000000001E-2</v>
      </c>
      <c r="X6022">
        <v>0.99359520000000001</v>
      </c>
      <c r="Y6022">
        <v>-6.6434720000000003E-2</v>
      </c>
      <c r="Z6022">
        <v>-2.278666E-2</v>
      </c>
      <c r="AA6022">
        <v>0.99753049999999999</v>
      </c>
      <c r="AB6022">
        <v>33</v>
      </c>
      <c r="AC6022">
        <v>-0.49059999999999998</v>
      </c>
      <c r="AD6022">
        <v>-1.111038329741</v>
      </c>
      <c r="AE6022">
        <v>48.217489999999998</v>
      </c>
      <c r="AF6022">
        <v>-3.2243809676744499</v>
      </c>
      <c r="AG6022">
        <v>-1.111038329741</v>
      </c>
      <c r="AH6022">
        <v>48.086417519953102</v>
      </c>
      <c r="AI6022">
        <v>91.320620940214297</v>
      </c>
      <c r="AJ6022">
        <v>93.836161904408399</v>
      </c>
      <c r="AK6022">
        <v>48.207204738484002</v>
      </c>
      <c r="AL6022">
        <v>87.561659706759002</v>
      </c>
      <c r="AM6022">
        <v>96.014357416937798</v>
      </c>
      <c r="AN6022">
        <v>0.999999960367143</v>
      </c>
    </row>
    <row r="6023" spans="1:40" x14ac:dyDescent="0.25">
      <c r="A6023" t="str">
        <f>"20190312151435327"</f>
        <v>20190312151435327</v>
      </c>
      <c r="B6023" t="str">
        <f>"1552374875316871"</f>
        <v>1552374875316871</v>
      </c>
      <c r="C6023" t="s">
        <v>40</v>
      </c>
      <c r="D6023">
        <v>4.8419990000000004</v>
      </c>
      <c r="E6023">
        <v>0.54759139999999995</v>
      </c>
      <c r="F6023" t="s">
        <v>58</v>
      </c>
      <c r="G6023">
        <v>-181.95529999999999</v>
      </c>
      <c r="H6023" s="1">
        <v>-2.7100249999999999E-6</v>
      </c>
      <c r="I6023">
        <v>121.5882</v>
      </c>
      <c r="J6023">
        <v>-188.66030000000001</v>
      </c>
      <c r="K6023">
        <v>1.1110409999999999</v>
      </c>
      <c r="L6023">
        <v>21.501100000000001</v>
      </c>
      <c r="M6023">
        <v>5.5230040000000001E-2</v>
      </c>
      <c r="N6023">
        <v>0</v>
      </c>
      <c r="O6023">
        <v>0.99840309999999999</v>
      </c>
      <c r="P6023">
        <v>-4.7270079999999999E-2</v>
      </c>
      <c r="Q6023">
        <v>3.2278620000000001E-2</v>
      </c>
      <c r="R6023">
        <v>0.99836049999999998</v>
      </c>
      <c r="S6023">
        <v>0.20187379999999999</v>
      </c>
      <c r="T6023">
        <v>-3.3363579999999997E-2</v>
      </c>
      <c r="U6023">
        <v>3.0156559999999999</v>
      </c>
      <c r="V6023">
        <v>-0.1024793</v>
      </c>
      <c r="W6023">
        <v>4.375188E-2</v>
      </c>
      <c r="X6023">
        <v>0.99377249999999995</v>
      </c>
      <c r="Y6023">
        <v>1.1575820000000001E-2</v>
      </c>
      <c r="Z6023">
        <v>-1.102476E-2</v>
      </c>
      <c r="AA6023">
        <v>0.99987219999999999</v>
      </c>
      <c r="AB6023">
        <v>33</v>
      </c>
      <c r="AC6023">
        <v>6.7050000000000098</v>
      </c>
      <c r="AD6023">
        <v>-1.1110437100249999</v>
      </c>
      <c r="AE6023">
        <v>100.08710000000001</v>
      </c>
      <c r="AF6023">
        <v>1.1664173397755599</v>
      </c>
      <c r="AG6023">
        <v>-1.1110437100249999</v>
      </c>
      <c r="AH6023">
        <v>100.292351153895</v>
      </c>
      <c r="AI6023">
        <v>90.634656646561396</v>
      </c>
      <c r="AJ6023">
        <v>89.333670245060802</v>
      </c>
      <c r="AK6023">
        <v>100.305287236079</v>
      </c>
      <c r="AL6023">
        <v>87.492401496789498</v>
      </c>
      <c r="AM6023">
        <v>95.887615239831405</v>
      </c>
      <c r="AN6023">
        <v>1.00000000784413</v>
      </c>
    </row>
    <row r="6024" spans="1:40" x14ac:dyDescent="0.25">
      <c r="A6024" t="str">
        <f>"20190312151435348"</f>
        <v>20190312151435348</v>
      </c>
      <c r="B6024" t="str">
        <f>"1552374875336391"</f>
        <v>1552374875336391</v>
      </c>
      <c r="C6024" t="s">
        <v>40</v>
      </c>
      <c r="D6024">
        <v>4.7389599999999996</v>
      </c>
      <c r="E6024">
        <v>0.54933940000000003</v>
      </c>
      <c r="F6024" t="s">
        <v>42</v>
      </c>
      <c r="G6024">
        <v>-182.2525</v>
      </c>
      <c r="H6024" s="1">
        <v>-3.29708E-6</v>
      </c>
      <c r="I6024">
        <v>103.2791</v>
      </c>
      <c r="J6024">
        <v>-188.64410000000001</v>
      </c>
      <c r="K6024">
        <v>1.1110439999999999</v>
      </c>
      <c r="L6024">
        <v>21.821110000000001</v>
      </c>
      <c r="M6024">
        <v>5.37911999999999E-2</v>
      </c>
      <c r="N6024">
        <v>0</v>
      </c>
      <c r="O6024">
        <v>0.99848199999999998</v>
      </c>
      <c r="P6024">
        <v>-4.6815599999999999E-2</v>
      </c>
      <c r="Q6024">
        <v>3.3238360000000002E-2</v>
      </c>
      <c r="R6024">
        <v>0.99835039999999997</v>
      </c>
      <c r="S6024">
        <v>0.2364349</v>
      </c>
      <c r="T6024">
        <v>-4.0995480000000001E-2</v>
      </c>
      <c r="U6024">
        <v>3.0174560000000001</v>
      </c>
      <c r="V6024">
        <v>-0.100595</v>
      </c>
      <c r="W6024">
        <v>4.4697470000000003E-2</v>
      </c>
      <c r="X6024">
        <v>0.99392290000000005</v>
      </c>
      <c r="Y6024">
        <v>2.436543E-2</v>
      </c>
      <c r="Z6024">
        <v>-1.353262E-2</v>
      </c>
      <c r="AA6024">
        <v>0.99961149999999999</v>
      </c>
      <c r="AB6024">
        <v>33</v>
      </c>
      <c r="AC6024">
        <v>6.3916000000000102</v>
      </c>
      <c r="AD6024">
        <v>-1.1110472970799901</v>
      </c>
      <c r="AE6024">
        <v>81.457989999999995</v>
      </c>
      <c r="AF6024">
        <v>1.9999449632698401</v>
      </c>
      <c r="AG6024">
        <v>-1.1110472970799901</v>
      </c>
      <c r="AH6024">
        <v>81.668774558646604</v>
      </c>
      <c r="AI6024">
        <v>90.779187873335701</v>
      </c>
      <c r="AJ6024">
        <v>88.597193250195104</v>
      </c>
      <c r="AK6024">
        <v>81.700813605884605</v>
      </c>
      <c r="AL6024">
        <v>87.438170034130906</v>
      </c>
      <c r="AM6024">
        <v>95.779229972183998</v>
      </c>
      <c r="AN6024">
        <v>0.99999997449690503</v>
      </c>
    </row>
    <row r="6025" spans="1:40" x14ac:dyDescent="0.25">
      <c r="A6025" t="str">
        <f>"20190312151435368"</f>
        <v>20190312151435368</v>
      </c>
      <c r="B6025" t="str">
        <f>"1552374875356887"</f>
        <v>1552374875356887</v>
      </c>
      <c r="C6025" t="s">
        <v>40</v>
      </c>
      <c r="D6025">
        <v>4.6874729999999998</v>
      </c>
      <c r="E6025">
        <v>0.55009560000000002</v>
      </c>
      <c r="F6025" t="s">
        <v>42</v>
      </c>
      <c r="G6025">
        <v>-181.41630000000001</v>
      </c>
      <c r="H6025" s="1">
        <v>-5.297395E-6</v>
      </c>
      <c r="I6025">
        <v>108.4319</v>
      </c>
      <c r="J6025">
        <v>-188.62950000000001</v>
      </c>
      <c r="K6025">
        <v>1.111048</v>
      </c>
      <c r="L6025">
        <v>22.116849999999999</v>
      </c>
      <c r="M6025">
        <v>5.246178E-2</v>
      </c>
      <c r="N6025">
        <v>0</v>
      </c>
      <c r="O6025">
        <v>0.99855289999999997</v>
      </c>
      <c r="P6025">
        <v>-4.6208560000000003E-2</v>
      </c>
      <c r="Q6025">
        <v>3.3365289999999999E-2</v>
      </c>
      <c r="R6025">
        <v>0.99837450000000005</v>
      </c>
      <c r="S6025">
        <v>0.25186160000000002</v>
      </c>
      <c r="T6025">
        <v>-3.8715960000000001E-2</v>
      </c>
      <c r="U6025">
        <v>3.0180660000000001</v>
      </c>
      <c r="V6025">
        <v>-9.8666340000000005E-2</v>
      </c>
      <c r="W6025">
        <v>4.4814659999999999E-2</v>
      </c>
      <c r="X6025">
        <v>0.99411090000000002</v>
      </c>
      <c r="Y6025">
        <v>3.0757179999999999E-2</v>
      </c>
      <c r="Z6025">
        <v>-1.2775299999999899E-2</v>
      </c>
      <c r="AA6025">
        <v>0.99944529999999998</v>
      </c>
      <c r="AB6025">
        <v>33</v>
      </c>
      <c r="AC6025">
        <v>7.2131999999999996</v>
      </c>
      <c r="AD6025">
        <v>-1.111053297395</v>
      </c>
      <c r="AE6025">
        <v>86.315049999999999</v>
      </c>
      <c r="AF6025">
        <v>2.6742676465714599</v>
      </c>
      <c r="AG6025">
        <v>-1.111053297395</v>
      </c>
      <c r="AH6025">
        <v>86.560372767519695</v>
      </c>
      <c r="AI6025">
        <v>90.7350339772929</v>
      </c>
      <c r="AJ6025">
        <v>88.230419739564496</v>
      </c>
      <c r="AK6025">
        <v>86.608800248745695</v>
      </c>
      <c r="AL6025">
        <v>87.431448720290007</v>
      </c>
      <c r="AM6025">
        <v>95.668091166568502</v>
      </c>
      <c r="AN6025">
        <v>0.99999994094935896</v>
      </c>
    </row>
    <row r="6026" spans="1:40" x14ac:dyDescent="0.25">
      <c r="A6026" t="str">
        <f>"20190312151435391"</f>
        <v>20190312151435391</v>
      </c>
      <c r="B6026" t="str">
        <f>"1552374875386168"</f>
        <v>1552374875386168</v>
      </c>
      <c r="C6026" t="s">
        <v>40</v>
      </c>
      <c r="D6026">
        <v>4.7082519999999999</v>
      </c>
      <c r="E6026">
        <v>0.5510581</v>
      </c>
      <c r="F6026" t="s">
        <v>42</v>
      </c>
      <c r="G6026">
        <v>-183.1523</v>
      </c>
      <c r="H6026" s="1">
        <v>-3.9101580000000004E-6</v>
      </c>
      <c r="I6026">
        <v>85.784219999999905</v>
      </c>
      <c r="J6026">
        <v>-188.6139</v>
      </c>
      <c r="K6026">
        <v>1.1110469999999999</v>
      </c>
      <c r="L6026">
        <v>22.440639999999998</v>
      </c>
      <c r="M6026">
        <v>5.1006080000000002E-2</v>
      </c>
      <c r="N6026">
        <v>0</v>
      </c>
      <c r="O6026">
        <v>0.99862859999999998</v>
      </c>
      <c r="P6026">
        <v>-4.6176269999999998E-2</v>
      </c>
      <c r="Q6026">
        <v>3.3727449999999999E-2</v>
      </c>
      <c r="R6026">
        <v>0.99836380000000002</v>
      </c>
      <c r="S6026">
        <v>0.25968930000000001</v>
      </c>
      <c r="T6026">
        <v>-5.2678589999999997E-2</v>
      </c>
      <c r="U6026">
        <v>3.0186769999999998</v>
      </c>
      <c r="V6026">
        <v>-9.7184779999999998E-2</v>
      </c>
      <c r="W6026">
        <v>4.5165259999999999E-2</v>
      </c>
      <c r="X6026">
        <v>0.99424100000000004</v>
      </c>
      <c r="Y6026">
        <v>3.4764490000000002E-2</v>
      </c>
      <c r="Z6026">
        <v>-1.7376829999999999E-2</v>
      </c>
      <c r="AA6026">
        <v>0.99924449999999998</v>
      </c>
      <c r="AB6026">
        <v>33</v>
      </c>
      <c r="AC6026">
        <v>5.4615999999999998</v>
      </c>
      <c r="AD6026">
        <v>-1.1110509101579999</v>
      </c>
      <c r="AE6026">
        <v>63.343579999999903</v>
      </c>
      <c r="AF6026">
        <v>2.2226783439772699</v>
      </c>
      <c r="AG6026">
        <v>-1.1110509101579999</v>
      </c>
      <c r="AH6026">
        <v>63.520313010673803</v>
      </c>
      <c r="AI6026">
        <v>91.001460944462195</v>
      </c>
      <c r="AJ6026">
        <v>87.995945799553894</v>
      </c>
      <c r="AK6026">
        <v>63.5688988273332</v>
      </c>
      <c r="AL6026">
        <v>87.411340543806304</v>
      </c>
      <c r="AM6026">
        <v>95.582795776134006</v>
      </c>
      <c r="AN6026">
        <v>0.99999997412775699</v>
      </c>
    </row>
    <row r="6027" spans="1:40" x14ac:dyDescent="0.25">
      <c r="A6027" t="str">
        <f>"20190312151435413"</f>
        <v>20190312151435413</v>
      </c>
      <c r="B6027" t="str">
        <f>"1552374875406664"</f>
        <v>1552374875406664</v>
      </c>
      <c r="C6027" t="s">
        <v>40</v>
      </c>
      <c r="D6027">
        <v>4.7153499999999999</v>
      </c>
      <c r="E6027">
        <v>0.55148609999999998</v>
      </c>
      <c r="F6027" t="s">
        <v>42</v>
      </c>
      <c r="G6027">
        <v>-184.3879</v>
      </c>
      <c r="H6027" s="1">
        <v>-1.677392E-6</v>
      </c>
      <c r="I6027">
        <v>70.1892</v>
      </c>
      <c r="J6027">
        <v>-188.59790000000001</v>
      </c>
      <c r="K6027">
        <v>1.1110439999999999</v>
      </c>
      <c r="L6027">
        <v>22.78586</v>
      </c>
      <c r="M6027">
        <v>4.9454529999999997E-2</v>
      </c>
      <c r="N6027">
        <v>0</v>
      </c>
      <c r="O6027">
        <v>0.99870680000000001</v>
      </c>
      <c r="P6027">
        <v>-4.6337990000000003E-2</v>
      </c>
      <c r="Q6027">
        <v>3.4422000000000001E-2</v>
      </c>
      <c r="R6027">
        <v>0.99833260000000001</v>
      </c>
      <c r="S6027">
        <v>0.26725769999999999</v>
      </c>
      <c r="T6027">
        <v>-7.0263499999999895E-2</v>
      </c>
      <c r="U6027">
        <v>3.0196529999999999</v>
      </c>
      <c r="V6027">
        <v>-9.5801620000000004E-2</v>
      </c>
      <c r="W6027">
        <v>4.5849279999999999E-2</v>
      </c>
      <c r="X6027">
        <v>0.99434389999999995</v>
      </c>
      <c r="Y6027">
        <v>3.8764510000000002E-2</v>
      </c>
      <c r="Z6027">
        <v>-2.316578E-2</v>
      </c>
      <c r="AA6027">
        <v>0.99897979999999997</v>
      </c>
      <c r="AB6027">
        <v>33</v>
      </c>
      <c r="AC6027">
        <v>4.21</v>
      </c>
      <c r="AD6027">
        <v>-1.1110456773919899</v>
      </c>
      <c r="AE6027">
        <v>47.40334</v>
      </c>
      <c r="AF6027">
        <v>1.85936156796548</v>
      </c>
      <c r="AG6027">
        <v>-1.1110456773919899</v>
      </c>
      <c r="AH6027">
        <v>47.527641322803497</v>
      </c>
      <c r="AI6027">
        <v>91.338126656940105</v>
      </c>
      <c r="AJ6027">
        <v>87.759634873138793</v>
      </c>
      <c r="AK6027">
        <v>47.576972766735899</v>
      </c>
      <c r="AL6027">
        <v>87.372108373118095</v>
      </c>
      <c r="AM6027">
        <v>95.503265224610999</v>
      </c>
      <c r="AN6027">
        <v>0.99999994916917501</v>
      </c>
    </row>
    <row r="6028" spans="1:40" x14ac:dyDescent="0.25">
      <c r="A6028" t="str">
        <f>"20190312151435438"</f>
        <v>20190312151435438</v>
      </c>
      <c r="B6028" t="str">
        <f>"1552374875426183"</f>
        <v>1552374875426183</v>
      </c>
      <c r="C6028" t="s">
        <v>40</v>
      </c>
      <c r="D6028">
        <v>4.7324080000000004</v>
      </c>
      <c r="E6028">
        <v>0.55163999999999902</v>
      </c>
      <c r="F6028" t="s">
        <v>42</v>
      </c>
      <c r="G6028">
        <v>-184.66829999999999</v>
      </c>
      <c r="H6028" s="1">
        <v>-3.9953730000000002E-6</v>
      </c>
      <c r="I6028">
        <v>66.741500000000002</v>
      </c>
      <c r="J6028">
        <v>-188.58160000000001</v>
      </c>
      <c r="K6028">
        <v>1.1110439999999999</v>
      </c>
      <c r="L6028">
        <v>23.149319999999999</v>
      </c>
      <c r="M6028">
        <v>4.7823419999999998E-2</v>
      </c>
      <c r="N6028">
        <v>0</v>
      </c>
      <c r="O6028">
        <v>0.99878639999999996</v>
      </c>
      <c r="P6028">
        <v>-4.709435E-2</v>
      </c>
      <c r="Q6028">
        <v>3.4668959999999999E-2</v>
      </c>
      <c r="R6028">
        <v>0.99828859999999997</v>
      </c>
      <c r="S6028">
        <v>0.27000429999999997</v>
      </c>
      <c r="T6028">
        <v>-7.6339599999999994E-2</v>
      </c>
      <c r="U6028">
        <v>3.0201720000000001</v>
      </c>
      <c r="V6028">
        <v>-9.4930979999999998E-2</v>
      </c>
      <c r="W6028">
        <v>4.6085550000000003E-2</v>
      </c>
      <c r="X6028">
        <v>0.99441650000000004</v>
      </c>
      <c r="Y6028">
        <v>4.1278299999999997E-2</v>
      </c>
      <c r="Z6028">
        <v>-2.5164260000000001E-2</v>
      </c>
      <c r="AA6028">
        <v>0.99883069999999896</v>
      </c>
      <c r="AB6028">
        <v>33</v>
      </c>
      <c r="AC6028">
        <v>3.91330000000002</v>
      </c>
      <c r="AD6028">
        <v>-1.1110479953729999</v>
      </c>
      <c r="AE6028">
        <v>43.592179999999999</v>
      </c>
      <c r="AF6028">
        <v>1.8227755181849901</v>
      </c>
      <c r="AG6028">
        <v>-1.1110479953729999</v>
      </c>
      <c r="AH6028">
        <v>43.701293945857799</v>
      </c>
      <c r="AI6028">
        <v>91.455091582762506</v>
      </c>
      <c r="AJ6028">
        <v>87.611584595912305</v>
      </c>
      <c r="AK6028">
        <v>43.7534002196399</v>
      </c>
      <c r="AL6028">
        <v>87.358556834531399</v>
      </c>
      <c r="AM6028">
        <v>95.453158986885796</v>
      </c>
      <c r="AN6028">
        <v>0.99999997217740599</v>
      </c>
    </row>
    <row r="6029" spans="1:40" x14ac:dyDescent="0.25">
      <c r="A6029" t="str">
        <f>"20190312151435459"</f>
        <v>20190312151435459</v>
      </c>
      <c r="B6029" t="str">
        <f>"1552374875446680"</f>
        <v>1552374875446680</v>
      </c>
      <c r="C6029" t="s">
        <v>40</v>
      </c>
      <c r="D6029">
        <v>4.6839060000000003</v>
      </c>
      <c r="E6029">
        <v>0.55142269999999904</v>
      </c>
      <c r="F6029" t="s">
        <v>42</v>
      </c>
      <c r="G6029">
        <v>-184.82929999999999</v>
      </c>
      <c r="H6029" s="1">
        <v>-3.33533E-6</v>
      </c>
      <c r="I6029">
        <v>65.26952</v>
      </c>
      <c r="J6029">
        <v>-188.56880000000001</v>
      </c>
      <c r="K6029">
        <v>1.1110439999999999</v>
      </c>
      <c r="L6029">
        <v>23.444369999999999</v>
      </c>
      <c r="M6029">
        <v>4.650141E-2</v>
      </c>
      <c r="N6029">
        <v>0</v>
      </c>
      <c r="O6029">
        <v>0.99884890000000004</v>
      </c>
      <c r="P6029">
        <v>-4.7688439999999999E-2</v>
      </c>
      <c r="Q6029">
        <v>3.4905499999999999E-2</v>
      </c>
      <c r="R6029">
        <v>0.99825220000000003</v>
      </c>
      <c r="S6029">
        <v>0.26908870000000001</v>
      </c>
      <c r="T6029">
        <v>-7.9677460000000006E-2</v>
      </c>
      <c r="U6029">
        <v>3.0205989999999998</v>
      </c>
      <c r="V6029">
        <v>-9.4206369999999998E-2</v>
      </c>
      <c r="W6029">
        <v>4.6315620000000002E-2</v>
      </c>
      <c r="X6029">
        <v>0.99447479999999999</v>
      </c>
      <c r="Y6029">
        <v>4.2285330000000003E-2</v>
      </c>
      <c r="Z6029">
        <v>-2.626235E-2</v>
      </c>
      <c r="AA6029">
        <v>0.99876030000000005</v>
      </c>
      <c r="AB6029">
        <v>33</v>
      </c>
      <c r="AC6029">
        <v>3.73950000000002</v>
      </c>
      <c r="AD6029">
        <v>-1.1110473353299899</v>
      </c>
      <c r="AE6029">
        <v>41.825150000000001</v>
      </c>
      <c r="AF6029">
        <v>1.7891385008080001</v>
      </c>
      <c r="AG6029">
        <v>-1.1110473353299899</v>
      </c>
      <c r="AH6029">
        <v>41.924452935205203</v>
      </c>
      <c r="AI6029">
        <v>91.516670469941403</v>
      </c>
      <c r="AJ6029">
        <v>87.556368276938898</v>
      </c>
      <c r="AK6029">
        <v>41.977317645040799</v>
      </c>
      <c r="AL6029">
        <v>87.345360915988095</v>
      </c>
      <c r="AM6029">
        <v>95.411467607461802</v>
      </c>
      <c r="AN6029">
        <v>1.0000000523197901</v>
      </c>
    </row>
    <row r="6030" spans="1:40" x14ac:dyDescent="0.25">
      <c r="A6030" t="str">
        <f>"20190312151435503"</f>
        <v>20190312151435503</v>
      </c>
      <c r="B6030" t="str">
        <f>"1552374875496455"</f>
        <v>1552374875496455</v>
      </c>
      <c r="C6030" t="s">
        <v>40</v>
      </c>
      <c r="D6030">
        <v>4.7208550000000002</v>
      </c>
      <c r="E6030">
        <v>0.55180450000000003</v>
      </c>
      <c r="F6030" t="s">
        <v>42</v>
      </c>
      <c r="G6030">
        <v>-184.8031</v>
      </c>
      <c r="H6030" s="1">
        <v>-3.80178E-6</v>
      </c>
      <c r="I6030">
        <v>66.34599</v>
      </c>
      <c r="J6030">
        <v>-188.542</v>
      </c>
      <c r="K6030">
        <v>1.1110390000000001</v>
      </c>
      <c r="L6030">
        <v>24.09348</v>
      </c>
      <c r="M6030">
        <v>4.3607239999999999E-2</v>
      </c>
      <c r="N6030">
        <v>0</v>
      </c>
      <c r="O6030">
        <v>0.99897959999999997</v>
      </c>
      <c r="P6030">
        <v>-4.9370659999999997E-2</v>
      </c>
      <c r="Q6030">
        <v>3.5405770000000003E-2</v>
      </c>
      <c r="R6030">
        <v>0.99815279999999995</v>
      </c>
      <c r="S6030">
        <v>0.2651367</v>
      </c>
      <c r="T6030">
        <v>-7.8227759999999993E-2</v>
      </c>
      <c r="U6030">
        <v>3.0206599999999999</v>
      </c>
      <c r="V6030">
        <v>-9.3000639999999996E-2</v>
      </c>
      <c r="W6030">
        <v>4.6803839999999999E-2</v>
      </c>
      <c r="X6030">
        <v>0.99456540000000004</v>
      </c>
      <c r="Y6030">
        <v>4.3882730000000002E-2</v>
      </c>
      <c r="Z6030">
        <v>-2.5789960000000001E-2</v>
      </c>
      <c r="AA6030">
        <v>0.99870380000000003</v>
      </c>
      <c r="AB6030">
        <v>33</v>
      </c>
      <c r="AC6030">
        <v>3.7389000000000001</v>
      </c>
      <c r="AD6030">
        <v>-1.11104280177999</v>
      </c>
      <c r="AE6030">
        <v>42.252510000000001</v>
      </c>
      <c r="AF6030">
        <v>1.8914026049060899</v>
      </c>
      <c r="AG6030">
        <v>-1.11104280177999</v>
      </c>
      <c r="AH6030">
        <v>42.3463136158379</v>
      </c>
      <c r="AI6030">
        <v>91.501431821446204</v>
      </c>
      <c r="AJ6030">
        <v>87.442577667562205</v>
      </c>
      <c r="AK6030">
        <v>42.403090651179298</v>
      </c>
      <c r="AL6030">
        <v>87.317357533485307</v>
      </c>
      <c r="AM6030">
        <v>95.3421267075542</v>
      </c>
      <c r="AN6030">
        <v>1.0000000266781499</v>
      </c>
    </row>
    <row r="6031" spans="1:40" x14ac:dyDescent="0.25">
      <c r="A6031" t="str">
        <f>"20190312151435527"</f>
        <v>20190312151435527</v>
      </c>
      <c r="B6031" t="str">
        <f>"1552374875516951"</f>
        <v>1552374875516951</v>
      </c>
      <c r="C6031" t="s">
        <v>40</v>
      </c>
      <c r="D6031">
        <v>4.6284989999999997</v>
      </c>
      <c r="E6031">
        <v>0.55181539999999996</v>
      </c>
      <c r="F6031" t="s">
        <v>42</v>
      </c>
      <c r="G6031">
        <v>-185.215</v>
      </c>
      <c r="H6031" s="1">
        <v>-2.1878719999999999E-6</v>
      </c>
      <c r="I6031">
        <v>62.335940000000001</v>
      </c>
      <c r="J6031">
        <v>-188.52799999999999</v>
      </c>
      <c r="K6031">
        <v>1.1110329999999999</v>
      </c>
      <c r="L6031">
        <v>24.450990000000001</v>
      </c>
      <c r="M6031">
        <v>4.202678E-2</v>
      </c>
      <c r="N6031">
        <v>0</v>
      </c>
      <c r="O6031">
        <v>0.99904749999999998</v>
      </c>
      <c r="P6031">
        <v>-5.0294720000000001E-2</v>
      </c>
      <c r="Q6031">
        <v>3.5872279999999999E-2</v>
      </c>
      <c r="R6031">
        <v>0.99809000000000003</v>
      </c>
      <c r="S6031">
        <v>0.26287840000000001</v>
      </c>
      <c r="T6031">
        <v>-8.7787149999999994E-2</v>
      </c>
      <c r="U6031">
        <v>3.0216669999999999</v>
      </c>
      <c r="V6031">
        <v>-9.2347929999999995E-2</v>
      </c>
      <c r="W6031">
        <v>4.7266820000000001E-2</v>
      </c>
      <c r="X6031">
        <v>0.9946043</v>
      </c>
      <c r="Y6031">
        <v>4.468602E-2</v>
      </c>
      <c r="Z6031">
        <v>-2.893275E-2</v>
      </c>
      <c r="AA6031">
        <v>0.99858199999999997</v>
      </c>
      <c r="AB6031">
        <v>33</v>
      </c>
      <c r="AC6031">
        <v>3.3129999999999802</v>
      </c>
      <c r="AD6031">
        <v>-1.111035187872</v>
      </c>
      <c r="AE6031">
        <v>37.884950000000003</v>
      </c>
      <c r="AF6031">
        <v>1.7163153948999601</v>
      </c>
      <c r="AG6031">
        <v>-1.111035187872</v>
      </c>
      <c r="AH6031">
        <v>37.958319585432903</v>
      </c>
      <c r="AI6031">
        <v>91.674851266943705</v>
      </c>
      <c r="AJ6031">
        <v>87.411089437866096</v>
      </c>
      <c r="AK6031">
        <v>38.013341914034903</v>
      </c>
      <c r="AL6031">
        <v>87.290801278104496</v>
      </c>
      <c r="AM6031">
        <v>95.304642208181804</v>
      </c>
      <c r="AN6031">
        <v>1.00000000301334</v>
      </c>
    </row>
    <row r="6032" spans="1:40" x14ac:dyDescent="0.25">
      <c r="A6032" t="str">
        <f>"20190312151435551"</f>
        <v>20190312151435551</v>
      </c>
      <c r="B6032" t="str">
        <f>"1552374875546232"</f>
        <v>1552374875546232</v>
      </c>
      <c r="C6032" t="s">
        <v>40</v>
      </c>
      <c r="D6032">
        <v>4.7262760000000004</v>
      </c>
      <c r="E6032">
        <v>0.55181800000000003</v>
      </c>
      <c r="F6032" t="s">
        <v>42</v>
      </c>
      <c r="G6032">
        <v>-185.33770000000001</v>
      </c>
      <c r="H6032" s="1">
        <v>-1.8853139999999999E-6</v>
      </c>
      <c r="I6032">
        <v>61.542810000000003</v>
      </c>
      <c r="J6032">
        <v>-188.51509999999999</v>
      </c>
      <c r="K6032">
        <v>1.1110199999999999</v>
      </c>
      <c r="L6032">
        <v>24.795349999999999</v>
      </c>
      <c r="M6032">
        <v>4.052294E-2</v>
      </c>
      <c r="N6032">
        <v>0</v>
      </c>
      <c r="O6032">
        <v>0.99910969999999999</v>
      </c>
      <c r="P6032">
        <v>-5.0933230000000003E-2</v>
      </c>
      <c r="Q6032">
        <v>3.6675739999999998E-2</v>
      </c>
      <c r="R6032">
        <v>0.99802840000000004</v>
      </c>
      <c r="S6032">
        <v>0.25993349999999998</v>
      </c>
      <c r="T6032">
        <v>-9.0522770000000002E-2</v>
      </c>
      <c r="U6032">
        <v>3.0220950000000002</v>
      </c>
      <c r="V6032">
        <v>-9.148647E-2</v>
      </c>
      <c r="W6032">
        <v>4.8069849999999997E-2</v>
      </c>
      <c r="X6032">
        <v>0.99464540000000001</v>
      </c>
      <c r="Y6032">
        <v>4.5209409999999998E-2</v>
      </c>
      <c r="Z6032">
        <v>-2.9833040000000002E-2</v>
      </c>
      <c r="AA6032">
        <v>0.99853199999999998</v>
      </c>
      <c r="AB6032">
        <v>33</v>
      </c>
      <c r="AC6032">
        <v>3.1773999999999698</v>
      </c>
      <c r="AD6032">
        <v>-1.1110218853139999</v>
      </c>
      <c r="AE6032">
        <v>36.747459999999997</v>
      </c>
      <c r="AF6032">
        <v>1.6840441484115001</v>
      </c>
      <c r="AG6032">
        <v>-1.1110218853139999</v>
      </c>
      <c r="AH6032">
        <v>36.812637762953301</v>
      </c>
      <c r="AI6032">
        <v>91.726882626018394</v>
      </c>
      <c r="AJ6032">
        <v>87.380752799194596</v>
      </c>
      <c r="AK6032">
        <v>36.8678813249401</v>
      </c>
      <c r="AL6032">
        <v>87.244738615680106</v>
      </c>
      <c r="AM6032">
        <v>95.255220726912498</v>
      </c>
      <c r="AN6032">
        <v>0.99999997820662101</v>
      </c>
    </row>
    <row r="6033" spans="1:40" x14ac:dyDescent="0.25">
      <c r="A6033" t="str">
        <f>"20190312151435572"</f>
        <v>20190312151435572</v>
      </c>
      <c r="B6033" t="str">
        <f>"1552374875566728"</f>
        <v>1552374875566728</v>
      </c>
      <c r="C6033" t="s">
        <v>40</v>
      </c>
      <c r="D6033">
        <v>4.7259729999999998</v>
      </c>
      <c r="E6033">
        <v>0.55192319999999995</v>
      </c>
      <c r="F6033" t="s">
        <v>42</v>
      </c>
      <c r="G6033">
        <v>-185.2799</v>
      </c>
      <c r="H6033" s="1">
        <v>-2.2932879999999998E-6</v>
      </c>
      <c r="I6033">
        <v>62.696510000000004</v>
      </c>
      <c r="J6033">
        <v>-188.50389999999999</v>
      </c>
      <c r="K6033">
        <v>1.1110150000000001</v>
      </c>
      <c r="L6033">
        <v>25.10379</v>
      </c>
      <c r="M6033">
        <v>3.9191829999999997E-2</v>
      </c>
      <c r="N6033">
        <v>0</v>
      </c>
      <c r="O6033">
        <v>0.99916289999999996</v>
      </c>
      <c r="P6033">
        <v>-5.1054700000000001E-2</v>
      </c>
      <c r="Q6033">
        <v>3.7151200000000002E-2</v>
      </c>
      <c r="R6033">
        <v>0.99800460000000002</v>
      </c>
      <c r="S6033">
        <v>0.2579803</v>
      </c>
      <c r="T6033">
        <v>-8.8595869999999993E-2</v>
      </c>
      <c r="U6033">
        <v>3.0223390000000001</v>
      </c>
      <c r="V6033">
        <v>-9.0281050000000002E-2</v>
      </c>
      <c r="W6033">
        <v>4.8547559999999997E-2</v>
      </c>
      <c r="X6033">
        <v>0.99473239999999996</v>
      </c>
      <c r="Y6033">
        <v>4.589443E-2</v>
      </c>
      <c r="Z6033">
        <v>-2.919888E-2</v>
      </c>
      <c r="AA6033">
        <v>0.9985195</v>
      </c>
      <c r="AB6033">
        <v>33</v>
      </c>
      <c r="AC6033">
        <v>3.2239999999999802</v>
      </c>
      <c r="AD6033">
        <v>-1.11101729328799</v>
      </c>
      <c r="AE6033">
        <v>37.59272</v>
      </c>
      <c r="AF6033">
        <v>1.74657948574769</v>
      </c>
      <c r="AG6033">
        <v>-1.11101729328799</v>
      </c>
      <c r="AH6033">
        <v>37.657545344160901</v>
      </c>
      <c r="AI6033">
        <v>91.688103754991999</v>
      </c>
      <c r="AJ6033">
        <v>87.344490513583494</v>
      </c>
      <c r="AK6033">
        <v>37.714395403791798</v>
      </c>
      <c r="AL6033">
        <v>87.217336027703794</v>
      </c>
      <c r="AM6033">
        <v>95.185907252233704</v>
      </c>
      <c r="AN6033">
        <v>1.0000000405903999</v>
      </c>
    </row>
    <row r="6034" spans="1:40" x14ac:dyDescent="0.25">
      <c r="A6034" t="str">
        <f>"20190312151435593"</f>
        <v>20190312151435593</v>
      </c>
      <c r="B6034" t="str">
        <f>"1552374875586247"</f>
        <v>1552374875586247</v>
      </c>
      <c r="C6034" t="s">
        <v>40</v>
      </c>
      <c r="D6034">
        <v>4.8246859999999998</v>
      </c>
      <c r="E6034">
        <v>0.55230049999999997</v>
      </c>
      <c r="F6034" t="s">
        <v>42</v>
      </c>
      <c r="G6034">
        <v>-185.2406</v>
      </c>
      <c r="H6034" s="1">
        <v>-2.4955719999999999E-6</v>
      </c>
      <c r="I6034">
        <v>63.260159999999999</v>
      </c>
      <c r="J6034">
        <v>-188.49299999999999</v>
      </c>
      <c r="K6034">
        <v>1.1109979999999999</v>
      </c>
      <c r="L6034">
        <v>25.41714</v>
      </c>
      <c r="M6034">
        <v>3.7861249999999999E-2</v>
      </c>
      <c r="N6034">
        <v>0</v>
      </c>
      <c r="O6034">
        <v>0.99921420000000005</v>
      </c>
      <c r="P6034">
        <v>-5.1209699999999997E-2</v>
      </c>
      <c r="Q6034">
        <v>3.7928450000000002E-2</v>
      </c>
      <c r="R6034">
        <v>0.99796739999999995</v>
      </c>
      <c r="S6034">
        <v>0.25849909999999998</v>
      </c>
      <c r="T6034">
        <v>-8.8007329999999995E-2</v>
      </c>
      <c r="U6034">
        <v>3.022491</v>
      </c>
      <c r="V6034">
        <v>-8.9109300000000002E-2</v>
      </c>
      <c r="W6034">
        <v>4.9328629999999998E-2</v>
      </c>
      <c r="X6034">
        <v>0.99479960000000001</v>
      </c>
      <c r="Y6034">
        <v>4.7391000000000003E-2</v>
      </c>
      <c r="Z6034">
        <v>-2.9004619999999998E-2</v>
      </c>
      <c r="AA6034">
        <v>0.99845519999999999</v>
      </c>
      <c r="AB6034">
        <v>33</v>
      </c>
      <c r="AC6034">
        <v>3.25239999999999</v>
      </c>
      <c r="AD6034">
        <v>-1.1110004955720001</v>
      </c>
      <c r="AE6034">
        <v>37.843020000000003</v>
      </c>
      <c r="AF6034">
        <v>1.81563174747425</v>
      </c>
      <c r="AG6034">
        <v>-1.1110004955720001</v>
      </c>
      <c r="AH6034">
        <v>37.906599296305501</v>
      </c>
      <c r="AI6034">
        <v>91.676874012494494</v>
      </c>
      <c r="AJ6034">
        <v>87.257770551423405</v>
      </c>
      <c r="AK6034">
        <v>37.966315477726603</v>
      </c>
      <c r="AL6034">
        <v>87.172530249148707</v>
      </c>
      <c r="AM6034">
        <v>95.118615781918507</v>
      </c>
      <c r="AN6034">
        <v>1.00000001262216</v>
      </c>
    </row>
    <row r="6035" spans="1:40" x14ac:dyDescent="0.25">
      <c r="A6035" t="str">
        <f>"20190312151435616"</f>
        <v>20190312151435616</v>
      </c>
      <c r="B6035" t="str">
        <f>"1552374875606744"</f>
        <v>1552374875606744</v>
      </c>
      <c r="C6035" t="s">
        <v>40</v>
      </c>
      <c r="D6035">
        <v>4.6955539999999996</v>
      </c>
      <c r="E6035">
        <v>0.55250749999999904</v>
      </c>
      <c r="F6035" t="s">
        <v>42</v>
      </c>
      <c r="G6035">
        <v>-185.19</v>
      </c>
      <c r="H6035" s="1">
        <v>-2.6335970000000002E-6</v>
      </c>
      <c r="I6035">
        <v>63.626220000000004</v>
      </c>
      <c r="J6035">
        <v>-188.48169999999999</v>
      </c>
      <c r="K6035">
        <v>1.110978</v>
      </c>
      <c r="L6035">
        <v>25.751950000000001</v>
      </c>
      <c r="M6035">
        <v>3.6470959999999997E-2</v>
      </c>
      <c r="N6035">
        <v>0</v>
      </c>
      <c r="O6035">
        <v>0.99926599999999999</v>
      </c>
      <c r="P6035">
        <v>-5.1413170000000001E-2</v>
      </c>
      <c r="Q6035">
        <v>3.7990419999999997E-2</v>
      </c>
      <c r="R6035">
        <v>0.99795460000000002</v>
      </c>
      <c r="S6035">
        <v>0.26130679999999901</v>
      </c>
      <c r="T6035">
        <v>-8.7895269999999998E-2</v>
      </c>
      <c r="U6035">
        <v>3.0228579999999998</v>
      </c>
      <c r="V6035">
        <v>-8.7924950000000002E-2</v>
      </c>
      <c r="W6035">
        <v>4.939578E-2</v>
      </c>
      <c r="X6035">
        <v>0.9949017</v>
      </c>
      <c r="Y6035">
        <v>4.9691029999999997E-2</v>
      </c>
      <c r="Z6035">
        <v>-2.8963699999999998E-2</v>
      </c>
      <c r="AA6035">
        <v>0.99834460000000003</v>
      </c>
      <c r="AB6035">
        <v>33</v>
      </c>
      <c r="AC6035">
        <v>3.2916999999999899</v>
      </c>
      <c r="AD6035">
        <v>-1.1109806335969901</v>
      </c>
      <c r="AE6035">
        <v>37.874270000000003</v>
      </c>
      <c r="AF6035">
        <v>1.9064758063439899</v>
      </c>
      <c r="AG6035">
        <v>-1.1109806335969901</v>
      </c>
      <c r="AH6035">
        <v>37.936731140124202</v>
      </c>
      <c r="AI6035">
        <v>91.675319763578699</v>
      </c>
      <c r="AJ6035">
        <v>87.123073121195105</v>
      </c>
      <c r="AK6035">
        <v>38.000848642714203</v>
      </c>
      <c r="AL6035">
        <v>87.168678293735695</v>
      </c>
      <c r="AM6035">
        <v>95.050422963878802</v>
      </c>
      <c r="AN6035">
        <v>1.00000006628859</v>
      </c>
    </row>
    <row r="6036" spans="1:40" x14ac:dyDescent="0.25">
      <c r="A6036" t="str">
        <f>"20190312151435660"</f>
        <v>20190312151435660</v>
      </c>
      <c r="B6036" t="str">
        <f>"1552374875656520"</f>
        <v>1552374875656520</v>
      </c>
      <c r="C6036" t="s">
        <v>40</v>
      </c>
      <c r="D6036">
        <v>4.7003089999999998</v>
      </c>
      <c r="E6036">
        <v>0.55305459999999995</v>
      </c>
      <c r="F6036" t="s">
        <v>42</v>
      </c>
      <c r="G6036">
        <v>-185.24510000000001</v>
      </c>
      <c r="H6036" s="1">
        <v>-2.4289370000000001E-6</v>
      </c>
      <c r="I6036">
        <v>63.067889999999998</v>
      </c>
      <c r="J6036">
        <v>-188.46100000000001</v>
      </c>
      <c r="K6036">
        <v>1.1109209999999901</v>
      </c>
      <c r="L6036">
        <v>26.403929999999999</v>
      </c>
      <c r="M6036">
        <v>3.3877520000000001E-2</v>
      </c>
      <c r="N6036">
        <v>0</v>
      </c>
      <c r="O6036">
        <v>0.9993573</v>
      </c>
      <c r="P6036">
        <v>-5.136806E-2</v>
      </c>
      <c r="Q6036">
        <v>3.9273469999999998E-2</v>
      </c>
      <c r="R6036">
        <v>0.99790730000000005</v>
      </c>
      <c r="S6036">
        <v>0.26220700000000002</v>
      </c>
      <c r="T6036">
        <v>-9.0003730000000004E-2</v>
      </c>
      <c r="U6036">
        <v>3.0230709999999998</v>
      </c>
      <c r="V6036">
        <v>-8.5291829999999999E-2</v>
      </c>
      <c r="W6036">
        <v>5.0694490000000002E-2</v>
      </c>
      <c r="X6036">
        <v>0.99506550000000005</v>
      </c>
      <c r="Y6036">
        <v>5.257013E-2</v>
      </c>
      <c r="Z6036">
        <v>-2.9657289999999999E-2</v>
      </c>
      <c r="AA6036">
        <v>0.99817679999999998</v>
      </c>
      <c r="AB6036">
        <v>33</v>
      </c>
      <c r="AC6036">
        <v>3.2158999999999698</v>
      </c>
      <c r="AD6036">
        <v>-1.11092342893699</v>
      </c>
      <c r="AE6036">
        <v>36.663959999999904</v>
      </c>
      <c r="AF6036">
        <v>1.97008955009526</v>
      </c>
      <c r="AG6036">
        <v>-1.11092342893699</v>
      </c>
      <c r="AH6036">
        <v>36.718412142939698</v>
      </c>
      <c r="AI6036">
        <v>91.730479940448205</v>
      </c>
      <c r="AJ6036">
        <v>86.928797274028497</v>
      </c>
      <c r="AK6036">
        <v>36.788003397835297</v>
      </c>
      <c r="AL6036">
        <v>87.094174108515006</v>
      </c>
      <c r="AM6036">
        <v>94.899121115422005</v>
      </c>
      <c r="AN6036">
        <v>0.99999998843567905</v>
      </c>
    </row>
    <row r="6037" spans="1:40" x14ac:dyDescent="0.25">
      <c r="A6037" t="str">
        <f>"20190312151435680"</f>
        <v>20190312151435680</v>
      </c>
      <c r="B6037" t="str">
        <f>"1552374875676039"</f>
        <v>1552374875676039</v>
      </c>
      <c r="C6037" t="s">
        <v>40</v>
      </c>
      <c r="D6037">
        <v>4.6818839999999904</v>
      </c>
      <c r="E6037">
        <v>0.55304189999999998</v>
      </c>
      <c r="F6037" t="s">
        <v>42</v>
      </c>
      <c r="G6037">
        <v>-185.21039999999999</v>
      </c>
      <c r="H6037" s="1">
        <v>-2.4905160000000001E-6</v>
      </c>
      <c r="I6037">
        <v>63.221690000000002</v>
      </c>
      <c r="J6037">
        <v>-188.45189999999999</v>
      </c>
      <c r="K6037">
        <v>1.1108929999999999</v>
      </c>
      <c r="L6037">
        <v>26.708469999999998</v>
      </c>
      <c r="M6037">
        <v>3.2720159999999998E-2</v>
      </c>
      <c r="N6037">
        <v>0</v>
      </c>
      <c r="O6037">
        <v>0.9993959</v>
      </c>
      <c r="P6037">
        <v>-5.0929879999999997E-2</v>
      </c>
      <c r="Q6037">
        <v>3.9959399999999999E-2</v>
      </c>
      <c r="R6037">
        <v>0.99790250000000003</v>
      </c>
      <c r="S6037">
        <v>0.26695249999999998</v>
      </c>
      <c r="T6037">
        <v>-9.123349E-2</v>
      </c>
      <c r="U6037">
        <v>3.0236209999999999</v>
      </c>
      <c r="V6037">
        <v>-8.3698739999999994E-2</v>
      </c>
      <c r="W6037">
        <v>5.1390230000000002E-2</v>
      </c>
      <c r="X6037">
        <v>0.99516510000000002</v>
      </c>
      <c r="Y6037">
        <v>5.5264479999999998E-2</v>
      </c>
      <c r="Z6037">
        <v>-3.005422E-2</v>
      </c>
      <c r="AA6037">
        <v>0.99801930000000005</v>
      </c>
      <c r="AB6037">
        <v>33</v>
      </c>
      <c r="AC6037">
        <v>3.2414999999999998</v>
      </c>
      <c r="AD6037">
        <v>-1.110895490516</v>
      </c>
      <c r="AE6037">
        <v>36.513219999999997</v>
      </c>
      <c r="AF6037">
        <v>2.04308733275735</v>
      </c>
      <c r="AG6037">
        <v>-1.110895490516</v>
      </c>
      <c r="AH6037">
        <v>36.566153333766003</v>
      </c>
      <c r="AI6037">
        <v>91.7374269955193</v>
      </c>
      <c r="AJ6037">
        <v>86.801996312121304</v>
      </c>
      <c r="AK6037">
        <v>36.640030898848998</v>
      </c>
      <c r="AL6037">
        <v>87.054259162393805</v>
      </c>
      <c r="AM6037">
        <v>94.807568884961597</v>
      </c>
      <c r="AN6037">
        <v>1.00000000553752</v>
      </c>
    </row>
    <row r="6038" spans="1:40" x14ac:dyDescent="0.25">
      <c r="A6038" t="str">
        <f>"20190312151435704"</f>
        <v>20190312151435704</v>
      </c>
      <c r="B6038" t="str">
        <f>"1552374875696536"</f>
        <v>1552374875696536</v>
      </c>
      <c r="C6038" t="s">
        <v>40</v>
      </c>
      <c r="D6038">
        <v>4.7025949999999996</v>
      </c>
      <c r="E6038">
        <v>0.55313999999999997</v>
      </c>
      <c r="F6038" t="s">
        <v>42</v>
      </c>
      <c r="G6038">
        <v>-185.059</v>
      </c>
      <c r="H6038" s="1">
        <v>-3.160553E-6</v>
      </c>
      <c r="I6038">
        <v>64.957049999999995</v>
      </c>
      <c r="J6038">
        <v>-188.4419</v>
      </c>
      <c r="K6038">
        <v>1.110859</v>
      </c>
      <c r="L6038">
        <v>27.051480000000002</v>
      </c>
      <c r="M6038">
        <v>3.1457569999999997E-2</v>
      </c>
      <c r="N6038">
        <v>0</v>
      </c>
      <c r="O6038">
        <v>0.9994364</v>
      </c>
      <c r="P6038">
        <v>-5.1190810000000003E-2</v>
      </c>
      <c r="Q6038">
        <v>3.9630190000000003E-2</v>
      </c>
      <c r="R6038">
        <v>0.99790230000000002</v>
      </c>
      <c r="S6038">
        <v>0.26820369999999999</v>
      </c>
      <c r="T6038">
        <v>-8.7814809999999993E-2</v>
      </c>
      <c r="U6038">
        <v>3.0234990000000002</v>
      </c>
      <c r="V6038">
        <v>-8.2695939999999996E-2</v>
      </c>
      <c r="W6038">
        <v>5.1073090000000002E-2</v>
      </c>
      <c r="X6038">
        <v>0.99526519999999996</v>
      </c>
      <c r="Y6038">
        <v>5.6942060000000003E-2</v>
      </c>
      <c r="Z6038">
        <v>-2.8930029999999999E-2</v>
      </c>
      <c r="AA6038">
        <v>0.99795820000000002</v>
      </c>
      <c r="AB6038">
        <v>33</v>
      </c>
      <c r="AC6038">
        <v>3.38289999999997</v>
      </c>
      <c r="AD6038">
        <v>-1.110862160553</v>
      </c>
      <c r="AE6038">
        <v>37.905569999999997</v>
      </c>
      <c r="AF6038">
        <v>2.1868632077712902</v>
      </c>
      <c r="AG6038">
        <v>-1.110862160553</v>
      </c>
      <c r="AH6038">
        <v>37.960887766764799</v>
      </c>
      <c r="AI6038">
        <v>91.673414298236807</v>
      </c>
      <c r="AJ6038">
        <v>86.702930167648404</v>
      </c>
      <c r="AK6038">
        <v>38.040049756410298</v>
      </c>
      <c r="AL6038">
        <v>87.072453672583293</v>
      </c>
      <c r="AM6038">
        <v>94.749758686936204</v>
      </c>
      <c r="AN6038">
        <v>0.99999994867283404</v>
      </c>
    </row>
    <row r="6039" spans="1:40" x14ac:dyDescent="0.25">
      <c r="A6039" t="str">
        <f>"20190312151435728"</f>
        <v>20190312151435728</v>
      </c>
      <c r="B6039" t="str">
        <f>"1552374875716055"</f>
        <v>1552374875716055</v>
      </c>
      <c r="C6039" t="s">
        <v>40</v>
      </c>
      <c r="D6039">
        <v>4.7148250000000003</v>
      </c>
      <c r="E6039">
        <v>0.55324410000000002</v>
      </c>
      <c r="F6039" t="s">
        <v>42</v>
      </c>
      <c r="G6039">
        <v>-185.13679999999999</v>
      </c>
      <c r="H6039" s="1">
        <v>-2.8768359999999999E-6</v>
      </c>
      <c r="I6039">
        <v>64.299390000000002</v>
      </c>
      <c r="J6039">
        <v>-188.43219999999999</v>
      </c>
      <c r="K6039">
        <v>1.110824</v>
      </c>
      <c r="L6039">
        <v>27.401669999999999</v>
      </c>
      <c r="M6039">
        <v>3.0218169999999999E-2</v>
      </c>
      <c r="N6039">
        <v>0</v>
      </c>
      <c r="O6039">
        <v>0.99947459999999999</v>
      </c>
      <c r="P6039">
        <v>-5.0738730000000003E-2</v>
      </c>
      <c r="Q6039">
        <v>3.9626179999999997E-2</v>
      </c>
      <c r="R6039">
        <v>0.99792550000000002</v>
      </c>
      <c r="S6039">
        <v>0.26829530000000001</v>
      </c>
      <c r="T6039">
        <v>-9.0175749999999999E-2</v>
      </c>
      <c r="U6039">
        <v>3.0236510000000001</v>
      </c>
      <c r="V6039">
        <v>-8.1005770000000005E-2</v>
      </c>
      <c r="W6039">
        <v>5.1089269999999999E-2</v>
      </c>
      <c r="X6039">
        <v>0.99540340000000005</v>
      </c>
      <c r="Y6039">
        <v>5.8203589999999999E-2</v>
      </c>
      <c r="Z6039">
        <v>-2.970623E-2</v>
      </c>
      <c r="AA6039">
        <v>0.99786260000000004</v>
      </c>
      <c r="AB6039">
        <v>33</v>
      </c>
      <c r="AC6039">
        <v>3.2953999999999999</v>
      </c>
      <c r="AD6039">
        <v>-1.1108268768359999</v>
      </c>
      <c r="AE6039">
        <v>36.89772</v>
      </c>
      <c r="AF6039">
        <v>2.1768793063415099</v>
      </c>
      <c r="AG6039">
        <v>-1.1108268768359999</v>
      </c>
      <c r="AH6039">
        <v>36.947233329763499</v>
      </c>
      <c r="AI6039">
        <v>91.719112255517203</v>
      </c>
      <c r="AJ6039">
        <v>86.628110937585305</v>
      </c>
      <c r="AK6039">
        <v>37.0279730823693</v>
      </c>
      <c r="AL6039">
        <v>87.071525531741898</v>
      </c>
      <c r="AM6039">
        <v>94.652468876331696</v>
      </c>
      <c r="AN6039">
        <v>0.99999998850699201</v>
      </c>
    </row>
    <row r="6040" spans="1:40" x14ac:dyDescent="0.25">
      <c r="A6040" t="str">
        <f>"20190312151435751"</f>
        <v>20190312151435751</v>
      </c>
      <c r="B6040" t="str">
        <f>"1552374875746311"</f>
        <v>1552374875746311</v>
      </c>
      <c r="C6040" t="s">
        <v>40</v>
      </c>
      <c r="D6040">
        <v>4.6432190000000002</v>
      </c>
      <c r="E6040">
        <v>0.55316089999999996</v>
      </c>
      <c r="F6040" t="s">
        <v>42</v>
      </c>
      <c r="G6040">
        <v>-185.1831</v>
      </c>
      <c r="H6040" s="1">
        <v>-2.6733910000000001E-6</v>
      </c>
      <c r="I6040">
        <v>63.73771</v>
      </c>
      <c r="J6040">
        <v>-188.42310000000001</v>
      </c>
      <c r="K6040">
        <v>1.1108009999999999</v>
      </c>
      <c r="L6040">
        <v>27.742100000000001</v>
      </c>
      <c r="M6040">
        <v>2.9053539999999999E-2</v>
      </c>
      <c r="N6040">
        <v>0</v>
      </c>
      <c r="O6040">
        <v>0.99950899999999998</v>
      </c>
      <c r="P6040">
        <v>-5.0171199999999999E-2</v>
      </c>
      <c r="Q6040">
        <v>3.9581419999999999E-2</v>
      </c>
      <c r="R6040">
        <v>0.99795599999999995</v>
      </c>
      <c r="S6040">
        <v>0.27037050000000001</v>
      </c>
      <c r="T6040">
        <v>-9.2435840000000005E-2</v>
      </c>
      <c r="U6040">
        <v>3.0236510000000001</v>
      </c>
      <c r="V6040">
        <v>-7.9275209999999999E-2</v>
      </c>
      <c r="W6040">
        <v>5.106451E-2</v>
      </c>
      <c r="X6040">
        <v>0.99554399999999998</v>
      </c>
      <c r="Y6040">
        <v>6.0044220000000002E-2</v>
      </c>
      <c r="Z6040">
        <v>-3.044908E-2</v>
      </c>
      <c r="AA6040">
        <v>0.99773120000000004</v>
      </c>
      <c r="AB6040">
        <v>33</v>
      </c>
      <c r="AC6040">
        <v>3.24</v>
      </c>
      <c r="AD6040">
        <v>-1.1108036733909901</v>
      </c>
      <c r="AE6040">
        <v>35.995609999999999</v>
      </c>
      <c r="AF6040">
        <v>2.1906907510522302</v>
      </c>
      <c r="AG6040">
        <v>-1.1108036733909901</v>
      </c>
      <c r="AH6040">
        <v>36.040506878699702</v>
      </c>
      <c r="AI6040">
        <v>91.762102945984196</v>
      </c>
      <c r="AJ6040">
        <v>86.521605729064603</v>
      </c>
      <c r="AK6040">
        <v>36.1241075577123</v>
      </c>
      <c r="AL6040">
        <v>87.072946061661696</v>
      </c>
      <c r="AM6040">
        <v>94.552858377249507</v>
      </c>
      <c r="AN6040">
        <v>0.99999999951904195</v>
      </c>
    </row>
    <row r="6041" spans="1:40" x14ac:dyDescent="0.25">
      <c r="A6041" t="str">
        <f>"20190312151435793"</f>
        <v>20190312151435793</v>
      </c>
      <c r="B6041" t="str">
        <f>"1552374875786327"</f>
        <v>1552374875786327</v>
      </c>
      <c r="C6041" t="s">
        <v>40</v>
      </c>
      <c r="D6041">
        <v>4.6382989999999999</v>
      </c>
      <c r="E6041">
        <v>0.51635329999999902</v>
      </c>
      <c r="F6041" t="s">
        <v>42</v>
      </c>
      <c r="G6041">
        <v>-185.2251</v>
      </c>
      <c r="H6041" s="1">
        <v>-2.545707E-6</v>
      </c>
      <c r="I6041">
        <v>63.395409999999998</v>
      </c>
      <c r="J6041">
        <v>-188.40770000000001</v>
      </c>
      <c r="K6041">
        <v>1.110762</v>
      </c>
      <c r="L6041">
        <v>28.356660000000002</v>
      </c>
      <c r="M6041">
        <v>2.701365E-2</v>
      </c>
      <c r="N6041">
        <v>0</v>
      </c>
      <c r="O6041">
        <v>0.99956599999999995</v>
      </c>
      <c r="P6041">
        <v>-5.0663720000000002E-2</v>
      </c>
      <c r="Q6041">
        <v>3.9019640000000001E-2</v>
      </c>
      <c r="R6041">
        <v>0.99795319999999998</v>
      </c>
      <c r="S6041">
        <v>0.27119450000000001</v>
      </c>
      <c r="T6041">
        <v>-9.4199179999999993E-2</v>
      </c>
      <c r="U6041">
        <v>3.0234990000000002</v>
      </c>
      <c r="V6041">
        <v>-7.7727729999999995E-2</v>
      </c>
      <c r="W6041">
        <v>5.0538279999999998E-2</v>
      </c>
      <c r="X6041">
        <v>0.99569280000000004</v>
      </c>
      <c r="Y6041">
        <v>6.2353810000000003E-2</v>
      </c>
      <c r="Z6041">
        <v>-3.1031019999999999E-2</v>
      </c>
      <c r="AA6041">
        <v>0.9975716</v>
      </c>
      <c r="AB6041">
        <v>33</v>
      </c>
      <c r="AC6041">
        <v>3.1825999999999999</v>
      </c>
      <c r="AD6041">
        <v>-1.1107645457069999</v>
      </c>
      <c r="AE6041">
        <v>35.03875</v>
      </c>
      <c r="AF6041">
        <v>2.2326231882845202</v>
      </c>
      <c r="AG6041">
        <v>-1.1107645457069999</v>
      </c>
      <c r="AH6041">
        <v>35.076978585260498</v>
      </c>
      <c r="AI6041">
        <v>91.810089343003298</v>
      </c>
      <c r="AJ6041">
        <v>86.358079696956906</v>
      </c>
      <c r="AK6041">
        <v>35.1655062646294</v>
      </c>
      <c r="AL6041">
        <v>87.103135614356603</v>
      </c>
      <c r="AM6041">
        <v>94.463683332503393</v>
      </c>
      <c r="AN6041">
        <v>0.99999993486407301</v>
      </c>
    </row>
    <row r="6042" spans="1:40" x14ac:dyDescent="0.25">
      <c r="A6042" t="str">
        <f>"20190312151435814"</f>
        <v>20190312151435814</v>
      </c>
      <c r="B6042" t="str">
        <f>"1552374875806824"</f>
        <v>1552374875806824</v>
      </c>
      <c r="C6042" t="s">
        <v>40</v>
      </c>
      <c r="D6042">
        <v>4.5747049999999998</v>
      </c>
      <c r="E6042">
        <v>0.51587309999999997</v>
      </c>
      <c r="F6042" t="s">
        <v>42</v>
      </c>
      <c r="G6042">
        <v>-188.7739</v>
      </c>
      <c r="H6042" s="1">
        <v>-2.7123179999999999E-6</v>
      </c>
      <c r="I6042">
        <v>75.448269999999994</v>
      </c>
      <c r="J6042">
        <v>-188.3999</v>
      </c>
      <c r="K6042">
        <v>1.1107499999999999</v>
      </c>
      <c r="L6042">
        <v>28.683810000000001</v>
      </c>
      <c r="M6042">
        <v>2.5947189999999998E-2</v>
      </c>
      <c r="N6042">
        <v>0</v>
      </c>
      <c r="O6042">
        <v>0.99959399999999998</v>
      </c>
      <c r="P6042">
        <v>-5.1309800000000003E-2</v>
      </c>
      <c r="Q6042">
        <v>3.8830549999999998E-2</v>
      </c>
      <c r="R6042">
        <v>0.99792760000000003</v>
      </c>
      <c r="S6042">
        <v>-2.3391720000000001E-2</v>
      </c>
      <c r="T6042">
        <v>-7.0944789999999994E-2</v>
      </c>
      <c r="U6042">
        <v>3.0077509999999998</v>
      </c>
      <c r="V6042">
        <v>-7.7307719999999996E-2</v>
      </c>
      <c r="W6042">
        <v>5.0368740000000002E-2</v>
      </c>
      <c r="X6042">
        <v>0.99573420000000001</v>
      </c>
      <c r="Y6042">
        <v>-3.3720340000000001E-2</v>
      </c>
      <c r="Z6042">
        <v>-2.3561789999999999E-2</v>
      </c>
      <c r="AA6042">
        <v>0.99915359999999998</v>
      </c>
      <c r="AB6042">
        <v>33</v>
      </c>
      <c r="AC6042">
        <v>-0.373999999999995</v>
      </c>
      <c r="AD6042">
        <v>-1.1107527123180001</v>
      </c>
      <c r="AE6042">
        <v>46.76446</v>
      </c>
      <c r="AF6042">
        <v>-1.5864695092810699</v>
      </c>
      <c r="AG6042">
        <v>-1.1107527123180001</v>
      </c>
      <c r="AH6042">
        <v>46.712656238386302</v>
      </c>
      <c r="AI6042">
        <v>91.361361273812705</v>
      </c>
      <c r="AJ6042">
        <v>91.945149136872999</v>
      </c>
      <c r="AK6042">
        <v>46.752785050063601</v>
      </c>
      <c r="AL6042">
        <v>87.112862247891798</v>
      </c>
      <c r="AM6042">
        <v>94.439476188332904</v>
      </c>
      <c r="AN6042">
        <v>1.00000004529521</v>
      </c>
    </row>
    <row r="6043" spans="1:40" x14ac:dyDescent="0.25">
      <c r="A6043" t="str">
        <f>"20190312151435838"</f>
        <v>20190312151435838</v>
      </c>
      <c r="B6043" t="str">
        <f>"1552374875826344"</f>
        <v>1552374875826344</v>
      </c>
      <c r="C6043" t="s">
        <v>40</v>
      </c>
      <c r="D6043">
        <v>4.8496480000000002</v>
      </c>
      <c r="E6043">
        <v>0.51548439999999995</v>
      </c>
      <c r="F6043" t="s">
        <v>42</v>
      </c>
      <c r="G6043">
        <v>-188.89279999999999</v>
      </c>
      <c r="H6043" s="1">
        <v>-4.4150089999999997E-6</v>
      </c>
      <c r="I6043">
        <v>79.466480000000004</v>
      </c>
      <c r="J6043">
        <v>-188.3922</v>
      </c>
      <c r="K6043">
        <v>1.110743</v>
      </c>
      <c r="L6043">
        <v>29.024319999999999</v>
      </c>
      <c r="M6043">
        <v>2.4844379999999999E-2</v>
      </c>
      <c r="N6043">
        <v>0</v>
      </c>
      <c r="O6043">
        <v>0.99962189999999995</v>
      </c>
      <c r="P6043">
        <v>-5.2391699999999902E-2</v>
      </c>
      <c r="Q6043">
        <v>3.8727629999999999E-2</v>
      </c>
      <c r="R6043">
        <v>0.99787539999999997</v>
      </c>
      <c r="S6043">
        <v>-2.919006E-2</v>
      </c>
      <c r="T6043">
        <v>-6.5777660000000002E-2</v>
      </c>
      <c r="U6043">
        <v>3.0072939999999999</v>
      </c>
      <c r="V6043">
        <v>-7.7288109999999993E-2</v>
      </c>
      <c r="W6043">
        <v>5.0284929999999999E-2</v>
      </c>
      <c r="X6043">
        <v>0.99573990000000001</v>
      </c>
      <c r="Y6043">
        <v>-3.4545590000000001E-2</v>
      </c>
      <c r="Z6043">
        <v>-2.1850319999999999E-2</v>
      </c>
      <c r="AA6043">
        <v>0.99916419999999995</v>
      </c>
      <c r="AB6043">
        <v>33</v>
      </c>
      <c r="AC6043">
        <v>-0.50059999999999105</v>
      </c>
      <c r="AD6043">
        <v>-1.110747415009</v>
      </c>
      <c r="AE6043">
        <v>50.442160000000001</v>
      </c>
      <c r="AF6043">
        <v>-1.75288676622307</v>
      </c>
      <c r="AG6043">
        <v>-1.110747415009</v>
      </c>
      <c r="AH6043">
        <v>50.389718867522397</v>
      </c>
      <c r="AI6043">
        <v>91.2620110404049</v>
      </c>
      <c r="AJ6043">
        <v>91.992321722406402</v>
      </c>
      <c r="AK6043">
        <v>50.432431424462301</v>
      </c>
      <c r="AL6043">
        <v>87.1176701323853</v>
      </c>
      <c r="AM6043">
        <v>94.438329258510393</v>
      </c>
      <c r="AN6043">
        <v>0.99999998729224304</v>
      </c>
    </row>
    <row r="6044" spans="1:40" x14ac:dyDescent="0.25">
      <c r="A6044" t="str">
        <f>"20190312151435860"</f>
        <v>20190312151435860</v>
      </c>
      <c r="B6044" t="str">
        <f>"1552374875856600"</f>
        <v>1552374875856600</v>
      </c>
      <c r="C6044" t="s">
        <v>40</v>
      </c>
      <c r="D6044">
        <v>4.6438499999999996</v>
      </c>
      <c r="E6044">
        <v>0.51523180000000002</v>
      </c>
      <c r="F6044" t="s">
        <v>42</v>
      </c>
      <c r="G6044">
        <v>-189.053</v>
      </c>
      <c r="H6044" s="1">
        <v>-2.5960190000000001E-6</v>
      </c>
      <c r="I6044">
        <v>85.292580000000001</v>
      </c>
      <c r="J6044">
        <v>-188.38489999999999</v>
      </c>
      <c r="K6044">
        <v>1.1107309999999999</v>
      </c>
      <c r="L6044">
        <v>29.364719999999998</v>
      </c>
      <c r="M6044">
        <v>2.3744129999999999E-2</v>
      </c>
      <c r="N6044">
        <v>0</v>
      </c>
      <c r="O6044">
        <v>0.99964839999999999</v>
      </c>
      <c r="P6044">
        <v>-5.2860520000000001E-2</v>
      </c>
      <c r="Q6044">
        <v>3.8809660000000003E-2</v>
      </c>
      <c r="R6044">
        <v>0.9978475</v>
      </c>
      <c r="S6044">
        <v>-3.5308840000000001E-2</v>
      </c>
      <c r="T6044">
        <v>-5.9355499999999901E-2</v>
      </c>
      <c r="U6044">
        <v>3.0068359999999998</v>
      </c>
      <c r="V6044">
        <v>-7.6658580000000004E-2</v>
      </c>
      <c r="W6044">
        <v>5.038542E-2</v>
      </c>
      <c r="X6044">
        <v>0.99578350000000004</v>
      </c>
      <c r="Y6044">
        <v>-3.5480589999999999E-2</v>
      </c>
      <c r="Z6044">
        <v>-1.9721099999999998E-2</v>
      </c>
      <c r="AA6044">
        <v>0.99917579999999995</v>
      </c>
      <c r="AB6044">
        <v>33</v>
      </c>
      <c r="AC6044">
        <v>-0.66810000000000902</v>
      </c>
      <c r="AD6044">
        <v>-1.1107335960189999</v>
      </c>
      <c r="AE6044">
        <v>55.927860000000003</v>
      </c>
      <c r="AF6044">
        <v>-1.9951756577882001</v>
      </c>
      <c r="AG6044">
        <v>-1.1107335960189999</v>
      </c>
      <c r="AH6044">
        <v>55.874190432645001</v>
      </c>
      <c r="AI6044">
        <v>91.1381184552028</v>
      </c>
      <c r="AJ6044">
        <v>92.045069352834602</v>
      </c>
      <c r="AK6044">
        <v>55.920833430218501</v>
      </c>
      <c r="AL6044">
        <v>87.111905218951193</v>
      </c>
      <c r="AM6044">
        <v>94.402128711009098</v>
      </c>
      <c r="AN6044">
        <v>1.00000000365422</v>
      </c>
    </row>
    <row r="6045" spans="1:40" x14ac:dyDescent="0.25">
      <c r="A6045" t="str">
        <f>"20190312151435882"</f>
        <v>20190312151435882</v>
      </c>
      <c r="B6045" t="str">
        <f>"1552374875876120"</f>
        <v>1552374875876120</v>
      </c>
      <c r="C6045" t="s">
        <v>40</v>
      </c>
      <c r="D6045">
        <v>4.6578210000000002</v>
      </c>
      <c r="E6045">
        <v>0.51514510000000002</v>
      </c>
      <c r="F6045" t="s">
        <v>42</v>
      </c>
      <c r="G6045">
        <v>-189.1336</v>
      </c>
      <c r="H6045" s="1">
        <v>-3.6226459999999998E-6</v>
      </c>
      <c r="I6045">
        <v>87.718999999999994</v>
      </c>
      <c r="J6045">
        <v>-188.37819999999999</v>
      </c>
      <c r="K6045">
        <v>1.110727</v>
      </c>
      <c r="L6045">
        <v>29.696660000000001</v>
      </c>
      <c r="M6045">
        <v>2.267071E-2</v>
      </c>
      <c r="N6045">
        <v>0</v>
      </c>
      <c r="O6045">
        <v>0.99967320000000004</v>
      </c>
      <c r="P6045">
        <v>-5.3780620000000001E-2</v>
      </c>
      <c r="Q6045">
        <v>3.8959390000000003E-2</v>
      </c>
      <c r="R6045">
        <v>0.99779249999999997</v>
      </c>
      <c r="S6045">
        <v>-3.8574219999999999E-2</v>
      </c>
      <c r="T6045">
        <v>-5.7229639999999998E-2</v>
      </c>
      <c r="U6045">
        <v>3.006653</v>
      </c>
      <c r="V6045">
        <v>-7.6507430000000001E-2</v>
      </c>
      <c r="W6045">
        <v>5.0550659999999997E-2</v>
      </c>
      <c r="X6045">
        <v>0.99578670000000002</v>
      </c>
      <c r="Y6045">
        <v>-3.5493370000000003E-2</v>
      </c>
      <c r="Z6045">
        <v>-1.9016769999999999E-2</v>
      </c>
      <c r="AA6045">
        <v>0.99918899999999999</v>
      </c>
      <c r="AB6045">
        <v>33</v>
      </c>
      <c r="AC6045">
        <v>-0.75540000000000795</v>
      </c>
      <c r="AD6045">
        <v>-1.1107306226459901</v>
      </c>
      <c r="AE6045">
        <v>58.02234</v>
      </c>
      <c r="AF6045">
        <v>-2.0699468239965499</v>
      </c>
      <c r="AG6045">
        <v>-1.1107306226459901</v>
      </c>
      <c r="AH6045">
        <v>57.969058977944599</v>
      </c>
      <c r="AI6045">
        <v>91.096996795709302</v>
      </c>
      <c r="AJ6045">
        <v>92.045036627478893</v>
      </c>
      <c r="AK6045">
        <v>58.0166372789623</v>
      </c>
      <c r="AL6045">
        <v>87.102425440201898</v>
      </c>
      <c r="AM6045">
        <v>94.393468857521995</v>
      </c>
      <c r="AN6045">
        <v>0.999999953984264</v>
      </c>
    </row>
    <row r="6046" spans="1:40" x14ac:dyDescent="0.25">
      <c r="A6046" t="str">
        <f>"20190312151435907"</f>
        <v>20190312151435907</v>
      </c>
      <c r="B6046" t="str">
        <f>"1552374875896616"</f>
        <v>1552374875896616</v>
      </c>
      <c r="C6046" t="s">
        <v>40</v>
      </c>
      <c r="D6046">
        <v>4.8772479999999998</v>
      </c>
      <c r="E6046">
        <v>0.51506859999999999</v>
      </c>
      <c r="F6046" t="s">
        <v>42</v>
      </c>
      <c r="G6046">
        <v>-189.22059999999999</v>
      </c>
      <c r="H6046" s="1">
        <v>-2.204509E-7</v>
      </c>
      <c r="I6046">
        <v>89.686480000000003</v>
      </c>
      <c r="J6046">
        <v>-188.37139999999999</v>
      </c>
      <c r="K6046">
        <v>1.110722</v>
      </c>
      <c r="L6046">
        <v>30.044370000000001</v>
      </c>
      <c r="M6046">
        <v>2.1544190000000001E-2</v>
      </c>
      <c r="N6046">
        <v>0</v>
      </c>
      <c r="O6046">
        <v>0.99969790000000003</v>
      </c>
      <c r="P6046">
        <v>-5.5195889999999997E-2</v>
      </c>
      <c r="Q6046">
        <v>3.9056569999999999E-2</v>
      </c>
      <c r="R6046">
        <v>0.99771140000000003</v>
      </c>
      <c r="S6046">
        <v>-4.2221069999999999E-2</v>
      </c>
      <c r="T6046">
        <v>-5.5666689999999998E-2</v>
      </c>
      <c r="U6046">
        <v>3.0065309999999998</v>
      </c>
      <c r="V6046">
        <v>-7.6797580000000004E-2</v>
      </c>
      <c r="W6046">
        <v>5.0661629999999999E-2</v>
      </c>
      <c r="X6046">
        <v>0.99575880000000005</v>
      </c>
      <c r="Y6046">
        <v>-3.5579640000000003E-2</v>
      </c>
      <c r="Z6046">
        <v>-1.8498859999999999E-2</v>
      </c>
      <c r="AA6046">
        <v>0.99919559999999996</v>
      </c>
      <c r="AB6046">
        <v>33</v>
      </c>
      <c r="AC6046">
        <v>-0.84919999999999596</v>
      </c>
      <c r="AD6046">
        <v>-1.1107222204509</v>
      </c>
      <c r="AE6046">
        <v>59.642109999999903</v>
      </c>
      <c r="AF6046">
        <v>-2.13329402739949</v>
      </c>
      <c r="AG6046">
        <v>-1.1107222204509</v>
      </c>
      <c r="AH6046">
        <v>59.589305731408999</v>
      </c>
      <c r="AI6046">
        <v>91.067164616149995</v>
      </c>
      <c r="AJ6046">
        <v>92.050310290611307</v>
      </c>
      <c r="AK6046">
        <v>59.6378236089285</v>
      </c>
      <c r="AL6046">
        <v>87.096059386396703</v>
      </c>
      <c r="AM6046">
        <v>94.410188304395803</v>
      </c>
      <c r="AN6046">
        <v>1.0000000284127699</v>
      </c>
    </row>
    <row r="6047" spans="1:40" x14ac:dyDescent="0.25">
      <c r="A6047" t="str">
        <f>"20190312151435929"</f>
        <v>20190312151435929</v>
      </c>
      <c r="B6047" t="str">
        <f>"1552374875925898"</f>
        <v>1552374875925898</v>
      </c>
      <c r="C6047" t="s">
        <v>40</v>
      </c>
      <c r="D6047">
        <v>4.655532</v>
      </c>
      <c r="E6047">
        <v>0.51460939999999999</v>
      </c>
      <c r="F6047" t="s">
        <v>42</v>
      </c>
      <c r="G6047">
        <v>-189.2903</v>
      </c>
      <c r="H6047" s="1">
        <v>-4.093582E-6</v>
      </c>
      <c r="I6047">
        <v>88.881550000000004</v>
      </c>
      <c r="J6047">
        <v>-188.36529999999999</v>
      </c>
      <c r="K6047">
        <v>1.110724</v>
      </c>
      <c r="L6047">
        <v>30.384979999999999</v>
      </c>
      <c r="M6047">
        <v>2.0438680000000001E-2</v>
      </c>
      <c r="N6047">
        <v>0</v>
      </c>
      <c r="O6047">
        <v>0.99972099999999997</v>
      </c>
      <c r="P6047">
        <v>-5.6208620000000001E-2</v>
      </c>
      <c r="Q6047">
        <v>3.9261089999999998E-2</v>
      </c>
      <c r="R6047">
        <v>0.99764679999999994</v>
      </c>
      <c r="S6047">
        <v>-4.695129E-2</v>
      </c>
      <c r="T6047">
        <v>-5.6756620000000001E-2</v>
      </c>
      <c r="U6047">
        <v>3.0065</v>
      </c>
      <c r="V6047">
        <v>-7.6706999999999997E-2</v>
      </c>
      <c r="W6047">
        <v>5.0878310000000003E-2</v>
      </c>
      <c r="X6047">
        <v>0.99575469999999999</v>
      </c>
      <c r="Y6047">
        <v>-3.6046269999999998E-2</v>
      </c>
      <c r="Z6047">
        <v>-1.8861409999999999E-2</v>
      </c>
      <c r="AA6047">
        <v>0.99917210000000001</v>
      </c>
      <c r="AB6047">
        <v>33</v>
      </c>
      <c r="AC6047">
        <v>-0.92500000000001104</v>
      </c>
      <c r="AD6047">
        <v>-1.1107280935820001</v>
      </c>
      <c r="AE6047">
        <v>58.496569999999998</v>
      </c>
      <c r="AF6047">
        <v>-2.11971917816504</v>
      </c>
      <c r="AG6047">
        <v>-1.1107280935820001</v>
      </c>
      <c r="AH6047">
        <v>58.444375409590499</v>
      </c>
      <c r="AI6047">
        <v>91.088052874468104</v>
      </c>
      <c r="AJ6047">
        <v>92.077150281166297</v>
      </c>
      <c r="AK6047">
        <v>58.493349564794897</v>
      </c>
      <c r="AL6047">
        <v>87.083628406820907</v>
      </c>
      <c r="AM6047">
        <v>94.405025196288094</v>
      </c>
      <c r="AN6047">
        <v>0.99999999442477305</v>
      </c>
    </row>
    <row r="6048" spans="1:40" x14ac:dyDescent="0.25">
      <c r="A6048" t="str">
        <f>"20190312151435952"</f>
        <v>20190312151435952</v>
      </c>
      <c r="B6048" t="str">
        <f>"1552374875946391"</f>
        <v>1552374875946391</v>
      </c>
      <c r="C6048" t="s">
        <v>40</v>
      </c>
      <c r="D6048">
        <v>4.8344630000000004</v>
      </c>
      <c r="E6048">
        <v>0.51438189999999995</v>
      </c>
      <c r="F6048" t="s">
        <v>42</v>
      </c>
      <c r="G6048">
        <v>-189.32239999999999</v>
      </c>
      <c r="H6048" s="1">
        <v>-1.9385289999999999E-6</v>
      </c>
      <c r="I6048">
        <v>83.871369999999999</v>
      </c>
      <c r="J6048">
        <v>-188.3596</v>
      </c>
      <c r="K6048">
        <v>1.1107199999999999</v>
      </c>
      <c r="L6048">
        <v>30.715389999999999</v>
      </c>
      <c r="M6048">
        <v>1.9365460000000001E-2</v>
      </c>
      <c r="N6048">
        <v>0</v>
      </c>
      <c r="O6048">
        <v>0.99974220000000003</v>
      </c>
      <c r="P6048">
        <v>-5.7378150000000003E-2</v>
      </c>
      <c r="Q6048">
        <v>3.954945E-2</v>
      </c>
      <c r="R6048">
        <v>0.99756880000000003</v>
      </c>
      <c r="S6048">
        <v>-5.3802490000000001E-2</v>
      </c>
      <c r="T6048">
        <v>-6.2434549999999998E-2</v>
      </c>
      <c r="U6048">
        <v>3.0065</v>
      </c>
      <c r="V6048">
        <v>-7.6805520000000002E-2</v>
      </c>
      <c r="W6048">
        <v>5.1176899999999997E-2</v>
      </c>
      <c r="X6048">
        <v>0.99573179999999994</v>
      </c>
      <c r="Y6048">
        <v>-3.7249039999999997E-2</v>
      </c>
      <c r="Z6048">
        <v>-2.074734E-2</v>
      </c>
      <c r="AA6048">
        <v>0.99909060000000005</v>
      </c>
      <c r="AB6048">
        <v>33</v>
      </c>
      <c r="AC6048">
        <v>-0.962799999999987</v>
      </c>
      <c r="AD6048">
        <v>-1.1107219385289999</v>
      </c>
      <c r="AE6048">
        <v>53.15598</v>
      </c>
      <c r="AF6048">
        <v>-1.99121263195737</v>
      </c>
      <c r="AG6048">
        <v>-1.1107219385289999</v>
      </c>
      <c r="AH6048">
        <v>53.104185088603202</v>
      </c>
      <c r="AI6048">
        <v>91.197377007012804</v>
      </c>
      <c r="AJ6048">
        <v>92.147376076709705</v>
      </c>
      <c r="AK6048">
        <v>53.153110020910603</v>
      </c>
      <c r="AL6048">
        <v>87.066498131071299</v>
      </c>
      <c r="AM6048">
        <v>94.410761594665402</v>
      </c>
      <c r="AN6048">
        <v>0.99999999026366004</v>
      </c>
    </row>
    <row r="6049" spans="1:40" x14ac:dyDescent="0.25">
      <c r="A6049" t="str">
        <f>"20190312151435997"</f>
        <v>20190312151435997</v>
      </c>
      <c r="B6049" t="str">
        <f>"1552374875986409"</f>
        <v>1552374875986409</v>
      </c>
      <c r="C6049" t="s">
        <v>40</v>
      </c>
      <c r="D6049">
        <v>4.8667379999999998</v>
      </c>
      <c r="E6049">
        <v>0.51404159999999999</v>
      </c>
      <c r="F6049" t="s">
        <v>42</v>
      </c>
      <c r="G6049">
        <v>-189.40260000000001</v>
      </c>
      <c r="H6049" s="1">
        <v>-1.7890050000000001E-6</v>
      </c>
      <c r="I6049">
        <v>83.555980000000005</v>
      </c>
      <c r="J6049">
        <v>-188.34950000000001</v>
      </c>
      <c r="K6049">
        <v>1.1107229999999999</v>
      </c>
      <c r="L6049">
        <v>31.37332</v>
      </c>
      <c r="M6049">
        <v>1.7228E-2</v>
      </c>
      <c r="N6049">
        <v>0</v>
      </c>
      <c r="O6049">
        <v>0.99978109999999998</v>
      </c>
      <c r="P6049">
        <v>-5.931546E-2</v>
      </c>
      <c r="Q6049">
        <v>4.0589340000000002E-2</v>
      </c>
      <c r="R6049">
        <v>0.99741380000000002</v>
      </c>
      <c r="S6049">
        <v>-5.9341430000000001E-2</v>
      </c>
      <c r="T6049">
        <v>-6.3195470000000004E-2</v>
      </c>
      <c r="U6049">
        <v>3.0064090000000001</v>
      </c>
      <c r="V6049">
        <v>-7.6611410000000005E-2</v>
      </c>
      <c r="W6049">
        <v>5.2235009999999998E-2</v>
      </c>
      <c r="X6049">
        <v>0.99569180000000002</v>
      </c>
      <c r="Y6049">
        <v>-3.6953039999999999E-2</v>
      </c>
      <c r="Z6049">
        <v>-2.100171E-2</v>
      </c>
      <c r="AA6049">
        <v>0.99909630000000005</v>
      </c>
      <c r="AB6049">
        <v>33</v>
      </c>
      <c r="AC6049">
        <v>-1.0530999999999999</v>
      </c>
      <c r="AD6049">
        <v>-1.1107247890049901</v>
      </c>
      <c r="AE6049">
        <v>52.182659999999998</v>
      </c>
      <c r="AF6049">
        <v>-1.95112628665127</v>
      </c>
      <c r="AG6049">
        <v>-1.1107247890049901</v>
      </c>
      <c r="AH6049">
        <v>52.133160143452898</v>
      </c>
      <c r="AI6049">
        <v>91.219678854042598</v>
      </c>
      <c r="AJ6049">
        <v>92.143341204996403</v>
      </c>
      <c r="AK6049">
        <v>52.181481292564698</v>
      </c>
      <c r="AL6049">
        <v>87.005791663265498</v>
      </c>
      <c r="AM6049">
        <v>94.399834187836305</v>
      </c>
      <c r="AN6049">
        <v>0.99999998249956401</v>
      </c>
    </row>
    <row r="6050" spans="1:40" x14ac:dyDescent="0.25">
      <c r="A6050" t="str">
        <f>"20190312151436016"</f>
        <v>20190312151436016</v>
      </c>
      <c r="B6050" t="str">
        <f>"1552374876005927"</f>
        <v>1552374876005927</v>
      </c>
      <c r="C6050" t="s">
        <v>40</v>
      </c>
      <c r="D6050">
        <v>4.6769660000000002</v>
      </c>
      <c r="E6050">
        <v>0.51399790000000001</v>
      </c>
      <c r="F6050" t="s">
        <v>42</v>
      </c>
      <c r="G6050">
        <v>-189.46889999999999</v>
      </c>
      <c r="H6050" s="1">
        <v>-7.2570439999999997E-7</v>
      </c>
      <c r="I6050">
        <v>81.104789999999994</v>
      </c>
      <c r="J6050">
        <v>-188.34540000000001</v>
      </c>
      <c r="K6050">
        <v>1.1107279999999999</v>
      </c>
      <c r="L6050">
        <v>31.663419999999999</v>
      </c>
      <c r="M6050">
        <v>1.6285649999999999E-2</v>
      </c>
      <c r="N6050">
        <v>0</v>
      </c>
      <c r="O6050">
        <v>0.99979689999999999</v>
      </c>
      <c r="P6050">
        <v>-5.960381E-2</v>
      </c>
      <c r="Q6050">
        <v>4.0579879999999999E-2</v>
      </c>
      <c r="R6050">
        <v>0.99739690000000003</v>
      </c>
      <c r="S6050">
        <v>-6.767273E-2</v>
      </c>
      <c r="T6050">
        <v>-6.7148449999999998E-2</v>
      </c>
      <c r="U6050">
        <v>3.0065</v>
      </c>
      <c r="V6050">
        <v>-7.5960940000000005E-2</v>
      </c>
      <c r="W6050">
        <v>5.2234540000000003E-2</v>
      </c>
      <c r="X6050">
        <v>0.99574169999999995</v>
      </c>
      <c r="Y6050">
        <v>-3.8777190000000003E-2</v>
      </c>
      <c r="Z6050">
        <v>-2.231319E-2</v>
      </c>
      <c r="AA6050">
        <v>0.99899870000000002</v>
      </c>
      <c r="AB6050">
        <v>33</v>
      </c>
      <c r="AC6050">
        <v>-1.12349999999997</v>
      </c>
      <c r="AD6050">
        <v>-1.1107287257043901</v>
      </c>
      <c r="AE6050">
        <v>49.441369999999999</v>
      </c>
      <c r="AF6050">
        <v>-1.9276202020442701</v>
      </c>
      <c r="AG6050">
        <v>-1.1107287257043901</v>
      </c>
      <c r="AH6050">
        <v>49.391598771861702</v>
      </c>
      <c r="AI6050">
        <v>91.287282831710797</v>
      </c>
      <c r="AJ6050">
        <v>92.234964695675998</v>
      </c>
      <c r="AK6050">
        <v>49.4416774309489</v>
      </c>
      <c r="AL6050">
        <v>87.005818748513704</v>
      </c>
      <c r="AM6050">
        <v>94.362404400079498</v>
      </c>
      <c r="AN6050">
        <v>1.00000002234679</v>
      </c>
    </row>
    <row r="6051" spans="1:40" x14ac:dyDescent="0.25">
      <c r="A6051" t="str">
        <f>"20190312151436038"</f>
        <v>20190312151436038</v>
      </c>
      <c r="B6051" t="str">
        <f>"1552374876026424"</f>
        <v>1552374876026424</v>
      </c>
      <c r="C6051" t="s">
        <v>40</v>
      </c>
      <c r="D6051">
        <v>4.6543190000000001</v>
      </c>
      <c r="E6051">
        <v>0.51397839999999995</v>
      </c>
      <c r="F6051" t="s">
        <v>42</v>
      </c>
      <c r="G6051">
        <v>-189.42490000000001</v>
      </c>
      <c r="H6051" s="1">
        <v>-3.9158090000000003E-6</v>
      </c>
      <c r="I6051">
        <v>78.522809999999893</v>
      </c>
      <c r="J6051">
        <v>-188.34110000000001</v>
      </c>
      <c r="K6051">
        <v>1.1107229999999999</v>
      </c>
      <c r="L6051">
        <v>31.995180000000001</v>
      </c>
      <c r="M6051">
        <v>1.520821E-2</v>
      </c>
      <c r="N6051">
        <v>0</v>
      </c>
      <c r="O6051">
        <v>0.99981370000000003</v>
      </c>
      <c r="P6051">
        <v>-6.0197279999999999E-2</v>
      </c>
      <c r="Q6051">
        <v>4.0062100000000003E-2</v>
      </c>
      <c r="R6051">
        <v>0.9973822</v>
      </c>
      <c r="S6051">
        <v>-6.9259639999999997E-2</v>
      </c>
      <c r="T6051">
        <v>-7.1266769999999993E-2</v>
      </c>
      <c r="U6051">
        <v>3.0065919999999999</v>
      </c>
      <c r="V6051">
        <v>-7.5479099999999993E-2</v>
      </c>
      <c r="W6051">
        <v>5.1725010000000002E-2</v>
      </c>
      <c r="X6051">
        <v>0.99580489999999999</v>
      </c>
      <c r="Y6051">
        <v>-3.8225960000000003E-2</v>
      </c>
      <c r="Z6051">
        <v>-2.3680940000000001E-2</v>
      </c>
      <c r="AA6051">
        <v>0.99898849999999995</v>
      </c>
      <c r="AB6051">
        <v>33</v>
      </c>
      <c r="AC6051">
        <v>-1.0837999999999901</v>
      </c>
      <c r="AD6051">
        <v>-1.1107269158089901</v>
      </c>
      <c r="AE6051">
        <v>46.527630000000002</v>
      </c>
      <c r="AF6051">
        <v>-1.79030686712002</v>
      </c>
      <c r="AG6051">
        <v>-1.1107269158089901</v>
      </c>
      <c r="AH6051">
        <v>46.479290604787103</v>
      </c>
      <c r="AI6051">
        <v>91.367936611763</v>
      </c>
      <c r="AJ6051">
        <v>92.205849988267303</v>
      </c>
      <c r="AK6051">
        <v>46.527017614330397</v>
      </c>
      <c r="AL6051">
        <v>87.035052075555001</v>
      </c>
      <c r="AM6051">
        <v>94.334564276765505</v>
      </c>
      <c r="AN6051">
        <v>0.99999998503015897</v>
      </c>
    </row>
    <row r="6052" spans="1:40" x14ac:dyDescent="0.25">
      <c r="A6052" t="str">
        <f>"20190312151436061"</f>
        <v>20190312151436061</v>
      </c>
      <c r="B6052" t="str">
        <f>"1552374876056680"</f>
        <v>1552374876056680</v>
      </c>
      <c r="C6052" t="s">
        <v>40</v>
      </c>
      <c r="D6052">
        <v>4.6517369999999998</v>
      </c>
      <c r="E6052">
        <v>0.51380570000000003</v>
      </c>
      <c r="F6052" t="s">
        <v>42</v>
      </c>
      <c r="G6052">
        <v>-189.37780000000001</v>
      </c>
      <c r="H6052" s="1">
        <v>-2.7691139999999998E-6</v>
      </c>
      <c r="I6052">
        <v>75.830380000000005</v>
      </c>
      <c r="J6052">
        <v>-188.3372</v>
      </c>
      <c r="K6052">
        <v>1.110719</v>
      </c>
      <c r="L6052">
        <v>32.321040000000004</v>
      </c>
      <c r="M6052">
        <v>1.414983E-2</v>
      </c>
      <c r="N6052">
        <v>0</v>
      </c>
      <c r="O6052">
        <v>0.99982919999999997</v>
      </c>
      <c r="P6052">
        <v>-6.0855430000000002E-2</v>
      </c>
      <c r="Q6052">
        <v>3.9656070000000002E-2</v>
      </c>
      <c r="R6052">
        <v>0.99735850000000004</v>
      </c>
      <c r="S6052">
        <v>-7.1105959999999996E-2</v>
      </c>
      <c r="T6052">
        <v>-7.6184630000000003E-2</v>
      </c>
      <c r="U6052">
        <v>3.006653</v>
      </c>
      <c r="V6052">
        <v>-7.5080839999999996E-2</v>
      </c>
      <c r="W6052">
        <v>5.1325959999999997E-2</v>
      </c>
      <c r="X6052">
        <v>0.99585570000000001</v>
      </c>
      <c r="Y6052">
        <v>-3.7779859999999998E-2</v>
      </c>
      <c r="Z6052">
        <v>-2.531417E-2</v>
      </c>
      <c r="AA6052">
        <v>0.9989654</v>
      </c>
      <c r="AB6052">
        <v>33</v>
      </c>
      <c r="AC6052">
        <v>-1.04060000000001</v>
      </c>
      <c r="AD6052">
        <v>-1.1107217691139999</v>
      </c>
      <c r="AE6052">
        <v>43.509340000000002</v>
      </c>
      <c r="AF6052">
        <v>-1.6551110739042301</v>
      </c>
      <c r="AG6052">
        <v>-1.1107217691139999</v>
      </c>
      <c r="AH6052">
        <v>43.461950321651997</v>
      </c>
      <c r="AI6052">
        <v>91.462883142862694</v>
      </c>
      <c r="AJ6052">
        <v>92.180874908243695</v>
      </c>
      <c r="AK6052">
        <v>43.507634057451199</v>
      </c>
      <c r="AL6052">
        <v>87.057946503070895</v>
      </c>
      <c r="AM6052">
        <v>94.311560621584604</v>
      </c>
      <c r="AN6052">
        <v>1.00000003096375</v>
      </c>
    </row>
    <row r="6053" spans="1:40" x14ac:dyDescent="0.25">
      <c r="A6053" t="str">
        <f>"20190312151436084"</f>
        <v>20190312151436084</v>
      </c>
      <c r="B6053" t="str">
        <f>"1552374876076200"</f>
        <v>1552374876076200</v>
      </c>
      <c r="C6053" t="s">
        <v>40</v>
      </c>
      <c r="D6053">
        <v>4.6856039999999997</v>
      </c>
      <c r="E6053">
        <v>0.51379759999999997</v>
      </c>
      <c r="F6053" t="s">
        <v>42</v>
      </c>
      <c r="G6053">
        <v>-189.37190000000001</v>
      </c>
      <c r="H6053" s="1">
        <v>-2.0120809999999999E-6</v>
      </c>
      <c r="I6053">
        <v>74.063269999999903</v>
      </c>
      <c r="J6053">
        <v>-188.33359999999999</v>
      </c>
      <c r="K6053">
        <v>1.110716</v>
      </c>
      <c r="L6053">
        <v>32.659520000000001</v>
      </c>
      <c r="M6053">
        <v>1.305069E-2</v>
      </c>
      <c r="N6053">
        <v>0</v>
      </c>
      <c r="O6053">
        <v>0.99984410000000001</v>
      </c>
      <c r="P6053">
        <v>-6.1160180000000001E-2</v>
      </c>
      <c r="Q6053">
        <v>3.9513109999999997E-2</v>
      </c>
      <c r="R6053">
        <v>0.99734560000000005</v>
      </c>
      <c r="S6053">
        <v>-7.4523930000000002E-2</v>
      </c>
      <c r="T6053">
        <v>-8.0002550000000006E-2</v>
      </c>
      <c r="U6053">
        <v>3.0065919999999999</v>
      </c>
      <c r="V6053">
        <v>-7.4289729999999998E-2</v>
      </c>
      <c r="W6053">
        <v>5.1191180000000003E-2</v>
      </c>
      <c r="X6053">
        <v>0.99592190000000003</v>
      </c>
      <c r="Y6053">
        <v>-3.7815979999999999E-2</v>
      </c>
      <c r="Z6053">
        <v>-2.6582640000000001E-2</v>
      </c>
      <c r="AA6053">
        <v>0.99893109999999996</v>
      </c>
      <c r="AB6053">
        <v>33</v>
      </c>
      <c r="AC6053">
        <v>-1.03830000000002</v>
      </c>
      <c r="AD6053">
        <v>-1.1107180120810001</v>
      </c>
      <c r="AE6053">
        <v>41.403749999999903</v>
      </c>
      <c r="AF6053">
        <v>-1.5774627637002501</v>
      </c>
      <c r="AG6053">
        <v>-1.1107180120810001</v>
      </c>
      <c r="AH6053">
        <v>41.356927623797098</v>
      </c>
      <c r="AI6053">
        <v>91.537298686681595</v>
      </c>
      <c r="AJ6053">
        <v>92.184353892533906</v>
      </c>
      <c r="AK6053">
        <v>41.401902682765801</v>
      </c>
      <c r="AL6053">
        <v>87.065678801916306</v>
      </c>
      <c r="AM6053">
        <v>94.266016758116393</v>
      </c>
      <c r="AN6053">
        <v>0.99999996589643703</v>
      </c>
    </row>
    <row r="6054" spans="1:40" x14ac:dyDescent="0.25">
      <c r="A6054" t="str">
        <f>"20190312151436105"</f>
        <v>20190312151436105</v>
      </c>
      <c r="B6054" t="str">
        <f>"1552374876096696"</f>
        <v>1552374876096696</v>
      </c>
      <c r="C6054" t="s">
        <v>40</v>
      </c>
      <c r="D6054">
        <v>4.720523</v>
      </c>
      <c r="E6054">
        <v>0.51389379999999996</v>
      </c>
      <c r="F6054" t="s">
        <v>42</v>
      </c>
      <c r="G6054">
        <v>-189.37870000000001</v>
      </c>
      <c r="H6054" s="1">
        <v>-2.1324250000000002E-6</v>
      </c>
      <c r="I6054">
        <v>74.346630000000005</v>
      </c>
      <c r="J6054">
        <v>-188.3305</v>
      </c>
      <c r="K6054">
        <v>1.1107229999999999</v>
      </c>
      <c r="L6054">
        <v>32.979460000000003</v>
      </c>
      <c r="M6054">
        <v>1.2011300000000001E-2</v>
      </c>
      <c r="N6054">
        <v>0</v>
      </c>
      <c r="O6054">
        <v>0.99985710000000005</v>
      </c>
      <c r="P6054">
        <v>-6.1022010000000002E-2</v>
      </c>
      <c r="Q6054">
        <v>3.9205549999999999E-2</v>
      </c>
      <c r="R6054">
        <v>0.99736610000000003</v>
      </c>
      <c r="S6054">
        <v>-7.5378420000000002E-2</v>
      </c>
      <c r="T6054">
        <v>-8.0106499999999997E-2</v>
      </c>
      <c r="U6054">
        <v>3.0065309999999998</v>
      </c>
      <c r="V6054">
        <v>-7.3115449999999998E-2</v>
      </c>
      <c r="W6054">
        <v>5.0891640000000002E-2</v>
      </c>
      <c r="X6054">
        <v>0.99602420000000003</v>
      </c>
      <c r="Y6054">
        <v>-3.7061379999999998E-2</v>
      </c>
      <c r="Z6054">
        <v>-2.66185E-2</v>
      </c>
      <c r="AA6054">
        <v>0.99895840000000002</v>
      </c>
      <c r="AB6054">
        <v>33</v>
      </c>
      <c r="AC6054">
        <v>-1.0482</v>
      </c>
      <c r="AD6054">
        <v>-1.11072513242499</v>
      </c>
      <c r="AE6054">
        <v>41.367170000000002</v>
      </c>
      <c r="AF6054">
        <v>-1.5439206563318699</v>
      </c>
      <c r="AG6054">
        <v>-1.11072513242499</v>
      </c>
      <c r="AH6054">
        <v>41.321822678255799</v>
      </c>
      <c r="AI6054">
        <v>91.538659112878406</v>
      </c>
      <c r="AJ6054">
        <v>92.139765437337203</v>
      </c>
      <c r="AK6054">
        <v>41.365570596403799</v>
      </c>
      <c r="AL6054">
        <v>87.082863730791004</v>
      </c>
      <c r="AM6054">
        <v>94.198398231434794</v>
      </c>
      <c r="AN6054">
        <v>1.0000000175181101</v>
      </c>
    </row>
    <row r="6055" spans="1:40" x14ac:dyDescent="0.25">
      <c r="A6055" t="str">
        <f>"20190312151436130"</f>
        <v>20190312151436130</v>
      </c>
      <c r="B6055" t="str">
        <f>"1552374876126953"</f>
        <v>1552374876126953</v>
      </c>
      <c r="C6055" t="s">
        <v>40</v>
      </c>
      <c r="D6055">
        <v>4.9581030000000004</v>
      </c>
      <c r="E6055">
        <v>0.5139669</v>
      </c>
      <c r="F6055" t="s">
        <v>42</v>
      </c>
      <c r="G6055">
        <v>-189.35749999999999</v>
      </c>
      <c r="H6055" s="1">
        <v>-2.2374049999999999E-6</v>
      </c>
      <c r="I6055">
        <v>74.582530000000006</v>
      </c>
      <c r="J6055">
        <v>-188.32730000000001</v>
      </c>
      <c r="K6055">
        <v>1.110722</v>
      </c>
      <c r="L6055">
        <v>33.342739999999999</v>
      </c>
      <c r="M6055">
        <v>1.083172E-2</v>
      </c>
      <c r="N6055">
        <v>0</v>
      </c>
      <c r="O6055">
        <v>0.9998705</v>
      </c>
      <c r="P6055">
        <v>-6.1437060000000002E-2</v>
      </c>
      <c r="Q6055">
        <v>3.9175790000000002E-2</v>
      </c>
      <c r="R6055">
        <v>0.99734179999999995</v>
      </c>
      <c r="S6055">
        <v>-7.421875E-2</v>
      </c>
      <c r="T6055">
        <v>-8.0268859999999997E-2</v>
      </c>
      <c r="U6055">
        <v>3.0065309999999998</v>
      </c>
      <c r="V6055">
        <v>-7.2354180000000004E-2</v>
      </c>
      <c r="W6055">
        <v>5.086831E-2</v>
      </c>
      <c r="X6055">
        <v>0.99608090000000005</v>
      </c>
      <c r="Y6055">
        <v>-3.5497290000000001E-2</v>
      </c>
      <c r="Z6055">
        <v>-2.6673840000000001E-2</v>
      </c>
      <c r="AA6055">
        <v>0.9990137</v>
      </c>
      <c r="AB6055">
        <v>33</v>
      </c>
      <c r="AC6055">
        <v>-1.03019999999997</v>
      </c>
      <c r="AD6055">
        <v>-1.1107242374049999</v>
      </c>
      <c r="AE6055">
        <v>41.239789999999999</v>
      </c>
      <c r="AF6055">
        <v>-1.4757991732733</v>
      </c>
      <c r="AG6055">
        <v>-1.1107242374049999</v>
      </c>
      <c r="AH6055">
        <v>41.196345371457099</v>
      </c>
      <c r="AI6055">
        <v>91.543428914726903</v>
      </c>
      <c r="AJ6055">
        <v>92.0516606427786</v>
      </c>
      <c r="AK6055">
        <v>41.237732278773201</v>
      </c>
      <c r="AL6055">
        <v>87.084201936512997</v>
      </c>
      <c r="AM6055">
        <v>94.154603178328898</v>
      </c>
      <c r="AN6055">
        <v>0.99999993583526703</v>
      </c>
    </row>
    <row r="6056" spans="1:40" x14ac:dyDescent="0.25">
      <c r="A6056" t="str">
        <f>"20190312151436152"</f>
        <v>20190312151436152</v>
      </c>
      <c r="B6056" t="str">
        <f>"1552374876146472"</f>
        <v>1552374876146472</v>
      </c>
      <c r="C6056" t="s">
        <v>40</v>
      </c>
      <c r="D6056">
        <v>4.7459930000000004</v>
      </c>
      <c r="E6056">
        <v>0.514019</v>
      </c>
      <c r="F6056" t="s">
        <v>42</v>
      </c>
      <c r="G6056">
        <v>-189.34729999999999</v>
      </c>
      <c r="H6056" s="1">
        <v>-2.124386E-6</v>
      </c>
      <c r="I6056">
        <v>74.314869999999999</v>
      </c>
      <c r="J6056">
        <v>-188.32480000000001</v>
      </c>
      <c r="K6056">
        <v>1.110716</v>
      </c>
      <c r="L6056">
        <v>33.678469999999997</v>
      </c>
      <c r="M6056">
        <v>9.7414919999999992E-3</v>
      </c>
      <c r="N6056">
        <v>0</v>
      </c>
      <c r="O6056">
        <v>0.99988169999999998</v>
      </c>
      <c r="P6056">
        <v>-6.1932309999999997E-2</v>
      </c>
      <c r="Q6056">
        <v>3.9134259999999997E-2</v>
      </c>
      <c r="R6056">
        <v>0.9973128</v>
      </c>
      <c r="S6056">
        <v>-7.4844359999999999E-2</v>
      </c>
      <c r="T6056">
        <v>-8.1506490000000001E-2</v>
      </c>
      <c r="U6056">
        <v>3.0065919999999999</v>
      </c>
      <c r="V6056">
        <v>-7.1762030000000004E-2</v>
      </c>
      <c r="W6056">
        <v>5.0832120000000001E-2</v>
      </c>
      <c r="X6056">
        <v>0.99612560000000006</v>
      </c>
      <c r="Y6056">
        <v>-3.4614569999999997E-2</v>
      </c>
      <c r="Z6056">
        <v>-2.7085069999999999E-2</v>
      </c>
      <c r="AA6056">
        <v>0.99903359999999997</v>
      </c>
      <c r="AB6056">
        <v>33</v>
      </c>
      <c r="AC6056">
        <v>-1.02249999999997</v>
      </c>
      <c r="AD6056">
        <v>-1.110718124386</v>
      </c>
      <c r="AE6056">
        <v>40.636400000000002</v>
      </c>
      <c r="AF6056">
        <v>-1.4172805123412999</v>
      </c>
      <c r="AG6056">
        <v>-1.110718124386</v>
      </c>
      <c r="AH6056">
        <v>40.594201534559701</v>
      </c>
      <c r="AI6056">
        <v>91.566353374603494</v>
      </c>
      <c r="AJ6056">
        <v>91.999576745954201</v>
      </c>
      <c r="AK6056">
        <v>40.634118386289103</v>
      </c>
      <c r="AL6056">
        <v>87.086278204580907</v>
      </c>
      <c r="AM6056">
        <v>94.120535043371405</v>
      </c>
      <c r="AN6056">
        <v>0.99999995217438598</v>
      </c>
    </row>
    <row r="6057" spans="1:40" x14ac:dyDescent="0.25">
      <c r="A6057" t="str">
        <f>"20190312151436174"</f>
        <v>20190312151436174</v>
      </c>
      <c r="B6057" t="str">
        <f>"1552374876166968"</f>
        <v>1552374876166968</v>
      </c>
      <c r="C6057" t="s">
        <v>40</v>
      </c>
      <c r="D6057">
        <v>4.7244320000000002</v>
      </c>
      <c r="E6057">
        <v>0.51402999999999999</v>
      </c>
      <c r="F6057" t="s">
        <v>42</v>
      </c>
      <c r="G6057">
        <v>-189.32300000000001</v>
      </c>
      <c r="H6057" s="1">
        <v>-1.652397E-6</v>
      </c>
      <c r="I6057">
        <v>73.204619999999906</v>
      </c>
      <c r="J6057">
        <v>-188.3227</v>
      </c>
      <c r="K6057">
        <v>1.110719</v>
      </c>
      <c r="L6057">
        <v>34.004459999999902</v>
      </c>
      <c r="M6057">
        <v>8.6830580000000004E-3</v>
      </c>
      <c r="N6057">
        <v>0</v>
      </c>
      <c r="O6057">
        <v>0.99989139999999999</v>
      </c>
      <c r="P6057">
        <v>-6.1773340000000003E-2</v>
      </c>
      <c r="Q6057">
        <v>3.909878E-2</v>
      </c>
      <c r="R6057">
        <v>0.99732410000000005</v>
      </c>
      <c r="S6057">
        <v>-7.5927729999999999E-2</v>
      </c>
      <c r="T6057">
        <v>-8.4490300000000004E-2</v>
      </c>
      <c r="U6057">
        <v>3.0066830000000002</v>
      </c>
      <c r="V6057">
        <v>-7.0548459999999993E-2</v>
      </c>
      <c r="W6057">
        <v>5.0803550000000003E-2</v>
      </c>
      <c r="X6057">
        <v>0.99621380000000004</v>
      </c>
      <c r="Y6057">
        <v>-3.3914930000000003E-2</v>
      </c>
      <c r="Z6057">
        <v>-2.8075599999999999E-2</v>
      </c>
      <c r="AA6057">
        <v>0.99903030000000004</v>
      </c>
      <c r="AB6057">
        <v>33</v>
      </c>
      <c r="AC6057">
        <v>-1.00029999999998</v>
      </c>
      <c r="AD6057">
        <v>-1.1107206523969999</v>
      </c>
      <c r="AE6057">
        <v>39.200159999999997</v>
      </c>
      <c r="AF6057">
        <v>-1.3395888937408</v>
      </c>
      <c r="AG6057">
        <v>-1.1107206523969999</v>
      </c>
      <c r="AH6057">
        <v>39.158577748626897</v>
      </c>
      <c r="AI6057">
        <v>91.623791639230603</v>
      </c>
      <c r="AJ6057">
        <v>91.959286434683506</v>
      </c>
      <c r="AK6057">
        <v>39.197224519947198</v>
      </c>
      <c r="AL6057">
        <v>87.0879174331467</v>
      </c>
      <c r="AM6057">
        <v>94.050729061710996</v>
      </c>
      <c r="AN6057">
        <v>1.0000000106057001</v>
      </c>
    </row>
    <row r="6058" spans="1:40" x14ac:dyDescent="0.25">
      <c r="A6058" t="str">
        <f>"20190312151436196"</f>
        <v>20190312151436196</v>
      </c>
      <c r="B6058" t="str">
        <f>"1552374876186488"</f>
        <v>1552374876186488</v>
      </c>
      <c r="C6058" t="s">
        <v>40</v>
      </c>
      <c r="D6058">
        <v>4.7304579999999996</v>
      </c>
      <c r="E6058">
        <v>0.51409749999999999</v>
      </c>
      <c r="F6058" t="s">
        <v>42</v>
      </c>
      <c r="G6058">
        <v>-189.28469999999999</v>
      </c>
      <c r="H6058" s="1">
        <v>-1.3076270000000001E-6</v>
      </c>
      <c r="I6058">
        <v>72.385120000000001</v>
      </c>
      <c r="J6058">
        <v>-188.321</v>
      </c>
      <c r="K6058">
        <v>1.1107209999999901</v>
      </c>
      <c r="L6058">
        <v>34.33023</v>
      </c>
      <c r="M6058">
        <v>7.6252389999999998E-3</v>
      </c>
      <c r="N6058">
        <v>0</v>
      </c>
      <c r="O6058">
        <v>0.99990000000000001</v>
      </c>
      <c r="P6058">
        <v>-6.2015880000000002E-2</v>
      </c>
      <c r="Q6058">
        <v>3.905749E-2</v>
      </c>
      <c r="R6058">
        <v>0.99731060000000005</v>
      </c>
      <c r="S6058">
        <v>-7.5363159999999998E-2</v>
      </c>
      <c r="T6058">
        <v>-8.7014789999999995E-2</v>
      </c>
      <c r="U6058">
        <v>3.0067750000000002</v>
      </c>
      <c r="V6058">
        <v>-6.9736270000000003E-2</v>
      </c>
      <c r="W6058">
        <v>5.0767350000000003E-2</v>
      </c>
      <c r="X6058">
        <v>0.99627279999999996</v>
      </c>
      <c r="Y6058">
        <v>-3.2668759999999998E-2</v>
      </c>
      <c r="Z6058">
        <v>-2.8913950000000001E-2</v>
      </c>
      <c r="AA6058">
        <v>0.99904789999999999</v>
      </c>
      <c r="AB6058">
        <v>33</v>
      </c>
      <c r="AC6058">
        <v>-0.96369999999998801</v>
      </c>
      <c r="AD6058">
        <v>-1.1107223076270001</v>
      </c>
      <c r="AE6058">
        <v>38.05489</v>
      </c>
      <c r="AF6058">
        <v>-1.25280360968549</v>
      </c>
      <c r="AG6058">
        <v>-1.1107223076270001</v>
      </c>
      <c r="AH6058">
        <v>38.014070987233303</v>
      </c>
      <c r="AI6058">
        <v>91.672725258077804</v>
      </c>
      <c r="AJ6058">
        <v>91.887574446140803</v>
      </c>
      <c r="AK6058">
        <v>38.050923956607399</v>
      </c>
      <c r="AL6058">
        <v>87.089994135777005</v>
      </c>
      <c r="AM6058">
        <v>94.004011209528997</v>
      </c>
      <c r="AN6058">
        <v>0.99999998159968695</v>
      </c>
    </row>
    <row r="6059" spans="1:40" x14ac:dyDescent="0.25">
      <c r="A6059" t="str">
        <f>"20190312151436217"</f>
        <v>20190312151436217</v>
      </c>
      <c r="B6059" t="str">
        <f>"1552374876206984"</f>
        <v>1552374876206984</v>
      </c>
      <c r="C6059" t="s">
        <v>40</v>
      </c>
      <c r="D6059">
        <v>4.7465449999999896</v>
      </c>
      <c r="E6059">
        <v>0.51418589999999997</v>
      </c>
      <c r="F6059" t="s">
        <v>42</v>
      </c>
      <c r="G6059">
        <v>-189.26519999999999</v>
      </c>
      <c r="H6059" s="1">
        <v>-1.087878E-6</v>
      </c>
      <c r="I6059">
        <v>71.864809999999906</v>
      </c>
      <c r="J6059">
        <v>-188.31970000000001</v>
      </c>
      <c r="K6059">
        <v>1.1107209999999901</v>
      </c>
      <c r="L6059">
        <v>34.640560000000001</v>
      </c>
      <c r="M6059">
        <v>6.6182300000000001E-3</v>
      </c>
      <c r="N6059">
        <v>0</v>
      </c>
      <c r="O6059">
        <v>0.99990710000000005</v>
      </c>
      <c r="P6059">
        <v>-6.273302E-2</v>
      </c>
      <c r="Q6059">
        <v>3.8991020000000001E-2</v>
      </c>
      <c r="R6059">
        <v>0.99726840000000005</v>
      </c>
      <c r="S6059">
        <v>-7.5637819999999995E-2</v>
      </c>
      <c r="T6059">
        <v>-8.8979130000000003E-2</v>
      </c>
      <c r="U6059">
        <v>3.006866</v>
      </c>
      <c r="V6059">
        <v>-6.9449070000000002E-2</v>
      </c>
      <c r="W6059">
        <v>5.0704010000000001E-2</v>
      </c>
      <c r="X6059">
        <v>0.99629610000000002</v>
      </c>
      <c r="Y6059">
        <v>-3.1752139999999998E-2</v>
      </c>
      <c r="Z6059">
        <v>-2.9565930000000001E-2</v>
      </c>
      <c r="AA6059">
        <v>0.99905840000000001</v>
      </c>
      <c r="AB6059">
        <v>33</v>
      </c>
      <c r="AC6059">
        <v>-0.94549999999998102</v>
      </c>
      <c r="AD6059">
        <v>-1.11072208787799</v>
      </c>
      <c r="AE6059">
        <v>37.224249999999898</v>
      </c>
      <c r="AF6059">
        <v>-1.19079589313804</v>
      </c>
      <c r="AG6059">
        <v>-1.11072208787799</v>
      </c>
      <c r="AH6059">
        <v>37.184091296991703</v>
      </c>
      <c r="AI6059">
        <v>91.710091301192605</v>
      </c>
      <c r="AJ6059">
        <v>91.834232520318395</v>
      </c>
      <c r="AK6059">
        <v>37.219730573966103</v>
      </c>
      <c r="AL6059">
        <v>87.093627967701494</v>
      </c>
      <c r="AM6059">
        <v>93.987481546887494</v>
      </c>
      <c r="AN6059">
        <v>0.99999999441457699</v>
      </c>
    </row>
    <row r="6060" spans="1:40" x14ac:dyDescent="0.25">
      <c r="A6060" t="str">
        <f>"20190312151436241"</f>
        <v>20190312151436241</v>
      </c>
      <c r="B6060" t="str">
        <f>"1552374876236263"</f>
        <v>1552374876236263</v>
      </c>
      <c r="C6060" t="s">
        <v>40</v>
      </c>
      <c r="D6060">
        <v>5.1261390000000002</v>
      </c>
      <c r="E6060">
        <v>0.51423809999999903</v>
      </c>
      <c r="F6060" t="s">
        <v>42</v>
      </c>
      <c r="G6060">
        <v>-189.26429999999999</v>
      </c>
      <c r="H6060" s="1">
        <v>-8.7991579999999997E-7</v>
      </c>
      <c r="I6060">
        <v>71.379689999999997</v>
      </c>
      <c r="J6060">
        <v>-188.3185</v>
      </c>
      <c r="K6060">
        <v>1.110722</v>
      </c>
      <c r="L6060">
        <v>34.98892</v>
      </c>
      <c r="M6060">
        <v>5.4908469999999897E-3</v>
      </c>
      <c r="N6060">
        <v>0</v>
      </c>
      <c r="O6060">
        <v>0.99991390000000002</v>
      </c>
      <c r="P6060">
        <v>-6.3509170000000004E-2</v>
      </c>
      <c r="Q6060">
        <v>3.9138060000000002E-2</v>
      </c>
      <c r="R6060">
        <v>0.99721349999999997</v>
      </c>
      <c r="S6060">
        <v>-7.7316280000000001E-2</v>
      </c>
      <c r="T6060">
        <v>-9.0906500000000001E-2</v>
      </c>
      <c r="U6060">
        <v>3.0068969999999999</v>
      </c>
      <c r="V6060">
        <v>-6.9101280000000001E-2</v>
      </c>
      <c r="W6060">
        <v>5.0854509999999999E-2</v>
      </c>
      <c r="X6060">
        <v>0.99631259999999999</v>
      </c>
      <c r="Y6060">
        <v>-3.1181790000000001E-2</v>
      </c>
      <c r="Z6060">
        <v>-3.0205840000000001E-2</v>
      </c>
      <c r="AA6060">
        <v>0.99905719999999998</v>
      </c>
      <c r="AB6060">
        <v>33</v>
      </c>
      <c r="AC6060">
        <v>-0.94579999999999098</v>
      </c>
      <c r="AD6060">
        <v>-1.1107228799158</v>
      </c>
      <c r="AE6060">
        <v>36.390770000000003</v>
      </c>
      <c r="AF6060">
        <v>-1.1445505410558601</v>
      </c>
      <c r="AG6060">
        <v>-1.1107228799158</v>
      </c>
      <c r="AH6060">
        <v>36.351185862579101</v>
      </c>
      <c r="AI6060">
        <v>91.749281221154305</v>
      </c>
      <c r="AJ6060">
        <v>91.803414558755307</v>
      </c>
      <c r="AK6060">
        <v>36.386156912660802</v>
      </c>
      <c r="AL6060">
        <v>87.084993779161294</v>
      </c>
      <c r="AM6060">
        <v>93.967511304273003</v>
      </c>
      <c r="AN6060">
        <v>0.99999998250186894</v>
      </c>
    </row>
    <row r="6061" spans="1:40" x14ac:dyDescent="0.25">
      <c r="A6061" t="str">
        <f>"20190312151436261"</f>
        <v>20190312151436261</v>
      </c>
      <c r="B6061" t="str">
        <f>"1552374876256760"</f>
        <v>1552374876256760</v>
      </c>
      <c r="C6061" t="s">
        <v>40</v>
      </c>
      <c r="D6061">
        <v>4.7591460000000003</v>
      </c>
      <c r="E6061">
        <v>0.51427780000000001</v>
      </c>
      <c r="F6061" t="s">
        <v>42</v>
      </c>
      <c r="G6061">
        <v>-189.27440000000001</v>
      </c>
      <c r="H6061" s="1">
        <v>-8.8425259999999995E-7</v>
      </c>
      <c r="I6061">
        <v>71.393950000000004</v>
      </c>
      <c r="J6061">
        <v>-188.31790000000001</v>
      </c>
      <c r="K6061">
        <v>1.1107209999999901</v>
      </c>
      <c r="L6061">
        <v>35.293430000000001</v>
      </c>
      <c r="M6061">
        <v>4.5119289999999996E-3</v>
      </c>
      <c r="N6061">
        <v>0</v>
      </c>
      <c r="O6061">
        <v>0.9999188</v>
      </c>
      <c r="P6061">
        <v>-6.4553730000000004E-2</v>
      </c>
      <c r="Q6061">
        <v>3.9312529999999998E-2</v>
      </c>
      <c r="R6061">
        <v>0.99713960000000001</v>
      </c>
      <c r="S6061">
        <v>-7.8948969999999993E-2</v>
      </c>
      <c r="T6061">
        <v>-9.1742749999999998E-2</v>
      </c>
      <c r="U6061">
        <v>3.006958</v>
      </c>
      <c r="V6061">
        <v>-6.9169540000000002E-2</v>
      </c>
      <c r="W6061">
        <v>5.1031180000000002E-2</v>
      </c>
      <c r="X6061">
        <v>0.99629880000000004</v>
      </c>
      <c r="Y6061">
        <v>-3.0744609999999999E-2</v>
      </c>
      <c r="Z6061">
        <v>-3.0483039999999999E-2</v>
      </c>
      <c r="AA6061">
        <v>0.99906240000000002</v>
      </c>
      <c r="AB6061">
        <v>33</v>
      </c>
      <c r="AC6061">
        <v>-0.95650000000000501</v>
      </c>
      <c r="AD6061">
        <v>-1.1107218842526001</v>
      </c>
      <c r="AE6061">
        <v>36.100520000000003</v>
      </c>
      <c r="AF6061">
        <v>-1.11832690692486</v>
      </c>
      <c r="AG6061">
        <v>-1.1107218842526001</v>
      </c>
      <c r="AH6061">
        <v>36.061723086700702</v>
      </c>
      <c r="AI6061">
        <v>91.763338167181601</v>
      </c>
      <c r="AJ6061">
        <v>91.776256860942794</v>
      </c>
      <c r="AK6061">
        <v>36.096152567230597</v>
      </c>
      <c r="AL6061">
        <v>87.074858086095006</v>
      </c>
      <c r="AM6061">
        <v>93.971472810933903</v>
      </c>
      <c r="AN6061">
        <v>0.999999952738721</v>
      </c>
    </row>
    <row r="6062" spans="1:40" x14ac:dyDescent="0.25">
      <c r="A6062" t="str">
        <f>"20190312151436285"</f>
        <v>20190312151436285</v>
      </c>
      <c r="B6062" t="str">
        <f>"1552374876276280"</f>
        <v>1552374876276280</v>
      </c>
      <c r="C6062" t="s">
        <v>40</v>
      </c>
      <c r="D6062">
        <v>4.7402989999999896</v>
      </c>
      <c r="E6062">
        <v>0.51422990000000002</v>
      </c>
      <c r="F6062" t="s">
        <v>42</v>
      </c>
      <c r="G6062">
        <v>-189.30260000000001</v>
      </c>
      <c r="H6062" s="1">
        <v>-8.8703380000000004E-7</v>
      </c>
      <c r="I6062">
        <v>71.412120000000002</v>
      </c>
      <c r="J6062">
        <v>-188.31739999999999</v>
      </c>
      <c r="K6062">
        <v>1.1107199999999999</v>
      </c>
      <c r="L6062">
        <v>35.636470000000003</v>
      </c>
      <c r="M6062">
        <v>3.423036E-3</v>
      </c>
      <c r="N6062">
        <v>0</v>
      </c>
      <c r="O6062">
        <v>0.99992309999999995</v>
      </c>
      <c r="P6062">
        <v>-6.6198099999999996E-2</v>
      </c>
      <c r="Q6062">
        <v>3.9471329999999999E-2</v>
      </c>
      <c r="R6062">
        <v>0.99702550000000001</v>
      </c>
      <c r="S6062">
        <v>-8.1985470000000005E-2</v>
      </c>
      <c r="T6062">
        <v>-9.2469930000000006E-2</v>
      </c>
      <c r="U6062">
        <v>3.006958</v>
      </c>
      <c r="V6062">
        <v>-6.9727159999999996E-2</v>
      </c>
      <c r="W6062">
        <v>5.1191189999999998E-2</v>
      </c>
      <c r="X6062">
        <v>0.99625180000000002</v>
      </c>
      <c r="Y6062">
        <v>-3.06641E-2</v>
      </c>
      <c r="Z6062">
        <v>-3.0724250000000002E-2</v>
      </c>
      <c r="AA6062">
        <v>0.99905739999999998</v>
      </c>
      <c r="AB6062">
        <v>33</v>
      </c>
      <c r="AC6062">
        <v>-0.98520000000001995</v>
      </c>
      <c r="AD6062">
        <v>-1.1107208870337999</v>
      </c>
      <c r="AE6062">
        <v>35.775649999999999</v>
      </c>
      <c r="AF6062">
        <v>-1.1065984166737901</v>
      </c>
      <c r="AG6062">
        <v>-1.1107208870337999</v>
      </c>
      <c r="AH6062">
        <v>35.737646122388803</v>
      </c>
      <c r="AI6062">
        <v>91.779319268037398</v>
      </c>
      <c r="AJ6062">
        <v>91.773568594380507</v>
      </c>
      <c r="AK6062">
        <v>35.772022745628597</v>
      </c>
      <c r="AL6062">
        <v>87.0656784220199</v>
      </c>
      <c r="AM6062">
        <v>94.003573961545399</v>
      </c>
      <c r="AN6062">
        <v>1.0000000318892599</v>
      </c>
    </row>
    <row r="6063" spans="1:40" x14ac:dyDescent="0.25">
      <c r="A6063" t="str">
        <f>"20190312151436307"</f>
        <v>20190312151436307</v>
      </c>
      <c r="B6063" t="str">
        <f>"1552374876296778"</f>
        <v>1552374876296778</v>
      </c>
      <c r="C6063" t="s">
        <v>40</v>
      </c>
      <c r="D6063">
        <v>4.794867</v>
      </c>
      <c r="E6063">
        <v>0.51426570000000005</v>
      </c>
      <c r="F6063" t="s">
        <v>42</v>
      </c>
      <c r="G6063">
        <v>-189.35679999999999</v>
      </c>
      <c r="H6063" s="1">
        <v>-8.8434539999999999E-7</v>
      </c>
      <c r="I6063">
        <v>71.428219999999996</v>
      </c>
      <c r="J6063">
        <v>-188.31739999999999</v>
      </c>
      <c r="K6063">
        <v>1.1107049999999901</v>
      </c>
      <c r="L6063">
        <v>35.963929999999998</v>
      </c>
      <c r="M6063">
        <v>2.408575E-3</v>
      </c>
      <c r="N6063">
        <v>0</v>
      </c>
      <c r="O6063">
        <v>0.99992599999999998</v>
      </c>
      <c r="P6063">
        <v>-6.7104540000000004E-2</v>
      </c>
      <c r="Q6063">
        <v>4.006403E-2</v>
      </c>
      <c r="R6063">
        <v>0.99694130000000003</v>
      </c>
      <c r="S6063">
        <v>-8.7310789999999999E-2</v>
      </c>
      <c r="T6063">
        <v>-9.3310710000000005E-2</v>
      </c>
      <c r="U6063">
        <v>3.0068359999999998</v>
      </c>
      <c r="V6063">
        <v>-6.9621440000000007E-2</v>
      </c>
      <c r="W6063">
        <v>5.1788340000000002E-2</v>
      </c>
      <c r="X6063">
        <v>0.99622829999999996</v>
      </c>
      <c r="Y6063">
        <v>-3.1418889999999998E-2</v>
      </c>
      <c r="Z6063">
        <v>-3.1003610000000001E-2</v>
      </c>
      <c r="AA6063">
        <v>0.9990253</v>
      </c>
      <c r="AB6063">
        <v>33</v>
      </c>
      <c r="AC6063">
        <v>-1.0394000000000001</v>
      </c>
      <c r="AD6063">
        <v>-1.1107058843454001</v>
      </c>
      <c r="AE6063">
        <v>35.464289999999998</v>
      </c>
      <c r="AF6063">
        <v>-1.12372017259683</v>
      </c>
      <c r="AG6063">
        <v>-1.1107058843454001</v>
      </c>
      <c r="AH6063">
        <v>35.426963711310897</v>
      </c>
      <c r="AI6063">
        <v>91.794846507072194</v>
      </c>
      <c r="AJ6063">
        <v>91.816775607392302</v>
      </c>
      <c r="AK6063">
        <v>35.462179464753198</v>
      </c>
      <c r="AL6063">
        <v>87.031418712634803</v>
      </c>
      <c r="AM6063">
        <v>93.997617447704201</v>
      </c>
      <c r="AN6063">
        <v>1.00000000139425</v>
      </c>
    </row>
    <row r="6064" spans="1:40" x14ac:dyDescent="0.25">
      <c r="A6064" t="str">
        <f>"20190312151436332"</f>
        <v>20190312151436332</v>
      </c>
      <c r="B6064" t="str">
        <f>"1552374876327032"</f>
        <v>1552374876327032</v>
      </c>
      <c r="C6064" t="s">
        <v>40</v>
      </c>
      <c r="D6064">
        <v>4.7136189999999996</v>
      </c>
      <c r="E6064">
        <v>0.5143645</v>
      </c>
      <c r="F6064" t="s">
        <v>42</v>
      </c>
      <c r="G6064">
        <v>-189.39179999999999</v>
      </c>
      <c r="H6064" s="1">
        <v>-1.115587E-6</v>
      </c>
      <c r="I6064">
        <v>71.981740000000002</v>
      </c>
      <c r="J6064">
        <v>-188.3177</v>
      </c>
      <c r="K6064">
        <v>1.1106780000000001</v>
      </c>
      <c r="L6064">
        <v>36.345640000000003</v>
      </c>
      <c r="M6064">
        <v>1.273398E-3</v>
      </c>
      <c r="N6064">
        <v>0</v>
      </c>
      <c r="O6064">
        <v>0.99992809999999999</v>
      </c>
      <c r="P6064">
        <v>-6.8288810000000005E-2</v>
      </c>
      <c r="Q6064">
        <v>4.0713159999999998E-2</v>
      </c>
      <c r="R6064">
        <v>0.99683449999999996</v>
      </c>
      <c r="S6064">
        <v>-8.9691160000000006E-2</v>
      </c>
      <c r="T6064">
        <v>-9.2725749999999996E-2</v>
      </c>
      <c r="U6064">
        <v>3.0068969999999999</v>
      </c>
      <c r="V6064">
        <v>-6.967131E-2</v>
      </c>
      <c r="W6064">
        <v>5.2443110000000001E-2</v>
      </c>
      <c r="X6064">
        <v>0.99619049999999998</v>
      </c>
      <c r="Y6064">
        <v>-3.1073960000000001E-2</v>
      </c>
      <c r="Z6064">
        <v>-3.080871E-2</v>
      </c>
      <c r="AA6064">
        <v>0.99904219999999999</v>
      </c>
      <c r="AB6064">
        <v>33</v>
      </c>
      <c r="AC6064">
        <v>-1.0740999999999801</v>
      </c>
      <c r="AD6064">
        <v>-1.1106791155869999</v>
      </c>
      <c r="AE6064">
        <v>35.636099999999999</v>
      </c>
      <c r="AF6064">
        <v>-1.11839587305787</v>
      </c>
      <c r="AG6064">
        <v>-1.1106791155869999</v>
      </c>
      <c r="AH6064">
        <v>35.600152746316098</v>
      </c>
      <c r="AI6064">
        <v>91.786094621989704</v>
      </c>
      <c r="AJ6064">
        <v>91.799382592993297</v>
      </c>
      <c r="AK6064">
        <v>35.635029016232203</v>
      </c>
      <c r="AL6064">
        <v>86.993851923954907</v>
      </c>
      <c r="AM6064">
        <v>94.000622959565007</v>
      </c>
      <c r="AN6064">
        <v>0.99999994175691698</v>
      </c>
    </row>
    <row r="6065" spans="1:40" x14ac:dyDescent="0.25">
      <c r="A6065" t="str">
        <f>"20190312151436353"</f>
        <v>20190312151436353</v>
      </c>
      <c r="B6065" t="str">
        <f>"1552374876346553"</f>
        <v>1552374876346553</v>
      </c>
      <c r="C6065" t="s">
        <v>40</v>
      </c>
      <c r="D6065">
        <v>4.6787260000000002</v>
      </c>
      <c r="E6065">
        <v>0.51441629999999905</v>
      </c>
      <c r="F6065" t="s">
        <v>42</v>
      </c>
      <c r="G6065">
        <v>-189.45169999999999</v>
      </c>
      <c r="H6065" s="1">
        <v>-1.616089E-6</v>
      </c>
      <c r="I6065">
        <v>73.173209999999997</v>
      </c>
      <c r="J6065">
        <v>-188.31819999999999</v>
      </c>
      <c r="K6065">
        <v>1.1106529999999999</v>
      </c>
      <c r="L6065">
        <v>36.65475</v>
      </c>
      <c r="M6065">
        <v>3.8839099999999997E-4</v>
      </c>
      <c r="N6065">
        <v>0</v>
      </c>
      <c r="O6065">
        <v>0.99992879999999995</v>
      </c>
      <c r="P6065">
        <v>-6.9185759999999999E-2</v>
      </c>
      <c r="Q6065">
        <v>4.10569E-2</v>
      </c>
      <c r="R6065">
        <v>0.99675860000000005</v>
      </c>
      <c r="S6065">
        <v>-9.2590329999999998E-2</v>
      </c>
      <c r="T6065">
        <v>-9.0684769999999998E-2</v>
      </c>
      <c r="U6065">
        <v>3.0068969999999999</v>
      </c>
      <c r="V6065">
        <v>-6.9683339999999996E-2</v>
      </c>
      <c r="W6065">
        <v>5.2791669999999999E-2</v>
      </c>
      <c r="X6065">
        <v>0.99617129999999998</v>
      </c>
      <c r="Y6065">
        <v>-3.1152320000000001E-2</v>
      </c>
      <c r="Z6065">
        <v>-3.0130759999999999E-2</v>
      </c>
      <c r="AA6065">
        <v>0.99906039999999996</v>
      </c>
      <c r="AB6065">
        <v>33</v>
      </c>
      <c r="AC6065">
        <v>-1.13349999999999</v>
      </c>
      <c r="AD6065">
        <v>-1.1106546160889901</v>
      </c>
      <c r="AE6065">
        <v>36.518459999999997</v>
      </c>
      <c r="AF6065">
        <v>-1.1466247784474499</v>
      </c>
      <c r="AG6065">
        <v>-1.1106546160889901</v>
      </c>
      <c r="AH6065">
        <v>36.484302142523603</v>
      </c>
      <c r="AI6065">
        <v>91.742798879179603</v>
      </c>
      <c r="AJ6065">
        <v>91.800093179949897</v>
      </c>
      <c r="AK6065">
        <v>36.519208711111702</v>
      </c>
      <c r="AL6065">
        <v>86.973853359553004</v>
      </c>
      <c r="AM6065">
        <v>94.001388365134801</v>
      </c>
      <c r="AN6065">
        <v>0.99999999361931702</v>
      </c>
    </row>
    <row r="6066" spans="1:40" x14ac:dyDescent="0.25">
      <c r="A6066" t="str">
        <f>"20190312151436373"</f>
        <v>20190312151436373</v>
      </c>
      <c r="B6066" t="str">
        <f>"1552374876367048"</f>
        <v>1552374876367048</v>
      </c>
      <c r="C6066" t="s">
        <v>40</v>
      </c>
      <c r="D6066">
        <v>4.6972149999999999</v>
      </c>
      <c r="E6066">
        <v>0.51448640000000001</v>
      </c>
      <c r="F6066" t="s">
        <v>42</v>
      </c>
      <c r="G6066">
        <v>-189.49930000000001</v>
      </c>
      <c r="H6066" s="1">
        <v>-2.0116060000000001E-6</v>
      </c>
      <c r="I6066">
        <v>74.114850000000004</v>
      </c>
      <c r="J6066">
        <v>-188.31899999999999</v>
      </c>
      <c r="K6066">
        <v>1.110622</v>
      </c>
      <c r="L6066">
        <v>36.952759999999998</v>
      </c>
      <c r="M6066">
        <v>-4.2426140000000002E-4</v>
      </c>
      <c r="N6066">
        <v>0</v>
      </c>
      <c r="O6066">
        <v>0.99992879999999995</v>
      </c>
      <c r="P6066">
        <v>-7.0178110000000002E-2</v>
      </c>
      <c r="Q6066">
        <v>4.1373500000000001E-2</v>
      </c>
      <c r="R6066">
        <v>0.99667609999999995</v>
      </c>
      <c r="S6066">
        <v>-9.4802860000000003E-2</v>
      </c>
      <c r="T6066">
        <v>-8.9150670000000001E-2</v>
      </c>
      <c r="U6066">
        <v>3.006866</v>
      </c>
      <c r="V6066">
        <v>-6.9861679999999995E-2</v>
      </c>
      <c r="W6066">
        <v>5.311403E-2</v>
      </c>
      <c r="X6066">
        <v>0.99614170000000002</v>
      </c>
      <c r="Y6066">
        <v>-3.1075209999999999E-2</v>
      </c>
      <c r="Z6066">
        <v>-2.962149E-2</v>
      </c>
      <c r="AA6066">
        <v>0.99907800000000002</v>
      </c>
      <c r="AB6066">
        <v>33</v>
      </c>
      <c r="AC6066">
        <v>-1.1802999999999799</v>
      </c>
      <c r="AD6066">
        <v>-1.110624011606</v>
      </c>
      <c r="AE6066">
        <v>37.162089999999999</v>
      </c>
      <c r="AF6066">
        <v>-1.1634941819857501</v>
      </c>
      <c r="AG6066">
        <v>-1.110624011606</v>
      </c>
      <c r="AH6066">
        <v>37.129457968532201</v>
      </c>
      <c r="AI6066">
        <v>91.712492223627706</v>
      </c>
      <c r="AJ6066">
        <v>91.794841683806496</v>
      </c>
      <c r="AK6066">
        <v>37.164281957864702</v>
      </c>
      <c r="AL6066">
        <v>86.9553576244016</v>
      </c>
      <c r="AM6066">
        <v>94.011714506841201</v>
      </c>
      <c r="AN6066">
        <v>1.00000002049707</v>
      </c>
    </row>
    <row r="6067" spans="1:40" x14ac:dyDescent="0.25">
      <c r="A6067" t="str">
        <f>"20190312151436397"</f>
        <v>20190312151436397</v>
      </c>
      <c r="B6067" t="str">
        <f>"1552374876386568"</f>
        <v>1552374876386568</v>
      </c>
      <c r="C6067" t="s">
        <v>40</v>
      </c>
      <c r="D6067">
        <v>4.672428</v>
      </c>
      <c r="E6067">
        <v>0.51453760000000004</v>
      </c>
      <c r="F6067" t="s">
        <v>42</v>
      </c>
      <c r="G6067">
        <v>-189.5497</v>
      </c>
      <c r="H6067" s="1">
        <v>-2.405611E-6</v>
      </c>
      <c r="I6067">
        <v>75.054109999999994</v>
      </c>
      <c r="J6067">
        <v>-188.3201</v>
      </c>
      <c r="K6067">
        <v>1.1105769999999999</v>
      </c>
      <c r="L6067">
        <v>37.306150000000002</v>
      </c>
      <c r="M6067">
        <v>-1.321097E-3</v>
      </c>
      <c r="N6067">
        <v>0</v>
      </c>
      <c r="O6067">
        <v>0.99992809999999999</v>
      </c>
      <c r="P6067">
        <v>-7.0847999999999994E-2</v>
      </c>
      <c r="Q6067">
        <v>4.1487540000000003E-2</v>
      </c>
      <c r="R6067">
        <v>0.99662399999999995</v>
      </c>
      <c r="S6067">
        <v>-9.7122189999999997E-2</v>
      </c>
      <c r="T6067">
        <v>-8.7646009999999996E-2</v>
      </c>
      <c r="U6067">
        <v>3.0068049999999999</v>
      </c>
      <c r="V6067">
        <v>-6.9632289999999999E-2</v>
      </c>
      <c r="W6067">
        <v>5.323688E-2</v>
      </c>
      <c r="X6067">
        <v>0.99615120000000001</v>
      </c>
      <c r="Y6067">
        <v>-3.0949730000000002E-2</v>
      </c>
      <c r="Z6067">
        <v>-2.9122229999999999E-2</v>
      </c>
      <c r="AA6067">
        <v>0.9990966</v>
      </c>
      <c r="AB6067">
        <v>33</v>
      </c>
      <c r="AC6067">
        <v>-1.2296</v>
      </c>
      <c r="AD6067">
        <v>-1.1105794056110001</v>
      </c>
      <c r="AE6067">
        <v>37.7479599999999</v>
      </c>
      <c r="AF6067">
        <v>-1.17870747179715</v>
      </c>
      <c r="AG6067">
        <v>-1.1105794056110001</v>
      </c>
      <c r="AH6067">
        <v>37.716938787862297</v>
      </c>
      <c r="AI6067">
        <v>91.685770672158498</v>
      </c>
      <c r="AJ6067">
        <v>91.789991246350098</v>
      </c>
      <c r="AK6067">
        <v>37.751691477966801</v>
      </c>
      <c r="AL6067">
        <v>86.948308855362896</v>
      </c>
      <c r="AM6067">
        <v>93.998546878679306</v>
      </c>
      <c r="AN6067">
        <v>1.0000000172321</v>
      </c>
    </row>
    <row r="6068" spans="1:40" x14ac:dyDescent="0.25">
      <c r="A6068" t="str">
        <f>"20190312151436418"</f>
        <v>20190312151436418</v>
      </c>
      <c r="B6068" t="str">
        <f>"1552374876407064"</f>
        <v>1552374876407064</v>
      </c>
      <c r="C6068" t="s">
        <v>40</v>
      </c>
      <c r="D6068">
        <v>4.6290699999999996</v>
      </c>
      <c r="E6068">
        <v>0.5146212</v>
      </c>
      <c r="F6068" t="s">
        <v>42</v>
      </c>
      <c r="G6068">
        <v>-189.56229999999999</v>
      </c>
      <c r="H6068" s="1">
        <v>-2.4376390000000002E-6</v>
      </c>
      <c r="I6068">
        <v>75.133989999999997</v>
      </c>
      <c r="J6068">
        <v>-188.32130000000001</v>
      </c>
      <c r="K6068">
        <v>1.11052</v>
      </c>
      <c r="L6068">
        <v>37.62509</v>
      </c>
      <c r="M6068">
        <v>-2.060456E-3</v>
      </c>
      <c r="N6068">
        <v>0</v>
      </c>
      <c r="O6068">
        <v>0.9999268</v>
      </c>
      <c r="P6068">
        <v>-7.0815210000000003E-2</v>
      </c>
      <c r="Q6068">
        <v>4.1829159999999997E-2</v>
      </c>
      <c r="R6068">
        <v>0.99661200000000005</v>
      </c>
      <c r="S6068">
        <v>-9.873962E-2</v>
      </c>
      <c r="T6068">
        <v>-8.8276149999999998E-2</v>
      </c>
      <c r="U6068">
        <v>3.0068049999999999</v>
      </c>
      <c r="V6068">
        <v>-6.8856249999999994E-2</v>
      </c>
      <c r="W6068">
        <v>5.358972E-2</v>
      </c>
      <c r="X6068">
        <v>0.99618620000000002</v>
      </c>
      <c r="Y6068">
        <v>-3.0747340000000001E-2</v>
      </c>
      <c r="Z6068">
        <v>-2.933121E-2</v>
      </c>
      <c r="AA6068">
        <v>0.99909680000000001</v>
      </c>
      <c r="AB6068">
        <v>33</v>
      </c>
      <c r="AC6068">
        <v>-1.2409999999999799</v>
      </c>
      <c r="AD6068">
        <v>-1.1105224376389999</v>
      </c>
      <c r="AE6068">
        <v>37.508899999999997</v>
      </c>
      <c r="AF6068">
        <v>-1.16268837167345</v>
      </c>
      <c r="AG6068">
        <v>-1.1105224376389999</v>
      </c>
      <c r="AH6068">
        <v>37.478560959289901</v>
      </c>
      <c r="AI6068">
        <v>91.696411652690998</v>
      </c>
      <c r="AJ6068">
        <v>91.776903279599907</v>
      </c>
      <c r="AK6068">
        <v>37.513032880764698</v>
      </c>
      <c r="AL6068">
        <v>86.928063638622902</v>
      </c>
      <c r="AM6068">
        <v>93.953987424341804</v>
      </c>
      <c r="AN6068">
        <v>0.99999999316208998</v>
      </c>
    </row>
    <row r="6069" spans="1:40" x14ac:dyDescent="0.25">
      <c r="A6069" t="str">
        <f>"20190312151436440"</f>
        <v>20190312151436440</v>
      </c>
      <c r="B6069" t="str">
        <f>"1552374876436344"</f>
        <v>1552374876436344</v>
      </c>
      <c r="C6069" t="s">
        <v>40</v>
      </c>
      <c r="D6069">
        <v>4.614884</v>
      </c>
      <c r="E6069">
        <v>0.51471549999999999</v>
      </c>
      <c r="F6069" t="s">
        <v>42</v>
      </c>
      <c r="G6069">
        <v>-189.55330000000001</v>
      </c>
      <c r="H6069" s="1">
        <v>-2.555458E-6</v>
      </c>
      <c r="I6069">
        <v>75.404880000000006</v>
      </c>
      <c r="J6069">
        <v>-188.3227</v>
      </c>
      <c r="K6069">
        <v>1.1104609999999999</v>
      </c>
      <c r="L6069">
        <v>37.944369999999999</v>
      </c>
      <c r="M6069">
        <v>-2.7267440000000001E-3</v>
      </c>
      <c r="N6069">
        <v>0</v>
      </c>
      <c r="O6069">
        <v>0.99992519999999996</v>
      </c>
      <c r="P6069">
        <v>-7.1085209999999996E-2</v>
      </c>
      <c r="Q6069">
        <v>4.1970750000000001E-2</v>
      </c>
      <c r="R6069">
        <v>0.99658690000000005</v>
      </c>
      <c r="S6069">
        <v>-9.8052979999999998E-2</v>
      </c>
      <c r="T6069">
        <v>-8.8387489999999999E-2</v>
      </c>
      <c r="U6069">
        <v>3.0069270000000001</v>
      </c>
      <c r="V6069">
        <v>-6.8455230000000006E-2</v>
      </c>
      <c r="W6069">
        <v>5.3742079999999998E-2</v>
      </c>
      <c r="X6069">
        <v>0.99620560000000002</v>
      </c>
      <c r="Y6069">
        <v>-2.985204E-2</v>
      </c>
      <c r="Z6069">
        <v>-2.9367420000000002E-2</v>
      </c>
      <c r="AA6069">
        <v>0.99912279999999998</v>
      </c>
      <c r="AB6069">
        <v>33</v>
      </c>
      <c r="AC6069">
        <v>-1.2305999999999999</v>
      </c>
      <c r="AD6069">
        <v>-1.110463555458</v>
      </c>
      <c r="AE6069">
        <v>37.460509999999999</v>
      </c>
      <c r="AF6069">
        <v>-1.1274532701895901</v>
      </c>
      <c r="AG6069">
        <v>-1.110463555458</v>
      </c>
      <c r="AH6069">
        <v>37.430869878127901</v>
      </c>
      <c r="AI6069">
        <v>91.698528551707298</v>
      </c>
      <c r="AJ6069">
        <v>91.725281532295995</v>
      </c>
      <c r="AK6069">
        <v>37.4643070137138</v>
      </c>
      <c r="AL6069">
        <v>86.919321364402506</v>
      </c>
      <c r="AM6069">
        <v>93.930955428676398</v>
      </c>
      <c r="AN6069">
        <v>0.99999996357421905</v>
      </c>
    </row>
    <row r="6070" spans="1:40" x14ac:dyDescent="0.25">
      <c r="A6070" t="str">
        <f>"20190312151436463"</f>
        <v>20190312151436463</v>
      </c>
      <c r="B6070" t="str">
        <f>"1552374876456840"</f>
        <v>1552374876456840</v>
      </c>
      <c r="C6070" t="s">
        <v>40</v>
      </c>
      <c r="D6070">
        <v>4.8004160000000002</v>
      </c>
      <c r="E6070">
        <v>0.51493129999999998</v>
      </c>
      <c r="F6070" t="s">
        <v>42</v>
      </c>
      <c r="G6070">
        <v>-189.5412</v>
      </c>
      <c r="H6070" s="1">
        <v>-2.5107099999999998E-6</v>
      </c>
      <c r="I6070">
        <v>75.295580000000001</v>
      </c>
      <c r="J6070">
        <v>-188.32429999999999</v>
      </c>
      <c r="K6070">
        <v>1.1103909999999999</v>
      </c>
      <c r="L6070">
        <v>38.285710000000002</v>
      </c>
      <c r="M6070">
        <v>-3.3522650000000001E-3</v>
      </c>
      <c r="N6070">
        <v>0</v>
      </c>
      <c r="O6070">
        <v>0.99992329999999996</v>
      </c>
      <c r="P6070">
        <v>-7.0777980000000004E-2</v>
      </c>
      <c r="Q6070">
        <v>4.2350039999999999E-2</v>
      </c>
      <c r="R6070">
        <v>0.9965927</v>
      </c>
      <c r="S6070">
        <v>-9.8098749999999998E-2</v>
      </c>
      <c r="T6070">
        <v>-8.9400530000000006E-2</v>
      </c>
      <c r="U6070">
        <v>3.00705</v>
      </c>
      <c r="V6070">
        <v>-6.7515580000000006E-2</v>
      </c>
      <c r="W6070">
        <v>5.4135379999999997E-2</v>
      </c>
      <c r="X6070">
        <v>0.99624849999999998</v>
      </c>
      <c r="Y6070">
        <v>-2.9240289999999999E-2</v>
      </c>
      <c r="Z6070">
        <v>-2.970269E-2</v>
      </c>
      <c r="AA6070">
        <v>0.99913099999999999</v>
      </c>
      <c r="AB6070">
        <v>33</v>
      </c>
      <c r="AC6070">
        <v>-1.2169000000000001</v>
      </c>
      <c r="AD6070">
        <v>-1.11039351070999</v>
      </c>
      <c r="AE6070">
        <v>37.009869999999999</v>
      </c>
      <c r="AF6070">
        <v>-1.0918356870481301</v>
      </c>
      <c r="AG6070">
        <v>-1.11039351070999</v>
      </c>
      <c r="AH6070">
        <v>36.980489347714901</v>
      </c>
      <c r="AI6070">
        <v>91.719124517807401</v>
      </c>
      <c r="AJ6070">
        <v>91.691146065251303</v>
      </c>
      <c r="AK6070">
        <v>37.013263451262901</v>
      </c>
      <c r="AL6070">
        <v>86.896754297646893</v>
      </c>
      <c r="AM6070">
        <v>93.876996472404301</v>
      </c>
      <c r="AN6070">
        <v>1.0000000333313599</v>
      </c>
    </row>
    <row r="6071" spans="1:40" x14ac:dyDescent="0.25">
      <c r="A6071" t="str">
        <f>"20190312151436487"</f>
        <v>20190312151436487</v>
      </c>
      <c r="B6071" t="str">
        <f>"1552374876476360"</f>
        <v>1552374876476360</v>
      </c>
      <c r="C6071" t="s">
        <v>40</v>
      </c>
      <c r="D6071">
        <v>4.5795539999999999</v>
      </c>
      <c r="E6071">
        <v>0.51503310000000002</v>
      </c>
      <c r="F6071" t="s">
        <v>42</v>
      </c>
      <c r="G6071">
        <v>-189.5171</v>
      </c>
      <c r="H6071" s="1">
        <v>-2.7819870000000001E-6</v>
      </c>
      <c r="I6071">
        <v>75.91798</v>
      </c>
      <c r="J6071">
        <v>-188.32599999999999</v>
      </c>
      <c r="K6071">
        <v>1.1103229999999999</v>
      </c>
      <c r="L6071">
        <v>38.623959999999997</v>
      </c>
      <c r="M6071">
        <v>-3.8757729999999999E-3</v>
      </c>
      <c r="N6071">
        <v>0</v>
      </c>
      <c r="O6071">
        <v>0.99992139999999996</v>
      </c>
      <c r="P6071">
        <v>-6.9634660000000001E-2</v>
      </c>
      <c r="Q6071">
        <v>4.303659E-2</v>
      </c>
      <c r="R6071">
        <v>0.99664379999999997</v>
      </c>
      <c r="S6071">
        <v>-9.5321660000000002E-2</v>
      </c>
      <c r="T6071">
        <v>-8.8733549999999994E-2</v>
      </c>
      <c r="U6071">
        <v>3.007263</v>
      </c>
      <c r="V6071">
        <v>-6.5840800000000005E-2</v>
      </c>
      <c r="W6071">
        <v>5.4838150000000002E-2</v>
      </c>
      <c r="X6071">
        <v>0.99632209999999999</v>
      </c>
      <c r="Y6071">
        <v>-2.7793120000000001E-2</v>
      </c>
      <c r="Z6071">
        <v>-2.948015E-2</v>
      </c>
      <c r="AA6071">
        <v>0.99917889999999998</v>
      </c>
      <c r="AB6071">
        <v>33</v>
      </c>
      <c r="AC6071">
        <v>-1.1911</v>
      </c>
      <c r="AD6071">
        <v>-1.110325781987</v>
      </c>
      <c r="AE6071">
        <v>37.294020000000003</v>
      </c>
      <c r="AF6071">
        <v>-1.0456117504323099</v>
      </c>
      <c r="AG6071">
        <v>-1.110325781987</v>
      </c>
      <c r="AH6071">
        <v>37.265358812433298</v>
      </c>
      <c r="AI6071">
        <v>91.705958634225794</v>
      </c>
      <c r="AJ6071">
        <v>91.607214524294506</v>
      </c>
      <c r="AK6071">
        <v>37.296556070154601</v>
      </c>
      <c r="AL6071">
        <v>86.856428472238704</v>
      </c>
      <c r="AM6071">
        <v>93.780828361170904</v>
      </c>
      <c r="AN6071">
        <v>0.99999998029423598</v>
      </c>
    </row>
    <row r="6072" spans="1:40" x14ac:dyDescent="0.25">
      <c r="A6072" t="str">
        <f>"20190312151436508"</f>
        <v>20190312151436508</v>
      </c>
      <c r="B6072" t="str">
        <f>"1552374876496856"</f>
        <v>1552374876496856</v>
      </c>
      <c r="C6072" t="s">
        <v>40</v>
      </c>
      <c r="D6072">
        <v>4.597003</v>
      </c>
      <c r="E6072">
        <v>0.51512749999999996</v>
      </c>
      <c r="F6072" t="s">
        <v>42</v>
      </c>
      <c r="G6072">
        <v>-189.48249999999999</v>
      </c>
      <c r="H6072" s="1">
        <v>-3.1444829999999999E-6</v>
      </c>
      <c r="I6072">
        <v>76.748660000000001</v>
      </c>
      <c r="J6072">
        <v>-188.32769999999999</v>
      </c>
      <c r="K6072">
        <v>1.110258</v>
      </c>
      <c r="L6072">
        <v>38.95102</v>
      </c>
      <c r="M6072">
        <v>-4.2845189999999997E-3</v>
      </c>
      <c r="N6072">
        <v>0</v>
      </c>
      <c r="O6072">
        <v>0.99991969999999997</v>
      </c>
      <c r="P6072">
        <v>-6.8439849999999997E-2</v>
      </c>
      <c r="Q6072">
        <v>4.3468340000000001E-2</v>
      </c>
      <c r="R6072">
        <v>0.99670780000000003</v>
      </c>
      <c r="S6072">
        <v>-9.1232300000000002E-2</v>
      </c>
      <c r="T6072">
        <v>-8.7589260000000002E-2</v>
      </c>
      <c r="U6072">
        <v>3.0075069999999999</v>
      </c>
      <c r="V6072">
        <v>-6.4229060000000004E-2</v>
      </c>
      <c r="W6072">
        <v>5.5284729999999997E-2</v>
      </c>
      <c r="X6072">
        <v>0.99640260000000003</v>
      </c>
      <c r="Y6072">
        <v>-2.602494E-2</v>
      </c>
      <c r="Z6072">
        <v>-2.9099179999999999E-2</v>
      </c>
      <c r="AA6072">
        <v>0.99923770000000001</v>
      </c>
      <c r="AB6072">
        <v>33</v>
      </c>
      <c r="AC6072">
        <v>-1.1547999999999901</v>
      </c>
      <c r="AD6072">
        <v>-1.110261144483</v>
      </c>
      <c r="AE6072">
        <v>37.797640000000001</v>
      </c>
      <c r="AF6072">
        <v>-0.99197807213018996</v>
      </c>
      <c r="AG6072">
        <v>-1.110261144483</v>
      </c>
      <c r="AH6072">
        <v>37.769683035580101</v>
      </c>
      <c r="AI6072">
        <v>91.683176816231395</v>
      </c>
      <c r="AJ6072">
        <v>91.504463087507204</v>
      </c>
      <c r="AK6072">
        <v>37.799016613037999</v>
      </c>
      <c r="AL6072">
        <v>86.830802374187599</v>
      </c>
      <c r="AM6072">
        <v>93.688237658705603</v>
      </c>
      <c r="AN6072">
        <v>0.99999995740320702</v>
      </c>
    </row>
    <row r="6073" spans="1:40" x14ac:dyDescent="0.25">
      <c r="A6073" t="str">
        <f>"20190312151436533"</f>
        <v>20190312151436533</v>
      </c>
      <c r="B6073" t="str">
        <f>"1552374876526136"</f>
        <v>1552374876526136</v>
      </c>
      <c r="C6073" t="s">
        <v>40</v>
      </c>
      <c r="D6073">
        <v>4.5615870000000003</v>
      </c>
      <c r="E6073">
        <v>0.5152719</v>
      </c>
      <c r="F6073" t="s">
        <v>42</v>
      </c>
      <c r="G6073">
        <v>-189.43039999999999</v>
      </c>
      <c r="H6073" s="1">
        <v>-3.3373959999999999E-6</v>
      </c>
      <c r="I6073">
        <v>77.1768</v>
      </c>
      <c r="J6073">
        <v>-188.32980000000001</v>
      </c>
      <c r="K6073">
        <v>1.1101859999999999</v>
      </c>
      <c r="L6073">
        <v>39.318330000000003</v>
      </c>
      <c r="M6073">
        <v>-4.6545320000000003E-3</v>
      </c>
      <c r="N6073">
        <v>0</v>
      </c>
      <c r="O6073">
        <v>0.99991799999999997</v>
      </c>
      <c r="P6073">
        <v>-6.6856860000000004E-2</v>
      </c>
      <c r="Q6073">
        <v>4.4256909999999997E-2</v>
      </c>
      <c r="R6073">
        <v>0.99678060000000002</v>
      </c>
      <c r="S6073">
        <v>-8.6761469999999993E-2</v>
      </c>
      <c r="T6073">
        <v>-8.735967E-2</v>
      </c>
      <c r="U6073">
        <v>3.0077509999999998</v>
      </c>
      <c r="V6073">
        <v>-6.2267219999999998E-2</v>
      </c>
      <c r="W6073">
        <v>5.6088390000000002E-2</v>
      </c>
      <c r="X6073">
        <v>0.99648230000000004</v>
      </c>
      <c r="Y6073">
        <v>-2.4168579999999999E-2</v>
      </c>
      <c r="Z6073">
        <v>-2.902186E-2</v>
      </c>
      <c r="AA6073">
        <v>0.99928649999999997</v>
      </c>
      <c r="AB6073">
        <v>33</v>
      </c>
      <c r="AC6073">
        <v>-1.10059999999998</v>
      </c>
      <c r="AD6073">
        <v>-1.1101893373959999</v>
      </c>
      <c r="AE6073">
        <v>37.858469999999997</v>
      </c>
      <c r="AF6073">
        <v>-0.92356853207562595</v>
      </c>
      <c r="AG6073">
        <v>-1.1101893373959999</v>
      </c>
      <c r="AH6073">
        <v>37.830678356282</v>
      </c>
      <c r="AI6073">
        <v>91.680434626379906</v>
      </c>
      <c r="AJ6073">
        <v>91.398496463314203</v>
      </c>
      <c r="AK6073">
        <v>37.8582319198186</v>
      </c>
      <c r="AL6073">
        <v>86.784684763014695</v>
      </c>
      <c r="AM6073">
        <v>93.575594175502403</v>
      </c>
      <c r="AN6073">
        <v>1.0000000441963</v>
      </c>
    </row>
    <row r="6074" spans="1:40" x14ac:dyDescent="0.25">
      <c r="A6074" t="str">
        <f>"20190312151436575"</f>
        <v>20190312151436575</v>
      </c>
      <c r="B6074" t="str">
        <f>"1552374876566153"</f>
        <v>1552374876566153</v>
      </c>
      <c r="C6074" t="s">
        <v>40</v>
      </c>
      <c r="D6074">
        <v>4.9854289999999999</v>
      </c>
      <c r="E6074">
        <v>0.54556349999999998</v>
      </c>
      <c r="F6074" t="s">
        <v>42</v>
      </c>
      <c r="G6074">
        <v>-189.36770000000001</v>
      </c>
      <c r="H6074" s="1">
        <v>-3.7007380000000002E-6</v>
      </c>
      <c r="I6074">
        <v>77.997829999999993</v>
      </c>
      <c r="J6074">
        <v>-188.33330000000001</v>
      </c>
      <c r="K6074">
        <v>1.1100559999999999</v>
      </c>
      <c r="L6074">
        <v>39.95337</v>
      </c>
      <c r="M6074">
        <v>-5.0683009999999999E-3</v>
      </c>
      <c r="N6074">
        <v>0</v>
      </c>
      <c r="O6074">
        <v>0.99991600000000003</v>
      </c>
      <c r="P6074">
        <v>-6.2689110000000006E-2</v>
      </c>
      <c r="Q6074">
        <v>4.6305499999999999E-2</v>
      </c>
      <c r="R6074">
        <v>0.99695829999999996</v>
      </c>
      <c r="S6074">
        <v>-8.0718990000000004E-2</v>
      </c>
      <c r="T6074">
        <v>-8.6339830000000006E-2</v>
      </c>
      <c r="U6074">
        <v>3.0081180000000001</v>
      </c>
      <c r="V6074">
        <v>-5.7669680000000001E-2</v>
      </c>
      <c r="W6074">
        <v>5.8160669999999998E-2</v>
      </c>
      <c r="X6074">
        <v>0.99664010000000003</v>
      </c>
      <c r="Y6074">
        <v>-2.1745850000000001E-2</v>
      </c>
      <c r="Z6074">
        <v>-2.8681359999999999E-2</v>
      </c>
      <c r="AA6074">
        <v>0.99935200000000002</v>
      </c>
      <c r="AB6074">
        <v>33</v>
      </c>
      <c r="AC6074">
        <v>-1.0344</v>
      </c>
      <c r="AD6074">
        <v>-1.110059700738</v>
      </c>
      <c r="AE6074">
        <v>38.044460000000001</v>
      </c>
      <c r="AF6074">
        <v>-0.84083689606172196</v>
      </c>
      <c r="AG6074">
        <v>-1.110059700738</v>
      </c>
      <c r="AH6074">
        <v>38.016872433103202</v>
      </c>
      <c r="AI6074">
        <v>91.6721031524051</v>
      </c>
      <c r="AJ6074">
        <v>91.267030898215395</v>
      </c>
      <c r="AK6074">
        <v>38.042368864462397</v>
      </c>
      <c r="AL6074">
        <v>86.665757407803</v>
      </c>
      <c r="AM6074">
        <v>93.311675760808399</v>
      </c>
      <c r="AN6074">
        <v>0.99999997222708004</v>
      </c>
    </row>
    <row r="6075" spans="1:40" x14ac:dyDescent="0.25">
      <c r="A6075" t="str">
        <f>"20190312151436597"</f>
        <v>20190312151436597</v>
      </c>
      <c r="B6075" t="str">
        <f>"1552374876586648"</f>
        <v>1552374876586648</v>
      </c>
      <c r="C6075" t="s">
        <v>40</v>
      </c>
      <c r="D6075">
        <v>4.8068720000000003</v>
      </c>
      <c r="E6075">
        <v>0.55179929999999999</v>
      </c>
      <c r="F6075" t="s">
        <v>42</v>
      </c>
      <c r="G6075">
        <v>-185.81309999999999</v>
      </c>
      <c r="H6075" s="1">
        <v>-2.5957329999999998E-6</v>
      </c>
      <c r="I6075">
        <v>83.952290000000005</v>
      </c>
      <c r="J6075">
        <v>-188.33510000000001</v>
      </c>
      <c r="K6075">
        <v>1.109996</v>
      </c>
      <c r="L6075">
        <v>40.279020000000003</v>
      </c>
      <c r="M6075">
        <v>-5.1742089999999999E-3</v>
      </c>
      <c r="N6075">
        <v>0</v>
      </c>
      <c r="O6075">
        <v>0.99991549999999996</v>
      </c>
      <c r="P6075">
        <v>-5.9919279999999998E-2</v>
      </c>
      <c r="Q6075">
        <v>4.725232E-2</v>
      </c>
      <c r="R6075">
        <v>0.99708419999999998</v>
      </c>
      <c r="S6075">
        <v>0.17318729999999999</v>
      </c>
      <c r="T6075">
        <v>-7.6282859999999994E-2</v>
      </c>
      <c r="U6075">
        <v>3.02359</v>
      </c>
      <c r="V6075">
        <v>-5.4784529999999998E-2</v>
      </c>
      <c r="W6075">
        <v>5.9119369999999997E-2</v>
      </c>
      <c r="X6075">
        <v>0.99674649999999998</v>
      </c>
      <c r="Y6075">
        <v>6.2332169999999999E-2</v>
      </c>
      <c r="Z6075">
        <v>-2.517556E-2</v>
      </c>
      <c r="AA6075">
        <v>0.99773789999999996</v>
      </c>
      <c r="AB6075">
        <v>33</v>
      </c>
      <c r="AC6075">
        <v>2.5220000000000198</v>
      </c>
      <c r="AD6075">
        <v>-1.1099985957330001</v>
      </c>
      <c r="AE6075">
        <v>43.673270000000002</v>
      </c>
      <c r="AF6075">
        <v>2.7461888683581401</v>
      </c>
      <c r="AG6075">
        <v>-1.1099985957330001</v>
      </c>
      <c r="AH6075">
        <v>43.631543946426497</v>
      </c>
      <c r="AI6075">
        <v>91.4544294308415</v>
      </c>
      <c r="AJ6075">
        <v>86.398528769582498</v>
      </c>
      <c r="AK6075">
        <v>43.731970883235597</v>
      </c>
      <c r="AL6075">
        <v>86.610733399362502</v>
      </c>
      <c r="AM6075">
        <v>93.146002724833096</v>
      </c>
      <c r="AN6075">
        <v>1.00000001494938</v>
      </c>
    </row>
    <row r="6076" spans="1:40" x14ac:dyDescent="0.25">
      <c r="A6076" t="str">
        <f>"20190312151436619"</f>
        <v>20190312151436619</v>
      </c>
      <c r="B6076" t="str">
        <f>"1552374876616904"</f>
        <v>1552374876616904</v>
      </c>
      <c r="C6076" t="s">
        <v>40</v>
      </c>
      <c r="D6076">
        <v>4.6106910000000001</v>
      </c>
      <c r="E6076">
        <v>0.55254309999999995</v>
      </c>
      <c r="F6076" t="s">
        <v>42</v>
      </c>
      <c r="G6076">
        <v>-185.9093</v>
      </c>
      <c r="H6076" s="1">
        <v>-1.9096459999999999E-6</v>
      </c>
      <c r="I6076">
        <v>72.061229999999995</v>
      </c>
      <c r="J6076">
        <v>-188.33690000000001</v>
      </c>
      <c r="K6076">
        <v>1.109947</v>
      </c>
      <c r="L6076">
        <v>40.607790000000001</v>
      </c>
      <c r="M6076">
        <v>-5.2319790000000003E-3</v>
      </c>
      <c r="N6076">
        <v>0</v>
      </c>
      <c r="O6076">
        <v>0.9999152</v>
      </c>
      <c r="P6076">
        <v>-5.6953629999999998E-2</v>
      </c>
      <c r="Q6076">
        <v>4.8572249999999997E-2</v>
      </c>
      <c r="R6076">
        <v>0.99719460000000004</v>
      </c>
      <c r="S6076">
        <v>0.23109440000000001</v>
      </c>
      <c r="T6076">
        <v>-0.10574210000000001</v>
      </c>
      <c r="U6076">
        <v>3.027679</v>
      </c>
      <c r="V6076">
        <v>-5.1753050000000002E-2</v>
      </c>
      <c r="W6076">
        <v>6.0448799999999997E-2</v>
      </c>
      <c r="X6076">
        <v>0.99682870000000001</v>
      </c>
      <c r="Y6076">
        <v>8.1275899999999901E-2</v>
      </c>
      <c r="Z6076">
        <v>-3.4794850000000002E-2</v>
      </c>
      <c r="AA6076">
        <v>0.99608410000000003</v>
      </c>
      <c r="AB6076">
        <v>33</v>
      </c>
      <c r="AC6076">
        <v>2.4276000000000102</v>
      </c>
      <c r="AD6076">
        <v>-1.109948909646</v>
      </c>
      <c r="AE6076">
        <v>31.453440000000001</v>
      </c>
      <c r="AF6076">
        <v>2.5889373292293798</v>
      </c>
      <c r="AG6076">
        <v>-1.109948909646</v>
      </c>
      <c r="AH6076">
        <v>31.401435121240301</v>
      </c>
      <c r="AI6076">
        <v>92.017555655401395</v>
      </c>
      <c r="AJ6076">
        <v>85.286825359007295</v>
      </c>
      <c r="AK6076">
        <v>31.527523067157802</v>
      </c>
      <c r="AL6076">
        <v>86.534425940426203</v>
      </c>
      <c r="AM6076">
        <v>92.971996526784295</v>
      </c>
      <c r="AN6076">
        <v>0.99999994637471401</v>
      </c>
    </row>
    <row r="6077" spans="1:40" x14ac:dyDescent="0.25">
      <c r="A6077" t="str">
        <f>"20190312151436642"</f>
        <v>20190312151436642</v>
      </c>
      <c r="B6077" t="str">
        <f>"1552374876636425"</f>
        <v>1552374876636425</v>
      </c>
      <c r="C6077" t="s">
        <v>40</v>
      </c>
      <c r="D6077">
        <v>4.6255990000000002</v>
      </c>
      <c r="E6077">
        <v>0.55304790000000004</v>
      </c>
      <c r="F6077" t="s">
        <v>42</v>
      </c>
      <c r="G6077">
        <v>-186.11709999999999</v>
      </c>
      <c r="H6077" s="1">
        <v>-4.24946999999999E-6</v>
      </c>
      <c r="I6077">
        <v>67.932850000000002</v>
      </c>
      <c r="J6077">
        <v>-188.33869999999999</v>
      </c>
      <c r="K6077">
        <v>1.1099030000000001</v>
      </c>
      <c r="L6077">
        <v>40.935580000000002</v>
      </c>
      <c r="M6077">
        <v>-5.256241E-3</v>
      </c>
      <c r="N6077">
        <v>0</v>
      </c>
      <c r="O6077">
        <v>0.99991509999999995</v>
      </c>
      <c r="P6077">
        <v>-5.4072469999999997E-2</v>
      </c>
      <c r="Q6077">
        <v>4.9401939999999998E-2</v>
      </c>
      <c r="R6077">
        <v>0.99731420000000004</v>
      </c>
      <c r="S6077">
        <v>0.24603269999999999</v>
      </c>
      <c r="T6077">
        <v>-0.1230174</v>
      </c>
      <c r="U6077">
        <v>3.028473</v>
      </c>
      <c r="V6077">
        <v>-4.8839920000000002E-2</v>
      </c>
      <c r="W6077">
        <v>6.1285989999999999E-2</v>
      </c>
      <c r="X6077">
        <v>0.99692460000000005</v>
      </c>
      <c r="Y6077">
        <v>8.6145070000000004E-2</v>
      </c>
      <c r="Z6077">
        <v>-4.0444019999999997E-2</v>
      </c>
      <c r="AA6077">
        <v>0.99546129999999999</v>
      </c>
      <c r="AB6077">
        <v>33</v>
      </c>
      <c r="AC6077">
        <v>2.2215999999999898</v>
      </c>
      <c r="AD6077">
        <v>-1.10990724947</v>
      </c>
      <c r="AE6077">
        <v>26.99727</v>
      </c>
      <c r="AF6077">
        <v>2.3595223512158201</v>
      </c>
      <c r="AG6077">
        <v>-1.10990724947</v>
      </c>
      <c r="AH6077">
        <v>26.939991659025601</v>
      </c>
      <c r="AI6077">
        <v>92.350221562064306</v>
      </c>
      <c r="AJ6077">
        <v>84.994557797190694</v>
      </c>
      <c r="AK6077">
        <v>27.065889795398999</v>
      </c>
      <c r="AL6077">
        <v>86.486369512380406</v>
      </c>
      <c r="AM6077">
        <v>92.804711386207998</v>
      </c>
      <c r="AN6077">
        <v>0.99999998422052305</v>
      </c>
    </row>
    <row r="6078" spans="1:40" x14ac:dyDescent="0.25">
      <c r="A6078" t="str">
        <f>"20190312151436665"</f>
        <v>20190312151436665</v>
      </c>
      <c r="B6078" t="str">
        <f>"1552374876656921"</f>
        <v>1552374876656921</v>
      </c>
      <c r="C6078" t="s">
        <v>40</v>
      </c>
      <c r="D6078">
        <v>4.547434</v>
      </c>
      <c r="E6078">
        <v>0.55331109999999994</v>
      </c>
      <c r="F6078" t="s">
        <v>42</v>
      </c>
      <c r="G6078">
        <v>-186.05779999999999</v>
      </c>
      <c r="H6078" s="1">
        <v>-4.1326640000000001E-6</v>
      </c>
      <c r="I6078">
        <v>67.636080000000007</v>
      </c>
      <c r="J6078">
        <v>-188.34049999999999</v>
      </c>
      <c r="K6078">
        <v>1.1098760000000001</v>
      </c>
      <c r="L6078">
        <v>41.27948</v>
      </c>
      <c r="M6078">
        <v>-5.2576960000000001E-3</v>
      </c>
      <c r="N6078">
        <v>0</v>
      </c>
      <c r="O6078">
        <v>0.99991509999999995</v>
      </c>
      <c r="P6078">
        <v>-5.098374E-2</v>
      </c>
      <c r="Q6078">
        <v>5.0568160000000001E-2</v>
      </c>
      <c r="R6078">
        <v>0.99741840000000004</v>
      </c>
      <c r="S6078">
        <v>0.25869750000000002</v>
      </c>
      <c r="T6078">
        <v>-0.12588489999999999</v>
      </c>
      <c r="U6078">
        <v>3.0283509999999998</v>
      </c>
      <c r="V6078">
        <v>-4.5744559999999997E-2</v>
      </c>
      <c r="W6078">
        <v>6.2457720000000001E-2</v>
      </c>
      <c r="X6078">
        <v>0.99699870000000002</v>
      </c>
      <c r="Y6078">
        <v>9.0280150000000003E-2</v>
      </c>
      <c r="Z6078">
        <v>-4.137205E-2</v>
      </c>
      <c r="AA6078">
        <v>0.99505670000000002</v>
      </c>
      <c r="AB6078">
        <v>33</v>
      </c>
      <c r="AC6078">
        <v>2.2827000000000002</v>
      </c>
      <c r="AD6078">
        <v>-1.109880132664</v>
      </c>
      <c r="AE6078">
        <v>26.3566</v>
      </c>
      <c r="AF6078">
        <v>2.4169992173386698</v>
      </c>
      <c r="AG6078">
        <v>-1.109880132664</v>
      </c>
      <c r="AH6078">
        <v>26.297947047180401</v>
      </c>
      <c r="AI6078">
        <v>92.406549495462997</v>
      </c>
      <c r="AJ6078">
        <v>84.7487958692696</v>
      </c>
      <c r="AK6078">
        <v>26.432096739036801</v>
      </c>
      <c r="AL6078">
        <v>86.419105400435498</v>
      </c>
      <c r="AM6078">
        <v>92.627017805080399</v>
      </c>
      <c r="AN6078">
        <v>0.99999996967944005</v>
      </c>
    </row>
    <row r="6079" spans="1:40" x14ac:dyDescent="0.25">
      <c r="A6079" t="str">
        <f>"20190312151436686"</f>
        <v>20190312151436686</v>
      </c>
      <c r="B6079" t="str">
        <f>"1552374876676440"</f>
        <v>1552374876676440</v>
      </c>
      <c r="C6079" t="s">
        <v>40</v>
      </c>
      <c r="D6079">
        <v>4.5715320000000004</v>
      </c>
      <c r="E6079">
        <v>0.55277030000000005</v>
      </c>
      <c r="F6079" t="s">
        <v>42</v>
      </c>
      <c r="G6079">
        <v>-185.9864</v>
      </c>
      <c r="H6079" s="1">
        <v>-4.1571560000000003E-6</v>
      </c>
      <c r="I6079">
        <v>67.663659999999993</v>
      </c>
      <c r="J6079">
        <v>-188.34209999999999</v>
      </c>
      <c r="K6079">
        <v>1.1098650000000001</v>
      </c>
      <c r="L6079">
        <v>41.588590000000003</v>
      </c>
      <c r="M6079">
        <v>-5.2447429999999996E-3</v>
      </c>
      <c r="N6079">
        <v>0</v>
      </c>
      <c r="O6079">
        <v>0.99991509999999995</v>
      </c>
      <c r="P6079">
        <v>-4.771835E-2</v>
      </c>
      <c r="Q6079">
        <v>5.1738300000000001E-2</v>
      </c>
      <c r="R6079">
        <v>0.99751999999999996</v>
      </c>
      <c r="S6079">
        <v>0.27017210000000003</v>
      </c>
      <c r="T6079">
        <v>-0.12737809999999999</v>
      </c>
      <c r="U6079">
        <v>3.0280459999999998</v>
      </c>
      <c r="V6079">
        <v>-4.2488909999999998E-2</v>
      </c>
      <c r="W6079">
        <v>6.3631729999999997E-2</v>
      </c>
      <c r="X6079">
        <v>0.99706850000000002</v>
      </c>
      <c r="Y6079">
        <v>9.4015489999999993E-2</v>
      </c>
      <c r="Z6079">
        <v>-4.1852010000000002E-2</v>
      </c>
      <c r="AA6079">
        <v>0.99469070000000004</v>
      </c>
      <c r="AB6079">
        <v>33</v>
      </c>
      <c r="AC6079">
        <v>2.3556999999999801</v>
      </c>
      <c r="AD6079">
        <v>-1.109869157156</v>
      </c>
      <c r="AE6079">
        <v>26.075069999999901</v>
      </c>
      <c r="AF6079">
        <v>2.48796334988192</v>
      </c>
      <c r="AG6079">
        <v>-1.109869157156</v>
      </c>
      <c r="AH6079">
        <v>26.0156038234629</v>
      </c>
      <c r="AI6079">
        <v>92.431770973970501</v>
      </c>
      <c r="AJ6079">
        <v>84.537217202787502</v>
      </c>
      <c r="AK6079">
        <v>26.157855674266202</v>
      </c>
      <c r="AL6079">
        <v>86.351705422780498</v>
      </c>
      <c r="AM6079">
        <v>92.440116428862297</v>
      </c>
      <c r="AN6079">
        <v>0.99999994911401402</v>
      </c>
    </row>
    <row r="6080" spans="1:40" x14ac:dyDescent="0.25">
      <c r="A6080" t="str">
        <f>"20190312151436709"</f>
        <v>20190312151436709</v>
      </c>
      <c r="B6080" t="str">
        <f>"1552374876706697"</f>
        <v>1552374876706697</v>
      </c>
      <c r="C6080" t="s">
        <v>40</v>
      </c>
      <c r="D6080">
        <v>4.6071070000000001</v>
      </c>
      <c r="E6080">
        <v>0.55261549999999904</v>
      </c>
      <c r="F6080" t="s">
        <v>42</v>
      </c>
      <c r="G6080">
        <v>-185.95410000000001</v>
      </c>
      <c r="H6080" s="1">
        <v>-4.2351420000000002E-6</v>
      </c>
      <c r="I6080">
        <v>67.832080000000005</v>
      </c>
      <c r="J6080">
        <v>-188.34399999999999</v>
      </c>
      <c r="K6080">
        <v>1.109855</v>
      </c>
      <c r="L6080">
        <v>41.938319999999997</v>
      </c>
      <c r="M6080">
        <v>-5.223068E-3</v>
      </c>
      <c r="N6080">
        <v>0</v>
      </c>
      <c r="O6080">
        <v>0.9999152</v>
      </c>
      <c r="P6080">
        <v>-4.4033320000000001E-2</v>
      </c>
      <c r="Q6080">
        <v>5.299135E-2</v>
      </c>
      <c r="R6080">
        <v>0.9976237</v>
      </c>
      <c r="S6080">
        <v>0.27546690000000001</v>
      </c>
      <c r="T6080">
        <v>-0.12802740000000001</v>
      </c>
      <c r="U6080">
        <v>3.0272830000000002</v>
      </c>
      <c r="V6080">
        <v>-3.8822700000000002E-2</v>
      </c>
      <c r="W6080">
        <v>6.4887509999999995E-2</v>
      </c>
      <c r="X6080">
        <v>0.9971371</v>
      </c>
      <c r="Y6080">
        <v>9.5740859999999997E-2</v>
      </c>
      <c r="Z6080">
        <v>-4.206878E-2</v>
      </c>
      <c r="AA6080">
        <v>0.99451690000000004</v>
      </c>
      <c r="AB6080">
        <v>33</v>
      </c>
      <c r="AC6080">
        <v>2.3899000000000101</v>
      </c>
      <c r="AD6080">
        <v>-1.109859235142</v>
      </c>
      <c r="AE6080">
        <v>25.89376</v>
      </c>
      <c r="AF6080">
        <v>2.5205304008022198</v>
      </c>
      <c r="AG6080">
        <v>-1.109859235142</v>
      </c>
      <c r="AH6080">
        <v>25.833863352116101</v>
      </c>
      <c r="AI6080">
        <v>92.448383249723094</v>
      </c>
      <c r="AJ6080">
        <v>84.427464990685806</v>
      </c>
      <c r="AK6080">
        <v>25.980249358291498</v>
      </c>
      <c r="AL6080">
        <v>86.279605670971407</v>
      </c>
      <c r="AM6080">
        <v>92.2296371538946</v>
      </c>
      <c r="AN6080">
        <v>0.99999999359284997</v>
      </c>
    </row>
    <row r="6081" spans="1:40" x14ac:dyDescent="0.25">
      <c r="A6081" t="str">
        <f>"20190312151436733"</f>
        <v>20190312151436733</v>
      </c>
      <c r="B6081" t="str">
        <f>"1552374876726216"</f>
        <v>1552374876726216</v>
      </c>
      <c r="C6081" t="s">
        <v>40</v>
      </c>
      <c r="D6081">
        <v>4.5437000000000003</v>
      </c>
      <c r="E6081">
        <v>0.55240269999999903</v>
      </c>
      <c r="F6081" t="s">
        <v>42</v>
      </c>
      <c r="G6081">
        <v>-185.8852</v>
      </c>
      <c r="H6081" s="1">
        <v>-4.3318779999999998E-6</v>
      </c>
      <c r="I6081">
        <v>68.029089999999997</v>
      </c>
      <c r="J6081">
        <v>-188.3458</v>
      </c>
      <c r="K6081">
        <v>1.1098509999999999</v>
      </c>
      <c r="L6081">
        <v>42.289639999999999</v>
      </c>
      <c r="M6081">
        <v>-5.2011260000000004E-3</v>
      </c>
      <c r="N6081">
        <v>0</v>
      </c>
      <c r="O6081">
        <v>0.99991540000000001</v>
      </c>
      <c r="P6081">
        <v>-4.0485489999999999E-2</v>
      </c>
      <c r="Q6081">
        <v>5.5076229999999997E-2</v>
      </c>
      <c r="R6081">
        <v>0.99766109999999997</v>
      </c>
      <c r="S6081">
        <v>0.28521729999999901</v>
      </c>
      <c r="T6081">
        <v>-0.1287459</v>
      </c>
      <c r="U6081">
        <v>3.0265810000000002</v>
      </c>
      <c r="V6081">
        <v>-3.5294819999999998E-2</v>
      </c>
      <c r="W6081">
        <v>6.6973889999999994E-2</v>
      </c>
      <c r="X6081">
        <v>0.99713030000000002</v>
      </c>
      <c r="Y6081">
        <v>9.8915080000000002E-2</v>
      </c>
      <c r="Z6081">
        <v>-4.2301350000000001E-2</v>
      </c>
      <c r="AA6081">
        <v>0.99419639999999998</v>
      </c>
      <c r="AB6081">
        <v>33</v>
      </c>
      <c r="AC6081">
        <v>2.4605999999999901</v>
      </c>
      <c r="AD6081">
        <v>-1.109855331878</v>
      </c>
      <c r="AE6081">
        <v>25.739449999999898</v>
      </c>
      <c r="AF6081">
        <v>2.5896791327634499</v>
      </c>
      <c r="AG6081">
        <v>-1.109855331878</v>
      </c>
      <c r="AH6081">
        <v>25.678992085544799</v>
      </c>
      <c r="AI6081">
        <v>92.462329901573895</v>
      </c>
      <c r="AJ6081">
        <v>84.241296007134096</v>
      </c>
      <c r="AK6081">
        <v>25.833096047470601</v>
      </c>
      <c r="AL6081">
        <v>86.159804358983394</v>
      </c>
      <c r="AM6081">
        <v>92.027217806021</v>
      </c>
      <c r="AN6081">
        <v>1.00000003071932</v>
      </c>
    </row>
    <row r="6082" spans="1:40" x14ac:dyDescent="0.25">
      <c r="A6082" t="str">
        <f>"20190312151436755"</f>
        <v>20190312151436755</v>
      </c>
      <c r="B6082" t="str">
        <f>"1552374876746713"</f>
        <v>1552374876746713</v>
      </c>
      <c r="C6082" t="s">
        <v>40</v>
      </c>
      <c r="D6082">
        <v>4.5864529999999997</v>
      </c>
      <c r="E6082">
        <v>0.55197450000000003</v>
      </c>
      <c r="F6082" t="s">
        <v>42</v>
      </c>
      <c r="G6082">
        <v>-185.72900000000001</v>
      </c>
      <c r="H6082" s="1">
        <v>-4.8607589999999996E-6</v>
      </c>
      <c r="I6082">
        <v>69.197329999999994</v>
      </c>
      <c r="J6082">
        <v>-188.3475</v>
      </c>
      <c r="K6082">
        <v>1.109845</v>
      </c>
      <c r="L6082">
        <v>42.62</v>
      </c>
      <c r="M6082">
        <v>-5.1833269999999997E-3</v>
      </c>
      <c r="N6082">
        <v>0</v>
      </c>
      <c r="O6082">
        <v>0.99991540000000001</v>
      </c>
      <c r="P6082">
        <v>-3.6924470000000001E-2</v>
      </c>
      <c r="Q6082">
        <v>5.6986120000000001E-2</v>
      </c>
      <c r="R6082">
        <v>0.99769189999999996</v>
      </c>
      <c r="S6082">
        <v>0.29426570000000002</v>
      </c>
      <c r="T6082">
        <v>-0.1248078</v>
      </c>
      <c r="U6082">
        <v>3.0258790000000002</v>
      </c>
      <c r="V6082">
        <v>-3.175012E-2</v>
      </c>
      <c r="W6082">
        <v>6.8884440000000005E-2</v>
      </c>
      <c r="X6082">
        <v>0.99711930000000004</v>
      </c>
      <c r="Y6082">
        <v>0.10186969999999999</v>
      </c>
      <c r="Z6082">
        <v>-4.1007170000000003E-2</v>
      </c>
      <c r="AA6082">
        <v>0.99395219999999995</v>
      </c>
      <c r="AB6082">
        <v>33</v>
      </c>
      <c r="AC6082">
        <v>2.6184999999999801</v>
      </c>
      <c r="AD6082">
        <v>-1.1098498607589999</v>
      </c>
      <c r="AE6082">
        <v>26.57733</v>
      </c>
      <c r="AF6082">
        <v>2.7514816092291201</v>
      </c>
      <c r="AG6082">
        <v>-1.1098498607589999</v>
      </c>
      <c r="AH6082">
        <v>26.517601608941799</v>
      </c>
      <c r="AI6082">
        <v>92.383837018601497</v>
      </c>
      <c r="AJ6082">
        <v>84.076155449998296</v>
      </c>
      <c r="AK6082">
        <v>26.683058536268</v>
      </c>
      <c r="AL6082">
        <v>86.050084403924401</v>
      </c>
      <c r="AM6082">
        <v>91.823787219333795</v>
      </c>
      <c r="AN6082">
        <v>1.0000000173132999</v>
      </c>
    </row>
    <row r="6083" spans="1:40" x14ac:dyDescent="0.25">
      <c r="A6083" t="str">
        <f>"20190312151436776"</f>
        <v>20190312151436776</v>
      </c>
      <c r="B6083" t="str">
        <f>"1552374876766232"</f>
        <v>1552374876766232</v>
      </c>
      <c r="C6083" t="s">
        <v>40</v>
      </c>
      <c r="D6083">
        <v>4.550713</v>
      </c>
      <c r="E6083">
        <v>0.55191309999999905</v>
      </c>
      <c r="F6083" t="s">
        <v>42</v>
      </c>
      <c r="G6083">
        <v>-185.58590000000001</v>
      </c>
      <c r="H6083" s="1">
        <v>-1.403739E-6</v>
      </c>
      <c r="I6083">
        <v>70.321780000000004</v>
      </c>
      <c r="J6083">
        <v>-188.34909999999999</v>
      </c>
      <c r="K6083">
        <v>1.109847</v>
      </c>
      <c r="L6083">
        <v>42.934269999999998</v>
      </c>
      <c r="M6083">
        <v>-5.1684959999999999E-3</v>
      </c>
      <c r="N6083">
        <v>0</v>
      </c>
      <c r="O6083">
        <v>0.99991549999999996</v>
      </c>
      <c r="P6083">
        <v>-3.2738459999999997E-2</v>
      </c>
      <c r="Q6083">
        <v>5.814366E-2</v>
      </c>
      <c r="R6083">
        <v>0.99777130000000003</v>
      </c>
      <c r="S6083">
        <v>0.30155939999999998</v>
      </c>
      <c r="T6083">
        <v>-0.12119480000000001</v>
      </c>
      <c r="U6083">
        <v>3.0250240000000002</v>
      </c>
      <c r="V6083">
        <v>-2.7577339999999999E-2</v>
      </c>
      <c r="W6083">
        <v>7.0042740000000006E-2</v>
      </c>
      <c r="X6083">
        <v>0.99716269999999996</v>
      </c>
      <c r="Y6083">
        <v>0.1042599</v>
      </c>
      <c r="Z6083">
        <v>-3.9823549999999999E-2</v>
      </c>
      <c r="AA6083">
        <v>0.99375250000000004</v>
      </c>
      <c r="AB6083">
        <v>33</v>
      </c>
      <c r="AC6083">
        <v>2.7631999999999799</v>
      </c>
      <c r="AD6083">
        <v>-1.109848403739</v>
      </c>
      <c r="AE6083">
        <v>27.387509999999999</v>
      </c>
      <c r="AF6083">
        <v>2.90001102723211</v>
      </c>
      <c r="AG6083">
        <v>-1.109848403739</v>
      </c>
      <c r="AH6083">
        <v>27.328435402202398</v>
      </c>
      <c r="AI6083">
        <v>92.312618536371602</v>
      </c>
      <c r="AJ6083">
        <v>83.942614077444603</v>
      </c>
      <c r="AK6083">
        <v>27.5042761942521</v>
      </c>
      <c r="AL6083">
        <v>85.983557825014103</v>
      </c>
      <c r="AM6083">
        <v>91.584157272081598</v>
      </c>
      <c r="AN6083">
        <v>0.99999997268973595</v>
      </c>
    </row>
    <row r="6084" spans="1:40" x14ac:dyDescent="0.25">
      <c r="A6084" t="str">
        <f>"20190312151436820"</f>
        <v>20190312151436820</v>
      </c>
      <c r="B6084" t="str">
        <f>"1552374876816985"</f>
        <v>1552374876816985</v>
      </c>
      <c r="C6084" t="s">
        <v>40</v>
      </c>
      <c r="D6084">
        <v>4.5917490000000001</v>
      </c>
      <c r="E6084">
        <v>0.55147500000000005</v>
      </c>
      <c r="F6084" t="s">
        <v>42</v>
      </c>
      <c r="G6084">
        <v>-185.4836</v>
      </c>
      <c r="H6084" s="1">
        <v>-1.5210149999999999E-6</v>
      </c>
      <c r="I6084">
        <v>70.586380000000005</v>
      </c>
      <c r="J6084">
        <v>-188.35239999999999</v>
      </c>
      <c r="K6084">
        <v>1.109845</v>
      </c>
      <c r="L6084">
        <v>43.588619999999999</v>
      </c>
      <c r="M6084">
        <v>-5.1411599999999997E-3</v>
      </c>
      <c r="N6084">
        <v>0</v>
      </c>
      <c r="O6084">
        <v>0.99991569999999996</v>
      </c>
      <c r="P6084">
        <v>-2.3477129999999999E-2</v>
      </c>
      <c r="Q6084">
        <v>5.9954960000000002E-2</v>
      </c>
      <c r="R6084">
        <v>0.99792499999999995</v>
      </c>
      <c r="S6084">
        <v>0.31336979999999998</v>
      </c>
      <c r="T6084">
        <v>-0.1213735</v>
      </c>
      <c r="U6084">
        <v>3.0240480000000001</v>
      </c>
      <c r="V6084">
        <v>-1.8341429999999999E-2</v>
      </c>
      <c r="W6084">
        <v>7.1856329999999996E-2</v>
      </c>
      <c r="X6084">
        <v>0.99724630000000003</v>
      </c>
      <c r="Y6084">
        <v>0.1081048</v>
      </c>
      <c r="Z6084">
        <v>-3.9878909999999997E-2</v>
      </c>
      <c r="AA6084">
        <v>0.99333939999999998</v>
      </c>
      <c r="AB6084">
        <v>33</v>
      </c>
      <c r="AC6084">
        <v>2.86879999999999</v>
      </c>
      <c r="AD6084">
        <v>-1.1098465210149999</v>
      </c>
      <c r="AE6084">
        <v>26.99776</v>
      </c>
      <c r="AF6084">
        <v>3.0025542796851998</v>
      </c>
      <c r="AG6084">
        <v>-1.1098465210149999</v>
      </c>
      <c r="AH6084">
        <v>26.937638519090001</v>
      </c>
      <c r="AI6084">
        <v>92.344780902514799</v>
      </c>
      <c r="AJ6084">
        <v>83.639884164480094</v>
      </c>
      <c r="AK6084">
        <v>27.127171995765199</v>
      </c>
      <c r="AL6084">
        <v>85.879384181614199</v>
      </c>
      <c r="AM6084">
        <v>91.053669549190204</v>
      </c>
      <c r="AN6084">
        <v>0.99999996153960102</v>
      </c>
    </row>
    <row r="6085" spans="1:40" x14ac:dyDescent="0.25">
      <c r="A6085" t="str">
        <f>"20190312151436843"</f>
        <v>20190312151436843</v>
      </c>
      <c r="B6085" t="str">
        <f>"1552374876836505"</f>
        <v>1552374876836505</v>
      </c>
      <c r="C6085" t="s">
        <v>40</v>
      </c>
      <c r="D6085">
        <v>4.5607319999999998</v>
      </c>
      <c r="E6085">
        <v>0.5513863</v>
      </c>
      <c r="F6085" t="s">
        <v>42</v>
      </c>
      <c r="G6085">
        <v>-185.30240000000001</v>
      </c>
      <c r="H6085" s="1">
        <v>-1.6484050000000001E-6</v>
      </c>
      <c r="I6085">
        <v>70.819050000000004</v>
      </c>
      <c r="J6085">
        <v>-188.35409999999999</v>
      </c>
      <c r="K6085">
        <v>1.1098440000000001</v>
      </c>
      <c r="L6085">
        <v>43.93253</v>
      </c>
      <c r="M6085">
        <v>-5.1267939999999996E-3</v>
      </c>
      <c r="N6085">
        <v>0</v>
      </c>
      <c r="O6085">
        <v>0.99991569999999996</v>
      </c>
      <c r="P6085">
        <v>-1.925725E-2</v>
      </c>
      <c r="Q6085">
        <v>6.0348359999999997E-2</v>
      </c>
      <c r="R6085">
        <v>0.99799159999999998</v>
      </c>
      <c r="S6085">
        <v>0.33843990000000002</v>
      </c>
      <c r="T6085">
        <v>-0.123153399999999</v>
      </c>
      <c r="U6085">
        <v>3.0216059999999998</v>
      </c>
      <c r="V6085">
        <v>-1.413582E-2</v>
      </c>
      <c r="W6085">
        <v>7.2250610000000007E-2</v>
      </c>
      <c r="X6085">
        <v>0.99728629999999996</v>
      </c>
      <c r="Y6085">
        <v>0.11631329999999999</v>
      </c>
      <c r="Z6085">
        <v>-4.045849E-2</v>
      </c>
      <c r="AA6085">
        <v>0.99238820000000005</v>
      </c>
      <c r="AB6085">
        <v>33</v>
      </c>
      <c r="AC6085">
        <v>3.0516999999999799</v>
      </c>
      <c r="AD6085">
        <v>-1.1098456484049899</v>
      </c>
      <c r="AE6085">
        <v>26.886520000000001</v>
      </c>
      <c r="AF6085">
        <v>3.1841547264055099</v>
      </c>
      <c r="AG6085">
        <v>-1.1098456484049899</v>
      </c>
      <c r="AH6085">
        <v>26.825392394106601</v>
      </c>
      <c r="AI6085">
        <v>92.352647222169495</v>
      </c>
      <c r="AJ6085">
        <v>83.230705759811698</v>
      </c>
      <c r="AK6085">
        <v>27.036498955722202</v>
      </c>
      <c r="AL6085">
        <v>85.856734756796996</v>
      </c>
      <c r="AM6085">
        <v>90.812072312502906</v>
      </c>
      <c r="AN6085">
        <v>0.99999996811006597</v>
      </c>
    </row>
    <row r="6086" spans="1:40" x14ac:dyDescent="0.25">
      <c r="A6086" t="str">
        <f>"20190312151436866"</f>
        <v>20190312151436866</v>
      </c>
      <c r="B6086" t="str">
        <f>"1552374876857001"</f>
        <v>1552374876857001</v>
      </c>
      <c r="C6086" t="s">
        <v>40</v>
      </c>
      <c r="D6086">
        <v>4.6120049999999999</v>
      </c>
      <c r="E6086">
        <v>0.55126439999999999</v>
      </c>
      <c r="F6086" t="s">
        <v>42</v>
      </c>
      <c r="G6086">
        <v>-185.23509999999999</v>
      </c>
      <c r="H6086" s="1">
        <v>-1.6584690000000001E-6</v>
      </c>
      <c r="I6086">
        <v>70.796009999999995</v>
      </c>
      <c r="J6086">
        <v>-188.35579999999999</v>
      </c>
      <c r="K6086">
        <v>1.1098429999999999</v>
      </c>
      <c r="L6086">
        <v>44.26849</v>
      </c>
      <c r="M6086">
        <v>-5.1129399999999998E-3</v>
      </c>
      <c r="N6086">
        <v>0</v>
      </c>
      <c r="O6086">
        <v>0.99991580000000002</v>
      </c>
      <c r="P6086">
        <v>-1.50359E-2</v>
      </c>
      <c r="Q6086">
        <v>6.0734249999999997E-2</v>
      </c>
      <c r="R6086">
        <v>0.9980407</v>
      </c>
      <c r="S6086">
        <v>0.35067749999999998</v>
      </c>
      <c r="T6086">
        <v>-0.1247838</v>
      </c>
      <c r="U6086">
        <v>3.0203549999999999</v>
      </c>
      <c r="V6086">
        <v>-9.9278189999999992E-3</v>
      </c>
      <c r="W6086">
        <v>7.2636779999999998E-2</v>
      </c>
      <c r="X6086">
        <v>0.997309</v>
      </c>
      <c r="Y6086">
        <v>0.12031070000000001</v>
      </c>
      <c r="Z6086">
        <v>-4.0990869999999999E-2</v>
      </c>
      <c r="AA6086">
        <v>0.99188969999999999</v>
      </c>
      <c r="AB6086">
        <v>33</v>
      </c>
      <c r="AC6086">
        <v>3.1206999999999998</v>
      </c>
      <c r="AD6086">
        <v>-1.109844658469</v>
      </c>
      <c r="AE6086">
        <v>26.527519999999999</v>
      </c>
      <c r="AF6086">
        <v>3.2506902115216199</v>
      </c>
      <c r="AG6086">
        <v>-1.109844658469</v>
      </c>
      <c r="AH6086">
        <v>26.465523871850699</v>
      </c>
      <c r="AI6086">
        <v>92.383428815009296</v>
      </c>
      <c r="AJ6086">
        <v>82.997584687512898</v>
      </c>
      <c r="AK6086">
        <v>26.6875007415216</v>
      </c>
      <c r="AL6086">
        <v>85.834550490477596</v>
      </c>
      <c r="AM6086">
        <v>90.570338120478198</v>
      </c>
      <c r="AN6086">
        <v>0.99999995243993101</v>
      </c>
    </row>
    <row r="6087" spans="1:40" x14ac:dyDescent="0.25">
      <c r="A6087" t="str">
        <f>"20190312151436889"</f>
        <v>20190312151436889</v>
      </c>
      <c r="B6087" t="str">
        <f>"1552374876876521"</f>
        <v>1552374876876521</v>
      </c>
      <c r="C6087" t="s">
        <v>40</v>
      </c>
      <c r="D6087">
        <v>4.6827239999999897</v>
      </c>
      <c r="E6087">
        <v>0.55126070000000005</v>
      </c>
      <c r="F6087" t="s">
        <v>42</v>
      </c>
      <c r="G6087">
        <v>-185.20179999999999</v>
      </c>
      <c r="H6087" s="1">
        <v>-1.57799299999999E-6</v>
      </c>
      <c r="I6087">
        <v>70.533450000000002</v>
      </c>
      <c r="J6087">
        <v>-188.35749999999999</v>
      </c>
      <c r="K6087">
        <v>1.109845</v>
      </c>
      <c r="L6087">
        <v>44.60483</v>
      </c>
      <c r="M6087">
        <v>-5.099302E-3</v>
      </c>
      <c r="N6087">
        <v>0</v>
      </c>
      <c r="O6087">
        <v>0.99991580000000002</v>
      </c>
      <c r="P6087">
        <v>-1.124124E-2</v>
      </c>
      <c r="Q6087">
        <v>6.1004620000000002E-2</v>
      </c>
      <c r="R6087">
        <v>0.99807420000000002</v>
      </c>
      <c r="S6087">
        <v>0.3625488</v>
      </c>
      <c r="T6087">
        <v>-0.1275743</v>
      </c>
      <c r="U6087">
        <v>3.019104</v>
      </c>
      <c r="V6087">
        <v>-6.1465060000000004E-3</v>
      </c>
      <c r="W6087">
        <v>7.2907369999999999E-2</v>
      </c>
      <c r="X6087">
        <v>0.99731979999999998</v>
      </c>
      <c r="Y6087">
        <v>0.1241853</v>
      </c>
      <c r="Z6087">
        <v>-4.1903530000000001E-2</v>
      </c>
      <c r="AA6087">
        <v>0.99137379999999997</v>
      </c>
      <c r="AB6087">
        <v>33</v>
      </c>
      <c r="AC6087">
        <v>3.1556999999999902</v>
      </c>
      <c r="AD6087">
        <v>-1.109846577993</v>
      </c>
      <c r="AE6087">
        <v>25.928619999999999</v>
      </c>
      <c r="AF6087">
        <v>3.2819608849893802</v>
      </c>
      <c r="AG6087">
        <v>-1.109846577993</v>
      </c>
      <c r="AH6087">
        <v>25.865491432436102</v>
      </c>
      <c r="AI6087">
        <v>92.437443301445498</v>
      </c>
      <c r="AJ6087">
        <v>82.768628220916099</v>
      </c>
      <c r="AK6087">
        <v>26.096487765956301</v>
      </c>
      <c r="AL6087">
        <v>85.819005907877397</v>
      </c>
      <c r="AM6087">
        <v>90.353110801429196</v>
      </c>
      <c r="AN6087">
        <v>1.00000002380418</v>
      </c>
    </row>
    <row r="6088" spans="1:40" x14ac:dyDescent="0.25">
      <c r="A6088" t="str">
        <f>"20190312151436911"</f>
        <v>20190312151436911</v>
      </c>
      <c r="B6088" t="str">
        <f>"1552374876906777"</f>
        <v>1552374876906777</v>
      </c>
      <c r="C6088" t="s">
        <v>40</v>
      </c>
      <c r="D6088">
        <v>4.6479400000000002</v>
      </c>
      <c r="E6088">
        <v>0.57014730000000002</v>
      </c>
      <c r="F6088" t="s">
        <v>42</v>
      </c>
      <c r="G6088">
        <v>-185.1671</v>
      </c>
      <c r="H6088" s="1">
        <v>-1.52971E-6</v>
      </c>
      <c r="I6088">
        <v>70.364459999999994</v>
      </c>
      <c r="J6088">
        <v>-188.35919999999999</v>
      </c>
      <c r="K6088">
        <v>1.1098380000000001</v>
      </c>
      <c r="L6088">
        <v>44.946469999999998</v>
      </c>
      <c r="M6088">
        <v>-5.0857990000000002E-3</v>
      </c>
      <c r="N6088">
        <v>0</v>
      </c>
      <c r="O6088">
        <v>0.99991589999999997</v>
      </c>
      <c r="P6088">
        <v>-7.5296440000000003E-3</v>
      </c>
      <c r="Q6088">
        <v>6.1480029999999998E-2</v>
      </c>
      <c r="R6088">
        <v>0.99807990000000002</v>
      </c>
      <c r="S6088">
        <v>0.37377929999999998</v>
      </c>
      <c r="T6088">
        <v>-0.13002730000000001</v>
      </c>
      <c r="U6088">
        <v>3.017944</v>
      </c>
      <c r="V6088">
        <v>-2.4484379999999998E-3</v>
      </c>
      <c r="W6088">
        <v>7.3382939999999994E-2</v>
      </c>
      <c r="X6088">
        <v>0.99730079999999999</v>
      </c>
      <c r="Y6088">
        <v>0.12784699999999999</v>
      </c>
      <c r="Z6088">
        <v>-4.2704489999999998E-2</v>
      </c>
      <c r="AA6088">
        <v>0.99087409999999998</v>
      </c>
      <c r="AB6088">
        <v>33</v>
      </c>
      <c r="AC6088">
        <v>3.19209999999998</v>
      </c>
      <c r="AD6088">
        <v>-1.1098395297100001</v>
      </c>
      <c r="AE6088">
        <v>25.41799</v>
      </c>
      <c r="AF6088">
        <v>3.3151165455524301</v>
      </c>
      <c r="AG6088">
        <v>-1.1098395297100001</v>
      </c>
      <c r="AH6088">
        <v>25.353838980584499</v>
      </c>
      <c r="AI6088">
        <v>92.485338120036303</v>
      </c>
      <c r="AJ6088">
        <v>82.550607401130804</v>
      </c>
      <c r="AK6088">
        <v>25.5937276016158</v>
      </c>
      <c r="AL6088">
        <v>85.791684334486604</v>
      </c>
      <c r="AM6088">
        <v>90.140664563742007</v>
      </c>
      <c r="AN6088">
        <v>0.99999996820616099</v>
      </c>
    </row>
    <row r="6089" spans="1:40" x14ac:dyDescent="0.25">
      <c r="A6089" t="str">
        <f>"20190312151436956"</f>
        <v>20190312151436956</v>
      </c>
      <c r="B6089" t="str">
        <f>"1552374876946793"</f>
        <v>1552374876946793</v>
      </c>
      <c r="C6089" t="s">
        <v>40</v>
      </c>
      <c r="D6089">
        <v>4.6549370000000003</v>
      </c>
      <c r="E6089">
        <v>0.57000640000000002</v>
      </c>
      <c r="F6089" t="s">
        <v>42</v>
      </c>
      <c r="G6089">
        <v>-184.51509999999999</v>
      </c>
      <c r="H6089" s="1">
        <v>-3.9767990000000004E-6</v>
      </c>
      <c r="I6089">
        <v>66.634879999999995</v>
      </c>
      <c r="J6089">
        <v>-188.36240000000001</v>
      </c>
      <c r="K6089">
        <v>1.109826</v>
      </c>
      <c r="L6089">
        <v>45.603879999999997</v>
      </c>
      <c r="M6089">
        <v>-5.0593230000000001E-3</v>
      </c>
      <c r="N6089">
        <v>0</v>
      </c>
      <c r="O6089">
        <v>0.99991600000000003</v>
      </c>
      <c r="P6089">
        <v>-5.4066339999999996E-4</v>
      </c>
      <c r="Q6089">
        <v>6.082775E-2</v>
      </c>
      <c r="R6089">
        <v>0.99814809999999998</v>
      </c>
      <c r="S6089">
        <v>0.53514099999999998</v>
      </c>
      <c r="T6089">
        <v>-0.1545049</v>
      </c>
      <c r="U6089">
        <v>3.0193180000000002</v>
      </c>
      <c r="V6089">
        <v>4.5144549999999997E-3</v>
      </c>
      <c r="W6089">
        <v>7.2731900000000002E-2</v>
      </c>
      <c r="X6089">
        <v>0.99734129999999999</v>
      </c>
      <c r="Y6089">
        <v>0.17927799999999999</v>
      </c>
      <c r="Z6089">
        <v>-5.0299320000000002E-2</v>
      </c>
      <c r="AA6089">
        <v>0.98251180000000005</v>
      </c>
      <c r="AB6089">
        <v>33</v>
      </c>
      <c r="AC6089">
        <v>3.8473000000000099</v>
      </c>
      <c r="AD6089">
        <v>-1.1098299767990001</v>
      </c>
      <c r="AE6089">
        <v>21.030999999999999</v>
      </c>
      <c r="AF6089">
        <v>3.9430359755383999</v>
      </c>
      <c r="AG6089">
        <v>-1.1098299767990001</v>
      </c>
      <c r="AH6089">
        <v>20.9547994942229</v>
      </c>
      <c r="AI6089">
        <v>92.979533021237998</v>
      </c>
      <c r="AJ6089">
        <v>79.343340451084501</v>
      </c>
      <c r="AK6089">
        <v>21.351413937368999</v>
      </c>
      <c r="AL6089">
        <v>85.829086215546596</v>
      </c>
      <c r="AM6089">
        <v>89.740653022432795</v>
      </c>
      <c r="AN6089">
        <v>0.99999998913362298</v>
      </c>
    </row>
    <row r="6090" spans="1:40" x14ac:dyDescent="0.25">
      <c r="A6090" t="str">
        <f>"20190312151436977"</f>
        <v>20190312151436977</v>
      </c>
      <c r="B6090" t="str">
        <f>"1552374876966313"</f>
        <v>1552374876966313</v>
      </c>
      <c r="C6090" t="s">
        <v>40</v>
      </c>
      <c r="D6090">
        <v>4.6803460000000001</v>
      </c>
      <c r="E6090">
        <v>0.56952449999999999</v>
      </c>
      <c r="F6090" t="s">
        <v>42</v>
      </c>
      <c r="G6090">
        <v>-184.5746</v>
      </c>
      <c r="H6090" s="1">
        <v>-3.7745489999999999E-6</v>
      </c>
      <c r="I6090">
        <v>66.188000000000002</v>
      </c>
      <c r="J6090">
        <v>-188.364</v>
      </c>
      <c r="K6090">
        <v>1.109818</v>
      </c>
      <c r="L6090">
        <v>45.921230000000001</v>
      </c>
      <c r="M6090">
        <v>-5.04661E-3</v>
      </c>
      <c r="N6090">
        <v>0</v>
      </c>
      <c r="O6090">
        <v>0.99991609999999997</v>
      </c>
      <c r="P6090">
        <v>2.2091260000000001E-3</v>
      </c>
      <c r="Q6090">
        <v>5.9963229999999999E-2</v>
      </c>
      <c r="R6090">
        <v>0.99819820000000004</v>
      </c>
      <c r="S6090">
        <v>0.55496219999999996</v>
      </c>
      <c r="T6090">
        <v>-0.162601</v>
      </c>
      <c r="U6090">
        <v>3.0157780000000001</v>
      </c>
      <c r="V6090">
        <v>7.2517689999999999E-3</v>
      </c>
      <c r="W6090">
        <v>7.1867749999999994E-2</v>
      </c>
      <c r="X6090">
        <v>0.99738780000000005</v>
      </c>
      <c r="Y6090">
        <v>0.1856884</v>
      </c>
      <c r="Z6090">
        <v>-5.2926309999999997E-2</v>
      </c>
      <c r="AA6090">
        <v>0.98118229999999995</v>
      </c>
      <c r="AB6090">
        <v>33</v>
      </c>
      <c r="AC6090">
        <v>3.7894000000000001</v>
      </c>
      <c r="AD6090">
        <v>-1.109821774549</v>
      </c>
      <c r="AE6090">
        <v>20.266770000000001</v>
      </c>
      <c r="AF6090">
        <v>3.88039430789002</v>
      </c>
      <c r="AG6090">
        <v>-1.109821774549</v>
      </c>
      <c r="AH6090">
        <v>20.188890881046099</v>
      </c>
      <c r="AI6090">
        <v>93.090044383101201</v>
      </c>
      <c r="AJ6090">
        <v>79.120178427273999</v>
      </c>
      <c r="AK6090">
        <v>20.5883578597895</v>
      </c>
      <c r="AL6090">
        <v>85.878728296013094</v>
      </c>
      <c r="AM6090">
        <v>89.583423382208807</v>
      </c>
      <c r="AN6090">
        <v>0.99999999261626504</v>
      </c>
    </row>
    <row r="6091" spans="1:40" x14ac:dyDescent="0.25">
      <c r="A6091" t="str">
        <f>"20190312151437000"</f>
        <v>20190312151437000</v>
      </c>
      <c r="B6091" t="str">
        <f>"1552374876996569"</f>
        <v>1552374876996569</v>
      </c>
      <c r="C6091" t="s">
        <v>40</v>
      </c>
      <c r="D6091">
        <v>4.7450780000000004</v>
      </c>
      <c r="E6091">
        <v>0.5672604</v>
      </c>
      <c r="F6091" t="s">
        <v>42</v>
      </c>
      <c r="G6091">
        <v>-184.78630000000001</v>
      </c>
      <c r="H6091" s="1">
        <v>-3.3117169999999998E-6</v>
      </c>
      <c r="I6091">
        <v>65.196690000000004</v>
      </c>
      <c r="J6091">
        <v>-188.3657</v>
      </c>
      <c r="K6091">
        <v>1.109818</v>
      </c>
      <c r="L6091">
        <v>46.265349999999998</v>
      </c>
      <c r="M6091">
        <v>-5.0328639999999997E-3</v>
      </c>
      <c r="N6091">
        <v>0</v>
      </c>
      <c r="O6091">
        <v>0.99991609999999997</v>
      </c>
      <c r="P6091">
        <v>4.8514309999999998E-3</v>
      </c>
      <c r="Q6091">
        <v>5.9870859999999998E-2</v>
      </c>
      <c r="R6091">
        <v>0.99819429999999998</v>
      </c>
      <c r="S6091">
        <v>0.55953980000000003</v>
      </c>
      <c r="T6091">
        <v>-0.17357239999999999</v>
      </c>
      <c r="U6091">
        <v>3.014618</v>
      </c>
      <c r="V6091">
        <v>9.8803510000000008E-3</v>
      </c>
      <c r="W6091">
        <v>7.1775489999999997E-2</v>
      </c>
      <c r="X6091">
        <v>0.99737189999999998</v>
      </c>
      <c r="Y6091">
        <v>0.1871469</v>
      </c>
      <c r="Z6091">
        <v>-5.6491970000000002E-2</v>
      </c>
      <c r="AA6091">
        <v>0.98070619999999997</v>
      </c>
      <c r="AB6091">
        <v>33</v>
      </c>
      <c r="AC6091">
        <v>3.5793999999999899</v>
      </c>
      <c r="AD6091">
        <v>-1.1098213117169999</v>
      </c>
      <c r="AE6091">
        <v>18.931339999999999</v>
      </c>
      <c r="AF6091">
        <v>3.6624878173703501</v>
      </c>
      <c r="AG6091">
        <v>-1.1098213117169999</v>
      </c>
      <c r="AH6091">
        <v>18.8505363735479</v>
      </c>
      <c r="AI6091">
        <v>93.307676208948294</v>
      </c>
      <c r="AJ6091">
        <v>79.004935929179993</v>
      </c>
      <c r="AK6091">
        <v>19.235078422683401</v>
      </c>
      <c r="AL6091">
        <v>85.884028223324194</v>
      </c>
      <c r="AM6091">
        <v>89.432424459657497</v>
      </c>
      <c r="AN6091">
        <v>1.0000000246051099</v>
      </c>
    </row>
    <row r="6092" spans="1:40" x14ac:dyDescent="0.25">
      <c r="A6092" t="str">
        <f>"20190312151437021"</f>
        <v>20190312151437021</v>
      </c>
      <c r="B6092" t="str">
        <f>"1552374877016089"</f>
        <v>1552374877016089</v>
      </c>
      <c r="C6092" t="s">
        <v>40</v>
      </c>
      <c r="D6092">
        <v>4.7513069999999997</v>
      </c>
      <c r="E6092">
        <v>0.56619209999999998</v>
      </c>
      <c r="F6092" t="s">
        <v>42</v>
      </c>
      <c r="G6092">
        <v>-185.05670000000001</v>
      </c>
      <c r="H6092" s="1">
        <v>-2.9355990000000001E-6</v>
      </c>
      <c r="I6092">
        <v>64.409450000000007</v>
      </c>
      <c r="J6092">
        <v>-188.3673</v>
      </c>
      <c r="K6092">
        <v>1.109826</v>
      </c>
      <c r="L6092">
        <v>46.585970000000003</v>
      </c>
      <c r="M6092">
        <v>-5.0198159999999999E-3</v>
      </c>
      <c r="N6092">
        <v>0</v>
      </c>
      <c r="O6092">
        <v>0.99991620000000003</v>
      </c>
      <c r="P6092">
        <v>7.1156550000000002E-3</v>
      </c>
      <c r="Q6092">
        <v>6.0188949999999998E-2</v>
      </c>
      <c r="R6092">
        <v>0.99816159999999998</v>
      </c>
      <c r="S6092">
        <v>0.54963680000000004</v>
      </c>
      <c r="T6092">
        <v>-0.1843467</v>
      </c>
      <c r="U6092">
        <v>3.0138240000000001</v>
      </c>
      <c r="V6092">
        <v>1.2131390000000001E-2</v>
      </c>
      <c r="W6092">
        <v>7.2093660000000004E-2</v>
      </c>
      <c r="X6092">
        <v>0.99732410000000005</v>
      </c>
      <c r="Y6092">
        <v>0.18402550000000001</v>
      </c>
      <c r="Z6092">
        <v>-6.0037100000000003E-2</v>
      </c>
      <c r="AA6092">
        <v>0.98108629999999997</v>
      </c>
      <c r="AB6092">
        <v>33</v>
      </c>
      <c r="AC6092">
        <v>3.3105999999999902</v>
      </c>
      <c r="AD6092">
        <v>-1.1098289355990001</v>
      </c>
      <c r="AE6092">
        <v>17.82348</v>
      </c>
      <c r="AF6092">
        <v>3.3873395913372901</v>
      </c>
      <c r="AG6092">
        <v>-1.1098289355990001</v>
      </c>
      <c r="AH6092">
        <v>17.740146056373</v>
      </c>
      <c r="AI6092">
        <v>93.516411517190903</v>
      </c>
      <c r="AJ6092">
        <v>79.189947882019297</v>
      </c>
      <c r="AK6092">
        <v>18.0947111575394</v>
      </c>
      <c r="AL6092">
        <v>85.865751029639597</v>
      </c>
      <c r="AM6092">
        <v>89.303091975697001</v>
      </c>
      <c r="AN6092">
        <v>1.0000000134381599</v>
      </c>
    </row>
    <row r="6093" spans="1:40" x14ac:dyDescent="0.25">
      <c r="A6093" t="str">
        <f>"20190312151437043"</f>
        <v>20190312151437043</v>
      </c>
      <c r="B6093" t="str">
        <f>"1552374877036585"</f>
        <v>1552374877036585</v>
      </c>
      <c r="C6093" t="s">
        <v>40</v>
      </c>
      <c r="D6093">
        <v>4.7881769999999904</v>
      </c>
      <c r="E6093">
        <v>0.56515190000000004</v>
      </c>
      <c r="F6093" t="s">
        <v>42</v>
      </c>
      <c r="G6093">
        <v>-185.07310000000001</v>
      </c>
      <c r="H6093" s="1">
        <v>-3.0471590000000002E-6</v>
      </c>
      <c r="I6093">
        <v>64.698560000000001</v>
      </c>
      <c r="J6093">
        <v>-188.3689</v>
      </c>
      <c r="K6093">
        <v>1.109831</v>
      </c>
      <c r="L6093">
        <v>46.914369999999998</v>
      </c>
      <c r="M6093">
        <v>-5.0062300000000004E-3</v>
      </c>
      <c r="N6093">
        <v>0</v>
      </c>
      <c r="O6093">
        <v>0.99991629999999998</v>
      </c>
      <c r="P6093">
        <v>9.1844839999999997E-3</v>
      </c>
      <c r="Q6093">
        <v>6.0277709999999998E-2</v>
      </c>
      <c r="R6093">
        <v>0.99813940000000001</v>
      </c>
      <c r="S6093">
        <v>0.54794309999999902</v>
      </c>
      <c r="T6093">
        <v>-0.1846033</v>
      </c>
      <c r="U6093">
        <v>3.012756</v>
      </c>
      <c r="V6093">
        <v>1.4186519999999999E-2</v>
      </c>
      <c r="W6093">
        <v>7.21826E-2</v>
      </c>
      <c r="X6093">
        <v>0.99729060000000003</v>
      </c>
      <c r="Y6093">
        <v>0.18353839999999999</v>
      </c>
      <c r="Z6093">
        <v>-6.0147039999999999E-2</v>
      </c>
      <c r="AA6093">
        <v>0.98117069999999995</v>
      </c>
      <c r="AB6093">
        <v>33</v>
      </c>
      <c r="AC6093">
        <v>3.2957999999999799</v>
      </c>
      <c r="AD6093">
        <v>-1.109834047159</v>
      </c>
      <c r="AE6093">
        <v>17.784189999999999</v>
      </c>
      <c r="AF6093">
        <v>3.3721002966142999</v>
      </c>
      <c r="AG6093">
        <v>-1.109834047159</v>
      </c>
      <c r="AH6093">
        <v>17.700820077683201</v>
      </c>
      <c r="AI6093">
        <v>93.5245030014934</v>
      </c>
      <c r="AJ6093">
        <v>79.214091877073898</v>
      </c>
      <c r="AK6093">
        <v>18.053305056004898</v>
      </c>
      <c r="AL6093">
        <v>85.860642037223499</v>
      </c>
      <c r="AM6093">
        <v>89.185018987684103</v>
      </c>
      <c r="AN6093">
        <v>1.00000006297041</v>
      </c>
    </row>
    <row r="6094" spans="1:40" x14ac:dyDescent="0.25">
      <c r="A6094" t="str">
        <f>"20190312151437065"</f>
        <v>20190312151437065</v>
      </c>
      <c r="B6094" t="str">
        <f>"1552374877056105"</f>
        <v>1552374877056105</v>
      </c>
      <c r="C6094" t="s">
        <v>40</v>
      </c>
      <c r="D6094">
        <v>4.7216909999999999</v>
      </c>
      <c r="E6094">
        <v>0.56407259999999904</v>
      </c>
      <c r="F6094" t="s">
        <v>42</v>
      </c>
      <c r="G6094">
        <v>-185.0967</v>
      </c>
      <c r="H6094" s="1">
        <v>-3.1573010000000001E-6</v>
      </c>
      <c r="I6094">
        <v>64.965100000000007</v>
      </c>
      <c r="J6094">
        <v>-188.37049999999999</v>
      </c>
      <c r="K6094">
        <v>1.109836</v>
      </c>
      <c r="L6094">
        <v>47.239289999999997</v>
      </c>
      <c r="M6094">
        <v>-4.9931039999999999E-3</v>
      </c>
      <c r="N6094">
        <v>0</v>
      </c>
      <c r="O6094">
        <v>0.99991629999999998</v>
      </c>
      <c r="P6094">
        <v>1.105361E-2</v>
      </c>
      <c r="Q6094">
        <v>6.1308319999999999E-2</v>
      </c>
      <c r="R6094">
        <v>0.99805770000000005</v>
      </c>
      <c r="S6094">
        <v>0.54595950000000004</v>
      </c>
      <c r="T6094">
        <v>-0.1851749</v>
      </c>
      <c r="U6094">
        <v>3.011749</v>
      </c>
      <c r="V6094">
        <v>1.6042230000000001E-2</v>
      </c>
      <c r="W6094">
        <v>7.3211739999999997E-2</v>
      </c>
      <c r="X6094">
        <v>0.99718739999999995</v>
      </c>
      <c r="Y6094">
        <v>0.18295539999999999</v>
      </c>
      <c r="Z6094">
        <v>-6.035919E-2</v>
      </c>
      <c r="AA6094">
        <v>0.98126659999999999</v>
      </c>
      <c r="AB6094">
        <v>33</v>
      </c>
      <c r="AC6094">
        <v>3.2737999999999898</v>
      </c>
      <c r="AD6094">
        <v>-1.109839157301</v>
      </c>
      <c r="AE6094">
        <v>17.725809999999999</v>
      </c>
      <c r="AF6094">
        <v>3.3495744442889301</v>
      </c>
      <c r="AG6094">
        <v>-1.109839157301</v>
      </c>
      <c r="AH6094">
        <v>17.642361220996801</v>
      </c>
      <c r="AI6094">
        <v>93.536586230400005</v>
      </c>
      <c r="AJ6094">
        <v>79.249788380479401</v>
      </c>
      <c r="AK6094">
        <v>17.991784274080299</v>
      </c>
      <c r="AL6094">
        <v>85.8015200099818</v>
      </c>
      <c r="AM6094">
        <v>89.078334933856695</v>
      </c>
      <c r="AN6094">
        <v>1.0000000113679799</v>
      </c>
    </row>
    <row r="6095" spans="1:40" x14ac:dyDescent="0.25">
      <c r="A6095" t="str">
        <f>"20190312151437089"</f>
        <v>20190312151437089</v>
      </c>
      <c r="B6095" t="str">
        <f>"1552374877076602"</f>
        <v>1552374877076602</v>
      </c>
      <c r="C6095" t="s">
        <v>40</v>
      </c>
      <c r="D6095">
        <v>4.7181050000000004</v>
      </c>
      <c r="E6095">
        <v>0.56328389999999995</v>
      </c>
      <c r="F6095" t="s">
        <v>42</v>
      </c>
      <c r="G6095">
        <v>-185.08459999999999</v>
      </c>
      <c r="H6095" s="1">
        <v>-3.3723100000000002E-6</v>
      </c>
      <c r="I6095">
        <v>65.461250000000007</v>
      </c>
      <c r="J6095">
        <v>-188.37219999999999</v>
      </c>
      <c r="K6095">
        <v>1.109845</v>
      </c>
      <c r="L6095">
        <v>47.580840000000002</v>
      </c>
      <c r="M6095">
        <v>-4.979158E-3</v>
      </c>
      <c r="N6095">
        <v>0</v>
      </c>
      <c r="O6095">
        <v>0.99991640000000004</v>
      </c>
      <c r="P6095">
        <v>1.280127E-2</v>
      </c>
      <c r="Q6095">
        <v>6.1888800000000001E-2</v>
      </c>
      <c r="R6095">
        <v>0.99800100000000003</v>
      </c>
      <c r="S6095">
        <v>0.54298400000000002</v>
      </c>
      <c r="T6095">
        <v>-0.1833948</v>
      </c>
      <c r="U6095">
        <v>3.0110779999999999</v>
      </c>
      <c r="V6095">
        <v>1.777571E-2</v>
      </c>
      <c r="W6095">
        <v>7.3791919999999997E-2</v>
      </c>
      <c r="X6095">
        <v>0.99711530000000004</v>
      </c>
      <c r="Y6095">
        <v>0.18204699999999999</v>
      </c>
      <c r="Z6095">
        <v>-5.9804419999999997E-2</v>
      </c>
      <c r="AA6095">
        <v>0.98146949999999999</v>
      </c>
      <c r="AB6095">
        <v>33</v>
      </c>
      <c r="AC6095">
        <v>3.2875999999999901</v>
      </c>
      <c r="AD6095">
        <v>-1.1098483723100001</v>
      </c>
      <c r="AE6095">
        <v>17.880410000000001</v>
      </c>
      <c r="AF6095">
        <v>3.3640578850266798</v>
      </c>
      <c r="AG6095">
        <v>-1.1098483723100001</v>
      </c>
      <c r="AH6095">
        <v>17.797490459370799</v>
      </c>
      <c r="AI6095">
        <v>93.506404303295398</v>
      </c>
      <c r="AJ6095">
        <v>79.296309973106503</v>
      </c>
      <c r="AK6095">
        <v>18.146606170706502</v>
      </c>
      <c r="AL6095">
        <v>85.768188242920999</v>
      </c>
      <c r="AM6095">
        <v>88.9786885339538</v>
      </c>
      <c r="AN6095">
        <v>1.0000000724086799</v>
      </c>
    </row>
    <row r="6096" spans="1:40" x14ac:dyDescent="0.25">
      <c r="A6096" t="str">
        <f>"20190312151437110"</f>
        <v>20190312151437110</v>
      </c>
      <c r="B6096" t="str">
        <f>"1552374877106857"</f>
        <v>1552374877106857</v>
      </c>
      <c r="C6096" t="s">
        <v>40</v>
      </c>
      <c r="D6096">
        <v>4.6210329999999997</v>
      </c>
      <c r="E6096">
        <v>0.56235329999999994</v>
      </c>
      <c r="F6096" t="s">
        <v>42</v>
      </c>
      <c r="G6096">
        <v>-185.0625</v>
      </c>
      <c r="H6096" s="1">
        <v>-3.5958069999999999E-6</v>
      </c>
      <c r="I6096">
        <v>65.973109999999906</v>
      </c>
      <c r="J6096">
        <v>-188.37379999999999</v>
      </c>
      <c r="K6096">
        <v>1.1098410000000001</v>
      </c>
      <c r="L6096">
        <v>47.904629999999997</v>
      </c>
      <c r="M6096">
        <v>-4.9659420000000001E-3</v>
      </c>
      <c r="N6096">
        <v>0</v>
      </c>
      <c r="O6096">
        <v>0.99991640000000004</v>
      </c>
      <c r="P6096">
        <v>1.4250240000000001E-2</v>
      </c>
      <c r="Q6096">
        <v>6.2824519999999995E-2</v>
      </c>
      <c r="R6096">
        <v>0.9979228</v>
      </c>
      <c r="S6096">
        <v>0.54170229999999997</v>
      </c>
      <c r="T6096">
        <v>-0.18165190000000001</v>
      </c>
      <c r="U6096">
        <v>3.0103149999999999</v>
      </c>
      <c r="V6096">
        <v>1.9211160000000001E-2</v>
      </c>
      <c r="W6096">
        <v>7.4726799999999996E-2</v>
      </c>
      <c r="X6096">
        <v>0.99701899999999999</v>
      </c>
      <c r="Y6096">
        <v>0.18167839999999999</v>
      </c>
      <c r="Z6096">
        <v>-5.9257089999999998E-2</v>
      </c>
      <c r="AA6096">
        <v>0.98157099999999997</v>
      </c>
      <c r="AB6096">
        <v>33</v>
      </c>
      <c r="AC6096">
        <v>3.3112999999999801</v>
      </c>
      <c r="AD6096">
        <v>-1.109844595807</v>
      </c>
      <c r="AE6096">
        <v>18.068479999999902</v>
      </c>
      <c r="AF6096">
        <v>3.3886229203145599</v>
      </c>
      <c r="AG6096">
        <v>-1.109844595807</v>
      </c>
      <c r="AH6096">
        <v>17.9861564963389</v>
      </c>
      <c r="AI6096">
        <v>93.470091510546496</v>
      </c>
      <c r="AJ6096">
        <v>79.330442480266001</v>
      </c>
      <c r="AK6096">
        <v>18.336203146609101</v>
      </c>
      <c r="AL6096">
        <v>85.714475058636097</v>
      </c>
      <c r="AM6096">
        <v>88.896127161696697</v>
      </c>
      <c r="AN6096">
        <v>1.0000000248338901</v>
      </c>
    </row>
    <row r="6097" spans="1:40" x14ac:dyDescent="0.25">
      <c r="A6097" t="str">
        <f>"20190312151437135"</f>
        <v>20190312151437135</v>
      </c>
      <c r="B6097" t="str">
        <f>"1552374877126377"</f>
        <v>1552374877126377</v>
      </c>
      <c r="C6097" t="s">
        <v>40</v>
      </c>
      <c r="D6097">
        <v>4.5720729999999996</v>
      </c>
      <c r="E6097">
        <v>0.56185169999999995</v>
      </c>
      <c r="F6097" t="s">
        <v>42</v>
      </c>
      <c r="G6097">
        <v>-184.98869999999999</v>
      </c>
      <c r="H6097" s="1">
        <v>-3.9705079999999997E-6</v>
      </c>
      <c r="I6097">
        <v>66.816050000000004</v>
      </c>
      <c r="J6097">
        <v>-188.37549999999999</v>
      </c>
      <c r="K6097">
        <v>1.1098440000000001</v>
      </c>
      <c r="L6097">
        <v>48.266910000000003</v>
      </c>
      <c r="M6097">
        <v>-4.9510159999999999E-3</v>
      </c>
      <c r="N6097">
        <v>0</v>
      </c>
      <c r="O6097">
        <v>0.99991660000000004</v>
      </c>
      <c r="P6097">
        <v>1.5796790000000002E-2</v>
      </c>
      <c r="Q6097">
        <v>6.3498209999999999E-2</v>
      </c>
      <c r="R6097">
        <v>0.99785690000000005</v>
      </c>
      <c r="S6097">
        <v>0.53871150000000001</v>
      </c>
      <c r="T6097">
        <v>-0.17662729999999999</v>
      </c>
      <c r="U6097">
        <v>3.009674</v>
      </c>
      <c r="V6097">
        <v>2.0742509999999999E-2</v>
      </c>
      <c r="W6097">
        <v>7.5400079999999994E-2</v>
      </c>
      <c r="X6097">
        <v>0.99693759999999998</v>
      </c>
      <c r="Y6097">
        <v>0.18077180000000001</v>
      </c>
      <c r="Z6097">
        <v>-5.7645500000000002E-2</v>
      </c>
      <c r="AA6097">
        <v>0.98183430000000005</v>
      </c>
      <c r="AB6097">
        <v>33</v>
      </c>
      <c r="AC6097">
        <v>3.3867999999999898</v>
      </c>
      <c r="AD6097">
        <v>-1.109847970508</v>
      </c>
      <c r="AE6097">
        <v>18.549140000000001</v>
      </c>
      <c r="AF6097">
        <v>3.4665921893213798</v>
      </c>
      <c r="AG6097">
        <v>-1.109847970508</v>
      </c>
      <c r="AH6097">
        <v>18.468160868965001</v>
      </c>
      <c r="AI6097">
        <v>93.380173733336505</v>
      </c>
      <c r="AJ6097">
        <v>79.368920341462896</v>
      </c>
      <c r="AK6097">
        <v>18.823442559921801</v>
      </c>
      <c r="AL6097">
        <v>85.675789712993307</v>
      </c>
      <c r="AM6097">
        <v>88.808062982204603</v>
      </c>
      <c r="AN6097">
        <v>1.0000000010394301</v>
      </c>
    </row>
    <row r="6098" spans="1:40" x14ac:dyDescent="0.25">
      <c r="A6098" t="str">
        <f>"20190312151437157"</f>
        <v>20190312151437157</v>
      </c>
      <c r="B6098" t="str">
        <f>"1552374877146873"</f>
        <v>1552374877146873</v>
      </c>
      <c r="C6098" t="s">
        <v>40</v>
      </c>
      <c r="D6098">
        <v>4.4357530000000001</v>
      </c>
      <c r="E6098">
        <v>0.55438209999999999</v>
      </c>
      <c r="F6098" t="s">
        <v>42</v>
      </c>
      <c r="G6098">
        <v>-184.9041</v>
      </c>
      <c r="H6098" s="1">
        <v>-4.3382439999999998E-6</v>
      </c>
      <c r="I6098">
        <v>67.638229999999993</v>
      </c>
      <c r="J6098">
        <v>-188.37719999999999</v>
      </c>
      <c r="K6098">
        <v>1.109853</v>
      </c>
      <c r="L6098">
        <v>48.607149999999997</v>
      </c>
      <c r="M6098">
        <v>-4.9372560000000001E-3</v>
      </c>
      <c r="N6098">
        <v>0</v>
      </c>
      <c r="O6098">
        <v>0.99991660000000004</v>
      </c>
      <c r="P6098">
        <v>1.6500170000000002E-2</v>
      </c>
      <c r="Q6098">
        <v>6.4274650000000003E-2</v>
      </c>
      <c r="R6098">
        <v>0.99779580000000001</v>
      </c>
      <c r="S6098">
        <v>0.53921509999999995</v>
      </c>
      <c r="T6098">
        <v>-0.17238889999999901</v>
      </c>
      <c r="U6098">
        <v>3.0088810000000001</v>
      </c>
      <c r="V6098">
        <v>2.143194E-2</v>
      </c>
      <c r="W6098">
        <v>7.6176030000000006E-2</v>
      </c>
      <c r="X6098">
        <v>0.99686399999999997</v>
      </c>
      <c r="Y6098">
        <v>0.1809761</v>
      </c>
      <c r="Z6098">
        <v>-5.6279410000000002E-2</v>
      </c>
      <c r="AA6098">
        <v>0.98187590000000002</v>
      </c>
      <c r="AB6098">
        <v>33</v>
      </c>
      <c r="AC6098">
        <v>3.4730999999999801</v>
      </c>
      <c r="AD6098">
        <v>-1.109857338244</v>
      </c>
      <c r="AE6098">
        <v>19.031079999999999</v>
      </c>
      <c r="AF6098">
        <v>3.5553237213052298</v>
      </c>
      <c r="AG6098">
        <v>-1.109857338244</v>
      </c>
      <c r="AH6098">
        <v>18.951323063573302</v>
      </c>
      <c r="AI6098">
        <v>93.294278184673203</v>
      </c>
      <c r="AJ6098">
        <v>79.374647703780298</v>
      </c>
      <c r="AK6098">
        <v>19.313848812042998</v>
      </c>
      <c r="AL6098">
        <v>85.631202703849098</v>
      </c>
      <c r="AM6098">
        <v>88.768367034685795</v>
      </c>
      <c r="AN6098">
        <v>0.99999997504736104</v>
      </c>
    </row>
    <row r="6099" spans="1:40" x14ac:dyDescent="0.25">
      <c r="A6099" t="str">
        <f>"20190312151437178"</f>
        <v>20190312151437178</v>
      </c>
      <c r="B6099" t="str">
        <f>"1552374877166393"</f>
        <v>1552374877166393</v>
      </c>
      <c r="C6099" t="s">
        <v>40</v>
      </c>
      <c r="D6099">
        <v>4.3771649999999998</v>
      </c>
      <c r="E6099">
        <v>0.55596610000000002</v>
      </c>
      <c r="F6099" t="s">
        <v>42</v>
      </c>
      <c r="G6099">
        <v>-184.8218</v>
      </c>
      <c r="H6099" s="1">
        <v>-1.775822E-6</v>
      </c>
      <c r="I6099">
        <v>70.817700000000002</v>
      </c>
      <c r="J6099">
        <v>-188.37870000000001</v>
      </c>
      <c r="K6099">
        <v>1.1098570000000001</v>
      </c>
      <c r="L6099">
        <v>48.916350000000001</v>
      </c>
      <c r="M6099">
        <v>-4.9246209999999997E-3</v>
      </c>
      <c r="N6099">
        <v>0</v>
      </c>
      <c r="O6099">
        <v>0.99991660000000004</v>
      </c>
      <c r="P6099">
        <v>1.7380960000000001E-2</v>
      </c>
      <c r="Q6099">
        <v>6.5309140000000002E-2</v>
      </c>
      <c r="R6099">
        <v>0.99771370000000004</v>
      </c>
      <c r="S6099">
        <v>0.48156739999999998</v>
      </c>
      <c r="T6099">
        <v>-0.1503254</v>
      </c>
      <c r="U6099">
        <v>3.0083310000000001</v>
      </c>
      <c r="V6099">
        <v>2.2299780000000002E-2</v>
      </c>
      <c r="W6099">
        <v>7.7210109999999998E-2</v>
      </c>
      <c r="X6099">
        <v>0.99676540000000002</v>
      </c>
      <c r="Y6099">
        <v>0.16273470000000001</v>
      </c>
      <c r="Z6099">
        <v>-4.9261079999999999E-2</v>
      </c>
      <c r="AA6099">
        <v>0.98543939999999997</v>
      </c>
      <c r="AB6099">
        <v>33</v>
      </c>
      <c r="AC6099">
        <v>3.5569000000000099</v>
      </c>
      <c r="AD6099">
        <v>-1.10985877582199</v>
      </c>
      <c r="AE6099">
        <v>21.901350000000001</v>
      </c>
      <c r="AF6099">
        <v>3.6555741508045898</v>
      </c>
      <c r="AG6099">
        <v>-1.10985877582199</v>
      </c>
      <c r="AH6099">
        <v>21.828950709986799</v>
      </c>
      <c r="AI6099">
        <v>92.870700901267</v>
      </c>
      <c r="AJ6099">
        <v>80.493206966486696</v>
      </c>
      <c r="AK6099">
        <v>22.160733245389999</v>
      </c>
      <c r="AL6099">
        <v>85.571779249329495</v>
      </c>
      <c r="AM6099">
        <v>88.718384309465804</v>
      </c>
      <c r="AN6099">
        <v>0.999999971955709</v>
      </c>
    </row>
    <row r="6100" spans="1:40" x14ac:dyDescent="0.25">
      <c r="A6100" t="str">
        <f>"20190312151437199"</f>
        <v>20190312151437199</v>
      </c>
      <c r="B6100" t="str">
        <f>"1552374877196649"</f>
        <v>1552374877196649</v>
      </c>
      <c r="C6100" t="s">
        <v>40</v>
      </c>
      <c r="D6100">
        <v>4.297606</v>
      </c>
      <c r="E6100">
        <v>0.55616619999999894</v>
      </c>
      <c r="F6100" t="s">
        <v>42</v>
      </c>
      <c r="G6100">
        <v>-184.3425</v>
      </c>
      <c r="H6100" s="1">
        <v>-2.766772E-6</v>
      </c>
      <c r="I6100">
        <v>73.354900000000001</v>
      </c>
      <c r="J6100">
        <v>-188.38030000000001</v>
      </c>
      <c r="K6100">
        <v>1.1098600000000001</v>
      </c>
      <c r="L6100">
        <v>49.236109999999996</v>
      </c>
      <c r="M6100">
        <v>-4.9115239999999996E-3</v>
      </c>
      <c r="N6100">
        <v>0</v>
      </c>
      <c r="O6100">
        <v>0.99991669999999999</v>
      </c>
      <c r="P6100">
        <v>1.8475229999999999E-2</v>
      </c>
      <c r="Q6100">
        <v>6.5621550000000001E-2</v>
      </c>
      <c r="R6100">
        <v>0.99767349999999999</v>
      </c>
      <c r="S6100">
        <v>0.4966583</v>
      </c>
      <c r="T6100">
        <v>-0.13656869999999999</v>
      </c>
      <c r="U6100">
        <v>3.0071720000000002</v>
      </c>
      <c r="V6100">
        <v>2.3380789999999999E-2</v>
      </c>
      <c r="W6100">
        <v>7.7521969999999996E-2</v>
      </c>
      <c r="X6100">
        <v>0.99671639999999995</v>
      </c>
      <c r="Y6100">
        <v>0.16763149999999999</v>
      </c>
      <c r="Z6100">
        <v>-4.4743310000000001E-2</v>
      </c>
      <c r="AA6100">
        <v>0.98483379999999998</v>
      </c>
      <c r="AB6100">
        <v>33</v>
      </c>
      <c r="AC6100">
        <v>4.0377999999999998</v>
      </c>
      <c r="AD6100">
        <v>-1.109862766772</v>
      </c>
      <c r="AE6100">
        <v>24.118790000000001</v>
      </c>
      <c r="AF6100">
        <v>4.1476764034275204</v>
      </c>
      <c r="AG6100">
        <v>-1.109862766772</v>
      </c>
      <c r="AH6100">
        <v>24.049129724438899</v>
      </c>
      <c r="AI6100">
        <v>92.603925770125102</v>
      </c>
      <c r="AJ6100">
        <v>80.214643697514504</v>
      </c>
      <c r="AK6100">
        <v>24.4294014542212</v>
      </c>
      <c r="AL6100">
        <v>85.553857170821104</v>
      </c>
      <c r="AM6100">
        <v>88.656212587162699</v>
      </c>
      <c r="AN6100">
        <v>0.99999994960133098</v>
      </c>
    </row>
    <row r="6101" spans="1:40" x14ac:dyDescent="0.25">
      <c r="A6101" t="str">
        <f>"20190312151437222"</f>
        <v>20190312151437222</v>
      </c>
      <c r="B6101" t="str">
        <f>"1552374877216169"</f>
        <v>1552374877216169</v>
      </c>
      <c r="C6101" t="s">
        <v>40</v>
      </c>
      <c r="D6101">
        <v>4.2738690000000004</v>
      </c>
      <c r="E6101">
        <v>0.55682489999999996</v>
      </c>
      <c r="F6101" t="s">
        <v>42</v>
      </c>
      <c r="G6101">
        <v>-184.11879999999999</v>
      </c>
      <c r="H6101" s="1">
        <v>-3.313795E-6</v>
      </c>
      <c r="I6101">
        <v>74.787459999999996</v>
      </c>
      <c r="J6101">
        <v>-188.3819</v>
      </c>
      <c r="K6101">
        <v>1.109861</v>
      </c>
      <c r="L6101">
        <v>49.573639999999997</v>
      </c>
      <c r="M6101">
        <v>-4.897775E-3</v>
      </c>
      <c r="N6101">
        <v>0</v>
      </c>
      <c r="O6101">
        <v>0.99991680000000005</v>
      </c>
      <c r="P6101">
        <v>1.942321E-2</v>
      </c>
      <c r="Q6101">
        <v>6.6038089999999994E-2</v>
      </c>
      <c r="R6101">
        <v>0.99762799999999996</v>
      </c>
      <c r="S6101">
        <v>0.50138850000000001</v>
      </c>
      <c r="T6101">
        <v>-0.1305828</v>
      </c>
      <c r="U6101">
        <v>3.0062869999999999</v>
      </c>
      <c r="V6101">
        <v>2.4314849999999999E-2</v>
      </c>
      <c r="W6101">
        <v>7.7938419999999994E-2</v>
      </c>
      <c r="X6101">
        <v>0.99666160000000004</v>
      </c>
      <c r="Y6101">
        <v>0.16918649999999999</v>
      </c>
      <c r="Z6101">
        <v>-4.278713E-2</v>
      </c>
      <c r="AA6101">
        <v>0.98465480000000005</v>
      </c>
      <c r="AB6101">
        <v>33</v>
      </c>
      <c r="AC6101">
        <v>4.2630999999999997</v>
      </c>
      <c r="AD6101">
        <v>-1.1098643137949999</v>
      </c>
      <c r="AE6101">
        <v>25.213819999999899</v>
      </c>
      <c r="AF6101">
        <v>4.3783016829066304</v>
      </c>
      <c r="AG6101">
        <v>-1.1098643137949999</v>
      </c>
      <c r="AH6101">
        <v>25.1452691597108</v>
      </c>
      <c r="AI6101">
        <v>92.489872505921099</v>
      </c>
      <c r="AJ6101">
        <v>80.122667438311595</v>
      </c>
      <c r="AK6101">
        <v>25.547717814628399</v>
      </c>
      <c r="AL6101">
        <v>85.529924053469998</v>
      </c>
      <c r="AM6101">
        <v>88.602472500013505</v>
      </c>
      <c r="AN6101">
        <v>0.99999997707858901</v>
      </c>
    </row>
    <row r="6102" spans="1:40" x14ac:dyDescent="0.25">
      <c r="A6102" t="str">
        <f>"20190312151437244"</f>
        <v>20190312151437244</v>
      </c>
      <c r="B6102" t="str">
        <f>"1552374877236847"</f>
        <v>1552374877236847</v>
      </c>
      <c r="C6102" t="s">
        <v>40</v>
      </c>
      <c r="D6102">
        <v>4.2265199999999998</v>
      </c>
      <c r="E6102">
        <v>0.557504</v>
      </c>
      <c r="F6102" t="s">
        <v>42</v>
      </c>
      <c r="G6102">
        <v>-183.8372</v>
      </c>
      <c r="H6102" s="1">
        <v>-3.9900949999999998E-6</v>
      </c>
      <c r="I6102">
        <v>76.385580000000004</v>
      </c>
      <c r="J6102">
        <v>-188.3835</v>
      </c>
      <c r="K6102">
        <v>1.1098650000000001</v>
      </c>
      <c r="L6102">
        <v>49.904969999999999</v>
      </c>
      <c r="M6102">
        <v>-4.8842790000000001E-3</v>
      </c>
      <c r="N6102">
        <v>0</v>
      </c>
      <c r="O6102">
        <v>0.9999169</v>
      </c>
      <c r="P6102">
        <v>2.0873920000000001E-2</v>
      </c>
      <c r="Q6102">
        <v>6.6429559999999999E-2</v>
      </c>
      <c r="R6102">
        <v>0.99757280000000004</v>
      </c>
      <c r="S6102">
        <v>0.50942989999999999</v>
      </c>
      <c r="T6102">
        <v>-0.1244094</v>
      </c>
      <c r="U6102">
        <v>3.0054630000000002</v>
      </c>
      <c r="V6102">
        <v>2.575185E-2</v>
      </c>
      <c r="W6102">
        <v>7.8329179999999998E-2</v>
      </c>
      <c r="X6102">
        <v>0.99659489999999995</v>
      </c>
      <c r="Y6102">
        <v>0.17179269999999999</v>
      </c>
      <c r="Z6102">
        <v>-4.0760640000000001E-2</v>
      </c>
      <c r="AA6102">
        <v>0.98428950000000004</v>
      </c>
      <c r="AB6102">
        <v>33</v>
      </c>
      <c r="AC6102">
        <v>4.5462999999999996</v>
      </c>
      <c r="AD6102">
        <v>-1.1098689900949901</v>
      </c>
      <c r="AE6102">
        <v>26.480609999999999</v>
      </c>
      <c r="AF6102">
        <v>4.6676289860897304</v>
      </c>
      <c r="AG6102">
        <v>-1.1098689900949901</v>
      </c>
      <c r="AH6102">
        <v>26.413016911847201</v>
      </c>
      <c r="AI6102">
        <v>92.3694694949194</v>
      </c>
      <c r="AJ6102">
        <v>79.978329075137296</v>
      </c>
      <c r="AK6102">
        <v>26.845223633124899</v>
      </c>
      <c r="AL6102">
        <v>85.507466630879307</v>
      </c>
      <c r="AM6102">
        <v>88.519815763077602</v>
      </c>
      <c r="AN6102">
        <v>1.0000000064619501</v>
      </c>
    </row>
    <row r="6103" spans="1:40" x14ac:dyDescent="0.25">
      <c r="A6103" t="str">
        <f>"20190312151437266"</f>
        <v>20190312151437266</v>
      </c>
      <c r="B6103" t="str">
        <f>"1552374877256352"</f>
        <v>1552374877256352</v>
      </c>
      <c r="C6103" t="s">
        <v>40</v>
      </c>
      <c r="D6103">
        <v>4.238321</v>
      </c>
      <c r="E6103">
        <v>0.55803780000000003</v>
      </c>
      <c r="F6103" t="s">
        <v>42</v>
      </c>
      <c r="G6103">
        <v>-183.35059999999999</v>
      </c>
      <c r="H6103" s="1">
        <v>-5.20219399999999E-6</v>
      </c>
      <c r="I6103">
        <v>79.009799999999998</v>
      </c>
      <c r="J6103">
        <v>-188.38509999999999</v>
      </c>
      <c r="K6103">
        <v>1.1098680000000001</v>
      </c>
      <c r="L6103">
        <v>50.228029999999997</v>
      </c>
      <c r="M6103">
        <v>-4.8713039999999999E-3</v>
      </c>
      <c r="N6103">
        <v>0</v>
      </c>
      <c r="O6103">
        <v>0.9999169</v>
      </c>
      <c r="P6103">
        <v>2.2603100000000001E-2</v>
      </c>
      <c r="Q6103">
        <v>6.6764089999999998E-2</v>
      </c>
      <c r="R6103">
        <v>0.99751279999999998</v>
      </c>
      <c r="S6103">
        <v>0.51947019999999999</v>
      </c>
      <c r="T6103">
        <v>-0.1145554</v>
      </c>
      <c r="U6103">
        <v>3.0040589999999998</v>
      </c>
      <c r="V6103">
        <v>2.746782E-2</v>
      </c>
      <c r="W6103">
        <v>7.8667169999999995E-2</v>
      </c>
      <c r="X6103">
        <v>0.99652240000000003</v>
      </c>
      <c r="Y6103">
        <v>0.17507229999999999</v>
      </c>
      <c r="Z6103">
        <v>-3.753277E-2</v>
      </c>
      <c r="AA6103">
        <v>0.98383989999999999</v>
      </c>
      <c r="AB6103">
        <v>33</v>
      </c>
      <c r="AC6103">
        <v>5.0345000000000004</v>
      </c>
      <c r="AD6103">
        <v>-1.1098732021940001</v>
      </c>
      <c r="AE6103">
        <v>28.781770000000002</v>
      </c>
      <c r="AF6103">
        <v>5.1671994740854297</v>
      </c>
      <c r="AG6103">
        <v>-1.1098732021940001</v>
      </c>
      <c r="AH6103">
        <v>28.7154698533352</v>
      </c>
      <c r="AI6103">
        <v>92.178466599434401</v>
      </c>
      <c r="AJ6103">
        <v>79.799089789113907</v>
      </c>
      <c r="AK6103">
        <v>29.197773508055999</v>
      </c>
      <c r="AL6103">
        <v>85.488041030052997</v>
      </c>
      <c r="AM6103">
        <v>88.421117503829194</v>
      </c>
      <c r="AN6103">
        <v>0.99999994923655899</v>
      </c>
    </row>
    <row r="6104" spans="1:40" x14ac:dyDescent="0.25">
      <c r="A6104" t="str">
        <f>"20190312151437289"</f>
        <v>20190312151437289</v>
      </c>
      <c r="B6104" t="str">
        <f>"1552374877286607"</f>
        <v>1552374877286607</v>
      </c>
      <c r="C6104" t="s">
        <v>40</v>
      </c>
      <c r="D6104">
        <v>4.1717709999999997</v>
      </c>
      <c r="E6104">
        <v>0.54888490000000001</v>
      </c>
      <c r="F6104" t="s">
        <v>42</v>
      </c>
      <c r="G6104">
        <v>-182.774</v>
      </c>
      <c r="H6104" s="1">
        <v>-2.7490510000000002E-6</v>
      </c>
      <c r="I6104">
        <v>82.076509999999999</v>
      </c>
      <c r="J6104">
        <v>-188.38669999999999</v>
      </c>
      <c r="K6104">
        <v>1.1098709999999901</v>
      </c>
      <c r="L6104">
        <v>50.573210000000003</v>
      </c>
      <c r="M6104">
        <v>-4.8569750000000004E-3</v>
      </c>
      <c r="N6104">
        <v>0</v>
      </c>
      <c r="O6104">
        <v>0.99991680000000005</v>
      </c>
      <c r="P6104">
        <v>2.404616E-2</v>
      </c>
      <c r="Q6104">
        <v>6.7312430000000006E-2</v>
      </c>
      <c r="R6104">
        <v>0.9974421</v>
      </c>
      <c r="S6104">
        <v>0.52897640000000001</v>
      </c>
      <c r="T6104">
        <v>-0.10463260000000001</v>
      </c>
      <c r="U6104">
        <v>3.0025019999999998</v>
      </c>
      <c r="V6104">
        <v>2.8896249999999998E-2</v>
      </c>
      <c r="W6104">
        <v>7.9223799999999997E-2</v>
      </c>
      <c r="X6104">
        <v>0.99643800000000005</v>
      </c>
      <c r="Y6104">
        <v>0.17818599999999901</v>
      </c>
      <c r="Z6104">
        <v>-3.4284349999999998E-2</v>
      </c>
      <c r="AA6104">
        <v>0.98339940000000003</v>
      </c>
      <c r="AB6104">
        <v>33</v>
      </c>
      <c r="AC6104">
        <v>5.6126999999999896</v>
      </c>
      <c r="AD6104">
        <v>-1.10987374905099</v>
      </c>
      <c r="AE6104">
        <v>31.503299999999999</v>
      </c>
      <c r="AF6104">
        <v>5.7587277305955</v>
      </c>
      <c r="AG6104">
        <v>-1.10987374905099</v>
      </c>
      <c r="AH6104">
        <v>31.437846079658499</v>
      </c>
      <c r="AI6104">
        <v>91.988851286792396</v>
      </c>
      <c r="AJ6104">
        <v>79.619742444468102</v>
      </c>
      <c r="AK6104">
        <v>31.9801959178217</v>
      </c>
      <c r="AL6104">
        <v>85.456049067563498</v>
      </c>
      <c r="AM6104">
        <v>88.338913923240597</v>
      </c>
      <c r="AN6104">
        <v>1.00000004579725</v>
      </c>
    </row>
    <row r="6105" spans="1:40" x14ac:dyDescent="0.25">
      <c r="A6105" t="str">
        <f>"20190312151437311"</f>
        <v>20190312151437311</v>
      </c>
      <c r="B6105" t="str">
        <f>"1552374877307104"</f>
        <v>1552374877307104</v>
      </c>
      <c r="C6105" t="s">
        <v>40</v>
      </c>
      <c r="D6105">
        <v>4.1344589999999997</v>
      </c>
      <c r="E6105">
        <v>0.54436929999999994</v>
      </c>
      <c r="F6105" t="s">
        <v>42</v>
      </c>
      <c r="G6105">
        <v>-181.86969999999999</v>
      </c>
      <c r="H6105" s="1">
        <v>-3.3134170000000002E-6</v>
      </c>
      <c r="I6105">
        <v>93.027850000000001</v>
      </c>
      <c r="J6105">
        <v>-188.38829999999999</v>
      </c>
      <c r="K6105">
        <v>1.1098730000000001</v>
      </c>
      <c r="L6105">
        <v>50.893740000000001</v>
      </c>
      <c r="M6105">
        <v>-4.8438370000000001E-3</v>
      </c>
      <c r="N6105">
        <v>0</v>
      </c>
      <c r="O6105">
        <v>0.99991669999999999</v>
      </c>
      <c r="P6105">
        <v>2.5936979999999998E-2</v>
      </c>
      <c r="Q6105">
        <v>6.7776950000000002E-2</v>
      </c>
      <c r="R6105">
        <v>0.99736329999999995</v>
      </c>
      <c r="S6105">
        <v>0.46080019999999999</v>
      </c>
      <c r="T6105">
        <v>-7.847643E-2</v>
      </c>
      <c r="U6105">
        <v>3.001862</v>
      </c>
      <c r="V6105">
        <v>3.0773600000000002E-2</v>
      </c>
      <c r="W6105">
        <v>7.9696740000000002E-2</v>
      </c>
      <c r="X6105">
        <v>0.99634400000000001</v>
      </c>
      <c r="Y6105">
        <v>0.156463299999999</v>
      </c>
      <c r="Z6105">
        <v>-2.5821139999999999E-2</v>
      </c>
      <c r="AA6105">
        <v>0.98734619999999995</v>
      </c>
      <c r="AB6105">
        <v>33</v>
      </c>
      <c r="AC6105">
        <v>6.5185999999999904</v>
      </c>
      <c r="AD6105">
        <v>-1.109876313417</v>
      </c>
      <c r="AE6105">
        <v>42.13411</v>
      </c>
      <c r="AF6105">
        <v>6.7180763435658397</v>
      </c>
      <c r="AG6105">
        <v>-1.109876313417</v>
      </c>
      <c r="AH6105">
        <v>42.073526983495299</v>
      </c>
      <c r="AI6105">
        <v>91.492186496054501</v>
      </c>
      <c r="AJ6105">
        <v>80.927899019726794</v>
      </c>
      <c r="AK6105">
        <v>42.6209578496304</v>
      </c>
      <c r="AL6105">
        <v>85.4288653278834</v>
      </c>
      <c r="AM6105">
        <v>88.230895114772196</v>
      </c>
      <c r="AN6105">
        <v>0.99999997557979303</v>
      </c>
    </row>
    <row r="6106" spans="1:40" x14ac:dyDescent="0.25">
      <c r="A6106" t="str">
        <f>"20190312151437336"</f>
        <v>20190312151437336</v>
      </c>
      <c r="B6106" t="str">
        <f>"1552374877326624"</f>
        <v>1552374877326624</v>
      </c>
      <c r="C6106" t="s">
        <v>40</v>
      </c>
      <c r="D6106">
        <v>4.1072829999999998</v>
      </c>
      <c r="E6106">
        <v>0.54278680000000001</v>
      </c>
      <c r="F6106" t="s">
        <v>42</v>
      </c>
      <c r="G6106">
        <v>-184.14340000000001</v>
      </c>
      <c r="H6106" s="1">
        <v>-1.8523850000000001E-6</v>
      </c>
      <c r="I6106">
        <v>80.512240000000006</v>
      </c>
      <c r="J6106">
        <v>-188.39</v>
      </c>
      <c r="K6106">
        <v>1.1098760000000001</v>
      </c>
      <c r="L6106">
        <v>51.264249999999997</v>
      </c>
      <c r="M6106">
        <v>-4.8286309999999999E-3</v>
      </c>
      <c r="N6106">
        <v>0</v>
      </c>
      <c r="O6106">
        <v>0.99991669999999999</v>
      </c>
      <c r="P6106">
        <v>2.758348E-2</v>
      </c>
      <c r="Q6106">
        <v>6.7850079999999993E-2</v>
      </c>
      <c r="R6106">
        <v>0.99731420000000004</v>
      </c>
      <c r="S6106">
        <v>0.43058780000000002</v>
      </c>
      <c r="T6106">
        <v>-0.11258170000000001</v>
      </c>
      <c r="U6106">
        <v>3.0043950000000001</v>
      </c>
      <c r="V6106">
        <v>3.240469E-2</v>
      </c>
      <c r="W6106">
        <v>7.9779450000000002E-2</v>
      </c>
      <c r="X6106">
        <v>0.99628570000000005</v>
      </c>
      <c r="Y6106">
        <v>0.14655070000000001</v>
      </c>
      <c r="Z6106">
        <v>-3.7054219999999999E-2</v>
      </c>
      <c r="AA6106">
        <v>0.98850890000000002</v>
      </c>
      <c r="AB6106">
        <v>33</v>
      </c>
      <c r="AC6106">
        <v>4.2465999999999697</v>
      </c>
      <c r="AD6106">
        <v>-1.1098778523849999</v>
      </c>
      <c r="AE6106">
        <v>29.247990000000001</v>
      </c>
      <c r="AF6106">
        <v>4.3816091629370799</v>
      </c>
      <c r="AG6106">
        <v>-1.1098778523849999</v>
      </c>
      <c r="AH6106">
        <v>29.185982523307999</v>
      </c>
      <c r="AI6106">
        <v>92.153669853176694</v>
      </c>
      <c r="AJ6106">
        <v>81.462108163255493</v>
      </c>
      <c r="AK6106">
        <v>29.5339110778574</v>
      </c>
      <c r="AL6106">
        <v>85.424111415374597</v>
      </c>
      <c r="AM6106">
        <v>88.137082900717104</v>
      </c>
      <c r="AN6106">
        <v>1.0000000103003901</v>
      </c>
    </row>
    <row r="6107" spans="1:40" x14ac:dyDescent="0.25">
      <c r="A6107" t="str">
        <f>"20190312151437357"</f>
        <v>20190312151437357</v>
      </c>
      <c r="B6107" t="str">
        <f>"1552374877346144"</f>
        <v>1552374877346144</v>
      </c>
      <c r="C6107" t="s">
        <v>40</v>
      </c>
      <c r="D6107">
        <v>4.5925479999999999</v>
      </c>
      <c r="E6107">
        <v>0.54211339999999997</v>
      </c>
      <c r="F6107" t="s">
        <v>42</v>
      </c>
      <c r="G6107">
        <v>-184.79599999999999</v>
      </c>
      <c r="H6107" s="1">
        <v>-4.0033390000000003E-6</v>
      </c>
      <c r="I6107">
        <v>76.812899999999999</v>
      </c>
      <c r="J6107">
        <v>-188.39160000000001</v>
      </c>
      <c r="K6107">
        <v>1.109877</v>
      </c>
      <c r="L6107">
        <v>51.593049999999998</v>
      </c>
      <c r="M6107">
        <v>-4.8151670000000004E-3</v>
      </c>
      <c r="N6107">
        <v>0</v>
      </c>
      <c r="O6107">
        <v>0.99991669999999999</v>
      </c>
      <c r="P6107">
        <v>2.9409500000000002E-2</v>
      </c>
      <c r="Q6107">
        <v>6.7878939999999999E-2</v>
      </c>
      <c r="R6107">
        <v>0.99726000000000004</v>
      </c>
      <c r="S6107">
        <v>0.42276000000000002</v>
      </c>
      <c r="T6107">
        <v>-0.1305549</v>
      </c>
      <c r="U6107">
        <v>3.00528</v>
      </c>
      <c r="V6107">
        <v>3.4217009999999999E-2</v>
      </c>
      <c r="W6107">
        <v>7.9816049999999999E-2</v>
      </c>
      <c r="X6107">
        <v>0.9962221</v>
      </c>
      <c r="Y6107">
        <v>0.14393919999999999</v>
      </c>
      <c r="Z6107">
        <v>-4.2963080000000001E-2</v>
      </c>
      <c r="AA6107">
        <v>0.98865349999999996</v>
      </c>
      <c r="AB6107">
        <v>33</v>
      </c>
      <c r="AC6107">
        <v>3.5956000000000099</v>
      </c>
      <c r="AD6107">
        <v>-1.1098810033390001</v>
      </c>
      <c r="AE6107">
        <v>25.219850000000001</v>
      </c>
      <c r="AF6107">
        <v>3.7099627709393301</v>
      </c>
      <c r="AG6107">
        <v>-1.1098810033390001</v>
      </c>
      <c r="AH6107">
        <v>25.154496115522701</v>
      </c>
      <c r="AI6107">
        <v>92.499395519634902</v>
      </c>
      <c r="AJ6107">
        <v>81.610098401207793</v>
      </c>
      <c r="AK6107">
        <v>25.450821881211901</v>
      </c>
      <c r="AL6107">
        <v>85.422007354426</v>
      </c>
      <c r="AM6107">
        <v>88.032848422736606</v>
      </c>
      <c r="AN6107">
        <v>0.99999993906967399</v>
      </c>
    </row>
    <row r="6108" spans="1:40" x14ac:dyDescent="0.25">
      <c r="A6108" t="str">
        <f>"20190312151437378"</f>
        <v>20190312151437378</v>
      </c>
      <c r="B6108" t="str">
        <f>"1552374877366641"</f>
        <v>1552374877366641</v>
      </c>
      <c r="C6108" t="s">
        <v>40</v>
      </c>
      <c r="D6108">
        <v>4.1510540000000002</v>
      </c>
      <c r="E6108">
        <v>0.54143739999999996</v>
      </c>
      <c r="F6108" t="s">
        <v>42</v>
      </c>
      <c r="G6108">
        <v>-184.78440000000001</v>
      </c>
      <c r="H6108" s="1">
        <v>-4.179095E-6</v>
      </c>
      <c r="I6108">
        <v>77.217780000000005</v>
      </c>
      <c r="J6108">
        <v>-188.3931</v>
      </c>
      <c r="K6108">
        <v>1.1098790000000001</v>
      </c>
      <c r="L6108">
        <v>51.907649999999997</v>
      </c>
      <c r="M6108">
        <v>-4.8021390000000004E-3</v>
      </c>
      <c r="N6108">
        <v>0</v>
      </c>
      <c r="O6108">
        <v>0.99991660000000004</v>
      </c>
      <c r="P6108">
        <v>3.042357E-2</v>
      </c>
      <c r="Q6108">
        <v>6.8087410000000001E-2</v>
      </c>
      <c r="R6108">
        <v>0.99721539999999997</v>
      </c>
      <c r="S6108">
        <v>0.42295840000000001</v>
      </c>
      <c r="T6108">
        <v>-0.13013830000000001</v>
      </c>
      <c r="U6108">
        <v>3.0046080000000002</v>
      </c>
      <c r="V6108">
        <v>3.5217869999999998E-2</v>
      </c>
      <c r="W6108">
        <v>8.0031850000000002E-2</v>
      </c>
      <c r="X6108">
        <v>0.99617</v>
      </c>
      <c r="Y6108">
        <v>0.1440216</v>
      </c>
      <c r="Z6108">
        <v>-4.2835230000000002E-2</v>
      </c>
      <c r="AA6108">
        <v>0.98864700000000005</v>
      </c>
      <c r="AB6108">
        <v>33</v>
      </c>
      <c r="AC6108">
        <v>3.60869999999999</v>
      </c>
      <c r="AD6108">
        <v>-1.1098831790949999</v>
      </c>
      <c r="AE6108">
        <v>25.310130000000001</v>
      </c>
      <c r="AF6108">
        <v>3.7231930490551601</v>
      </c>
      <c r="AG6108">
        <v>-1.1098831790949999</v>
      </c>
      <c r="AH6108">
        <v>25.244930099088698</v>
      </c>
      <c r="AI6108">
        <v>92.490459726351503</v>
      </c>
      <c r="AJ6108">
        <v>81.610337332112806</v>
      </c>
      <c r="AK6108">
        <v>25.542131916886799</v>
      </c>
      <c r="AL6108">
        <v>85.409603671378605</v>
      </c>
      <c r="AM6108">
        <v>87.975249929380595</v>
      </c>
      <c r="AN6108">
        <v>1.00000003214087</v>
      </c>
    </row>
    <row r="6109" spans="1:40" x14ac:dyDescent="0.25">
      <c r="A6109" t="str">
        <f>"20190312151437401"</f>
        <v>20190312151437401</v>
      </c>
      <c r="B6109" t="str">
        <f>"1552374877396896"</f>
        <v>1552374877396896</v>
      </c>
      <c r="C6109" t="s">
        <v>40</v>
      </c>
      <c r="D6109">
        <v>4.1341039999999998</v>
      </c>
      <c r="E6109">
        <v>0.54034450000000001</v>
      </c>
      <c r="F6109" t="s">
        <v>42</v>
      </c>
      <c r="G6109">
        <v>-184.84039999999999</v>
      </c>
      <c r="H6109" s="1">
        <v>-4.1883509999999997E-6</v>
      </c>
      <c r="I6109">
        <v>77.262500000000003</v>
      </c>
      <c r="J6109">
        <v>-188.3947</v>
      </c>
      <c r="K6109">
        <v>1.10988</v>
      </c>
      <c r="L6109">
        <v>52.244230000000002</v>
      </c>
      <c r="M6109">
        <v>-4.7884360000000001E-3</v>
      </c>
      <c r="N6109">
        <v>0</v>
      </c>
      <c r="O6109">
        <v>0.99991660000000004</v>
      </c>
      <c r="P6109">
        <v>3.0929749999999999E-2</v>
      </c>
      <c r="Q6109">
        <v>6.7772139999999995E-2</v>
      </c>
      <c r="R6109">
        <v>0.99722129999999998</v>
      </c>
      <c r="S6109">
        <v>0.42098999999999998</v>
      </c>
      <c r="T6109">
        <v>-0.13151969999999999</v>
      </c>
      <c r="U6109">
        <v>3.0045169999999999</v>
      </c>
      <c r="V6109">
        <v>3.5710409999999998E-2</v>
      </c>
      <c r="W6109">
        <v>7.9724329999999996E-2</v>
      </c>
      <c r="X6109">
        <v>0.99617710000000004</v>
      </c>
      <c r="Y6109">
        <v>0.14337420000000001</v>
      </c>
      <c r="Z6109">
        <v>-4.3294369999999999E-2</v>
      </c>
      <c r="AA6109">
        <v>0.98872110000000002</v>
      </c>
      <c r="AB6109">
        <v>33</v>
      </c>
      <c r="AC6109">
        <v>3.5543000000000098</v>
      </c>
      <c r="AD6109">
        <v>-1.109884188351</v>
      </c>
      <c r="AE6109">
        <v>25.018270000000001</v>
      </c>
      <c r="AF6109">
        <v>3.6669921268612602</v>
      </c>
      <c r="AG6109">
        <v>-1.109884188351</v>
      </c>
      <c r="AH6109">
        <v>24.952825012019002</v>
      </c>
      <c r="AI6109">
        <v>92.519769376061802</v>
      </c>
      <c r="AJ6109">
        <v>81.639824920909206</v>
      </c>
      <c r="AK6109">
        <v>25.245240150381999</v>
      </c>
      <c r="AL6109">
        <v>85.427279641500704</v>
      </c>
      <c r="AM6109">
        <v>87.946971445342598</v>
      </c>
      <c r="AN6109">
        <v>1.00000000837036</v>
      </c>
    </row>
    <row r="6110" spans="1:40" x14ac:dyDescent="0.25">
      <c r="A6110" t="str">
        <f>"20190312151437422"</f>
        <v>20190312151437422</v>
      </c>
      <c r="B6110" t="str">
        <f>"1552374877416416"</f>
        <v>1552374877416416</v>
      </c>
      <c r="C6110" t="s">
        <v>40</v>
      </c>
      <c r="D6110">
        <v>4.1358300000000003</v>
      </c>
      <c r="E6110">
        <v>0.53993119999999994</v>
      </c>
      <c r="F6110" t="s">
        <v>42</v>
      </c>
      <c r="G6110">
        <v>-185.04230000000001</v>
      </c>
      <c r="H6110" s="1">
        <v>-3.8567279999999998E-6</v>
      </c>
      <c r="I6110">
        <v>76.572980000000001</v>
      </c>
      <c r="J6110">
        <v>-188.39619999999999</v>
      </c>
      <c r="K6110">
        <v>1.1098749999999999</v>
      </c>
      <c r="L6110">
        <v>52.562959999999997</v>
      </c>
      <c r="M6110">
        <v>-4.7754370000000004E-3</v>
      </c>
      <c r="N6110">
        <v>0</v>
      </c>
      <c r="O6110">
        <v>0.99991660000000004</v>
      </c>
      <c r="P6110">
        <v>3.152133E-2</v>
      </c>
      <c r="Q6110">
        <v>6.7597439999999995E-2</v>
      </c>
      <c r="R6110">
        <v>0.99721459999999995</v>
      </c>
      <c r="S6110">
        <v>0.4140472</v>
      </c>
      <c r="T6110">
        <v>-0.1370808</v>
      </c>
      <c r="U6110">
        <v>3.0048219999999999</v>
      </c>
      <c r="V6110">
        <v>3.6288979999999998E-2</v>
      </c>
      <c r="W6110">
        <v>7.9556059999999998E-2</v>
      </c>
      <c r="X6110">
        <v>0.99616959999999999</v>
      </c>
      <c r="Y6110">
        <v>0.1410949</v>
      </c>
      <c r="Z6110">
        <v>-4.5131350000000001E-2</v>
      </c>
      <c r="AA6110">
        <v>0.98896680000000003</v>
      </c>
      <c r="AB6110">
        <v>33</v>
      </c>
      <c r="AC6110">
        <v>3.3538999999999799</v>
      </c>
      <c r="AD6110">
        <v>-1.109878856728</v>
      </c>
      <c r="AE6110">
        <v>24.010020000000001</v>
      </c>
      <c r="AF6110">
        <v>3.4612738120909698</v>
      </c>
      <c r="AG6110">
        <v>-1.109878856728</v>
      </c>
      <c r="AH6110">
        <v>23.943545078025402</v>
      </c>
      <c r="AI6110">
        <v>92.626722963035803</v>
      </c>
      <c r="AJ6110">
        <v>81.774317197691801</v>
      </c>
      <c r="AK6110">
        <v>24.217877660569599</v>
      </c>
      <c r="AL6110">
        <v>85.436951322032797</v>
      </c>
      <c r="AM6110">
        <v>87.913722320862107</v>
      </c>
      <c r="AN6110">
        <v>0.99999996435816096</v>
      </c>
    </row>
    <row r="6111" spans="1:40" x14ac:dyDescent="0.25">
      <c r="A6111" t="str">
        <f>"20190312151437445"</f>
        <v>20190312151437445</v>
      </c>
      <c r="B6111" t="str">
        <f>"1552374877436912"</f>
        <v>1552374877436912</v>
      </c>
      <c r="C6111" t="s">
        <v>40</v>
      </c>
      <c r="D6111">
        <v>4.1456819999999999</v>
      </c>
      <c r="E6111">
        <v>0.53976199999999996</v>
      </c>
      <c r="F6111" t="s">
        <v>42</v>
      </c>
      <c r="G6111">
        <v>-185.1566</v>
      </c>
      <c r="H6111" s="1">
        <v>-3.6596169999999999E-6</v>
      </c>
      <c r="I6111">
        <v>76.160740000000004</v>
      </c>
      <c r="J6111">
        <v>-188.39779999999999</v>
      </c>
      <c r="K6111">
        <v>1.109877</v>
      </c>
      <c r="L6111">
        <v>52.904629999999997</v>
      </c>
      <c r="M6111">
        <v>-4.761459E-3</v>
      </c>
      <c r="N6111">
        <v>0</v>
      </c>
      <c r="O6111">
        <v>0.99991660000000004</v>
      </c>
      <c r="P6111">
        <v>3.1640620000000001E-2</v>
      </c>
      <c r="Q6111">
        <v>6.7147929999999995E-2</v>
      </c>
      <c r="R6111">
        <v>0.99724120000000005</v>
      </c>
      <c r="S6111">
        <v>0.41253659999999998</v>
      </c>
      <c r="T6111">
        <v>-0.1413306</v>
      </c>
      <c r="U6111">
        <v>3.0049130000000002</v>
      </c>
      <c r="V6111">
        <v>3.6394410000000002E-2</v>
      </c>
      <c r="W6111">
        <v>7.9113520000000007E-2</v>
      </c>
      <c r="X6111">
        <v>0.996201</v>
      </c>
      <c r="Y6111">
        <v>0.14058029999999999</v>
      </c>
      <c r="Z6111">
        <v>-4.652941E-2</v>
      </c>
      <c r="AA6111">
        <v>0.9889753</v>
      </c>
      <c r="AB6111">
        <v>33</v>
      </c>
      <c r="AC6111">
        <v>3.2411999999999899</v>
      </c>
      <c r="AD6111">
        <v>-1.1098806596170001</v>
      </c>
      <c r="AE6111">
        <v>23.25611</v>
      </c>
      <c r="AF6111">
        <v>3.3444320910022598</v>
      </c>
      <c r="AG6111">
        <v>-1.1098806596170001</v>
      </c>
      <c r="AH6111">
        <v>23.188604218526699</v>
      </c>
      <c r="AI6111">
        <v>92.712246034643101</v>
      </c>
      <c r="AJ6111">
        <v>81.792972709196803</v>
      </c>
      <c r="AK6111">
        <v>23.454816705602099</v>
      </c>
      <c r="AL6111">
        <v>85.462387183711201</v>
      </c>
      <c r="AM6111">
        <v>87.9077323505078</v>
      </c>
      <c r="AN6111">
        <v>0.99999996726351803</v>
      </c>
    </row>
    <row r="6112" spans="1:40" x14ac:dyDescent="0.25">
      <c r="A6112" t="str">
        <f>"20190312151437468"</f>
        <v>20190312151437468</v>
      </c>
      <c r="B6112" t="str">
        <f>"1552374877456431"</f>
        <v>1552374877456431</v>
      </c>
      <c r="C6112" t="s">
        <v>40</v>
      </c>
      <c r="D6112">
        <v>4.3126189999999998</v>
      </c>
      <c r="E6112">
        <v>0.53962529999999997</v>
      </c>
      <c r="F6112" t="s">
        <v>42</v>
      </c>
      <c r="G6112">
        <v>-185.14169999999999</v>
      </c>
      <c r="H6112" s="1">
        <v>-3.880725E-6</v>
      </c>
      <c r="I6112">
        <v>76.67</v>
      </c>
      <c r="J6112">
        <v>-188.39940000000001</v>
      </c>
      <c r="K6112">
        <v>1.1098730000000001</v>
      </c>
      <c r="L6112">
        <v>53.234219999999901</v>
      </c>
      <c r="M6112">
        <v>-4.744524E-3</v>
      </c>
      <c r="N6112">
        <v>0</v>
      </c>
      <c r="O6112">
        <v>0.99991660000000004</v>
      </c>
      <c r="P6112">
        <v>3.1985119999999999E-2</v>
      </c>
      <c r="Q6112">
        <v>6.6607700000000006E-2</v>
      </c>
      <c r="R6112">
        <v>0.99726649999999994</v>
      </c>
      <c r="S6112">
        <v>0.4116821</v>
      </c>
      <c r="T6112">
        <v>-0.14032439999999999</v>
      </c>
      <c r="U6112">
        <v>3.0047000000000001</v>
      </c>
      <c r="V6112">
        <v>3.6722390000000001E-2</v>
      </c>
      <c r="W6112">
        <v>7.8578759999999997E-2</v>
      </c>
      <c r="X6112">
        <v>0.99623130000000004</v>
      </c>
      <c r="Y6112">
        <v>0.1402989</v>
      </c>
      <c r="Z6112">
        <v>-4.6203910000000001E-2</v>
      </c>
      <c r="AA6112">
        <v>0.98903050000000003</v>
      </c>
      <c r="AB6112">
        <v>33</v>
      </c>
      <c r="AC6112">
        <v>3.2577000000000198</v>
      </c>
      <c r="AD6112">
        <v>-1.1098768807249999</v>
      </c>
      <c r="AE6112">
        <v>23.435780000000001</v>
      </c>
      <c r="AF6112">
        <v>3.3614667823536801</v>
      </c>
      <c r="AG6112">
        <v>-1.1098768807249999</v>
      </c>
      <c r="AH6112">
        <v>23.368641135368499</v>
      </c>
      <c r="AI6112">
        <v>92.691516956967007</v>
      </c>
      <c r="AJ6112">
        <v>81.814426243672003</v>
      </c>
      <c r="AK6112">
        <v>23.635242205927799</v>
      </c>
      <c r="AL6112">
        <v>85.493122415237096</v>
      </c>
      <c r="AM6112">
        <v>87.888958338657901</v>
      </c>
      <c r="AN6112">
        <v>0.99999997927506901</v>
      </c>
    </row>
    <row r="6113" spans="1:40" x14ac:dyDescent="0.25">
      <c r="A6113" t="str">
        <f>"20190312151437490"</f>
        <v>20190312151437490</v>
      </c>
      <c r="B6113" t="str">
        <f>"1552374877486687"</f>
        <v>1552374877486687</v>
      </c>
      <c r="C6113" t="s">
        <v>40</v>
      </c>
      <c r="D6113">
        <v>4.192736</v>
      </c>
      <c r="E6113">
        <v>0.53865280000000004</v>
      </c>
      <c r="F6113" t="s">
        <v>42</v>
      </c>
      <c r="G6113">
        <v>-185.2312</v>
      </c>
      <c r="H6113" s="1">
        <v>-3.7287259999999998E-6</v>
      </c>
      <c r="I6113">
        <v>76.352719999999906</v>
      </c>
      <c r="J6113">
        <v>-188.40100000000001</v>
      </c>
      <c r="K6113">
        <v>1.1098680000000001</v>
      </c>
      <c r="L6113">
        <v>53.569949999999999</v>
      </c>
      <c r="M6113">
        <v>-4.7188880000000001E-3</v>
      </c>
      <c r="N6113">
        <v>0</v>
      </c>
      <c r="O6113">
        <v>0.99991660000000004</v>
      </c>
      <c r="P6113">
        <v>3.2062170000000001E-2</v>
      </c>
      <c r="Q6113">
        <v>6.5998940000000006E-2</v>
      </c>
      <c r="R6113">
        <v>0.99730439999999998</v>
      </c>
      <c r="S6113">
        <v>0.41175840000000002</v>
      </c>
      <c r="T6113">
        <v>-0.14424870000000001</v>
      </c>
      <c r="U6113">
        <v>3.0046689999999998</v>
      </c>
      <c r="V6113">
        <v>3.6774960000000002E-2</v>
      </c>
      <c r="W6113">
        <v>7.7975500000000003E-2</v>
      </c>
      <c r="X6113">
        <v>0.99627679999999996</v>
      </c>
      <c r="Y6113">
        <v>0.14029129999999901</v>
      </c>
      <c r="Z6113">
        <v>-4.7493599999999997E-2</v>
      </c>
      <c r="AA6113">
        <v>0.98897049999999997</v>
      </c>
      <c r="AB6113">
        <v>33</v>
      </c>
      <c r="AC6113">
        <v>3.16979999999998</v>
      </c>
      <c r="AD6113">
        <v>-1.109871728726</v>
      </c>
      <c r="AE6113">
        <v>22.7827699999999</v>
      </c>
      <c r="AF6113">
        <v>3.2696696179890599</v>
      </c>
      <c r="AG6113">
        <v>-1.109871728726</v>
      </c>
      <c r="AH6113">
        <v>22.714674724019101</v>
      </c>
      <c r="AI6113">
        <v>92.768836287570196</v>
      </c>
      <c r="AJ6113">
        <v>81.808809693842804</v>
      </c>
      <c r="AK6113">
        <v>22.9756175647798</v>
      </c>
      <c r="AL6113">
        <v>85.527793229645994</v>
      </c>
      <c r="AM6113">
        <v>87.886035475165201</v>
      </c>
      <c r="AN6113">
        <v>1.0000000192507399</v>
      </c>
    </row>
    <row r="6114" spans="1:40" x14ac:dyDescent="0.25">
      <c r="A6114" t="str">
        <f>"20190312151437510"</f>
        <v>20190312151437510</v>
      </c>
      <c r="B6114" t="str">
        <f>"1552374877506208"</f>
        <v>1552374877506208</v>
      </c>
      <c r="C6114" t="s">
        <v>40</v>
      </c>
      <c r="D6114">
        <v>4.1882760000000001</v>
      </c>
      <c r="E6114">
        <v>0.53859360000000001</v>
      </c>
      <c r="F6114" t="s">
        <v>42</v>
      </c>
      <c r="G6114">
        <v>-185.2508</v>
      </c>
      <c r="H6114" s="1">
        <v>-3.9927260000000002E-6</v>
      </c>
      <c r="I6114">
        <v>76.976179999999999</v>
      </c>
      <c r="J6114">
        <v>-188.4024</v>
      </c>
      <c r="K6114">
        <v>1.1098619999999999</v>
      </c>
      <c r="L6114">
        <v>53.873469999999998</v>
      </c>
      <c r="M6114">
        <v>-4.688495E-3</v>
      </c>
      <c r="N6114">
        <v>0</v>
      </c>
      <c r="O6114">
        <v>0.99991669999999999</v>
      </c>
      <c r="P6114">
        <v>3.2523539999999997E-2</v>
      </c>
      <c r="Q6114">
        <v>6.5658530000000007E-2</v>
      </c>
      <c r="R6114">
        <v>0.99731190000000003</v>
      </c>
      <c r="S6114">
        <v>0.40437319999999999</v>
      </c>
      <c r="T6114">
        <v>-0.14246889999999901</v>
      </c>
      <c r="U6114">
        <v>3.0045470000000001</v>
      </c>
      <c r="V6114">
        <v>3.7207249999999997E-2</v>
      </c>
      <c r="W6114">
        <v>7.7638460000000006E-2</v>
      </c>
      <c r="X6114">
        <v>0.99628700000000003</v>
      </c>
      <c r="Y6114">
        <v>0.1378829</v>
      </c>
      <c r="Z6114">
        <v>-4.692648E-2</v>
      </c>
      <c r="AA6114">
        <v>0.98933629999999995</v>
      </c>
      <c r="AB6114">
        <v>33</v>
      </c>
      <c r="AC6114">
        <v>3.1516000000000002</v>
      </c>
      <c r="AD6114">
        <v>-1.109865992726</v>
      </c>
      <c r="AE6114">
        <v>23.102709999999998</v>
      </c>
      <c r="AF6114">
        <v>3.2525208060995401</v>
      </c>
      <c r="AG6114">
        <v>-1.109865992726</v>
      </c>
      <c r="AH6114">
        <v>23.035486598436201</v>
      </c>
      <c r="AI6114">
        <v>92.731367218307895</v>
      </c>
      <c r="AJ6114">
        <v>81.963186741922897</v>
      </c>
      <c r="AK6114">
        <v>23.290434451565201</v>
      </c>
      <c r="AL6114">
        <v>85.547162601979593</v>
      </c>
      <c r="AM6114">
        <v>87.861230623194999</v>
      </c>
      <c r="AN6114">
        <v>0.99999994814636495</v>
      </c>
    </row>
    <row r="6115" spans="1:40" x14ac:dyDescent="0.25">
      <c r="A6115" t="str">
        <f>"20190312151437534"</f>
        <v>20190312151437534</v>
      </c>
      <c r="B6115" t="str">
        <f>"1552374877526704"</f>
        <v>1552374877526704</v>
      </c>
      <c r="C6115" t="s">
        <v>40</v>
      </c>
      <c r="D6115">
        <v>4.2280410000000002</v>
      </c>
      <c r="E6115">
        <v>0.53838199999999903</v>
      </c>
      <c r="F6115" t="s">
        <v>42</v>
      </c>
      <c r="G6115">
        <v>-185.23509999999999</v>
      </c>
      <c r="H6115" s="1">
        <v>-4.1588020000000004E-6</v>
      </c>
      <c r="I6115">
        <v>77.356840000000005</v>
      </c>
      <c r="J6115">
        <v>-188.404</v>
      </c>
      <c r="K6115">
        <v>1.109847</v>
      </c>
      <c r="L6115">
        <v>54.234830000000002</v>
      </c>
      <c r="M6115">
        <v>-4.6367939999999996E-3</v>
      </c>
      <c r="N6115">
        <v>0</v>
      </c>
      <c r="O6115">
        <v>0.9999169</v>
      </c>
      <c r="P6115">
        <v>3.348872E-2</v>
      </c>
      <c r="Q6115">
        <v>6.5675259999999999E-2</v>
      </c>
      <c r="R6115">
        <v>0.99727889999999997</v>
      </c>
      <c r="S6115">
        <v>0.40518189999999998</v>
      </c>
      <c r="T6115">
        <v>-0.14198450000000001</v>
      </c>
      <c r="U6115">
        <v>3.0042110000000002</v>
      </c>
      <c r="V6115">
        <v>3.8122799999999998E-2</v>
      </c>
      <c r="W6115">
        <v>7.7657950000000003E-2</v>
      </c>
      <c r="X6115">
        <v>0.99625090000000005</v>
      </c>
      <c r="Y6115">
        <v>0.13810890000000001</v>
      </c>
      <c r="Z6115">
        <v>-4.6770880000000001E-2</v>
      </c>
      <c r="AA6115">
        <v>0.98931210000000003</v>
      </c>
      <c r="AB6115">
        <v>33</v>
      </c>
      <c r="AC6115">
        <v>3.16890000000003</v>
      </c>
      <c r="AD6115">
        <v>-1.1098511588019999</v>
      </c>
      <c r="AE6115">
        <v>23.12201</v>
      </c>
      <c r="AF6115">
        <v>3.2686935333196798</v>
      </c>
      <c r="AG6115">
        <v>-1.1098511588019999</v>
      </c>
      <c r="AH6115">
        <v>23.054928081845201</v>
      </c>
      <c r="AI6115">
        <v>92.728810876619505</v>
      </c>
      <c r="AJ6115">
        <v>81.930471415952198</v>
      </c>
      <c r="AK6115">
        <v>23.311924756838899</v>
      </c>
      <c r="AL6115">
        <v>85.546042669477202</v>
      </c>
      <c r="AM6115">
        <v>87.808573795033098</v>
      </c>
      <c r="AN6115">
        <v>0.99999998041442595</v>
      </c>
    </row>
    <row r="6116" spans="1:40" x14ac:dyDescent="0.25">
      <c r="A6116" t="str">
        <f>"20190312151437558"</f>
        <v>20190312151437558</v>
      </c>
      <c r="B6116" t="str">
        <f>"1552374877547200"</f>
        <v>1552374877547200</v>
      </c>
      <c r="C6116" t="s">
        <v>40</v>
      </c>
      <c r="D6116">
        <v>4.2530239999999999</v>
      </c>
      <c r="E6116">
        <v>0.53817029999999999</v>
      </c>
      <c r="F6116" t="s">
        <v>42</v>
      </c>
      <c r="G6116">
        <v>-185.3022</v>
      </c>
      <c r="H6116" s="1">
        <v>-4.0619699999999998E-6</v>
      </c>
      <c r="I6116">
        <v>77.158869999999993</v>
      </c>
      <c r="J6116">
        <v>-188.40559999999999</v>
      </c>
      <c r="K6116">
        <v>1.1098250000000001</v>
      </c>
      <c r="L6116">
        <v>54.595889999999997</v>
      </c>
      <c r="M6116">
        <v>-4.5592769999999996E-3</v>
      </c>
      <c r="N6116">
        <v>0</v>
      </c>
      <c r="O6116">
        <v>0.99991719999999895</v>
      </c>
      <c r="P6116">
        <v>3.4316979999999997E-2</v>
      </c>
      <c r="Q6116">
        <v>6.5610979999999999E-2</v>
      </c>
      <c r="R6116">
        <v>0.997255</v>
      </c>
      <c r="S6116">
        <v>0.40647889999999998</v>
      </c>
      <c r="T6116">
        <v>-0.1454424</v>
      </c>
      <c r="U6116">
        <v>3.0041199999999999</v>
      </c>
      <c r="V6116">
        <v>3.887674E-2</v>
      </c>
      <c r="W6116">
        <v>7.7595200000000003E-2</v>
      </c>
      <c r="X6116">
        <v>0.99622670000000002</v>
      </c>
      <c r="Y6116">
        <v>0.1384483</v>
      </c>
      <c r="Z6116">
        <v>-4.7906280000000002E-2</v>
      </c>
      <c r="AA6116">
        <v>0.98921029999999999</v>
      </c>
      <c r="AB6116">
        <v>33</v>
      </c>
      <c r="AC6116">
        <v>3.1033999999999899</v>
      </c>
      <c r="AD6116">
        <v>-1.10982906197</v>
      </c>
      <c r="AE6116">
        <v>22.5629799999999</v>
      </c>
      <c r="AF6116">
        <v>3.1986507334552501</v>
      </c>
      <c r="AG6116">
        <v>-1.10982906197</v>
      </c>
      <c r="AH6116">
        <v>22.495179418083801</v>
      </c>
      <c r="AI6116">
        <v>92.7963889762935</v>
      </c>
      <c r="AJ6116">
        <v>81.907208401373396</v>
      </c>
      <c r="AK6116">
        <v>22.7485424612921</v>
      </c>
      <c r="AL6116">
        <v>85.549649068604893</v>
      </c>
      <c r="AM6116">
        <v>87.765224083384794</v>
      </c>
      <c r="AN6116">
        <v>1.00000002688447</v>
      </c>
    </row>
    <row r="6117" spans="1:40" x14ac:dyDescent="0.25">
      <c r="A6117" t="str">
        <f>"20190312151437581"</f>
        <v>20190312151437581</v>
      </c>
      <c r="B6117" t="str">
        <f>"1552374877576480"</f>
        <v>1552374877576480</v>
      </c>
      <c r="C6117" t="s">
        <v>40</v>
      </c>
      <c r="D6117">
        <v>4.2891820000000003</v>
      </c>
      <c r="E6117">
        <v>0.53789359999999997</v>
      </c>
      <c r="F6117" t="s">
        <v>42</v>
      </c>
      <c r="G6117">
        <v>-185.36949999999999</v>
      </c>
      <c r="H6117" s="1">
        <v>-3.9754829999999996E-6</v>
      </c>
      <c r="I6117">
        <v>76.985079999999996</v>
      </c>
      <c r="J6117">
        <v>-188.40700000000001</v>
      </c>
      <c r="K6117">
        <v>1.1098030000000001</v>
      </c>
      <c r="L6117">
        <v>54.929720000000003</v>
      </c>
      <c r="M6117">
        <v>-4.455891E-3</v>
      </c>
      <c r="N6117">
        <v>0</v>
      </c>
      <c r="O6117">
        <v>0.99991770000000002</v>
      </c>
      <c r="P6117">
        <v>3.5323939999999998E-2</v>
      </c>
      <c r="Q6117">
        <v>6.5136169999999993E-2</v>
      </c>
      <c r="R6117">
        <v>0.997251</v>
      </c>
      <c r="S6117">
        <v>0.4073639</v>
      </c>
      <c r="T6117">
        <v>-0.14890929999999999</v>
      </c>
      <c r="U6117">
        <v>3.0040279999999999</v>
      </c>
      <c r="V6117">
        <v>3.9784609999999998E-2</v>
      </c>
      <c r="W6117">
        <v>7.7121679999999998E-2</v>
      </c>
      <c r="X6117">
        <v>0.99622759999999999</v>
      </c>
      <c r="Y6117">
        <v>0.13862869999999999</v>
      </c>
      <c r="Z6117">
        <v>-4.9045440000000003E-2</v>
      </c>
      <c r="AA6117">
        <v>0.98912920000000004</v>
      </c>
      <c r="AB6117">
        <v>33</v>
      </c>
      <c r="AC6117">
        <v>3.0375000000000201</v>
      </c>
      <c r="AD6117">
        <v>-1.109806975483</v>
      </c>
      <c r="AE6117">
        <v>22.05536</v>
      </c>
      <c r="AF6117">
        <v>3.1279805604199198</v>
      </c>
      <c r="AG6117">
        <v>-1.109806975483</v>
      </c>
      <c r="AH6117">
        <v>21.986970162101802</v>
      </c>
      <c r="AI6117">
        <v>92.860833150789503</v>
      </c>
      <c r="AJ6117">
        <v>81.903138283366701</v>
      </c>
      <c r="AK6117">
        <v>22.236069590157999</v>
      </c>
      <c r="AL6117">
        <v>85.5768611915544</v>
      </c>
      <c r="AM6117">
        <v>87.713093268339193</v>
      </c>
      <c r="AN6117">
        <v>0.99999999986031696</v>
      </c>
    </row>
    <row r="6118" spans="1:40" x14ac:dyDescent="0.25">
      <c r="A6118" t="str">
        <f>"20190312151437601"</f>
        <v>20190312151437601</v>
      </c>
      <c r="B6118" t="str">
        <f>"1552374877596976"</f>
        <v>1552374877596976</v>
      </c>
      <c r="C6118" t="s">
        <v>40</v>
      </c>
      <c r="D6118">
        <v>4.4748320000000001</v>
      </c>
      <c r="E6118">
        <v>0.53788389999999997</v>
      </c>
      <c r="F6118" t="s">
        <v>42</v>
      </c>
      <c r="G6118">
        <v>-185.46850000000001</v>
      </c>
      <c r="H6118" s="1">
        <v>-3.7673260000000002E-6</v>
      </c>
      <c r="I6118">
        <v>76.540790000000001</v>
      </c>
      <c r="J6118">
        <v>-188.4083</v>
      </c>
      <c r="K6118">
        <v>1.1097779999999999</v>
      </c>
      <c r="L6118">
        <v>55.23621</v>
      </c>
      <c r="M6118">
        <v>-4.3264870000000004E-3</v>
      </c>
      <c r="N6118">
        <v>0</v>
      </c>
      <c r="O6118">
        <v>0.99991819999999998</v>
      </c>
      <c r="P6118">
        <v>3.6086600000000003E-2</v>
      </c>
      <c r="Q6118">
        <v>6.54502E-2</v>
      </c>
      <c r="R6118">
        <v>0.99720310000000001</v>
      </c>
      <c r="S6118">
        <v>0.40844730000000001</v>
      </c>
      <c r="T6118">
        <v>-0.1542598</v>
      </c>
      <c r="U6118">
        <v>3.003876</v>
      </c>
      <c r="V6118">
        <v>4.0423059999999997E-2</v>
      </c>
      <c r="W6118">
        <v>7.7434500000000003E-2</v>
      </c>
      <c r="X6118">
        <v>0.9961776</v>
      </c>
      <c r="Y6118">
        <v>0.13884569999999999</v>
      </c>
      <c r="Z6118">
        <v>-5.0803769999999998E-2</v>
      </c>
      <c r="AA6118">
        <v>0.98900999999999994</v>
      </c>
      <c r="AB6118">
        <v>33</v>
      </c>
      <c r="AC6118">
        <v>2.9397999999999902</v>
      </c>
      <c r="AD6118">
        <v>-1.109781767326</v>
      </c>
      <c r="AE6118">
        <v>21.304579999999898</v>
      </c>
      <c r="AF6118">
        <v>3.0239011219365599</v>
      </c>
      <c r="AG6118">
        <v>-1.109781767326</v>
      </c>
      <c r="AH6118">
        <v>21.235115909253</v>
      </c>
      <c r="AI6118">
        <v>92.961823860188602</v>
      </c>
      <c r="AJ6118">
        <v>81.895513275265898</v>
      </c>
      <c r="AK6118">
        <v>21.478029268202199</v>
      </c>
      <c r="AL6118">
        <v>85.558884025737399</v>
      </c>
      <c r="AM6118">
        <v>87.676317171753496</v>
      </c>
      <c r="AN6118">
        <v>0.99999996815588599</v>
      </c>
    </row>
    <row r="6119" spans="1:40" x14ac:dyDescent="0.25">
      <c r="A6119" t="str">
        <f>"20190312151437624"</f>
        <v>20190312151437624</v>
      </c>
      <c r="B6119" t="str">
        <f>"1552374877616496"</f>
        <v>1552374877616496</v>
      </c>
      <c r="C6119" t="s">
        <v>40</v>
      </c>
      <c r="D6119">
        <v>4.3645160000000001</v>
      </c>
      <c r="E6119">
        <v>0.53788210000000003</v>
      </c>
      <c r="F6119" t="s">
        <v>42</v>
      </c>
      <c r="G6119">
        <v>-185.42359999999999</v>
      </c>
      <c r="H6119" s="1">
        <v>-3.9966979999999997E-6</v>
      </c>
      <c r="I6119">
        <v>77.056919999999906</v>
      </c>
      <c r="J6119">
        <v>-188.40960000000001</v>
      </c>
      <c r="K6119">
        <v>1.1097410000000001</v>
      </c>
      <c r="L6119">
        <v>55.57864</v>
      </c>
      <c r="M6119">
        <v>-4.1367790000000002E-3</v>
      </c>
      <c r="N6119">
        <v>0</v>
      </c>
      <c r="O6119">
        <v>0.999919</v>
      </c>
      <c r="P6119">
        <v>3.7347400000000003E-2</v>
      </c>
      <c r="Q6119">
        <v>6.5388959999999996E-2</v>
      </c>
      <c r="R6119">
        <v>0.99716070000000001</v>
      </c>
      <c r="S6119">
        <v>0.41082760000000001</v>
      </c>
      <c r="T6119">
        <v>-0.15275899999999901</v>
      </c>
      <c r="U6119">
        <v>3.003571</v>
      </c>
      <c r="V6119">
        <v>4.1501410000000002E-2</v>
      </c>
      <c r="W6119">
        <v>7.7371280000000001E-2</v>
      </c>
      <c r="X6119">
        <v>0.99613819999999997</v>
      </c>
      <c r="Y6119">
        <v>0.13944409999999999</v>
      </c>
      <c r="Z6119">
        <v>-5.0311069999999999E-2</v>
      </c>
      <c r="AA6119">
        <v>0.98895100000000002</v>
      </c>
      <c r="AB6119">
        <v>33</v>
      </c>
      <c r="AC6119">
        <v>2.98600000000001</v>
      </c>
      <c r="AD6119">
        <v>-1.109744996698</v>
      </c>
      <c r="AE6119">
        <v>21.478279999999899</v>
      </c>
      <c r="AF6119">
        <v>3.0667998683497899</v>
      </c>
      <c r="AG6119">
        <v>-1.109744996698</v>
      </c>
      <c r="AH6119">
        <v>21.409671199039199</v>
      </c>
      <c r="AI6119">
        <v>92.937275242071493</v>
      </c>
      <c r="AJ6119">
        <v>81.8481953949765</v>
      </c>
      <c r="AK6119">
        <v>21.656657550074002</v>
      </c>
      <c r="AL6119">
        <v>85.5625172964168</v>
      </c>
      <c r="AM6119">
        <v>87.614305643206606</v>
      </c>
      <c r="AN6119">
        <v>0.99999999775003301</v>
      </c>
    </row>
    <row r="6120" spans="1:40" x14ac:dyDescent="0.25">
      <c r="A6120" t="str">
        <f>"20190312151437645"</f>
        <v>20190312151437645</v>
      </c>
      <c r="B6120" t="str">
        <f>"1552374877636992"</f>
        <v>1552374877636992</v>
      </c>
      <c r="C6120" t="s">
        <v>40</v>
      </c>
      <c r="D6120">
        <v>4.3572949999999997</v>
      </c>
      <c r="E6120">
        <v>0.53782079999999999</v>
      </c>
      <c r="F6120" t="s">
        <v>42</v>
      </c>
      <c r="G6120">
        <v>-185.40770000000001</v>
      </c>
      <c r="H6120" s="1">
        <v>-4.1231560000000002E-6</v>
      </c>
      <c r="I6120">
        <v>77.345089999999999</v>
      </c>
      <c r="J6120">
        <v>-188.41069999999999</v>
      </c>
      <c r="K6120">
        <v>1.1096999999999999</v>
      </c>
      <c r="L6120">
        <v>55.89105</v>
      </c>
      <c r="M6120">
        <v>-3.9154589999999996E-3</v>
      </c>
      <c r="N6120">
        <v>0</v>
      </c>
      <c r="O6120">
        <v>0.99991980000000003</v>
      </c>
      <c r="P6120">
        <v>3.766506E-2</v>
      </c>
      <c r="Q6120">
        <v>6.5185859999999998E-2</v>
      </c>
      <c r="R6120">
        <v>0.99716199999999999</v>
      </c>
      <c r="S6120">
        <v>0.41416930000000002</v>
      </c>
      <c r="T6120">
        <v>-0.1531082</v>
      </c>
      <c r="U6120">
        <v>3.0030519999999998</v>
      </c>
      <c r="V6120">
        <v>4.1605650000000001E-2</v>
      </c>
      <c r="W6120">
        <v>7.7165880000000006E-2</v>
      </c>
      <c r="X6120">
        <v>0.99614979999999997</v>
      </c>
      <c r="Y6120">
        <v>0.14032709999999901</v>
      </c>
      <c r="Z6120">
        <v>-5.0427529999999998E-2</v>
      </c>
      <c r="AA6120">
        <v>0.98882020000000004</v>
      </c>
      <c r="AB6120">
        <v>33</v>
      </c>
      <c r="AC6120">
        <v>3.0029999999999801</v>
      </c>
      <c r="AD6120">
        <v>-1.1097041231560001</v>
      </c>
      <c r="AE6120">
        <v>21.454039999999999</v>
      </c>
      <c r="AF6120">
        <v>3.0789063283269802</v>
      </c>
      <c r="AG6120">
        <v>-1.1097041231560001</v>
      </c>
      <c r="AH6120">
        <v>21.385998945666</v>
      </c>
      <c r="AI6120">
        <v>92.940113440892901</v>
      </c>
      <c r="AJ6120">
        <v>81.807514959615503</v>
      </c>
      <c r="AK6120">
        <v>21.6349730372743</v>
      </c>
      <c r="AL6120">
        <v>85.5743212096191</v>
      </c>
      <c r="AM6120">
        <v>87.608348210460207</v>
      </c>
      <c r="AN6120">
        <v>1.0000000135940601</v>
      </c>
    </row>
    <row r="6121" spans="1:40" x14ac:dyDescent="0.25">
      <c r="A6121" t="str">
        <f>"20190312151437669"</f>
        <v>20190312151437669</v>
      </c>
      <c r="B6121" t="str">
        <f>"1552374877666857"</f>
        <v>1552374877666857</v>
      </c>
      <c r="C6121" t="s">
        <v>40</v>
      </c>
      <c r="D6121">
        <v>4.6569649999999996</v>
      </c>
      <c r="E6121">
        <v>0.51337359999999999</v>
      </c>
      <c r="F6121" t="s">
        <v>42</v>
      </c>
      <c r="G6121">
        <v>-185.41040000000001</v>
      </c>
      <c r="H6121" s="1">
        <v>-4.2346650000000004E-6</v>
      </c>
      <c r="I6121">
        <v>77.606129999999993</v>
      </c>
      <c r="J6121">
        <v>-188.4117</v>
      </c>
      <c r="K6121">
        <v>1.1096520000000001</v>
      </c>
      <c r="L6121">
        <v>56.24091</v>
      </c>
      <c r="M6121">
        <v>-3.6073139999999999E-3</v>
      </c>
      <c r="N6121">
        <v>0</v>
      </c>
      <c r="O6121">
        <v>0.99992099999999995</v>
      </c>
      <c r="P6121">
        <v>3.7874419999999999E-2</v>
      </c>
      <c r="Q6121">
        <v>6.5032240000000005E-2</v>
      </c>
      <c r="R6121">
        <v>0.9971641</v>
      </c>
      <c r="S6121">
        <v>0.41490169999999998</v>
      </c>
      <c r="T6121">
        <v>-0.15345690000000001</v>
      </c>
      <c r="U6121">
        <v>3.0028990000000002</v>
      </c>
      <c r="V6121">
        <v>4.151651E-2</v>
      </c>
      <c r="W6121">
        <v>7.7010419999999996E-2</v>
      </c>
      <c r="X6121">
        <v>0.99616550000000004</v>
      </c>
      <c r="Y6121">
        <v>0.14026459999999999</v>
      </c>
      <c r="Z6121">
        <v>-5.054409E-2</v>
      </c>
      <c r="AA6121">
        <v>0.98882309999999995</v>
      </c>
      <c r="AB6121">
        <v>33</v>
      </c>
      <c r="AC6121">
        <v>3.0012999999999801</v>
      </c>
      <c r="AD6121">
        <v>-1.1096562346650001</v>
      </c>
      <c r="AE6121">
        <v>21.365220000000001</v>
      </c>
      <c r="AF6121">
        <v>3.0702354101402198</v>
      </c>
      <c r="AG6121">
        <v>-1.1096562346650001</v>
      </c>
      <c r="AH6121">
        <v>21.297914108518899</v>
      </c>
      <c r="AI6121">
        <v>92.952046329182195</v>
      </c>
      <c r="AJ6121">
        <v>81.796945231032694</v>
      </c>
      <c r="AK6121">
        <v>21.546666280579501</v>
      </c>
      <c r="AL6121">
        <v>85.583254778075698</v>
      </c>
      <c r="AM6121">
        <v>87.613503956646099</v>
      </c>
      <c r="AN6121">
        <v>0.99999996439070205</v>
      </c>
    </row>
    <row r="6122" spans="1:40" x14ac:dyDescent="0.25">
      <c r="A6122" t="str">
        <f>"20190312151437692"</f>
        <v>20190312151437692</v>
      </c>
      <c r="B6122" t="str">
        <f>"1552374877686377"</f>
        <v>1552374877686377</v>
      </c>
      <c r="C6122" t="s">
        <v>40</v>
      </c>
      <c r="D6122">
        <v>4.6587800000000001</v>
      </c>
      <c r="E6122">
        <v>0.50001879999999999</v>
      </c>
      <c r="F6122" t="s">
        <v>41</v>
      </c>
      <c r="G6122">
        <v>-188.33920000000001</v>
      </c>
      <c r="H6122">
        <v>1.0506040000000001</v>
      </c>
      <c r="I6122">
        <v>57.2271</v>
      </c>
      <c r="J6122">
        <v>-188.4126</v>
      </c>
      <c r="K6122">
        <v>1.109607</v>
      </c>
      <c r="L6122">
        <v>56.579009999999997</v>
      </c>
      <c r="M6122">
        <v>-3.2558460000000002E-3</v>
      </c>
      <c r="N6122">
        <v>0</v>
      </c>
      <c r="O6122">
        <v>0.99992219999999998</v>
      </c>
      <c r="P6122">
        <v>3.819173E-2</v>
      </c>
      <c r="Q6122">
        <v>6.4396720000000005E-2</v>
      </c>
      <c r="R6122">
        <v>0.99719329999999995</v>
      </c>
      <c r="S6122">
        <v>0.2210541</v>
      </c>
      <c r="T6122">
        <v>-0.18034449999999999</v>
      </c>
      <c r="U6122">
        <v>3.0119020000000001</v>
      </c>
      <c r="V6122">
        <v>4.1491439999999997E-2</v>
      </c>
      <c r="W6122">
        <v>7.6372880000000004E-2</v>
      </c>
      <c r="X6122">
        <v>0.99621559999999998</v>
      </c>
      <c r="Y6122">
        <v>7.6313480000000003E-2</v>
      </c>
      <c r="Z6122">
        <v>-5.960273E-2</v>
      </c>
      <c r="AA6122">
        <v>0.99530079999999999</v>
      </c>
      <c r="AB6122">
        <v>33</v>
      </c>
      <c r="AC6122">
        <v>7.3399999999992305E-2</v>
      </c>
      <c r="AD6122">
        <v>-5.9002999999999903E-2</v>
      </c>
      <c r="AE6122">
        <v>0.64809000000000305</v>
      </c>
      <c r="AF6122">
        <v>7.4896921603136601E-2</v>
      </c>
      <c r="AG6122">
        <v>-5.9002999999999903E-2</v>
      </c>
      <c r="AH6122">
        <v>0.64258890255547996</v>
      </c>
      <c r="AI6122">
        <v>95.211149860592997</v>
      </c>
      <c r="AJ6122">
        <v>83.351889606269694</v>
      </c>
      <c r="AK6122">
        <v>0.64962404555410602</v>
      </c>
      <c r="AL6122">
        <v>85.619890918971393</v>
      </c>
      <c r="AM6122">
        <v>87.615063199020298</v>
      </c>
      <c r="AN6122">
        <v>0.99999993903806195</v>
      </c>
    </row>
    <row r="6123" spans="1:40" x14ac:dyDescent="0.25">
      <c r="A6123" t="str">
        <f>"20190312151437715"</f>
        <v>20190312151437715</v>
      </c>
      <c r="B6123" t="str">
        <f>"1552374877706873"</f>
        <v>1552374877706873</v>
      </c>
      <c r="C6123" t="s">
        <v>40</v>
      </c>
      <c r="D6123">
        <v>4.6227910000000003</v>
      </c>
      <c r="E6123">
        <v>0.49609710000000001</v>
      </c>
      <c r="F6123" t="s">
        <v>41</v>
      </c>
      <c r="G6123">
        <v>-188.37629999999999</v>
      </c>
      <c r="H6123">
        <v>1.042513</v>
      </c>
      <c r="I6123">
        <v>57.519739999999999</v>
      </c>
      <c r="J6123">
        <v>-188.41329999999999</v>
      </c>
      <c r="K6123">
        <v>1.1095630000000001</v>
      </c>
      <c r="L6123">
        <v>56.93338</v>
      </c>
      <c r="M6123">
        <v>-2.8397359999999998E-3</v>
      </c>
      <c r="N6123">
        <v>0</v>
      </c>
      <c r="O6123">
        <v>0.99992340000000002</v>
      </c>
      <c r="P6123">
        <v>3.8175149999999998E-2</v>
      </c>
      <c r="Q6123">
        <v>6.3883110000000007E-2</v>
      </c>
      <c r="R6123">
        <v>0.99722699999999997</v>
      </c>
      <c r="S6123">
        <v>0.1156464</v>
      </c>
      <c r="T6123">
        <v>-0.21525630000000001</v>
      </c>
      <c r="U6123">
        <v>3.0179140000000002</v>
      </c>
      <c r="V6123">
        <v>4.1067430000000002E-2</v>
      </c>
      <c r="W6123">
        <v>7.5859850000000006E-2</v>
      </c>
      <c r="X6123">
        <v>0.99627239999999995</v>
      </c>
      <c r="Y6123">
        <v>4.1032689999999997E-2</v>
      </c>
      <c r="Z6123">
        <v>-7.1089100000000002E-2</v>
      </c>
      <c r="AA6123">
        <v>0.99662569999999995</v>
      </c>
      <c r="AB6123">
        <v>33</v>
      </c>
      <c r="AC6123">
        <v>3.7000000000006097E-2</v>
      </c>
      <c r="AD6123">
        <v>-6.7049999999999804E-2</v>
      </c>
      <c r="AE6123">
        <v>0.58635999999999899</v>
      </c>
      <c r="AF6123">
        <v>3.8167980958397497E-2</v>
      </c>
      <c r="AG6123">
        <v>-6.7049999999999804E-2</v>
      </c>
      <c r="AH6123">
        <v>0.57871539116502702</v>
      </c>
      <c r="AI6123">
        <v>96.594625810926203</v>
      </c>
      <c r="AJ6123">
        <v>86.226639718964606</v>
      </c>
      <c r="AK6123">
        <v>0.58383559436003096</v>
      </c>
      <c r="AL6123">
        <v>85.649371045292398</v>
      </c>
      <c r="AM6123">
        <v>87.639542102067395</v>
      </c>
      <c r="AN6123">
        <v>0.99999997282529296</v>
      </c>
    </row>
    <row r="6124" spans="1:40" x14ac:dyDescent="0.25">
      <c r="A6124" t="str">
        <f>"20190312151437737"</f>
        <v>20190312151437737</v>
      </c>
      <c r="B6124" t="str">
        <f>"1552374877726393"</f>
        <v>1552374877726393</v>
      </c>
      <c r="C6124" t="s">
        <v>40</v>
      </c>
      <c r="D6124">
        <v>4.6655490000000004</v>
      </c>
      <c r="E6124">
        <v>0.49390849999999997</v>
      </c>
      <c r="F6124" t="s">
        <v>41</v>
      </c>
      <c r="G6124">
        <v>-188.3886</v>
      </c>
      <c r="H6124">
        <v>1.038583</v>
      </c>
      <c r="I6124">
        <v>57.81673</v>
      </c>
      <c r="J6124">
        <v>-188.41380000000001</v>
      </c>
      <c r="K6124">
        <v>1.109526</v>
      </c>
      <c r="L6124">
        <v>57.26144</v>
      </c>
      <c r="M6124">
        <v>-2.4119889999999998E-3</v>
      </c>
      <c r="N6124">
        <v>0</v>
      </c>
      <c r="O6124">
        <v>0.99992440000000005</v>
      </c>
      <c r="P6124">
        <v>3.8291730000000003E-2</v>
      </c>
      <c r="Q6124">
        <v>6.4162129999999998E-2</v>
      </c>
      <c r="R6124">
        <v>0.9972046</v>
      </c>
      <c r="S6124">
        <v>8.4228520000000001E-2</v>
      </c>
      <c r="T6124">
        <v>-0.2427349</v>
      </c>
      <c r="U6124">
        <v>3.0206599999999999</v>
      </c>
      <c r="V6124">
        <v>4.0764189999999999E-2</v>
      </c>
      <c r="W6124">
        <v>7.6143230000000006E-2</v>
      </c>
      <c r="X6124">
        <v>0.99626329999999996</v>
      </c>
      <c r="Y6124">
        <v>3.019496E-2</v>
      </c>
      <c r="Z6124">
        <v>-8.0065949999999997E-2</v>
      </c>
      <c r="AA6124">
        <v>0.99633210000000005</v>
      </c>
      <c r="AB6124">
        <v>33</v>
      </c>
      <c r="AC6124">
        <v>2.5200000000012299E-2</v>
      </c>
      <c r="AD6124">
        <v>-7.0942999999999895E-2</v>
      </c>
      <c r="AE6124">
        <v>0.55529000000000595</v>
      </c>
      <c r="AF6124">
        <v>2.6114014602399E-2</v>
      </c>
      <c r="AG6124">
        <v>-7.0942999999999895E-2</v>
      </c>
      <c r="AH6124">
        <v>0.54632862592506604</v>
      </c>
      <c r="AI6124">
        <v>97.390345899476998</v>
      </c>
      <c r="AJ6124">
        <v>87.263396404121096</v>
      </c>
      <c r="AK6124">
        <v>0.55153405925003796</v>
      </c>
      <c r="AL6124">
        <v>85.633087749701502</v>
      </c>
      <c r="AM6124">
        <v>87.656930738610697</v>
      </c>
      <c r="AN6124">
        <v>1.00000003679403</v>
      </c>
    </row>
    <row r="6125" spans="1:40" x14ac:dyDescent="0.25">
      <c r="A6125" t="str">
        <f>"20190312151437761"</f>
        <v>20190312151437761</v>
      </c>
      <c r="B6125" t="str">
        <f>"1552374877756297"</f>
        <v>1552374877756297</v>
      </c>
      <c r="C6125" t="s">
        <v>40</v>
      </c>
      <c r="D6125">
        <v>4.4866380000000001</v>
      </c>
      <c r="E6125">
        <v>0.49191780000000002</v>
      </c>
      <c r="F6125" t="s">
        <v>41</v>
      </c>
      <c r="G6125">
        <v>-188.3947</v>
      </c>
      <c r="H6125">
        <v>1.0388630000000001</v>
      </c>
      <c r="I6125">
        <v>58.115960000000001</v>
      </c>
      <c r="J6125">
        <v>-188.41419999999999</v>
      </c>
      <c r="K6125">
        <v>1.109491</v>
      </c>
      <c r="L6125">
        <v>57.611330000000002</v>
      </c>
      <c r="M6125">
        <v>-1.9138250000000001E-3</v>
      </c>
      <c r="N6125">
        <v>0</v>
      </c>
      <c r="O6125">
        <v>0.99992539999999996</v>
      </c>
      <c r="P6125">
        <v>3.8628620000000002E-2</v>
      </c>
      <c r="Q6125">
        <v>6.4087329999999998E-2</v>
      </c>
      <c r="R6125">
        <v>0.99719639999999998</v>
      </c>
      <c r="S6125">
        <v>6.6864010000000001E-2</v>
      </c>
      <c r="T6125">
        <v>-0.2499063</v>
      </c>
      <c r="U6125">
        <v>3.0219119999999999</v>
      </c>
      <c r="V6125">
        <v>4.0610960000000002E-2</v>
      </c>
      <c r="W6125">
        <v>7.6075710000000005E-2</v>
      </c>
      <c r="X6125">
        <v>0.99627469999999996</v>
      </c>
      <c r="Y6125">
        <v>2.395922E-2</v>
      </c>
      <c r="Z6125">
        <v>-8.2394690000000007E-2</v>
      </c>
      <c r="AA6125">
        <v>0.99631170000000002</v>
      </c>
      <c r="AB6125">
        <v>33</v>
      </c>
      <c r="AC6125">
        <v>1.9499999999993599E-2</v>
      </c>
      <c r="AD6125">
        <v>-7.0628000000000093E-2</v>
      </c>
      <c r="AE6125">
        <v>0.50462999999999802</v>
      </c>
      <c r="AF6125">
        <v>2.0073184876564999E-2</v>
      </c>
      <c r="AG6125">
        <v>-7.0628000000000093E-2</v>
      </c>
      <c r="AH6125">
        <v>0.49491148923195699</v>
      </c>
      <c r="AI6125">
        <v>98.115164077352205</v>
      </c>
      <c r="AJ6125">
        <v>87.677405431567493</v>
      </c>
      <c r="AK6125">
        <v>0.50032852138258299</v>
      </c>
      <c r="AL6125">
        <v>85.636967544311901</v>
      </c>
      <c r="AM6125">
        <v>87.665755106849701</v>
      </c>
      <c r="AN6125">
        <v>1.0000000207921</v>
      </c>
    </row>
    <row r="6126" spans="1:40" x14ac:dyDescent="0.25">
      <c r="A6126" t="str">
        <f>"20190312151437783"</f>
        <v>20190312151437783</v>
      </c>
      <c r="B6126" t="str">
        <f>"1552374877776793"</f>
        <v>1552374877776793</v>
      </c>
      <c r="C6126" t="s">
        <v>40</v>
      </c>
      <c r="D6126">
        <v>4.8438309999999998</v>
      </c>
      <c r="E6126">
        <v>0.49061110000000002</v>
      </c>
      <c r="F6126" t="s">
        <v>41</v>
      </c>
      <c r="G6126">
        <v>-188.40029999999999</v>
      </c>
      <c r="H6126">
        <v>1.0410809999999999</v>
      </c>
      <c r="I6126">
        <v>58.417430000000003</v>
      </c>
      <c r="J6126">
        <v>-188.4143</v>
      </c>
      <c r="K6126">
        <v>1.1094630000000001</v>
      </c>
      <c r="L6126">
        <v>57.943210000000001</v>
      </c>
      <c r="M6126">
        <v>-1.4059739999999999E-3</v>
      </c>
      <c r="N6126">
        <v>0</v>
      </c>
      <c r="O6126">
        <v>0.99992599999999998</v>
      </c>
      <c r="P6126">
        <v>3.8956409999999997E-2</v>
      </c>
      <c r="Q6126">
        <v>6.3454289999999997E-2</v>
      </c>
      <c r="R6126">
        <v>0.99722420000000001</v>
      </c>
      <c r="S6126">
        <v>5.1879880000000003E-2</v>
      </c>
      <c r="T6126">
        <v>-0.25653710000000002</v>
      </c>
      <c r="U6126">
        <v>3.022888</v>
      </c>
      <c r="V6126">
        <v>4.0437939999999999E-2</v>
      </c>
      <c r="W6126">
        <v>7.5454279999999999E-2</v>
      </c>
      <c r="X6126">
        <v>0.99632889999999996</v>
      </c>
      <c r="Y6126">
        <v>1.8504240000000002E-2</v>
      </c>
      <c r="Z6126">
        <v>-8.454739E-2</v>
      </c>
      <c r="AA6126">
        <v>0.99624760000000001</v>
      </c>
      <c r="AB6126">
        <v>33</v>
      </c>
      <c r="AC6126">
        <v>1.4000000000009999E-2</v>
      </c>
      <c r="AD6126">
        <v>-6.8381999999999901E-2</v>
      </c>
      <c r="AE6126">
        <v>0.47422000000000197</v>
      </c>
      <c r="AF6126">
        <v>1.4368271903184E-2</v>
      </c>
      <c r="AG6126">
        <v>-6.8381999999999901E-2</v>
      </c>
      <c r="AH6126">
        <v>0.46454874628828902</v>
      </c>
      <c r="AI6126">
        <v>98.369909023582196</v>
      </c>
      <c r="AJ6126">
        <v>88.228433545160698</v>
      </c>
      <c r="AK6126">
        <v>0.46977450211724497</v>
      </c>
      <c r="AL6126">
        <v>85.672675085463098</v>
      </c>
      <c r="AM6126">
        <v>87.675815357863101</v>
      </c>
      <c r="AN6126">
        <v>0.99999992616848299</v>
      </c>
    </row>
    <row r="6127" spans="1:40" x14ac:dyDescent="0.25">
      <c r="A6127" t="str">
        <f>"20190312151437804"</f>
        <v>20190312151437804</v>
      </c>
      <c r="B6127" t="str">
        <f>"1552374877796313"</f>
        <v>1552374877796313</v>
      </c>
      <c r="C6127" t="s">
        <v>40</v>
      </c>
      <c r="D6127">
        <v>4.5156340000000004</v>
      </c>
      <c r="E6127">
        <v>0.48973539999999999</v>
      </c>
      <c r="F6127" t="s">
        <v>41</v>
      </c>
      <c r="G6127">
        <v>-188.4033</v>
      </c>
      <c r="H6127">
        <v>1.0450060000000001</v>
      </c>
      <c r="I6127">
        <v>58.720129999999997</v>
      </c>
      <c r="J6127">
        <v>-188.41419999999999</v>
      </c>
      <c r="K6127">
        <v>1.109434</v>
      </c>
      <c r="L6127">
        <v>58.250639999999997</v>
      </c>
      <c r="M6127">
        <v>-9.0679339999999995E-4</v>
      </c>
      <c r="N6127">
        <v>0</v>
      </c>
      <c r="O6127">
        <v>0.99992639999999999</v>
      </c>
      <c r="P6127">
        <v>3.9480510000000003E-2</v>
      </c>
      <c r="Q6127">
        <v>6.3539330000000005E-2</v>
      </c>
      <c r="R6127">
        <v>0.99719809999999998</v>
      </c>
      <c r="S6127">
        <v>4.244995E-2</v>
      </c>
      <c r="T6127">
        <v>-0.25077120000000003</v>
      </c>
      <c r="U6127">
        <v>3.0226440000000001</v>
      </c>
      <c r="V6127">
        <v>4.0469829999999998E-2</v>
      </c>
      <c r="W6127">
        <v>7.5553199999999904E-2</v>
      </c>
      <c r="X6127">
        <v>0.99632019999999999</v>
      </c>
      <c r="Y6127">
        <v>1.4901289999999999E-2</v>
      </c>
      <c r="Z6127">
        <v>-8.2671439999999999E-2</v>
      </c>
      <c r="AA6127">
        <v>0.99646539999999995</v>
      </c>
      <c r="AB6127">
        <v>33</v>
      </c>
      <c r="AC6127">
        <v>1.08999999999923E-2</v>
      </c>
      <c r="AD6127">
        <v>-6.4428000000000096E-2</v>
      </c>
      <c r="AE6127">
        <v>0.46949000000000002</v>
      </c>
      <c r="AF6127">
        <v>1.11165234447327E-2</v>
      </c>
      <c r="AG6127">
        <v>-6.4428000000000096E-2</v>
      </c>
      <c r="AH6127">
        <v>0.460806682497724</v>
      </c>
      <c r="AI6127">
        <v>97.956967070463804</v>
      </c>
      <c r="AJ6127">
        <v>88.618061791260601</v>
      </c>
      <c r="AK6127">
        <v>0.46542168289848201</v>
      </c>
      <c r="AL6127">
        <v>85.666991556415894</v>
      </c>
      <c r="AM6127">
        <v>87.673964192657806</v>
      </c>
      <c r="AN6127">
        <v>1.00000001704925</v>
      </c>
    </row>
    <row r="6128" spans="1:40" x14ac:dyDescent="0.25">
      <c r="A6128" t="str">
        <f>"20190312151437836"</f>
        <v>20190312151437836</v>
      </c>
      <c r="B6128" t="str">
        <f>"1552374877826569"</f>
        <v>1552374877826569</v>
      </c>
      <c r="C6128" t="s">
        <v>40</v>
      </c>
      <c r="D6128">
        <v>4.7718210000000001</v>
      </c>
      <c r="E6128">
        <v>0.4886086</v>
      </c>
      <c r="F6128" t="s">
        <v>41</v>
      </c>
      <c r="G6128">
        <v>-188.40459999999999</v>
      </c>
      <c r="H6128">
        <v>1.045488</v>
      </c>
      <c r="I6128">
        <v>59.028030000000001</v>
      </c>
      <c r="J6128">
        <v>-188.41370000000001</v>
      </c>
      <c r="K6128">
        <v>1.10938799999999</v>
      </c>
      <c r="L6128">
        <v>58.732599999999998</v>
      </c>
      <c r="M6128" s="1">
        <v>-7.1813739999999996E-5</v>
      </c>
      <c r="N6128">
        <v>0</v>
      </c>
      <c r="O6128">
        <v>0.99992639999999999</v>
      </c>
      <c r="P6128">
        <v>4.02707E-2</v>
      </c>
      <c r="Q6128">
        <v>6.3684340000000006E-2</v>
      </c>
      <c r="R6128">
        <v>0.99715730000000002</v>
      </c>
      <c r="S6128">
        <v>3.7231449999999999E-2</v>
      </c>
      <c r="T6128">
        <v>-0.2486438</v>
      </c>
      <c r="U6128">
        <v>3.0227970000000002</v>
      </c>
      <c r="V6128">
        <v>4.0435550000000001E-2</v>
      </c>
      <c r="W6128">
        <v>7.5722460000000005E-2</v>
      </c>
      <c r="X6128">
        <v>0.99630870000000005</v>
      </c>
      <c r="Y6128">
        <v>1.2346319999999999E-2</v>
      </c>
      <c r="Z6128">
        <v>-8.1973130000000005E-2</v>
      </c>
      <c r="AA6128">
        <v>0.9965581</v>
      </c>
      <c r="AB6128">
        <v>33</v>
      </c>
      <c r="AC6128">
        <v>9.1000000000178698E-3</v>
      </c>
      <c r="AD6128">
        <v>-6.3899999999999804E-2</v>
      </c>
      <c r="AE6128">
        <v>0.29543000000000302</v>
      </c>
      <c r="AF6128">
        <v>8.7139356612218593E-3</v>
      </c>
      <c r="AG6128">
        <v>-6.3899999999999804E-2</v>
      </c>
      <c r="AH6128">
        <v>0.28223779542949801</v>
      </c>
      <c r="AI6128">
        <v>102.751095568483</v>
      </c>
      <c r="AJ6128">
        <v>88.231586291469497</v>
      </c>
      <c r="AK6128">
        <v>0.289512203272351</v>
      </c>
      <c r="AL6128">
        <v>85.657265629935097</v>
      </c>
      <c r="AM6128">
        <v>87.6759055052935</v>
      </c>
      <c r="AN6128">
        <v>0.99999997517397099</v>
      </c>
    </row>
    <row r="6129" spans="1:40" x14ac:dyDescent="0.25">
      <c r="A6129" t="str">
        <f>"20190312151437871"</f>
        <v>20190312151437871</v>
      </c>
      <c r="B6129" t="str">
        <f>"1552374877866289"</f>
        <v>1552374877866289</v>
      </c>
      <c r="C6129" t="s">
        <v>40</v>
      </c>
      <c r="D6129">
        <v>4.571218</v>
      </c>
      <c r="E6129">
        <v>0.48757739999999999</v>
      </c>
      <c r="F6129" t="s">
        <v>41</v>
      </c>
      <c r="G6129">
        <v>-188.40469999999999</v>
      </c>
      <c r="H6129">
        <v>1.0384040000000001</v>
      </c>
      <c r="I6129">
        <v>59.611190000000001</v>
      </c>
      <c r="J6129">
        <v>-188.4127</v>
      </c>
      <c r="K6129">
        <v>1.1093489999999999</v>
      </c>
      <c r="L6129">
        <v>59.245699999999999</v>
      </c>
      <c r="M6129">
        <v>8.7160880000000001E-4</v>
      </c>
      <c r="N6129">
        <v>0</v>
      </c>
      <c r="O6129">
        <v>0.99992559999999997</v>
      </c>
      <c r="P6129">
        <v>4.1433249999999998E-2</v>
      </c>
      <c r="Q6129">
        <v>6.3013379999999994E-2</v>
      </c>
      <c r="R6129">
        <v>0.99715229999999999</v>
      </c>
      <c r="S6129">
        <v>3.0517579999999999E-2</v>
      </c>
      <c r="T6129">
        <v>-0.24423719999999999</v>
      </c>
      <c r="U6129">
        <v>3.0229189999999999</v>
      </c>
      <c r="V6129">
        <v>4.0663530000000003E-2</v>
      </c>
      <c r="W6129">
        <v>7.5085319999999997E-2</v>
      </c>
      <c r="X6129">
        <v>0.99634769999999995</v>
      </c>
      <c r="Y6129">
        <v>9.1904689999999997E-3</v>
      </c>
      <c r="Z6129">
        <v>-8.0528939999999993E-2</v>
      </c>
      <c r="AA6129">
        <v>0.99670990000000004</v>
      </c>
      <c r="AB6129">
        <v>33</v>
      </c>
      <c r="AC6129">
        <v>8.0000000000097701E-3</v>
      </c>
      <c r="AD6129">
        <v>-7.09449999999998E-2</v>
      </c>
      <c r="AE6129">
        <v>0.36549000000000098</v>
      </c>
      <c r="AF6129">
        <v>7.4026235472102603E-3</v>
      </c>
      <c r="AG6129">
        <v>-7.09449999999998E-2</v>
      </c>
      <c r="AH6129">
        <v>0.35223166037569198</v>
      </c>
      <c r="AI6129">
        <v>101.38545875551399</v>
      </c>
      <c r="AJ6129">
        <v>88.796029132909695</v>
      </c>
      <c r="AK6129">
        <v>0.35938160001786201</v>
      </c>
      <c r="AL6129">
        <v>85.693875541587104</v>
      </c>
      <c r="AM6129">
        <v>87.662907882465007</v>
      </c>
      <c r="AN6129">
        <v>1.00000003362342</v>
      </c>
    </row>
    <row r="6130" spans="1:40" x14ac:dyDescent="0.25">
      <c r="A6130" t="str">
        <f>"20190312151437892"</f>
        <v>20190312151437892</v>
      </c>
      <c r="B6130" t="str">
        <f>"1552374877886785"</f>
        <v>1552374877886785</v>
      </c>
      <c r="C6130" t="s">
        <v>40</v>
      </c>
      <c r="D6130">
        <v>4.5926090000000004</v>
      </c>
      <c r="E6130">
        <v>0.48719020000000002</v>
      </c>
      <c r="F6130" t="s">
        <v>41</v>
      </c>
      <c r="G6130">
        <v>-188.40430000000001</v>
      </c>
      <c r="H6130">
        <v>1.031876</v>
      </c>
      <c r="I6130">
        <v>60.204279999999997</v>
      </c>
      <c r="J6130">
        <v>-188.4117</v>
      </c>
      <c r="K6130">
        <v>1.109332</v>
      </c>
      <c r="L6130">
        <v>59.57846</v>
      </c>
      <c r="M6130">
        <v>1.5095740000000001E-3</v>
      </c>
      <c r="N6130">
        <v>0</v>
      </c>
      <c r="O6130">
        <v>0.99992460000000005</v>
      </c>
      <c r="P6130">
        <v>4.2226380000000001E-2</v>
      </c>
      <c r="Q6130">
        <v>6.2254099999999903E-2</v>
      </c>
      <c r="R6130">
        <v>0.99716669999999996</v>
      </c>
      <c r="S6130">
        <v>2.6031490000000001E-2</v>
      </c>
      <c r="T6130">
        <v>-0.24431050000000001</v>
      </c>
      <c r="U6130">
        <v>3.0229189999999999</v>
      </c>
      <c r="V6130">
        <v>4.0822959999999998E-2</v>
      </c>
      <c r="W6130">
        <v>7.4349230000000002E-2</v>
      </c>
      <c r="X6130">
        <v>0.99639639999999996</v>
      </c>
      <c r="Y6130">
        <v>7.0734359999999998E-3</v>
      </c>
      <c r="Z6130">
        <v>-8.0554139999999996E-2</v>
      </c>
      <c r="AA6130">
        <v>0.99672510000000003</v>
      </c>
      <c r="AB6130">
        <v>33</v>
      </c>
      <c r="AC6130">
        <v>7.3999999999898496E-3</v>
      </c>
      <c r="AD6130">
        <v>-7.74559999999999E-2</v>
      </c>
      <c r="AE6130">
        <v>0.62582000000000404</v>
      </c>
      <c r="AF6130">
        <v>6.3578222392424201E-3</v>
      </c>
      <c r="AG6130">
        <v>-7.74559999999999E-2</v>
      </c>
      <c r="AH6130">
        <v>0.61638972097557798</v>
      </c>
      <c r="AI6130">
        <v>97.161912540561701</v>
      </c>
      <c r="AJ6130">
        <v>89.409037089647896</v>
      </c>
      <c r="AK6130">
        <v>0.62126978194981997</v>
      </c>
      <c r="AL6130">
        <v>85.736168697889994</v>
      </c>
      <c r="AM6130">
        <v>87.653869584176704</v>
      </c>
      <c r="AN6130">
        <v>1.0000000539988501</v>
      </c>
    </row>
    <row r="6131" spans="1:40" x14ac:dyDescent="0.25">
      <c r="A6131" t="str">
        <f>"20190312151437916"</f>
        <v>20190312151437916</v>
      </c>
      <c r="B6131" t="str">
        <f>"1552374877906305"</f>
        <v>1552374877906305</v>
      </c>
      <c r="C6131" t="s">
        <v>40</v>
      </c>
      <c r="D6131">
        <v>4.6138750000000002</v>
      </c>
      <c r="E6131">
        <v>0.48685869999999998</v>
      </c>
      <c r="F6131" t="s">
        <v>41</v>
      </c>
      <c r="G6131">
        <v>-188.40379999999999</v>
      </c>
      <c r="H6131">
        <v>1.033979</v>
      </c>
      <c r="I6131">
        <v>60.504060000000003</v>
      </c>
      <c r="J6131">
        <v>-188.41040000000001</v>
      </c>
      <c r="K6131">
        <v>1.1093249999999999</v>
      </c>
      <c r="L6131">
        <v>59.927120000000002</v>
      </c>
      <c r="M6131">
        <v>2.1930840000000001E-3</v>
      </c>
      <c r="N6131">
        <v>0</v>
      </c>
      <c r="O6131">
        <v>0.99992300000000001</v>
      </c>
      <c r="P6131">
        <v>4.315426E-2</v>
      </c>
      <c r="Q6131">
        <v>6.2007630000000001E-2</v>
      </c>
      <c r="R6131">
        <v>0.99714230000000004</v>
      </c>
      <c r="S6131">
        <v>2.5329589999999999E-2</v>
      </c>
      <c r="T6131">
        <v>-0.2460967</v>
      </c>
      <c r="U6131">
        <v>3.0228269999999999</v>
      </c>
      <c r="V6131">
        <v>4.1071780000000002E-2</v>
      </c>
      <c r="W6131">
        <v>7.4126220000000007E-2</v>
      </c>
      <c r="X6131">
        <v>0.99640269999999997</v>
      </c>
      <c r="Y6131">
        <v>6.1583230000000003E-3</v>
      </c>
      <c r="Z6131">
        <v>-8.1141829999999998E-2</v>
      </c>
      <c r="AA6131">
        <v>0.99668350000000006</v>
      </c>
      <c r="AB6131">
        <v>33</v>
      </c>
      <c r="AC6131">
        <v>6.6000000000201401E-3</v>
      </c>
      <c r="AD6131">
        <v>-7.5345999999999899E-2</v>
      </c>
      <c r="AE6131">
        <v>0.57694000000000001</v>
      </c>
      <c r="AF6131">
        <v>5.2451657364787404E-3</v>
      </c>
      <c r="AG6131">
        <v>-7.5345999999999899E-2</v>
      </c>
      <c r="AH6131">
        <v>0.56727924192880597</v>
      </c>
      <c r="AI6131">
        <v>97.565420830254993</v>
      </c>
      <c r="AJ6131">
        <v>89.470248030237897</v>
      </c>
      <c r="AK6131">
        <v>0.57228512981111401</v>
      </c>
      <c r="AL6131">
        <v>85.748981202315505</v>
      </c>
      <c r="AM6131">
        <v>87.639600718838395</v>
      </c>
      <c r="AN6131">
        <v>0.99999996408557201</v>
      </c>
    </row>
    <row r="6132" spans="1:40" x14ac:dyDescent="0.25">
      <c r="A6132" t="str">
        <f>"20190312151437937"</f>
        <v>20190312151437937</v>
      </c>
      <c r="B6132" t="str">
        <f>"1552374877926802"</f>
        <v>1552374877926802</v>
      </c>
      <c r="C6132" t="s">
        <v>40</v>
      </c>
      <c r="D6132">
        <v>4.7470850000000002</v>
      </c>
      <c r="E6132">
        <v>0.48668909999999999</v>
      </c>
      <c r="F6132" t="s">
        <v>41</v>
      </c>
      <c r="G6132">
        <v>-188.40289999999999</v>
      </c>
      <c r="H6132">
        <v>1.036619</v>
      </c>
      <c r="I6132">
        <v>60.805109999999999</v>
      </c>
      <c r="J6132">
        <v>-188.4091</v>
      </c>
      <c r="K6132">
        <v>1.1093150000000001</v>
      </c>
      <c r="L6132">
        <v>60.24973</v>
      </c>
      <c r="M6132">
        <v>2.834282E-3</v>
      </c>
      <c r="N6132">
        <v>0</v>
      </c>
      <c r="O6132">
        <v>0.99992110000000001</v>
      </c>
      <c r="P6132">
        <v>4.4181869999999998E-2</v>
      </c>
      <c r="Q6132">
        <v>6.233466E-2</v>
      </c>
      <c r="R6132">
        <v>0.99707690000000004</v>
      </c>
      <c r="S6132">
        <v>2.5650019999999999E-2</v>
      </c>
      <c r="T6132">
        <v>-0.2503377</v>
      </c>
      <c r="U6132">
        <v>3.0230410000000001</v>
      </c>
      <c r="V6132">
        <v>4.1462560000000002E-2</v>
      </c>
      <c r="W6132">
        <v>7.447761E-2</v>
      </c>
      <c r="X6132">
        <v>0.99636040000000003</v>
      </c>
      <c r="Y6132">
        <v>5.6211710000000003E-3</v>
      </c>
      <c r="Z6132">
        <v>-8.2524810000000004E-2</v>
      </c>
      <c r="AA6132">
        <v>0.99657320000000005</v>
      </c>
      <c r="AB6132">
        <v>33</v>
      </c>
      <c r="AC6132">
        <v>6.2000000000068597E-3</v>
      </c>
      <c r="AD6132">
        <v>-7.2696000000000094E-2</v>
      </c>
      <c r="AE6132">
        <v>0.55537999999999199</v>
      </c>
      <c r="AF6132">
        <v>4.5478438921952398E-3</v>
      </c>
      <c r="AG6132">
        <v>-7.2696000000000094E-2</v>
      </c>
      <c r="AH6132">
        <v>0.54604103367437495</v>
      </c>
      <c r="AI6132">
        <v>97.583097019441297</v>
      </c>
      <c r="AJ6132">
        <v>89.522808324018996</v>
      </c>
      <c r="AK6132">
        <v>0.55087766496405399</v>
      </c>
      <c r="AL6132">
        <v>85.728792609263806</v>
      </c>
      <c r="AM6132">
        <v>87.617067272807304</v>
      </c>
      <c r="AN6132">
        <v>1.0000000524806101</v>
      </c>
    </row>
    <row r="6133" spans="1:40" x14ac:dyDescent="0.25">
      <c r="A6133" t="str">
        <f>"20190312151437961"</f>
        <v>20190312151437961</v>
      </c>
      <c r="B6133" t="str">
        <f>"1552374877956672"</f>
        <v>1552374877956672</v>
      </c>
      <c r="C6133" t="s">
        <v>40</v>
      </c>
      <c r="D6133">
        <v>4.6298000000000004</v>
      </c>
      <c r="E6133">
        <v>0.48625040000000003</v>
      </c>
      <c r="F6133" t="s">
        <v>41</v>
      </c>
      <c r="G6133">
        <v>-188.40119999999999</v>
      </c>
      <c r="H6133">
        <v>1.0380100000000001</v>
      </c>
      <c r="I6133">
        <v>61.104950000000002</v>
      </c>
      <c r="J6133">
        <v>-188.40729999999999</v>
      </c>
      <c r="K6133">
        <v>1.10931</v>
      </c>
      <c r="L6133">
        <v>60.605469999999997</v>
      </c>
      <c r="M6133">
        <v>3.5472979999999999E-3</v>
      </c>
      <c r="N6133">
        <v>0</v>
      </c>
      <c r="O6133">
        <v>0.99991839999999999</v>
      </c>
      <c r="P6133">
        <v>4.5580420000000003E-2</v>
      </c>
      <c r="Q6133">
        <v>6.21325E-2</v>
      </c>
      <c r="R6133">
        <v>0.99702659999999999</v>
      </c>
      <c r="S6133">
        <v>2.742004E-2</v>
      </c>
      <c r="T6133">
        <v>-0.25207649999999998</v>
      </c>
      <c r="U6133">
        <v>3.0233460000000001</v>
      </c>
      <c r="V6133">
        <v>4.2151639999999997E-2</v>
      </c>
      <c r="W6133">
        <v>7.4303099999999997E-2</v>
      </c>
      <c r="X6133">
        <v>0.99634440000000002</v>
      </c>
      <c r="Y6133">
        <v>5.4902299999999996E-3</v>
      </c>
      <c r="Z6133">
        <v>-8.3085259999999994E-2</v>
      </c>
      <c r="AA6133">
        <v>0.9965273</v>
      </c>
      <c r="AB6133">
        <v>33</v>
      </c>
      <c r="AC6133">
        <v>6.1000000000035401E-3</v>
      </c>
      <c r="AD6133">
        <v>-7.1299999999999905E-2</v>
      </c>
      <c r="AE6133">
        <v>0.49948000000000498</v>
      </c>
      <c r="AF6133">
        <v>4.2416049552402198E-3</v>
      </c>
      <c r="AG6133">
        <v>-7.1299999999999905E-2</v>
      </c>
      <c r="AH6133">
        <v>0.48952487636031999</v>
      </c>
      <c r="AI6133">
        <v>98.286632904698706</v>
      </c>
      <c r="AJ6133">
        <v>89.503559487246505</v>
      </c>
      <c r="AK6133">
        <v>0.49470828352493001</v>
      </c>
      <c r="AL6133">
        <v>85.7388185853696</v>
      </c>
      <c r="AM6133">
        <v>87.577472464867498</v>
      </c>
      <c r="AN6133">
        <v>0.999999937417827</v>
      </c>
    </row>
    <row r="6134" spans="1:40" x14ac:dyDescent="0.25">
      <c r="A6134" t="str">
        <f>"20190312151437984"</f>
        <v>20190312151437984</v>
      </c>
      <c r="B6134" t="str">
        <f>"1552374877976191"</f>
        <v>1552374877976191</v>
      </c>
      <c r="C6134" t="s">
        <v>40</v>
      </c>
      <c r="D6134">
        <v>4.7092700000000001</v>
      </c>
      <c r="E6134">
        <v>0.48613499999999998</v>
      </c>
      <c r="F6134" t="s">
        <v>41</v>
      </c>
      <c r="G6134">
        <v>-188.3999</v>
      </c>
      <c r="H6134">
        <v>1.0413140000000001</v>
      </c>
      <c r="I6134">
        <v>61.406489999999998</v>
      </c>
      <c r="J6134">
        <v>-188.40539999999999</v>
      </c>
      <c r="K6134">
        <v>1.1093059999999999</v>
      </c>
      <c r="L6134">
        <v>60.940370000000001</v>
      </c>
      <c r="M6134">
        <v>4.2219290000000001E-3</v>
      </c>
      <c r="N6134">
        <v>0</v>
      </c>
      <c r="O6134">
        <v>0.99991549999999996</v>
      </c>
      <c r="P6134">
        <v>4.6841500000000001E-2</v>
      </c>
      <c r="Q6134">
        <v>6.2381480000000003E-2</v>
      </c>
      <c r="R6134">
        <v>0.99695259999999997</v>
      </c>
      <c r="S6134">
        <v>2.793884E-2</v>
      </c>
      <c r="T6134">
        <v>-0.25666939999999999</v>
      </c>
      <c r="U6134">
        <v>3.023682</v>
      </c>
      <c r="V6134">
        <v>4.2741889999999998E-2</v>
      </c>
      <c r="W6134">
        <v>7.4576039999999996E-2</v>
      </c>
      <c r="X6134">
        <v>0.99629889999999999</v>
      </c>
      <c r="Y6134">
        <v>4.9843559999999997E-3</v>
      </c>
      <c r="Z6134">
        <v>-8.4578749999999994E-2</v>
      </c>
      <c r="AA6134">
        <v>0.99640430000000002</v>
      </c>
      <c r="AB6134">
        <v>33</v>
      </c>
      <c r="AC6134">
        <v>5.4999999999836204E-3</v>
      </c>
      <c r="AD6134">
        <v>-6.7991999999999997E-2</v>
      </c>
      <c r="AE6134">
        <v>0.46612000000001003</v>
      </c>
      <c r="AF6134">
        <v>3.4583029458765601E-3</v>
      </c>
      <c r="AG6134">
        <v>-6.7991999999999997E-2</v>
      </c>
      <c r="AH6134">
        <v>0.45642876626950102</v>
      </c>
      <c r="AI6134">
        <v>98.472531848454807</v>
      </c>
      <c r="AJ6134">
        <v>89.565885443560404</v>
      </c>
      <c r="AK6134">
        <v>0.46147815831473998</v>
      </c>
      <c r="AL6134">
        <v>85.723136933034198</v>
      </c>
      <c r="AM6134">
        <v>87.543478999762002</v>
      </c>
      <c r="AN6134">
        <v>0.99999997652203099</v>
      </c>
    </row>
    <row r="6135" spans="1:40" x14ac:dyDescent="0.25">
      <c r="A6135" t="str">
        <f>"20190312151438008"</f>
        <v>20190312151438008</v>
      </c>
      <c r="B6135" t="str">
        <f>"1552374877996688"</f>
        <v>1552374877996688</v>
      </c>
      <c r="C6135" t="s">
        <v>40</v>
      </c>
      <c r="D6135">
        <v>4.6095699999999997</v>
      </c>
      <c r="E6135">
        <v>0.48587049999999998</v>
      </c>
      <c r="F6135" t="s">
        <v>41</v>
      </c>
      <c r="G6135">
        <v>-188.3974</v>
      </c>
      <c r="H6135">
        <v>1.0435840000000001</v>
      </c>
      <c r="I6135">
        <v>61.71011</v>
      </c>
      <c r="J6135">
        <v>-188.4032</v>
      </c>
      <c r="K6135">
        <v>1.1093</v>
      </c>
      <c r="L6135">
        <v>61.288939999999997</v>
      </c>
      <c r="M6135">
        <v>4.9262739999999996E-3</v>
      </c>
      <c r="N6135">
        <v>0</v>
      </c>
      <c r="O6135">
        <v>0.99991200000000002</v>
      </c>
      <c r="P6135">
        <v>4.8159519999999997E-2</v>
      </c>
      <c r="Q6135">
        <v>6.2450680000000001E-2</v>
      </c>
      <c r="R6135">
        <v>0.99688540000000003</v>
      </c>
      <c r="S6135">
        <v>3.091431E-2</v>
      </c>
      <c r="T6135">
        <v>-0.25817820000000002</v>
      </c>
      <c r="U6135">
        <v>3.0238649999999998</v>
      </c>
      <c r="V6135">
        <v>4.3358899999999999E-2</v>
      </c>
      <c r="W6135">
        <v>7.4667830000000004E-2</v>
      </c>
      <c r="X6135">
        <v>0.99626539999999997</v>
      </c>
      <c r="Y6135">
        <v>5.259339E-3</v>
      </c>
      <c r="Z6135">
        <v>-8.5066379999999997E-2</v>
      </c>
      <c r="AA6135">
        <v>0.99636139999999995</v>
      </c>
      <c r="AB6135">
        <v>33</v>
      </c>
      <c r="AC6135">
        <v>5.7999999999935803E-3</v>
      </c>
      <c r="AD6135">
        <v>-6.5715999999999802E-2</v>
      </c>
      <c r="AE6135">
        <v>0.42116999999999599</v>
      </c>
      <c r="AF6135">
        <v>3.6364570256998802E-3</v>
      </c>
      <c r="AG6135">
        <v>-6.5715999999999802E-2</v>
      </c>
      <c r="AH6135">
        <v>0.411184664880902</v>
      </c>
      <c r="AI6135">
        <v>99.0799350950047</v>
      </c>
      <c r="AJ6135">
        <v>89.4932977176354</v>
      </c>
      <c r="AK6135">
        <v>0.41641883375865602</v>
      </c>
      <c r="AL6135">
        <v>85.717863206276107</v>
      </c>
      <c r="AM6135">
        <v>87.507978045843799</v>
      </c>
      <c r="AN6135">
        <v>1.00000001314163</v>
      </c>
    </row>
    <row r="6136" spans="1:40" x14ac:dyDescent="0.25">
      <c r="A6136" t="str">
        <f>"20190312151438027"</f>
        <v>20190312151438027</v>
      </c>
      <c r="B6136" t="str">
        <f>"1552374878016208"</f>
        <v>1552374878016208</v>
      </c>
      <c r="C6136" t="s">
        <v>40</v>
      </c>
      <c r="D6136">
        <v>4.6275269999999997</v>
      </c>
      <c r="E6136">
        <v>0.4856432</v>
      </c>
      <c r="F6136" t="s">
        <v>41</v>
      </c>
      <c r="G6136">
        <v>-188.3922</v>
      </c>
      <c r="H6136">
        <v>1.023358</v>
      </c>
      <c r="I6136">
        <v>62.290289999999999</v>
      </c>
      <c r="J6136">
        <v>-188.40100000000001</v>
      </c>
      <c r="K6136">
        <v>1.109299</v>
      </c>
      <c r="L6136">
        <v>61.596040000000002</v>
      </c>
      <c r="M6136">
        <v>5.547443E-3</v>
      </c>
      <c r="N6136">
        <v>0</v>
      </c>
      <c r="O6136">
        <v>0.99990840000000003</v>
      </c>
      <c r="P6136">
        <v>4.9172109999999998E-2</v>
      </c>
      <c r="Q6136">
        <v>6.2197990000000002E-2</v>
      </c>
      <c r="R6136">
        <v>0.99685179999999995</v>
      </c>
      <c r="S6136">
        <v>3.259277E-2</v>
      </c>
      <c r="T6136">
        <v>-0.2595422</v>
      </c>
      <c r="U6136">
        <v>3.0240480000000001</v>
      </c>
      <c r="V6136">
        <v>4.3752480000000003E-2</v>
      </c>
      <c r="W6136">
        <v>7.4433399999999997E-2</v>
      </c>
      <c r="X6136">
        <v>0.99626570000000003</v>
      </c>
      <c r="Y6136">
        <v>5.190058E-3</v>
      </c>
      <c r="Z6136">
        <v>-8.5506739999999998E-2</v>
      </c>
      <c r="AA6136">
        <v>0.99632410000000005</v>
      </c>
      <c r="AB6136">
        <v>33</v>
      </c>
      <c r="AC6136">
        <v>8.7999999999794892E-3</v>
      </c>
      <c r="AD6136">
        <v>-8.5941000000000004E-2</v>
      </c>
      <c r="AE6136">
        <v>0.69424999999999604</v>
      </c>
      <c r="AF6136">
        <v>4.8735883964341701E-3</v>
      </c>
      <c r="AG6136">
        <v>-8.5941000000000004E-2</v>
      </c>
      <c r="AH6136">
        <v>0.68381117310233397</v>
      </c>
      <c r="AI6136">
        <v>97.163162800843907</v>
      </c>
      <c r="AJ6136">
        <v>89.591654349404706</v>
      </c>
      <c r="AK6136">
        <v>0.68920775373209997</v>
      </c>
      <c r="AL6136">
        <v>85.731332386485803</v>
      </c>
      <c r="AM6136">
        <v>87.485386977614596</v>
      </c>
      <c r="AN6136">
        <v>0.99999997776909999</v>
      </c>
    </row>
    <row r="6137" spans="1:40" x14ac:dyDescent="0.25">
      <c r="A6137" t="str">
        <f>"20190312151438048"</f>
        <v>20190312151438048</v>
      </c>
      <c r="B6137" t="str">
        <f>"1552374878036703"</f>
        <v>1552374878036703</v>
      </c>
      <c r="C6137" t="s">
        <v>40</v>
      </c>
      <c r="D6137">
        <v>4.7870140000000001</v>
      </c>
      <c r="E6137">
        <v>0.48542489999999999</v>
      </c>
      <c r="F6137" t="s">
        <v>41</v>
      </c>
      <c r="G6137">
        <v>-188.38980000000001</v>
      </c>
      <c r="H6137">
        <v>1.0226569999999999</v>
      </c>
      <c r="I6137">
        <v>62.588349999999998</v>
      </c>
      <c r="J6137">
        <v>-188.39859999999999</v>
      </c>
      <c r="K6137">
        <v>1.1092979999999999</v>
      </c>
      <c r="L6137">
        <v>61.909579999999998</v>
      </c>
      <c r="M6137">
        <v>6.1823059999999899E-3</v>
      </c>
      <c r="N6137">
        <v>0</v>
      </c>
      <c r="O6137">
        <v>0.99990449999999997</v>
      </c>
      <c r="P6137">
        <v>5.062328E-2</v>
      </c>
      <c r="Q6137">
        <v>6.1993680000000002E-2</v>
      </c>
      <c r="R6137">
        <v>0.99679189999999995</v>
      </c>
      <c r="S6137">
        <v>3.3950809999999998E-2</v>
      </c>
      <c r="T6137">
        <v>-0.26406030000000003</v>
      </c>
      <c r="U6137">
        <v>3.0242610000000001</v>
      </c>
      <c r="V6137">
        <v>4.4571010000000001E-2</v>
      </c>
      <c r="W6137">
        <v>7.424509E-2</v>
      </c>
      <c r="X6137">
        <v>0.99624349999999995</v>
      </c>
      <c r="Y6137">
        <v>5.0002960000000004E-3</v>
      </c>
      <c r="Z6137">
        <v>-8.6977280000000004E-2</v>
      </c>
      <c r="AA6137">
        <v>0.99619780000000002</v>
      </c>
      <c r="AB6137">
        <v>33</v>
      </c>
      <c r="AC6137">
        <v>8.7999999999794892E-3</v>
      </c>
      <c r="AD6137">
        <v>-8.6640999999999899E-2</v>
      </c>
      <c r="AE6137">
        <v>0.67876999999999199</v>
      </c>
      <c r="AF6137">
        <v>4.5293627773065398E-3</v>
      </c>
      <c r="AG6137">
        <v>-8.6640999999999899E-2</v>
      </c>
      <c r="AH6137">
        <v>0.66793065499510296</v>
      </c>
      <c r="AI6137">
        <v>97.390717219933407</v>
      </c>
      <c r="AJ6137">
        <v>89.611472551337101</v>
      </c>
      <c r="AK6137">
        <v>0.67354178629863504</v>
      </c>
      <c r="AL6137">
        <v>85.742151828554697</v>
      </c>
      <c r="AM6137">
        <v>87.438348186071906</v>
      </c>
      <c r="AN6137">
        <v>1.00000000980688</v>
      </c>
    </row>
    <row r="6138" spans="1:40" x14ac:dyDescent="0.25">
      <c r="A6138" t="str">
        <f>"20190312151438071"</f>
        <v>20190312151438071</v>
      </c>
      <c r="B6138" t="str">
        <f>"1552374878065983"</f>
        <v>1552374878065983</v>
      </c>
      <c r="C6138" t="s">
        <v>40</v>
      </c>
      <c r="D6138">
        <v>4.6240480000000002</v>
      </c>
      <c r="E6138">
        <v>0.4851393</v>
      </c>
      <c r="F6138" t="s">
        <v>41</v>
      </c>
      <c r="G6138">
        <v>-188.38659999999999</v>
      </c>
      <c r="H6138">
        <v>1.023639</v>
      </c>
      <c r="I6138">
        <v>62.887160000000002</v>
      </c>
      <c r="J6138">
        <v>-188.39570000000001</v>
      </c>
      <c r="K6138">
        <v>1.109299</v>
      </c>
      <c r="L6138">
        <v>62.252659999999999</v>
      </c>
      <c r="M6138">
        <v>6.8772460000000001E-3</v>
      </c>
      <c r="N6138">
        <v>0</v>
      </c>
      <c r="O6138">
        <v>0.99989969999999995</v>
      </c>
      <c r="P6138">
        <v>5.2031760000000003E-2</v>
      </c>
      <c r="Q6138">
        <v>6.1619050000000002E-2</v>
      </c>
      <c r="R6138">
        <v>0.99674260000000003</v>
      </c>
      <c r="S6138">
        <v>3.6605829999999999E-2</v>
      </c>
      <c r="T6138">
        <v>-0.26499820000000002</v>
      </c>
      <c r="U6138">
        <v>3.0242610000000001</v>
      </c>
      <c r="V6138">
        <v>4.5286559999999997E-2</v>
      </c>
      <c r="W6138">
        <v>7.3886540000000001E-2</v>
      </c>
      <c r="X6138">
        <v>0.99623790000000001</v>
      </c>
      <c r="Y6138">
        <v>5.1794240000000002E-3</v>
      </c>
      <c r="Z6138">
        <v>-8.7282789999999999E-2</v>
      </c>
      <c r="AA6138">
        <v>0.99617009999999995</v>
      </c>
      <c r="AB6138">
        <v>33</v>
      </c>
      <c r="AC6138">
        <v>9.1000000000178698E-3</v>
      </c>
      <c r="AD6138">
        <v>-8.566E-2</v>
      </c>
      <c r="AE6138">
        <v>0.63449999999999496</v>
      </c>
      <c r="AF6138">
        <v>4.6510841596877099E-3</v>
      </c>
      <c r="AG6138">
        <v>-8.566E-2</v>
      </c>
      <c r="AH6138">
        <v>0.62319158664188901</v>
      </c>
      <c r="AI6138">
        <v>97.826258617965905</v>
      </c>
      <c r="AJ6138">
        <v>89.572390657241101</v>
      </c>
      <c r="AK6138">
        <v>0.62906837612861699</v>
      </c>
      <c r="AL6138">
        <v>85.762751868541301</v>
      </c>
      <c r="AM6138">
        <v>87.397264521135995</v>
      </c>
      <c r="AN6138">
        <v>1.0000000233530999</v>
      </c>
    </row>
    <row r="6139" spans="1:40" x14ac:dyDescent="0.25">
      <c r="A6139" t="str">
        <f>"20190312151438093"</f>
        <v>20190312151438093</v>
      </c>
      <c r="B6139" t="str">
        <f>"1552374878086480"</f>
        <v>1552374878086480</v>
      </c>
      <c r="C6139" t="s">
        <v>40</v>
      </c>
      <c r="D6139">
        <v>4.6354499999999996</v>
      </c>
      <c r="E6139">
        <v>0.48494799999999899</v>
      </c>
      <c r="F6139" t="s">
        <v>41</v>
      </c>
      <c r="G6139">
        <v>-188.38380000000001</v>
      </c>
      <c r="H6139">
        <v>1.027299</v>
      </c>
      <c r="I6139">
        <v>63.18723</v>
      </c>
      <c r="J6139">
        <v>-188.39279999999999</v>
      </c>
      <c r="K6139">
        <v>1.109297</v>
      </c>
      <c r="L6139">
        <v>62.573210000000003</v>
      </c>
      <c r="M6139">
        <v>7.5266769999999998E-3</v>
      </c>
      <c r="N6139">
        <v>0</v>
      </c>
      <c r="O6139">
        <v>0.99989490000000003</v>
      </c>
      <c r="P6139">
        <v>5.3380129999999998E-2</v>
      </c>
      <c r="Q6139">
        <v>6.160156E-2</v>
      </c>
      <c r="R6139">
        <v>0.99667240000000001</v>
      </c>
      <c r="S6139">
        <v>3.8482669999999997E-2</v>
      </c>
      <c r="T6139">
        <v>-0.26534190000000002</v>
      </c>
      <c r="U6139">
        <v>3.0242</v>
      </c>
      <c r="V6139">
        <v>4.5987970000000003E-2</v>
      </c>
      <c r="W6139">
        <v>7.3881779999999994E-2</v>
      </c>
      <c r="X6139">
        <v>0.99620609999999998</v>
      </c>
      <c r="Y6139">
        <v>5.1481840000000001E-3</v>
      </c>
      <c r="Z6139">
        <v>-8.7395940000000005E-2</v>
      </c>
      <c r="AA6139">
        <v>0.9961603</v>
      </c>
      <c r="AB6139">
        <v>33</v>
      </c>
      <c r="AC6139">
        <v>8.9999999999861302E-3</v>
      </c>
      <c r="AD6139">
        <v>-8.1998000000000001E-2</v>
      </c>
      <c r="AE6139">
        <v>0.61402000000001</v>
      </c>
      <c r="AF6139">
        <v>4.3011706692500096E-3</v>
      </c>
      <c r="AG6139">
        <v>-8.1998000000000001E-2</v>
      </c>
      <c r="AH6139">
        <v>0.60331335104732398</v>
      </c>
      <c r="AI6139">
        <v>97.739610092043193</v>
      </c>
      <c r="AJ6139">
        <v>89.591531082761804</v>
      </c>
      <c r="AK6139">
        <v>0.60887533340173805</v>
      </c>
      <c r="AL6139">
        <v>85.7630252542763</v>
      </c>
      <c r="AM6139">
        <v>87.356925157108606</v>
      </c>
      <c r="AN6139">
        <v>1.0000000022389399</v>
      </c>
    </row>
    <row r="6140" spans="1:40" x14ac:dyDescent="0.25">
      <c r="A6140" t="str">
        <f>"20190312151438115"</f>
        <v>20190312151438115</v>
      </c>
      <c r="B6140" t="str">
        <f>"1552374878106975"</f>
        <v>1552374878106975</v>
      </c>
      <c r="C6140" t="s">
        <v>40</v>
      </c>
      <c r="D6140">
        <v>4.9245799999999997</v>
      </c>
      <c r="E6140">
        <v>0.4848944</v>
      </c>
      <c r="F6140" t="s">
        <v>41</v>
      </c>
      <c r="G6140">
        <v>-188.3802</v>
      </c>
      <c r="H6140">
        <v>1.0287839999999999</v>
      </c>
      <c r="I6140">
        <v>63.486170000000001</v>
      </c>
      <c r="J6140">
        <v>-188.3896</v>
      </c>
      <c r="K6140">
        <v>1.1093059999999999</v>
      </c>
      <c r="L6140">
        <v>62.902769999999997</v>
      </c>
      <c r="M6140">
        <v>8.1941630000000008E-3</v>
      </c>
      <c r="N6140">
        <v>0</v>
      </c>
      <c r="O6140">
        <v>0.99988949999999999</v>
      </c>
      <c r="P6140">
        <v>5.4759200000000001E-2</v>
      </c>
      <c r="Q6140">
        <v>6.1465430000000001E-2</v>
      </c>
      <c r="R6140">
        <v>0.99660590000000004</v>
      </c>
      <c r="S6140">
        <v>4.1427609999999997E-2</v>
      </c>
      <c r="T6140">
        <v>-0.26671339999999999</v>
      </c>
      <c r="U6140">
        <v>3.024292</v>
      </c>
      <c r="V6140">
        <v>4.6701880000000001E-2</v>
      </c>
      <c r="W6140">
        <v>7.3756730000000006E-2</v>
      </c>
      <c r="X6140">
        <v>0.99618209999999996</v>
      </c>
      <c r="Y6140">
        <v>5.4495680000000001E-3</v>
      </c>
      <c r="Z6140">
        <v>-8.784024E-2</v>
      </c>
      <c r="AA6140">
        <v>0.99611970000000005</v>
      </c>
      <c r="AB6140">
        <v>33</v>
      </c>
      <c r="AC6140">
        <v>9.3999999999994002E-3</v>
      </c>
      <c r="AD6140">
        <v>-8.0521999999999899E-2</v>
      </c>
      <c r="AE6140">
        <v>0.58339999999999703</v>
      </c>
      <c r="AF6140">
        <v>4.5325195673838999E-3</v>
      </c>
      <c r="AG6140">
        <v>-8.0521999999999899E-2</v>
      </c>
      <c r="AH6140">
        <v>0.57255310390279701</v>
      </c>
      <c r="AI6140">
        <v>98.005140688808495</v>
      </c>
      <c r="AJ6140">
        <v>89.546437150823394</v>
      </c>
      <c r="AK6140">
        <v>0.57820532080425902</v>
      </c>
      <c r="AL6140">
        <v>85.770209465907001</v>
      </c>
      <c r="AM6140">
        <v>87.315889454154203</v>
      </c>
      <c r="AN6140">
        <v>0.99999994858811703</v>
      </c>
    </row>
    <row r="6141" spans="1:40" x14ac:dyDescent="0.25">
      <c r="A6141" t="str">
        <f>"20190312151438137"</f>
        <v>20190312151438137</v>
      </c>
      <c r="B6141" t="str">
        <f>"1552374878126499"</f>
        <v>1552374878126499</v>
      </c>
      <c r="C6141" t="s">
        <v>40</v>
      </c>
      <c r="D6141">
        <v>4.7786520000000001</v>
      </c>
      <c r="E6141">
        <v>0.50887640000000001</v>
      </c>
      <c r="F6141" t="s">
        <v>41</v>
      </c>
      <c r="G6141">
        <v>-188.37649999999999</v>
      </c>
      <c r="H6141">
        <v>1.031269</v>
      </c>
      <c r="I6141">
        <v>63.785559999999997</v>
      </c>
      <c r="J6141">
        <v>-188.3862</v>
      </c>
      <c r="K6141">
        <v>1.1093</v>
      </c>
      <c r="L6141">
        <v>63.229489999999998</v>
      </c>
      <c r="M6141">
        <v>8.8555200000000004E-3</v>
      </c>
      <c r="N6141">
        <v>0</v>
      </c>
      <c r="O6141">
        <v>0.99988370000000004</v>
      </c>
      <c r="P6141">
        <v>5.6513140000000003E-2</v>
      </c>
      <c r="Q6141">
        <v>6.1717790000000002E-2</v>
      </c>
      <c r="R6141">
        <v>0.99649239999999994</v>
      </c>
      <c r="S6141">
        <v>4.4769290000000003E-2</v>
      </c>
      <c r="T6141">
        <v>-0.26733639999999997</v>
      </c>
      <c r="U6141">
        <v>3.0242309999999999</v>
      </c>
      <c r="V6141">
        <v>4.779775E-2</v>
      </c>
      <c r="W6141">
        <v>7.4020169999999996E-2</v>
      </c>
      <c r="X6141">
        <v>0.99611059999999996</v>
      </c>
      <c r="Y6141">
        <v>5.8886090000000004E-3</v>
      </c>
      <c r="Z6141">
        <v>-8.8044049999999999E-2</v>
      </c>
      <c r="AA6141">
        <v>0.99609919999999996</v>
      </c>
      <c r="AB6141">
        <v>33</v>
      </c>
      <c r="AC6141">
        <v>9.7000000000093695E-3</v>
      </c>
      <c r="AD6141">
        <v>-7.8030999999999906E-2</v>
      </c>
      <c r="AE6141">
        <v>0.55606999999999096</v>
      </c>
      <c r="AF6141">
        <v>4.6827689890454501E-3</v>
      </c>
      <c r="AG6141">
        <v>-7.8030999999999906E-2</v>
      </c>
      <c r="AH6141">
        <v>0.54539774869944702</v>
      </c>
      <c r="AI6141">
        <v>98.141855013207703</v>
      </c>
      <c r="AJ6141">
        <v>89.508072214377194</v>
      </c>
      <c r="AK6141">
        <v>0.55097138725421102</v>
      </c>
      <c r="AL6141">
        <v>85.755074179175594</v>
      </c>
      <c r="AM6141">
        <v>87.252804697757</v>
      </c>
      <c r="AN6141">
        <v>0.99999996895212495</v>
      </c>
    </row>
    <row r="6142" spans="1:40" x14ac:dyDescent="0.25">
      <c r="A6142" t="str">
        <f>"20190312151438160"</f>
        <v>20190312151438160</v>
      </c>
      <c r="B6142" t="str">
        <f>"1552374878156751"</f>
        <v>1552374878156751</v>
      </c>
      <c r="C6142" t="s">
        <v>40</v>
      </c>
      <c r="D6142">
        <v>4.6550219999999998</v>
      </c>
      <c r="E6142">
        <v>0.53925369999999995</v>
      </c>
      <c r="F6142" t="s">
        <v>42</v>
      </c>
      <c r="G6142">
        <v>-186.7338</v>
      </c>
      <c r="H6142" s="1">
        <v>-2.393008E-6</v>
      </c>
      <c r="I6142">
        <v>83.860419999999905</v>
      </c>
      <c r="J6142">
        <v>-188.38239999999999</v>
      </c>
      <c r="K6142">
        <v>1.1093029999999999</v>
      </c>
      <c r="L6142">
        <v>63.573639999999997</v>
      </c>
      <c r="M6142">
        <v>9.5511269999999995E-3</v>
      </c>
      <c r="N6142">
        <v>0</v>
      </c>
      <c r="O6142">
        <v>0.99987700000000002</v>
      </c>
      <c r="P6142">
        <v>5.8176119999999998E-2</v>
      </c>
      <c r="Q6142">
        <v>6.1406580000000002E-2</v>
      </c>
      <c r="R6142">
        <v>0.99641599999999997</v>
      </c>
      <c r="S6142">
        <v>0.2408295</v>
      </c>
      <c r="T6142">
        <v>-0.1616776</v>
      </c>
      <c r="U6142">
        <v>3.0068969999999999</v>
      </c>
      <c r="V6142">
        <v>4.8767369999999997E-2</v>
      </c>
      <c r="W6142">
        <v>7.3724869999999998E-2</v>
      </c>
      <c r="X6142">
        <v>0.99608549999999996</v>
      </c>
      <c r="Y6142">
        <v>7.0197209999999996E-2</v>
      </c>
      <c r="Z6142">
        <v>-5.3536010000000002E-2</v>
      </c>
      <c r="AA6142">
        <v>0.99609550000000002</v>
      </c>
      <c r="AB6142">
        <v>33</v>
      </c>
      <c r="AC6142">
        <v>1.6485999999999801</v>
      </c>
      <c r="AD6142">
        <v>-1.1093053930079999</v>
      </c>
      <c r="AE6142">
        <v>20.286779999999901</v>
      </c>
      <c r="AF6142">
        <v>1.45043977288145</v>
      </c>
      <c r="AG6142">
        <v>-1.1093053930079999</v>
      </c>
      <c r="AH6142">
        <v>20.2414761029871</v>
      </c>
      <c r="AI6142">
        <v>93.128869374670998</v>
      </c>
      <c r="AJ6142">
        <v>85.901372239171295</v>
      </c>
      <c r="AK6142">
        <v>20.3236731133304</v>
      </c>
      <c r="AL6142">
        <v>85.772039975508207</v>
      </c>
      <c r="AM6142">
        <v>87.197092859787901</v>
      </c>
      <c r="AN6142">
        <v>0.99999996807174096</v>
      </c>
    </row>
    <row r="6143" spans="1:40" x14ac:dyDescent="0.25">
      <c r="A6143" t="str">
        <f>"20190312151438184"</f>
        <v>20190312151438184</v>
      </c>
      <c r="B6143" t="str">
        <f>"1552374878176272"</f>
        <v>1552374878176272</v>
      </c>
      <c r="C6143" t="s">
        <v>40</v>
      </c>
      <c r="D6143">
        <v>4.5805089999999904</v>
      </c>
      <c r="E6143">
        <v>0.53891540000000004</v>
      </c>
      <c r="F6143" t="s">
        <v>42</v>
      </c>
      <c r="G6143">
        <v>-185.71449999999999</v>
      </c>
      <c r="H6143" s="1">
        <v>-1.2403199999999999E-6</v>
      </c>
      <c r="I6143">
        <v>79.942089999999993</v>
      </c>
      <c r="J6143">
        <v>-188.3783</v>
      </c>
      <c r="K6143">
        <v>1.1093</v>
      </c>
      <c r="L6143">
        <v>63.923160000000003</v>
      </c>
      <c r="M6143">
        <v>1.0256629999999999E-2</v>
      </c>
      <c r="N6143">
        <v>0</v>
      </c>
      <c r="O6143">
        <v>0.99986980000000003</v>
      </c>
      <c r="P6143">
        <v>5.9538130000000002E-2</v>
      </c>
      <c r="Q6143">
        <v>6.1091199999999901E-2</v>
      </c>
      <c r="R6143">
        <v>0.99635490000000004</v>
      </c>
      <c r="S6143">
        <v>0.48812870000000003</v>
      </c>
      <c r="T6143">
        <v>-0.20296110000000001</v>
      </c>
      <c r="U6143">
        <v>2.994812</v>
      </c>
      <c r="V6143">
        <v>4.9426100000000001E-2</v>
      </c>
      <c r="W6143">
        <v>7.3427160000000005E-2</v>
      </c>
      <c r="X6143">
        <v>0.99607500000000004</v>
      </c>
      <c r="Y6143">
        <v>0.15037729999999999</v>
      </c>
      <c r="Z6143">
        <v>-6.6787440000000003E-2</v>
      </c>
      <c r="AA6143">
        <v>0.98637010000000003</v>
      </c>
      <c r="AB6143">
        <v>33</v>
      </c>
      <c r="AC6143">
        <v>2.6638000000000002</v>
      </c>
      <c r="AD6143">
        <v>-1.10930124032</v>
      </c>
      <c r="AE6143">
        <v>16.018930000000001</v>
      </c>
      <c r="AF6143">
        <v>2.48773799349047</v>
      </c>
      <c r="AG6143">
        <v>-1.10930124032</v>
      </c>
      <c r="AH6143">
        <v>15.9708838285871</v>
      </c>
      <c r="AI6143">
        <v>93.9260596023625</v>
      </c>
      <c r="AJ6143">
        <v>81.146352503748801</v>
      </c>
      <c r="AK6143">
        <v>16.201497456477799</v>
      </c>
      <c r="AL6143">
        <v>85.789143769409804</v>
      </c>
      <c r="AM6143">
        <v>87.1592640244709</v>
      </c>
      <c r="AN6143">
        <v>0.99999994640593604</v>
      </c>
    </row>
    <row r="6144" spans="1:40" x14ac:dyDescent="0.25">
      <c r="A6144" t="str">
        <f>"20190312151438206"</f>
        <v>20190312151438206</v>
      </c>
      <c r="B6144" t="str">
        <f>"1552374878196767"</f>
        <v>1552374878196767</v>
      </c>
      <c r="C6144" t="s">
        <v>40</v>
      </c>
      <c r="D6144">
        <v>4.6731069999999999</v>
      </c>
      <c r="E6144">
        <v>0.539192</v>
      </c>
      <c r="F6144" t="s">
        <v>42</v>
      </c>
      <c r="G6144">
        <v>-185.6713</v>
      </c>
      <c r="H6144" s="1">
        <v>-1.434614E-6</v>
      </c>
      <c r="I6144">
        <v>80.479290000000006</v>
      </c>
      <c r="J6144">
        <v>-188.3741</v>
      </c>
      <c r="K6144">
        <v>1.109302</v>
      </c>
      <c r="L6144">
        <v>64.261469999999903</v>
      </c>
      <c r="M6144">
        <v>1.09391E-2</v>
      </c>
      <c r="N6144">
        <v>0</v>
      </c>
      <c r="O6144">
        <v>0.99986240000000004</v>
      </c>
      <c r="P6144">
        <v>6.1036849999999997E-2</v>
      </c>
      <c r="Q6144">
        <v>6.0458600000000001E-2</v>
      </c>
      <c r="R6144">
        <v>0.99630280000000004</v>
      </c>
      <c r="S6144">
        <v>0.48953249999999998</v>
      </c>
      <c r="T6144">
        <v>-0.2006067</v>
      </c>
      <c r="U6144">
        <v>2.9940190000000002</v>
      </c>
      <c r="V6144">
        <v>5.0243929999999999E-2</v>
      </c>
      <c r="W6144">
        <v>7.2810360000000005E-2</v>
      </c>
      <c r="X6144">
        <v>0.99607939999999995</v>
      </c>
      <c r="Y6144">
        <v>0.15020259999999999</v>
      </c>
      <c r="Z6144">
        <v>-6.6031010000000001E-2</v>
      </c>
      <c r="AA6144">
        <v>0.98644770000000004</v>
      </c>
      <c r="AB6144">
        <v>33</v>
      </c>
      <c r="AC6144">
        <v>2.7027999999999901</v>
      </c>
      <c r="AD6144">
        <v>-1.1093034346140001</v>
      </c>
      <c r="AE6144">
        <v>16.21782</v>
      </c>
      <c r="AF6144">
        <v>2.5137729948031899</v>
      </c>
      <c r="AG6144">
        <v>-1.1093034346140001</v>
      </c>
      <c r="AH6144">
        <v>16.1727967321001</v>
      </c>
      <c r="AI6144">
        <v>93.8773985902086</v>
      </c>
      <c r="AJ6144">
        <v>81.165087659547396</v>
      </c>
      <c r="AK6144">
        <v>16.404540923697802</v>
      </c>
      <c r="AL6144">
        <v>85.824578825238405</v>
      </c>
      <c r="AM6144">
        <v>87.112351371468307</v>
      </c>
      <c r="AN6144">
        <v>0.99999998606476703</v>
      </c>
    </row>
    <row r="6145" spans="1:40" x14ac:dyDescent="0.25">
      <c r="A6145" t="str">
        <f>"20190312151438227"</f>
        <v>20190312151438227</v>
      </c>
      <c r="B6145" t="str">
        <f>"1552374878216287"</f>
        <v>1552374878216287</v>
      </c>
      <c r="C6145" t="s">
        <v>40</v>
      </c>
      <c r="D6145">
        <v>4.6543089999999996</v>
      </c>
      <c r="E6145">
        <v>0.53934599999999999</v>
      </c>
      <c r="F6145" t="s">
        <v>42</v>
      </c>
      <c r="G6145">
        <v>-185.6601</v>
      </c>
      <c r="H6145" s="1">
        <v>-1.49436E-6</v>
      </c>
      <c r="I6145">
        <v>80.646090000000001</v>
      </c>
      <c r="J6145">
        <v>-188.37010000000001</v>
      </c>
      <c r="K6145">
        <v>1.1093059999999999</v>
      </c>
      <c r="L6145">
        <v>64.563050000000004</v>
      </c>
      <c r="M6145">
        <v>1.1547709999999999E-2</v>
      </c>
      <c r="N6145">
        <v>0</v>
      </c>
      <c r="O6145">
        <v>0.99985539999999995</v>
      </c>
      <c r="P6145">
        <v>6.2179619999999998E-2</v>
      </c>
      <c r="Q6145">
        <v>6.0101969999999998E-2</v>
      </c>
      <c r="R6145">
        <v>0.99625370000000002</v>
      </c>
      <c r="S6145">
        <v>0.49577329999999997</v>
      </c>
      <c r="T6145">
        <v>-0.20264080000000001</v>
      </c>
      <c r="U6145">
        <v>2.993042</v>
      </c>
      <c r="V6145">
        <v>5.07798E-2</v>
      </c>
      <c r="W6145">
        <v>7.2466050000000004E-2</v>
      </c>
      <c r="X6145">
        <v>0.9960774</v>
      </c>
      <c r="Y6145">
        <v>0.15164720000000001</v>
      </c>
      <c r="Z6145">
        <v>-6.6699670000000003E-2</v>
      </c>
      <c r="AA6145">
        <v>0.98618170000000005</v>
      </c>
      <c r="AB6145">
        <v>33</v>
      </c>
      <c r="AC6145">
        <v>2.71</v>
      </c>
      <c r="AD6145">
        <v>-1.1093074943600001</v>
      </c>
      <c r="AE6145">
        <v>16.083039999999901</v>
      </c>
      <c r="AF6145">
        <v>2.5124598005886698</v>
      </c>
      <c r="AG6145">
        <v>-1.1093074943600001</v>
      </c>
      <c r="AH6145">
        <v>16.039066939947698</v>
      </c>
      <c r="AI6145">
        <v>93.908921058298802</v>
      </c>
      <c r="AJ6145">
        <v>81.097179424198004</v>
      </c>
      <c r="AK6145">
        <v>16.2725131946709</v>
      </c>
      <c r="AL6145">
        <v>85.844358859526295</v>
      </c>
      <c r="AM6145">
        <v>87.081600647556499</v>
      </c>
      <c r="AN6145">
        <v>1.0000000516406999</v>
      </c>
    </row>
    <row r="6146" spans="1:40" x14ac:dyDescent="0.25">
      <c r="A6146" t="str">
        <f>"20190312151438249"</f>
        <v>20190312151438249</v>
      </c>
      <c r="B6146" t="str">
        <f>"1552374878236784"</f>
        <v>1552374878236784</v>
      </c>
      <c r="C6146" t="s">
        <v>40</v>
      </c>
      <c r="D6146">
        <v>4.5713619999999997</v>
      </c>
      <c r="E6146">
        <v>0.53961429999999999</v>
      </c>
      <c r="F6146" t="s">
        <v>42</v>
      </c>
      <c r="G6146">
        <v>-185.60409999999999</v>
      </c>
      <c r="H6146" s="1">
        <v>-1.662708E-6</v>
      </c>
      <c r="I6146">
        <v>81.097009999999997</v>
      </c>
      <c r="J6146">
        <v>-188.3655</v>
      </c>
      <c r="K6146">
        <v>1.109307</v>
      </c>
      <c r="L6146">
        <v>64.898160000000004</v>
      </c>
      <c r="M6146">
        <v>1.222401E-2</v>
      </c>
      <c r="N6146">
        <v>0</v>
      </c>
      <c r="O6146">
        <v>0.99984720000000005</v>
      </c>
      <c r="P6146">
        <v>6.3356170000000003E-2</v>
      </c>
      <c r="Q6146">
        <v>6.0272840000000001E-2</v>
      </c>
      <c r="R6146">
        <v>0.99616930000000004</v>
      </c>
      <c r="S6146">
        <v>0.50056460000000003</v>
      </c>
      <c r="T6146">
        <v>-0.20075190000000001</v>
      </c>
      <c r="U6146">
        <v>2.9921570000000002</v>
      </c>
      <c r="V6146">
        <v>5.1283179999999998E-2</v>
      </c>
      <c r="W6146">
        <v>7.2650580000000006E-2</v>
      </c>
      <c r="X6146">
        <v>0.99603810000000004</v>
      </c>
      <c r="Y6146">
        <v>0.15256889999999901</v>
      </c>
      <c r="Z6146">
        <v>-6.6085779999999997E-2</v>
      </c>
      <c r="AA6146">
        <v>0.98608079999999998</v>
      </c>
      <c r="AB6146">
        <v>33</v>
      </c>
      <c r="AC6146">
        <v>2.7614000000000001</v>
      </c>
      <c r="AD6146">
        <v>-1.109308662708</v>
      </c>
      <c r="AE6146">
        <v>16.198849999999901</v>
      </c>
      <c r="AF6146">
        <v>2.5515354820237599</v>
      </c>
      <c r="AG6146">
        <v>-1.109308662708</v>
      </c>
      <c r="AH6146">
        <v>16.1577637258249</v>
      </c>
      <c r="AI6146">
        <v>93.879545215502205</v>
      </c>
      <c r="AJ6146">
        <v>81.026302138598496</v>
      </c>
      <c r="AK6146">
        <v>16.3955551185304</v>
      </c>
      <c r="AL6146">
        <v>85.833757845804698</v>
      </c>
      <c r="AM6146">
        <v>87.0526052369773</v>
      </c>
      <c r="AN6146">
        <v>0.99999998398842904</v>
      </c>
    </row>
    <row r="6147" spans="1:40" x14ac:dyDescent="0.25">
      <c r="A6147" t="str">
        <f>"20190312151438270"</f>
        <v>20190312151438270</v>
      </c>
      <c r="B6147" t="str">
        <f>"1552374878266063"</f>
        <v>1552374878266063</v>
      </c>
      <c r="C6147" t="s">
        <v>40</v>
      </c>
      <c r="D6147">
        <v>4.6150840000000004</v>
      </c>
      <c r="E6147">
        <v>0.53947029999999996</v>
      </c>
      <c r="F6147" t="s">
        <v>42</v>
      </c>
      <c r="G6147">
        <v>-185.53370000000001</v>
      </c>
      <c r="H6147" s="1">
        <v>-1.862672E-6</v>
      </c>
      <c r="I6147">
        <v>81.629549999999995</v>
      </c>
      <c r="J6147">
        <v>-188.36080000000001</v>
      </c>
      <c r="K6147">
        <v>1.1093109999999999</v>
      </c>
      <c r="L6147">
        <v>65.22739</v>
      </c>
      <c r="M6147">
        <v>1.288773E-2</v>
      </c>
      <c r="N6147">
        <v>0</v>
      </c>
      <c r="O6147">
        <v>0.99983860000000002</v>
      </c>
      <c r="P6147">
        <v>6.4833310000000005E-2</v>
      </c>
      <c r="Q6147">
        <v>5.9964749999999997E-2</v>
      </c>
      <c r="R6147">
        <v>0.9960928</v>
      </c>
      <c r="S6147">
        <v>0.50628660000000003</v>
      </c>
      <c r="T6147">
        <v>-0.19832849999999999</v>
      </c>
      <c r="U6147">
        <v>2.991333</v>
      </c>
      <c r="V6147">
        <v>5.2098859999999997E-2</v>
      </c>
      <c r="W6147">
        <v>7.235809E-2</v>
      </c>
      <c r="X6147">
        <v>0.99601709999999999</v>
      </c>
      <c r="Y6147">
        <v>0.15379999999999999</v>
      </c>
      <c r="Z6147">
        <v>-6.5291810000000006E-2</v>
      </c>
      <c r="AA6147">
        <v>0.98594250000000005</v>
      </c>
      <c r="AB6147">
        <v>33</v>
      </c>
      <c r="AC6147">
        <v>2.8271000000000002</v>
      </c>
      <c r="AD6147">
        <v>-1.1093128626719999</v>
      </c>
      <c r="AE6147">
        <v>16.402159999999899</v>
      </c>
      <c r="AF6147">
        <v>2.6038951473289398</v>
      </c>
      <c r="AG6147">
        <v>-1.1093128626719999</v>
      </c>
      <c r="AH6147">
        <v>16.3645418398979</v>
      </c>
      <c r="AI6147">
        <v>93.829974506911697</v>
      </c>
      <c r="AJ6147">
        <v>80.958996567109494</v>
      </c>
      <c r="AK6147">
        <v>16.6075005523209</v>
      </c>
      <c r="AL6147">
        <v>85.850560677764193</v>
      </c>
      <c r="AM6147">
        <v>87.005747338399303</v>
      </c>
      <c r="AN6147">
        <v>1.0000000239470701</v>
      </c>
    </row>
    <row r="6148" spans="1:40" x14ac:dyDescent="0.25">
      <c r="A6148" t="str">
        <f>"20190312151438294"</f>
        <v>20190312151438294</v>
      </c>
      <c r="B6148" t="str">
        <f>"1552374878286560"</f>
        <v>1552374878286560</v>
      </c>
      <c r="C6148" t="s">
        <v>40</v>
      </c>
      <c r="D6148">
        <v>4.5641569999999998</v>
      </c>
      <c r="E6148">
        <v>0.53940509999999997</v>
      </c>
      <c r="F6148" t="s">
        <v>42</v>
      </c>
      <c r="G6148">
        <v>-185.446</v>
      </c>
      <c r="H6148" s="1">
        <v>-2.1198099999999999E-6</v>
      </c>
      <c r="I6148">
        <v>82.316540000000003</v>
      </c>
      <c r="J6148">
        <v>-188.35570000000001</v>
      </c>
      <c r="K6148">
        <v>1.1093139999999999</v>
      </c>
      <c r="L6148">
        <v>65.56738</v>
      </c>
      <c r="M6148">
        <v>1.3572529999999999E-2</v>
      </c>
      <c r="N6148">
        <v>0</v>
      </c>
      <c r="O6148">
        <v>0.99982930000000003</v>
      </c>
      <c r="P6148">
        <v>6.6119720000000007E-2</v>
      </c>
      <c r="Q6148">
        <v>5.9461979999999998E-2</v>
      </c>
      <c r="R6148">
        <v>0.99603839999999999</v>
      </c>
      <c r="S6148">
        <v>0.5100403</v>
      </c>
      <c r="T6148">
        <v>-0.1941079</v>
      </c>
      <c r="U6148">
        <v>2.990265</v>
      </c>
      <c r="V6148">
        <v>5.2702230000000003E-2</v>
      </c>
      <c r="W6148">
        <v>7.1874889999999997E-2</v>
      </c>
      <c r="X6148">
        <v>0.99602029999999997</v>
      </c>
      <c r="Y6148">
        <v>0.15439910000000001</v>
      </c>
      <c r="Z6148">
        <v>-6.3920050000000006E-2</v>
      </c>
      <c r="AA6148">
        <v>0.98593869999999895</v>
      </c>
      <c r="AB6148">
        <v>33</v>
      </c>
      <c r="AC6148">
        <v>2.9097000000000102</v>
      </c>
      <c r="AD6148">
        <v>-1.1093161198099999</v>
      </c>
      <c r="AE6148">
        <v>16.74916</v>
      </c>
      <c r="AF6148">
        <v>2.67071354326084</v>
      </c>
      <c r="AG6148">
        <v>-1.1093161198099999</v>
      </c>
      <c r="AH6148">
        <v>16.715934624219098</v>
      </c>
      <c r="AI6148">
        <v>93.749326829333597</v>
      </c>
      <c r="AJ6148">
        <v>80.922543660342299</v>
      </c>
      <c r="AK6148">
        <v>16.964249569167301</v>
      </c>
      <c r="AL6148">
        <v>85.878318097291995</v>
      </c>
      <c r="AM6148">
        <v>86.971144058846505</v>
      </c>
      <c r="AN6148">
        <v>0.99999998143578706</v>
      </c>
    </row>
    <row r="6149" spans="1:40" x14ac:dyDescent="0.25">
      <c r="A6149" t="str">
        <f>"20190312151438315"</f>
        <v>20190312151438315</v>
      </c>
      <c r="B6149" t="str">
        <f>"1552374878306080"</f>
        <v>1552374878306080</v>
      </c>
      <c r="C6149" t="s">
        <v>40</v>
      </c>
      <c r="D6149">
        <v>4.6081799999999999</v>
      </c>
      <c r="E6149">
        <v>0.53905990000000004</v>
      </c>
      <c r="F6149" t="s">
        <v>42</v>
      </c>
      <c r="G6149">
        <v>-185.44749999999999</v>
      </c>
      <c r="H6149" s="1">
        <v>-2.1833220000000001E-6</v>
      </c>
      <c r="I6149">
        <v>82.504390000000001</v>
      </c>
      <c r="J6149">
        <v>-188.35059999999999</v>
      </c>
      <c r="K6149">
        <v>1.1093170000000001</v>
      </c>
      <c r="L6149">
        <v>65.887180000000001</v>
      </c>
      <c r="M6149">
        <v>1.4216360000000001E-2</v>
      </c>
      <c r="N6149">
        <v>0</v>
      </c>
      <c r="O6149">
        <v>0.99982009999999999</v>
      </c>
      <c r="P6149">
        <v>6.7535289999999998E-2</v>
      </c>
      <c r="Q6149">
        <v>5.9288960000000002E-2</v>
      </c>
      <c r="R6149">
        <v>0.99595370000000005</v>
      </c>
      <c r="S6149">
        <v>0.51332089999999997</v>
      </c>
      <c r="T6149">
        <v>-0.19580600000000001</v>
      </c>
      <c r="U6149">
        <v>2.989563</v>
      </c>
      <c r="V6149">
        <v>5.3476610000000001E-2</v>
      </c>
      <c r="W6149">
        <v>7.1718409999999996E-2</v>
      </c>
      <c r="X6149">
        <v>0.9959903</v>
      </c>
      <c r="Y6149">
        <v>0.15484629999999999</v>
      </c>
      <c r="Z6149">
        <v>-6.4482739999999997E-2</v>
      </c>
      <c r="AA6149">
        <v>0.98583189999999998</v>
      </c>
      <c r="AB6149">
        <v>33</v>
      </c>
      <c r="AC6149">
        <v>2.90309999999999</v>
      </c>
      <c r="AD6149">
        <v>-1.109319183322</v>
      </c>
      <c r="AE6149">
        <v>16.61721</v>
      </c>
      <c r="AF6149">
        <v>2.6550697589327199</v>
      </c>
      <c r="AG6149">
        <v>-1.109319183322</v>
      </c>
      <c r="AH6149">
        <v>16.585082390347001</v>
      </c>
      <c r="AI6149">
        <v>93.778646697623898</v>
      </c>
      <c r="AJ6149">
        <v>80.904816776605998</v>
      </c>
      <c r="AK6149">
        <v>16.8328530668418</v>
      </c>
      <c r="AL6149">
        <v>85.887306924159404</v>
      </c>
      <c r="AM6149">
        <v>86.926631882707696</v>
      </c>
      <c r="AN6149">
        <v>0.99999997792205397</v>
      </c>
    </row>
    <row r="6150" spans="1:40" x14ac:dyDescent="0.25">
      <c r="A6150" t="str">
        <f>"20190312151438338"</f>
        <v>20190312151438338</v>
      </c>
      <c r="B6150" t="str">
        <f>"1552374878326576"</f>
        <v>1552374878326576</v>
      </c>
      <c r="C6150" t="s">
        <v>40</v>
      </c>
      <c r="D6150">
        <v>4.5553410000000003</v>
      </c>
      <c r="E6150">
        <v>0.53904609999999997</v>
      </c>
      <c r="F6150" t="s">
        <v>42</v>
      </c>
      <c r="G6150">
        <v>-185.39230000000001</v>
      </c>
      <c r="H6150" s="1">
        <v>-2.386033E-6</v>
      </c>
      <c r="I6150">
        <v>83.056869999999904</v>
      </c>
      <c r="J6150">
        <v>-188.345</v>
      </c>
      <c r="K6150">
        <v>1.1093120000000001</v>
      </c>
      <c r="L6150">
        <v>66.228700000000003</v>
      </c>
      <c r="M6150">
        <v>1.4903690000000001E-2</v>
      </c>
      <c r="N6150">
        <v>0</v>
      </c>
      <c r="O6150">
        <v>0.99980990000000003</v>
      </c>
      <c r="P6150">
        <v>6.9225869999999995E-2</v>
      </c>
      <c r="Q6150">
        <v>5.8887910000000002E-2</v>
      </c>
      <c r="R6150">
        <v>0.99586140000000001</v>
      </c>
      <c r="S6150">
        <v>0.51496889999999995</v>
      </c>
      <c r="T6150">
        <v>-0.19310189999999999</v>
      </c>
      <c r="U6150">
        <v>2.9887700000000001</v>
      </c>
      <c r="V6150">
        <v>5.4482410000000002E-2</v>
      </c>
      <c r="W6150">
        <v>7.1333640000000004E-2</v>
      </c>
      <c r="X6150">
        <v>0.9959635</v>
      </c>
      <c r="Y6150">
        <v>0.15474830000000001</v>
      </c>
      <c r="Z6150">
        <v>-6.3609029999999997E-2</v>
      </c>
      <c r="AA6150">
        <v>0.98590409999999995</v>
      </c>
      <c r="AB6150">
        <v>33</v>
      </c>
      <c r="AC6150">
        <v>2.9526999999999899</v>
      </c>
      <c r="AD6150">
        <v>-1.1093143860329999</v>
      </c>
      <c r="AE6150">
        <v>16.828169999999901</v>
      </c>
      <c r="AF6150">
        <v>2.6902093171207002</v>
      </c>
      <c r="AG6150">
        <v>-1.1093143860329999</v>
      </c>
      <c r="AH6150">
        <v>16.7994891581187</v>
      </c>
      <c r="AI6150">
        <v>93.730513755763297</v>
      </c>
      <c r="AJ6150">
        <v>80.902104495976204</v>
      </c>
      <c r="AK6150">
        <v>17.049652212016898</v>
      </c>
      <c r="AL6150">
        <v>85.909409556869903</v>
      </c>
      <c r="AM6150">
        <v>86.8688571605296</v>
      </c>
      <c r="AN6150">
        <v>1.00000005726365</v>
      </c>
    </row>
    <row r="6151" spans="1:40" x14ac:dyDescent="0.25">
      <c r="A6151" t="str">
        <f>"20190312151438360"</f>
        <v>20190312151438360</v>
      </c>
      <c r="B6151" t="str">
        <f>"1552374878356832"</f>
        <v>1552374878356832</v>
      </c>
      <c r="C6151" t="s">
        <v>40</v>
      </c>
      <c r="D6151">
        <v>4.5940450000000004</v>
      </c>
      <c r="E6151">
        <v>0.53906180000000004</v>
      </c>
      <c r="F6151" t="s">
        <v>42</v>
      </c>
      <c r="G6151">
        <v>-185.33349999999999</v>
      </c>
      <c r="H6151" s="1">
        <v>-2.5636459999999999E-6</v>
      </c>
      <c r="I6151">
        <v>83.532830000000004</v>
      </c>
      <c r="J6151">
        <v>-188.33949999999999</v>
      </c>
      <c r="K6151">
        <v>1.1093139999999999</v>
      </c>
      <c r="L6151">
        <v>66.552030000000002</v>
      </c>
      <c r="M6151">
        <v>1.5554180000000001E-2</v>
      </c>
      <c r="N6151">
        <v>0</v>
      </c>
      <c r="O6151">
        <v>0.99979980000000002</v>
      </c>
      <c r="P6151">
        <v>7.0111199999999999E-2</v>
      </c>
      <c r="Q6151">
        <v>5.8925890000000002E-2</v>
      </c>
      <c r="R6151">
        <v>0.9957973</v>
      </c>
      <c r="S6151">
        <v>0.51995849999999999</v>
      </c>
      <c r="T6151">
        <v>-0.19152839999999999</v>
      </c>
      <c r="U6151">
        <v>2.9876399999999999</v>
      </c>
      <c r="V6151">
        <v>5.4720110000000002E-2</v>
      </c>
      <c r="W6151">
        <v>7.1385959999999998E-2</v>
      </c>
      <c r="X6151">
        <v>0.99594660000000002</v>
      </c>
      <c r="Y6151">
        <v>0.15577189999999999</v>
      </c>
      <c r="Z6151">
        <v>-6.3101299999999999E-2</v>
      </c>
      <c r="AA6151">
        <v>0.98577550000000003</v>
      </c>
      <c r="AB6151">
        <v>33</v>
      </c>
      <c r="AC6151">
        <v>3.0059999999999998</v>
      </c>
      <c r="AD6151">
        <v>-1.1093165636459901</v>
      </c>
      <c r="AE6151">
        <v>16.980799999999999</v>
      </c>
      <c r="AF6151">
        <v>2.7301953125336</v>
      </c>
      <c r="AG6151">
        <v>-1.1093165636459901</v>
      </c>
      <c r="AH6151">
        <v>16.955343241845799</v>
      </c>
      <c r="AI6151">
        <v>93.695814082808198</v>
      </c>
      <c r="AJ6151">
        <v>80.852597901800607</v>
      </c>
      <c r="AK6151">
        <v>17.209538463647601</v>
      </c>
      <c r="AL6151">
        <v>85.906403690559401</v>
      </c>
      <c r="AM6151">
        <v>86.855170476596697</v>
      </c>
      <c r="AN6151">
        <v>0.99999993788754504</v>
      </c>
    </row>
    <row r="6152" spans="1:40" x14ac:dyDescent="0.25">
      <c r="A6152" t="str">
        <f>"20190312151438385"</f>
        <v>20190312151438385</v>
      </c>
      <c r="B6152" t="str">
        <f>"1552374878376352"</f>
        <v>1552374878376352</v>
      </c>
      <c r="C6152" t="s">
        <v>40</v>
      </c>
      <c r="D6152">
        <v>4.6588269999999996</v>
      </c>
      <c r="E6152">
        <v>0.53896840000000001</v>
      </c>
      <c r="F6152" t="s">
        <v>42</v>
      </c>
      <c r="G6152">
        <v>-185.3092</v>
      </c>
      <c r="H6152" s="1">
        <v>-2.6806939999999999E-6</v>
      </c>
      <c r="I6152">
        <v>83.857830000000007</v>
      </c>
      <c r="J6152">
        <v>-188.333</v>
      </c>
      <c r="K6152">
        <v>1.1093230000000001</v>
      </c>
      <c r="L6152">
        <v>66.917360000000002</v>
      </c>
      <c r="M6152">
        <v>1.6289560000000002E-2</v>
      </c>
      <c r="N6152">
        <v>0</v>
      </c>
      <c r="O6152">
        <v>0.99978789999999995</v>
      </c>
      <c r="P6152">
        <v>7.1132799999999996E-2</v>
      </c>
      <c r="Q6152">
        <v>5.8783229999999999E-2</v>
      </c>
      <c r="R6152">
        <v>0.99573319999999998</v>
      </c>
      <c r="S6152">
        <v>0.52305599999999997</v>
      </c>
      <c r="T6152">
        <v>-0.19147910000000001</v>
      </c>
      <c r="U6152">
        <v>2.987152</v>
      </c>
      <c r="V6152">
        <v>5.5009130000000003E-2</v>
      </c>
      <c r="W6152">
        <v>7.1258009999999997E-2</v>
      </c>
      <c r="X6152">
        <v>0.99593989999999999</v>
      </c>
      <c r="Y6152">
        <v>0.1560647</v>
      </c>
      <c r="Z6152">
        <v>-6.3087089999999998E-2</v>
      </c>
      <c r="AA6152">
        <v>0.98573010000000005</v>
      </c>
      <c r="AB6152">
        <v>33</v>
      </c>
      <c r="AC6152">
        <v>3.0237999999999898</v>
      </c>
      <c r="AD6152">
        <v>-1.1093256806939999</v>
      </c>
      <c r="AE6152">
        <v>16.940470000000001</v>
      </c>
      <c r="AF6152">
        <v>2.7360537408622401</v>
      </c>
      <c r="AG6152">
        <v>-1.1093256806939999</v>
      </c>
      <c r="AH6152">
        <v>16.917179162365201</v>
      </c>
      <c r="AI6152">
        <v>93.703746565125201</v>
      </c>
      <c r="AJ6152">
        <v>80.812975135220995</v>
      </c>
      <c r="AK6152">
        <v>17.172872338379999</v>
      </c>
      <c r="AL6152">
        <v>85.9137536426678</v>
      </c>
      <c r="AM6152">
        <v>86.838572534916395</v>
      </c>
      <c r="AN6152">
        <v>0.999999996392263</v>
      </c>
    </row>
    <row r="6153" spans="1:40" x14ac:dyDescent="0.25">
      <c r="A6153" t="str">
        <f>"20190312151438406"</f>
        <v>20190312151438406</v>
      </c>
      <c r="B6153" t="str">
        <f>"1552374878396848"</f>
        <v>1552374878396848</v>
      </c>
      <c r="C6153" t="s">
        <v>40</v>
      </c>
      <c r="D6153">
        <v>4.5637549999999996</v>
      </c>
      <c r="E6153">
        <v>0.53880309999999998</v>
      </c>
      <c r="F6153" t="s">
        <v>42</v>
      </c>
      <c r="G6153">
        <v>-185.21680000000001</v>
      </c>
      <c r="H6153" s="1">
        <v>-2.9914919999999999E-6</v>
      </c>
      <c r="I6153">
        <v>84.628230000000002</v>
      </c>
      <c r="J6153">
        <v>-188.3271</v>
      </c>
      <c r="K6153">
        <v>1.1093299999999999</v>
      </c>
      <c r="L6153">
        <v>67.237979999999993</v>
      </c>
      <c r="M6153">
        <v>1.6934749999999998E-2</v>
      </c>
      <c r="N6153">
        <v>0</v>
      </c>
      <c r="O6153">
        <v>0.99977700000000003</v>
      </c>
      <c r="P6153">
        <v>7.2009749999999997E-2</v>
      </c>
      <c r="Q6153">
        <v>5.8343300000000001E-2</v>
      </c>
      <c r="R6153">
        <v>0.99569609999999997</v>
      </c>
      <c r="S6153">
        <v>0.52545169999999997</v>
      </c>
      <c r="T6153">
        <v>-0.18705140000000001</v>
      </c>
      <c r="U6153">
        <v>2.9863590000000002</v>
      </c>
      <c r="V6153">
        <v>5.5242640000000003E-2</v>
      </c>
      <c r="W6153">
        <v>7.0829939999999994E-2</v>
      </c>
      <c r="X6153">
        <v>0.99595750000000005</v>
      </c>
      <c r="Y6153">
        <v>0.15625449999999999</v>
      </c>
      <c r="Z6153">
        <v>-6.1643879999999998E-2</v>
      </c>
      <c r="AA6153">
        <v>0.98579130000000004</v>
      </c>
      <c r="AB6153">
        <v>33</v>
      </c>
      <c r="AC6153">
        <v>3.1102999999999899</v>
      </c>
      <c r="AD6153">
        <v>-1.1093329914919901</v>
      </c>
      <c r="AE6153">
        <v>17.390249999999899</v>
      </c>
      <c r="AF6153">
        <v>2.8042734062318999</v>
      </c>
      <c r="AG6153">
        <v>-1.1093329914919901</v>
      </c>
      <c r="AH6153">
        <v>17.371932927568501</v>
      </c>
      <c r="AI6153">
        <v>93.607248620835506</v>
      </c>
      <c r="AJ6153">
        <v>80.830102957541797</v>
      </c>
      <c r="AK6153">
        <v>17.6317504140357</v>
      </c>
      <c r="AL6153">
        <v>85.938342335148207</v>
      </c>
      <c r="AM6153">
        <v>86.825235875217004</v>
      </c>
      <c r="AN6153">
        <v>0.99999998574041105</v>
      </c>
    </row>
    <row r="6154" spans="1:40" x14ac:dyDescent="0.25">
      <c r="A6154" t="str">
        <f>"20190312151438428"</f>
        <v>20190312151438428</v>
      </c>
      <c r="B6154" t="str">
        <f>"1552374878416370"</f>
        <v>1552374878416370</v>
      </c>
      <c r="C6154" t="s">
        <v>40</v>
      </c>
      <c r="D6154">
        <v>4.8558750000000002</v>
      </c>
      <c r="E6154">
        <v>0.53868719999999903</v>
      </c>
      <c r="F6154" t="s">
        <v>42</v>
      </c>
      <c r="G6154">
        <v>-185.15899999999999</v>
      </c>
      <c r="H6154" s="1">
        <v>-3.2481209999999998E-6</v>
      </c>
      <c r="I6154">
        <v>85.202550000000002</v>
      </c>
      <c r="J6154">
        <v>-188.321</v>
      </c>
      <c r="K6154">
        <v>1.109334</v>
      </c>
      <c r="L6154">
        <v>67.556880000000007</v>
      </c>
      <c r="M6154">
        <v>1.7576870000000001E-2</v>
      </c>
      <c r="N6154">
        <v>0</v>
      </c>
      <c r="O6154">
        <v>0.99976580000000004</v>
      </c>
      <c r="P6154">
        <v>7.2516330000000004E-2</v>
      </c>
      <c r="Q6154">
        <v>5.8525929999999997E-2</v>
      </c>
      <c r="R6154">
        <v>0.99564859999999999</v>
      </c>
      <c r="S6154">
        <v>0.52653499999999998</v>
      </c>
      <c r="T6154">
        <v>-0.1843697</v>
      </c>
      <c r="U6154">
        <v>2.985687</v>
      </c>
      <c r="V6154">
        <v>5.5109980000000003E-2</v>
      </c>
      <c r="W6154">
        <v>7.1023050000000004E-2</v>
      </c>
      <c r="X6154">
        <v>0.99595109999999998</v>
      </c>
      <c r="Y6154">
        <v>0.15601419999999999</v>
      </c>
      <c r="Z6154">
        <v>-6.0775089999999997E-2</v>
      </c>
      <c r="AA6154">
        <v>0.98588339999999997</v>
      </c>
      <c r="AB6154">
        <v>33</v>
      </c>
      <c r="AC6154">
        <v>3.1619999999999702</v>
      </c>
      <c r="AD6154">
        <v>-1.109337248121</v>
      </c>
      <c r="AE6154">
        <v>17.6456699999999</v>
      </c>
      <c r="AF6154">
        <v>2.8404539875277202</v>
      </c>
      <c r="AG6154">
        <v>-1.109337248121</v>
      </c>
      <c r="AH6154">
        <v>17.631010813637999</v>
      </c>
      <c r="AI6154">
        <v>93.554570911556496</v>
      </c>
      <c r="AJ6154">
        <v>80.847970588588495</v>
      </c>
      <c r="AK6154">
        <v>17.8927736892845</v>
      </c>
      <c r="AL6154">
        <v>85.927250022969602</v>
      </c>
      <c r="AM6154">
        <v>86.832823922242298</v>
      </c>
      <c r="AN6154">
        <v>0.99999998855905603</v>
      </c>
    </row>
    <row r="6155" spans="1:40" x14ac:dyDescent="0.25">
      <c r="A6155" t="str">
        <f>"20190312151438449"</f>
        <v>20190312151438449</v>
      </c>
      <c r="B6155" t="str">
        <f>"1552374878436869"</f>
        <v>1552374878436869</v>
      </c>
      <c r="C6155" t="s">
        <v>40</v>
      </c>
      <c r="D6155">
        <v>4.519641</v>
      </c>
      <c r="E6155">
        <v>0.53857940000000004</v>
      </c>
      <c r="F6155" t="s">
        <v>42</v>
      </c>
      <c r="G6155">
        <v>-185.1122</v>
      </c>
      <c r="H6155" s="1">
        <v>-3.4796000000000001E-6</v>
      </c>
      <c r="I6155">
        <v>85.722769999999997</v>
      </c>
      <c r="J6155">
        <v>-188.31460000000001</v>
      </c>
      <c r="K6155">
        <v>1.109337</v>
      </c>
      <c r="L6155">
        <v>67.880919999999904</v>
      </c>
      <c r="M6155">
        <v>1.8229430000000001E-2</v>
      </c>
      <c r="N6155">
        <v>0</v>
      </c>
      <c r="O6155">
        <v>0.99975400000000003</v>
      </c>
      <c r="P6155">
        <v>7.3560600000000004E-2</v>
      </c>
      <c r="Q6155">
        <v>5.8847919999999998E-2</v>
      </c>
      <c r="R6155">
        <v>0.99555300000000002</v>
      </c>
      <c r="S6155">
        <v>0.52734380000000003</v>
      </c>
      <c r="T6155">
        <v>-0.18231030000000001</v>
      </c>
      <c r="U6155">
        <v>2.9854129999999999</v>
      </c>
      <c r="V6155">
        <v>5.5505600000000002E-2</v>
      </c>
      <c r="W6155">
        <v>7.1354089999999995E-2</v>
      </c>
      <c r="X6155">
        <v>0.9959055</v>
      </c>
      <c r="Y6155">
        <v>0.15565109999999999</v>
      </c>
      <c r="Z6155">
        <v>-6.0103450000000003E-2</v>
      </c>
      <c r="AA6155">
        <v>0.98598189999999997</v>
      </c>
      <c r="AB6155">
        <v>33</v>
      </c>
      <c r="AC6155">
        <v>3.2024000000000101</v>
      </c>
      <c r="AD6155">
        <v>-1.1093404795999999</v>
      </c>
      <c r="AE6155">
        <v>17.841850000000001</v>
      </c>
      <c r="AF6155">
        <v>2.86586172170525</v>
      </c>
      <c r="AG6155">
        <v>-1.1093404795999999</v>
      </c>
      <c r="AH6155">
        <v>17.830487921687102</v>
      </c>
      <c r="AI6155">
        <v>93.515122469921707</v>
      </c>
      <c r="AJ6155">
        <v>80.869047951173599</v>
      </c>
      <c r="AK6155">
        <v>18.093371693331299</v>
      </c>
      <c r="AL6155">
        <v>85.908234717715501</v>
      </c>
      <c r="AM6155">
        <v>86.809988632678994</v>
      </c>
      <c r="AN6155">
        <v>1.0000000213606599</v>
      </c>
    </row>
    <row r="6156" spans="1:40" x14ac:dyDescent="0.25">
      <c r="A6156" t="str">
        <f>"20190312151438472"</f>
        <v>20190312151438472</v>
      </c>
      <c r="B6156" t="str">
        <f>"1552374878467119"</f>
        <v>1552374878467119</v>
      </c>
      <c r="C6156" t="s">
        <v>40</v>
      </c>
      <c r="D6156">
        <v>4.5240689999999999</v>
      </c>
      <c r="E6156">
        <v>0.53849419999999903</v>
      </c>
      <c r="F6156" t="s">
        <v>42</v>
      </c>
      <c r="G6156">
        <v>-185.02</v>
      </c>
      <c r="H6156" s="1">
        <v>-3.8067209999999999E-6</v>
      </c>
      <c r="I6156">
        <v>86.447159999999997</v>
      </c>
      <c r="J6156">
        <v>-188.30760000000001</v>
      </c>
      <c r="K6156">
        <v>1.109337</v>
      </c>
      <c r="L6156">
        <v>68.222629999999995</v>
      </c>
      <c r="M6156">
        <v>1.8916410000000002E-2</v>
      </c>
      <c r="N6156">
        <v>0</v>
      </c>
      <c r="O6156">
        <v>0.99974099999999999</v>
      </c>
      <c r="P6156">
        <v>7.4935829999999995E-2</v>
      </c>
      <c r="Q6156">
        <v>5.8589889999999999E-2</v>
      </c>
      <c r="R6156">
        <v>0.99546559999999995</v>
      </c>
      <c r="S6156">
        <v>0.52966309999999905</v>
      </c>
      <c r="T6156">
        <v>-0.17834320000000001</v>
      </c>
      <c r="U6156">
        <v>2.9848020000000002</v>
      </c>
      <c r="V6156">
        <v>5.619677E-2</v>
      </c>
      <c r="W6156">
        <v>7.1109130000000006E-2</v>
      </c>
      <c r="X6156">
        <v>0.9958842</v>
      </c>
      <c r="Y6156">
        <v>0.15576329999999999</v>
      </c>
      <c r="Z6156">
        <v>-5.8806400000000002E-2</v>
      </c>
      <c r="AA6156">
        <v>0.98604239999999999</v>
      </c>
      <c r="AB6156">
        <v>33</v>
      </c>
      <c r="AC6156">
        <v>3.2875999999999901</v>
      </c>
      <c r="AD6156">
        <v>-1.109340806721</v>
      </c>
      <c r="AE6156">
        <v>18.224529999999898</v>
      </c>
      <c r="AF6156">
        <v>2.9317209711681498</v>
      </c>
      <c r="AG6156">
        <v>-1.109340806721</v>
      </c>
      <c r="AH6156">
        <v>18.218088011397398</v>
      </c>
      <c r="AI6156">
        <v>93.440413688402998</v>
      </c>
      <c r="AJ6156">
        <v>80.858131007000495</v>
      </c>
      <c r="AK6156">
        <v>18.4857879374742</v>
      </c>
      <c r="AL6156">
        <v>85.922305394364997</v>
      </c>
      <c r="AM6156">
        <v>86.770280435010093</v>
      </c>
      <c r="AN6156">
        <v>0.99999996256871404</v>
      </c>
    </row>
    <row r="6157" spans="1:40" x14ac:dyDescent="0.25">
      <c r="A6157" t="str">
        <f>"20190312151438505"</f>
        <v>20190312151438505</v>
      </c>
      <c r="B6157" t="str">
        <f>"1552374878496400"</f>
        <v>1552374878496400</v>
      </c>
      <c r="C6157" t="s">
        <v>40</v>
      </c>
      <c r="D6157">
        <v>4.5603790000000002</v>
      </c>
      <c r="E6157">
        <v>0.53849199999999997</v>
      </c>
      <c r="F6157" t="s">
        <v>42</v>
      </c>
      <c r="G6157">
        <v>-184.99379999999999</v>
      </c>
      <c r="H6157" s="1">
        <v>-3.9497539999999999E-6</v>
      </c>
      <c r="I6157">
        <v>86.769769999999994</v>
      </c>
      <c r="J6157">
        <v>-188.29740000000001</v>
      </c>
      <c r="K6157">
        <v>1.1093390000000001</v>
      </c>
      <c r="L6157">
        <v>68.702060000000003</v>
      </c>
      <c r="M6157">
        <v>1.9878130000000001E-2</v>
      </c>
      <c r="N6157">
        <v>0</v>
      </c>
      <c r="O6157">
        <v>0.99972209999999995</v>
      </c>
      <c r="P6157">
        <v>7.6841590000000001E-2</v>
      </c>
      <c r="Q6157">
        <v>5.8212880000000002E-2</v>
      </c>
      <c r="R6157">
        <v>0.99534250000000002</v>
      </c>
      <c r="S6157">
        <v>0.53315729999999995</v>
      </c>
      <c r="T6157">
        <v>-0.17848120000000001</v>
      </c>
      <c r="U6157">
        <v>2.9840390000000001</v>
      </c>
      <c r="V6157">
        <v>5.714487E-2</v>
      </c>
      <c r="W6157">
        <v>7.0754310000000001E-2</v>
      </c>
      <c r="X6157">
        <v>0.99585559999999995</v>
      </c>
      <c r="Y6157">
        <v>0.155975</v>
      </c>
      <c r="Z6157">
        <v>-5.8857909999999999E-2</v>
      </c>
      <c r="AA6157">
        <v>0.98600580000000004</v>
      </c>
      <c r="AB6157">
        <v>33</v>
      </c>
      <c r="AC6157">
        <v>3.3036000000000101</v>
      </c>
      <c r="AD6157">
        <v>-1.1093429497539999</v>
      </c>
      <c r="AE6157">
        <v>18.067709999999899</v>
      </c>
      <c r="AF6157">
        <v>2.9330664668680799</v>
      </c>
      <c r="AG6157">
        <v>-1.1093429497539999</v>
      </c>
      <c r="AH6157">
        <v>18.063918670191899</v>
      </c>
      <c r="AI6157">
        <v>93.468922302903593</v>
      </c>
      <c r="AJ6157">
        <v>80.777284224801704</v>
      </c>
      <c r="AK6157">
        <v>18.334085153138801</v>
      </c>
      <c r="AL6157">
        <v>85.942686744038099</v>
      </c>
      <c r="AM6157">
        <v>86.715815759878495</v>
      </c>
      <c r="AN6157">
        <v>1.0000000423011199</v>
      </c>
    </row>
    <row r="6158" spans="1:40" x14ac:dyDescent="0.25">
      <c r="A6158" t="str">
        <f>"20190312151438528"</f>
        <v>20190312151438528</v>
      </c>
      <c r="B6158" t="str">
        <f>"1552374878516901"</f>
        <v>1552374878516901</v>
      </c>
      <c r="C6158" t="s">
        <v>40</v>
      </c>
      <c r="D6158">
        <v>4.5848089999999999</v>
      </c>
      <c r="E6158">
        <v>0.53842209999999902</v>
      </c>
      <c r="F6158" t="s">
        <v>42</v>
      </c>
      <c r="G6158">
        <v>-184.98849999999999</v>
      </c>
      <c r="H6158" s="1">
        <v>-4.0543950000000002E-6</v>
      </c>
      <c r="I6158">
        <v>87.011489999999995</v>
      </c>
      <c r="J6158">
        <v>-188.28980000000001</v>
      </c>
      <c r="K6158">
        <v>1.1093470000000001</v>
      </c>
      <c r="L6158">
        <v>69.049769999999995</v>
      </c>
      <c r="M6158">
        <v>2.0569359999999998E-2</v>
      </c>
      <c r="N6158">
        <v>0</v>
      </c>
      <c r="O6158">
        <v>0.99970789999999998</v>
      </c>
      <c r="P6158">
        <v>7.8366909999999998E-2</v>
      </c>
      <c r="Q6158">
        <v>5.7380819999999999E-2</v>
      </c>
      <c r="R6158">
        <v>0.99527189999999999</v>
      </c>
      <c r="S6158">
        <v>0.53909300000000004</v>
      </c>
      <c r="T6158">
        <v>-0.18073420000000001</v>
      </c>
      <c r="U6158">
        <v>2.982971</v>
      </c>
      <c r="V6158">
        <v>5.798039E-2</v>
      </c>
      <c r="W6158">
        <v>6.993713E-2</v>
      </c>
      <c r="X6158">
        <v>0.995865</v>
      </c>
      <c r="Y6158">
        <v>0.15724589999999999</v>
      </c>
      <c r="Z6158">
        <v>-5.9601479999999998E-2</v>
      </c>
      <c r="AA6158">
        <v>0.9857593</v>
      </c>
      <c r="AB6158">
        <v>33</v>
      </c>
      <c r="AC6158">
        <v>3.3013000000000199</v>
      </c>
      <c r="AD6158">
        <v>-1.10935105439499</v>
      </c>
      <c r="AE6158">
        <v>17.96172</v>
      </c>
      <c r="AF6158">
        <v>2.92033487500413</v>
      </c>
      <c r="AG6158">
        <v>-1.10935105439499</v>
      </c>
      <c r="AH6158">
        <v>17.959561465381402</v>
      </c>
      <c r="AI6158">
        <v>93.488925615350396</v>
      </c>
      <c r="AJ6158">
        <v>80.764189219468605</v>
      </c>
      <c r="AK6158">
        <v>18.2292310197898</v>
      </c>
      <c r="AL6158">
        <v>85.989623869764699</v>
      </c>
      <c r="AM6158">
        <v>86.667936223214795</v>
      </c>
      <c r="AN6158">
        <v>1.00000001300109</v>
      </c>
    </row>
    <row r="6159" spans="1:40" x14ac:dyDescent="0.25">
      <c r="A6159" t="str">
        <f>"20190312151438551"</f>
        <v>20190312151438551</v>
      </c>
      <c r="B6159" t="str">
        <f>"1552374878547152"</f>
        <v>1552374878547152</v>
      </c>
      <c r="C6159" t="s">
        <v>40</v>
      </c>
      <c r="D6159">
        <v>4.5594169999999998</v>
      </c>
      <c r="E6159">
        <v>0.53833569999999997</v>
      </c>
      <c r="F6159" t="s">
        <v>42</v>
      </c>
      <c r="G6159">
        <v>-185.0076</v>
      </c>
      <c r="H6159" s="1">
        <v>-4.0735029999999999E-6</v>
      </c>
      <c r="I6159">
        <v>87.063909999999893</v>
      </c>
      <c r="J6159">
        <v>-188.28229999999999</v>
      </c>
      <c r="K6159">
        <v>1.1093519999999999</v>
      </c>
      <c r="L6159">
        <v>69.377499999999998</v>
      </c>
      <c r="M6159">
        <v>2.1211939999999999E-2</v>
      </c>
      <c r="N6159">
        <v>0</v>
      </c>
      <c r="O6159">
        <v>0.99969430000000004</v>
      </c>
      <c r="P6159">
        <v>7.9802490000000004E-2</v>
      </c>
      <c r="Q6159">
        <v>5.7103939999999999E-2</v>
      </c>
      <c r="R6159">
        <v>0.99517370000000005</v>
      </c>
      <c r="S6159">
        <v>0.54333500000000001</v>
      </c>
      <c r="T6159">
        <v>-0.18364179999999999</v>
      </c>
      <c r="U6159">
        <v>2.982056</v>
      </c>
      <c r="V6159">
        <v>5.8775679999999997E-2</v>
      </c>
      <c r="W6159">
        <v>6.9672670000000006E-2</v>
      </c>
      <c r="X6159">
        <v>0.99583690000000002</v>
      </c>
      <c r="Y6159">
        <v>0.15801119999999999</v>
      </c>
      <c r="Z6159">
        <v>-6.0562480000000002E-2</v>
      </c>
      <c r="AA6159">
        <v>0.98557839999999997</v>
      </c>
      <c r="AB6159">
        <v>33</v>
      </c>
      <c r="AC6159">
        <v>3.27469999999999</v>
      </c>
      <c r="AD6159">
        <v>-1.1093560735029999</v>
      </c>
      <c r="AE6159">
        <v>17.686409999999899</v>
      </c>
      <c r="AF6159">
        <v>2.8877850305201598</v>
      </c>
      <c r="AG6159">
        <v>-1.1093560735029999</v>
      </c>
      <c r="AH6159">
        <v>17.684628567801798</v>
      </c>
      <c r="AI6159">
        <v>93.542659264028302</v>
      </c>
      <c r="AJ6159">
        <v>80.725824353279506</v>
      </c>
      <c r="AK6159">
        <v>17.9531629765182</v>
      </c>
      <c r="AL6159">
        <v>86.004813297539599</v>
      </c>
      <c r="AM6159">
        <v>86.622241871026802</v>
      </c>
      <c r="AN6159">
        <v>0.99999999645299997</v>
      </c>
    </row>
    <row r="6160" spans="1:40" x14ac:dyDescent="0.25">
      <c r="A6160" t="str">
        <f>"20190312151438571"</f>
        <v>20190312151438571</v>
      </c>
      <c r="B6160" t="str">
        <f>"1552374878566672"</f>
        <v>1552374878566672</v>
      </c>
      <c r="C6160" t="s">
        <v>40</v>
      </c>
      <c r="D6160">
        <v>4.5901509999999996</v>
      </c>
      <c r="E6160">
        <v>0.53827999999999998</v>
      </c>
      <c r="F6160" t="s">
        <v>42</v>
      </c>
      <c r="G6160">
        <v>-185.03</v>
      </c>
      <c r="H6160" s="1">
        <v>-4.0844750000000004E-6</v>
      </c>
      <c r="I6160">
        <v>87.098749999999995</v>
      </c>
      <c r="J6160">
        <v>-188.2749</v>
      </c>
      <c r="K6160">
        <v>1.1093580000000001</v>
      </c>
      <c r="L6160">
        <v>69.694119999999998</v>
      </c>
      <c r="M6160">
        <v>2.182334E-2</v>
      </c>
      <c r="N6160">
        <v>0</v>
      </c>
      <c r="O6160">
        <v>0.99968100000000004</v>
      </c>
      <c r="P6160">
        <v>8.1355300000000005E-2</v>
      </c>
      <c r="Q6160">
        <v>5.6656900000000003E-2</v>
      </c>
      <c r="R6160">
        <v>0.99507350000000006</v>
      </c>
      <c r="S6160">
        <v>0.54716489999999995</v>
      </c>
      <c r="T6160">
        <v>-0.18663550000000001</v>
      </c>
      <c r="U6160">
        <v>2.9813839999999998</v>
      </c>
      <c r="V6160">
        <v>5.9718809999999997E-2</v>
      </c>
      <c r="W6160">
        <v>6.9235980000000003E-2</v>
      </c>
      <c r="X6160">
        <v>0.99581120000000001</v>
      </c>
      <c r="Y6160">
        <v>0.15866069999999999</v>
      </c>
      <c r="Z6160">
        <v>-6.1548119999999998E-2</v>
      </c>
      <c r="AA6160">
        <v>0.98541290000000004</v>
      </c>
      <c r="AB6160">
        <v>33</v>
      </c>
      <c r="AC6160">
        <v>3.2448999999999999</v>
      </c>
      <c r="AD6160">
        <v>-1.1093620844750001</v>
      </c>
      <c r="AE6160">
        <v>17.404629999999901</v>
      </c>
      <c r="AF6160">
        <v>2.8530673707332199</v>
      </c>
      <c r="AG6160">
        <v>-1.1093620844750001</v>
      </c>
      <c r="AH6160">
        <v>17.4029761808799</v>
      </c>
      <c r="AI6160">
        <v>93.599493444312003</v>
      </c>
      <c r="AJ6160">
        <v>80.689673627831397</v>
      </c>
      <c r="AK6160">
        <v>17.670151601180098</v>
      </c>
      <c r="AL6160">
        <v>86.029894180948304</v>
      </c>
      <c r="AM6160">
        <v>86.5680816410283</v>
      </c>
      <c r="AN6160">
        <v>0.99999995161990696</v>
      </c>
    </row>
    <row r="6161" spans="1:40" x14ac:dyDescent="0.25">
      <c r="A6161" t="str">
        <f>"20190312151438595"</f>
        <v>20190312151438595</v>
      </c>
      <c r="B6161" t="str">
        <f>"1552374878587168"</f>
        <v>1552374878587168</v>
      </c>
      <c r="C6161" t="s">
        <v>40</v>
      </c>
      <c r="D6161">
        <v>4.6504219999999998</v>
      </c>
      <c r="E6161">
        <v>0.53824830000000001</v>
      </c>
      <c r="F6161" t="s">
        <v>42</v>
      </c>
      <c r="G6161">
        <v>-185.0368</v>
      </c>
      <c r="H6161" s="1">
        <v>-4.1233519999999997E-6</v>
      </c>
      <c r="I6161">
        <v>87.1922</v>
      </c>
      <c r="J6161">
        <v>-188.26650000000001</v>
      </c>
      <c r="K6161">
        <v>1.1093710000000001</v>
      </c>
      <c r="L6161">
        <v>70.046880000000002</v>
      </c>
      <c r="M6161">
        <v>2.2486880000000001E-2</v>
      </c>
      <c r="N6161">
        <v>0</v>
      </c>
      <c r="O6161">
        <v>0.99966619999999995</v>
      </c>
      <c r="P6161">
        <v>8.3033640000000006E-2</v>
      </c>
      <c r="Q6161">
        <v>5.5939660000000002E-2</v>
      </c>
      <c r="R6161">
        <v>0.99497539999999995</v>
      </c>
      <c r="S6161">
        <v>0.55155940000000003</v>
      </c>
      <c r="T6161">
        <v>-0.18896089999999999</v>
      </c>
      <c r="U6161">
        <v>2.980499</v>
      </c>
      <c r="V6161">
        <v>6.073423E-2</v>
      </c>
      <c r="W6161">
        <v>6.8530030000000006E-2</v>
      </c>
      <c r="X6161">
        <v>0.99579859999999998</v>
      </c>
      <c r="Y6161">
        <v>0.15945379999999901</v>
      </c>
      <c r="Z6161">
        <v>-6.2316509999999999E-2</v>
      </c>
      <c r="AA6161">
        <v>0.98523660000000002</v>
      </c>
      <c r="AB6161">
        <v>33</v>
      </c>
      <c r="AC6161">
        <v>3.2296999999999998</v>
      </c>
      <c r="AD6161">
        <v>-1.1093751233519999</v>
      </c>
      <c r="AE6161">
        <v>17.145319999999899</v>
      </c>
      <c r="AF6161">
        <v>2.8318575587002401</v>
      </c>
      <c r="AG6161">
        <v>-1.1093751233519999</v>
      </c>
      <c r="AH6161">
        <v>17.144298303418001</v>
      </c>
      <c r="AI6161">
        <v>93.652978604451604</v>
      </c>
      <c r="AJ6161">
        <v>80.620697724784193</v>
      </c>
      <c r="AK6161">
        <v>17.411981355195099</v>
      </c>
      <c r="AL6161">
        <v>86.070438364014805</v>
      </c>
      <c r="AM6161">
        <v>86.509826512324395</v>
      </c>
      <c r="AN6161">
        <v>0.99999993173372403</v>
      </c>
    </row>
    <row r="6162" spans="1:40" x14ac:dyDescent="0.25">
      <c r="A6162" t="str">
        <f>"20190312151438619"</f>
        <v>20190312151438619</v>
      </c>
      <c r="B6162" t="str">
        <f>"1552374878606689"</f>
        <v>1552374878606689</v>
      </c>
      <c r="C6162" t="s">
        <v>40</v>
      </c>
      <c r="D6162">
        <v>4.5709280000000003</v>
      </c>
      <c r="E6162">
        <v>0.5379794</v>
      </c>
      <c r="F6162" t="s">
        <v>42</v>
      </c>
      <c r="G6162">
        <v>-185.00550000000001</v>
      </c>
      <c r="H6162" s="1">
        <v>-4.264951E-6</v>
      </c>
      <c r="I6162">
        <v>87.509320000000002</v>
      </c>
      <c r="J6162">
        <v>-188.25810000000001</v>
      </c>
      <c r="K6162">
        <v>1.1093959999999901</v>
      </c>
      <c r="L6162">
        <v>70.389340000000004</v>
      </c>
      <c r="M6162">
        <v>2.3102879999999999E-2</v>
      </c>
      <c r="N6162">
        <v>0</v>
      </c>
      <c r="O6162">
        <v>0.99965199999999999</v>
      </c>
      <c r="P6162">
        <v>8.4635680000000005E-2</v>
      </c>
      <c r="Q6162">
        <v>5.6146010000000003E-2</v>
      </c>
      <c r="R6162">
        <v>0.99482879999999996</v>
      </c>
      <c r="S6162">
        <v>0.55638120000000002</v>
      </c>
      <c r="T6162">
        <v>-0.18927720000000001</v>
      </c>
      <c r="U6162">
        <v>2.9793699999999999</v>
      </c>
      <c r="V6162">
        <v>6.1722230000000003E-2</v>
      </c>
      <c r="W6162">
        <v>6.8746489999999993E-2</v>
      </c>
      <c r="X6162">
        <v>0.99572300000000002</v>
      </c>
      <c r="Y6162">
        <v>0.16045209999999999</v>
      </c>
      <c r="Z6162">
        <v>-6.2428039999999997E-2</v>
      </c>
      <c r="AA6162">
        <v>0.98506740000000004</v>
      </c>
      <c r="AB6162">
        <v>33</v>
      </c>
      <c r="AC6162">
        <v>3.2526000000000002</v>
      </c>
      <c r="AD6162">
        <v>-1.10940026495099</v>
      </c>
      <c r="AE6162">
        <v>17.119979999999899</v>
      </c>
      <c r="AF6162">
        <v>2.84464961126494</v>
      </c>
      <c r="AG6162">
        <v>-1.10940026495099</v>
      </c>
      <c r="AH6162">
        <v>17.121169261812</v>
      </c>
      <c r="AI6162">
        <v>93.657412026348098</v>
      </c>
      <c r="AJ6162">
        <v>80.566589311486297</v>
      </c>
      <c r="AK6162">
        <v>17.3912977448596</v>
      </c>
      <c r="AL6162">
        <v>86.0580070822284</v>
      </c>
      <c r="AM6162">
        <v>86.452924953041105</v>
      </c>
      <c r="AN6162">
        <v>1.0000000031462399</v>
      </c>
    </row>
    <row r="6163" spans="1:40" x14ac:dyDescent="0.25">
      <c r="A6163" t="str">
        <f>"20190312151438639"</f>
        <v>20190312151438639</v>
      </c>
      <c r="B6163" t="str">
        <f>"1552374878636960"</f>
        <v>1552374878636960</v>
      </c>
      <c r="C6163" t="s">
        <v>40</v>
      </c>
      <c r="D6163">
        <v>4.595872</v>
      </c>
      <c r="E6163">
        <v>0.5375839</v>
      </c>
      <c r="F6163" t="s">
        <v>42</v>
      </c>
      <c r="G6163">
        <v>-184.95160000000001</v>
      </c>
      <c r="H6163" s="1">
        <v>-4.4886139999999996E-6</v>
      </c>
      <c r="I6163">
        <v>88.008390000000006</v>
      </c>
      <c r="J6163">
        <v>-188.25040000000001</v>
      </c>
      <c r="K6163">
        <v>1.1094280000000001</v>
      </c>
      <c r="L6163">
        <v>70.696839999999995</v>
      </c>
      <c r="M6163">
        <v>2.3619569999999999E-2</v>
      </c>
      <c r="N6163">
        <v>0</v>
      </c>
      <c r="O6163">
        <v>0.99963979999999997</v>
      </c>
      <c r="P6163">
        <v>8.6470489999999997E-2</v>
      </c>
      <c r="Q6163">
        <v>5.6745709999999998E-2</v>
      </c>
      <c r="R6163">
        <v>0.99463699999999999</v>
      </c>
      <c r="S6163">
        <v>0.55899049999999995</v>
      </c>
      <c r="T6163">
        <v>-0.18755279999999999</v>
      </c>
      <c r="U6163">
        <v>2.9786380000000001</v>
      </c>
      <c r="V6163">
        <v>6.3042420000000002E-2</v>
      </c>
      <c r="W6163">
        <v>6.9354440000000003E-2</v>
      </c>
      <c r="X6163">
        <v>0.99559810000000004</v>
      </c>
      <c r="Y6163">
        <v>0.16082579999999999</v>
      </c>
      <c r="Z6163">
        <v>-6.1868479999999997E-2</v>
      </c>
      <c r="AA6163">
        <v>0.98504179999999997</v>
      </c>
      <c r="AB6163">
        <v>33</v>
      </c>
      <c r="AC6163">
        <v>3.2988</v>
      </c>
      <c r="AD6163">
        <v>-1.1094324886139999</v>
      </c>
      <c r="AE6163">
        <v>17.311549999999901</v>
      </c>
      <c r="AF6163">
        <v>2.8775508341739302</v>
      </c>
      <c r="AG6163">
        <v>-1.1094324886139999</v>
      </c>
      <c r="AH6163">
        <v>17.316016348630701</v>
      </c>
      <c r="AI6163">
        <v>93.616454111268297</v>
      </c>
      <c r="AJ6163">
        <v>80.564889990599596</v>
      </c>
      <c r="AK6163">
        <v>17.588506515224498</v>
      </c>
      <c r="AL6163">
        <v>86.023090684646803</v>
      </c>
      <c r="AM6163">
        <v>86.3768024764844</v>
      </c>
      <c r="AN6163">
        <v>0.999999980895389</v>
      </c>
    </row>
    <row r="6164" spans="1:40" x14ac:dyDescent="0.25">
      <c r="A6164" t="str">
        <f>"20190312151438662"</f>
        <v>20190312151438662</v>
      </c>
      <c r="B6164" t="str">
        <f>"1552374878656464"</f>
        <v>1552374878656464</v>
      </c>
      <c r="C6164" t="s">
        <v>40</v>
      </c>
      <c r="D6164">
        <v>4.5900809999999996</v>
      </c>
      <c r="E6164">
        <v>0.53740840000000001</v>
      </c>
      <c r="F6164" t="s">
        <v>42</v>
      </c>
      <c r="G6164">
        <v>-184.88040000000001</v>
      </c>
      <c r="H6164" s="1">
        <v>-4.7434899999999997E-6</v>
      </c>
      <c r="I6164">
        <v>88.573089999999993</v>
      </c>
      <c r="J6164">
        <v>-188.24189999999999</v>
      </c>
      <c r="K6164">
        <v>1.109475</v>
      </c>
      <c r="L6164">
        <v>71.031189999999995</v>
      </c>
      <c r="M6164">
        <v>2.4125529999999999E-2</v>
      </c>
      <c r="N6164">
        <v>0</v>
      </c>
      <c r="O6164">
        <v>0.99962759999999995</v>
      </c>
      <c r="P6164">
        <v>8.8249469999999997E-2</v>
      </c>
      <c r="Q6164">
        <v>5.6719249999999999E-2</v>
      </c>
      <c r="R6164">
        <v>0.99448230000000004</v>
      </c>
      <c r="S6164">
        <v>0.5613861</v>
      </c>
      <c r="T6164">
        <v>-0.18481420000000001</v>
      </c>
      <c r="U6164">
        <v>2.9779049999999998</v>
      </c>
      <c r="V6164">
        <v>6.4313289999999995E-2</v>
      </c>
      <c r="W6164">
        <v>6.9338269999999994E-2</v>
      </c>
      <c r="X6164">
        <v>0.99551800000000001</v>
      </c>
      <c r="Y6164">
        <v>0.1611457</v>
      </c>
      <c r="Z6164">
        <v>-6.0976009999999997E-2</v>
      </c>
      <c r="AA6164">
        <v>0.98504519999999995</v>
      </c>
      <c r="AB6164">
        <v>33</v>
      </c>
      <c r="AC6164">
        <v>3.3614999999999702</v>
      </c>
      <c r="AD6164">
        <v>-1.1094797434899999</v>
      </c>
      <c r="AE6164">
        <v>17.541899999999998</v>
      </c>
      <c r="AF6164">
        <v>2.92598931917989</v>
      </c>
      <c r="AG6164">
        <v>-1.1094797434899999</v>
      </c>
      <c r="AH6164">
        <v>17.550179764966899</v>
      </c>
      <c r="AI6164">
        <v>93.568165782314694</v>
      </c>
      <c r="AJ6164">
        <v>80.534630466441598</v>
      </c>
      <c r="AK6164">
        <v>17.826978672221099</v>
      </c>
      <c r="AL6164">
        <v>86.024019635061705</v>
      </c>
      <c r="AM6164">
        <v>86.303666466172302</v>
      </c>
      <c r="AN6164">
        <v>1.0000000416406001</v>
      </c>
    </row>
    <row r="6165" spans="1:40" x14ac:dyDescent="0.25">
      <c r="A6165" t="str">
        <f>"20190312151438684"</f>
        <v>20190312151438684</v>
      </c>
      <c r="B6165" t="str">
        <f>"1552374878676960"</f>
        <v>1552374878676960</v>
      </c>
      <c r="C6165" t="s">
        <v>40</v>
      </c>
      <c r="D6165">
        <v>4.6304509999999999</v>
      </c>
      <c r="E6165">
        <v>0.53720019999999902</v>
      </c>
      <c r="F6165" t="s">
        <v>42</v>
      </c>
      <c r="G6165">
        <v>-184.8732</v>
      </c>
      <c r="H6165" s="1">
        <v>-4.8344739999999998E-6</v>
      </c>
      <c r="I6165">
        <v>88.782169999999994</v>
      </c>
      <c r="J6165">
        <v>-188.23349999999999</v>
      </c>
      <c r="K6165">
        <v>1.1095250000000001</v>
      </c>
      <c r="L6165">
        <v>71.359830000000002</v>
      </c>
      <c r="M6165">
        <v>2.4553519999999999E-2</v>
      </c>
      <c r="N6165">
        <v>0</v>
      </c>
      <c r="O6165">
        <v>0.99961719999999998</v>
      </c>
      <c r="P6165">
        <v>8.9659879999999997E-2</v>
      </c>
      <c r="Q6165">
        <v>5.672423E-2</v>
      </c>
      <c r="R6165">
        <v>0.99435580000000001</v>
      </c>
      <c r="S6165">
        <v>0.56498719999999902</v>
      </c>
      <c r="T6165">
        <v>-0.18607679999999999</v>
      </c>
      <c r="U6165">
        <v>2.977112</v>
      </c>
      <c r="V6165">
        <v>6.5290589999999996E-2</v>
      </c>
      <c r="W6165">
        <v>6.9355849999999997E-2</v>
      </c>
      <c r="X6165">
        <v>0.99545309999999998</v>
      </c>
      <c r="Y6165">
        <v>0.16191649999999999</v>
      </c>
      <c r="Z6165">
        <v>-6.1395320000000003E-2</v>
      </c>
      <c r="AA6165">
        <v>0.98489269999999995</v>
      </c>
      <c r="AB6165">
        <v>33</v>
      </c>
      <c r="AC6165">
        <v>3.3602999999999899</v>
      </c>
      <c r="AD6165">
        <v>-1.1095298344740001</v>
      </c>
      <c r="AE6165">
        <v>17.422339999999899</v>
      </c>
      <c r="AF6165">
        <v>2.9200541218390401</v>
      </c>
      <c r="AG6165">
        <v>-1.1095298344740001</v>
      </c>
      <c r="AH6165">
        <v>17.4314395391464</v>
      </c>
      <c r="AI6165">
        <v>93.592106691896404</v>
      </c>
      <c r="AJ6165">
        <v>80.490307247958498</v>
      </c>
      <c r="AK6165">
        <v>17.709117903920902</v>
      </c>
      <c r="AL6165">
        <v>86.023009717692204</v>
      </c>
      <c r="AM6165">
        <v>86.247412589227096</v>
      </c>
      <c r="AN6165">
        <v>0.99999998468568996</v>
      </c>
    </row>
    <row r="6166" spans="1:40" x14ac:dyDescent="0.25">
      <c r="A6166" t="str">
        <f>"20190312151438706"</f>
        <v>20190312151438706</v>
      </c>
      <c r="B6166" t="str">
        <f>"1552374878697456"</f>
        <v>1552374878697456</v>
      </c>
      <c r="C6166" t="s">
        <v>40</v>
      </c>
      <c r="D6166">
        <v>5.0377669999999997</v>
      </c>
      <c r="E6166">
        <v>0.53693429999999998</v>
      </c>
      <c r="F6166" t="s">
        <v>42</v>
      </c>
      <c r="G6166">
        <v>-184.86879999999999</v>
      </c>
      <c r="H6166" s="1">
        <v>-4.9279870000000004E-6</v>
      </c>
      <c r="I6166">
        <v>88.998350000000002</v>
      </c>
      <c r="J6166">
        <v>-188.2252</v>
      </c>
      <c r="K6166">
        <v>1.1095889999999999</v>
      </c>
      <c r="L6166">
        <v>71.680419999999998</v>
      </c>
      <c r="M6166">
        <v>2.4892810000000001E-2</v>
      </c>
      <c r="N6166">
        <v>0</v>
      </c>
      <c r="O6166">
        <v>0.99960870000000002</v>
      </c>
      <c r="P6166">
        <v>9.0921699999999994E-2</v>
      </c>
      <c r="Q6166">
        <v>5.6440049999999999E-2</v>
      </c>
      <c r="R6166">
        <v>0.99425739999999996</v>
      </c>
      <c r="S6166">
        <v>0.56779480000000004</v>
      </c>
      <c r="T6166">
        <v>-0.18723509999999999</v>
      </c>
      <c r="U6166">
        <v>2.9765320000000002</v>
      </c>
      <c r="V6166">
        <v>6.6205230000000004E-2</v>
      </c>
      <c r="W6166">
        <v>6.9085670000000002E-2</v>
      </c>
      <c r="X6166">
        <v>0.9954115</v>
      </c>
      <c r="Y6166">
        <v>0.16250880000000001</v>
      </c>
      <c r="Z6166">
        <v>-6.1778630000000001E-2</v>
      </c>
      <c r="AA6166">
        <v>0.98477119999999996</v>
      </c>
      <c r="AB6166">
        <v>33</v>
      </c>
      <c r="AC6166">
        <v>3.3563999999999998</v>
      </c>
      <c r="AD6166">
        <v>-1.109593927987</v>
      </c>
      <c r="AE6166">
        <v>17.31793</v>
      </c>
      <c r="AF6166">
        <v>2.9127083196765899</v>
      </c>
      <c r="AG6166">
        <v>-1.109593927987</v>
      </c>
      <c r="AH6166">
        <v>17.327561590599899</v>
      </c>
      <c r="AI6166">
        <v>93.613451155845794</v>
      </c>
      <c r="AJ6166">
        <v>80.457968198571095</v>
      </c>
      <c r="AK6166">
        <v>17.605665540290499</v>
      </c>
      <c r="AL6166">
        <v>86.038527205948697</v>
      </c>
      <c r="AM6166">
        <v>86.194838318376796</v>
      </c>
      <c r="AN6166">
        <v>1.0000000083054701</v>
      </c>
    </row>
    <row r="6167" spans="1:40" x14ac:dyDescent="0.25">
      <c r="A6167" t="str">
        <f>"20190312151438729"</f>
        <v>20190312151438729</v>
      </c>
      <c r="B6167" t="str">
        <f>"1552374878726736"</f>
        <v>1552374878726736</v>
      </c>
      <c r="C6167" t="s">
        <v>40</v>
      </c>
      <c r="D6167">
        <v>4.6281660000000002</v>
      </c>
      <c r="E6167">
        <v>0.53656969999999904</v>
      </c>
      <c r="F6167" t="s">
        <v>42</v>
      </c>
      <c r="G6167">
        <v>-184.869</v>
      </c>
      <c r="H6167" s="1">
        <v>-5.0273299999999997E-6</v>
      </c>
      <c r="I6167">
        <v>89.23</v>
      </c>
      <c r="J6167">
        <v>-188.21629999999999</v>
      </c>
      <c r="K6167">
        <v>1.109659</v>
      </c>
      <c r="L6167">
        <v>72.021029999999996</v>
      </c>
      <c r="M6167">
        <v>2.5161820000000001E-2</v>
      </c>
      <c r="N6167">
        <v>0</v>
      </c>
      <c r="O6167">
        <v>0.99960190000000004</v>
      </c>
      <c r="P6167">
        <v>9.1828779999999999E-2</v>
      </c>
      <c r="Q6167">
        <v>5.6448360000000003E-2</v>
      </c>
      <c r="R6167">
        <v>0.99417350000000004</v>
      </c>
      <c r="S6167">
        <v>0.56912229999999997</v>
      </c>
      <c r="T6167">
        <v>-0.1881583</v>
      </c>
      <c r="U6167">
        <v>2.9759519999999999</v>
      </c>
      <c r="V6167">
        <v>6.6833909999999996E-2</v>
      </c>
      <c r="W6167">
        <v>6.9108489999999995E-2</v>
      </c>
      <c r="X6167">
        <v>0.99536789999999997</v>
      </c>
      <c r="Y6167">
        <v>0.16269879999999901</v>
      </c>
      <c r="Z6167">
        <v>-6.2089709999999999E-2</v>
      </c>
      <c r="AA6167">
        <v>0.98472020000000005</v>
      </c>
      <c r="AB6167">
        <v>33</v>
      </c>
      <c r="AC6167">
        <v>3.3472999999999602</v>
      </c>
      <c r="AD6167">
        <v>-1.10966402733</v>
      </c>
      <c r="AE6167">
        <v>17.208969999999901</v>
      </c>
      <c r="AF6167">
        <v>2.90157114129055</v>
      </c>
      <c r="AG6167">
        <v>-1.10966402733</v>
      </c>
      <c r="AH6167">
        <v>17.2187677574715</v>
      </c>
      <c r="AI6167">
        <v>93.636203673681607</v>
      </c>
      <c r="AJ6167">
        <v>80.434829474514402</v>
      </c>
      <c r="AK6167">
        <v>17.496754911333198</v>
      </c>
      <c r="AL6167">
        <v>86.037216573199601</v>
      </c>
      <c r="AM6167">
        <v>86.158644696767098</v>
      </c>
      <c r="AN6167">
        <v>1.0000000056331799</v>
      </c>
    </row>
    <row r="6168" spans="1:40" x14ac:dyDescent="0.25">
      <c r="A6168" t="str">
        <f>"20190312151438751"</f>
        <v>20190312151438751</v>
      </c>
      <c r="B6168" t="str">
        <f>"1552374878746257"</f>
        <v>1552374878746257</v>
      </c>
      <c r="C6168" t="s">
        <v>40</v>
      </c>
      <c r="D6168">
        <v>4.646172</v>
      </c>
      <c r="E6168">
        <v>0.53632939999999996</v>
      </c>
      <c r="F6168" t="s">
        <v>42</v>
      </c>
      <c r="G6168">
        <v>-184.8321</v>
      </c>
      <c r="H6168" s="1">
        <v>-1.3997819999999899E-6</v>
      </c>
      <c r="I6168">
        <v>89.720759999999999</v>
      </c>
      <c r="J6168">
        <v>-188.20820000000001</v>
      </c>
      <c r="K6168">
        <v>1.1097159999999999</v>
      </c>
      <c r="L6168">
        <v>72.336460000000002</v>
      </c>
      <c r="M6168">
        <v>2.5346150000000001E-2</v>
      </c>
      <c r="N6168">
        <v>0</v>
      </c>
      <c r="O6168">
        <v>0.99959719999999996</v>
      </c>
      <c r="P6168">
        <v>9.2397989999999999E-2</v>
      </c>
      <c r="Q6168">
        <v>5.5862269999999999E-2</v>
      </c>
      <c r="R6168">
        <v>0.99415390000000003</v>
      </c>
      <c r="S6168">
        <v>0.56893919999999998</v>
      </c>
      <c r="T6168">
        <v>-0.186552</v>
      </c>
      <c r="U6168">
        <v>2.975616</v>
      </c>
      <c r="V6168">
        <v>6.7209329999999998E-2</v>
      </c>
      <c r="W6168">
        <v>6.8535269999999995E-2</v>
      </c>
      <c r="X6168">
        <v>0.99538219999999999</v>
      </c>
      <c r="Y6168">
        <v>0.16248489999999999</v>
      </c>
      <c r="Z6168">
        <v>-6.1569529999999997E-2</v>
      </c>
      <c r="AA6168">
        <v>0.9847882</v>
      </c>
      <c r="AB6168">
        <v>33</v>
      </c>
      <c r="AC6168">
        <v>3.3761000000000001</v>
      </c>
      <c r="AD6168">
        <v>-1.109717399782</v>
      </c>
      <c r="AE6168">
        <v>17.3842999999999</v>
      </c>
      <c r="AF6168">
        <v>2.9228768274850498</v>
      </c>
      <c r="AG6168">
        <v>-1.109717399782</v>
      </c>
      <c r="AH6168">
        <v>17.395982719446899</v>
      </c>
      <c r="AI6168">
        <v>93.599720741681395</v>
      </c>
      <c r="AJ6168">
        <v>80.462237576889805</v>
      </c>
      <c r="AK6168">
        <v>17.674696501816499</v>
      </c>
      <c r="AL6168">
        <v>86.070137501120996</v>
      </c>
      <c r="AM6168">
        <v>86.1371874763189</v>
      </c>
      <c r="AN6168">
        <v>0.99999995067492897</v>
      </c>
    </row>
    <row r="6169" spans="1:40" x14ac:dyDescent="0.25">
      <c r="A6169" t="str">
        <f>"20190312151438774"</f>
        <v>20190312151438774</v>
      </c>
      <c r="B6169" t="str">
        <f>"1552374878766752"</f>
        <v>1552374878766752</v>
      </c>
      <c r="C6169" t="s">
        <v>40</v>
      </c>
      <c r="D6169">
        <v>4.6296330000000001</v>
      </c>
      <c r="E6169">
        <v>0.53616359999999996</v>
      </c>
      <c r="F6169" t="s">
        <v>42</v>
      </c>
      <c r="G6169">
        <v>-184.83420000000001</v>
      </c>
      <c r="H6169" s="1">
        <v>-1.4869600000000001E-6</v>
      </c>
      <c r="I6169">
        <v>89.978530000000006</v>
      </c>
      <c r="J6169">
        <v>-188.19919999999999</v>
      </c>
      <c r="K6169">
        <v>1.109774</v>
      </c>
      <c r="L6169">
        <v>72.681700000000006</v>
      </c>
      <c r="M6169">
        <v>2.5476929999999998E-2</v>
      </c>
      <c r="N6169">
        <v>0</v>
      </c>
      <c r="O6169">
        <v>0.99959390000000004</v>
      </c>
      <c r="P6169">
        <v>9.2632900000000004E-2</v>
      </c>
      <c r="Q6169">
        <v>5.5992210000000001E-2</v>
      </c>
      <c r="R6169">
        <v>0.99412480000000003</v>
      </c>
      <c r="S6169">
        <v>0.56901550000000001</v>
      </c>
      <c r="T6169">
        <v>-0.1871505</v>
      </c>
      <c r="U6169">
        <v>2.9752809999999998</v>
      </c>
      <c r="V6169">
        <v>6.7305359999999995E-2</v>
      </c>
      <c r="W6169">
        <v>6.8677509999999997E-2</v>
      </c>
      <c r="X6169">
        <v>0.99536599999999997</v>
      </c>
      <c r="Y6169">
        <v>0.1623983</v>
      </c>
      <c r="Z6169">
        <v>-6.1773080000000001E-2</v>
      </c>
      <c r="AA6169">
        <v>0.98478980000000005</v>
      </c>
      <c r="AB6169">
        <v>33</v>
      </c>
      <c r="AC6169">
        <v>3.3649999999999798</v>
      </c>
      <c r="AD6169">
        <v>-1.1097754869600001</v>
      </c>
      <c r="AE6169">
        <v>17.29683</v>
      </c>
      <c r="AF6169">
        <v>2.9116525706960101</v>
      </c>
      <c r="AG6169">
        <v>-1.1097754869600001</v>
      </c>
      <c r="AH6169">
        <v>17.3082987981415</v>
      </c>
      <c r="AI6169">
        <v>93.617977912967504</v>
      </c>
      <c r="AJ6169">
        <v>80.450942890003802</v>
      </c>
      <c r="AK6169">
        <v>17.586543992770299</v>
      </c>
      <c r="AL6169">
        <v>86.0619688650809</v>
      </c>
      <c r="AM6169">
        <v>86.131622192178696</v>
      </c>
      <c r="AN6169">
        <v>1.00000004291026</v>
      </c>
    </row>
    <row r="6170" spans="1:40" x14ac:dyDescent="0.25">
      <c r="A6170" t="str">
        <f>"20190312151438797"</f>
        <v>20190312151438797</v>
      </c>
      <c r="B6170" t="str">
        <f>"1552374878786272"</f>
        <v>1552374878786272</v>
      </c>
      <c r="C6170" t="s">
        <v>40</v>
      </c>
      <c r="D6170">
        <v>4.6614259999999996</v>
      </c>
      <c r="E6170">
        <v>0.53597720000000004</v>
      </c>
      <c r="F6170" t="s">
        <v>42</v>
      </c>
      <c r="G6170">
        <v>-184.8329</v>
      </c>
      <c r="H6170" s="1">
        <v>-1.5981730000000001E-6</v>
      </c>
      <c r="I6170">
        <v>90.304329999999993</v>
      </c>
      <c r="J6170">
        <v>-188.19040000000001</v>
      </c>
      <c r="K6170">
        <v>1.10982</v>
      </c>
      <c r="L6170">
        <v>73.023589999999999</v>
      </c>
      <c r="M6170">
        <v>2.5542720000000001E-2</v>
      </c>
      <c r="N6170">
        <v>0</v>
      </c>
      <c r="O6170">
        <v>0.99959209999999998</v>
      </c>
      <c r="P6170">
        <v>9.2605530000000005E-2</v>
      </c>
      <c r="Q6170">
        <v>5.56578E-2</v>
      </c>
      <c r="R6170">
        <v>0.99414610000000003</v>
      </c>
      <c r="S6170">
        <v>0.56835939999999996</v>
      </c>
      <c r="T6170">
        <v>-0.1873705</v>
      </c>
      <c r="U6170">
        <v>2.9753419999999999</v>
      </c>
      <c r="V6170">
        <v>6.7203799999999994E-2</v>
      </c>
      <c r="W6170">
        <v>6.8353070000000002E-2</v>
      </c>
      <c r="X6170">
        <v>0.99539509999999998</v>
      </c>
      <c r="Y6170">
        <v>0.16211929999999999</v>
      </c>
      <c r="Z6170">
        <v>-6.1846730000000003E-2</v>
      </c>
      <c r="AA6170">
        <v>0.98483109999999996</v>
      </c>
      <c r="AB6170">
        <v>33</v>
      </c>
      <c r="AC6170">
        <v>3.3575000000000101</v>
      </c>
      <c r="AD6170">
        <v>-1.109821598173</v>
      </c>
      <c r="AE6170">
        <v>17.280740000000002</v>
      </c>
      <c r="AF6170">
        <v>2.9034313802545402</v>
      </c>
      <c r="AG6170">
        <v>-1.109821598173</v>
      </c>
      <c r="AH6170">
        <v>17.292138921054299</v>
      </c>
      <c r="AI6170">
        <v>93.621687931514401</v>
      </c>
      <c r="AJ6170">
        <v>80.468674787935598</v>
      </c>
      <c r="AK6170">
        <v>17.5692824618611</v>
      </c>
      <c r="AL6170">
        <v>86.080601324361794</v>
      </c>
      <c r="AM6170">
        <v>86.137554252552405</v>
      </c>
      <c r="AN6170">
        <v>0.99999994900843603</v>
      </c>
    </row>
    <row r="6171" spans="1:40" x14ac:dyDescent="0.25">
      <c r="A6171" t="str">
        <f>"20190312151438819"</f>
        <v>20190312151438819</v>
      </c>
      <c r="B6171" t="str">
        <f>"1552374878806767"</f>
        <v>1552374878806767</v>
      </c>
      <c r="C6171" t="s">
        <v>40</v>
      </c>
      <c r="D6171">
        <v>4.6765210000000002</v>
      </c>
      <c r="E6171">
        <v>0.53576239999999997</v>
      </c>
      <c r="F6171" t="s">
        <v>42</v>
      </c>
      <c r="G6171">
        <v>-184.83090000000001</v>
      </c>
      <c r="H6171" s="1">
        <v>-1.7215139999999999E-6</v>
      </c>
      <c r="I6171">
        <v>90.66525</v>
      </c>
      <c r="J6171">
        <v>-188.18199999999999</v>
      </c>
      <c r="K6171">
        <v>1.1098520000000001</v>
      </c>
      <c r="L6171">
        <v>73.348299999999995</v>
      </c>
      <c r="M6171">
        <v>2.55651E-2</v>
      </c>
      <c r="N6171">
        <v>0</v>
      </c>
      <c r="O6171">
        <v>0.99959149999999997</v>
      </c>
      <c r="P6171">
        <v>9.2571459999999994E-2</v>
      </c>
      <c r="Q6171">
        <v>5.505649E-2</v>
      </c>
      <c r="R6171">
        <v>0.99418269999999997</v>
      </c>
      <c r="S6171">
        <v>0.56658940000000002</v>
      </c>
      <c r="T6171">
        <v>-0.18717809999999999</v>
      </c>
      <c r="U6171">
        <v>2.9753720000000001</v>
      </c>
      <c r="V6171">
        <v>6.7139950000000004E-2</v>
      </c>
      <c r="W6171">
        <v>6.7760790000000001E-2</v>
      </c>
      <c r="X6171">
        <v>0.99543990000000004</v>
      </c>
      <c r="Y6171">
        <v>0.1615306</v>
      </c>
      <c r="Z6171">
        <v>-6.1789190000000001E-2</v>
      </c>
      <c r="AA6171">
        <v>0.98493149999999996</v>
      </c>
      <c r="AB6171">
        <v>33</v>
      </c>
      <c r="AC6171">
        <v>3.3511000000000002</v>
      </c>
      <c r="AD6171">
        <v>-1.1098537215140001</v>
      </c>
      <c r="AE6171">
        <v>17.316949999999999</v>
      </c>
      <c r="AF6171">
        <v>2.8957934291384899</v>
      </c>
      <c r="AG6171">
        <v>-1.1098537215140001</v>
      </c>
      <c r="AH6171">
        <v>17.328358622084</v>
      </c>
      <c r="AI6171">
        <v>93.614707343863898</v>
      </c>
      <c r="AJ6171">
        <v>80.512799558946398</v>
      </c>
      <c r="AK6171">
        <v>17.603675962791201</v>
      </c>
      <c r="AL6171">
        <v>86.114615322852103</v>
      </c>
      <c r="AM6171">
        <v>86.141385992329603</v>
      </c>
      <c r="AN6171">
        <v>0.99999994602971598</v>
      </c>
    </row>
    <row r="6172" spans="1:40" x14ac:dyDescent="0.25">
      <c r="A6172" t="str">
        <f>"20190312151438839"</f>
        <v>20190312151438839</v>
      </c>
      <c r="B6172" t="str">
        <f>"1552374878837023"</f>
        <v>1552374878837023</v>
      </c>
      <c r="C6172" t="s">
        <v>40</v>
      </c>
      <c r="D6172">
        <v>4.7002470000000001</v>
      </c>
      <c r="E6172">
        <v>0.53550030000000004</v>
      </c>
      <c r="F6172" t="s">
        <v>42</v>
      </c>
      <c r="G6172">
        <v>-184.86259999999999</v>
      </c>
      <c r="H6172" s="1">
        <v>-1.772509E-6</v>
      </c>
      <c r="I6172">
        <v>90.839849999999998</v>
      </c>
      <c r="J6172">
        <v>-188.17429999999999</v>
      </c>
      <c r="K6172">
        <v>1.109883</v>
      </c>
      <c r="L6172">
        <v>73.649259999999998</v>
      </c>
      <c r="M6172">
        <v>2.5566990000000001E-2</v>
      </c>
      <c r="N6172">
        <v>0</v>
      </c>
      <c r="O6172">
        <v>0.99959149999999997</v>
      </c>
      <c r="P6172">
        <v>9.2830399999999993E-2</v>
      </c>
      <c r="Q6172">
        <v>5.5457190000000003E-2</v>
      </c>
      <c r="R6172">
        <v>0.99413629999999997</v>
      </c>
      <c r="S6172">
        <v>0.56465149999999997</v>
      </c>
      <c r="T6172">
        <v>-0.18879380000000001</v>
      </c>
      <c r="U6172">
        <v>2.9754330000000002</v>
      </c>
      <c r="V6172">
        <v>6.7393380000000003E-2</v>
      </c>
      <c r="W6172">
        <v>6.8166580000000004E-2</v>
      </c>
      <c r="X6172">
        <v>0.99539509999999998</v>
      </c>
      <c r="Y6172">
        <v>0.16089970000000001</v>
      </c>
      <c r="Z6172">
        <v>-6.2326159999999999E-2</v>
      </c>
      <c r="AA6172">
        <v>0.98500089999999996</v>
      </c>
      <c r="AB6172">
        <v>33</v>
      </c>
      <c r="AC6172">
        <v>3.3117000000000001</v>
      </c>
      <c r="AD6172">
        <v>-1.109884772509</v>
      </c>
      <c r="AE6172">
        <v>17.19059</v>
      </c>
      <c r="AF6172">
        <v>2.85957632231626</v>
      </c>
      <c r="AG6172">
        <v>-1.109884772509</v>
      </c>
      <c r="AH6172">
        <v>17.200513087108</v>
      </c>
      <c r="AI6172">
        <v>93.642112429489899</v>
      </c>
      <c r="AJ6172">
        <v>80.560936482164095</v>
      </c>
      <c r="AK6172">
        <v>17.4718823087603</v>
      </c>
      <c r="AL6172">
        <v>86.091311507572897</v>
      </c>
      <c r="AM6172">
        <v>86.126691522913603</v>
      </c>
      <c r="AN6172">
        <v>0.99999997770036497</v>
      </c>
    </row>
    <row r="6173" spans="1:40" x14ac:dyDescent="0.25">
      <c r="A6173" t="str">
        <f>"20190312151438864"</f>
        <v>20190312151438864</v>
      </c>
      <c r="B6173" t="str">
        <f>"1552374878856545"</f>
        <v>1552374878856545</v>
      </c>
      <c r="C6173" t="s">
        <v>40</v>
      </c>
      <c r="D6173">
        <v>4.6948100000000004</v>
      </c>
      <c r="E6173">
        <v>0.53533980000000003</v>
      </c>
      <c r="F6173" t="s">
        <v>42</v>
      </c>
      <c r="G6173">
        <v>-184.84209999999999</v>
      </c>
      <c r="H6173" s="1">
        <v>-1.9167790000000001E-6</v>
      </c>
      <c r="I6173">
        <v>91.247789999999995</v>
      </c>
      <c r="J6173">
        <v>-188.1651</v>
      </c>
      <c r="K6173">
        <v>1.109915</v>
      </c>
      <c r="L6173">
        <v>74.007350000000002</v>
      </c>
      <c r="M6173">
        <v>2.5559510000000001E-2</v>
      </c>
      <c r="N6173">
        <v>0</v>
      </c>
      <c r="O6173">
        <v>0.99959160000000002</v>
      </c>
      <c r="P6173">
        <v>9.3222940000000004E-2</v>
      </c>
      <c r="Q6173">
        <v>5.4982910000000003E-2</v>
      </c>
      <c r="R6173">
        <v>0.99412590000000001</v>
      </c>
      <c r="S6173">
        <v>0.56340029999999997</v>
      </c>
      <c r="T6173">
        <v>-0.1876591</v>
      </c>
      <c r="U6173">
        <v>2.9755549999999999</v>
      </c>
      <c r="V6173">
        <v>6.7789199999999994E-2</v>
      </c>
      <c r="W6173">
        <v>6.769799E-2</v>
      </c>
      <c r="X6173">
        <v>0.99540019999999996</v>
      </c>
      <c r="Y6173">
        <v>0.16050410000000001</v>
      </c>
      <c r="Z6173">
        <v>-6.195498E-2</v>
      </c>
      <c r="AA6173">
        <v>0.98508879999999999</v>
      </c>
      <c r="AB6173">
        <v>33</v>
      </c>
      <c r="AC6173">
        <v>3.323</v>
      </c>
      <c r="AD6173">
        <v>-1.109916916779</v>
      </c>
      <c r="AE6173">
        <v>17.24044</v>
      </c>
      <c r="AF6173">
        <v>2.86975303147796</v>
      </c>
      <c r="AG6173">
        <v>-1.109916916779</v>
      </c>
      <c r="AH6173">
        <v>17.250810916881498</v>
      </c>
      <c r="AI6173">
        <v>93.631564893772094</v>
      </c>
      <c r="AJ6173">
        <v>80.555071386356502</v>
      </c>
      <c r="AK6173">
        <v>17.523066949419199</v>
      </c>
      <c r="AL6173">
        <v>86.118221895234399</v>
      </c>
      <c r="AM6173">
        <v>86.104032263318601</v>
      </c>
      <c r="AN6173">
        <v>0.99999997582335898</v>
      </c>
    </row>
    <row r="6174" spans="1:40" x14ac:dyDescent="0.25">
      <c r="A6174" t="str">
        <f>"20190312151438886"</f>
        <v>20190312151438886</v>
      </c>
      <c r="B6174" t="str">
        <f>"1552374878877041"</f>
        <v>1552374878877041</v>
      </c>
      <c r="C6174" t="s">
        <v>40</v>
      </c>
      <c r="D6174">
        <v>4.7855480000000004</v>
      </c>
      <c r="E6174">
        <v>0.53520029999999996</v>
      </c>
      <c r="F6174" t="s">
        <v>42</v>
      </c>
      <c r="G6174">
        <v>-184.87020000000001</v>
      </c>
      <c r="H6174" s="1">
        <v>-1.9654339999999999E-6</v>
      </c>
      <c r="I6174">
        <v>91.412729999999996</v>
      </c>
      <c r="J6174">
        <v>-188.15649999999999</v>
      </c>
      <c r="K6174">
        <v>1.1099349999999999</v>
      </c>
      <c r="L6174">
        <v>74.339869999999905</v>
      </c>
      <c r="M6174">
        <v>2.5547139999999999E-2</v>
      </c>
      <c r="N6174">
        <v>0</v>
      </c>
      <c r="O6174">
        <v>0.99959189999999998</v>
      </c>
      <c r="P6174">
        <v>9.3959180000000003E-2</v>
      </c>
      <c r="Q6174">
        <v>5.488999E-2</v>
      </c>
      <c r="R6174">
        <v>0.9940618</v>
      </c>
      <c r="S6174">
        <v>0.56324770000000002</v>
      </c>
      <c r="T6174">
        <v>-0.1897374</v>
      </c>
      <c r="U6174">
        <v>2.975403</v>
      </c>
      <c r="V6174">
        <v>6.8536390000000003E-2</v>
      </c>
      <c r="W6174">
        <v>6.7608059999999998E-2</v>
      </c>
      <c r="X6174">
        <v>0.9953552</v>
      </c>
      <c r="Y6174">
        <v>0.16046879999999999</v>
      </c>
      <c r="Z6174">
        <v>-6.2642059999999999E-2</v>
      </c>
      <c r="AA6174">
        <v>0.98505109999999996</v>
      </c>
      <c r="AB6174">
        <v>33</v>
      </c>
      <c r="AC6174">
        <v>3.2862999999999798</v>
      </c>
      <c r="AD6174">
        <v>-1.1099369654339999</v>
      </c>
      <c r="AE6174">
        <v>17.072859999999999</v>
      </c>
      <c r="AF6174">
        <v>2.8374646918613502</v>
      </c>
      <c r="AG6174">
        <v>-1.1099369654339999</v>
      </c>
      <c r="AH6174">
        <v>17.081632576688101</v>
      </c>
      <c r="AI6174">
        <v>93.667644250256998</v>
      </c>
      <c r="AJ6174">
        <v>80.568599942139699</v>
      </c>
      <c r="AK6174">
        <v>17.351234464146099</v>
      </c>
      <c r="AL6174">
        <v>86.123386548714606</v>
      </c>
      <c r="AM6174">
        <v>86.061046824259606</v>
      </c>
      <c r="AN6174">
        <v>1.0000000303491099</v>
      </c>
    </row>
    <row r="6175" spans="1:40" x14ac:dyDescent="0.25">
      <c r="A6175" t="str">
        <f>"20190312151438910"</f>
        <v>20190312151438910</v>
      </c>
      <c r="B6175" t="str">
        <f>"1552374878906320"</f>
        <v>1552374878906320</v>
      </c>
      <c r="C6175" t="s">
        <v>40</v>
      </c>
      <c r="D6175">
        <v>4.6969139999999996</v>
      </c>
      <c r="E6175">
        <v>0.53499529999999995</v>
      </c>
      <c r="F6175" t="s">
        <v>42</v>
      </c>
      <c r="G6175">
        <v>-184.8819</v>
      </c>
      <c r="H6175" s="1">
        <v>-2.0255349999999998E-6</v>
      </c>
      <c r="I6175">
        <v>91.598479999999995</v>
      </c>
      <c r="J6175">
        <v>-188.14769999999999</v>
      </c>
      <c r="K6175">
        <v>1.1099570000000001</v>
      </c>
      <c r="L6175">
        <v>74.684200000000004</v>
      </c>
      <c r="M6175">
        <v>2.552739E-2</v>
      </c>
      <c r="N6175">
        <v>0</v>
      </c>
      <c r="O6175">
        <v>0.99959249999999999</v>
      </c>
      <c r="P6175">
        <v>9.4805429999999996E-2</v>
      </c>
      <c r="Q6175">
        <v>5.4628919999999997E-2</v>
      </c>
      <c r="R6175">
        <v>0.99399579999999998</v>
      </c>
      <c r="S6175">
        <v>0.56449890000000003</v>
      </c>
      <c r="T6175">
        <v>-0.1913368</v>
      </c>
      <c r="U6175">
        <v>2.9751280000000002</v>
      </c>
      <c r="V6175">
        <v>6.9400959999999998E-2</v>
      </c>
      <c r="W6175">
        <v>6.7349729999999997E-2</v>
      </c>
      <c r="X6175">
        <v>0.9953128</v>
      </c>
      <c r="Y6175">
        <v>0.16089870000000001</v>
      </c>
      <c r="Z6175">
        <v>-6.3169050000000004E-2</v>
      </c>
      <c r="AA6175">
        <v>0.98494740000000003</v>
      </c>
      <c r="AB6175">
        <v>33</v>
      </c>
      <c r="AC6175">
        <v>3.2657999999999801</v>
      </c>
      <c r="AD6175">
        <v>-1.10995902553499</v>
      </c>
      <c r="AE6175">
        <v>16.914280000000002</v>
      </c>
      <c r="AF6175">
        <v>2.8212105049970302</v>
      </c>
      <c r="AG6175">
        <v>-1.10995902553499</v>
      </c>
      <c r="AH6175">
        <v>16.921889094802498</v>
      </c>
      <c r="AI6175">
        <v>93.701881322603299</v>
      </c>
      <c r="AJ6175">
        <v>80.534727180614695</v>
      </c>
      <c r="AK6175">
        <v>17.1913224706148</v>
      </c>
      <c r="AL6175">
        <v>86.138221558299193</v>
      </c>
      <c r="AM6175">
        <v>86.011347896227093</v>
      </c>
      <c r="AN6175">
        <v>1.0000000246119101</v>
      </c>
    </row>
    <row r="6176" spans="1:40" x14ac:dyDescent="0.25">
      <c r="A6176" t="str">
        <f>"20190312151438931"</f>
        <v>20190312151438931</v>
      </c>
      <c r="B6176" t="str">
        <f>"1552374878926819"</f>
        <v>1552374878926819</v>
      </c>
      <c r="C6176" t="s">
        <v>40</v>
      </c>
      <c r="D6176">
        <v>4.7387860000000002</v>
      </c>
      <c r="E6176">
        <v>0.53483700000000001</v>
      </c>
      <c r="F6176" t="s">
        <v>42</v>
      </c>
      <c r="G6176">
        <v>-184.89830000000001</v>
      </c>
      <c r="H6176" s="1">
        <v>-2.0823450000000001E-6</v>
      </c>
      <c r="I6176">
        <v>91.778220000000005</v>
      </c>
      <c r="J6176">
        <v>-188.13980000000001</v>
      </c>
      <c r="K6176">
        <v>1.1099730000000001</v>
      </c>
      <c r="L6176">
        <v>74.995609999999999</v>
      </c>
      <c r="M6176">
        <v>2.5500660000000001E-2</v>
      </c>
      <c r="N6176">
        <v>0</v>
      </c>
      <c r="O6176">
        <v>0.99959310000000001</v>
      </c>
      <c r="P6176">
        <v>9.5876639999999999E-2</v>
      </c>
      <c r="Q6176">
        <v>5.4869630000000003E-2</v>
      </c>
      <c r="R6176">
        <v>0.99387979999999998</v>
      </c>
      <c r="S6176">
        <v>0.56549069999999901</v>
      </c>
      <c r="T6176">
        <v>-0.193161</v>
      </c>
      <c r="U6176">
        <v>2.9747919999999999</v>
      </c>
      <c r="V6176">
        <v>7.0499279999999998E-2</v>
      </c>
      <c r="W6176">
        <v>6.7591910000000005E-2</v>
      </c>
      <c r="X6176">
        <v>0.99521919999999997</v>
      </c>
      <c r="Y6176">
        <v>0.16125519999999999</v>
      </c>
      <c r="Z6176">
        <v>-6.3772120000000002E-2</v>
      </c>
      <c r="AA6176">
        <v>0.98485020000000001</v>
      </c>
      <c r="AB6176">
        <v>33</v>
      </c>
      <c r="AC6176">
        <v>3.2414999999999998</v>
      </c>
      <c r="AD6176">
        <v>-1.1099750823450001</v>
      </c>
      <c r="AE6176">
        <v>16.782609999999899</v>
      </c>
      <c r="AF6176">
        <v>2.80063292690176</v>
      </c>
      <c r="AG6176">
        <v>-1.1099750823450001</v>
      </c>
      <c r="AH6176">
        <v>16.7890197993244</v>
      </c>
      <c r="AI6176">
        <v>93.731093013516102</v>
      </c>
      <c r="AJ6176">
        <v>80.529499828746097</v>
      </c>
      <c r="AK6176">
        <v>17.0571619942117</v>
      </c>
      <c r="AL6176">
        <v>86.124314016716397</v>
      </c>
      <c r="AM6176">
        <v>85.948053421466696</v>
      </c>
      <c r="AN6176">
        <v>1.0000000354133001</v>
      </c>
    </row>
    <row r="6177" spans="1:40" x14ac:dyDescent="0.25">
      <c r="A6177" t="str">
        <f>"20190312151438952"</f>
        <v>20190312151438952</v>
      </c>
      <c r="B6177" t="str">
        <f>"1552374878946337"</f>
        <v>1552374878946337</v>
      </c>
      <c r="C6177" t="s">
        <v>40</v>
      </c>
      <c r="D6177">
        <v>4.7244349999999997</v>
      </c>
      <c r="E6177">
        <v>0.53468479999999996</v>
      </c>
      <c r="F6177" t="s">
        <v>42</v>
      </c>
      <c r="G6177">
        <v>-184.86600000000001</v>
      </c>
      <c r="H6177" s="1">
        <v>-2.2216870000000001E-6</v>
      </c>
      <c r="I6177">
        <v>92.162450000000007</v>
      </c>
      <c r="J6177">
        <v>-188.1318</v>
      </c>
      <c r="K6177">
        <v>1.1099859999999999</v>
      </c>
      <c r="L6177">
        <v>75.310029999999998</v>
      </c>
      <c r="M6177">
        <v>2.5458069999999999E-2</v>
      </c>
      <c r="N6177">
        <v>0</v>
      </c>
      <c r="O6177">
        <v>0.99959419999999999</v>
      </c>
      <c r="P6177">
        <v>9.6510109999999996E-2</v>
      </c>
      <c r="Q6177">
        <v>5.4624300000000001E-2</v>
      </c>
      <c r="R6177">
        <v>0.99383200000000005</v>
      </c>
      <c r="S6177">
        <v>0.56723020000000002</v>
      </c>
      <c r="T6177">
        <v>-0.19231690000000001</v>
      </c>
      <c r="U6177">
        <v>2.9743650000000001</v>
      </c>
      <c r="V6177">
        <v>7.1174029999999999E-2</v>
      </c>
      <c r="W6177">
        <v>6.7348320000000003E-2</v>
      </c>
      <c r="X6177">
        <v>0.99518759999999995</v>
      </c>
      <c r="Y6177">
        <v>0.16188229999999901</v>
      </c>
      <c r="Z6177">
        <v>-6.3496899999999995E-2</v>
      </c>
      <c r="AA6177">
        <v>0.98476509999999995</v>
      </c>
      <c r="AB6177">
        <v>33</v>
      </c>
      <c r="AC6177">
        <v>3.2658000000000098</v>
      </c>
      <c r="AD6177">
        <v>-1.1099882216869901</v>
      </c>
      <c r="AE6177">
        <v>16.852419999999999</v>
      </c>
      <c r="AF6177">
        <v>2.8238690463995599</v>
      </c>
      <c r="AG6177">
        <v>-1.1099882216869901</v>
      </c>
      <c r="AH6177">
        <v>16.859611334569099</v>
      </c>
      <c r="AI6177">
        <v>93.715149032502495</v>
      </c>
      <c r="AJ6177">
        <v>80.491611009930395</v>
      </c>
      <c r="AK6177">
        <v>17.130464225940599</v>
      </c>
      <c r="AL6177">
        <v>86.138302236656799</v>
      </c>
      <c r="AM6177">
        <v>85.909273741670305</v>
      </c>
      <c r="AN6177">
        <v>0.99999994897350997</v>
      </c>
    </row>
    <row r="6178" spans="1:40" x14ac:dyDescent="0.25">
      <c r="A6178" t="str">
        <f>"20190312151438974"</f>
        <v>20190312151438974</v>
      </c>
      <c r="B6178" t="str">
        <f>"1552374878966832"</f>
        <v>1552374878966832</v>
      </c>
      <c r="C6178" t="s">
        <v>40</v>
      </c>
      <c r="D6178">
        <v>5.0331440000000001</v>
      </c>
      <c r="E6178">
        <v>0.53453919999999999</v>
      </c>
      <c r="F6178" t="s">
        <v>42</v>
      </c>
      <c r="G6178">
        <v>-184.84809999999999</v>
      </c>
      <c r="H6178" s="1">
        <v>-2.338756E-6</v>
      </c>
      <c r="I6178">
        <v>92.492500000000007</v>
      </c>
      <c r="J6178">
        <v>-188.12360000000001</v>
      </c>
      <c r="K6178">
        <v>1.109998</v>
      </c>
      <c r="L6178">
        <v>75.63449</v>
      </c>
      <c r="M6178">
        <v>2.5395640000000001E-2</v>
      </c>
      <c r="N6178">
        <v>0</v>
      </c>
      <c r="O6178">
        <v>0.99959580000000003</v>
      </c>
      <c r="P6178">
        <v>9.7449380000000002E-2</v>
      </c>
      <c r="Q6178">
        <v>5.3659739999999997E-2</v>
      </c>
      <c r="R6178">
        <v>0.99379289999999998</v>
      </c>
      <c r="S6178">
        <v>0.56834410000000002</v>
      </c>
      <c r="T6178">
        <v>-0.19211839999999999</v>
      </c>
      <c r="U6178">
        <v>2.9739689999999999</v>
      </c>
      <c r="V6178">
        <v>7.2173650000000006E-2</v>
      </c>
      <c r="W6178">
        <v>6.6386299999999995E-2</v>
      </c>
      <c r="X6178">
        <v>0.99518030000000002</v>
      </c>
      <c r="Y6178">
        <v>0.16232469999999999</v>
      </c>
      <c r="Z6178">
        <v>-6.3435530000000004E-2</v>
      </c>
      <c r="AA6178">
        <v>0.98469620000000002</v>
      </c>
      <c r="AB6178">
        <v>33</v>
      </c>
      <c r="AC6178">
        <v>3.2755000000000201</v>
      </c>
      <c r="AD6178">
        <v>-1.110000338756</v>
      </c>
      <c r="AE6178">
        <v>16.85801</v>
      </c>
      <c r="AF6178">
        <v>2.83444695384126</v>
      </c>
      <c r="AG6178">
        <v>-1.110000338756</v>
      </c>
      <c r="AH6178">
        <v>16.865303642058699</v>
      </c>
      <c r="AI6178">
        <v>93.713594175435304</v>
      </c>
      <c r="AJ6178">
        <v>80.459809360644101</v>
      </c>
      <c r="AK6178">
        <v>17.137813665255401</v>
      </c>
      <c r="AL6178">
        <v>86.193545774959006</v>
      </c>
      <c r="AM6178">
        <v>85.851989433443606</v>
      </c>
      <c r="AN6178">
        <v>1.00000000304505</v>
      </c>
    </row>
    <row r="6179" spans="1:40" x14ac:dyDescent="0.25">
      <c r="A6179" t="str">
        <f>"20190312151438999"</f>
        <v>20190312151438999</v>
      </c>
      <c r="B6179" t="str">
        <f>"1552374878987329"</f>
        <v>1552374878987329</v>
      </c>
      <c r="C6179" t="s">
        <v>40</v>
      </c>
      <c r="D6179">
        <v>4.7638309999999997</v>
      </c>
      <c r="E6179">
        <v>0.53440900000000002</v>
      </c>
      <c r="F6179" t="s">
        <v>42</v>
      </c>
      <c r="G6179">
        <v>-184.87350000000001</v>
      </c>
      <c r="H6179" s="1">
        <v>-2.3629069999999998E-6</v>
      </c>
      <c r="I6179">
        <v>92.583309999999997</v>
      </c>
      <c r="J6179">
        <v>-188.1147</v>
      </c>
      <c r="K6179">
        <v>1.1100129999999999</v>
      </c>
      <c r="L6179">
        <v>75.988740000000007</v>
      </c>
      <c r="M6179">
        <v>2.5305230000000001E-2</v>
      </c>
      <c r="N6179">
        <v>0</v>
      </c>
      <c r="O6179">
        <v>0.99959810000000004</v>
      </c>
      <c r="P6179">
        <v>9.9065959999999995E-2</v>
      </c>
      <c r="Q6179">
        <v>5.2327449999999998E-2</v>
      </c>
      <c r="R6179">
        <v>0.99370409999999998</v>
      </c>
      <c r="S6179">
        <v>0.57015990000000005</v>
      </c>
      <c r="T6179">
        <v>-0.19472719999999999</v>
      </c>
      <c r="U6179">
        <v>2.973328</v>
      </c>
      <c r="V6179">
        <v>7.3879040000000007E-2</v>
      </c>
      <c r="W6179">
        <v>6.5057379999999998E-2</v>
      </c>
      <c r="X6179">
        <v>0.99514290000000005</v>
      </c>
      <c r="Y6179">
        <v>0.16302269999999999</v>
      </c>
      <c r="Z6179">
        <v>-6.4299750000000003E-2</v>
      </c>
      <c r="AA6179">
        <v>0.98452479999999998</v>
      </c>
      <c r="AB6179">
        <v>33</v>
      </c>
      <c r="AC6179">
        <v>3.2411999999999899</v>
      </c>
      <c r="AD6179">
        <v>-1.110015362907</v>
      </c>
      <c r="AE6179">
        <v>16.594569999999901</v>
      </c>
      <c r="AF6179">
        <v>2.8080956173774698</v>
      </c>
      <c r="AG6179">
        <v>-1.110015362907</v>
      </c>
      <c r="AH6179">
        <v>16.599738002591799</v>
      </c>
      <c r="AI6179">
        <v>93.772206423449305</v>
      </c>
      <c r="AJ6179">
        <v>80.3984561200283</v>
      </c>
      <c r="AK6179">
        <v>16.872131959444701</v>
      </c>
      <c r="AL6179">
        <v>86.269852190048397</v>
      </c>
      <c r="AM6179">
        <v>85.754171463414394</v>
      </c>
      <c r="AN6179">
        <v>0.99999998333209705</v>
      </c>
    </row>
    <row r="6180" spans="1:40" x14ac:dyDescent="0.25">
      <c r="A6180" t="str">
        <f>"20190312151439021"</f>
        <v>20190312151439021</v>
      </c>
      <c r="B6180" t="str">
        <f>"1552374879016608"</f>
        <v>1552374879016608</v>
      </c>
      <c r="C6180" t="s">
        <v>40</v>
      </c>
      <c r="D6180">
        <v>4.7137449999999896</v>
      </c>
      <c r="E6180">
        <v>0.53418949999999998</v>
      </c>
      <c r="F6180" t="s">
        <v>42</v>
      </c>
      <c r="G6180">
        <v>-184.9049</v>
      </c>
      <c r="H6180" s="1">
        <v>-2.3654210000000002E-6</v>
      </c>
      <c r="I6180">
        <v>92.615210000000005</v>
      </c>
      <c r="J6180">
        <v>-188.1063</v>
      </c>
      <c r="K6180">
        <v>1.1100289999999999</v>
      </c>
      <c r="L6180">
        <v>76.325289999999995</v>
      </c>
      <c r="M6180">
        <v>2.519797E-2</v>
      </c>
      <c r="N6180">
        <v>0</v>
      </c>
      <c r="O6180">
        <v>0.99960079999999996</v>
      </c>
      <c r="P6180">
        <v>0.10084609999999999</v>
      </c>
      <c r="Q6180">
        <v>5.039623E-2</v>
      </c>
      <c r="R6180">
        <v>0.99362479999999997</v>
      </c>
      <c r="S6180">
        <v>0.57380679999999995</v>
      </c>
      <c r="T6180">
        <v>-0.19843359999999999</v>
      </c>
      <c r="U6180">
        <v>2.9722599999999999</v>
      </c>
      <c r="V6180">
        <v>7.5764780000000004E-2</v>
      </c>
      <c r="W6180">
        <v>6.3128729999999994E-2</v>
      </c>
      <c r="X6180">
        <v>0.99512540000000005</v>
      </c>
      <c r="Y6180">
        <v>0.16434360000000001</v>
      </c>
      <c r="Z6180">
        <v>-6.5526929999999997E-2</v>
      </c>
      <c r="AA6180">
        <v>0.98422430000000005</v>
      </c>
      <c r="AB6180">
        <v>33</v>
      </c>
      <c r="AC6180">
        <v>3.2014</v>
      </c>
      <c r="AD6180">
        <v>-1.1100313654209999</v>
      </c>
      <c r="AE6180">
        <v>16.289919999999999</v>
      </c>
      <c r="AF6180">
        <v>2.7774597238028802</v>
      </c>
      <c r="AG6180">
        <v>-1.1100313654209999</v>
      </c>
      <c r="AH6180">
        <v>16.2925830296276</v>
      </c>
      <c r="AI6180">
        <v>93.842338145801406</v>
      </c>
      <c r="AJ6180">
        <v>80.325568472649294</v>
      </c>
      <c r="AK6180">
        <v>16.564863836653601</v>
      </c>
      <c r="AL6180">
        <v>86.380583627870394</v>
      </c>
      <c r="AM6180">
        <v>85.646133254766198</v>
      </c>
      <c r="AN6180">
        <v>1.0000000500824999</v>
      </c>
    </row>
    <row r="6181" spans="1:40" x14ac:dyDescent="0.25">
      <c r="A6181" t="str">
        <f>"20190312151439042"</f>
        <v>20190312151439042</v>
      </c>
      <c r="B6181" t="str">
        <f>"1552374879037105"</f>
        <v>1552374879037105</v>
      </c>
      <c r="C6181" t="s">
        <v>40</v>
      </c>
      <c r="D6181">
        <v>4.7452990000000002</v>
      </c>
      <c r="E6181">
        <v>0.53408829999999996</v>
      </c>
      <c r="F6181" t="s">
        <v>42</v>
      </c>
      <c r="G6181">
        <v>-184.9572</v>
      </c>
      <c r="H6181" s="1">
        <v>-2.3252530000000002E-6</v>
      </c>
      <c r="I6181">
        <v>92.538079999999994</v>
      </c>
      <c r="J6181">
        <v>-188.0984</v>
      </c>
      <c r="K6181">
        <v>1.1100350000000001</v>
      </c>
      <c r="L6181">
        <v>76.641599999999997</v>
      </c>
      <c r="M6181">
        <v>2.5079580000000001E-2</v>
      </c>
      <c r="N6181">
        <v>0</v>
      </c>
      <c r="O6181">
        <v>0.99960380000000004</v>
      </c>
      <c r="P6181">
        <v>0.10232769999999999</v>
      </c>
      <c r="Q6181">
        <v>4.9164220000000002E-2</v>
      </c>
      <c r="R6181">
        <v>0.99353499999999995</v>
      </c>
      <c r="S6181">
        <v>0.57707209999999998</v>
      </c>
      <c r="T6181">
        <v>-0.20341409999999999</v>
      </c>
      <c r="U6181">
        <v>2.9710079999999999</v>
      </c>
      <c r="V6181">
        <v>7.7363760000000004E-2</v>
      </c>
      <c r="W6181">
        <v>6.1898990000000001E-2</v>
      </c>
      <c r="X6181">
        <v>0.99507959999999995</v>
      </c>
      <c r="Y6181">
        <v>0.16555909999999999</v>
      </c>
      <c r="Z6181">
        <v>-6.7178290000000002E-2</v>
      </c>
      <c r="AA6181">
        <v>0.98390920000000004</v>
      </c>
      <c r="AB6181">
        <v>33</v>
      </c>
      <c r="AC6181">
        <v>3.1411999999999898</v>
      </c>
      <c r="AD6181">
        <v>-1.110037325253</v>
      </c>
      <c r="AE6181">
        <v>15.89648</v>
      </c>
      <c r="AF6181">
        <v>2.7286968062221302</v>
      </c>
      <c r="AG6181">
        <v>-1.110037325253</v>
      </c>
      <c r="AH6181">
        <v>15.895669263393399</v>
      </c>
      <c r="AI6181">
        <v>93.937228219176006</v>
      </c>
      <c r="AJ6181">
        <v>80.259378785748694</v>
      </c>
      <c r="AK6181">
        <v>16.166331385163801</v>
      </c>
      <c r="AL6181">
        <v>86.4511805266268</v>
      </c>
      <c r="AM6181">
        <v>85.5544076877012</v>
      </c>
      <c r="AN6181">
        <v>1.00000002333025</v>
      </c>
    </row>
    <row r="6182" spans="1:40" x14ac:dyDescent="0.25">
      <c r="A6182" t="str">
        <f>"20190312151439064"</f>
        <v>20190312151439064</v>
      </c>
      <c r="B6182" t="str">
        <f>"1552374879056624"</f>
        <v>1552374879056624</v>
      </c>
      <c r="C6182" t="s">
        <v>40</v>
      </c>
      <c r="D6182">
        <v>4.7603080000000002</v>
      </c>
      <c r="E6182">
        <v>0.53398469999999998</v>
      </c>
      <c r="F6182" t="s">
        <v>42</v>
      </c>
      <c r="G6182">
        <v>-184.99709999999999</v>
      </c>
      <c r="H6182" s="1">
        <v>-2.3013980000000001E-6</v>
      </c>
      <c r="I6182">
        <v>92.499160000000003</v>
      </c>
      <c r="J6182">
        <v>-188.09049999999999</v>
      </c>
      <c r="K6182">
        <v>1.1100460000000001</v>
      </c>
      <c r="L6182">
        <v>76.962280000000007</v>
      </c>
      <c r="M6182">
        <v>2.494507E-2</v>
      </c>
      <c r="N6182">
        <v>0</v>
      </c>
      <c r="O6182">
        <v>0.99960709999999997</v>
      </c>
      <c r="P6182">
        <v>0.1041068</v>
      </c>
      <c r="Q6182">
        <v>4.8803430000000002E-2</v>
      </c>
      <c r="R6182">
        <v>0.99336800000000003</v>
      </c>
      <c r="S6182">
        <v>0.58085629999999999</v>
      </c>
      <c r="T6182">
        <v>-0.20789959999999999</v>
      </c>
      <c r="U6182">
        <v>2.9699710000000001</v>
      </c>
      <c r="V6182">
        <v>7.927824E-2</v>
      </c>
      <c r="W6182">
        <v>6.1539679999999999E-2</v>
      </c>
      <c r="X6182">
        <v>0.99495120000000004</v>
      </c>
      <c r="Y6182">
        <v>0.16694439999999999</v>
      </c>
      <c r="Z6182">
        <v>-6.8660079999999998E-2</v>
      </c>
      <c r="AA6182">
        <v>0.98357280000000002</v>
      </c>
      <c r="AB6182">
        <v>33</v>
      </c>
      <c r="AC6182">
        <v>3.0933999999999999</v>
      </c>
      <c r="AD6182">
        <v>-1.11004830139799</v>
      </c>
      <c r="AE6182">
        <v>15.536879999999901</v>
      </c>
      <c r="AF6182">
        <v>2.6916214287316902</v>
      </c>
      <c r="AG6182">
        <v>-1.11004830139799</v>
      </c>
      <c r="AH6182">
        <v>15.5329506297899</v>
      </c>
      <c r="AI6182">
        <v>94.027818427225696</v>
      </c>
      <c r="AJ6182">
        <v>80.169145782950096</v>
      </c>
      <c r="AK6182">
        <v>15.803467607285899</v>
      </c>
      <c r="AL6182">
        <v>86.471806822834196</v>
      </c>
      <c r="AM6182">
        <v>85.444267020981002</v>
      </c>
      <c r="AN6182">
        <v>1.0000000309667101</v>
      </c>
    </row>
    <row r="6183" spans="1:40" x14ac:dyDescent="0.25">
      <c r="A6183" t="str">
        <f>"20190312151439086"</f>
        <v>20190312151439086</v>
      </c>
      <c r="B6183" t="str">
        <f>"1552374879077120"</f>
        <v>1552374879077120</v>
      </c>
      <c r="C6183" t="s">
        <v>40</v>
      </c>
      <c r="D6183">
        <v>4.7662599999999999</v>
      </c>
      <c r="E6183">
        <v>0.53388249999999904</v>
      </c>
      <c r="F6183" t="s">
        <v>42</v>
      </c>
      <c r="G6183">
        <v>-184.9879</v>
      </c>
      <c r="H6183" s="1">
        <v>-2.3683050000000002E-6</v>
      </c>
      <c r="I6183">
        <v>92.688580000000002</v>
      </c>
      <c r="J6183">
        <v>-188.0829</v>
      </c>
      <c r="K6183">
        <v>1.1100570000000001</v>
      </c>
      <c r="L6183">
        <v>77.273439999999994</v>
      </c>
      <c r="M6183">
        <v>2.480255E-2</v>
      </c>
      <c r="N6183">
        <v>0</v>
      </c>
      <c r="O6183">
        <v>0.99961069999999996</v>
      </c>
      <c r="P6183">
        <v>0.1057273</v>
      </c>
      <c r="Q6183">
        <v>4.8169110000000001E-2</v>
      </c>
      <c r="R6183">
        <v>0.99322779999999999</v>
      </c>
      <c r="S6183">
        <v>0.58573909999999996</v>
      </c>
      <c r="T6183">
        <v>-0.20956350000000001</v>
      </c>
      <c r="U6183">
        <v>2.9689329999999998</v>
      </c>
      <c r="V6183">
        <v>8.104198E-2</v>
      </c>
      <c r="W6183">
        <v>6.0906670000000003E-2</v>
      </c>
      <c r="X6183">
        <v>0.99484799999999995</v>
      </c>
      <c r="Y6183">
        <v>0.1686995</v>
      </c>
      <c r="Z6183">
        <v>-6.9209699999999999E-2</v>
      </c>
      <c r="AA6183">
        <v>0.98323470000000002</v>
      </c>
      <c r="AB6183">
        <v>33</v>
      </c>
      <c r="AC6183">
        <v>3.09499999999999</v>
      </c>
      <c r="AD6183">
        <v>-1.110059368305</v>
      </c>
      <c r="AE6183">
        <v>15.4151399999999</v>
      </c>
      <c r="AF6183">
        <v>2.6982320026793398</v>
      </c>
      <c r="AG6183">
        <v>-1.110059368305</v>
      </c>
      <c r="AH6183">
        <v>15.410352094598601</v>
      </c>
      <c r="AI6183">
        <v>94.058559471631995</v>
      </c>
      <c r="AJ6183">
        <v>80.068630494529998</v>
      </c>
      <c r="AK6183">
        <v>15.684120613567799</v>
      </c>
      <c r="AL6183">
        <v>86.508143624084298</v>
      </c>
      <c r="AM6183">
        <v>85.342873489855293</v>
      </c>
      <c r="AN6183">
        <v>0.99999998403840396</v>
      </c>
    </row>
    <row r="6184" spans="1:40" x14ac:dyDescent="0.25">
      <c r="A6184" t="str">
        <f>"20190312151439108"</f>
        <v>20190312151439108</v>
      </c>
      <c r="B6184" t="str">
        <f>"1552374879096640"</f>
        <v>1552374879096640</v>
      </c>
      <c r="C6184" t="s">
        <v>40</v>
      </c>
      <c r="D6184">
        <v>5.4964950000000004</v>
      </c>
      <c r="E6184">
        <v>0.5338851</v>
      </c>
      <c r="F6184" t="s">
        <v>42</v>
      </c>
      <c r="G6184">
        <v>-185.00129999999999</v>
      </c>
      <c r="H6184" s="1">
        <v>-2.396552E-6</v>
      </c>
      <c r="I6184">
        <v>92.782110000000003</v>
      </c>
      <c r="J6184">
        <v>-188.07499999999999</v>
      </c>
      <c r="K6184">
        <v>1.1100749999999999</v>
      </c>
      <c r="L6184">
        <v>77.600009999999997</v>
      </c>
      <c r="M6184">
        <v>2.4644679999999999E-2</v>
      </c>
      <c r="N6184">
        <v>0</v>
      </c>
      <c r="O6184">
        <v>0.99961469999999997</v>
      </c>
      <c r="P6184">
        <v>0.1072</v>
      </c>
      <c r="Q6184">
        <v>4.8154059999999999E-2</v>
      </c>
      <c r="R6184">
        <v>0.99307069999999997</v>
      </c>
      <c r="S6184">
        <v>0.58973690000000001</v>
      </c>
      <c r="T6184">
        <v>-0.21243870000000001</v>
      </c>
      <c r="U6184">
        <v>2.9679869999999999</v>
      </c>
      <c r="V6184">
        <v>8.26736E-2</v>
      </c>
      <c r="W6184">
        <v>6.0891899999999999E-2</v>
      </c>
      <c r="X6184">
        <v>0.99471469999999995</v>
      </c>
      <c r="Y6184">
        <v>0.1701761</v>
      </c>
      <c r="Z6184">
        <v>-7.0158780000000004E-2</v>
      </c>
      <c r="AA6184">
        <v>0.98291300000000004</v>
      </c>
      <c r="AB6184">
        <v>33</v>
      </c>
      <c r="AC6184">
        <v>3.0737000000000001</v>
      </c>
      <c r="AD6184">
        <v>-1.1100773965520001</v>
      </c>
      <c r="AE6184">
        <v>15.1821</v>
      </c>
      <c r="AF6184">
        <v>2.6847895835330999</v>
      </c>
      <c r="AG6184">
        <v>-1.1100773965520001</v>
      </c>
      <c r="AH6184">
        <v>15.1753092154133</v>
      </c>
      <c r="AI6184">
        <v>94.11999207865</v>
      </c>
      <c r="AJ6184">
        <v>79.967146025440201</v>
      </c>
      <c r="AK6184">
        <v>15.4509021328074</v>
      </c>
      <c r="AL6184">
        <v>86.508991655541806</v>
      </c>
      <c r="AM6184">
        <v>85.248902672805599</v>
      </c>
      <c r="AN6184">
        <v>1.0000000410093199</v>
      </c>
    </row>
    <row r="6185" spans="1:40" x14ac:dyDescent="0.25">
      <c r="A6185" t="str">
        <f>"20190312151439130"</f>
        <v>20190312151439130</v>
      </c>
      <c r="B6185" t="str">
        <f>"1552374879126897"</f>
        <v>1552374879126897</v>
      </c>
      <c r="C6185" t="s">
        <v>40</v>
      </c>
      <c r="D6185">
        <v>4.7410290000000002</v>
      </c>
      <c r="E6185">
        <v>0.53396619999999995</v>
      </c>
      <c r="F6185" t="s">
        <v>42</v>
      </c>
      <c r="G6185">
        <v>-184.98259999999999</v>
      </c>
      <c r="H6185" s="1">
        <v>-2.4903539999999999E-6</v>
      </c>
      <c r="I6185">
        <v>93.043109999999999</v>
      </c>
      <c r="J6185">
        <v>-188.06710000000001</v>
      </c>
      <c r="K6185">
        <v>1.1100859999999999</v>
      </c>
      <c r="L6185">
        <v>77.928740000000005</v>
      </c>
      <c r="M6185">
        <v>2.4481039999999999E-2</v>
      </c>
      <c r="N6185">
        <v>0</v>
      </c>
      <c r="O6185">
        <v>0.99961860000000002</v>
      </c>
      <c r="P6185">
        <v>0.10887670000000001</v>
      </c>
      <c r="Q6185">
        <v>4.7741350000000002E-2</v>
      </c>
      <c r="R6185">
        <v>0.99290820000000002</v>
      </c>
      <c r="S6185">
        <v>0.59414669999999903</v>
      </c>
      <c r="T6185">
        <v>-0.21328259999999999</v>
      </c>
      <c r="U6185">
        <v>2.967133</v>
      </c>
      <c r="V6185">
        <v>8.4515649999999998E-2</v>
      </c>
      <c r="W6185">
        <v>6.047926E-2</v>
      </c>
      <c r="X6185">
        <v>0.99458500000000005</v>
      </c>
      <c r="Y6185">
        <v>0.17179229999999901</v>
      </c>
      <c r="Z6185">
        <v>-7.0436250000000006E-2</v>
      </c>
      <c r="AA6185">
        <v>0.98261189999999998</v>
      </c>
      <c r="AB6185">
        <v>33</v>
      </c>
      <c r="AC6185">
        <v>3.0845000000000198</v>
      </c>
      <c r="AD6185">
        <v>-1.110088490354</v>
      </c>
      <c r="AE6185">
        <v>15.1143699999999</v>
      </c>
      <c r="AF6185">
        <v>2.6995497383364402</v>
      </c>
      <c r="AG6185">
        <v>-1.110088490354</v>
      </c>
      <c r="AH6185">
        <v>15.1071232370641</v>
      </c>
      <c r="AI6185">
        <v>94.137302477023596</v>
      </c>
      <c r="AJ6185">
        <v>79.868532025549499</v>
      </c>
      <c r="AK6185">
        <v>15.386521300996201</v>
      </c>
      <c r="AL6185">
        <v>86.532677625548203</v>
      </c>
      <c r="AM6185">
        <v>85.142914041248204</v>
      </c>
      <c r="AN6185">
        <v>0.99999997910503402</v>
      </c>
    </row>
    <row r="6186" spans="1:40" x14ac:dyDescent="0.25">
      <c r="A6186" t="str">
        <f>"20190312151439154"</f>
        <v>20190312151439154</v>
      </c>
      <c r="B6186" t="str">
        <f>"1552374879146417"</f>
        <v>1552374879146417</v>
      </c>
      <c r="C6186" t="s">
        <v>40</v>
      </c>
      <c r="D6186">
        <v>4.779636</v>
      </c>
      <c r="E6186">
        <v>0.53407419999999906</v>
      </c>
      <c r="F6186" t="s">
        <v>42</v>
      </c>
      <c r="G6186">
        <v>-184.97980000000001</v>
      </c>
      <c r="H6186" s="1">
        <v>-2.545314E-6</v>
      </c>
      <c r="I6186">
        <v>93.202449999999999</v>
      </c>
      <c r="J6186">
        <v>-188.0591</v>
      </c>
      <c r="K6186">
        <v>1.1100920000000001</v>
      </c>
      <c r="L6186">
        <v>78.263210000000001</v>
      </c>
      <c r="M6186">
        <v>2.4311200000000002E-2</v>
      </c>
      <c r="N6186">
        <v>0</v>
      </c>
      <c r="O6186">
        <v>0.99962280000000003</v>
      </c>
      <c r="P6186">
        <v>0.1103107</v>
      </c>
      <c r="Q6186">
        <v>4.8472899999999999E-2</v>
      </c>
      <c r="R6186">
        <v>0.9927144</v>
      </c>
      <c r="S6186">
        <v>0.59951779999999999</v>
      </c>
      <c r="T6186">
        <v>-0.2155706</v>
      </c>
      <c r="U6186">
        <v>2.9660340000000001</v>
      </c>
      <c r="V6186">
        <v>8.6121879999999998E-2</v>
      </c>
      <c r="W6186">
        <v>6.1209369999999999E-2</v>
      </c>
      <c r="X6186">
        <v>0.99440249999999997</v>
      </c>
      <c r="Y6186">
        <v>0.17372899999999999</v>
      </c>
      <c r="Z6186">
        <v>-7.1189420000000003E-2</v>
      </c>
      <c r="AA6186">
        <v>0.98221700000000001</v>
      </c>
      <c r="AB6186">
        <v>33</v>
      </c>
      <c r="AC6186">
        <v>3.0792999999999799</v>
      </c>
      <c r="AD6186">
        <v>-1.1100945453139901</v>
      </c>
      <c r="AE6186">
        <v>14.9392399999999</v>
      </c>
      <c r="AF6186">
        <v>2.7008639878768599</v>
      </c>
      <c r="AG6186">
        <v>-1.1100945453139901</v>
      </c>
      <c r="AH6186">
        <v>14.9306107634343</v>
      </c>
      <c r="AI6186">
        <v>94.184465985038898</v>
      </c>
      <c r="AJ6186">
        <v>79.746396509912898</v>
      </c>
      <c r="AK6186">
        <v>15.2134846090475</v>
      </c>
      <c r="AL6186">
        <v>86.490767647214298</v>
      </c>
      <c r="AM6186">
        <v>85.050154992295901</v>
      </c>
      <c r="AN6186">
        <v>0.99999994859838903</v>
      </c>
    </row>
    <row r="6187" spans="1:40" x14ac:dyDescent="0.25">
      <c r="A6187" t="str">
        <f>"20190312151439186"</f>
        <v>20190312151439186</v>
      </c>
      <c r="B6187" t="str">
        <f>"1552374879176672"</f>
        <v>1552374879176672</v>
      </c>
      <c r="C6187" t="s">
        <v>40</v>
      </c>
      <c r="D6187">
        <v>4.778524</v>
      </c>
      <c r="E6187">
        <v>0.53419240000000001</v>
      </c>
      <c r="F6187" t="s">
        <v>42</v>
      </c>
      <c r="G6187">
        <v>-184.9152</v>
      </c>
      <c r="H6187" s="1">
        <v>-2.7220590000000001E-6</v>
      </c>
      <c r="I6187">
        <v>93.671310000000005</v>
      </c>
      <c r="J6187">
        <v>-188.04759999999999</v>
      </c>
      <c r="K6187">
        <v>1.1101209999999999</v>
      </c>
      <c r="L6187">
        <v>78.747860000000003</v>
      </c>
      <c r="M6187">
        <v>2.4061989999999998E-2</v>
      </c>
      <c r="N6187">
        <v>0</v>
      </c>
      <c r="O6187">
        <v>0.99962879999999998</v>
      </c>
      <c r="P6187">
        <v>0.11300549999999999</v>
      </c>
      <c r="Q6187">
        <v>5.2075780000000002E-2</v>
      </c>
      <c r="R6187">
        <v>0.99222869999999996</v>
      </c>
      <c r="S6187">
        <v>0.60502619999999996</v>
      </c>
      <c r="T6187">
        <v>-0.2136344</v>
      </c>
      <c r="U6187">
        <v>2.9652400000000001</v>
      </c>
      <c r="V6187">
        <v>8.9073630000000001E-2</v>
      </c>
      <c r="W6187">
        <v>6.4807580000000004E-2</v>
      </c>
      <c r="X6187">
        <v>0.99391439999999998</v>
      </c>
      <c r="Y6187">
        <v>0.17578659999999999</v>
      </c>
      <c r="Z6187">
        <v>-7.0546490000000003E-2</v>
      </c>
      <c r="AA6187">
        <v>0.98189729999999997</v>
      </c>
      <c r="AB6187">
        <v>33</v>
      </c>
      <c r="AC6187">
        <v>3.1323999999999899</v>
      </c>
      <c r="AD6187">
        <v>-1.1101237220589999</v>
      </c>
      <c r="AE6187">
        <v>14.9234499999999</v>
      </c>
      <c r="AF6187">
        <v>2.75775943293799</v>
      </c>
      <c r="AG6187">
        <v>-1.1101237220589999</v>
      </c>
      <c r="AH6187">
        <v>14.915453751092601</v>
      </c>
      <c r="AI6187">
        <v>94.1858603668976</v>
      </c>
      <c r="AJ6187">
        <v>79.524722953583293</v>
      </c>
      <c r="AK6187">
        <v>15.208825476322</v>
      </c>
      <c r="AL6187">
        <v>86.284194947581398</v>
      </c>
      <c r="AM6187">
        <v>84.878889589990095</v>
      </c>
      <c r="AN6187">
        <v>0.99999998425709602</v>
      </c>
    </row>
    <row r="6188" spans="1:40" x14ac:dyDescent="0.25">
      <c r="A6188" t="str">
        <f>"20190312151439210"</f>
        <v>20190312151439210</v>
      </c>
      <c r="B6188" t="str">
        <f>"1552374879206928"</f>
        <v>1552374879206928</v>
      </c>
      <c r="C6188" t="s">
        <v>40</v>
      </c>
      <c r="D6188">
        <v>4.7768709999999999</v>
      </c>
      <c r="E6188">
        <v>0.53428169999999897</v>
      </c>
      <c r="F6188" t="s">
        <v>42</v>
      </c>
      <c r="G6188">
        <v>-184.69390000000001</v>
      </c>
      <c r="H6188" s="1">
        <v>-3.2124380000000001E-6</v>
      </c>
      <c r="I6188">
        <v>94.927059999999997</v>
      </c>
      <c r="J6188">
        <v>-188.0395</v>
      </c>
      <c r="K6188">
        <v>1.110134</v>
      </c>
      <c r="L6188">
        <v>79.095830000000007</v>
      </c>
      <c r="M6188">
        <v>2.3881869999999999E-2</v>
      </c>
      <c r="N6188">
        <v>0</v>
      </c>
      <c r="O6188">
        <v>0.9996332</v>
      </c>
      <c r="P6188">
        <v>0.11450490000000001</v>
      </c>
      <c r="Q6188">
        <v>5.3510420000000003E-2</v>
      </c>
      <c r="R6188">
        <v>0.99198050000000004</v>
      </c>
      <c r="S6188">
        <v>0.61442569999999996</v>
      </c>
      <c r="T6188">
        <v>-0.2033846</v>
      </c>
      <c r="U6188">
        <v>2.964172</v>
      </c>
      <c r="V6188">
        <v>9.0757260000000006E-2</v>
      </c>
      <c r="W6188">
        <v>6.6238809999999995E-2</v>
      </c>
      <c r="X6188">
        <v>0.99366770000000004</v>
      </c>
      <c r="Y6188">
        <v>0.179066899999999</v>
      </c>
      <c r="Z6188">
        <v>-6.7160600000000001E-2</v>
      </c>
      <c r="AA6188">
        <v>0.98154189999999997</v>
      </c>
      <c r="AB6188">
        <v>33</v>
      </c>
      <c r="AC6188">
        <v>3.3455999999999899</v>
      </c>
      <c r="AD6188">
        <v>-1.110137212438</v>
      </c>
      <c r="AE6188">
        <v>15.8312299999999</v>
      </c>
      <c r="AF6188">
        <v>2.95263720199035</v>
      </c>
      <c r="AG6188">
        <v>-1.110137212438</v>
      </c>
      <c r="AH6188">
        <v>15.8320971877357</v>
      </c>
      <c r="AI6188">
        <v>93.943212383515203</v>
      </c>
      <c r="AJ6188">
        <v>79.435875720434595</v>
      </c>
      <c r="AK6188">
        <v>16.143288773943301</v>
      </c>
      <c r="AL6188">
        <v>86.202014879962306</v>
      </c>
      <c r="AM6188">
        <v>84.781333763144104</v>
      </c>
      <c r="AN6188">
        <v>0.99999997910810601</v>
      </c>
    </row>
    <row r="6189" spans="1:40" x14ac:dyDescent="0.25">
      <c r="A6189" t="str">
        <f>"20190312151439234"</f>
        <v>20190312151439234</v>
      </c>
      <c r="B6189" t="str">
        <f>"1552374879226449"</f>
        <v>1552374879226449</v>
      </c>
      <c r="C6189" t="s">
        <v>40</v>
      </c>
      <c r="D6189">
        <v>4.9888059999999896</v>
      </c>
      <c r="E6189">
        <v>0.53429130000000002</v>
      </c>
      <c r="F6189" t="s">
        <v>42</v>
      </c>
      <c r="G6189">
        <v>-184.59479999999999</v>
      </c>
      <c r="H6189" s="1">
        <v>-3.5045250000000001E-6</v>
      </c>
      <c r="I6189">
        <v>95.566929999999999</v>
      </c>
      <c r="J6189">
        <v>-188.03139999999999</v>
      </c>
      <c r="K6189">
        <v>1.1101319999999999</v>
      </c>
      <c r="L6189">
        <v>79.445980000000006</v>
      </c>
      <c r="M6189">
        <v>2.370044E-2</v>
      </c>
      <c r="N6189">
        <v>0</v>
      </c>
      <c r="O6189">
        <v>0.99963749999999996</v>
      </c>
      <c r="P6189">
        <v>0.11588179999999999</v>
      </c>
      <c r="Q6189">
        <v>5.3448870000000002E-2</v>
      </c>
      <c r="R6189">
        <v>0.99182389999999998</v>
      </c>
      <c r="S6189">
        <v>0.61976619999999905</v>
      </c>
      <c r="T6189">
        <v>-0.1997352</v>
      </c>
      <c r="U6189">
        <v>2.96347</v>
      </c>
      <c r="V6189">
        <v>9.2318129999999998E-2</v>
      </c>
      <c r="W6189">
        <v>6.6175049999999999E-2</v>
      </c>
      <c r="X6189">
        <v>0.99352819999999997</v>
      </c>
      <c r="Y6189">
        <v>0.1810032</v>
      </c>
      <c r="Z6189">
        <v>-6.5952780000000003E-2</v>
      </c>
      <c r="AA6189">
        <v>0.98126860000000005</v>
      </c>
      <c r="AB6189">
        <v>33</v>
      </c>
      <c r="AC6189">
        <v>3.4365999999999901</v>
      </c>
      <c r="AD6189">
        <v>-1.1101355045250001</v>
      </c>
      <c r="AE6189">
        <v>16.120949999999901</v>
      </c>
      <c r="AF6189">
        <v>3.0397415687409302</v>
      </c>
      <c r="AG6189">
        <v>-1.1101355045250001</v>
      </c>
      <c r="AH6189">
        <v>16.124735269674002</v>
      </c>
      <c r="AI6189">
        <v>93.870452893332697</v>
      </c>
      <c r="AJ6189">
        <v>79.324219201668797</v>
      </c>
      <c r="AK6189">
        <v>16.446261494947901</v>
      </c>
      <c r="AL6189">
        <v>86.205676282610199</v>
      </c>
      <c r="AM6189">
        <v>84.691348932397005</v>
      </c>
      <c r="AN6189">
        <v>1.00000002928221</v>
      </c>
    </row>
    <row r="6190" spans="1:40" x14ac:dyDescent="0.25">
      <c r="A6190" t="str">
        <f>"20190312151439254"</f>
        <v>20190312151439254</v>
      </c>
      <c r="B6190" t="str">
        <f>"1552374879246945"</f>
        <v>1552374879246945</v>
      </c>
      <c r="C6190" t="s">
        <v>40</v>
      </c>
      <c r="D6190">
        <v>4.7937390000000004</v>
      </c>
      <c r="E6190">
        <v>0.53430940000000005</v>
      </c>
      <c r="F6190" t="s">
        <v>42</v>
      </c>
      <c r="G6190">
        <v>-184.5701</v>
      </c>
      <c r="H6190" s="1">
        <v>-3.6432780000000002E-6</v>
      </c>
      <c r="I6190">
        <v>95.880179999999996</v>
      </c>
      <c r="J6190">
        <v>-188.02449999999999</v>
      </c>
      <c r="K6190">
        <v>1.110133</v>
      </c>
      <c r="L6190">
        <v>79.742829999999998</v>
      </c>
      <c r="M6190">
        <v>2.3546919999999999E-2</v>
      </c>
      <c r="N6190">
        <v>0</v>
      </c>
      <c r="O6190">
        <v>0.99964120000000001</v>
      </c>
      <c r="P6190">
        <v>0.1168307</v>
      </c>
      <c r="Q6190">
        <v>5.3165619999999997E-2</v>
      </c>
      <c r="R6190">
        <v>0.99172780000000005</v>
      </c>
      <c r="S6190">
        <v>0.62396240000000003</v>
      </c>
      <c r="T6190">
        <v>-0.20012579999999999</v>
      </c>
      <c r="U6190">
        <v>2.9626160000000001</v>
      </c>
      <c r="V6190">
        <v>9.3422000000000005E-2</v>
      </c>
      <c r="W6190">
        <v>6.5889580000000003E-2</v>
      </c>
      <c r="X6190">
        <v>0.99344399999999999</v>
      </c>
      <c r="Y6190">
        <v>0.18254010000000001</v>
      </c>
      <c r="Z6190">
        <v>-6.6081219999999996E-2</v>
      </c>
      <c r="AA6190">
        <v>0.98097520000000005</v>
      </c>
      <c r="AB6190">
        <v>33</v>
      </c>
      <c r="AC6190">
        <v>3.4543999999999899</v>
      </c>
      <c r="AD6190">
        <v>-1.110136643278</v>
      </c>
      <c r="AE6190">
        <v>16.137350000000001</v>
      </c>
      <c r="AF6190">
        <v>3.0595812068324402</v>
      </c>
      <c r="AG6190">
        <v>-1.110136643278</v>
      </c>
      <c r="AH6190">
        <v>16.141181197266899</v>
      </c>
      <c r="AI6190">
        <v>93.865795741606803</v>
      </c>
      <c r="AJ6190">
        <v>79.266850128348295</v>
      </c>
      <c r="AK6190">
        <v>16.466061185691999</v>
      </c>
      <c r="AL6190">
        <v>86.222068339784101</v>
      </c>
      <c r="AM6190">
        <v>84.627788642574998</v>
      </c>
      <c r="AN6190">
        <v>1.00000004398628</v>
      </c>
    </row>
    <row r="6191" spans="1:40" x14ac:dyDescent="0.25">
      <c r="A6191" t="str">
        <f>"20190312151439276"</f>
        <v>20190312151439276</v>
      </c>
      <c r="B6191" t="str">
        <f>"1552374879266465"</f>
        <v>1552374879266465</v>
      </c>
      <c r="C6191" t="s">
        <v>40</v>
      </c>
      <c r="D6191">
        <v>4.7659209999999996</v>
      </c>
      <c r="E6191">
        <v>0.53434899999999996</v>
      </c>
      <c r="F6191" t="s">
        <v>42</v>
      </c>
      <c r="G6191">
        <v>-184.5626</v>
      </c>
      <c r="H6191" s="1">
        <v>-3.7347899999999999E-6</v>
      </c>
      <c r="I6191">
        <v>96.090389999999999</v>
      </c>
      <c r="J6191">
        <v>-188.01730000000001</v>
      </c>
      <c r="K6191">
        <v>1.1101319999999999</v>
      </c>
      <c r="L6191">
        <v>80.058409999999995</v>
      </c>
      <c r="M6191">
        <v>2.3384180000000001E-2</v>
      </c>
      <c r="N6191">
        <v>0</v>
      </c>
      <c r="O6191">
        <v>0.99964500000000001</v>
      </c>
      <c r="P6191">
        <v>0.118009199999999</v>
      </c>
      <c r="Q6191">
        <v>5.2538939999999999E-2</v>
      </c>
      <c r="R6191">
        <v>0.99162159999999999</v>
      </c>
      <c r="S6191">
        <v>0.62724299999999999</v>
      </c>
      <c r="T6191">
        <v>-0.20113900000000001</v>
      </c>
      <c r="U6191">
        <v>2.9619140000000002</v>
      </c>
      <c r="V6191">
        <v>9.4764989999999993E-2</v>
      </c>
      <c r="W6191">
        <v>6.5260559999999995E-2</v>
      </c>
      <c r="X6191">
        <v>0.99335830000000003</v>
      </c>
      <c r="Y6191">
        <v>0.18378249999999999</v>
      </c>
      <c r="Z6191">
        <v>-6.6414719999999997E-2</v>
      </c>
      <c r="AA6191">
        <v>0.9807207</v>
      </c>
      <c r="AB6191">
        <v>33</v>
      </c>
      <c r="AC6191">
        <v>3.4546999999999999</v>
      </c>
      <c r="AD6191">
        <v>-1.1101357347899901</v>
      </c>
      <c r="AE6191">
        <v>16.031980000000001</v>
      </c>
      <c r="AF6191">
        <v>3.06478670272908</v>
      </c>
      <c r="AG6191">
        <v>-1.1101357347899901</v>
      </c>
      <c r="AH6191">
        <v>16.034913553357601</v>
      </c>
      <c r="AI6191">
        <v>93.890207442402399</v>
      </c>
      <c r="AJ6191">
        <v>79.179441395536401</v>
      </c>
      <c r="AK6191">
        <v>16.3628778503824</v>
      </c>
      <c r="AL6191">
        <v>86.258186209328102</v>
      </c>
      <c r="AM6191">
        <v>84.550554588485397</v>
      </c>
      <c r="AN6191">
        <v>1.0000000281000501</v>
      </c>
    </row>
    <row r="6192" spans="1:40" x14ac:dyDescent="0.25">
      <c r="A6192" t="str">
        <f>"20190312151439298"</f>
        <v>20190312151439298</v>
      </c>
      <c r="B6192" t="str">
        <f>"1552374879286961"</f>
        <v>1552374879286961</v>
      </c>
      <c r="C6192" t="s">
        <v>40</v>
      </c>
      <c r="D6192">
        <v>4.7710359999999996</v>
      </c>
      <c r="E6192">
        <v>0.53435999999999995</v>
      </c>
      <c r="F6192" t="s">
        <v>42</v>
      </c>
      <c r="G6192">
        <v>-184.5806</v>
      </c>
      <c r="H6192" s="1">
        <v>-3.7726110000000002E-6</v>
      </c>
      <c r="I6192">
        <v>96.185969999999998</v>
      </c>
      <c r="J6192">
        <v>-188.00970000000001</v>
      </c>
      <c r="K6192">
        <v>1.1101259999999999</v>
      </c>
      <c r="L6192">
        <v>80.395359999999997</v>
      </c>
      <c r="M6192">
        <v>2.3210959999999999E-2</v>
      </c>
      <c r="N6192">
        <v>0</v>
      </c>
      <c r="O6192">
        <v>0.99964900000000001</v>
      </c>
      <c r="P6192">
        <v>0.1187672</v>
      </c>
      <c r="Q6192">
        <v>5.2000350000000001E-2</v>
      </c>
      <c r="R6192">
        <v>0.99155950000000004</v>
      </c>
      <c r="S6192">
        <v>0.63099669999999997</v>
      </c>
      <c r="T6192">
        <v>-0.20382359999999999</v>
      </c>
      <c r="U6192">
        <v>2.9610599999999998</v>
      </c>
      <c r="V6192">
        <v>9.5696870000000003E-2</v>
      </c>
      <c r="W6192">
        <v>6.4720020000000003E-2</v>
      </c>
      <c r="X6192">
        <v>0.99330430000000003</v>
      </c>
      <c r="Y6192">
        <v>0.1851872</v>
      </c>
      <c r="Z6192">
        <v>-6.7298750000000004E-2</v>
      </c>
      <c r="AA6192">
        <v>0.98039620000000005</v>
      </c>
      <c r="AB6192">
        <v>33</v>
      </c>
      <c r="AC6192">
        <v>3.4291</v>
      </c>
      <c r="AD6192">
        <v>-1.110129772611</v>
      </c>
      <c r="AE6192">
        <v>15.790609999999999</v>
      </c>
      <c r="AF6192">
        <v>3.0472480478411899</v>
      </c>
      <c r="AG6192">
        <v>-1.110129772611</v>
      </c>
      <c r="AH6192">
        <v>15.7914196745577</v>
      </c>
      <c r="AI6192">
        <v>93.948643309116804</v>
      </c>
      <c r="AJ6192">
        <v>79.077961021012996</v>
      </c>
      <c r="AK6192">
        <v>16.121012502790201</v>
      </c>
      <c r="AL6192">
        <v>86.289222386993103</v>
      </c>
      <c r="AM6192">
        <v>84.496996992805904</v>
      </c>
      <c r="AN6192">
        <v>1.0000000021575399</v>
      </c>
    </row>
    <row r="6193" spans="1:40" x14ac:dyDescent="0.25">
      <c r="A6193" t="str">
        <f>"20190312151439320"</f>
        <v>20190312151439320</v>
      </c>
      <c r="B6193" t="str">
        <f>"1552374879316241"</f>
        <v>1552374879316241</v>
      </c>
      <c r="C6193" t="s">
        <v>40</v>
      </c>
      <c r="D6193">
        <v>4.8041109999999998</v>
      </c>
      <c r="E6193">
        <v>0.53435769999999905</v>
      </c>
      <c r="F6193" t="s">
        <v>42</v>
      </c>
      <c r="G6193">
        <v>-184.6035</v>
      </c>
      <c r="H6193" s="1">
        <v>-3.8236969999999996E-6</v>
      </c>
      <c r="I6193">
        <v>96.314549999999997</v>
      </c>
      <c r="J6193">
        <v>-188.0027</v>
      </c>
      <c r="K6193">
        <v>1.1101160000000001</v>
      </c>
      <c r="L6193">
        <v>80.706090000000003</v>
      </c>
      <c r="M6193">
        <v>2.3051740000000001E-2</v>
      </c>
      <c r="N6193">
        <v>0</v>
      </c>
      <c r="O6193">
        <v>0.99965269999999995</v>
      </c>
      <c r="P6193">
        <v>0.119459</v>
      </c>
      <c r="Q6193">
        <v>5.1386370000000001E-2</v>
      </c>
      <c r="R6193">
        <v>0.99150839999999996</v>
      </c>
      <c r="S6193">
        <v>0.633438099999999</v>
      </c>
      <c r="T6193">
        <v>-0.20644999999999999</v>
      </c>
      <c r="U6193">
        <v>2.96048</v>
      </c>
      <c r="V6193">
        <v>9.6548289999999995E-2</v>
      </c>
      <c r="W6193">
        <v>6.4104750000000002E-2</v>
      </c>
      <c r="X6193">
        <v>0.99326179999999997</v>
      </c>
      <c r="Y6193">
        <v>0.1861437</v>
      </c>
      <c r="Z6193">
        <v>-6.8163260000000003E-2</v>
      </c>
      <c r="AA6193">
        <v>0.9801552</v>
      </c>
      <c r="AB6193">
        <v>33</v>
      </c>
      <c r="AC6193">
        <v>3.3992</v>
      </c>
      <c r="AD6193">
        <v>-1.11011982369699</v>
      </c>
      <c r="AE6193">
        <v>15.6084599999999</v>
      </c>
      <c r="AF6193">
        <v>3.02386157306975</v>
      </c>
      <c r="AG6193">
        <v>-1.11011982369699</v>
      </c>
      <c r="AH6193">
        <v>15.607301302005601</v>
      </c>
      <c r="AI6193">
        <v>93.994462150023494</v>
      </c>
      <c r="AJ6193">
        <v>79.034991034780504</v>
      </c>
      <c r="AK6193">
        <v>15.9362466963724</v>
      </c>
      <c r="AL6193">
        <v>86.324548102504707</v>
      </c>
      <c r="AM6193">
        <v>84.448104964944903</v>
      </c>
      <c r="AN6193">
        <v>0.99999999730686295</v>
      </c>
    </row>
    <row r="6194" spans="1:40" x14ac:dyDescent="0.25">
      <c r="A6194" t="str">
        <f>"20190312151439343"</f>
        <v>20190312151439343</v>
      </c>
      <c r="B6194" t="str">
        <f>"1552374879336737"</f>
        <v>1552374879336737</v>
      </c>
      <c r="C6194" t="s">
        <v>40</v>
      </c>
      <c r="D6194">
        <v>4.7641519999999904</v>
      </c>
      <c r="E6194">
        <v>0.53434649999999995</v>
      </c>
      <c r="F6194" t="s">
        <v>42</v>
      </c>
      <c r="G6194">
        <v>-184.61590000000001</v>
      </c>
      <c r="H6194" s="1">
        <v>-3.8918910000000003E-6</v>
      </c>
      <c r="I6194">
        <v>96.478620000000006</v>
      </c>
      <c r="J6194">
        <v>-187.995</v>
      </c>
      <c r="K6194">
        <v>1.1101129999999999</v>
      </c>
      <c r="L6194">
        <v>81.04871</v>
      </c>
      <c r="M6194">
        <v>2.2876270000000001E-2</v>
      </c>
      <c r="N6194">
        <v>0</v>
      </c>
      <c r="O6194">
        <v>0.99965680000000001</v>
      </c>
      <c r="P6194">
        <v>0.12048490000000001</v>
      </c>
      <c r="Q6194">
        <v>5.160522E-2</v>
      </c>
      <c r="R6194">
        <v>0.9913729</v>
      </c>
      <c r="S6194">
        <v>0.63557430000000004</v>
      </c>
      <c r="T6194">
        <v>-0.20832909999999999</v>
      </c>
      <c r="U6194">
        <v>2.9599299999999999</v>
      </c>
      <c r="V6194">
        <v>9.7751569999999996E-2</v>
      </c>
      <c r="W6194">
        <v>6.4321249999999996E-2</v>
      </c>
      <c r="X6194">
        <v>0.99313010000000002</v>
      </c>
      <c r="Y6194">
        <v>0.18702060000000001</v>
      </c>
      <c r="Z6194">
        <v>-6.8782620000000003E-2</v>
      </c>
      <c r="AA6194">
        <v>0.97994499999999995</v>
      </c>
      <c r="AB6194">
        <v>33</v>
      </c>
      <c r="AC6194">
        <v>3.37909999999999</v>
      </c>
      <c r="AD6194">
        <v>-1.1101168918909901</v>
      </c>
      <c r="AE6194">
        <v>15.4299099999999</v>
      </c>
      <c r="AF6194">
        <v>3.0103390157932699</v>
      </c>
      <c r="AG6194">
        <v>-1.1101168918909901</v>
      </c>
      <c r="AH6194">
        <v>15.4269802905866</v>
      </c>
      <c r="AI6194">
        <v>94.039940389378799</v>
      </c>
      <c r="AJ6194">
        <v>78.958356715207799</v>
      </c>
      <c r="AK6194">
        <v>15.757100665725799</v>
      </c>
      <c r="AL6194">
        <v>86.312117901044601</v>
      </c>
      <c r="AM6194">
        <v>84.378611549635096</v>
      </c>
      <c r="AN6194">
        <v>0.99999999408251805</v>
      </c>
    </row>
    <row r="6195" spans="1:40" x14ac:dyDescent="0.25">
      <c r="A6195" t="str">
        <f>"20190312151439366"</f>
        <v>20190312151439366</v>
      </c>
      <c r="B6195" t="str">
        <f>"1552374879356257"</f>
        <v>1552374879356257</v>
      </c>
      <c r="C6195" t="s">
        <v>40</v>
      </c>
      <c r="D6195">
        <v>5.0184709999999999</v>
      </c>
      <c r="E6195">
        <v>0.53433419999999998</v>
      </c>
      <c r="F6195" t="s">
        <v>42</v>
      </c>
      <c r="G6195">
        <v>-184.57820000000001</v>
      </c>
      <c r="H6195" s="1">
        <v>-4.0705019999999999E-6</v>
      </c>
      <c r="I6195">
        <v>96.879390000000001</v>
      </c>
      <c r="J6195">
        <v>-187.98769999999999</v>
      </c>
      <c r="K6195">
        <v>1.110117</v>
      </c>
      <c r="L6195">
        <v>81.377440000000007</v>
      </c>
      <c r="M6195">
        <v>2.2708220000000001E-2</v>
      </c>
      <c r="N6195">
        <v>0</v>
      </c>
      <c r="O6195">
        <v>0.99966060000000001</v>
      </c>
      <c r="P6195">
        <v>0.1211045</v>
      </c>
      <c r="Q6195">
        <v>5.1124610000000001E-2</v>
      </c>
      <c r="R6195">
        <v>0.99132229999999999</v>
      </c>
      <c r="S6195">
        <v>0.63871769999999894</v>
      </c>
      <c r="T6195">
        <v>-0.20751849999999999</v>
      </c>
      <c r="U6195">
        <v>2.9592900000000002</v>
      </c>
      <c r="V6195">
        <v>9.8539539999999995E-2</v>
      </c>
      <c r="W6195">
        <v>6.3838740000000005E-2</v>
      </c>
      <c r="X6195">
        <v>0.99308339999999995</v>
      </c>
      <c r="Y6195">
        <v>0.1882279</v>
      </c>
      <c r="Z6195">
        <v>-6.8515590000000001E-2</v>
      </c>
      <c r="AA6195">
        <v>0.97973259999999995</v>
      </c>
      <c r="AB6195">
        <v>33</v>
      </c>
      <c r="AC6195">
        <v>3.4094999999999702</v>
      </c>
      <c r="AD6195">
        <v>-1.1101210705019999</v>
      </c>
      <c r="AE6195">
        <v>15.5019499999999</v>
      </c>
      <c r="AF6195">
        <v>3.04169150577692</v>
      </c>
      <c r="AG6195">
        <v>-1.1101210705019999</v>
      </c>
      <c r="AH6195">
        <v>15.4995640850403</v>
      </c>
      <c r="AI6195">
        <v>94.020261193885105</v>
      </c>
      <c r="AJ6195">
        <v>78.897159722382398</v>
      </c>
      <c r="AK6195">
        <v>15.834163787006901</v>
      </c>
      <c r="AL6195">
        <v>86.339820764506001</v>
      </c>
      <c r="AM6195">
        <v>84.333326840638804</v>
      </c>
      <c r="AN6195">
        <v>1.0000000325118701</v>
      </c>
    </row>
    <row r="6196" spans="1:40" x14ac:dyDescent="0.25">
      <c r="A6196" t="str">
        <f>"20190312151439387"</f>
        <v>20190312151439387</v>
      </c>
      <c r="B6196" t="str">
        <f>"1552374879376756"</f>
        <v>1552374879376756</v>
      </c>
      <c r="C6196" t="s">
        <v>40</v>
      </c>
      <c r="D6196">
        <v>4.8043310000000004</v>
      </c>
      <c r="E6196">
        <v>0.53432239999999998</v>
      </c>
      <c r="F6196" t="s">
        <v>42</v>
      </c>
      <c r="G6196">
        <v>-184.58250000000001</v>
      </c>
      <c r="H6196" s="1">
        <v>-4.1680340000000003E-6</v>
      </c>
      <c r="I6196">
        <v>97.108490000000003</v>
      </c>
      <c r="J6196">
        <v>-187.98070000000001</v>
      </c>
      <c r="K6196">
        <v>1.11012</v>
      </c>
      <c r="L6196">
        <v>81.697299999999998</v>
      </c>
      <c r="M6196">
        <v>2.2544939999999999E-2</v>
      </c>
      <c r="N6196">
        <v>0</v>
      </c>
      <c r="O6196">
        <v>0.99966440000000001</v>
      </c>
      <c r="P6196">
        <v>0.12183430000000001</v>
      </c>
      <c r="Q6196">
        <v>5.1169920000000001E-2</v>
      </c>
      <c r="R6196">
        <v>0.99123050000000001</v>
      </c>
      <c r="S6196">
        <v>0.64048769999999999</v>
      </c>
      <c r="T6196">
        <v>-0.20879909999999999</v>
      </c>
      <c r="U6196">
        <v>2.9588009999999998</v>
      </c>
      <c r="V6196">
        <v>9.9433560000000004E-2</v>
      </c>
      <c r="W6196">
        <v>6.3882519999999998E-2</v>
      </c>
      <c r="X6196">
        <v>0.99299139999999997</v>
      </c>
      <c r="Y6196">
        <v>0.18897530000000001</v>
      </c>
      <c r="Z6196">
        <v>-6.8938559999999996E-2</v>
      </c>
      <c r="AA6196">
        <v>0.97955899999999996</v>
      </c>
      <c r="AB6196">
        <v>33</v>
      </c>
      <c r="AC6196">
        <v>3.3982000000000001</v>
      </c>
      <c r="AD6196">
        <v>-1.1101241680339999</v>
      </c>
      <c r="AE6196">
        <v>15.41119</v>
      </c>
      <c r="AF6196">
        <v>3.03484630339302</v>
      </c>
      <c r="AG6196">
        <v>-1.1101241680339999</v>
      </c>
      <c r="AH6196">
        <v>15.4076497690631</v>
      </c>
      <c r="AI6196">
        <v>94.043621754893095</v>
      </c>
      <c r="AJ6196">
        <v>78.8570879564992</v>
      </c>
      <c r="AK6196">
        <v>15.7428821744871</v>
      </c>
      <c r="AL6196">
        <v>86.337306976609</v>
      </c>
      <c r="AM6196">
        <v>84.281727700331501</v>
      </c>
      <c r="AN6196">
        <v>0.99999996484489095</v>
      </c>
    </row>
    <row r="6197" spans="1:40" x14ac:dyDescent="0.25">
      <c r="A6197" t="str">
        <f>"20190312151439410"</f>
        <v>20190312151439410</v>
      </c>
      <c r="B6197" t="str">
        <f>"1552374879407009"</f>
        <v>1552374879407009</v>
      </c>
      <c r="C6197" t="s">
        <v>40</v>
      </c>
      <c r="D6197">
        <v>4.777908</v>
      </c>
      <c r="E6197">
        <v>0.53418920000000003</v>
      </c>
      <c r="F6197" t="s">
        <v>42</v>
      </c>
      <c r="G6197">
        <v>-184.56450000000001</v>
      </c>
      <c r="H6197" s="1">
        <v>-4.3086929999999999E-6</v>
      </c>
      <c r="I6197">
        <v>97.428929999999994</v>
      </c>
      <c r="J6197">
        <v>-187.9734</v>
      </c>
      <c r="K6197">
        <v>1.1101179999999999</v>
      </c>
      <c r="L6197">
        <v>82.029569999999893</v>
      </c>
      <c r="M6197">
        <v>2.2375579999999999E-2</v>
      </c>
      <c r="N6197">
        <v>0</v>
      </c>
      <c r="O6197">
        <v>0.99966820000000001</v>
      </c>
      <c r="P6197">
        <v>0.1224914</v>
      </c>
      <c r="Q6197">
        <v>5.0992889999999999E-2</v>
      </c>
      <c r="R6197">
        <v>0.99115869999999995</v>
      </c>
      <c r="S6197">
        <v>0.64242549999999998</v>
      </c>
      <c r="T6197">
        <v>-0.20876159999999999</v>
      </c>
      <c r="U6197">
        <v>2.9583740000000001</v>
      </c>
      <c r="V6197">
        <v>0.10026060000000001</v>
      </c>
      <c r="W6197">
        <v>6.3703579999999996E-2</v>
      </c>
      <c r="X6197">
        <v>0.99291969999999996</v>
      </c>
      <c r="Y6197">
        <v>0.18978390000000001</v>
      </c>
      <c r="Z6197">
        <v>-6.8926169999999995E-2</v>
      </c>
      <c r="AA6197">
        <v>0.97940349999999998</v>
      </c>
      <c r="AB6197">
        <v>33</v>
      </c>
      <c r="AC6197">
        <v>3.4088999999999801</v>
      </c>
      <c r="AD6197">
        <v>-1.1101223086930001</v>
      </c>
      <c r="AE6197">
        <v>15.39936</v>
      </c>
      <c r="AF6197">
        <v>3.04834709067257</v>
      </c>
      <c r="AG6197">
        <v>-1.1101223086930001</v>
      </c>
      <c r="AH6197">
        <v>15.3955162294939</v>
      </c>
      <c r="AI6197">
        <v>94.046000067833802</v>
      </c>
      <c r="AJ6197">
        <v>78.800169074204803</v>
      </c>
      <c r="AK6197">
        <v>15.7336172413745</v>
      </c>
      <c r="AL6197">
        <v>86.347580290312806</v>
      </c>
      <c r="AM6197">
        <v>84.234071473620901</v>
      </c>
      <c r="AN6197">
        <v>0.99999993233262996</v>
      </c>
    </row>
    <row r="6198" spans="1:40" x14ac:dyDescent="0.25">
      <c r="A6198" t="str">
        <f>"20190312151439433"</f>
        <v>20190312151439433</v>
      </c>
      <c r="B6198" t="str">
        <f>"1552374879426529"</f>
        <v>1552374879426529</v>
      </c>
      <c r="C6198" t="s">
        <v>40</v>
      </c>
      <c r="D6198">
        <v>5.2970370000000004</v>
      </c>
      <c r="E6198">
        <v>0.53406309999999901</v>
      </c>
      <c r="F6198" t="s">
        <v>42</v>
      </c>
      <c r="G6198">
        <v>-184.56909999999999</v>
      </c>
      <c r="H6198" s="1">
        <v>-4.4137099999999996E-6</v>
      </c>
      <c r="I6198">
        <v>97.675640000000001</v>
      </c>
      <c r="J6198">
        <v>-187.96639999999999</v>
      </c>
      <c r="K6198">
        <v>1.110117</v>
      </c>
      <c r="L6198">
        <v>82.355379999999997</v>
      </c>
      <c r="M6198">
        <v>2.2211000000000002E-2</v>
      </c>
      <c r="N6198">
        <v>0</v>
      </c>
      <c r="O6198">
        <v>0.9996718</v>
      </c>
      <c r="P6198">
        <v>0.1232993</v>
      </c>
      <c r="Q6198">
        <v>5.088695E-2</v>
      </c>
      <c r="R6198">
        <v>0.99106399999999994</v>
      </c>
      <c r="S6198">
        <v>0.64361569999999901</v>
      </c>
      <c r="T6198">
        <v>-0.20987700000000001</v>
      </c>
      <c r="U6198">
        <v>2.958008</v>
      </c>
      <c r="V6198">
        <v>0.1012342</v>
      </c>
      <c r="W6198">
        <v>6.3595559999999995E-2</v>
      </c>
      <c r="X6198">
        <v>0.99282789999999999</v>
      </c>
      <c r="Y6198">
        <v>0.1903415</v>
      </c>
      <c r="Z6198">
        <v>-6.9294700000000001E-2</v>
      </c>
      <c r="AA6198">
        <v>0.97926930000000001</v>
      </c>
      <c r="AB6198">
        <v>33</v>
      </c>
      <c r="AC6198">
        <v>3.3973</v>
      </c>
      <c r="AD6198">
        <v>-1.1101214137099999</v>
      </c>
      <c r="AE6198">
        <v>15.3202599999999</v>
      </c>
      <c r="AF6198">
        <v>3.0409373550788898</v>
      </c>
      <c r="AG6198">
        <v>-1.1101214137099999</v>
      </c>
      <c r="AH6198">
        <v>15.315298043552399</v>
      </c>
      <c r="AI6198">
        <v>94.066690094579201</v>
      </c>
      <c r="AJ6198">
        <v>78.769667620429502</v>
      </c>
      <c r="AK6198">
        <v>15.653690418349701</v>
      </c>
      <c r="AL6198">
        <v>86.353782198428206</v>
      </c>
      <c r="AM6198">
        <v>84.177928454941295</v>
      </c>
      <c r="AN6198">
        <v>0.99999999875988099</v>
      </c>
    </row>
    <row r="6199" spans="1:40" x14ac:dyDescent="0.25">
      <c r="A6199" t="str">
        <f>"20190312151439454"</f>
        <v>20190312151439454</v>
      </c>
      <c r="B6199" t="str">
        <f>"1552374879447025"</f>
        <v>1552374879447025</v>
      </c>
      <c r="C6199" t="s">
        <v>40</v>
      </c>
      <c r="D6199">
        <v>4.76403</v>
      </c>
      <c r="E6199">
        <v>0.53391959999999905</v>
      </c>
      <c r="F6199" t="s">
        <v>42</v>
      </c>
      <c r="G6199">
        <v>-184.55439999999999</v>
      </c>
      <c r="H6199" s="1">
        <v>-4.5544470000000002E-6</v>
      </c>
      <c r="I6199">
        <v>97.997630000000001</v>
      </c>
      <c r="J6199">
        <v>-187.9597</v>
      </c>
      <c r="K6199">
        <v>1.1101160000000001</v>
      </c>
      <c r="L6199">
        <v>82.667360000000002</v>
      </c>
      <c r="M6199">
        <v>2.2054830000000001E-2</v>
      </c>
      <c r="N6199">
        <v>0</v>
      </c>
      <c r="O6199">
        <v>0.99967530000000004</v>
      </c>
      <c r="P6199">
        <v>0.1240985</v>
      </c>
      <c r="Q6199">
        <v>5.0491469999999997E-2</v>
      </c>
      <c r="R6199">
        <v>0.99098439999999999</v>
      </c>
      <c r="S6199">
        <v>0.64511109999999905</v>
      </c>
      <c r="T6199">
        <v>-0.20989559999999999</v>
      </c>
      <c r="U6199">
        <v>2.9575499999999999</v>
      </c>
      <c r="V6199">
        <v>0.10219060000000001</v>
      </c>
      <c r="W6199">
        <v>6.3197729999999994E-2</v>
      </c>
      <c r="X6199">
        <v>0.99275530000000001</v>
      </c>
      <c r="Y6199">
        <v>0.1909989</v>
      </c>
      <c r="Z6199">
        <v>-6.9303459999999997E-2</v>
      </c>
      <c r="AA6199">
        <v>0.97914069999999997</v>
      </c>
      <c r="AB6199">
        <v>33</v>
      </c>
      <c r="AC6199">
        <v>3.4053000000000102</v>
      </c>
      <c r="AD6199">
        <v>-1.1101205544470001</v>
      </c>
      <c r="AE6199">
        <v>15.330270000000001</v>
      </c>
      <c r="AF6199">
        <v>3.0510907209004001</v>
      </c>
      <c r="AG6199">
        <v>-1.1101205544470001</v>
      </c>
      <c r="AH6199">
        <v>15.325067999650599</v>
      </c>
      <c r="AI6199">
        <v>94.063687890902102</v>
      </c>
      <c r="AJ6199">
        <v>78.740127625113701</v>
      </c>
      <c r="AK6199">
        <v>15.665223631550401</v>
      </c>
      <c r="AL6199">
        <v>86.376622050519799</v>
      </c>
      <c r="AM6199">
        <v>84.122881431387199</v>
      </c>
      <c r="AN6199">
        <v>0.99999997874180102</v>
      </c>
    </row>
    <row r="6200" spans="1:40" x14ac:dyDescent="0.25">
      <c r="A6200" t="str">
        <f>"20190312151439476"</f>
        <v>20190312151439476</v>
      </c>
      <c r="B6200" t="str">
        <f>"1552374879467149"</f>
        <v>1552374879467149</v>
      </c>
      <c r="C6200" t="s">
        <v>40</v>
      </c>
      <c r="D6200">
        <v>4.7876859999999999</v>
      </c>
      <c r="E6200">
        <v>0.53379200000000004</v>
      </c>
      <c r="F6200" t="s">
        <v>42</v>
      </c>
      <c r="G6200">
        <v>-184.55099999999999</v>
      </c>
      <c r="H6200" s="1">
        <v>-4.6681929999999996E-6</v>
      </c>
      <c r="I6200">
        <v>98.261380000000003</v>
      </c>
      <c r="J6200">
        <v>-187.95240000000001</v>
      </c>
      <c r="K6200">
        <v>1.1101129999999999</v>
      </c>
      <c r="L6200">
        <v>83.005740000000003</v>
      </c>
      <c r="M6200">
        <v>2.1886610000000001E-2</v>
      </c>
      <c r="N6200">
        <v>0</v>
      </c>
      <c r="O6200">
        <v>0.99967899999999998</v>
      </c>
      <c r="P6200">
        <v>0.12515889999999999</v>
      </c>
      <c r="Q6200">
        <v>5.052707E-2</v>
      </c>
      <c r="R6200">
        <v>0.99084930000000004</v>
      </c>
      <c r="S6200">
        <v>0.6463776</v>
      </c>
      <c r="T6200">
        <v>-0.21051220000000001</v>
      </c>
      <c r="U6200">
        <v>2.9570919999999998</v>
      </c>
      <c r="V6200">
        <v>0.1034212</v>
      </c>
      <c r="W6200">
        <v>6.3231040000000002E-2</v>
      </c>
      <c r="X6200">
        <v>0.9926258</v>
      </c>
      <c r="Y6200">
        <v>0.1915927</v>
      </c>
      <c r="Z6200">
        <v>-6.9509689999999999E-2</v>
      </c>
      <c r="AA6200">
        <v>0.97901000000000005</v>
      </c>
      <c r="AB6200">
        <v>33</v>
      </c>
      <c r="AC6200">
        <v>3.4014000000000202</v>
      </c>
      <c r="AD6200">
        <v>-1.1101176681929901</v>
      </c>
      <c r="AE6200">
        <v>15.25564</v>
      </c>
      <c r="AF6200">
        <v>3.0512718984227298</v>
      </c>
      <c r="AG6200">
        <v>-1.1101176681929901</v>
      </c>
      <c r="AH6200">
        <v>15.249511989722601</v>
      </c>
      <c r="AI6200">
        <v>94.082963706928396</v>
      </c>
      <c r="AJ6200">
        <v>78.685120000561</v>
      </c>
      <c r="AK6200">
        <v>15.5913513641388</v>
      </c>
      <c r="AL6200">
        <v>86.374709939945106</v>
      </c>
      <c r="AM6200">
        <v>84.051841927058206</v>
      </c>
      <c r="AN6200">
        <v>1.00000004392727</v>
      </c>
    </row>
    <row r="6201" spans="1:40" x14ac:dyDescent="0.25">
      <c r="A6201" t="str">
        <f>"20190312151439498"</f>
        <v>20190312151439498</v>
      </c>
      <c r="B6201" t="str">
        <f>"1552374879486669"</f>
        <v>1552374879486669</v>
      </c>
      <c r="C6201" t="s">
        <v>40</v>
      </c>
      <c r="D6201">
        <v>4.7765459999999997</v>
      </c>
      <c r="E6201">
        <v>0.52509280000000003</v>
      </c>
      <c r="F6201" t="s">
        <v>42</v>
      </c>
      <c r="G6201">
        <v>-184.52080000000001</v>
      </c>
      <c r="H6201" s="1">
        <v>-4.839008E-6</v>
      </c>
      <c r="I6201">
        <v>98.647059999999996</v>
      </c>
      <c r="J6201">
        <v>-187.94589999999999</v>
      </c>
      <c r="K6201">
        <v>1.1101110000000001</v>
      </c>
      <c r="L6201">
        <v>83.314119999999903</v>
      </c>
      <c r="M6201">
        <v>2.1734440000000001E-2</v>
      </c>
      <c r="N6201">
        <v>0</v>
      </c>
      <c r="O6201">
        <v>0.99968239999999997</v>
      </c>
      <c r="P6201">
        <v>0.12609300000000001</v>
      </c>
      <c r="Q6201">
        <v>5.0932020000000001E-2</v>
      </c>
      <c r="R6201">
        <v>0.99071010000000004</v>
      </c>
      <c r="S6201">
        <v>0.64863590000000004</v>
      </c>
      <c r="T6201">
        <v>-0.20983170000000001</v>
      </c>
      <c r="U6201">
        <v>2.9564819999999998</v>
      </c>
      <c r="V6201">
        <v>0.1045094</v>
      </c>
      <c r="W6201">
        <v>6.3632690000000006E-2</v>
      </c>
      <c r="X6201">
        <v>0.99248610000000004</v>
      </c>
      <c r="Y6201">
        <v>0.19250110000000001</v>
      </c>
      <c r="Z6201">
        <v>-6.9288569999999994E-2</v>
      </c>
      <c r="AA6201">
        <v>0.97884749999999998</v>
      </c>
      <c r="AB6201">
        <v>33</v>
      </c>
      <c r="AC6201">
        <v>3.42509999999998</v>
      </c>
      <c r="AD6201">
        <v>-1.1101158390079999</v>
      </c>
      <c r="AE6201">
        <v>15.332940000000001</v>
      </c>
      <c r="AF6201">
        <v>3.0756548957786198</v>
      </c>
      <c r="AG6201">
        <v>-1.1101158390079999</v>
      </c>
      <c r="AH6201">
        <v>15.327241370378999</v>
      </c>
      <c r="AI6201">
        <v>94.061871194154904</v>
      </c>
      <c r="AJ6201">
        <v>78.653385641129901</v>
      </c>
      <c r="AK6201">
        <v>15.672151678688</v>
      </c>
      <c r="AL6201">
        <v>86.351650479550301</v>
      </c>
      <c r="AM6201">
        <v>83.988871248109405</v>
      </c>
      <c r="AN6201">
        <v>0.99999999630910297</v>
      </c>
    </row>
    <row r="6202" spans="1:40" x14ac:dyDescent="0.25">
      <c r="A6202" t="str">
        <f>"20190312151439520"</f>
        <v>20190312151439520</v>
      </c>
      <c r="B6202" t="str">
        <f>"1552374879516925"</f>
        <v>1552374879516925</v>
      </c>
      <c r="C6202" t="s">
        <v>40</v>
      </c>
      <c r="D6202">
        <v>4.7786140000000001</v>
      </c>
      <c r="E6202">
        <v>0.53052239999999995</v>
      </c>
      <c r="F6202" t="s">
        <v>42</v>
      </c>
      <c r="G6202">
        <v>-183.78270000000001</v>
      </c>
      <c r="H6202" s="1">
        <v>-3.3073230000000001E-6</v>
      </c>
      <c r="I6202">
        <v>104.5056</v>
      </c>
      <c r="J6202">
        <v>-187.93889999999999</v>
      </c>
      <c r="K6202">
        <v>1.1101019999999999</v>
      </c>
      <c r="L6202">
        <v>83.643769999999904</v>
      </c>
      <c r="M6202">
        <v>2.157336E-2</v>
      </c>
      <c r="N6202">
        <v>0</v>
      </c>
      <c r="O6202">
        <v>0.99968590000000002</v>
      </c>
      <c r="P6202">
        <v>0.12717220000000001</v>
      </c>
      <c r="Q6202">
        <v>5.1133100000000001E-2</v>
      </c>
      <c r="R6202">
        <v>0.99056180000000005</v>
      </c>
      <c r="S6202">
        <v>0.58190920000000002</v>
      </c>
      <c r="T6202">
        <v>-0.15516579999999999</v>
      </c>
      <c r="U6202">
        <v>2.9620359999999999</v>
      </c>
      <c r="V6202">
        <v>0.1057517</v>
      </c>
      <c r="W6202">
        <v>6.3831600000000002E-2</v>
      </c>
      <c r="X6202">
        <v>0.99234180000000005</v>
      </c>
      <c r="Y6202">
        <v>0.171300799999999</v>
      </c>
      <c r="Z6202">
        <v>-5.1418230000000002E-2</v>
      </c>
      <c r="AA6202">
        <v>0.98387610000000003</v>
      </c>
      <c r="AB6202">
        <v>33</v>
      </c>
      <c r="AC6202">
        <v>4.1561999999999797</v>
      </c>
      <c r="AD6202">
        <v>-1.1101053073230001</v>
      </c>
      <c r="AE6202">
        <v>20.861830000000001</v>
      </c>
      <c r="AF6202">
        <v>3.69507283159869</v>
      </c>
      <c r="AG6202">
        <v>-1.1101053073230001</v>
      </c>
      <c r="AH6202">
        <v>20.889752289876999</v>
      </c>
      <c r="AI6202">
        <v>92.995487928949899</v>
      </c>
      <c r="AJ6202">
        <v>79.969024150720003</v>
      </c>
      <c r="AK6202">
        <v>21.243061167274998</v>
      </c>
      <c r="AL6202">
        <v>86.340230835743796</v>
      </c>
      <c r="AM6202">
        <v>83.917071820387505</v>
      </c>
      <c r="AN6202">
        <v>1.00000007161934</v>
      </c>
    </row>
    <row r="6203" spans="1:40" x14ac:dyDescent="0.25">
      <c r="A6203" t="str">
        <f>"20190312151439543"</f>
        <v>20190312151439543</v>
      </c>
      <c r="B6203" t="str">
        <f>"1552374879536446"</f>
        <v>1552374879536446</v>
      </c>
      <c r="C6203" t="s">
        <v>40</v>
      </c>
      <c r="D6203">
        <v>4.7671409999999996</v>
      </c>
      <c r="E6203">
        <v>0.52903500000000003</v>
      </c>
      <c r="F6203" t="s">
        <v>42</v>
      </c>
      <c r="G6203">
        <v>-184.82560000000001</v>
      </c>
      <c r="H6203" s="1">
        <v>-4.6265989999999996E-6</v>
      </c>
      <c r="I6203">
        <v>98.277959999999993</v>
      </c>
      <c r="J6203">
        <v>-187.93209999999999</v>
      </c>
      <c r="K6203">
        <v>1.1101000000000001</v>
      </c>
      <c r="L6203">
        <v>83.970280000000002</v>
      </c>
      <c r="M6203">
        <v>2.1414820000000001E-2</v>
      </c>
      <c r="N6203">
        <v>0</v>
      </c>
      <c r="O6203">
        <v>0.9996893</v>
      </c>
      <c r="P6203">
        <v>0.1278212</v>
      </c>
      <c r="Q6203">
        <v>5.1016249999999999E-2</v>
      </c>
      <c r="R6203">
        <v>0.99048429999999998</v>
      </c>
      <c r="S6203">
        <v>0.62957759999999996</v>
      </c>
      <c r="T6203">
        <v>-0.22448750000000001</v>
      </c>
      <c r="U6203">
        <v>2.9593509999999998</v>
      </c>
      <c r="V6203">
        <v>0.10655969999999999</v>
      </c>
      <c r="W6203">
        <v>6.3713099999999995E-2</v>
      </c>
      <c r="X6203">
        <v>0.99226289999999995</v>
      </c>
      <c r="Y6203">
        <v>0.1865175</v>
      </c>
      <c r="Z6203">
        <v>-7.4125570000000002E-2</v>
      </c>
      <c r="AA6203">
        <v>0.9796513</v>
      </c>
      <c r="AB6203">
        <v>33</v>
      </c>
      <c r="AC6203">
        <v>3.1064999999999801</v>
      </c>
      <c r="AD6203">
        <v>-1.110104626599</v>
      </c>
      <c r="AE6203">
        <v>14.3076799999999</v>
      </c>
      <c r="AF6203">
        <v>2.7833649109565899</v>
      </c>
      <c r="AG6203">
        <v>-1.110104626599</v>
      </c>
      <c r="AH6203">
        <v>14.2887842841047</v>
      </c>
      <c r="AI6203">
        <v>94.360782872079199</v>
      </c>
      <c r="AJ6203">
        <v>78.977179520886594</v>
      </c>
      <c r="AK6203">
        <v>14.599616735627601</v>
      </c>
      <c r="AL6203">
        <v>86.347033956100105</v>
      </c>
      <c r="AM6203">
        <v>83.870463748684202</v>
      </c>
      <c r="AN6203">
        <v>0.99999999574605503</v>
      </c>
    </row>
    <row r="6204" spans="1:40" x14ac:dyDescent="0.25">
      <c r="A6204" t="str">
        <f>"20190312151439567"</f>
        <v>20190312151439567</v>
      </c>
      <c r="B6204" t="str">
        <f>"1552374879557556"</f>
        <v>1552374879557556</v>
      </c>
      <c r="C6204" t="s">
        <v>40</v>
      </c>
      <c r="D6204">
        <v>4.7955110000000003</v>
      </c>
      <c r="E6204">
        <v>0.52894399999999997</v>
      </c>
      <c r="F6204" t="s">
        <v>42</v>
      </c>
      <c r="G6204">
        <v>-184.98</v>
      </c>
      <c r="H6204" s="1">
        <v>-4.50865599999999E-6</v>
      </c>
      <c r="I6204">
        <v>98.066860000000005</v>
      </c>
      <c r="J6204">
        <v>-187.92519999999999</v>
      </c>
      <c r="K6204">
        <v>1.1101030000000001</v>
      </c>
      <c r="L6204">
        <v>84.302729999999997</v>
      </c>
      <c r="M6204">
        <v>2.1254220000000001E-2</v>
      </c>
      <c r="N6204">
        <v>0</v>
      </c>
      <c r="O6204">
        <v>0.99969269999999999</v>
      </c>
      <c r="P6204">
        <v>0.12813279999999999</v>
      </c>
      <c r="Q6204">
        <v>5.1087800000000003E-2</v>
      </c>
      <c r="R6204">
        <v>0.99044030000000005</v>
      </c>
      <c r="S6204">
        <v>0.62005619999999995</v>
      </c>
      <c r="T6204">
        <v>-0.23316400000000001</v>
      </c>
      <c r="U6204">
        <v>2.9608150000000002</v>
      </c>
      <c r="V6204">
        <v>0.10703169999999999</v>
      </c>
      <c r="W6204">
        <v>6.3783060000000003E-2</v>
      </c>
      <c r="X6204">
        <v>0.99220759999999997</v>
      </c>
      <c r="Y6204">
        <v>0.1835154</v>
      </c>
      <c r="Z6204">
        <v>-7.6983999999999997E-2</v>
      </c>
      <c r="AA6204">
        <v>0.97999780000000003</v>
      </c>
      <c r="AB6204">
        <v>33</v>
      </c>
      <c r="AC6204">
        <v>2.9451999999999998</v>
      </c>
      <c r="AD6204">
        <v>-1.1101075086559999</v>
      </c>
      <c r="AE6204">
        <v>13.7641299999999</v>
      </c>
      <c r="AF6204">
        <v>2.63557169140193</v>
      </c>
      <c r="AG6204">
        <v>-1.1101075086559999</v>
      </c>
      <c r="AH6204">
        <v>13.7381719440643</v>
      </c>
      <c r="AI6204">
        <v>94.537339300192201</v>
      </c>
      <c r="AJ6204">
        <v>79.140152256450605</v>
      </c>
      <c r="AK6204">
        <v>14.032674199380899</v>
      </c>
      <c r="AL6204">
        <v>86.343017361906305</v>
      </c>
      <c r="AM6204">
        <v>83.8431808760661</v>
      </c>
      <c r="AN6204">
        <v>0.99999999252280602</v>
      </c>
    </row>
    <row r="6205" spans="1:40" x14ac:dyDescent="0.25">
      <c r="A6205" t="str">
        <f>"20190312151439587"</f>
        <v>20190312151439587</v>
      </c>
      <c r="B6205" t="str">
        <f>"1552374879577075"</f>
        <v>1552374879577075</v>
      </c>
      <c r="C6205" t="s">
        <v>40</v>
      </c>
      <c r="D6205">
        <v>4.735023</v>
      </c>
      <c r="E6205">
        <v>0.52849199999999996</v>
      </c>
      <c r="F6205" t="s">
        <v>42</v>
      </c>
      <c r="G6205">
        <v>-184.9409</v>
      </c>
      <c r="H6205" s="1">
        <v>-4.7186960000000001E-6</v>
      </c>
      <c r="I6205">
        <v>98.540329999999997</v>
      </c>
      <c r="J6205">
        <v>-187.9188</v>
      </c>
      <c r="K6205">
        <v>1.1101129999999999</v>
      </c>
      <c r="L6205">
        <v>84.611599999999996</v>
      </c>
      <c r="M6205">
        <v>2.1104810000000002E-2</v>
      </c>
      <c r="N6205">
        <v>0</v>
      </c>
      <c r="O6205">
        <v>0.99969589999999997</v>
      </c>
      <c r="P6205">
        <v>0.12833910000000001</v>
      </c>
      <c r="Q6205">
        <v>5.1403150000000002E-2</v>
      </c>
      <c r="R6205">
        <v>0.99039730000000004</v>
      </c>
      <c r="S6205">
        <v>0.6205444</v>
      </c>
      <c r="T6205">
        <v>-0.2308364</v>
      </c>
      <c r="U6205">
        <v>2.9605709999999998</v>
      </c>
      <c r="V6205">
        <v>0.1073871</v>
      </c>
      <c r="W6205">
        <v>6.409666E-2</v>
      </c>
      <c r="X6205">
        <v>0.99214899999999995</v>
      </c>
      <c r="Y6205">
        <v>0.18384529999999999</v>
      </c>
      <c r="Z6205">
        <v>-7.6222899999999996E-2</v>
      </c>
      <c r="AA6205">
        <v>0.97999539999999996</v>
      </c>
      <c r="AB6205">
        <v>33</v>
      </c>
      <c r="AC6205">
        <v>2.9779</v>
      </c>
      <c r="AD6205">
        <v>-1.1101177186959901</v>
      </c>
      <c r="AE6205">
        <v>13.92873</v>
      </c>
      <c r="AF6205">
        <v>2.66704874627038</v>
      </c>
      <c r="AG6205">
        <v>-1.1101177186959901</v>
      </c>
      <c r="AH6205">
        <v>13.904021476174099</v>
      </c>
      <c r="AI6205">
        <v>94.483500402352504</v>
      </c>
      <c r="AJ6205">
        <v>79.1415036490463</v>
      </c>
      <c r="AK6205">
        <v>14.2009620650946</v>
      </c>
      <c r="AL6205">
        <v>86.325012607560396</v>
      </c>
      <c r="AM6205">
        <v>83.822532853169506</v>
      </c>
      <c r="AN6205">
        <v>1.0000000046352799</v>
      </c>
    </row>
    <row r="6206" spans="1:40" x14ac:dyDescent="0.25">
      <c r="A6206" t="str">
        <f>"20190312151439611"</f>
        <v>20190312151439611</v>
      </c>
      <c r="B6206" t="str">
        <f>"1552374879606355"</f>
        <v>1552374879606355</v>
      </c>
      <c r="C6206" t="s">
        <v>40</v>
      </c>
      <c r="D6206">
        <v>4.7066100000000004</v>
      </c>
      <c r="E6206">
        <v>0.52872629999999998</v>
      </c>
      <c r="F6206" t="s">
        <v>42</v>
      </c>
      <c r="G6206">
        <v>-184.64179999999999</v>
      </c>
      <c r="H6206" s="1">
        <v>-1.6568340000000001E-6</v>
      </c>
      <c r="I6206">
        <v>100.32729999999999</v>
      </c>
      <c r="J6206">
        <v>-187.9119</v>
      </c>
      <c r="K6206">
        <v>1.110115</v>
      </c>
      <c r="L6206">
        <v>84.949039999999997</v>
      </c>
      <c r="M6206">
        <v>2.0940759999999999E-2</v>
      </c>
      <c r="N6206">
        <v>0</v>
      </c>
      <c r="O6206">
        <v>0.99969940000000002</v>
      </c>
      <c r="P6206">
        <v>0.1288444</v>
      </c>
      <c r="Q6206">
        <v>5.1563869999999998E-2</v>
      </c>
      <c r="R6206">
        <v>0.99032330000000002</v>
      </c>
      <c r="S6206">
        <v>0.61720280000000005</v>
      </c>
      <c r="T6206">
        <v>-0.2090833</v>
      </c>
      <c r="U6206">
        <v>2.9599609999999998</v>
      </c>
      <c r="V6206">
        <v>0.10805679999999999</v>
      </c>
      <c r="W6206">
        <v>6.4255590000000001E-2</v>
      </c>
      <c r="X6206">
        <v>0.992066</v>
      </c>
      <c r="Y6206">
        <v>0.1830928</v>
      </c>
      <c r="Z6206">
        <v>-6.9103609999999996E-2</v>
      </c>
      <c r="AA6206">
        <v>0.98066390000000003</v>
      </c>
      <c r="AB6206">
        <v>33</v>
      </c>
      <c r="AC6206">
        <v>3.27010000000001</v>
      </c>
      <c r="AD6206">
        <v>-1.110116656834</v>
      </c>
      <c r="AE6206">
        <v>15.3782599999999</v>
      </c>
      <c r="AF6206">
        <v>2.9327029351741598</v>
      </c>
      <c r="AG6206">
        <v>-1.110116656834</v>
      </c>
      <c r="AH6206">
        <v>15.3667589449436</v>
      </c>
      <c r="AI6206">
        <v>94.058944921209005</v>
      </c>
      <c r="AJ6206">
        <v>79.195190426786397</v>
      </c>
      <c r="AK6206">
        <v>15.683443052141399</v>
      </c>
      <c r="AL6206">
        <v>86.315887764488195</v>
      </c>
      <c r="AM6206">
        <v>83.7837928790577</v>
      </c>
      <c r="AN6206">
        <v>1.00000000061424</v>
      </c>
    </row>
    <row r="6207" spans="1:40" x14ac:dyDescent="0.25">
      <c r="A6207" t="str">
        <f>"20190312151439634"</f>
        <v>20190312151439634</v>
      </c>
      <c r="B6207" t="str">
        <f>"1552374879626851"</f>
        <v>1552374879626851</v>
      </c>
      <c r="C6207" t="s">
        <v>40</v>
      </c>
      <c r="D6207">
        <v>4.699268</v>
      </c>
      <c r="E6207">
        <v>0.52898500000000004</v>
      </c>
      <c r="F6207" t="s">
        <v>42</v>
      </c>
      <c r="G6207">
        <v>-184.61949999999999</v>
      </c>
      <c r="H6207" s="1">
        <v>-1.7719980000000001E-6</v>
      </c>
      <c r="I6207">
        <v>100.64830000000001</v>
      </c>
      <c r="J6207">
        <v>-187.905</v>
      </c>
      <c r="K6207">
        <v>1.110117</v>
      </c>
      <c r="L6207">
        <v>85.291200000000003</v>
      </c>
      <c r="M6207">
        <v>2.07741E-2</v>
      </c>
      <c r="N6207">
        <v>0</v>
      </c>
      <c r="O6207">
        <v>0.99970289999999995</v>
      </c>
      <c r="P6207">
        <v>0.12893859999999999</v>
      </c>
      <c r="Q6207">
        <v>5.1753399999999998E-2</v>
      </c>
      <c r="R6207">
        <v>0.99030119999999999</v>
      </c>
      <c r="S6207">
        <v>0.62065119999999996</v>
      </c>
      <c r="T6207">
        <v>-0.20926810000000001</v>
      </c>
      <c r="U6207">
        <v>2.959473</v>
      </c>
      <c r="V6207">
        <v>0.10831689999999999</v>
      </c>
      <c r="W6207">
        <v>6.4443070000000005E-2</v>
      </c>
      <c r="X6207">
        <v>0.9920255</v>
      </c>
      <c r="Y6207">
        <v>0.18438289999999999</v>
      </c>
      <c r="Z6207">
        <v>-6.9159330000000005E-2</v>
      </c>
      <c r="AA6207">
        <v>0.98041829999999996</v>
      </c>
      <c r="AB6207">
        <v>33</v>
      </c>
      <c r="AC6207">
        <v>3.2855000000000101</v>
      </c>
      <c r="AD6207">
        <v>-1.1101187719979999</v>
      </c>
      <c r="AE6207">
        <v>15.357100000000001</v>
      </c>
      <c r="AF6207">
        <v>2.9509897549380502</v>
      </c>
      <c r="AG6207">
        <v>-1.1101187719979999</v>
      </c>
      <c r="AH6207">
        <v>15.3453678265333</v>
      </c>
      <c r="AI6207">
        <v>94.063500677437105</v>
      </c>
      <c r="AJ6207">
        <v>79.114626040448002</v>
      </c>
      <c r="AK6207">
        <v>15.6659189948529</v>
      </c>
      <c r="AL6207">
        <v>86.305123737692497</v>
      </c>
      <c r="AM6207">
        <v>83.768695223929598</v>
      </c>
      <c r="AN6207">
        <v>1.0000000263734401</v>
      </c>
    </row>
    <row r="6208" spans="1:40" x14ac:dyDescent="0.25">
      <c r="A6208" t="str">
        <f>"20190312151439666"</f>
        <v>20190312151439666</v>
      </c>
      <c r="B6208" t="str">
        <f>"1552374879657049"</f>
        <v>1552374879657049</v>
      </c>
      <c r="C6208" t="s">
        <v>40</v>
      </c>
      <c r="D6208">
        <v>4.7450789999999996</v>
      </c>
      <c r="E6208">
        <v>0.5291283</v>
      </c>
      <c r="F6208" t="s">
        <v>42</v>
      </c>
      <c r="G6208">
        <v>-184.57499999999999</v>
      </c>
      <c r="H6208" s="1">
        <v>-1.9407319999999999E-6</v>
      </c>
      <c r="I6208">
        <v>101.1093</v>
      </c>
      <c r="J6208">
        <v>-187.89580000000001</v>
      </c>
      <c r="K6208">
        <v>1.1101179999999999</v>
      </c>
      <c r="L6208">
        <v>85.751739999999998</v>
      </c>
      <c r="M6208">
        <v>2.054918E-2</v>
      </c>
      <c r="N6208">
        <v>0</v>
      </c>
      <c r="O6208">
        <v>0.99970749999999997</v>
      </c>
      <c r="P6208">
        <v>0.12916569999999999</v>
      </c>
      <c r="Q6208">
        <v>5.2130030000000001E-2</v>
      </c>
      <c r="R6208">
        <v>0.99025180000000002</v>
      </c>
      <c r="S6208">
        <v>0.62295529999999999</v>
      </c>
      <c r="T6208">
        <v>-0.20767099999999999</v>
      </c>
      <c r="U6208">
        <v>2.9591059999999998</v>
      </c>
      <c r="V6208">
        <v>0.1087682</v>
      </c>
      <c r="W6208">
        <v>6.4818020000000004E-2</v>
      </c>
      <c r="X6208">
        <v>0.99195160000000004</v>
      </c>
      <c r="Y6208">
        <v>0.185367</v>
      </c>
      <c r="Z6208">
        <v>-6.8631020000000001E-2</v>
      </c>
      <c r="AA6208">
        <v>0.98026979999999997</v>
      </c>
      <c r="AB6208">
        <v>33</v>
      </c>
      <c r="AC6208">
        <v>3.3208000000000202</v>
      </c>
      <c r="AD6208">
        <v>-1.1101199407319999</v>
      </c>
      <c r="AE6208">
        <v>15.357559999999999</v>
      </c>
      <c r="AF6208">
        <v>2.9895646909284901</v>
      </c>
      <c r="AG6208">
        <v>-1.1101199407319999</v>
      </c>
      <c r="AH6208">
        <v>15.345959239559701</v>
      </c>
      <c r="AI6208">
        <v>94.061455680717202</v>
      </c>
      <c r="AJ6208">
        <v>78.976212701267897</v>
      </c>
      <c r="AK6208">
        <v>15.673810267649801</v>
      </c>
      <c r="AL6208">
        <v>86.283595343036893</v>
      </c>
      <c r="AM6208">
        <v>83.742475684434297</v>
      </c>
      <c r="AN6208">
        <v>0.99999993689525801</v>
      </c>
    </row>
    <row r="6209" spans="1:40" x14ac:dyDescent="0.25">
      <c r="A6209" t="str">
        <f>"20190312151439688"</f>
        <v>20190312151439688</v>
      </c>
      <c r="B6209" t="str">
        <f>"1552374879676569"</f>
        <v>1552374879676569</v>
      </c>
      <c r="C6209" t="s">
        <v>40</v>
      </c>
      <c r="D6209">
        <v>4.8124010000000004</v>
      </c>
      <c r="E6209">
        <v>0.52943839999999998</v>
      </c>
      <c r="F6209" t="s">
        <v>42</v>
      </c>
      <c r="G6209">
        <v>-184.5849</v>
      </c>
      <c r="H6209" s="1">
        <v>-2.0492440000000002E-6</v>
      </c>
      <c r="I6209">
        <v>101.4359</v>
      </c>
      <c r="J6209">
        <v>-187.88939999999999</v>
      </c>
      <c r="K6209">
        <v>1.1101219999999901</v>
      </c>
      <c r="L6209">
        <v>86.07199</v>
      </c>
      <c r="M6209">
        <v>2.0393129999999999E-2</v>
      </c>
      <c r="N6209">
        <v>0</v>
      </c>
      <c r="O6209">
        <v>0.99971069999999995</v>
      </c>
      <c r="P6209">
        <v>0.1296562</v>
      </c>
      <c r="Q6209">
        <v>5.1863289999999999E-2</v>
      </c>
      <c r="R6209">
        <v>0.99020169999999996</v>
      </c>
      <c r="S6209">
        <v>0.62464900000000001</v>
      </c>
      <c r="T6209">
        <v>-0.20944209999999999</v>
      </c>
      <c r="U6209">
        <v>2.959076</v>
      </c>
      <c r="V6209">
        <v>0.1094146</v>
      </c>
      <c r="W6209">
        <v>6.454965E-2</v>
      </c>
      <c r="X6209">
        <v>0.9918981</v>
      </c>
      <c r="Y6209">
        <v>0.1860513</v>
      </c>
      <c r="Z6209">
        <v>-6.920598E-2</v>
      </c>
      <c r="AA6209">
        <v>0.98009970000000002</v>
      </c>
      <c r="AB6209">
        <v>33</v>
      </c>
      <c r="AC6209">
        <v>3.3044999999999898</v>
      </c>
      <c r="AD6209">
        <v>-1.1101240492440001</v>
      </c>
      <c r="AE6209">
        <v>15.363910000000001</v>
      </c>
      <c r="AF6209">
        <v>2.9756206627368198</v>
      </c>
      <c r="AG6209">
        <v>-1.1101240492440001</v>
      </c>
      <c r="AH6209">
        <v>15.351505080744801</v>
      </c>
      <c r="AI6209">
        <v>94.060749955678403</v>
      </c>
      <c r="AJ6209">
        <v>79.030247311785502</v>
      </c>
      <c r="AK6209">
        <v>15.676587701963401</v>
      </c>
      <c r="AL6209">
        <v>86.299004412966795</v>
      </c>
      <c r="AM6209">
        <v>83.705248600523504</v>
      </c>
      <c r="AN6209">
        <v>1.0000000263959401</v>
      </c>
    </row>
    <row r="6210" spans="1:40" x14ac:dyDescent="0.25">
      <c r="A6210" t="str">
        <f>"20190312151439711"</f>
        <v>20190312151439711</v>
      </c>
      <c r="B6210" t="str">
        <f>"1552374879706826"</f>
        <v>1552374879706826</v>
      </c>
      <c r="C6210" t="s">
        <v>40</v>
      </c>
      <c r="D6210">
        <v>4.725695</v>
      </c>
      <c r="E6210">
        <v>0.53855189999999997</v>
      </c>
      <c r="F6210" t="s">
        <v>42</v>
      </c>
      <c r="G6210">
        <v>-184.62450000000001</v>
      </c>
      <c r="H6210" s="1">
        <v>-2.0358149999999998E-6</v>
      </c>
      <c r="I6210">
        <v>101.42740000000001</v>
      </c>
      <c r="J6210">
        <v>-187.8826</v>
      </c>
      <c r="K6210">
        <v>1.1101209999999999</v>
      </c>
      <c r="L6210">
        <v>86.413880000000006</v>
      </c>
      <c r="M6210">
        <v>2.0226480000000002E-2</v>
      </c>
      <c r="N6210">
        <v>0</v>
      </c>
      <c r="O6210">
        <v>0.99971410000000005</v>
      </c>
      <c r="P6210">
        <v>0.1301638</v>
      </c>
      <c r="Q6210">
        <v>5.1463429999999998E-2</v>
      </c>
      <c r="R6210">
        <v>0.99015600000000004</v>
      </c>
      <c r="S6210">
        <v>0.62904359999999904</v>
      </c>
      <c r="T6210">
        <v>-0.2138871</v>
      </c>
      <c r="U6210">
        <v>2.9585270000000001</v>
      </c>
      <c r="V6210">
        <v>0.11008859999999999</v>
      </c>
      <c r="W6210">
        <v>6.4148049999999998E-2</v>
      </c>
      <c r="X6210">
        <v>0.99184950000000005</v>
      </c>
      <c r="Y6210">
        <v>0.1876237</v>
      </c>
      <c r="Z6210">
        <v>-7.0659089999999994E-2</v>
      </c>
      <c r="AA6210">
        <v>0.97969620000000002</v>
      </c>
      <c r="AB6210">
        <v>33</v>
      </c>
      <c r="AC6210">
        <v>3.2580999999999798</v>
      </c>
      <c r="AD6210">
        <v>-1.1101230358149901</v>
      </c>
      <c r="AE6210">
        <v>15.01352</v>
      </c>
      <c r="AF6210">
        <v>2.9383953068204001</v>
      </c>
      <c r="AG6210">
        <v>-1.1101230358149901</v>
      </c>
      <c r="AH6210">
        <v>14.998041736605201</v>
      </c>
      <c r="AI6210">
        <v>94.154493831320295</v>
      </c>
      <c r="AJ6210">
        <v>78.915095991714793</v>
      </c>
      <c r="AK6210">
        <v>15.3234394333238</v>
      </c>
      <c r="AL6210">
        <v>86.322061909431199</v>
      </c>
      <c r="AM6210">
        <v>83.666478903982593</v>
      </c>
      <c r="AN6210">
        <v>0.99999995140950504</v>
      </c>
    </row>
    <row r="6211" spans="1:40" x14ac:dyDescent="0.25">
      <c r="A6211" t="str">
        <f>"20190312151439733"</f>
        <v>20190312151439733</v>
      </c>
      <c r="B6211" t="str">
        <f>"1552374879726346"</f>
        <v>1552374879726346</v>
      </c>
      <c r="C6211" t="s">
        <v>40</v>
      </c>
      <c r="D6211">
        <v>4.7712469999999998</v>
      </c>
      <c r="E6211">
        <v>0.53869140000000004</v>
      </c>
      <c r="F6211" t="s">
        <v>42</v>
      </c>
      <c r="G6211">
        <v>-185.3262</v>
      </c>
      <c r="H6211" s="1">
        <v>-4.0443929999999998E-6</v>
      </c>
      <c r="I6211">
        <v>97.127799999999993</v>
      </c>
      <c r="J6211">
        <v>-187.87639999999999</v>
      </c>
      <c r="K6211">
        <v>1.1101219999999901</v>
      </c>
      <c r="L6211">
        <v>86.732999999999905</v>
      </c>
      <c r="M6211">
        <v>2.0070600000000001E-2</v>
      </c>
      <c r="N6211">
        <v>0</v>
      </c>
      <c r="O6211">
        <v>0.99971730000000003</v>
      </c>
      <c r="P6211">
        <v>0.13150889999999901</v>
      </c>
      <c r="Q6211">
        <v>5.1359340000000003E-2</v>
      </c>
      <c r="R6211">
        <v>0.98998370000000002</v>
      </c>
      <c r="S6211">
        <v>0.70463560000000003</v>
      </c>
      <c r="T6211">
        <v>-0.30598550000000002</v>
      </c>
      <c r="U6211">
        <v>2.9530940000000001</v>
      </c>
      <c r="V6211">
        <v>0.1115917</v>
      </c>
      <c r="W6211">
        <v>6.4041929999999997E-2</v>
      </c>
      <c r="X6211">
        <v>0.99168840000000003</v>
      </c>
      <c r="Y6211">
        <v>0.21134919999999999</v>
      </c>
      <c r="Z6211">
        <v>-0.1004734</v>
      </c>
      <c r="AA6211">
        <v>0.97223280000000001</v>
      </c>
      <c r="AB6211">
        <v>33</v>
      </c>
      <c r="AC6211">
        <v>2.5501999999999798</v>
      </c>
      <c r="AD6211">
        <v>-1.1101260443930001</v>
      </c>
      <c r="AE6211">
        <v>10.3948</v>
      </c>
      <c r="AF6211">
        <v>2.3161226864036402</v>
      </c>
      <c r="AG6211">
        <v>-1.1101260443930001</v>
      </c>
      <c r="AH6211">
        <v>10.3327350579439</v>
      </c>
      <c r="AI6211">
        <v>95.984815877730099</v>
      </c>
      <c r="AJ6211">
        <v>77.3657678012638</v>
      </c>
      <c r="AK6211">
        <v>10.647169478813501</v>
      </c>
      <c r="AL6211">
        <v>86.328154769053498</v>
      </c>
      <c r="AM6211">
        <v>83.579686797188998</v>
      </c>
      <c r="AN6211">
        <v>0.99999997950078701</v>
      </c>
    </row>
    <row r="6212" spans="1:40" x14ac:dyDescent="0.25">
      <c r="A6212" t="str">
        <f>"20190312151439755"</f>
        <v>20190312151439755</v>
      </c>
      <c r="B6212" t="str">
        <f>"1552374879746841"</f>
        <v>1552374879746841</v>
      </c>
      <c r="C6212" t="s">
        <v>40</v>
      </c>
      <c r="D6212">
        <v>4.7908330000000001</v>
      </c>
      <c r="E6212">
        <v>0.53902099999999997</v>
      </c>
      <c r="F6212" t="s">
        <v>42</v>
      </c>
      <c r="G6212">
        <v>-185.30459999999999</v>
      </c>
      <c r="H6212" s="1">
        <v>-4.1767180000000003E-6</v>
      </c>
      <c r="I6212">
        <v>97.427350000000004</v>
      </c>
      <c r="J6212">
        <v>-187.87029999999999</v>
      </c>
      <c r="K6212">
        <v>1.1101209999999999</v>
      </c>
      <c r="L6212">
        <v>87.046449999999993</v>
      </c>
      <c r="M6212">
        <v>1.9917399999999998E-2</v>
      </c>
      <c r="N6212">
        <v>0</v>
      </c>
      <c r="O6212">
        <v>0.99972030000000001</v>
      </c>
      <c r="P6212">
        <v>0.13300699999999999</v>
      </c>
      <c r="Q6212">
        <v>5.1099720000000001E-2</v>
      </c>
      <c r="R6212">
        <v>0.98979689999999998</v>
      </c>
      <c r="S6212">
        <v>0.70988459999999998</v>
      </c>
      <c r="T6212">
        <v>-0.3064287</v>
      </c>
      <c r="U6212">
        <v>2.951965</v>
      </c>
      <c r="V6212">
        <v>0.1132454</v>
      </c>
      <c r="W6212">
        <v>6.3779249999999996E-2</v>
      </c>
      <c r="X6212">
        <v>0.9915178</v>
      </c>
      <c r="Y6212">
        <v>0.21321409999999999</v>
      </c>
      <c r="Z6212">
        <v>-0.100614</v>
      </c>
      <c r="AA6212">
        <v>0.97181099999999998</v>
      </c>
      <c r="AB6212">
        <v>33</v>
      </c>
      <c r="AC6212">
        <v>2.5656999999999899</v>
      </c>
      <c r="AD6212">
        <v>-1.11012517671799</v>
      </c>
      <c r="AE6212">
        <v>10.3809</v>
      </c>
      <c r="AF6212">
        <v>2.3332665200957101</v>
      </c>
      <c r="AG6212">
        <v>-1.11012517671799</v>
      </c>
      <c r="AH6212">
        <v>10.3187351060678</v>
      </c>
      <c r="AI6212">
        <v>95.990366950150303</v>
      </c>
      <c r="AJ6212">
        <v>77.258583003040201</v>
      </c>
      <c r="AK6212">
        <v>10.637330715502699</v>
      </c>
      <c r="AL6212">
        <v>86.343235877221304</v>
      </c>
      <c r="AM6212">
        <v>83.484243622120601</v>
      </c>
      <c r="AN6212">
        <v>0.99999993053427805</v>
      </c>
    </row>
    <row r="6213" spans="1:40" x14ac:dyDescent="0.25">
      <c r="A6213" t="str">
        <f>"20190312151439777"</f>
        <v>20190312151439777</v>
      </c>
      <c r="B6213" t="str">
        <f>"1552374879766869"</f>
        <v>1552374879766869</v>
      </c>
      <c r="C6213" t="s">
        <v>40</v>
      </c>
      <c r="D6213">
        <v>4.7643149999999999</v>
      </c>
      <c r="E6213">
        <v>0.53907190000000005</v>
      </c>
      <c r="F6213" t="s">
        <v>42</v>
      </c>
      <c r="G6213">
        <v>-185.29150000000001</v>
      </c>
      <c r="H6213" s="1">
        <v>-4.2790180000000001E-6</v>
      </c>
      <c r="I6213">
        <v>97.660390000000007</v>
      </c>
      <c r="J6213">
        <v>-187.86410000000001</v>
      </c>
      <c r="K6213">
        <v>1.110117</v>
      </c>
      <c r="L6213">
        <v>87.367519999999999</v>
      </c>
      <c r="M6213">
        <v>1.9760369999999999E-2</v>
      </c>
      <c r="N6213">
        <v>0</v>
      </c>
      <c r="O6213">
        <v>0.99972349999999999</v>
      </c>
      <c r="P6213">
        <v>0.1347622</v>
      </c>
      <c r="Q6213">
        <v>5.0965690000000001E-2</v>
      </c>
      <c r="R6213">
        <v>0.98956639999999996</v>
      </c>
      <c r="S6213">
        <v>0.71685790000000005</v>
      </c>
      <c r="T6213">
        <v>-0.30859989999999998</v>
      </c>
      <c r="U6213">
        <v>2.9505309999999998</v>
      </c>
      <c r="V6213">
        <v>0.1151607</v>
      </c>
      <c r="W6213">
        <v>6.3642210000000005E-2</v>
      </c>
      <c r="X6213">
        <v>0.99130609999999997</v>
      </c>
      <c r="Y6213">
        <v>0.2156275</v>
      </c>
      <c r="Z6213">
        <v>-0.10131270000000001</v>
      </c>
      <c r="AA6213">
        <v>0.97120569999999895</v>
      </c>
      <c r="AB6213">
        <v>33</v>
      </c>
      <c r="AC6213">
        <v>2.5725999999999898</v>
      </c>
      <c r="AD6213">
        <v>-1.110121279018</v>
      </c>
      <c r="AE6213">
        <v>10.292870000000001</v>
      </c>
      <c r="AF6213">
        <v>2.3430376175671399</v>
      </c>
      <c r="AG6213">
        <v>-1.110121279018</v>
      </c>
      <c r="AH6213">
        <v>10.2297006003581</v>
      </c>
      <c r="AI6213">
        <v>96.038306978074502</v>
      </c>
      <c r="AJ6213">
        <v>77.099343214309599</v>
      </c>
      <c r="AK6213">
        <v>10.553149714868599</v>
      </c>
      <c r="AL6213">
        <v>86.351104115017193</v>
      </c>
      <c r="AM6213">
        <v>83.373613101824205</v>
      </c>
      <c r="AN6213">
        <v>1.0000000508076901</v>
      </c>
    </row>
    <row r="6214" spans="1:40" x14ac:dyDescent="0.25">
      <c r="A6214" t="str">
        <f>"20190312151439801"</f>
        <v>20190312151439801</v>
      </c>
      <c r="B6214" t="str">
        <f>"1552374879797124"</f>
        <v>1552374879797124</v>
      </c>
      <c r="C6214" t="s">
        <v>40</v>
      </c>
      <c r="D6214">
        <v>4.7998620000000001</v>
      </c>
      <c r="E6214">
        <v>0.53920040000000002</v>
      </c>
      <c r="F6214" t="s">
        <v>42</v>
      </c>
      <c r="G6214">
        <v>-185.2611</v>
      </c>
      <c r="H6214" s="1">
        <v>-4.4253370000000002E-6</v>
      </c>
      <c r="I6214">
        <v>97.988889999999998</v>
      </c>
      <c r="J6214">
        <v>-187.85759999999999</v>
      </c>
      <c r="K6214">
        <v>1.1101160000000001</v>
      </c>
      <c r="L6214">
        <v>87.707639999999998</v>
      </c>
      <c r="M6214">
        <v>1.9594150000000001E-2</v>
      </c>
      <c r="N6214">
        <v>0</v>
      </c>
      <c r="O6214">
        <v>0.99972680000000003</v>
      </c>
      <c r="P6214">
        <v>0.13656679999999999</v>
      </c>
      <c r="Q6214">
        <v>5.0872519999999997E-2</v>
      </c>
      <c r="R6214">
        <v>0.98932370000000003</v>
      </c>
      <c r="S6214">
        <v>0.7227325</v>
      </c>
      <c r="T6214">
        <v>-0.30823299999999998</v>
      </c>
      <c r="U6214">
        <v>2.9490970000000001</v>
      </c>
      <c r="V6214">
        <v>0.11713469999999999</v>
      </c>
      <c r="W6214">
        <v>6.3545599999999994E-2</v>
      </c>
      <c r="X6214">
        <v>0.99108090000000004</v>
      </c>
      <c r="Y6214">
        <v>0.21772649999999999</v>
      </c>
      <c r="Z6214">
        <v>-0.1011941</v>
      </c>
      <c r="AA6214">
        <v>0.97074970000000005</v>
      </c>
      <c r="AB6214">
        <v>33</v>
      </c>
      <c r="AC6214">
        <v>2.59649999999999</v>
      </c>
      <c r="AD6214">
        <v>-1.1101204253369901</v>
      </c>
      <c r="AE6214">
        <v>10.28125</v>
      </c>
      <c r="AF6214">
        <v>2.3685739876948899</v>
      </c>
      <c r="AG6214">
        <v>-1.1101204253369901</v>
      </c>
      <c r="AH6214">
        <v>10.2181686811684</v>
      </c>
      <c r="AI6214">
        <v>96.041447220627106</v>
      </c>
      <c r="AJ6214">
        <v>76.949310039255593</v>
      </c>
      <c r="AK6214">
        <v>10.547676582581801</v>
      </c>
      <c r="AL6214">
        <v>86.356650376850595</v>
      </c>
      <c r="AM6214">
        <v>83.259547232924007</v>
      </c>
      <c r="AN6214">
        <v>0.99999996578412897</v>
      </c>
    </row>
    <row r="6215" spans="1:40" x14ac:dyDescent="0.25">
      <c r="A6215" t="str">
        <f>"20190312151439824"</f>
        <v>20190312151439824</v>
      </c>
      <c r="B6215" t="str">
        <f>"1552374879816643"</f>
        <v>1552374879816643</v>
      </c>
      <c r="C6215" t="s">
        <v>40</v>
      </c>
      <c r="D6215">
        <v>4.8311099999999998</v>
      </c>
      <c r="E6215">
        <v>0.53960010000000003</v>
      </c>
      <c r="F6215" t="s">
        <v>42</v>
      </c>
      <c r="G6215">
        <v>-185.24799999999999</v>
      </c>
      <c r="H6215" s="1">
        <v>-4.5415889999999998E-6</v>
      </c>
      <c r="I6215">
        <v>98.254429999999999</v>
      </c>
      <c r="J6215">
        <v>-187.8511</v>
      </c>
      <c r="K6215">
        <v>1.1101080000000001</v>
      </c>
      <c r="L6215">
        <v>88.048739999999995</v>
      </c>
      <c r="M6215">
        <v>1.942729E-2</v>
      </c>
      <c r="N6215">
        <v>0</v>
      </c>
      <c r="O6215">
        <v>0.99973009999999995</v>
      </c>
      <c r="P6215">
        <v>0.13812099999999999</v>
      </c>
      <c r="Q6215">
        <v>5.0330880000000001E-2</v>
      </c>
      <c r="R6215">
        <v>0.98913569999999995</v>
      </c>
      <c r="S6215">
        <v>0.72933959999999998</v>
      </c>
      <c r="T6215">
        <v>-0.31025799999999998</v>
      </c>
      <c r="U6215">
        <v>2.947632</v>
      </c>
      <c r="V6215">
        <v>0.11885800000000001</v>
      </c>
      <c r="W6215">
        <v>6.3001189999999999E-2</v>
      </c>
      <c r="X6215">
        <v>0.99091050000000003</v>
      </c>
      <c r="Y6215">
        <v>0.2200357</v>
      </c>
      <c r="Z6215">
        <v>-0.1018477</v>
      </c>
      <c r="AA6215">
        <v>0.97016049999999998</v>
      </c>
      <c r="AB6215">
        <v>33</v>
      </c>
      <c r="AC6215">
        <v>2.6031000000000102</v>
      </c>
      <c r="AD6215">
        <v>-1.1101125415889901</v>
      </c>
      <c r="AE6215">
        <v>10.205689999999899</v>
      </c>
      <c r="AF6215">
        <v>2.3779074009146801</v>
      </c>
      <c r="AG6215">
        <v>-1.1101125415889901</v>
      </c>
      <c r="AH6215">
        <v>10.141674679726201</v>
      </c>
      <c r="AI6215">
        <v>96.083067748189293</v>
      </c>
      <c r="AJ6215">
        <v>76.804288961221204</v>
      </c>
      <c r="AK6215">
        <v>10.475703259052199</v>
      </c>
      <c r="AL6215">
        <v>86.387905512786602</v>
      </c>
      <c r="AM6215">
        <v>83.160148452870004</v>
      </c>
      <c r="AN6215">
        <v>0.999999996557833</v>
      </c>
    </row>
    <row r="6216" spans="1:40" x14ac:dyDescent="0.25">
      <c r="A6216" t="str">
        <f>"20190312151439846"</f>
        <v>20190312151439846</v>
      </c>
      <c r="B6216" t="str">
        <f>"1552374879837140"</f>
        <v>1552374879837140</v>
      </c>
      <c r="C6216" t="s">
        <v>40</v>
      </c>
      <c r="D6216">
        <v>4.8307349999999998</v>
      </c>
      <c r="E6216">
        <v>0.53806759999999998</v>
      </c>
      <c r="F6216" t="s">
        <v>42</v>
      </c>
      <c r="G6216">
        <v>-185.215</v>
      </c>
      <c r="H6216" s="1">
        <v>-4.6870639999999901E-6</v>
      </c>
      <c r="I6216">
        <v>98.579930000000004</v>
      </c>
      <c r="J6216">
        <v>-187.84520000000001</v>
      </c>
      <c r="K6216">
        <v>1.110107</v>
      </c>
      <c r="L6216">
        <v>88.366849999999999</v>
      </c>
      <c r="M6216">
        <v>1.927127E-2</v>
      </c>
      <c r="N6216">
        <v>0</v>
      </c>
      <c r="O6216">
        <v>0.99973310000000004</v>
      </c>
      <c r="P6216">
        <v>0.13965759999999999</v>
      </c>
      <c r="Q6216">
        <v>5.0233260000000002E-2</v>
      </c>
      <c r="R6216">
        <v>0.9889249</v>
      </c>
      <c r="S6216">
        <v>0.73736569999999901</v>
      </c>
      <c r="T6216">
        <v>-0.3105195</v>
      </c>
      <c r="U6216">
        <v>2.94577</v>
      </c>
      <c r="V6216">
        <v>0.1205532</v>
      </c>
      <c r="W6216">
        <v>6.2900780000000003E-2</v>
      </c>
      <c r="X6216">
        <v>0.99071209999999998</v>
      </c>
      <c r="Y6216">
        <v>0.22281699999999999</v>
      </c>
      <c r="Z6216">
        <v>-0.1019296</v>
      </c>
      <c r="AA6216">
        <v>0.96951690000000001</v>
      </c>
      <c r="AB6216">
        <v>33</v>
      </c>
      <c r="AC6216">
        <v>2.6301999999999999</v>
      </c>
      <c r="AD6216">
        <v>-1.110111687064</v>
      </c>
      <c r="AE6216">
        <v>10.21308</v>
      </c>
      <c r="AF6216">
        <v>2.4062161267393001</v>
      </c>
      <c r="AG6216">
        <v>-1.110111687064</v>
      </c>
      <c r="AH6216">
        <v>10.1494211028997</v>
      </c>
      <c r="AI6216">
        <v>96.074938740628198</v>
      </c>
      <c r="AJ6216">
        <v>76.662609152755095</v>
      </c>
      <c r="AK6216">
        <v>10.489660277164401</v>
      </c>
      <c r="AL6216">
        <v>86.393670112956002</v>
      </c>
      <c r="AM6216">
        <v>83.062164033274001</v>
      </c>
      <c r="AN6216">
        <v>1.0000000236206199</v>
      </c>
    </row>
    <row r="6217" spans="1:40" x14ac:dyDescent="0.25">
      <c r="A6217" t="str">
        <f>"20190312151439868"</f>
        <v>20190312151439868</v>
      </c>
      <c r="B6217" t="str">
        <f>"1552374879856659"</f>
        <v>1552374879856659</v>
      </c>
      <c r="C6217" t="s">
        <v>40</v>
      </c>
      <c r="D6217">
        <v>5.3575419999999996</v>
      </c>
      <c r="E6217">
        <v>0.53856899999999996</v>
      </c>
      <c r="F6217" t="s">
        <v>42</v>
      </c>
      <c r="G6217">
        <v>-184.54320000000001</v>
      </c>
      <c r="H6217" s="1">
        <v>-2.1534800000000001E-6</v>
      </c>
      <c r="I6217">
        <v>101.70959999999999</v>
      </c>
      <c r="J6217">
        <v>-187.8391</v>
      </c>
      <c r="K6217">
        <v>1.1101049999999999</v>
      </c>
      <c r="L6217">
        <v>88.694490000000002</v>
      </c>
      <c r="M6217">
        <v>1.911071E-2</v>
      </c>
      <c r="N6217">
        <v>0</v>
      </c>
      <c r="O6217">
        <v>0.99973619999999996</v>
      </c>
      <c r="P6217">
        <v>0.1412001</v>
      </c>
      <c r="Q6217">
        <v>4.9933489999999997E-2</v>
      </c>
      <c r="R6217">
        <v>0.98872099999999996</v>
      </c>
      <c r="S6217">
        <v>0.72836299999999998</v>
      </c>
      <c r="T6217">
        <v>-0.24487049999999999</v>
      </c>
      <c r="U6217">
        <v>2.9431759999999998</v>
      </c>
      <c r="V6217">
        <v>0.1222586</v>
      </c>
      <c r="W6217">
        <v>6.2598109999999998E-2</v>
      </c>
      <c r="X6217">
        <v>0.99052229999999997</v>
      </c>
      <c r="Y6217">
        <v>0.22084970000000001</v>
      </c>
      <c r="Z6217">
        <v>-8.0658579999999994E-2</v>
      </c>
      <c r="AA6217">
        <v>0.97196689999999997</v>
      </c>
      <c r="AB6217">
        <v>32</v>
      </c>
      <c r="AC6217">
        <v>3.2958999999999801</v>
      </c>
      <c r="AD6217">
        <v>-1.11010715348</v>
      </c>
      <c r="AE6217">
        <v>13.0151099999999</v>
      </c>
      <c r="AF6217">
        <v>3.02586319682456</v>
      </c>
      <c r="AG6217">
        <v>-1.11010715348</v>
      </c>
      <c r="AH6217">
        <v>12.986938353711199</v>
      </c>
      <c r="AI6217">
        <v>94.758842488436201</v>
      </c>
      <c r="AJ6217">
        <v>76.884482508858596</v>
      </c>
      <c r="AK6217">
        <v>13.3809100505608</v>
      </c>
      <c r="AL6217">
        <v>86.411046191342507</v>
      </c>
      <c r="AM6217">
        <v>82.963660467984695</v>
      </c>
      <c r="AN6217">
        <v>1.0000000577234001</v>
      </c>
    </row>
    <row r="6218" spans="1:40" x14ac:dyDescent="0.25">
      <c r="A6218" t="str">
        <f>"20190312151439890"</f>
        <v>20190312151439890</v>
      </c>
      <c r="B6218" t="str">
        <f>"1552374879886917"</f>
        <v>1552374879886917</v>
      </c>
      <c r="C6218" t="s">
        <v>40</v>
      </c>
      <c r="D6218">
        <v>4.8292140000000003</v>
      </c>
      <c r="E6218">
        <v>0.54458709999999999</v>
      </c>
      <c r="F6218" t="s">
        <v>42</v>
      </c>
      <c r="G6218">
        <v>-184.4623</v>
      </c>
      <c r="H6218" s="1">
        <v>-2.3342349999999999E-6</v>
      </c>
      <c r="I6218">
        <v>102.1776</v>
      </c>
      <c r="J6218">
        <v>-187.8331</v>
      </c>
      <c r="K6218">
        <v>1.1101049999999999</v>
      </c>
      <c r="L6218">
        <v>89.014309999999995</v>
      </c>
      <c r="M6218">
        <v>1.8955219999999998E-2</v>
      </c>
      <c r="N6218">
        <v>0</v>
      </c>
      <c r="O6218">
        <v>0.99973909999999999</v>
      </c>
      <c r="P6218">
        <v>0.14292779999999899</v>
      </c>
      <c r="Q6218">
        <v>4.9264879999999997E-2</v>
      </c>
      <c r="R6218">
        <v>0.98850629999999995</v>
      </c>
      <c r="S6218">
        <v>0.73661799999999999</v>
      </c>
      <c r="T6218">
        <v>-0.24216570000000001</v>
      </c>
      <c r="U6218">
        <v>2.941284</v>
      </c>
      <c r="V6218">
        <v>0.1241444</v>
      </c>
      <c r="W6218">
        <v>6.1926120000000001E-2</v>
      </c>
      <c r="X6218">
        <v>0.99032989999999999</v>
      </c>
      <c r="Y6218">
        <v>0.22373209999999999</v>
      </c>
      <c r="Z6218">
        <v>-7.9770270000000004E-2</v>
      </c>
      <c r="AA6218">
        <v>0.97138080000000004</v>
      </c>
      <c r="AB6218">
        <v>32</v>
      </c>
      <c r="AC6218">
        <v>3.3708</v>
      </c>
      <c r="AD6218">
        <v>-1.1101073342350001</v>
      </c>
      <c r="AE6218">
        <v>13.16329</v>
      </c>
      <c r="AF6218">
        <v>3.0999702840635699</v>
      </c>
      <c r="AG6218">
        <v>-1.1101073342350001</v>
      </c>
      <c r="AH6218">
        <v>13.137140547674299</v>
      </c>
      <c r="AI6218">
        <v>94.701581035943803</v>
      </c>
      <c r="AJ6218">
        <v>76.722795083404094</v>
      </c>
      <c r="AK6218">
        <v>13.5435082539551</v>
      </c>
      <c r="AL6218">
        <v>86.449622998724294</v>
      </c>
      <c r="AM6218">
        <v>82.854866574853403</v>
      </c>
      <c r="AN6218">
        <v>0.99999999361181202</v>
      </c>
    </row>
    <row r="6219" spans="1:40" x14ac:dyDescent="0.25">
      <c r="A6219" t="str">
        <f>"20190312151439914"</f>
        <v>20190312151439914</v>
      </c>
      <c r="B6219" t="str">
        <f>"1552374879906437"</f>
        <v>1552374879906437</v>
      </c>
      <c r="C6219" t="s">
        <v>40</v>
      </c>
      <c r="D6219">
        <v>5.0064399999999996</v>
      </c>
      <c r="E6219">
        <v>0.54303710000000005</v>
      </c>
      <c r="F6219" t="s">
        <v>42</v>
      </c>
      <c r="G6219">
        <v>-185.17490000000001</v>
      </c>
      <c r="H6219" s="1">
        <v>-4.823519E-6</v>
      </c>
      <c r="I6219">
        <v>98.881420000000006</v>
      </c>
      <c r="J6219">
        <v>-187.827</v>
      </c>
      <c r="K6219">
        <v>1.110101</v>
      </c>
      <c r="L6219">
        <v>89.349789999999999</v>
      </c>
      <c r="M6219">
        <v>1.8798490000000001E-2</v>
      </c>
      <c r="N6219">
        <v>0</v>
      </c>
      <c r="O6219">
        <v>0.99974209999999997</v>
      </c>
      <c r="P6219">
        <v>0.14404420000000001</v>
      </c>
      <c r="Q6219">
        <v>4.9022999999999997E-2</v>
      </c>
      <c r="R6219">
        <v>0.98835620000000002</v>
      </c>
      <c r="S6219">
        <v>0.79121399999999997</v>
      </c>
      <c r="T6219">
        <v>-0.33042470000000002</v>
      </c>
      <c r="U6219">
        <v>2.9369510000000001</v>
      </c>
      <c r="V6219">
        <v>0.12541949999999999</v>
      </c>
      <c r="W6219">
        <v>6.1680539999999999E-2</v>
      </c>
      <c r="X6219">
        <v>0.99018450000000002</v>
      </c>
      <c r="Y6219">
        <v>0.24040030000000001</v>
      </c>
      <c r="Z6219">
        <v>-0.10822710000000001</v>
      </c>
      <c r="AA6219">
        <v>0.96462150000000002</v>
      </c>
      <c r="AB6219">
        <v>32</v>
      </c>
      <c r="AC6219">
        <v>2.6520999999999901</v>
      </c>
      <c r="AD6219">
        <v>-1.110105823519</v>
      </c>
      <c r="AE6219">
        <v>9.5316299999999892</v>
      </c>
      <c r="AF6219">
        <v>2.4416966381516998</v>
      </c>
      <c r="AG6219">
        <v>-1.110105823519</v>
      </c>
      <c r="AH6219">
        <v>9.4606990725564799</v>
      </c>
      <c r="AI6219">
        <v>96.481905668546204</v>
      </c>
      <c r="AJ6219">
        <v>75.5284231813351</v>
      </c>
      <c r="AK6219">
        <v>9.8335672242398005</v>
      </c>
      <c r="AL6219">
        <v>86.463720463509802</v>
      </c>
      <c r="AM6219">
        <v>82.781199571775602</v>
      </c>
      <c r="AN6219">
        <v>0.99999994201759401</v>
      </c>
    </row>
    <row r="6220" spans="1:40" x14ac:dyDescent="0.25">
      <c r="A6220" t="str">
        <f>"20190312151439957"</f>
        <v>20190312151439957</v>
      </c>
      <c r="B6220" t="str">
        <f>"1552374879946463"</f>
        <v>1552374879946463</v>
      </c>
      <c r="C6220" t="s">
        <v>40</v>
      </c>
      <c r="D6220">
        <v>4.8546809999999896</v>
      </c>
      <c r="E6220">
        <v>0.54180059999999997</v>
      </c>
      <c r="F6220" t="s">
        <v>42</v>
      </c>
      <c r="G6220">
        <v>-185.07599999999999</v>
      </c>
      <c r="H6220" s="1">
        <v>-1.321763E-6</v>
      </c>
      <c r="I6220">
        <v>99.682169999999999</v>
      </c>
      <c r="J6220">
        <v>-187.81569999999999</v>
      </c>
      <c r="K6220">
        <v>1.1100779999999999</v>
      </c>
      <c r="L6220">
        <v>89.970489999999998</v>
      </c>
      <c r="M6220">
        <v>1.8551149999999999E-2</v>
      </c>
      <c r="N6220">
        <v>0</v>
      </c>
      <c r="O6220">
        <v>0.99974669999999999</v>
      </c>
      <c r="P6220">
        <v>0.14656569999999999</v>
      </c>
      <c r="Q6220">
        <v>4.9987289999999997E-2</v>
      </c>
      <c r="R6220">
        <v>0.98793719999999996</v>
      </c>
      <c r="S6220">
        <v>0.78199770000000002</v>
      </c>
      <c r="T6220">
        <v>-0.31555349999999999</v>
      </c>
      <c r="U6220">
        <v>2.9370419999999999</v>
      </c>
      <c r="V6220">
        <v>0.12819759999999999</v>
      </c>
      <c r="W6220">
        <v>6.2629039999999997E-2</v>
      </c>
      <c r="X6220">
        <v>0.98976920000000002</v>
      </c>
      <c r="Y6220">
        <v>0.23793739999999999</v>
      </c>
      <c r="Z6220">
        <v>-0.1034814</v>
      </c>
      <c r="AA6220">
        <v>0.96575219999999995</v>
      </c>
      <c r="AB6220">
        <v>32</v>
      </c>
      <c r="AC6220">
        <v>2.7396999999999898</v>
      </c>
      <c r="AD6220">
        <v>-1.1100793217630001</v>
      </c>
      <c r="AE6220">
        <v>9.7116799999999994</v>
      </c>
      <c r="AF6220">
        <v>2.5284512299210999</v>
      </c>
      <c r="AG6220">
        <v>-1.1100793217630001</v>
      </c>
      <c r="AH6220">
        <v>9.6441223132365401</v>
      </c>
      <c r="AI6220">
        <v>96.353216707595607</v>
      </c>
      <c r="AJ6220">
        <v>75.309098973945595</v>
      </c>
      <c r="AK6220">
        <v>10.031671690967601</v>
      </c>
      <c r="AL6220">
        <v>86.409270504170095</v>
      </c>
      <c r="AM6220">
        <v>82.619981111588004</v>
      </c>
      <c r="AN6220">
        <v>1.0000000452828499</v>
      </c>
    </row>
    <row r="6221" spans="1:40" x14ac:dyDescent="0.25">
      <c r="A6221" t="str">
        <f>"20190312151439992"</f>
        <v>20190312151439992</v>
      </c>
      <c r="B6221" t="str">
        <f>"1552374879986469"</f>
        <v>1552374879986469</v>
      </c>
      <c r="C6221" t="s">
        <v>40</v>
      </c>
      <c r="D6221">
        <v>4.8316030000000003</v>
      </c>
      <c r="E6221">
        <v>0.5174067</v>
      </c>
      <c r="F6221" t="s">
        <v>42</v>
      </c>
      <c r="G6221">
        <v>-184.7954</v>
      </c>
      <c r="H6221" s="1">
        <v>-1.9621799999999999E-6</v>
      </c>
      <c r="I6221">
        <v>101.3447</v>
      </c>
      <c r="J6221">
        <v>-187.80629999999999</v>
      </c>
      <c r="K6221">
        <v>1.1100369999999999</v>
      </c>
      <c r="L6221">
        <v>90.489869999999996</v>
      </c>
      <c r="M6221">
        <v>1.8415150000000002E-2</v>
      </c>
      <c r="N6221">
        <v>0</v>
      </c>
      <c r="O6221">
        <v>0.99974929999999995</v>
      </c>
      <c r="P6221">
        <v>0.14791219999999999</v>
      </c>
      <c r="Q6221">
        <v>5.0310420000000002E-2</v>
      </c>
      <c r="R6221">
        <v>0.98772000000000004</v>
      </c>
      <c r="S6221">
        <v>0.7795105</v>
      </c>
      <c r="T6221">
        <v>-0.28649370000000002</v>
      </c>
      <c r="U6221">
        <v>2.935486</v>
      </c>
      <c r="V6221">
        <v>0.12968879999999999</v>
      </c>
      <c r="W6221">
        <v>6.2934580000000004E-2</v>
      </c>
      <c r="X6221">
        <v>0.98955550000000003</v>
      </c>
      <c r="Y6221">
        <v>0.2376713</v>
      </c>
      <c r="Z6221">
        <v>-9.4103839999999994E-2</v>
      </c>
      <c r="AA6221">
        <v>0.96677650000000004</v>
      </c>
      <c r="AB6221">
        <v>32</v>
      </c>
      <c r="AC6221">
        <v>3.0108999999999901</v>
      </c>
      <c r="AD6221">
        <v>-1.11003896218</v>
      </c>
      <c r="AE6221">
        <v>10.85483</v>
      </c>
      <c r="AF6221">
        <v>2.7834512514774801</v>
      </c>
      <c r="AG6221">
        <v>-1.11003896218</v>
      </c>
      <c r="AH6221">
        <v>10.803532540577001</v>
      </c>
      <c r="AI6221">
        <v>95.682141844606903</v>
      </c>
      <c r="AJ6221">
        <v>75.552367659377694</v>
      </c>
      <c r="AK6221">
        <v>11.211427327607099</v>
      </c>
      <c r="AL6221">
        <v>86.391729646787496</v>
      </c>
      <c r="AM6221">
        <v>82.533505215081405</v>
      </c>
      <c r="AN6221">
        <v>1.0000000168927301</v>
      </c>
    </row>
    <row r="6222" spans="1:40" x14ac:dyDescent="0.25">
      <c r="A6222" t="str">
        <f>"20190312151440012"</f>
        <v>20190312151440012</v>
      </c>
      <c r="B6222" t="str">
        <f>"1552374880006964"</f>
        <v>1552374880006964</v>
      </c>
      <c r="C6222" t="s">
        <v>40</v>
      </c>
      <c r="D6222">
        <v>4.8926600000000002</v>
      </c>
      <c r="E6222">
        <v>0.51687159999999999</v>
      </c>
      <c r="F6222" t="s">
        <v>41</v>
      </c>
      <c r="G6222">
        <v>-187.6216</v>
      </c>
      <c r="H6222">
        <v>1.026945</v>
      </c>
      <c r="I6222">
        <v>91.415989999999994</v>
      </c>
      <c r="J6222">
        <v>-187.80099999999999</v>
      </c>
      <c r="K6222">
        <v>1.110017</v>
      </c>
      <c r="L6222">
        <v>90.783259999999999</v>
      </c>
      <c r="M6222">
        <v>1.8375349999999999E-2</v>
      </c>
      <c r="N6222">
        <v>0</v>
      </c>
      <c r="O6222">
        <v>0.99975009999999997</v>
      </c>
      <c r="P6222">
        <v>0.14888709999999999</v>
      </c>
      <c r="Q6222">
        <v>5.0459759999999999E-2</v>
      </c>
      <c r="R6222">
        <v>0.9875659</v>
      </c>
      <c r="S6222">
        <v>0.59095759999999997</v>
      </c>
      <c r="T6222">
        <v>-0.26578309999999999</v>
      </c>
      <c r="U6222">
        <v>2.9623409999999999</v>
      </c>
      <c r="V6222">
        <v>0.13070909999999999</v>
      </c>
      <c r="W6222">
        <v>6.3074480000000002E-2</v>
      </c>
      <c r="X6222">
        <v>0.98941230000000002</v>
      </c>
      <c r="Y6222">
        <v>0.17682579999999901</v>
      </c>
      <c r="Z6222">
        <v>-8.7777399999999894E-2</v>
      </c>
      <c r="AA6222">
        <v>0.98032019999999997</v>
      </c>
      <c r="AB6222">
        <v>32</v>
      </c>
      <c r="AC6222">
        <v>0.17939999999998599</v>
      </c>
      <c r="AD6222">
        <v>-8.3071999999999993E-2</v>
      </c>
      <c r="AE6222">
        <v>0.63273000000000901</v>
      </c>
      <c r="AF6222">
        <v>0.165107863812954</v>
      </c>
      <c r="AG6222">
        <v>-8.3071999999999993E-2</v>
      </c>
      <c r="AH6222">
        <v>0.62593331345271996</v>
      </c>
      <c r="AI6222">
        <v>97.312663992775398</v>
      </c>
      <c r="AJ6222">
        <v>75.223177471244796</v>
      </c>
      <c r="AK6222">
        <v>0.65265157378710004</v>
      </c>
      <c r="AL6222">
        <v>86.383697873660296</v>
      </c>
      <c r="AM6222">
        <v>82.474358040255794</v>
      </c>
      <c r="AN6222">
        <v>0.99999997912068495</v>
      </c>
    </row>
    <row r="6223" spans="1:40" x14ac:dyDescent="0.25">
      <c r="A6223" t="str">
        <f>"20190312151440037"</f>
        <v>20190312151440037</v>
      </c>
      <c r="B6223" t="str">
        <f>"1552374880026484"</f>
        <v>1552374880026484</v>
      </c>
      <c r="C6223" t="s">
        <v>40</v>
      </c>
      <c r="D6223">
        <v>4.8808669999999896</v>
      </c>
      <c r="E6223">
        <v>0.51657140000000001</v>
      </c>
      <c r="F6223" t="s">
        <v>42</v>
      </c>
      <c r="G6223">
        <v>-185.3038</v>
      </c>
      <c r="H6223" s="1">
        <v>-2.5022630000000002E-6</v>
      </c>
      <c r="I6223">
        <v>103.3292</v>
      </c>
      <c r="J6223">
        <v>-187.79470000000001</v>
      </c>
      <c r="K6223">
        <v>1.10999</v>
      </c>
      <c r="L6223">
        <v>91.126980000000003</v>
      </c>
      <c r="M6223">
        <v>1.8371200000000001E-2</v>
      </c>
      <c r="N6223">
        <v>0</v>
      </c>
      <c r="O6223">
        <v>0.99975009999999997</v>
      </c>
      <c r="P6223">
        <v>0.15002850000000001</v>
      </c>
      <c r="Q6223">
        <v>4.9987980000000001E-2</v>
      </c>
      <c r="R6223">
        <v>0.98741719999999999</v>
      </c>
      <c r="S6223">
        <v>0.58961490000000005</v>
      </c>
      <c r="T6223">
        <v>-0.26209090000000002</v>
      </c>
      <c r="U6223">
        <v>2.9622799999999998</v>
      </c>
      <c r="V6223">
        <v>0.13186099999999901</v>
      </c>
      <c r="W6223">
        <v>6.2591930000000004E-2</v>
      </c>
      <c r="X6223">
        <v>0.98929009999999995</v>
      </c>
      <c r="Y6223">
        <v>0.1764269</v>
      </c>
      <c r="Z6223">
        <v>-8.6576E-2</v>
      </c>
      <c r="AA6223">
        <v>0.98049889999999995</v>
      </c>
      <c r="AB6223">
        <v>32</v>
      </c>
      <c r="AC6223">
        <v>2.4909000000000101</v>
      </c>
      <c r="AD6223">
        <v>-1.1099925022629999</v>
      </c>
      <c r="AE6223">
        <v>12.202219999999899</v>
      </c>
      <c r="AF6223">
        <v>2.24843071832071</v>
      </c>
      <c r="AG6223">
        <v>-1.1099925022629999</v>
      </c>
      <c r="AH6223">
        <v>12.149411627568099</v>
      </c>
      <c r="AI6223">
        <v>95.133464894872304</v>
      </c>
      <c r="AJ6223">
        <v>79.515181574730903</v>
      </c>
      <c r="AK6223">
        <v>12.405471653518701</v>
      </c>
      <c r="AL6223">
        <v>86.411400722597506</v>
      </c>
      <c r="AM6223">
        <v>82.407880167595195</v>
      </c>
      <c r="AN6223">
        <v>0.99999998749006702</v>
      </c>
    </row>
    <row r="6224" spans="1:40" x14ac:dyDescent="0.25">
      <c r="A6224" t="str">
        <f>"20190312151440059"</f>
        <v>20190312151440059</v>
      </c>
      <c r="B6224" t="str">
        <f>"1552374880056741"</f>
        <v>1552374880056741</v>
      </c>
      <c r="C6224" t="s">
        <v>40</v>
      </c>
      <c r="D6224">
        <v>4.8281090000000004</v>
      </c>
      <c r="E6224">
        <v>0.5158256</v>
      </c>
      <c r="F6224" t="s">
        <v>42</v>
      </c>
      <c r="G6224">
        <v>-185.30799999999999</v>
      </c>
      <c r="H6224" s="1">
        <v>-2.592432E-6</v>
      </c>
      <c r="I6224">
        <v>103.5975</v>
      </c>
      <c r="J6224">
        <v>-187.7885</v>
      </c>
      <c r="K6224">
        <v>1.109947</v>
      </c>
      <c r="L6224">
        <v>91.46011</v>
      </c>
      <c r="M6224">
        <v>1.8428179999999999E-2</v>
      </c>
      <c r="N6224">
        <v>0</v>
      </c>
      <c r="O6224">
        <v>0.99974909999999995</v>
      </c>
      <c r="P6224">
        <v>0.15073059999999999</v>
      </c>
      <c r="Q6224">
        <v>4.9500049999999997E-2</v>
      </c>
      <c r="R6224">
        <v>0.98733479999999996</v>
      </c>
      <c r="S6224">
        <v>0.59059139999999999</v>
      </c>
      <c r="T6224">
        <v>-0.26363189999999997</v>
      </c>
      <c r="U6224">
        <v>2.9618530000000001</v>
      </c>
      <c r="V6224">
        <v>0.13251360000000001</v>
      </c>
      <c r="W6224">
        <v>6.2090800000000002E-2</v>
      </c>
      <c r="X6224">
        <v>0.98923450000000002</v>
      </c>
      <c r="Y6224">
        <v>0.1767001</v>
      </c>
      <c r="Z6224">
        <v>-8.7088299999999993E-2</v>
      </c>
      <c r="AA6224">
        <v>0.98040439999999995</v>
      </c>
      <c r="AB6224">
        <v>32</v>
      </c>
      <c r="AC6224">
        <v>2.4805000000000001</v>
      </c>
      <c r="AD6224">
        <v>-1.109949592432</v>
      </c>
      <c r="AE6224">
        <v>12.1373899999999</v>
      </c>
      <c r="AF6224">
        <v>2.23842142366943</v>
      </c>
      <c r="AG6224">
        <v>-1.109949592432</v>
      </c>
      <c r="AH6224">
        <v>12.084037607244801</v>
      </c>
      <c r="AI6224">
        <v>95.160729793694202</v>
      </c>
      <c r="AJ6224">
        <v>79.505604318035296</v>
      </c>
      <c r="AK6224">
        <v>12.339630604721901</v>
      </c>
      <c r="AL6224">
        <v>86.440169391454404</v>
      </c>
      <c r="AM6224">
        <v>82.370323368133398</v>
      </c>
      <c r="AN6224">
        <v>1.0000000088099199</v>
      </c>
    </row>
    <row r="6225" spans="1:40" x14ac:dyDescent="0.25">
      <c r="A6225" t="str">
        <f>"20190312151440080"</f>
        <v>20190312151440080</v>
      </c>
      <c r="B6225" t="str">
        <f>"1552374880076260"</f>
        <v>1552374880076260</v>
      </c>
      <c r="C6225" t="s">
        <v>40</v>
      </c>
      <c r="D6225">
        <v>4.7132709999999998</v>
      </c>
      <c r="E6225">
        <v>0.51567039999999997</v>
      </c>
      <c r="F6225" t="s">
        <v>41</v>
      </c>
      <c r="G6225">
        <v>-187.62459999999999</v>
      </c>
      <c r="H6225">
        <v>1.0370109999999999</v>
      </c>
      <c r="I6225">
        <v>92.286959999999993</v>
      </c>
      <c r="J6225">
        <v>-187.78290000000001</v>
      </c>
      <c r="K6225">
        <v>1.1099049999999999</v>
      </c>
      <c r="L6225">
        <v>91.763030000000001</v>
      </c>
      <c r="M6225">
        <v>1.8544540000000002E-2</v>
      </c>
      <c r="N6225">
        <v>0</v>
      </c>
      <c r="O6225">
        <v>0.99974700000000005</v>
      </c>
      <c r="P6225">
        <v>0.15169070000000001</v>
      </c>
      <c r="Q6225">
        <v>4.9760550000000001E-2</v>
      </c>
      <c r="R6225">
        <v>0.98717469999999996</v>
      </c>
      <c r="S6225">
        <v>0.58670040000000001</v>
      </c>
      <c r="T6225">
        <v>-0.26130949999999997</v>
      </c>
      <c r="U6225">
        <v>2.9620060000000001</v>
      </c>
      <c r="V6225">
        <v>0.13336899999999999</v>
      </c>
      <c r="W6225">
        <v>6.2332560000000002E-2</v>
      </c>
      <c r="X6225">
        <v>0.98910430000000005</v>
      </c>
      <c r="Y6225">
        <v>0.17534930000000001</v>
      </c>
      <c r="Z6225">
        <v>-8.6343710000000004E-2</v>
      </c>
      <c r="AA6225">
        <v>0.98071269999999999</v>
      </c>
      <c r="AB6225">
        <v>32</v>
      </c>
      <c r="AC6225">
        <v>0.158300000000025</v>
      </c>
      <c r="AD6225">
        <v>-7.2893999999999695E-2</v>
      </c>
      <c r="AE6225">
        <v>0.52392999999999201</v>
      </c>
      <c r="AF6225">
        <v>0.145966828375236</v>
      </c>
      <c r="AG6225">
        <v>-7.2893999999999695E-2</v>
      </c>
      <c r="AH6225">
        <v>0.51759478100725298</v>
      </c>
      <c r="AI6225">
        <v>97.719132559477202</v>
      </c>
      <c r="AJ6225">
        <v>74.251025122317799</v>
      </c>
      <c r="AK6225">
        <v>0.54270084535393204</v>
      </c>
      <c r="AL6225">
        <v>86.426290567534906</v>
      </c>
      <c r="AM6225">
        <v>82.320659422970706</v>
      </c>
      <c r="AN6225">
        <v>0.99999997723782097</v>
      </c>
    </row>
    <row r="6226" spans="1:40" x14ac:dyDescent="0.25">
      <c r="A6226" t="str">
        <f>"20190312151440102"</f>
        <v>20190312151440102</v>
      </c>
      <c r="B6226" t="str">
        <f>"1552374880096760"</f>
        <v>1552374880096760</v>
      </c>
      <c r="C6226" t="s">
        <v>40</v>
      </c>
      <c r="D6226">
        <v>4.701397</v>
      </c>
      <c r="E6226">
        <v>0.51572010000000001</v>
      </c>
      <c r="F6226" t="s">
        <v>41</v>
      </c>
      <c r="G6226">
        <v>-187.62119999999999</v>
      </c>
      <c r="H6226">
        <v>1.038187</v>
      </c>
      <c r="I6226">
        <v>92.576220000000006</v>
      </c>
      <c r="J6226">
        <v>-187.77680000000001</v>
      </c>
      <c r="K6226">
        <v>1.1098380000000001</v>
      </c>
      <c r="L6226">
        <v>92.079650000000001</v>
      </c>
      <c r="M6226">
        <v>1.8745129999999999E-2</v>
      </c>
      <c r="N6226">
        <v>0</v>
      </c>
      <c r="O6226">
        <v>0.99974320000000005</v>
      </c>
      <c r="P6226">
        <v>0.15269440000000001</v>
      </c>
      <c r="Q6226">
        <v>4.9806669999999997E-2</v>
      </c>
      <c r="R6226">
        <v>0.98701760000000005</v>
      </c>
      <c r="S6226">
        <v>0.58871459999999998</v>
      </c>
      <c r="T6226">
        <v>-0.26120870000000002</v>
      </c>
      <c r="U6226">
        <v>2.9616699999999998</v>
      </c>
      <c r="V6226">
        <v>0.13418720000000001</v>
      </c>
      <c r="W6226">
        <v>6.2353489999999998E-2</v>
      </c>
      <c r="X6226">
        <v>0.98899230000000005</v>
      </c>
      <c r="Y6226">
        <v>0.1758152</v>
      </c>
      <c r="Z6226">
        <v>-8.6310449999999997E-2</v>
      </c>
      <c r="AA6226">
        <v>0.98063219999999995</v>
      </c>
      <c r="AB6226">
        <v>32</v>
      </c>
      <c r="AC6226">
        <v>0.155600000000021</v>
      </c>
      <c r="AD6226">
        <v>-7.1650999999999895E-2</v>
      </c>
      <c r="AE6226">
        <v>0.49656999999999102</v>
      </c>
      <c r="AF6226">
        <v>0.14354226754098301</v>
      </c>
      <c r="AG6226">
        <v>-7.1650999999999895E-2</v>
      </c>
      <c r="AH6226">
        <v>0.49010794100674598</v>
      </c>
      <c r="AI6226">
        <v>97.986510097406693</v>
      </c>
      <c r="AJ6226">
        <v>73.675806419069204</v>
      </c>
      <c r="AK6226">
        <v>0.51569762672488595</v>
      </c>
      <c r="AL6226">
        <v>86.425088989036993</v>
      </c>
      <c r="AM6226">
        <v>82.273250684881802</v>
      </c>
      <c r="AN6226">
        <v>0.99999996590915396</v>
      </c>
    </row>
    <row r="6227" spans="1:40" x14ac:dyDescent="0.25">
      <c r="A6227" t="str">
        <f>"20190312151440125"</f>
        <v>20190312151440125</v>
      </c>
      <c r="B6227" t="str">
        <f>"1552374880116276"</f>
        <v>1552374880116276</v>
      </c>
      <c r="C6227" t="s">
        <v>40</v>
      </c>
      <c r="D6227">
        <v>4.645937</v>
      </c>
      <c r="E6227">
        <v>0.51574589999999998</v>
      </c>
      <c r="F6227" t="s">
        <v>42</v>
      </c>
      <c r="G6227">
        <v>-185.2304</v>
      </c>
      <c r="H6227" s="1">
        <v>-3.06993E-6</v>
      </c>
      <c r="I6227">
        <v>104.8167</v>
      </c>
      <c r="J6227">
        <v>-187.77029999999999</v>
      </c>
      <c r="K6227">
        <v>1.109753</v>
      </c>
      <c r="L6227">
        <v>92.413820000000001</v>
      </c>
      <c r="M6227">
        <v>1.906157E-2</v>
      </c>
      <c r="N6227">
        <v>0</v>
      </c>
      <c r="O6227">
        <v>0.99973730000000005</v>
      </c>
      <c r="P6227">
        <v>0.1537356</v>
      </c>
      <c r="Q6227">
        <v>5.0029669999999998E-2</v>
      </c>
      <c r="R6227">
        <v>0.98684470000000002</v>
      </c>
      <c r="S6227">
        <v>0.59194950000000002</v>
      </c>
      <c r="T6227">
        <v>-0.25799810000000001</v>
      </c>
      <c r="U6227">
        <v>2.9609070000000002</v>
      </c>
      <c r="V6227">
        <v>0.13493139999999901</v>
      </c>
      <c r="W6227">
        <v>6.2546229999999994E-2</v>
      </c>
      <c r="X6227">
        <v>0.98887890000000001</v>
      </c>
      <c r="Y6227">
        <v>0.17660000000000001</v>
      </c>
      <c r="Z6227">
        <v>-8.5263119999999998E-2</v>
      </c>
      <c r="AA6227">
        <v>0.98058279999999998</v>
      </c>
      <c r="AB6227">
        <v>32</v>
      </c>
      <c r="AC6227">
        <v>2.5398999999999798</v>
      </c>
      <c r="AD6227">
        <v>-1.10975606992999</v>
      </c>
      <c r="AE6227">
        <v>12.4028799999999</v>
      </c>
      <c r="AF6227">
        <v>2.2854403623899802</v>
      </c>
      <c r="AG6227">
        <v>-1.10975606992999</v>
      </c>
      <c r="AH6227">
        <v>12.354119563671601</v>
      </c>
      <c r="AI6227">
        <v>95.0478403701226</v>
      </c>
      <c r="AJ6227">
        <v>79.519103636467605</v>
      </c>
      <c r="AK6227">
        <v>12.6126550090884</v>
      </c>
      <c r="AL6227">
        <v>86.414024311639196</v>
      </c>
      <c r="AM6227">
        <v>82.230040142163602</v>
      </c>
      <c r="AN6227">
        <v>0.999999996229191</v>
      </c>
    </row>
    <row r="6228" spans="1:40" x14ac:dyDescent="0.25">
      <c r="A6228" t="str">
        <f>"20190312151440147"</f>
        <v>20190312151440147</v>
      </c>
      <c r="B6228" t="str">
        <f>"1552374880136775"</f>
        <v>1552374880136775</v>
      </c>
      <c r="C6228" t="s">
        <v>40</v>
      </c>
      <c r="D6228">
        <v>4.8137119999999998</v>
      </c>
      <c r="E6228">
        <v>0.51587470000000002</v>
      </c>
      <c r="F6228" t="s">
        <v>42</v>
      </c>
      <c r="G6228">
        <v>-185.18639999999999</v>
      </c>
      <c r="H6228" s="1">
        <v>-3.271058E-6</v>
      </c>
      <c r="I6228">
        <v>105.26730000000001</v>
      </c>
      <c r="J6228">
        <v>-187.7637</v>
      </c>
      <c r="K6228">
        <v>1.109658</v>
      </c>
      <c r="L6228">
        <v>92.738039999999998</v>
      </c>
      <c r="M6228">
        <v>1.9504779999999999E-2</v>
      </c>
      <c r="N6228">
        <v>0</v>
      </c>
      <c r="O6228">
        <v>0.99972870000000003</v>
      </c>
      <c r="P6228">
        <v>0.15518309999999999</v>
      </c>
      <c r="Q6228">
        <v>5.039341E-2</v>
      </c>
      <c r="R6228">
        <v>0.98659960000000002</v>
      </c>
      <c r="S6228">
        <v>0.59507749999999904</v>
      </c>
      <c r="T6228">
        <v>-0.25558259999999999</v>
      </c>
      <c r="U6228">
        <v>2.9602360000000001</v>
      </c>
      <c r="V6228">
        <v>0.13595940000000001</v>
      </c>
      <c r="W6228">
        <v>6.2875570000000006E-2</v>
      </c>
      <c r="X6228">
        <v>0.98871719999999996</v>
      </c>
      <c r="Y6228">
        <v>0.17721579999999901</v>
      </c>
      <c r="Z6228">
        <v>-8.4474869999999994E-2</v>
      </c>
      <c r="AA6228">
        <v>0.98053990000000002</v>
      </c>
      <c r="AB6228">
        <v>32</v>
      </c>
      <c r="AC6228">
        <v>2.5773000000000001</v>
      </c>
      <c r="AD6228">
        <v>-1.1096612710580001</v>
      </c>
      <c r="AE6228">
        <v>12.529260000000001</v>
      </c>
      <c r="AF6228">
        <v>2.3149880627191299</v>
      </c>
      <c r="AG6228">
        <v>-1.1096612710580001</v>
      </c>
      <c r="AH6228">
        <v>12.4832082571826</v>
      </c>
      <c r="AI6228">
        <v>94.995077617148695</v>
      </c>
      <c r="AJ6228">
        <v>79.493955638751999</v>
      </c>
      <c r="AK6228">
        <v>12.744450017918</v>
      </c>
      <c r="AL6228">
        <v>86.395117314234895</v>
      </c>
      <c r="AM6228">
        <v>82.170310101161306</v>
      </c>
      <c r="AN6228">
        <v>0.99999999866351197</v>
      </c>
    </row>
    <row r="6229" spans="1:40" x14ac:dyDescent="0.25">
      <c r="A6229" t="str">
        <f>"20190312151440168"</f>
        <v>20190312151440168</v>
      </c>
      <c r="B6229" t="str">
        <f>"1552374880156292"</f>
        <v>1552374880156292</v>
      </c>
      <c r="C6229" t="s">
        <v>40</v>
      </c>
      <c r="D6229">
        <v>4.5469619999999997</v>
      </c>
      <c r="E6229">
        <v>0.51705789999999996</v>
      </c>
      <c r="F6229" t="s">
        <v>42</v>
      </c>
      <c r="G6229">
        <v>-185.0933</v>
      </c>
      <c r="H6229" s="1">
        <v>-3.5566559999999998E-6</v>
      </c>
      <c r="I6229">
        <v>105.8946</v>
      </c>
      <c r="J6229">
        <v>-187.75729999999999</v>
      </c>
      <c r="K6229">
        <v>1.1095660000000001</v>
      </c>
      <c r="L6229">
        <v>93.040469999999999</v>
      </c>
      <c r="M6229">
        <v>2.004156E-2</v>
      </c>
      <c r="N6229">
        <v>0</v>
      </c>
      <c r="O6229">
        <v>0.99971810000000005</v>
      </c>
      <c r="P6229">
        <v>0.156435299999999</v>
      </c>
      <c r="Q6229">
        <v>5.0506559999999999E-2</v>
      </c>
      <c r="R6229">
        <v>0.98639600000000005</v>
      </c>
      <c r="S6229">
        <v>0.60060119999999995</v>
      </c>
      <c r="T6229">
        <v>-0.24957480000000001</v>
      </c>
      <c r="U6229">
        <v>2.9590450000000001</v>
      </c>
      <c r="V6229">
        <v>0.13669890000000001</v>
      </c>
      <c r="W6229">
        <v>6.2955029999999995E-2</v>
      </c>
      <c r="X6229">
        <v>0.98861010000000005</v>
      </c>
      <c r="Y6229">
        <v>0.17855480000000001</v>
      </c>
      <c r="Z6229">
        <v>-8.2508999999999999E-2</v>
      </c>
      <c r="AA6229">
        <v>0.98046440000000001</v>
      </c>
      <c r="AB6229">
        <v>32</v>
      </c>
      <c r="AC6229">
        <v>2.6639999999999802</v>
      </c>
      <c r="AD6229">
        <v>-1.109569556656</v>
      </c>
      <c r="AE6229">
        <v>12.8541299999999</v>
      </c>
      <c r="AF6229">
        <v>2.3887611341832802</v>
      </c>
      <c r="AG6229">
        <v>-1.109569556656</v>
      </c>
      <c r="AH6229">
        <v>12.813400132277099</v>
      </c>
      <c r="AI6229">
        <v>94.865732469681305</v>
      </c>
      <c r="AJ6229">
        <v>79.439757962938202</v>
      </c>
      <c r="AK6229">
        <v>13.081305260068</v>
      </c>
      <c r="AL6229">
        <v>86.390555296740104</v>
      </c>
      <c r="AM6229">
        <v>82.1274138236966</v>
      </c>
      <c r="AN6229">
        <v>0.99999992744275701</v>
      </c>
    </row>
    <row r="6230" spans="1:40" x14ac:dyDescent="0.25">
      <c r="A6230" t="str">
        <f>"20190312151440191"</f>
        <v>20190312151440191</v>
      </c>
      <c r="B6230" t="str">
        <f>"1552374880186549"</f>
        <v>1552374880186549</v>
      </c>
      <c r="C6230" t="s">
        <v>40</v>
      </c>
      <c r="D6230">
        <v>4.8817380000000004</v>
      </c>
      <c r="E6230">
        <v>0.5178912</v>
      </c>
      <c r="F6230" t="s">
        <v>42</v>
      </c>
      <c r="G6230">
        <v>-183.31530000000001</v>
      </c>
      <c r="H6230" s="1">
        <v>-3.4266489999999998E-6</v>
      </c>
      <c r="I6230">
        <v>114.49079999999999</v>
      </c>
      <c r="J6230">
        <v>-187.75</v>
      </c>
      <c r="K6230">
        <v>1.1094630000000001</v>
      </c>
      <c r="L6230">
        <v>93.368620000000007</v>
      </c>
      <c r="M6230">
        <v>2.0743689999999999E-2</v>
      </c>
      <c r="N6230">
        <v>0</v>
      </c>
      <c r="O6230">
        <v>0.99970380000000003</v>
      </c>
      <c r="P6230">
        <v>0.15753120000000001</v>
      </c>
      <c r="Q6230">
        <v>5.025789E-2</v>
      </c>
      <c r="R6230">
        <v>0.98623430000000001</v>
      </c>
      <c r="S6230">
        <v>0.61135859999999997</v>
      </c>
      <c r="T6230">
        <v>-0.1527114</v>
      </c>
      <c r="U6230">
        <v>2.9522400000000002</v>
      </c>
      <c r="V6230">
        <v>0.13711809999999999</v>
      </c>
      <c r="W6230">
        <v>6.2671400000000002E-2</v>
      </c>
      <c r="X6230">
        <v>0.98857019999999995</v>
      </c>
      <c r="Y6230">
        <v>0.1821623</v>
      </c>
      <c r="Z6230">
        <v>-5.0673349999999999E-2</v>
      </c>
      <c r="AA6230">
        <v>0.9819618</v>
      </c>
      <c r="AB6230">
        <v>32</v>
      </c>
      <c r="AC6230">
        <v>4.4346999999999897</v>
      </c>
      <c r="AD6230">
        <v>-1.109466426649</v>
      </c>
      <c r="AE6230">
        <v>21.12218</v>
      </c>
      <c r="AF6230">
        <v>3.98502768789045</v>
      </c>
      <c r="AG6230">
        <v>-1.109466426649</v>
      </c>
      <c r="AH6230">
        <v>21.153734864551701</v>
      </c>
      <c r="AI6230">
        <v>92.950481931689197</v>
      </c>
      <c r="AJ6230">
        <v>79.3314167335284</v>
      </c>
      <c r="AK6230">
        <v>21.554393059069501</v>
      </c>
      <c r="AL6230">
        <v>86.406838727296702</v>
      </c>
      <c r="AM6230">
        <v>82.103261196701197</v>
      </c>
      <c r="AN6230">
        <v>1.0000000590267999</v>
      </c>
    </row>
    <row r="6231" spans="1:40" x14ac:dyDescent="0.25">
      <c r="A6231" t="str">
        <f>"20190312151440213"</f>
        <v>20190312151440213</v>
      </c>
      <c r="B6231" t="str">
        <f>"1552374880207045"</f>
        <v>1552374880207045</v>
      </c>
      <c r="C6231" t="s">
        <v>40</v>
      </c>
      <c r="D6231">
        <v>4.4654699999999998</v>
      </c>
      <c r="E6231">
        <v>0.5318927</v>
      </c>
      <c r="F6231" t="s">
        <v>42</v>
      </c>
      <c r="G6231">
        <v>-183.4238</v>
      </c>
      <c r="H6231" s="1">
        <v>-3.1998179999999999E-6</v>
      </c>
      <c r="I6231">
        <v>113.9091</v>
      </c>
      <c r="J6231">
        <v>-187.7424</v>
      </c>
      <c r="K6231">
        <v>1.1093599999999999</v>
      </c>
      <c r="L6231">
        <v>93.695130000000006</v>
      </c>
      <c r="M6231">
        <v>2.1572239999999999E-2</v>
      </c>
      <c r="N6231">
        <v>0</v>
      </c>
      <c r="O6231">
        <v>0.99968619999999997</v>
      </c>
      <c r="P6231">
        <v>0.159051</v>
      </c>
      <c r="Q6231">
        <v>5.0216570000000002E-2</v>
      </c>
      <c r="R6231">
        <v>0.98599239999999999</v>
      </c>
      <c r="S6231">
        <v>0.62147519999999901</v>
      </c>
      <c r="T6231">
        <v>-0.15937879999999999</v>
      </c>
      <c r="U6231">
        <v>2.9507140000000001</v>
      </c>
      <c r="V6231">
        <v>0.137838299999999</v>
      </c>
      <c r="W6231">
        <v>6.2593830000000003E-2</v>
      </c>
      <c r="X6231">
        <v>0.98847490000000005</v>
      </c>
      <c r="Y6231">
        <v>0.18465000000000001</v>
      </c>
      <c r="Z6231">
        <v>-5.287422E-2</v>
      </c>
      <c r="AA6231">
        <v>0.98138099999999995</v>
      </c>
      <c r="AB6231">
        <v>32</v>
      </c>
      <c r="AC6231">
        <v>4.3186</v>
      </c>
      <c r="AD6231">
        <v>-1.109363199818</v>
      </c>
      <c r="AE6231">
        <v>20.2139699999999</v>
      </c>
      <c r="AF6231">
        <v>3.8703505424664502</v>
      </c>
      <c r="AG6231">
        <v>-1.109363199818</v>
      </c>
      <c r="AH6231">
        <v>20.244122516952501</v>
      </c>
      <c r="AI6231">
        <v>93.080939460737198</v>
      </c>
      <c r="AJ6231">
        <v>79.1765774335245</v>
      </c>
      <c r="AK6231">
        <v>20.640610371596601</v>
      </c>
      <c r="AL6231">
        <v>86.411291714021004</v>
      </c>
      <c r="AM6231">
        <v>82.061556112512207</v>
      </c>
      <c r="AN6231">
        <v>1.0000000062154799</v>
      </c>
    </row>
    <row r="6232" spans="1:40" x14ac:dyDescent="0.25">
      <c r="A6232" t="str">
        <f>"20190312151440237"</f>
        <v>20190312151440237</v>
      </c>
      <c r="B6232" t="str">
        <f>"1552374880226564"</f>
        <v>1552374880226564</v>
      </c>
      <c r="C6232" t="s">
        <v>40</v>
      </c>
      <c r="D6232">
        <v>4.4301250000000003</v>
      </c>
      <c r="E6232">
        <v>0.5379543</v>
      </c>
      <c r="F6232" t="s">
        <v>42</v>
      </c>
      <c r="G6232">
        <v>-184.4298</v>
      </c>
      <c r="H6232" s="1">
        <v>-4.0894899999999997E-6</v>
      </c>
      <c r="I6232">
        <v>106.8623</v>
      </c>
      <c r="J6232">
        <v>-187.73419999999999</v>
      </c>
      <c r="K6232">
        <v>1.1092500000000001</v>
      </c>
      <c r="L6232">
        <v>94.03058</v>
      </c>
      <c r="M6232">
        <v>2.2574609999999998E-2</v>
      </c>
      <c r="N6232">
        <v>0</v>
      </c>
      <c r="O6232">
        <v>0.99966410000000006</v>
      </c>
      <c r="P6232">
        <v>0.16065679999999999</v>
      </c>
      <c r="Q6232">
        <v>4.9795720000000002E-2</v>
      </c>
      <c r="R6232">
        <v>0.9857534</v>
      </c>
      <c r="S6232">
        <v>0.73866269999999901</v>
      </c>
      <c r="T6232">
        <v>-0.24737100000000001</v>
      </c>
      <c r="U6232">
        <v>2.9360659999999998</v>
      </c>
      <c r="V6232">
        <v>0.1384736</v>
      </c>
      <c r="W6232">
        <v>6.2133620000000001E-2</v>
      </c>
      <c r="X6232">
        <v>0.98841509999999999</v>
      </c>
      <c r="Y6232">
        <v>0.22120999999999999</v>
      </c>
      <c r="Z6232">
        <v>-8.1620639999999994E-2</v>
      </c>
      <c r="AA6232">
        <v>0.97180460000000002</v>
      </c>
      <c r="AB6232">
        <v>32</v>
      </c>
      <c r="AC6232">
        <v>3.3043999999999798</v>
      </c>
      <c r="AD6232">
        <v>-1.10925408949</v>
      </c>
      <c r="AE6232">
        <v>12.831720000000001</v>
      </c>
      <c r="AF6232">
        <v>2.9928884566396801</v>
      </c>
      <c r="AG6232">
        <v>-1.10925408949</v>
      </c>
      <c r="AH6232">
        <v>12.813253174488899</v>
      </c>
      <c r="AI6232">
        <v>94.818737549043206</v>
      </c>
      <c r="AJ6232">
        <v>76.8527075780069</v>
      </c>
      <c r="AK6232">
        <v>13.204820440372799</v>
      </c>
      <c r="AL6232">
        <v>86.4377110917615</v>
      </c>
      <c r="AM6232">
        <v>82.024961011548399</v>
      </c>
      <c r="AN6232">
        <v>0.99999996726963603</v>
      </c>
    </row>
    <row r="6233" spans="1:40" x14ac:dyDescent="0.25">
      <c r="A6233" t="str">
        <f>"20190312151440259"</f>
        <v>20190312151440259</v>
      </c>
      <c r="B6233" t="str">
        <f>"1552374880247060"</f>
        <v>1552374880247060</v>
      </c>
      <c r="C6233" t="s">
        <v>40</v>
      </c>
      <c r="D6233">
        <v>4.3723869999999998</v>
      </c>
      <c r="E6233">
        <v>0.54076219999999997</v>
      </c>
      <c r="F6233" t="s">
        <v>42</v>
      </c>
      <c r="G6233">
        <v>-184.5196</v>
      </c>
      <c r="H6233" s="1">
        <v>-3.665007E-6</v>
      </c>
      <c r="I6233">
        <v>105.90989999999999</v>
      </c>
      <c r="J6233">
        <v>-187.72579999999999</v>
      </c>
      <c r="K6233">
        <v>1.109132</v>
      </c>
      <c r="L6233">
        <v>94.351410000000001</v>
      </c>
      <c r="M6233">
        <v>2.3687659999999999E-2</v>
      </c>
      <c r="N6233">
        <v>0</v>
      </c>
      <c r="O6233">
        <v>0.99963829999999998</v>
      </c>
      <c r="P6233">
        <v>0.16294410000000001</v>
      </c>
      <c r="Q6233">
        <v>4.9509860000000003E-2</v>
      </c>
      <c r="R6233">
        <v>0.9853923</v>
      </c>
      <c r="S6233">
        <v>0.79232789999999997</v>
      </c>
      <c r="T6233">
        <v>-0.2734103</v>
      </c>
      <c r="U6233">
        <v>2.9280400000000002</v>
      </c>
      <c r="V6233">
        <v>0.139685</v>
      </c>
      <c r="W6233">
        <v>6.1803329999999997E-2</v>
      </c>
      <c r="X6233">
        <v>0.98826539999999996</v>
      </c>
      <c r="Y6233">
        <v>0.23720630000000001</v>
      </c>
      <c r="Z6233">
        <v>-9.0002250000000006E-2</v>
      </c>
      <c r="AA6233">
        <v>0.9672811</v>
      </c>
      <c r="AB6233">
        <v>32</v>
      </c>
      <c r="AC6233">
        <v>3.2061999999999902</v>
      </c>
      <c r="AD6233">
        <v>-1.1091356650069999</v>
      </c>
      <c r="AE6233">
        <v>11.5584899999999</v>
      </c>
      <c r="AF6233">
        <v>2.9066322954783099</v>
      </c>
      <c r="AG6233">
        <v>-1.1091356650069999</v>
      </c>
      <c r="AH6233">
        <v>11.532594381409799</v>
      </c>
      <c r="AI6233">
        <v>95.327858586349194</v>
      </c>
      <c r="AJ6233">
        <v>75.854001450049594</v>
      </c>
      <c r="AK6233">
        <v>11.9448493665945</v>
      </c>
      <c r="AL6233">
        <v>86.456671963615193</v>
      </c>
      <c r="AM6233">
        <v>81.954900217798794</v>
      </c>
      <c r="AN6233">
        <v>1.0000000258306201</v>
      </c>
    </row>
    <row r="6234" spans="1:40" x14ac:dyDescent="0.25">
      <c r="A6234" t="str">
        <f>"20190312151440281"</f>
        <v>20190312151440281</v>
      </c>
      <c r="B6234" t="str">
        <f>"1552374880276341"</f>
        <v>1552374880276341</v>
      </c>
      <c r="C6234" t="s">
        <v>40</v>
      </c>
      <c r="D6234">
        <v>4.3726000000000003</v>
      </c>
      <c r="E6234">
        <v>0.54238589999999998</v>
      </c>
      <c r="F6234" t="s">
        <v>42</v>
      </c>
      <c r="G6234">
        <v>-184.4777</v>
      </c>
      <c r="H6234" s="1">
        <v>-3.6706979999999998E-6</v>
      </c>
      <c r="I6234">
        <v>105.9059</v>
      </c>
      <c r="J6234">
        <v>-187.71709999999999</v>
      </c>
      <c r="K6234">
        <v>1.1089990000000001</v>
      </c>
      <c r="L6234">
        <v>94.66901</v>
      </c>
      <c r="M6234">
        <v>2.4949800000000001E-2</v>
      </c>
      <c r="N6234">
        <v>0</v>
      </c>
      <c r="O6234">
        <v>0.99960760000000004</v>
      </c>
      <c r="P6234">
        <v>0.16487019999999999</v>
      </c>
      <c r="Q6234">
        <v>4.9685899999999998E-2</v>
      </c>
      <c r="R6234">
        <v>0.98506300000000002</v>
      </c>
      <c r="S6234">
        <v>0.82160949999999899</v>
      </c>
      <c r="T6234">
        <v>-0.28055550000000001</v>
      </c>
      <c r="U6234">
        <v>2.9226990000000002</v>
      </c>
      <c r="V6234">
        <v>0.140390299999999</v>
      </c>
      <c r="W6234">
        <v>6.193278E-2</v>
      </c>
      <c r="X6234">
        <v>0.98815730000000002</v>
      </c>
      <c r="Y6234">
        <v>0.24536520000000001</v>
      </c>
      <c r="Z6234">
        <v>-9.2276109999999995E-2</v>
      </c>
      <c r="AA6234">
        <v>0.96502909999999997</v>
      </c>
      <c r="AB6234">
        <v>32</v>
      </c>
      <c r="AC6234">
        <v>3.2393999999999799</v>
      </c>
      <c r="AD6234">
        <v>-1.1090026706980001</v>
      </c>
      <c r="AE6234">
        <v>11.236890000000001</v>
      </c>
      <c r="AF6234">
        <v>2.9316464213565898</v>
      </c>
      <c r="AG6234">
        <v>-1.1090026706980001</v>
      </c>
      <c r="AH6234">
        <v>11.2133791563137</v>
      </c>
      <c r="AI6234">
        <v>95.465644931657806</v>
      </c>
      <c r="AJ6234">
        <v>75.348430858053703</v>
      </c>
      <c r="AK6234">
        <v>11.6432087401506</v>
      </c>
      <c r="AL6234">
        <v>86.449240617894603</v>
      </c>
      <c r="AM6234">
        <v>81.913941766363493</v>
      </c>
      <c r="AN6234">
        <v>0.999999977557954</v>
      </c>
    </row>
    <row r="6235" spans="1:40" x14ac:dyDescent="0.25">
      <c r="A6235" t="str">
        <f>"20190312151440303"</f>
        <v>20190312151440303</v>
      </c>
      <c r="B6235" t="str">
        <f>"1552374880296837"</f>
        <v>1552374880296837</v>
      </c>
      <c r="C6235" t="s">
        <v>40</v>
      </c>
      <c r="D6235">
        <v>4.3492379999999997</v>
      </c>
      <c r="E6235">
        <v>0.54302790000000001</v>
      </c>
      <c r="F6235" t="s">
        <v>42</v>
      </c>
      <c r="G6235">
        <v>-184.27549999999999</v>
      </c>
      <c r="H6235" s="1">
        <v>-4.0148219999999901E-6</v>
      </c>
      <c r="I6235">
        <v>106.62439999999999</v>
      </c>
      <c r="J6235">
        <v>-187.70779999999999</v>
      </c>
      <c r="K6235">
        <v>1.10886</v>
      </c>
      <c r="L6235">
        <v>94.98621</v>
      </c>
      <c r="M6235">
        <v>2.637658E-2</v>
      </c>
      <c r="N6235">
        <v>0</v>
      </c>
      <c r="O6235">
        <v>0.99957099999999999</v>
      </c>
      <c r="P6235">
        <v>0.16719990000000001</v>
      </c>
      <c r="Q6235">
        <v>4.9571030000000002E-2</v>
      </c>
      <c r="R6235">
        <v>0.98467610000000005</v>
      </c>
      <c r="S6235">
        <v>0.84014889999999998</v>
      </c>
      <c r="T6235">
        <v>-0.27072629999999998</v>
      </c>
      <c r="U6235">
        <v>2.9185180000000002</v>
      </c>
      <c r="V6235">
        <v>0.14133879999999999</v>
      </c>
      <c r="W6235">
        <v>6.1766689999999999E-2</v>
      </c>
      <c r="X6235">
        <v>0.98803249999999998</v>
      </c>
      <c r="Y6235">
        <v>0.2500909</v>
      </c>
      <c r="Z6235">
        <v>-8.9056960000000004E-2</v>
      </c>
      <c r="AA6235">
        <v>0.96411789999999997</v>
      </c>
      <c r="AB6235">
        <v>32</v>
      </c>
      <c r="AC6235">
        <v>3.4322999999999899</v>
      </c>
      <c r="AD6235">
        <v>-1.1088640148219999</v>
      </c>
      <c r="AE6235">
        <v>11.6381899999999</v>
      </c>
      <c r="AF6235">
        <v>3.0982301571383801</v>
      </c>
      <c r="AG6235">
        <v>-1.1088640148219999</v>
      </c>
      <c r="AH6235">
        <v>11.627571885003499</v>
      </c>
      <c r="AI6235">
        <v>95.264930816288995</v>
      </c>
      <c r="AJ6235">
        <v>75.079880611313001</v>
      </c>
      <c r="AK6235">
        <v>12.084247492123501</v>
      </c>
      <c r="AL6235">
        <v>86.458775210340505</v>
      </c>
      <c r="AM6235">
        <v>81.859026366118997</v>
      </c>
      <c r="AN6235">
        <v>1.00000000071762</v>
      </c>
    </row>
    <row r="6236" spans="1:40" x14ac:dyDescent="0.25">
      <c r="A6236" t="str">
        <f>"20190312151440325"</f>
        <v>20190312151440325</v>
      </c>
      <c r="B6236" t="str">
        <f>"1552374880316357"</f>
        <v>1552374880316357</v>
      </c>
      <c r="C6236" t="s">
        <v>40</v>
      </c>
      <c r="D6236">
        <v>4.3708019999999896</v>
      </c>
      <c r="E6236">
        <v>0.54328889999999996</v>
      </c>
      <c r="F6236" t="s">
        <v>42</v>
      </c>
      <c r="G6236">
        <v>-184.2868</v>
      </c>
      <c r="H6236" s="1">
        <v>-4.0381009999999997E-6</v>
      </c>
      <c r="I6236">
        <v>106.68340000000001</v>
      </c>
      <c r="J6236">
        <v>-187.6978</v>
      </c>
      <c r="K6236">
        <v>1.108716</v>
      </c>
      <c r="L6236">
        <v>95.304500000000004</v>
      </c>
      <c r="M6236">
        <v>2.7977330000000002E-2</v>
      </c>
      <c r="N6236">
        <v>0</v>
      </c>
      <c r="O6236">
        <v>0.99952739999999995</v>
      </c>
      <c r="P6236">
        <v>0.16991800000000001</v>
      </c>
      <c r="Q6236">
        <v>5.0018350000000003E-2</v>
      </c>
      <c r="R6236">
        <v>0.98418799999999995</v>
      </c>
      <c r="S6236">
        <v>0.85275270000000003</v>
      </c>
      <c r="T6236">
        <v>-0.27641130000000003</v>
      </c>
      <c r="U6236">
        <v>2.9158019999999998</v>
      </c>
      <c r="V6236">
        <v>0.142509</v>
      </c>
      <c r="W6236">
        <v>6.2160279999999998E-2</v>
      </c>
      <c r="X6236">
        <v>0.98783969999999999</v>
      </c>
      <c r="Y6236">
        <v>0.25257550000000001</v>
      </c>
      <c r="Z6236">
        <v>-9.0902919999999998E-2</v>
      </c>
      <c r="AA6236">
        <v>0.96329759999999998</v>
      </c>
      <c r="AB6236">
        <v>32</v>
      </c>
      <c r="AC6236">
        <v>3.411</v>
      </c>
      <c r="AD6236">
        <v>-1.1087200381010001</v>
      </c>
      <c r="AE6236">
        <v>11.3789</v>
      </c>
      <c r="AF6236">
        <v>3.0645915533727202</v>
      </c>
      <c r="AG6236">
        <v>-1.1087200381010001</v>
      </c>
      <c r="AH6236">
        <v>11.3708311079208</v>
      </c>
      <c r="AI6236">
        <v>95.378332044114302</v>
      </c>
      <c r="AJ6236">
        <v>74.916412879879701</v>
      </c>
      <c r="AK6236">
        <v>11.828642424080201</v>
      </c>
      <c r="AL6236">
        <v>86.436180723933404</v>
      </c>
      <c r="AM6236">
        <v>81.790958555733496</v>
      </c>
      <c r="AN6236">
        <v>0.99999999419338403</v>
      </c>
    </row>
    <row r="6237" spans="1:40" x14ac:dyDescent="0.25">
      <c r="A6237" t="str">
        <f>"20190312151440347"</f>
        <v>20190312151440347</v>
      </c>
      <c r="B6237" t="str">
        <f>"1552374880336852"</f>
        <v>1552374880336852</v>
      </c>
      <c r="C6237" t="s">
        <v>40</v>
      </c>
      <c r="D6237">
        <v>4.3532279999999997</v>
      </c>
      <c r="E6237">
        <v>0.54363359999999905</v>
      </c>
      <c r="F6237" t="s">
        <v>42</v>
      </c>
      <c r="G6237">
        <v>-184.26490000000001</v>
      </c>
      <c r="H6237" s="1">
        <v>-4.1306730000000004E-6</v>
      </c>
      <c r="I6237">
        <v>106.8901</v>
      </c>
      <c r="J6237">
        <v>-187.6875</v>
      </c>
      <c r="K6237">
        <v>1.1085719999999999</v>
      </c>
      <c r="L6237">
        <v>95.612700000000004</v>
      </c>
      <c r="M6237">
        <v>2.9693359999999999E-2</v>
      </c>
      <c r="N6237">
        <v>0</v>
      </c>
      <c r="O6237">
        <v>0.99947790000000003</v>
      </c>
      <c r="P6237">
        <v>0.172296</v>
      </c>
      <c r="Q6237">
        <v>5.0355770000000001E-2</v>
      </c>
      <c r="R6237">
        <v>0.98375729999999995</v>
      </c>
      <c r="S6237">
        <v>0.86323549999999905</v>
      </c>
      <c r="T6237">
        <v>-0.2788001</v>
      </c>
      <c r="U6237">
        <v>2.9133300000000002</v>
      </c>
      <c r="V6237">
        <v>0.1432233</v>
      </c>
      <c r="W6237">
        <v>6.2448200000000002E-2</v>
      </c>
      <c r="X6237">
        <v>0.98771819999999999</v>
      </c>
      <c r="Y6237">
        <v>0.25430390000000003</v>
      </c>
      <c r="Z6237">
        <v>-9.1682540000000007E-2</v>
      </c>
      <c r="AA6237">
        <v>0.96276890000000004</v>
      </c>
      <c r="AB6237">
        <v>32</v>
      </c>
      <c r="AC6237">
        <v>3.4225999999999801</v>
      </c>
      <c r="AD6237">
        <v>-1.108576130673</v>
      </c>
      <c r="AE6237">
        <v>11.2774</v>
      </c>
      <c r="AF6237">
        <v>3.05913214728632</v>
      </c>
      <c r="AG6237">
        <v>-1.108576130673</v>
      </c>
      <c r="AH6237">
        <v>11.2743075408201</v>
      </c>
      <c r="AI6237">
        <v>95.420928390480796</v>
      </c>
      <c r="AJ6237">
        <v>74.819071445021805</v>
      </c>
      <c r="AK6237">
        <v>11.734446772517799</v>
      </c>
      <c r="AL6237">
        <v>86.419651913453094</v>
      </c>
      <c r="AM6237">
        <v>81.7493763693614</v>
      </c>
      <c r="AN6237">
        <v>0.99999996697868399</v>
      </c>
    </row>
    <row r="6238" spans="1:40" x14ac:dyDescent="0.25">
      <c r="A6238" t="str">
        <f>"20190312151440369"</f>
        <v>20190312151440369</v>
      </c>
      <c r="B6238" t="str">
        <f>"1552374880356372"</f>
        <v>1552374880356372</v>
      </c>
      <c r="C6238" t="s">
        <v>40</v>
      </c>
      <c r="D6238">
        <v>4.3648749999999996</v>
      </c>
      <c r="E6238">
        <v>0.54400819999999905</v>
      </c>
      <c r="F6238" t="s">
        <v>42</v>
      </c>
      <c r="G6238">
        <v>-184.23400000000001</v>
      </c>
      <c r="H6238" s="1">
        <v>-4.2367309999999901E-6</v>
      </c>
      <c r="I6238">
        <v>107.1245</v>
      </c>
      <c r="J6238">
        <v>-187.67580000000001</v>
      </c>
      <c r="K6238">
        <v>1.1084369999999999</v>
      </c>
      <c r="L6238">
        <v>95.936980000000005</v>
      </c>
      <c r="M6238">
        <v>3.1657610000000003E-2</v>
      </c>
      <c r="N6238">
        <v>0</v>
      </c>
      <c r="O6238">
        <v>0.99941749999999996</v>
      </c>
      <c r="P6238">
        <v>0.17503560000000001</v>
      </c>
      <c r="Q6238">
        <v>5.011434E-2</v>
      </c>
      <c r="R6238">
        <v>0.98328579999999999</v>
      </c>
      <c r="S6238">
        <v>0.87324519999999906</v>
      </c>
      <c r="T6238">
        <v>-0.28031790000000001</v>
      </c>
      <c r="U6238">
        <v>2.9109189999999998</v>
      </c>
      <c r="V6238">
        <v>0.14405319999999999</v>
      </c>
      <c r="W6238">
        <v>6.2157900000000002E-2</v>
      </c>
      <c r="X6238">
        <v>0.98761580000000004</v>
      </c>
      <c r="Y6238">
        <v>0.25564779999999998</v>
      </c>
      <c r="Z6238">
        <v>-9.2180860000000003E-2</v>
      </c>
      <c r="AA6238">
        <v>0.96236529999999998</v>
      </c>
      <c r="AB6238">
        <v>32</v>
      </c>
      <c r="AC6238">
        <v>3.4418000000000002</v>
      </c>
      <c r="AD6238">
        <v>-1.1084412367309999</v>
      </c>
      <c r="AE6238">
        <v>11.1875199999999</v>
      </c>
      <c r="AF6238">
        <v>3.0584482525209902</v>
      </c>
      <c r="AG6238">
        <v>-1.1084412367309999</v>
      </c>
      <c r="AH6238">
        <v>11.190525678856</v>
      </c>
      <c r="AI6238">
        <v>95.457898560087997</v>
      </c>
      <c r="AJ6238">
        <v>74.713973056343605</v>
      </c>
      <c r="AK6238">
        <v>11.653781045556499</v>
      </c>
      <c r="AL6238">
        <v>86.436317189710806</v>
      </c>
      <c r="AM6238">
        <v>81.701383993774598</v>
      </c>
      <c r="AN6238">
        <v>0.99999994868614295</v>
      </c>
    </row>
    <row r="6239" spans="1:40" x14ac:dyDescent="0.25">
      <c r="A6239" t="str">
        <f>"20190312151440392"</f>
        <v>20190312151440392</v>
      </c>
      <c r="B6239" t="str">
        <f>"1552374880386629"</f>
        <v>1552374880386629</v>
      </c>
      <c r="C6239" t="s">
        <v>40</v>
      </c>
      <c r="D6239">
        <v>4.3233649999999999</v>
      </c>
      <c r="E6239">
        <v>0.54426099999999999</v>
      </c>
      <c r="F6239" t="s">
        <v>42</v>
      </c>
      <c r="G6239">
        <v>-184.2148</v>
      </c>
      <c r="H6239" s="1">
        <v>-4.3227640000000002E-6</v>
      </c>
      <c r="I6239">
        <v>107.3171</v>
      </c>
      <c r="J6239">
        <v>-187.66309999999999</v>
      </c>
      <c r="K6239">
        <v>1.1083179999999999</v>
      </c>
      <c r="L6239">
        <v>96.270110000000003</v>
      </c>
      <c r="M6239">
        <v>3.3804029999999999E-2</v>
      </c>
      <c r="N6239">
        <v>0</v>
      </c>
      <c r="O6239">
        <v>0.99934719999999999</v>
      </c>
      <c r="P6239">
        <v>0.17812649999999999</v>
      </c>
      <c r="Q6239">
        <v>5.0252770000000002E-2</v>
      </c>
      <c r="R6239">
        <v>0.98272360000000003</v>
      </c>
      <c r="S6239">
        <v>0.88439939999999995</v>
      </c>
      <c r="T6239">
        <v>-0.28324149999999998</v>
      </c>
      <c r="U6239">
        <v>2.9079899999999999</v>
      </c>
      <c r="V6239">
        <v>0.14505670000000001</v>
      </c>
      <c r="W6239">
        <v>6.2251649999999999E-2</v>
      </c>
      <c r="X6239">
        <v>0.98746310000000004</v>
      </c>
      <c r="Y6239">
        <v>0.25719510000000001</v>
      </c>
      <c r="Z6239">
        <v>-9.3143290000000004E-2</v>
      </c>
      <c r="AA6239">
        <v>0.96186020000000005</v>
      </c>
      <c r="AB6239">
        <v>32</v>
      </c>
      <c r="AC6239">
        <v>3.4482999999999802</v>
      </c>
      <c r="AD6239">
        <v>-1.108322322764</v>
      </c>
      <c r="AE6239">
        <v>11.0469899999999</v>
      </c>
      <c r="AF6239">
        <v>3.0449375739588298</v>
      </c>
      <c r="AG6239">
        <v>-1.108322322764</v>
      </c>
      <c r="AH6239">
        <v>11.055846906953199</v>
      </c>
      <c r="AI6239">
        <v>95.520436489103105</v>
      </c>
      <c r="AJ6239">
        <v>74.601686067831295</v>
      </c>
      <c r="AK6239">
        <v>11.5209276549429</v>
      </c>
      <c r="AL6239">
        <v>86.430935628182496</v>
      </c>
      <c r="AM6239">
        <v>81.643113911205802</v>
      </c>
      <c r="AN6239">
        <v>1.00000004400211</v>
      </c>
    </row>
    <row r="6240" spans="1:40" x14ac:dyDescent="0.25">
      <c r="A6240" t="str">
        <f>"20190312151440413"</f>
        <v>20190312151440413</v>
      </c>
      <c r="B6240" t="str">
        <f>"1552374880406148"</f>
        <v>1552374880406148</v>
      </c>
      <c r="C6240" t="s">
        <v>40</v>
      </c>
      <c r="D6240">
        <v>4.4027880000000001</v>
      </c>
      <c r="E6240">
        <v>0.54441870000000003</v>
      </c>
      <c r="F6240" t="s">
        <v>42</v>
      </c>
      <c r="G6240">
        <v>-184.1901</v>
      </c>
      <c r="H6240" s="1">
        <v>-4.4215680000000001E-6</v>
      </c>
      <c r="I6240">
        <v>107.5372</v>
      </c>
      <c r="J6240">
        <v>-187.65029999999999</v>
      </c>
      <c r="K6240">
        <v>1.1082240000000001</v>
      </c>
      <c r="L6240">
        <v>96.584440000000001</v>
      </c>
      <c r="M6240">
        <v>3.5935170000000002E-2</v>
      </c>
      <c r="N6240">
        <v>0</v>
      </c>
      <c r="O6240">
        <v>0.99927279999999996</v>
      </c>
      <c r="P6240">
        <v>0.1812858</v>
      </c>
      <c r="Q6240">
        <v>5.0063070000000001E-2</v>
      </c>
      <c r="R6240">
        <v>0.98215540000000001</v>
      </c>
      <c r="S6240">
        <v>0.89546199999999998</v>
      </c>
      <c r="T6240">
        <v>-0.28576449999999998</v>
      </c>
      <c r="U6240">
        <v>2.9050600000000002</v>
      </c>
      <c r="V6240">
        <v>0.1461404</v>
      </c>
      <c r="W6240">
        <v>6.2023210000000002E-2</v>
      </c>
      <c r="X6240">
        <v>0.98731760000000002</v>
      </c>
      <c r="Y6240">
        <v>0.25873030000000002</v>
      </c>
      <c r="Z6240">
        <v>-9.3974279999999993E-2</v>
      </c>
      <c r="AA6240">
        <v>0.96136750000000004</v>
      </c>
      <c r="AB6240">
        <v>32</v>
      </c>
      <c r="AC6240">
        <v>3.46019999999998</v>
      </c>
      <c r="AD6240">
        <v>-1.1082284215679901</v>
      </c>
      <c r="AE6240">
        <v>10.9527599999999</v>
      </c>
      <c r="AF6240">
        <v>3.0360811044784799</v>
      </c>
      <c r="AG6240">
        <v>-1.1082284215679901</v>
      </c>
      <c r="AH6240">
        <v>10.9679389322571</v>
      </c>
      <c r="AI6240">
        <v>95.561952200840096</v>
      </c>
      <c r="AJ6240">
        <v>74.527156536802707</v>
      </c>
      <c r="AK6240">
        <v>11.434231199738001</v>
      </c>
      <c r="AL6240">
        <v>86.444049350535394</v>
      </c>
      <c r="AM6240">
        <v>81.580349288194199</v>
      </c>
      <c r="AN6240">
        <v>0.99999996918031098</v>
      </c>
    </row>
    <row r="6241" spans="1:40" x14ac:dyDescent="0.25">
      <c r="A6241" t="str">
        <f>"20190312151440437"</f>
        <v>20190312151440437</v>
      </c>
      <c r="B6241" t="str">
        <f>"1552374880426649"</f>
        <v>1552374880426649</v>
      </c>
      <c r="C6241" t="s">
        <v>40</v>
      </c>
      <c r="D6241">
        <v>4.3958309999999896</v>
      </c>
      <c r="E6241">
        <v>0.5445449</v>
      </c>
      <c r="F6241" t="s">
        <v>42</v>
      </c>
      <c r="G6241">
        <v>-184.17850000000001</v>
      </c>
      <c r="H6241" s="1">
        <v>-4.4943259999999998E-6</v>
      </c>
      <c r="I6241">
        <v>107.702</v>
      </c>
      <c r="J6241">
        <v>-187.63570000000001</v>
      </c>
      <c r="K6241">
        <v>1.108136</v>
      </c>
      <c r="L6241">
        <v>96.921750000000003</v>
      </c>
      <c r="M6241">
        <v>3.8327159999999999E-2</v>
      </c>
      <c r="N6241">
        <v>0</v>
      </c>
      <c r="O6241">
        <v>0.99918399999999996</v>
      </c>
      <c r="P6241">
        <v>0.18512319999999999</v>
      </c>
      <c r="Q6241">
        <v>4.9873180000000003E-2</v>
      </c>
      <c r="R6241">
        <v>0.98144889999999996</v>
      </c>
      <c r="S6241">
        <v>0.90623469999999995</v>
      </c>
      <c r="T6241">
        <v>-0.28927599999999998</v>
      </c>
      <c r="U6241">
        <v>2.9019780000000002</v>
      </c>
      <c r="V6241">
        <v>0.14764949999999999</v>
      </c>
      <c r="W6241">
        <v>6.1792859999999998E-2</v>
      </c>
      <c r="X6241">
        <v>0.98710750000000003</v>
      </c>
      <c r="Y6241">
        <v>0.2599284</v>
      </c>
      <c r="Z6241">
        <v>-9.5134910000000003E-2</v>
      </c>
      <c r="AA6241">
        <v>0.96092999999999995</v>
      </c>
      <c r="AB6241">
        <v>32</v>
      </c>
      <c r="AC6241">
        <v>3.4571999999999998</v>
      </c>
      <c r="AD6241">
        <v>-1.108140494326</v>
      </c>
      <c r="AE6241">
        <v>10.780250000000001</v>
      </c>
      <c r="AF6241">
        <v>3.0125855033575402</v>
      </c>
      <c r="AG6241">
        <v>-1.108140494326</v>
      </c>
      <c r="AH6241">
        <v>10.8013540997667</v>
      </c>
      <c r="AI6241">
        <v>95.643707028670903</v>
      </c>
      <c r="AJ6241">
        <v>74.415781271888207</v>
      </c>
      <c r="AK6241">
        <v>11.268225111292001</v>
      </c>
      <c r="AL6241">
        <v>86.457272817022798</v>
      </c>
      <c r="AM6241">
        <v>81.492886345759402</v>
      </c>
      <c r="AN6241">
        <v>0.99999997447673905</v>
      </c>
    </row>
    <row r="6242" spans="1:40" x14ac:dyDescent="0.25">
      <c r="A6242" t="str">
        <f>"20190312151440461"</f>
        <v>20190312151440461</v>
      </c>
      <c r="B6242" t="str">
        <f>"1552374880456900"</f>
        <v>1552374880456900</v>
      </c>
      <c r="C6242" t="s">
        <v>40</v>
      </c>
      <c r="D6242">
        <v>4.4069599999999998</v>
      </c>
      <c r="E6242">
        <v>0.54474219999999995</v>
      </c>
      <c r="F6242" t="s">
        <v>42</v>
      </c>
      <c r="G6242">
        <v>-184.15950000000001</v>
      </c>
      <c r="H6242" s="1">
        <v>-4.577416E-6</v>
      </c>
      <c r="I6242">
        <v>107.8879</v>
      </c>
      <c r="J6242">
        <v>-187.62029999999999</v>
      </c>
      <c r="K6242">
        <v>1.108052</v>
      </c>
      <c r="L6242">
        <v>97.259799999999998</v>
      </c>
      <c r="M6242">
        <v>4.0819469999999997E-2</v>
      </c>
      <c r="N6242">
        <v>0</v>
      </c>
      <c r="O6242">
        <v>0.99908520000000001</v>
      </c>
      <c r="P6242">
        <v>0.18844</v>
      </c>
      <c r="Q6242">
        <v>5.0058640000000001E-2</v>
      </c>
      <c r="R6242">
        <v>0.98080809999999996</v>
      </c>
      <c r="S6242">
        <v>0.91874690000000003</v>
      </c>
      <c r="T6242">
        <v>-0.29287529999999901</v>
      </c>
      <c r="U6242">
        <v>2.898285</v>
      </c>
      <c r="V6242">
        <v>0.148539</v>
      </c>
      <c r="W6242">
        <v>6.194326E-2</v>
      </c>
      <c r="X6242">
        <v>0.98696459999999997</v>
      </c>
      <c r="Y6242">
        <v>0.26160830000000002</v>
      </c>
      <c r="Z6242">
        <v>-9.6326250000000002E-2</v>
      </c>
      <c r="AA6242">
        <v>0.96035530000000002</v>
      </c>
      <c r="AB6242">
        <v>32</v>
      </c>
      <c r="AC6242">
        <v>3.4607999999999701</v>
      </c>
      <c r="AD6242">
        <v>-1.1080565774160001</v>
      </c>
      <c r="AE6242">
        <v>10.6281</v>
      </c>
      <c r="AF6242">
        <v>2.9946167252026701</v>
      </c>
      <c r="AG6242">
        <v>-1.1080565774160001</v>
      </c>
      <c r="AH6242">
        <v>10.6557997361249</v>
      </c>
      <c r="AI6242">
        <v>95.716728255861696</v>
      </c>
      <c r="AJ6242">
        <v>74.302957581651299</v>
      </c>
      <c r="AK6242">
        <v>11.123919575672</v>
      </c>
      <c r="AL6242">
        <v>86.448638947035505</v>
      </c>
      <c r="AM6242">
        <v>81.441171965290394</v>
      </c>
      <c r="AN6242">
        <v>0.99999996181679296</v>
      </c>
    </row>
    <row r="6243" spans="1:40" x14ac:dyDescent="0.25">
      <c r="A6243" t="str">
        <f>"20190312151440483"</f>
        <v>20190312151440483</v>
      </c>
      <c r="B6243" t="str">
        <f>"1552374880476421"</f>
        <v>1552374880476421</v>
      </c>
      <c r="C6243" t="s">
        <v>40</v>
      </c>
      <c r="D6243">
        <v>4.4305089999999998</v>
      </c>
      <c r="E6243">
        <v>0.54482810000000004</v>
      </c>
      <c r="F6243" t="s">
        <v>42</v>
      </c>
      <c r="G6243">
        <v>-184.1533</v>
      </c>
      <c r="H6243" s="1">
        <v>-4.6483360000000002E-6</v>
      </c>
      <c r="I6243">
        <v>108.0506</v>
      </c>
      <c r="J6243">
        <v>-187.6046</v>
      </c>
      <c r="K6243">
        <v>1.1079699999999999</v>
      </c>
      <c r="L6243">
        <v>97.582700000000003</v>
      </c>
      <c r="M6243">
        <v>4.3280470000000001E-2</v>
      </c>
      <c r="N6243">
        <v>0</v>
      </c>
      <c r="O6243">
        <v>0.99898160000000003</v>
      </c>
      <c r="P6243">
        <v>0.1916757</v>
      </c>
      <c r="Q6243">
        <v>5.056621E-2</v>
      </c>
      <c r="R6243">
        <v>0.98015479999999999</v>
      </c>
      <c r="S6243">
        <v>0.93019099999999999</v>
      </c>
      <c r="T6243">
        <v>-0.29729090000000002</v>
      </c>
      <c r="U6243">
        <v>2.8951720000000001</v>
      </c>
      <c r="V6243">
        <v>0.14938100000000001</v>
      </c>
      <c r="W6243">
        <v>6.2417269999999997E-2</v>
      </c>
      <c r="X6243">
        <v>0.98680769999999995</v>
      </c>
      <c r="Y6243">
        <v>0.26293070000000002</v>
      </c>
      <c r="Z6243">
        <v>-9.7773449999999998E-2</v>
      </c>
      <c r="AA6243">
        <v>0.95984780000000003</v>
      </c>
      <c r="AB6243">
        <v>32</v>
      </c>
      <c r="AC6243">
        <v>3.4512999999999998</v>
      </c>
      <c r="AD6243">
        <v>-1.107974648336</v>
      </c>
      <c r="AE6243">
        <v>10.4679</v>
      </c>
      <c r="AF6243">
        <v>2.9650123540311299</v>
      </c>
      <c r="AG6243">
        <v>-1.107974648336</v>
      </c>
      <c r="AH6243">
        <v>10.5013621506241</v>
      </c>
      <c r="AI6243">
        <v>95.797831054586993</v>
      </c>
      <c r="AJ6243">
        <v>74.233212291145307</v>
      </c>
      <c r="AK6243">
        <v>10.968022296634601</v>
      </c>
      <c r="AL6243">
        <v>86.421427717890097</v>
      </c>
      <c r="AM6243">
        <v>81.392032462097902</v>
      </c>
      <c r="AN6243">
        <v>1.0000000177672701</v>
      </c>
    </row>
    <row r="6244" spans="1:40" x14ac:dyDescent="0.25">
      <c r="A6244" t="str">
        <f>"20190312151440504"</f>
        <v>20190312151440504</v>
      </c>
      <c r="B6244" t="str">
        <f>"1552374880496917"</f>
        <v>1552374880496917</v>
      </c>
      <c r="C6244" t="s">
        <v>40</v>
      </c>
      <c r="D6244">
        <v>4.4654850000000001</v>
      </c>
      <c r="E6244">
        <v>0.5449446</v>
      </c>
      <c r="F6244" t="s">
        <v>42</v>
      </c>
      <c r="G6244">
        <v>-184.1138</v>
      </c>
      <c r="H6244" s="1">
        <v>-4.7667030000000003E-6</v>
      </c>
      <c r="I6244">
        <v>108.31019999999999</v>
      </c>
      <c r="J6244">
        <v>-187.58930000000001</v>
      </c>
      <c r="K6244">
        <v>1.107898</v>
      </c>
      <c r="L6244">
        <v>97.882140000000007</v>
      </c>
      <c r="M6244">
        <v>4.5627279999999999E-2</v>
      </c>
      <c r="N6244">
        <v>0</v>
      </c>
      <c r="O6244">
        <v>0.99887709999999996</v>
      </c>
      <c r="P6244">
        <v>0.1946503</v>
      </c>
      <c r="Q6244">
        <v>5.0802600000000003E-2</v>
      </c>
      <c r="R6244">
        <v>0.97955619999999999</v>
      </c>
      <c r="S6244">
        <v>0.94110110000000002</v>
      </c>
      <c r="T6244">
        <v>-0.29870760000000002</v>
      </c>
      <c r="U6244">
        <v>2.8921199999999998</v>
      </c>
      <c r="V6244">
        <v>0.15007110000000001</v>
      </c>
      <c r="W6244">
        <v>6.2625710000000001E-2</v>
      </c>
      <c r="X6244">
        <v>0.9866897</v>
      </c>
      <c r="Y6244">
        <v>0.26422319999999999</v>
      </c>
      <c r="Z6244">
        <v>-9.8244129999999999E-2</v>
      </c>
      <c r="AA6244">
        <v>0.95944479999999999</v>
      </c>
      <c r="AB6244">
        <v>32</v>
      </c>
      <c r="AC6244">
        <v>3.47550000000001</v>
      </c>
      <c r="AD6244">
        <v>-1.1079027667029999</v>
      </c>
      <c r="AE6244">
        <v>10.428059999999901</v>
      </c>
      <c r="AF6244">
        <v>2.9659063728628499</v>
      </c>
      <c r="AG6244">
        <v>-1.1079027667029999</v>
      </c>
      <c r="AH6244">
        <v>10.469429142805099</v>
      </c>
      <c r="AI6244">
        <v>95.8135880186029</v>
      </c>
      <c r="AJ6244">
        <v>74.182993996834497</v>
      </c>
      <c r="AK6244">
        <v>10.9376869460263</v>
      </c>
      <c r="AL6244">
        <v>86.409461293513303</v>
      </c>
      <c r="AM6244">
        <v>81.351847228510593</v>
      </c>
      <c r="AN6244">
        <v>0.99999993934715004</v>
      </c>
    </row>
    <row r="6245" spans="1:40" x14ac:dyDescent="0.25">
      <c r="A6245" t="str">
        <f>"20190312151440527"</f>
        <v>20190312151440527</v>
      </c>
      <c r="B6245" t="str">
        <f>"1552374880516437"</f>
        <v>1552374880516437</v>
      </c>
      <c r="C6245" t="s">
        <v>40</v>
      </c>
      <c r="D6245">
        <v>4.4688699999999999</v>
      </c>
      <c r="E6245">
        <v>0.54505729999999997</v>
      </c>
      <c r="F6245" t="s">
        <v>42</v>
      </c>
      <c r="G6245">
        <v>-184.08629999999999</v>
      </c>
      <c r="H6245" s="1">
        <v>-4.8630739999999998E-6</v>
      </c>
      <c r="I6245">
        <v>108.5235</v>
      </c>
      <c r="J6245">
        <v>-187.572</v>
      </c>
      <c r="K6245">
        <v>1.1078300000000001</v>
      </c>
      <c r="L6245">
        <v>98.204040000000006</v>
      </c>
      <c r="M6245">
        <v>4.821371E-2</v>
      </c>
      <c r="N6245">
        <v>0</v>
      </c>
      <c r="O6245">
        <v>0.99875559999999997</v>
      </c>
      <c r="P6245">
        <v>0.19830239999999999</v>
      </c>
      <c r="Q6245">
        <v>5.061483E-2</v>
      </c>
      <c r="R6245">
        <v>0.97883310000000001</v>
      </c>
      <c r="S6245">
        <v>0.95108029999999999</v>
      </c>
      <c r="T6245">
        <v>-0.30080499999999999</v>
      </c>
      <c r="U6245">
        <v>2.889221</v>
      </c>
      <c r="V6245">
        <v>0.1512059</v>
      </c>
      <c r="W6245">
        <v>6.2406320000000001E-2</v>
      </c>
      <c r="X6245">
        <v>0.98653040000000003</v>
      </c>
      <c r="Y6245">
        <v>0.26498139999999998</v>
      </c>
      <c r="Z6245">
        <v>-9.8940429999999996E-2</v>
      </c>
      <c r="AA6245">
        <v>0.95916400000000002</v>
      </c>
      <c r="AB6245">
        <v>32</v>
      </c>
      <c r="AC6245">
        <v>3.4857</v>
      </c>
      <c r="AD6245">
        <v>-1.10783486307399</v>
      </c>
      <c r="AE6245">
        <v>10.3194599999999</v>
      </c>
      <c r="AF6245">
        <v>2.9535127661977398</v>
      </c>
      <c r="AG6245">
        <v>-1.10783486307399</v>
      </c>
      <c r="AH6245">
        <v>10.368273456605101</v>
      </c>
      <c r="AI6245">
        <v>95.867152854405603</v>
      </c>
      <c r="AJ6245">
        <v>74.099834501098996</v>
      </c>
      <c r="AK6245">
        <v>10.837510332861401</v>
      </c>
      <c r="AL6245">
        <v>86.422056274049297</v>
      </c>
      <c r="AM6245">
        <v>81.286066565557107</v>
      </c>
      <c r="AN6245">
        <v>1.0000000015474499</v>
      </c>
    </row>
    <row r="6246" spans="1:40" x14ac:dyDescent="0.25">
      <c r="A6246" t="str">
        <f>"20190312151440547"</f>
        <v>20190312151440547</v>
      </c>
      <c r="B6246" t="str">
        <f>"1552374880536933"</f>
        <v>1552374880536933</v>
      </c>
      <c r="C6246" t="s">
        <v>40</v>
      </c>
      <c r="D6246">
        <v>4.4977150000000004</v>
      </c>
      <c r="E6246">
        <v>0.54516319999999996</v>
      </c>
      <c r="F6246" t="s">
        <v>42</v>
      </c>
      <c r="G6246">
        <v>-184.07810000000001</v>
      </c>
      <c r="H6246" s="1">
        <v>-4.931839E-6</v>
      </c>
      <c r="I6246">
        <v>108.68040000000001</v>
      </c>
      <c r="J6246">
        <v>-187.55449999999999</v>
      </c>
      <c r="K6246">
        <v>1.107769</v>
      </c>
      <c r="L6246">
        <v>98.512180000000001</v>
      </c>
      <c r="M6246">
        <v>5.074828E-2</v>
      </c>
      <c r="N6246">
        <v>0</v>
      </c>
      <c r="O6246">
        <v>0.99863000000000002</v>
      </c>
      <c r="P6246">
        <v>0.2020526</v>
      </c>
      <c r="Q6246">
        <v>5.0144769999999998E-2</v>
      </c>
      <c r="R6246">
        <v>0.97809009999999996</v>
      </c>
      <c r="S6246">
        <v>0.96238710000000005</v>
      </c>
      <c r="T6246">
        <v>-0.30515049999999999</v>
      </c>
      <c r="U6246">
        <v>2.8856809999999999</v>
      </c>
      <c r="V6246">
        <v>0.15248919999999999</v>
      </c>
      <c r="W6246">
        <v>6.190756E-2</v>
      </c>
      <c r="X6246">
        <v>0.98636429999999997</v>
      </c>
      <c r="Y6246">
        <v>0.266225299999999</v>
      </c>
      <c r="Z6246">
        <v>-0.1003744</v>
      </c>
      <c r="AA6246">
        <v>0.95867049999999998</v>
      </c>
      <c r="AB6246">
        <v>32</v>
      </c>
      <c r="AC6246">
        <v>3.47639999999998</v>
      </c>
      <c r="AD6246">
        <v>-1.1077739318390001</v>
      </c>
      <c r="AE6246">
        <v>10.16822</v>
      </c>
      <c r="AF6246">
        <v>2.9247771329987802</v>
      </c>
      <c r="AG6246">
        <v>-1.1077739318390001</v>
      </c>
      <c r="AH6246">
        <v>10.222914599183699</v>
      </c>
      <c r="AI6246">
        <v>95.947725830674997</v>
      </c>
      <c r="AJ6246">
        <v>74.034167730761396</v>
      </c>
      <c r="AK6246">
        <v>10.690625204541499</v>
      </c>
      <c r="AL6246">
        <v>86.450688536530805</v>
      </c>
      <c r="AM6246">
        <v>81.211803340528405</v>
      </c>
      <c r="AN6246">
        <v>1.00000001720814</v>
      </c>
    </row>
    <row r="6247" spans="1:40" x14ac:dyDescent="0.25">
      <c r="A6247" t="str">
        <f>"20190312151440570"</f>
        <v>20190312151440570</v>
      </c>
      <c r="B6247" t="str">
        <f>"1552374880566212"</f>
        <v>1552374880566212</v>
      </c>
      <c r="C6247" t="s">
        <v>40</v>
      </c>
      <c r="D6247">
        <v>4.5442159999999996</v>
      </c>
      <c r="E6247">
        <v>0.54532819999999904</v>
      </c>
      <c r="F6247" t="s">
        <v>42</v>
      </c>
      <c r="G6247">
        <v>-184.06659999999999</v>
      </c>
      <c r="H6247" s="1">
        <v>-4.9957649999999998E-6</v>
      </c>
      <c r="I6247">
        <v>108.8246</v>
      </c>
      <c r="J6247">
        <v>-187.53569999999999</v>
      </c>
      <c r="K6247">
        <v>1.107712</v>
      </c>
      <c r="L6247">
        <v>98.827910000000003</v>
      </c>
      <c r="M6247">
        <v>5.3390609999999998E-2</v>
      </c>
      <c r="N6247">
        <v>0</v>
      </c>
      <c r="O6247">
        <v>0.99849219999999905</v>
      </c>
      <c r="P6247">
        <v>0.2059453</v>
      </c>
      <c r="Q6247">
        <v>4.9795249999999999E-2</v>
      </c>
      <c r="R6247">
        <v>0.97729580000000005</v>
      </c>
      <c r="S6247">
        <v>0.97467040000000005</v>
      </c>
      <c r="T6247">
        <v>-0.30955650000000001</v>
      </c>
      <c r="U6247">
        <v>2.8817140000000001</v>
      </c>
      <c r="V6247">
        <v>0.1538118</v>
      </c>
      <c r="W6247">
        <v>6.153206E-2</v>
      </c>
      <c r="X6247">
        <v>0.98618240000000001</v>
      </c>
      <c r="Y6247">
        <v>0.26769579999999998</v>
      </c>
      <c r="Z6247">
        <v>-0.1018307</v>
      </c>
      <c r="AA6247">
        <v>0.95810720000000005</v>
      </c>
      <c r="AB6247">
        <v>32</v>
      </c>
      <c r="AC6247">
        <v>3.4690999999999899</v>
      </c>
      <c r="AD6247">
        <v>-1.1077169957649999</v>
      </c>
      <c r="AE6247">
        <v>9.9966899999999992</v>
      </c>
      <c r="AF6247">
        <v>2.8986131692041202</v>
      </c>
      <c r="AG6247">
        <v>-1.1077169957649999</v>
      </c>
      <c r="AH6247">
        <v>10.057444633663</v>
      </c>
      <c r="AI6247">
        <v>96.0412031832266</v>
      </c>
      <c r="AJ6247">
        <v>73.922715433432899</v>
      </c>
      <c r="AK6247">
        <v>10.5252642630286</v>
      </c>
      <c r="AL6247">
        <v>86.472244119114393</v>
      </c>
      <c r="AM6247">
        <v>81.135176066155495</v>
      </c>
      <c r="AN6247">
        <v>0.99999999514842097</v>
      </c>
    </row>
    <row r="6248" spans="1:40" x14ac:dyDescent="0.25">
      <c r="A6248" t="str">
        <f>"20190312151440593"</f>
        <v>20190312151440593</v>
      </c>
      <c r="B6248" t="str">
        <f>"1552374880586709"</f>
        <v>1552374880586709</v>
      </c>
      <c r="C6248" t="s">
        <v>40</v>
      </c>
      <c r="D6248">
        <v>4.5708919999999997</v>
      </c>
      <c r="E6248">
        <v>0.54544289999999995</v>
      </c>
      <c r="F6248" t="s">
        <v>42</v>
      </c>
      <c r="G6248">
        <v>-184.07419999999999</v>
      </c>
      <c r="H6248" s="1">
        <v>-5.0316960000000004E-6</v>
      </c>
      <c r="I6248">
        <v>108.9115</v>
      </c>
      <c r="J6248">
        <v>-187.5147</v>
      </c>
      <c r="K6248">
        <v>1.107666</v>
      </c>
      <c r="L6248">
        <v>99.165559999999999</v>
      </c>
      <c r="M6248">
        <v>5.626196E-2</v>
      </c>
      <c r="N6248">
        <v>0</v>
      </c>
      <c r="O6248">
        <v>0.99833450000000001</v>
      </c>
      <c r="P6248">
        <v>0.20974619999999999</v>
      </c>
      <c r="Q6248">
        <v>5.0062200000000001E-2</v>
      </c>
      <c r="R6248">
        <v>0.97647340000000005</v>
      </c>
      <c r="S6248">
        <v>0.98785400000000001</v>
      </c>
      <c r="T6248">
        <v>-0.31611610000000001</v>
      </c>
      <c r="U6248">
        <v>2.8776250000000001</v>
      </c>
      <c r="V6248">
        <v>0.15482209999999999</v>
      </c>
      <c r="W6248">
        <v>6.1775730000000001E-2</v>
      </c>
      <c r="X6248">
        <v>0.98600909999999997</v>
      </c>
      <c r="Y6248">
        <v>0.26919920000000003</v>
      </c>
      <c r="Z6248">
        <v>-0.1039819</v>
      </c>
      <c r="AA6248">
        <v>0.95745469999999999</v>
      </c>
      <c r="AB6248">
        <v>32</v>
      </c>
      <c r="AC6248">
        <v>3.4405000000000099</v>
      </c>
      <c r="AD6248">
        <v>-1.1076710316959999</v>
      </c>
      <c r="AE6248">
        <v>9.7459399999999992</v>
      </c>
      <c r="AF6248">
        <v>2.85389938643271</v>
      </c>
      <c r="AG6248">
        <v>-1.1076710316959999</v>
      </c>
      <c r="AH6248">
        <v>9.8113920571259197</v>
      </c>
      <c r="AI6248">
        <v>96.1869077303121</v>
      </c>
      <c r="AJ6248">
        <v>73.781549454462507</v>
      </c>
      <c r="AK6248">
        <v>10.277893311422</v>
      </c>
      <c r="AL6248">
        <v>86.458256384838194</v>
      </c>
      <c r="AM6248">
        <v>81.0763390713756</v>
      </c>
      <c r="AN6248">
        <v>1.00000003437412</v>
      </c>
    </row>
    <row r="6249" spans="1:40" x14ac:dyDescent="0.25">
      <c r="A6249" t="str">
        <f>"20190312151440615"</f>
        <v>20190312151440615</v>
      </c>
      <c r="B6249" t="str">
        <f>"1552374880607205"</f>
        <v>1552374880607205</v>
      </c>
      <c r="C6249" t="s">
        <v>40</v>
      </c>
      <c r="D6249">
        <v>4.5821740000000002</v>
      </c>
      <c r="E6249">
        <v>0.54555959999999903</v>
      </c>
      <c r="F6249" t="s">
        <v>42</v>
      </c>
      <c r="G6249">
        <v>-184.03960000000001</v>
      </c>
      <c r="H6249" s="1">
        <v>-5.14091E-6</v>
      </c>
      <c r="I6249">
        <v>109.15179999999999</v>
      </c>
      <c r="J6249">
        <v>-187.4941</v>
      </c>
      <c r="K6249">
        <v>1.1076319999999999</v>
      </c>
      <c r="L6249">
        <v>99.481080000000006</v>
      </c>
      <c r="M6249">
        <v>5.8982439999999997E-2</v>
      </c>
      <c r="N6249">
        <v>0</v>
      </c>
      <c r="O6249">
        <v>0.99817750000000005</v>
      </c>
      <c r="P6249">
        <v>0.2137984</v>
      </c>
      <c r="Q6249">
        <v>5.0008789999999997E-2</v>
      </c>
      <c r="R6249">
        <v>0.97559689999999999</v>
      </c>
      <c r="S6249">
        <v>1.0000610000000001</v>
      </c>
      <c r="T6249">
        <v>-0.31876169999999998</v>
      </c>
      <c r="U6249">
        <v>2.8738100000000002</v>
      </c>
      <c r="V6249">
        <v>0.1562345</v>
      </c>
      <c r="W6249">
        <v>6.1698629999999997E-2</v>
      </c>
      <c r="X6249">
        <v>0.98579110000000003</v>
      </c>
      <c r="Y6249">
        <v>0.27056819999999998</v>
      </c>
      <c r="Z6249">
        <v>-0.10485700000000001</v>
      </c>
      <c r="AA6249">
        <v>0.95697330000000003</v>
      </c>
      <c r="AB6249">
        <v>32</v>
      </c>
      <c r="AC6249">
        <v>3.4544999999999901</v>
      </c>
      <c r="AD6249">
        <v>-1.1076371409100001</v>
      </c>
      <c r="AE6249">
        <v>9.6707199999999798</v>
      </c>
      <c r="AF6249">
        <v>2.8449382408165902</v>
      </c>
      <c r="AG6249">
        <v>-1.1076371409100001</v>
      </c>
      <c r="AH6249">
        <v>9.7442889125058194</v>
      </c>
      <c r="AI6249">
        <v>96.227192114742905</v>
      </c>
      <c r="AJ6249">
        <v>73.724330970535902</v>
      </c>
      <c r="AK6249">
        <v>10.2113515285865</v>
      </c>
      <c r="AL6249">
        <v>86.462682268334902</v>
      </c>
      <c r="AM6249">
        <v>80.994300204134106</v>
      </c>
      <c r="AN6249">
        <v>1.00000001638666</v>
      </c>
    </row>
    <row r="6250" spans="1:40" x14ac:dyDescent="0.25">
      <c r="A6250" t="str">
        <f>"20190312151440636"</f>
        <v>20190312151440636</v>
      </c>
      <c r="B6250" t="str">
        <f>"1552374880626728"</f>
        <v>1552374880626728</v>
      </c>
      <c r="C6250" t="s">
        <v>40</v>
      </c>
      <c r="D6250">
        <v>4.574738</v>
      </c>
      <c r="E6250">
        <v>0.54562860000000002</v>
      </c>
      <c r="F6250" t="s">
        <v>42</v>
      </c>
      <c r="G6250">
        <v>-184.0059</v>
      </c>
      <c r="H6250" s="1">
        <v>-5.2368670000000004E-6</v>
      </c>
      <c r="I6250">
        <v>109.3616</v>
      </c>
      <c r="J6250">
        <v>-187.47300000000001</v>
      </c>
      <c r="K6250">
        <v>1.1076010000000001</v>
      </c>
      <c r="L6250">
        <v>99.791929999999994</v>
      </c>
      <c r="M6250">
        <v>6.1694869999999999E-2</v>
      </c>
      <c r="N6250">
        <v>0</v>
      </c>
      <c r="O6250">
        <v>0.9980135</v>
      </c>
      <c r="P6250">
        <v>0.21703159999999999</v>
      </c>
      <c r="Q6250">
        <v>5.0543440000000002E-2</v>
      </c>
      <c r="R6250">
        <v>0.97485520000000003</v>
      </c>
      <c r="S6250">
        <v>1.0130619999999999</v>
      </c>
      <c r="T6250">
        <v>-0.32168160000000001</v>
      </c>
      <c r="U6250">
        <v>2.869507</v>
      </c>
      <c r="V6250">
        <v>0.1568338</v>
      </c>
      <c r="W6250">
        <v>6.2216439999999998E-2</v>
      </c>
      <c r="X6250">
        <v>0.98566339999999997</v>
      </c>
      <c r="Y6250">
        <v>0.27222479999999999</v>
      </c>
      <c r="Z6250">
        <v>-0.1058268</v>
      </c>
      <c r="AA6250">
        <v>0.95639660000000004</v>
      </c>
      <c r="AB6250">
        <v>32</v>
      </c>
      <c r="AC6250">
        <v>3.4670999999999799</v>
      </c>
      <c r="AD6250">
        <v>-1.1076062368670001</v>
      </c>
      <c r="AE6250">
        <v>9.5696699999999808</v>
      </c>
      <c r="AF6250">
        <v>2.8364582271135501</v>
      </c>
      <c r="AG6250">
        <v>-1.1076062368670001</v>
      </c>
      <c r="AH6250">
        <v>9.6510720483058297</v>
      </c>
      <c r="AI6250">
        <v>96.283420106737793</v>
      </c>
      <c r="AJ6250">
        <v>73.621893196162802</v>
      </c>
      <c r="AK6250">
        <v>10.1200532869988</v>
      </c>
      <c r="AL6250">
        <v>86.432956888335696</v>
      </c>
      <c r="AM6250">
        <v>80.959172775363697</v>
      </c>
      <c r="AN6250">
        <v>1.00000003216413</v>
      </c>
    </row>
    <row r="6251" spans="1:40" x14ac:dyDescent="0.25">
      <c r="A6251" t="str">
        <f>"20190312151440661"</f>
        <v>20190312151440661</v>
      </c>
      <c r="B6251" t="str">
        <f>"1552374880656981"</f>
        <v>1552374880656981</v>
      </c>
      <c r="C6251" t="s">
        <v>40</v>
      </c>
      <c r="D6251">
        <v>4.6587360000000002</v>
      </c>
      <c r="E6251">
        <v>0.54570699999999905</v>
      </c>
      <c r="F6251" t="s">
        <v>42</v>
      </c>
      <c r="G6251">
        <v>-183.9633</v>
      </c>
      <c r="H6251" s="1">
        <v>-1.596872E-6</v>
      </c>
      <c r="I6251">
        <v>109.6206</v>
      </c>
      <c r="J6251">
        <v>-187.44810000000001</v>
      </c>
      <c r="K6251">
        <v>1.1075660000000001</v>
      </c>
      <c r="L6251">
        <v>100.14409999999999</v>
      </c>
      <c r="M6251">
        <v>6.4802029999999997E-2</v>
      </c>
      <c r="N6251">
        <v>0</v>
      </c>
      <c r="O6251">
        <v>0.9978165</v>
      </c>
      <c r="P6251">
        <v>0.22100980000000001</v>
      </c>
      <c r="Q6251">
        <v>5.0681230000000001E-2</v>
      </c>
      <c r="R6251">
        <v>0.97395379999999998</v>
      </c>
      <c r="S6251">
        <v>1.023514</v>
      </c>
      <c r="T6251">
        <v>-0.32300250000000003</v>
      </c>
      <c r="U6251">
        <v>2.8662719999999999</v>
      </c>
      <c r="V6251">
        <v>0.1577963</v>
      </c>
      <c r="W6251">
        <v>6.2333979999999997E-2</v>
      </c>
      <c r="X6251">
        <v>0.98550230000000005</v>
      </c>
      <c r="Y6251">
        <v>0.27265009999999901</v>
      </c>
      <c r="Z6251">
        <v>-0.1062675</v>
      </c>
      <c r="AA6251">
        <v>0.95622649999999998</v>
      </c>
      <c r="AB6251">
        <v>32</v>
      </c>
      <c r="AC6251">
        <v>3.4847999999999999</v>
      </c>
      <c r="AD6251">
        <v>-1.107567596872</v>
      </c>
      <c r="AE6251">
        <v>9.4764999999999997</v>
      </c>
      <c r="AF6251">
        <v>2.8292839110018999</v>
      </c>
      <c r="AG6251">
        <v>-1.107567596872</v>
      </c>
      <c r="AH6251">
        <v>9.5672987643671199</v>
      </c>
      <c r="AI6251">
        <v>96.334665382209295</v>
      </c>
      <c r="AJ6251">
        <v>73.525764798415295</v>
      </c>
      <c r="AK6251">
        <v>10.0381651250293</v>
      </c>
      <c r="AL6251">
        <v>86.426209095856805</v>
      </c>
      <c r="AM6251">
        <v>80.903151309501297</v>
      </c>
      <c r="AN6251">
        <v>0.99999999033081</v>
      </c>
    </row>
    <row r="6252" spans="1:40" x14ac:dyDescent="0.25">
      <c r="A6252" t="str">
        <f>"20190312151440684"</f>
        <v>20190312151440684</v>
      </c>
      <c r="B6252" t="str">
        <f>"1552374880676501"</f>
        <v>1552374880676501</v>
      </c>
      <c r="C6252" t="s">
        <v>40</v>
      </c>
      <c r="D6252">
        <v>4.6866459999999996</v>
      </c>
      <c r="E6252">
        <v>0.54739930000000003</v>
      </c>
      <c r="F6252" t="s">
        <v>42</v>
      </c>
      <c r="G6252">
        <v>-183.9222</v>
      </c>
      <c r="H6252" s="1">
        <v>-1.696731E-6</v>
      </c>
      <c r="I6252">
        <v>109.8819</v>
      </c>
      <c r="J6252">
        <v>-187.42359999999999</v>
      </c>
      <c r="K6252">
        <v>1.1075360000000001</v>
      </c>
      <c r="L6252">
        <v>100.4747</v>
      </c>
      <c r="M6252">
        <v>6.774529E-2</v>
      </c>
      <c r="N6252">
        <v>0</v>
      </c>
      <c r="O6252">
        <v>0.99762099999999998</v>
      </c>
      <c r="P6252">
        <v>0.2241262</v>
      </c>
      <c r="Q6252">
        <v>5.0132870000000003E-2</v>
      </c>
      <c r="R6252">
        <v>0.97326979999999996</v>
      </c>
      <c r="S6252">
        <v>1.0362849999999999</v>
      </c>
      <c r="T6252">
        <v>-0.32552429999999999</v>
      </c>
      <c r="U6252">
        <v>2.8620299999999999</v>
      </c>
      <c r="V6252">
        <v>0.15804299999999999</v>
      </c>
      <c r="W6252">
        <v>6.1773349999999998E-2</v>
      </c>
      <c r="X6252">
        <v>0.98549810000000004</v>
      </c>
      <c r="Y6252">
        <v>0.27400940000000001</v>
      </c>
      <c r="Z6252">
        <v>-0.10710459999999999</v>
      </c>
      <c r="AA6252">
        <v>0.95574440000000005</v>
      </c>
      <c r="AB6252">
        <v>32</v>
      </c>
      <c r="AC6252">
        <v>3.5013999999999799</v>
      </c>
      <c r="AD6252">
        <v>-1.107537696731</v>
      </c>
      <c r="AE6252">
        <v>9.4071999999999996</v>
      </c>
      <c r="AF6252">
        <v>2.82165719497945</v>
      </c>
      <c r="AG6252">
        <v>-1.107537696731</v>
      </c>
      <c r="AH6252">
        <v>9.5070641974340795</v>
      </c>
      <c r="AI6252">
        <v>96.372455845155898</v>
      </c>
      <c r="AJ6252">
        <v>73.469329903995003</v>
      </c>
      <c r="AK6252">
        <v>9.9786100600129899</v>
      </c>
      <c r="AL6252">
        <v>86.458392961806894</v>
      </c>
      <c r="AM6252">
        <v>80.889129396648002</v>
      </c>
      <c r="AN6252">
        <v>1.0000000208614099</v>
      </c>
    </row>
    <row r="6253" spans="1:40" x14ac:dyDescent="0.25">
      <c r="A6253" t="str">
        <f>"20190312151440703"</f>
        <v>20190312151440703</v>
      </c>
      <c r="B6253" t="str">
        <f>"1552374880696997"</f>
        <v>1552374880696997</v>
      </c>
      <c r="C6253" t="s">
        <v>40</v>
      </c>
      <c r="D6253">
        <v>4.7148250000000003</v>
      </c>
      <c r="E6253">
        <v>0.54739079999999996</v>
      </c>
      <c r="F6253" t="s">
        <v>42</v>
      </c>
      <c r="G6253">
        <v>-184.51300000000001</v>
      </c>
      <c r="H6253" s="1">
        <v>-4.6953389999999998E-6</v>
      </c>
      <c r="I6253">
        <v>108.30889999999999</v>
      </c>
      <c r="J6253">
        <v>-187.40170000000001</v>
      </c>
      <c r="K6253">
        <v>1.1075079999999999</v>
      </c>
      <c r="L6253">
        <v>100.7581</v>
      </c>
      <c r="M6253">
        <v>7.0287089999999997E-2</v>
      </c>
      <c r="N6253">
        <v>0</v>
      </c>
      <c r="O6253">
        <v>0.99744520000000003</v>
      </c>
      <c r="P6253">
        <v>0.22693930000000001</v>
      </c>
      <c r="Q6253">
        <v>4.968815E-2</v>
      </c>
      <c r="R6253">
        <v>0.97264059999999997</v>
      </c>
      <c r="S6253">
        <v>1.0620270000000001</v>
      </c>
      <c r="T6253">
        <v>-0.40412949999999997</v>
      </c>
      <c r="U6253">
        <v>2.8586429999999998</v>
      </c>
      <c r="V6253">
        <v>0.1583803</v>
      </c>
      <c r="W6253">
        <v>6.1318829999999998E-2</v>
      </c>
      <c r="X6253">
        <v>0.98547229999999997</v>
      </c>
      <c r="Y6253">
        <v>0.27844340000000001</v>
      </c>
      <c r="Z6253">
        <v>-0.13236829999999999</v>
      </c>
      <c r="AA6253">
        <v>0.95128749999999995</v>
      </c>
      <c r="AB6253">
        <v>32</v>
      </c>
      <c r="AC6253">
        <v>2.8887</v>
      </c>
      <c r="AD6253">
        <v>-1.107512695339</v>
      </c>
      <c r="AE6253">
        <v>7.55079999999999</v>
      </c>
      <c r="AF6253">
        <v>2.3074834019347099</v>
      </c>
      <c r="AG6253">
        <v>-1.107512695339</v>
      </c>
      <c r="AH6253">
        <v>7.5926865402838404</v>
      </c>
      <c r="AI6253">
        <v>97.945051158279995</v>
      </c>
      <c r="AJ6253">
        <v>73.095517525367001</v>
      </c>
      <c r="AK6253">
        <v>8.0124873116622606</v>
      </c>
      <c r="AL6253">
        <v>86.484484380436498</v>
      </c>
      <c r="AM6253">
        <v>80.869776860803498</v>
      </c>
      <c r="AN6253">
        <v>0.99999998620397401</v>
      </c>
    </row>
    <row r="6254" spans="1:40" x14ac:dyDescent="0.25">
      <c r="A6254" t="str">
        <f>"20190312151440727"</f>
        <v>20190312151440727</v>
      </c>
      <c r="B6254" t="str">
        <f>"1552374880716517"</f>
        <v>1552374880716517</v>
      </c>
      <c r="C6254" t="s">
        <v>40</v>
      </c>
      <c r="D6254">
        <v>4.696815</v>
      </c>
      <c r="E6254">
        <v>0.54730400000000001</v>
      </c>
      <c r="F6254" t="s">
        <v>42</v>
      </c>
      <c r="G6254">
        <v>-184.47819999999999</v>
      </c>
      <c r="H6254" s="1">
        <v>-4.8079710000000002E-6</v>
      </c>
      <c r="I6254">
        <v>108.55710000000001</v>
      </c>
      <c r="J6254">
        <v>-187.37569999999999</v>
      </c>
      <c r="K6254">
        <v>1.107486</v>
      </c>
      <c r="L6254">
        <v>101.08450000000001</v>
      </c>
      <c r="M6254">
        <v>7.3229009999999997E-2</v>
      </c>
      <c r="N6254">
        <v>0</v>
      </c>
      <c r="O6254">
        <v>0.99723349999999999</v>
      </c>
      <c r="P6254">
        <v>0.23008700000000001</v>
      </c>
      <c r="Q6254">
        <v>4.9273289999999997E-2</v>
      </c>
      <c r="R6254">
        <v>0.97192190000000001</v>
      </c>
      <c r="S6254">
        <v>1.0703579999999999</v>
      </c>
      <c r="T6254">
        <v>-0.40547919999999998</v>
      </c>
      <c r="U6254">
        <v>2.8553470000000001</v>
      </c>
      <c r="V6254">
        <v>0.15866279999999999</v>
      </c>
      <c r="W6254">
        <v>6.0895249999999998E-2</v>
      </c>
      <c r="X6254">
        <v>0.98545309999999997</v>
      </c>
      <c r="Y6254">
        <v>0.2783852</v>
      </c>
      <c r="Z6254">
        <v>-0.1328377</v>
      </c>
      <c r="AA6254">
        <v>0.9512391</v>
      </c>
      <c r="AB6254">
        <v>32</v>
      </c>
      <c r="AC6254">
        <v>2.8975</v>
      </c>
      <c r="AD6254">
        <v>-1.107490807971</v>
      </c>
      <c r="AE6254">
        <v>7.4725999999999999</v>
      </c>
      <c r="AF6254">
        <v>2.2985737536937001</v>
      </c>
      <c r="AG6254">
        <v>-1.107490807971</v>
      </c>
      <c r="AH6254">
        <v>7.5211207227453896</v>
      </c>
      <c r="AI6254">
        <v>98.015748102422705</v>
      </c>
      <c r="AJ6254">
        <v>73.006016783859593</v>
      </c>
      <c r="AK6254">
        <v>7.9421177350263497</v>
      </c>
      <c r="AL6254">
        <v>86.508799088429598</v>
      </c>
      <c r="AM6254">
        <v>80.853591278589505</v>
      </c>
      <c r="AN6254">
        <v>0.99999996393800505</v>
      </c>
    </row>
    <row r="6255" spans="1:40" x14ac:dyDescent="0.25">
      <c r="A6255" t="str">
        <f>"20190312151440748"</f>
        <v>20190312151440748</v>
      </c>
      <c r="B6255" t="str">
        <f>"1552374880737013"</f>
        <v>1552374880737013</v>
      </c>
      <c r="C6255" t="s">
        <v>40</v>
      </c>
      <c r="D6255">
        <v>4.7035539999999996</v>
      </c>
      <c r="E6255">
        <v>0.54726629999999998</v>
      </c>
      <c r="F6255" t="s">
        <v>42</v>
      </c>
      <c r="G6255">
        <v>-184.42699999999999</v>
      </c>
      <c r="H6255" s="1">
        <v>-4.9549450000000004E-6</v>
      </c>
      <c r="I6255">
        <v>108.8785</v>
      </c>
      <c r="J6255">
        <v>-187.3493</v>
      </c>
      <c r="K6255">
        <v>1.1074679999999999</v>
      </c>
      <c r="L6255">
        <v>101.4028</v>
      </c>
      <c r="M6255">
        <v>7.6112490000000005E-2</v>
      </c>
      <c r="N6255">
        <v>0</v>
      </c>
      <c r="O6255">
        <v>0.99701759999999995</v>
      </c>
      <c r="P6255">
        <v>0.23314270000000001</v>
      </c>
      <c r="Q6255">
        <v>4.8746879999999999E-2</v>
      </c>
      <c r="R6255">
        <v>0.97121999999999997</v>
      </c>
      <c r="S6255">
        <v>1.0789489999999999</v>
      </c>
      <c r="T6255">
        <v>-0.40522649999999999</v>
      </c>
      <c r="U6255">
        <v>2.851807</v>
      </c>
      <c r="V6255">
        <v>0.158909299999999</v>
      </c>
      <c r="W6255">
        <v>6.036217E-2</v>
      </c>
      <c r="X6255">
        <v>0.98544620000000005</v>
      </c>
      <c r="Y6255">
        <v>0.27850940000000002</v>
      </c>
      <c r="Z6255">
        <v>-0.1327952</v>
      </c>
      <c r="AA6255">
        <v>0.95120870000000002</v>
      </c>
      <c r="AB6255">
        <v>32</v>
      </c>
      <c r="AC6255">
        <v>2.9222999999999701</v>
      </c>
      <c r="AD6255">
        <v>-1.107472954945</v>
      </c>
      <c r="AE6255">
        <v>7.4756999999999998</v>
      </c>
      <c r="AF6255">
        <v>2.30097684801322</v>
      </c>
      <c r="AG6255">
        <v>-1.107472954945</v>
      </c>
      <c r="AH6255">
        <v>7.5330439762429604</v>
      </c>
      <c r="AI6255">
        <v>98.003461621048203</v>
      </c>
      <c r="AJ6255">
        <v>73.014648731047501</v>
      </c>
      <c r="AK6255">
        <v>7.9541022340071699</v>
      </c>
      <c r="AL6255">
        <v>86.539398688786704</v>
      </c>
      <c r="AM6255">
        <v>80.839559012647001</v>
      </c>
      <c r="AN6255">
        <v>0.999999985144019</v>
      </c>
    </row>
    <row r="6256" spans="1:40" x14ac:dyDescent="0.25">
      <c r="A6256" t="str">
        <f>"20190312151440771"</f>
        <v>20190312151440771</v>
      </c>
      <c r="B6256" t="str">
        <f>"1552374880766293"</f>
        <v>1552374880766293</v>
      </c>
      <c r="C6256" t="s">
        <v>40</v>
      </c>
      <c r="D6256">
        <v>4.7227350000000001</v>
      </c>
      <c r="E6256">
        <v>0.54727789999999998</v>
      </c>
      <c r="F6256" t="s">
        <v>42</v>
      </c>
      <c r="G6256">
        <v>-184.3896</v>
      </c>
      <c r="H6256" s="1">
        <v>-5.0801300000000003E-6</v>
      </c>
      <c r="I6256">
        <v>109.1549</v>
      </c>
      <c r="J6256">
        <v>-187.32259999999999</v>
      </c>
      <c r="K6256">
        <v>1.107448</v>
      </c>
      <c r="L6256">
        <v>101.7152</v>
      </c>
      <c r="M6256">
        <v>7.8950759999999995E-2</v>
      </c>
      <c r="N6256">
        <v>0</v>
      </c>
      <c r="O6256">
        <v>0.99679680000000004</v>
      </c>
      <c r="P6256">
        <v>0.2361441</v>
      </c>
      <c r="Q6256">
        <v>4.7891870000000003E-2</v>
      </c>
      <c r="R6256">
        <v>0.97053710000000004</v>
      </c>
      <c r="S6256">
        <v>1.0874629999999901</v>
      </c>
      <c r="T6256">
        <v>-0.4069062</v>
      </c>
      <c r="U6256">
        <v>2.8482669999999999</v>
      </c>
      <c r="V6256">
        <v>0.15914320000000001</v>
      </c>
      <c r="W6256">
        <v>5.9502550000000001E-2</v>
      </c>
      <c r="X6256">
        <v>0.98546080000000003</v>
      </c>
      <c r="Y6256">
        <v>0.27862520000000002</v>
      </c>
      <c r="Z6256">
        <v>-0.13337370000000001</v>
      </c>
      <c r="AA6256">
        <v>0.95109390000000005</v>
      </c>
      <c r="AB6256">
        <v>32</v>
      </c>
      <c r="AC6256">
        <v>2.9329999999999901</v>
      </c>
      <c r="AD6256">
        <v>-1.10745308013</v>
      </c>
      <c r="AE6256">
        <v>7.4397000000000002</v>
      </c>
      <c r="AF6256">
        <v>2.29246098596085</v>
      </c>
      <c r="AG6256">
        <v>-1.10745308013</v>
      </c>
      <c r="AH6256">
        <v>7.50414172765303</v>
      </c>
      <c r="AI6256">
        <v>98.033650798462901</v>
      </c>
      <c r="AJ6256">
        <v>73.012467326889706</v>
      </c>
      <c r="AK6256">
        <v>7.9242648091507801</v>
      </c>
      <c r="AL6256">
        <v>86.588740204287006</v>
      </c>
      <c r="AM6256">
        <v>80.826438372909394</v>
      </c>
      <c r="AN6256">
        <v>1.0000000499496899</v>
      </c>
    </row>
    <row r="6257" spans="1:40" x14ac:dyDescent="0.25">
      <c r="A6257" t="str">
        <f>"20190312151440792"</f>
        <v>20190312151440792</v>
      </c>
      <c r="B6257" t="str">
        <f>"1552374880786789"</f>
        <v>1552374880786789</v>
      </c>
      <c r="C6257" t="s">
        <v>40</v>
      </c>
      <c r="D6257">
        <v>4.7307079999999999</v>
      </c>
      <c r="E6257">
        <v>0.54725429999999997</v>
      </c>
      <c r="F6257" t="s">
        <v>42</v>
      </c>
      <c r="G6257">
        <v>-184.3587</v>
      </c>
      <c r="H6257" s="1">
        <v>-5.1915279999999899E-6</v>
      </c>
      <c r="I6257">
        <v>109.40179999999999</v>
      </c>
      <c r="J6257">
        <v>-187.2944</v>
      </c>
      <c r="K6257">
        <v>1.1074360000000001</v>
      </c>
      <c r="L6257">
        <v>102.0333</v>
      </c>
      <c r="M6257">
        <v>8.1850329999999999E-2</v>
      </c>
      <c r="N6257">
        <v>0</v>
      </c>
      <c r="O6257">
        <v>0.99656290000000003</v>
      </c>
      <c r="P6257">
        <v>0.23924519999999999</v>
      </c>
      <c r="Q6257">
        <v>4.7996869999999997E-2</v>
      </c>
      <c r="R6257">
        <v>0.96977219999999997</v>
      </c>
      <c r="S6257">
        <v>1.096786</v>
      </c>
      <c r="T6257">
        <v>-0.40981509999999999</v>
      </c>
      <c r="U6257">
        <v>2.8444210000000001</v>
      </c>
      <c r="V6257">
        <v>0.15942890000000001</v>
      </c>
      <c r="W6257">
        <v>5.9601559999999998E-2</v>
      </c>
      <c r="X6257">
        <v>0.98540859999999997</v>
      </c>
      <c r="Y6257">
        <v>0.2789317</v>
      </c>
      <c r="Z6257">
        <v>-0.13434740000000001</v>
      </c>
      <c r="AA6257">
        <v>0.95086689999999996</v>
      </c>
      <c r="AB6257">
        <v>32</v>
      </c>
      <c r="AC6257">
        <v>2.93569999999999</v>
      </c>
      <c r="AD6257">
        <v>-1.107441191528</v>
      </c>
      <c r="AE6257">
        <v>7.3684999999999903</v>
      </c>
      <c r="AF6257">
        <v>2.27827220291914</v>
      </c>
      <c r="AG6257">
        <v>-1.107441191528</v>
      </c>
      <c r="AH6257">
        <v>7.4390627347717801</v>
      </c>
      <c r="AI6257">
        <v>98.101205104393799</v>
      </c>
      <c r="AJ6257">
        <v>72.972375519210601</v>
      </c>
      <c r="AK6257">
        <v>7.8585370518409601</v>
      </c>
      <c r="AL6257">
        <v>86.583057142199294</v>
      </c>
      <c r="AM6257">
        <v>80.809771888938101</v>
      </c>
      <c r="AN6257">
        <v>1.0000000145318</v>
      </c>
    </row>
    <row r="6258" spans="1:40" x14ac:dyDescent="0.25">
      <c r="A6258" t="str">
        <f>"20190312151440816"</f>
        <v>20190312151440816</v>
      </c>
      <c r="B6258" t="str">
        <f>"1552374880807285"</f>
        <v>1552374880807285</v>
      </c>
      <c r="C6258" t="s">
        <v>40</v>
      </c>
      <c r="D6258">
        <v>4.7911049999999999</v>
      </c>
      <c r="E6258">
        <v>0.54744890000000002</v>
      </c>
      <c r="F6258" t="s">
        <v>42</v>
      </c>
      <c r="G6258">
        <v>-184.32669999999999</v>
      </c>
      <c r="H6258" s="1">
        <v>-1.5123509999999901E-6</v>
      </c>
      <c r="I6258">
        <v>109.6564</v>
      </c>
      <c r="J6258">
        <v>-187.26499999999999</v>
      </c>
      <c r="K6258">
        <v>1.1074250000000001</v>
      </c>
      <c r="L6258">
        <v>102.3536</v>
      </c>
      <c r="M6258">
        <v>8.4781159999999994E-2</v>
      </c>
      <c r="N6258">
        <v>0</v>
      </c>
      <c r="O6258">
        <v>0.99631789999999998</v>
      </c>
      <c r="P6258">
        <v>0.24283569999999999</v>
      </c>
      <c r="Q6258">
        <v>4.8181340000000003E-2</v>
      </c>
      <c r="R6258">
        <v>0.96887020000000001</v>
      </c>
      <c r="S6258">
        <v>1.106033</v>
      </c>
      <c r="T6258">
        <v>-0.41273860000000001</v>
      </c>
      <c r="U6258">
        <v>2.8410950000000001</v>
      </c>
      <c r="V6258">
        <v>0.16018450000000001</v>
      </c>
      <c r="W6258">
        <v>5.9775769999999999E-2</v>
      </c>
      <c r="X6258">
        <v>0.98527549999999997</v>
      </c>
      <c r="Y6258">
        <v>0.2791265</v>
      </c>
      <c r="Z6258">
        <v>-0.13530320000000001</v>
      </c>
      <c r="AA6258">
        <v>0.95067420000000002</v>
      </c>
      <c r="AB6258">
        <v>32</v>
      </c>
      <c r="AC6258">
        <v>2.9382999999999901</v>
      </c>
      <c r="AD6258">
        <v>-1.1074265123510001</v>
      </c>
      <c r="AE6258">
        <v>7.3028000000000004</v>
      </c>
      <c r="AF6258">
        <v>2.2637255771315901</v>
      </c>
      <c r="AG6258">
        <v>-1.1074265123510001</v>
      </c>
      <c r="AH6258">
        <v>7.3795797299497004</v>
      </c>
      <c r="AI6258">
        <v>98.164398279363496</v>
      </c>
      <c r="AJ6258">
        <v>72.946324641818805</v>
      </c>
      <c r="AK6258">
        <v>7.7980153859493102</v>
      </c>
      <c r="AL6258">
        <v>86.573057813729307</v>
      </c>
      <c r="AM6258">
        <v>80.765738199385694</v>
      </c>
      <c r="AN6258">
        <v>1.00000001380979</v>
      </c>
    </row>
    <row r="6259" spans="1:40" x14ac:dyDescent="0.25">
      <c r="A6259" t="str">
        <f>"20190312151440837"</f>
        <v>20190312151440837</v>
      </c>
      <c r="B6259" t="str">
        <f>"1552374880826805"</f>
        <v>1552374880826805</v>
      </c>
      <c r="C6259" t="s">
        <v>40</v>
      </c>
      <c r="D6259">
        <v>4.748297</v>
      </c>
      <c r="E6259">
        <v>0.54749040000000004</v>
      </c>
      <c r="F6259" t="s">
        <v>42</v>
      </c>
      <c r="G6259">
        <v>-184.2747</v>
      </c>
      <c r="H6259" s="1">
        <v>-1.6233260000000001E-6</v>
      </c>
      <c r="I6259">
        <v>109.9418</v>
      </c>
      <c r="J6259">
        <v>-187.23560000000001</v>
      </c>
      <c r="K6259">
        <v>1.1074059999999999</v>
      </c>
      <c r="L6259">
        <v>102.6649</v>
      </c>
      <c r="M6259">
        <v>8.764429E-2</v>
      </c>
      <c r="N6259">
        <v>0</v>
      </c>
      <c r="O6259">
        <v>0.99607000000000001</v>
      </c>
      <c r="P6259">
        <v>0.2457241</v>
      </c>
      <c r="Q6259">
        <v>4.7576010000000002E-2</v>
      </c>
      <c r="R6259">
        <v>0.96817160000000002</v>
      </c>
      <c r="S6259">
        <v>1.1179049999999999</v>
      </c>
      <c r="T6259">
        <v>-0.41400360000000003</v>
      </c>
      <c r="U6259">
        <v>2.836792</v>
      </c>
      <c r="V6259">
        <v>0.16028680000000001</v>
      </c>
      <c r="W6259">
        <v>5.916507E-2</v>
      </c>
      <c r="X6259">
        <v>0.9852957</v>
      </c>
      <c r="Y6259">
        <v>0.28028389999999997</v>
      </c>
      <c r="Z6259">
        <v>-0.13572579999999901</v>
      </c>
      <c r="AA6259">
        <v>0.95027340000000005</v>
      </c>
      <c r="AB6259">
        <v>32</v>
      </c>
      <c r="AC6259">
        <v>2.9609000000000001</v>
      </c>
      <c r="AD6259">
        <v>-1.107407623326</v>
      </c>
      <c r="AE6259">
        <v>7.2768999999999897</v>
      </c>
      <c r="AF6259">
        <v>2.2666363691118501</v>
      </c>
      <c r="AG6259">
        <v>-1.107407623326</v>
      </c>
      <c r="AH6259">
        <v>7.3621376067581004</v>
      </c>
      <c r="AI6259">
        <v>98.180798529412897</v>
      </c>
      <c r="AJ6259">
        <v>72.887579563262307</v>
      </c>
      <c r="AK6259">
        <v>7.7823558267932604</v>
      </c>
      <c r="AL6259">
        <v>86.608110306493401</v>
      </c>
      <c r="AM6259">
        <v>80.760128700404096</v>
      </c>
      <c r="AN6259">
        <v>0.99999999010041696</v>
      </c>
    </row>
    <row r="6260" spans="1:40" x14ac:dyDescent="0.25">
      <c r="A6260" t="str">
        <f>"20190312151440861"</f>
        <v>20190312151440861</v>
      </c>
      <c r="B6260" t="str">
        <f>"1552374880857061"</f>
        <v>1552374880857061</v>
      </c>
      <c r="C6260" t="s">
        <v>40</v>
      </c>
      <c r="D6260">
        <v>4.7697629999999904</v>
      </c>
      <c r="E6260">
        <v>0.54759650000000004</v>
      </c>
      <c r="F6260" t="s">
        <v>42</v>
      </c>
      <c r="G6260">
        <v>-184.2431</v>
      </c>
      <c r="H6260" s="1">
        <v>-1.7143259999999999E-6</v>
      </c>
      <c r="I6260">
        <v>110.1846</v>
      </c>
      <c r="J6260">
        <v>-187.20230000000001</v>
      </c>
      <c r="K6260">
        <v>1.107383</v>
      </c>
      <c r="L6260">
        <v>103.00539999999999</v>
      </c>
      <c r="M6260">
        <v>9.0803819999999993E-2</v>
      </c>
      <c r="N6260">
        <v>0</v>
      </c>
      <c r="O6260">
        <v>0.99578699999999998</v>
      </c>
      <c r="P6260">
        <v>0.24940229999999999</v>
      </c>
      <c r="Q6260">
        <v>4.6570970000000003E-2</v>
      </c>
      <c r="R6260">
        <v>0.96727949999999996</v>
      </c>
      <c r="S6260">
        <v>1.1273799999999901</v>
      </c>
      <c r="T6260">
        <v>-0.41720950000000001</v>
      </c>
      <c r="U6260">
        <v>2.833008</v>
      </c>
      <c r="V6260">
        <v>0.16089870000000001</v>
      </c>
      <c r="W6260">
        <v>5.8147820000000003E-2</v>
      </c>
      <c r="X6260">
        <v>0.98525660000000004</v>
      </c>
      <c r="Y6260">
        <v>0.28036759999999999</v>
      </c>
      <c r="Z6260">
        <v>-0.13678309999999999</v>
      </c>
      <c r="AA6260">
        <v>0.95009710000000003</v>
      </c>
      <c r="AB6260">
        <v>32</v>
      </c>
      <c r="AC6260">
        <v>2.9592000000000001</v>
      </c>
      <c r="AD6260">
        <v>-1.1073847143260001</v>
      </c>
      <c r="AE6260">
        <v>7.1791999999999998</v>
      </c>
      <c r="AF6260">
        <v>2.2492765913900801</v>
      </c>
      <c r="AG6260">
        <v>-1.1073847143260001</v>
      </c>
      <c r="AH6260">
        <v>7.2704037823634504</v>
      </c>
      <c r="AI6260">
        <v>98.278982556531403</v>
      </c>
      <c r="AJ6260">
        <v>72.809272764228794</v>
      </c>
      <c r="AK6260">
        <v>7.6905342628911697</v>
      </c>
      <c r="AL6260">
        <v>86.666495213791606</v>
      </c>
      <c r="AM6260">
        <v>80.725105340281402</v>
      </c>
      <c r="AN6260">
        <v>1.00000006423799</v>
      </c>
    </row>
    <row r="6261" spans="1:40" x14ac:dyDescent="0.25">
      <c r="A6261" t="str">
        <f>"20190312151440885"</f>
        <v>20190312151440885</v>
      </c>
      <c r="B6261" t="str">
        <f>"1552374880876581"</f>
        <v>1552374880876581</v>
      </c>
      <c r="C6261" t="s">
        <v>40</v>
      </c>
      <c r="D6261">
        <v>4.7702489999999997</v>
      </c>
      <c r="E6261">
        <v>0.5474002</v>
      </c>
      <c r="F6261" t="s">
        <v>42</v>
      </c>
      <c r="G6261">
        <v>-184.22280000000001</v>
      </c>
      <c r="H6261" s="1">
        <v>-1.792914E-6</v>
      </c>
      <c r="I6261">
        <v>110.39960000000001</v>
      </c>
      <c r="J6261">
        <v>-187.1688</v>
      </c>
      <c r="K6261">
        <v>1.1073599999999999</v>
      </c>
      <c r="L6261">
        <v>103.3374</v>
      </c>
      <c r="M6261">
        <v>9.3919459999999996E-2</v>
      </c>
      <c r="N6261">
        <v>0</v>
      </c>
      <c r="O6261">
        <v>0.99549790000000005</v>
      </c>
      <c r="P6261">
        <v>0.2536506</v>
      </c>
      <c r="Q6261">
        <v>4.5416039999999998E-2</v>
      </c>
      <c r="R6261">
        <v>0.96622909999999995</v>
      </c>
      <c r="S6261">
        <v>1.1396029999999999</v>
      </c>
      <c r="T6261">
        <v>-0.42354389999999997</v>
      </c>
      <c r="U6261">
        <v>2.828049</v>
      </c>
      <c r="V6261">
        <v>0.16213720000000001</v>
      </c>
      <c r="W6261">
        <v>5.6973410000000002E-2</v>
      </c>
      <c r="X6261">
        <v>0.9851221</v>
      </c>
      <c r="Y6261">
        <v>0.28136889999999998</v>
      </c>
      <c r="Z6261">
        <v>-0.13885320000000001</v>
      </c>
      <c r="AA6261">
        <v>0.94950060000000003</v>
      </c>
      <c r="AB6261">
        <v>32</v>
      </c>
      <c r="AC6261">
        <v>2.94599999999999</v>
      </c>
      <c r="AD6261">
        <v>-1.1073617929140001</v>
      </c>
      <c r="AE6261">
        <v>7.0621999999999998</v>
      </c>
      <c r="AF6261">
        <v>2.2230871739193399</v>
      </c>
      <c r="AG6261">
        <v>-1.1073617929140001</v>
      </c>
      <c r="AH6261">
        <v>7.1577869046203997</v>
      </c>
      <c r="AI6261">
        <v>98.404388381394895</v>
      </c>
      <c r="AJ6261">
        <v>72.746092246262293</v>
      </c>
      <c r="AK6261">
        <v>7.5764292443872003</v>
      </c>
      <c r="AL6261">
        <v>86.7338954773832</v>
      </c>
      <c r="AM6261">
        <v>80.653714216671503</v>
      </c>
      <c r="AN6261">
        <v>0.999999996489639</v>
      </c>
    </row>
    <row r="6262" spans="1:40" x14ac:dyDescent="0.25">
      <c r="A6262" t="str">
        <f>"20190312151440905"</f>
        <v>20190312151440905</v>
      </c>
      <c r="B6262" t="str">
        <f>"1552374880897077"</f>
        <v>1552374880897077</v>
      </c>
      <c r="C6262" t="s">
        <v>40</v>
      </c>
      <c r="D6262">
        <v>4.785234</v>
      </c>
      <c r="E6262">
        <v>0.54740429999999995</v>
      </c>
      <c r="F6262" t="s">
        <v>42</v>
      </c>
      <c r="G6262">
        <v>-184.1969</v>
      </c>
      <c r="H6262" s="1">
        <v>-1.8785939999999999E-6</v>
      </c>
      <c r="I6262">
        <v>110.6311</v>
      </c>
      <c r="J6262">
        <v>-187.1371</v>
      </c>
      <c r="K6262">
        <v>1.1073230000000001</v>
      </c>
      <c r="L6262">
        <v>103.6426</v>
      </c>
      <c r="M6262">
        <v>9.6823129999999993E-2</v>
      </c>
      <c r="N6262">
        <v>0</v>
      </c>
      <c r="O6262">
        <v>0.99521970000000004</v>
      </c>
      <c r="P6262">
        <v>0.25747680000000001</v>
      </c>
      <c r="Q6262">
        <v>4.4456160000000002E-2</v>
      </c>
      <c r="R6262">
        <v>0.96526129999999999</v>
      </c>
      <c r="S6262">
        <v>1.150269</v>
      </c>
      <c r="T6262">
        <v>-0.42860399999999998</v>
      </c>
      <c r="U6262">
        <v>2.823029</v>
      </c>
      <c r="V6262">
        <v>0.16316069999999999</v>
      </c>
      <c r="W6262">
        <v>5.5994599999999999E-2</v>
      </c>
      <c r="X6262">
        <v>0.98500929999999998</v>
      </c>
      <c r="Y6262">
        <v>0.28214869999999997</v>
      </c>
      <c r="Z6262">
        <v>-0.1405354</v>
      </c>
      <c r="AA6262">
        <v>0.94902160000000002</v>
      </c>
      <c r="AB6262">
        <v>32</v>
      </c>
      <c r="AC6262">
        <v>2.9401999999999999</v>
      </c>
      <c r="AD6262">
        <v>-1.107324878594</v>
      </c>
      <c r="AE6262">
        <v>6.9885000000000002</v>
      </c>
      <c r="AF6262">
        <v>2.2026950202097</v>
      </c>
      <c r="AG6262">
        <v>-1.107324878594</v>
      </c>
      <c r="AH6262">
        <v>7.08914645297937</v>
      </c>
      <c r="AI6262">
        <v>98.483996481497599</v>
      </c>
      <c r="AJ6262">
        <v>72.739263822569498</v>
      </c>
      <c r="AK6262">
        <v>7.5055999873827401</v>
      </c>
      <c r="AL6262">
        <v>86.790067059827507</v>
      </c>
      <c r="AM6262">
        <v>80.594708296707395</v>
      </c>
      <c r="AN6262">
        <v>1.00000006517006</v>
      </c>
    </row>
    <row r="6263" spans="1:40" x14ac:dyDescent="0.25">
      <c r="A6263" t="str">
        <f>"20190312151440929"</f>
        <v>20190312151440929</v>
      </c>
      <c r="B6263" t="str">
        <f>"1552374880916597"</f>
        <v>1552374880916597</v>
      </c>
      <c r="C6263" t="s">
        <v>40</v>
      </c>
      <c r="D6263">
        <v>4.7134169999999997</v>
      </c>
      <c r="E6263">
        <v>0.54733089999999995</v>
      </c>
      <c r="F6263" t="s">
        <v>42</v>
      </c>
      <c r="G6263">
        <v>-184.16849999999999</v>
      </c>
      <c r="H6263" s="1">
        <v>-1.958647E-6</v>
      </c>
      <c r="I6263">
        <v>110.8441</v>
      </c>
      <c r="J6263">
        <v>-187.10159999999999</v>
      </c>
      <c r="K6263">
        <v>1.107283</v>
      </c>
      <c r="L6263">
        <v>103.9722</v>
      </c>
      <c r="M6263">
        <v>0.1000138</v>
      </c>
      <c r="N6263">
        <v>0</v>
      </c>
      <c r="O6263">
        <v>0.99490420000000002</v>
      </c>
      <c r="P6263">
        <v>0.26159769999999999</v>
      </c>
      <c r="Q6263">
        <v>4.416701E-2</v>
      </c>
      <c r="R6263">
        <v>0.96416590000000002</v>
      </c>
      <c r="S6263">
        <v>1.161667</v>
      </c>
      <c r="T6263">
        <v>-0.4333127</v>
      </c>
      <c r="U6263">
        <v>2.8180540000000001</v>
      </c>
      <c r="V6263">
        <v>0.16421229999999901</v>
      </c>
      <c r="W6263">
        <v>5.5682280000000001E-2</v>
      </c>
      <c r="X6263">
        <v>0.98485219999999996</v>
      </c>
      <c r="Y6263">
        <v>0.2828619</v>
      </c>
      <c r="Z6263">
        <v>-0.14208850000000001</v>
      </c>
      <c r="AA6263">
        <v>0.94857789999999997</v>
      </c>
      <c r="AB6263">
        <v>32</v>
      </c>
      <c r="AC6263">
        <v>2.9330999999999898</v>
      </c>
      <c r="AD6263">
        <v>-1.1072849586469999</v>
      </c>
      <c r="AE6263">
        <v>6.8718999999999903</v>
      </c>
      <c r="AF6263">
        <v>2.18310396812858</v>
      </c>
      <c r="AG6263">
        <v>-1.1072849586469999</v>
      </c>
      <c r="AH6263">
        <v>6.9775685817222302</v>
      </c>
      <c r="AI6263">
        <v>98.612125832535895</v>
      </c>
      <c r="AJ6263">
        <v>72.626424051239994</v>
      </c>
      <c r="AK6263">
        <v>7.39449026153539</v>
      </c>
      <c r="AL6263">
        <v>86.807989513323804</v>
      </c>
      <c r="AM6263">
        <v>80.533700415724098</v>
      </c>
      <c r="AN6263">
        <v>1.00000002581106</v>
      </c>
    </row>
    <row r="6264" spans="1:40" x14ac:dyDescent="0.25">
      <c r="A6264" t="str">
        <f>"20190312151440950"</f>
        <v>20190312151440950</v>
      </c>
      <c r="B6264" t="str">
        <f>"1552374880946853"</f>
        <v>1552374880946853</v>
      </c>
      <c r="C6264" t="s">
        <v>40</v>
      </c>
      <c r="D6264">
        <v>4.7872709999999996</v>
      </c>
      <c r="E6264">
        <v>0.54763050000000002</v>
      </c>
      <c r="F6264" t="s">
        <v>42</v>
      </c>
      <c r="G6264">
        <v>-184.119</v>
      </c>
      <c r="H6264" s="1">
        <v>-2.0666799999999999E-6</v>
      </c>
      <c r="I6264">
        <v>111.1229</v>
      </c>
      <c r="J6264">
        <v>-187.0677</v>
      </c>
      <c r="K6264">
        <v>1.107251</v>
      </c>
      <c r="L6264">
        <v>104.2788</v>
      </c>
      <c r="M6264">
        <v>0.1030224</v>
      </c>
      <c r="N6264">
        <v>0</v>
      </c>
      <c r="O6264">
        <v>0.99459710000000001</v>
      </c>
      <c r="P6264">
        <v>0.265629</v>
      </c>
      <c r="Q6264">
        <v>4.4255070000000001E-2</v>
      </c>
      <c r="R6264">
        <v>0.96305909999999995</v>
      </c>
      <c r="S6264">
        <v>1.17334</v>
      </c>
      <c r="T6264">
        <v>-0.43560589999999999</v>
      </c>
      <c r="U6264">
        <v>2.81311</v>
      </c>
      <c r="V6264">
        <v>0.16536010000000001</v>
      </c>
      <c r="W6264">
        <v>5.574846E-2</v>
      </c>
      <c r="X6264">
        <v>0.98465630000000004</v>
      </c>
      <c r="Y6264">
        <v>0.28386630000000002</v>
      </c>
      <c r="Z6264">
        <v>-0.1428567</v>
      </c>
      <c r="AA6264">
        <v>0.94816239999999996</v>
      </c>
      <c r="AB6264">
        <v>32</v>
      </c>
      <c r="AC6264">
        <v>2.9486999999999699</v>
      </c>
      <c r="AD6264">
        <v>-1.10725306668</v>
      </c>
      <c r="AE6264">
        <v>6.8440999999999903</v>
      </c>
      <c r="AF6264">
        <v>2.17973519496539</v>
      </c>
      <c r="AG6264">
        <v>-1.10725306668</v>
      </c>
      <c r="AH6264">
        <v>6.9578834235223201</v>
      </c>
      <c r="AI6264">
        <v>98.634906814592696</v>
      </c>
      <c r="AJ6264">
        <v>72.605498633772498</v>
      </c>
      <c r="AK6264">
        <v>7.3749167187955296</v>
      </c>
      <c r="AL6264">
        <v>86.804191509313497</v>
      </c>
      <c r="AM6264">
        <v>80.466881907026504</v>
      </c>
      <c r="AN6264">
        <v>0.99999994129703396</v>
      </c>
    </row>
    <row r="6265" spans="1:40" x14ac:dyDescent="0.25">
      <c r="A6265" t="str">
        <f>"20190312151440971"</f>
        <v>20190312151440971</v>
      </c>
      <c r="B6265" t="str">
        <f>"1552374880966373"</f>
        <v>1552374880966373</v>
      </c>
      <c r="C6265" t="s">
        <v>40</v>
      </c>
      <c r="D6265">
        <v>4.7777690000000002</v>
      </c>
      <c r="E6265">
        <v>0.54757509999999998</v>
      </c>
      <c r="F6265" t="s">
        <v>42</v>
      </c>
      <c r="G6265">
        <v>-184.05529999999999</v>
      </c>
      <c r="H6265" s="1">
        <v>-2.177826E-6</v>
      </c>
      <c r="I6265">
        <v>111.3997</v>
      </c>
      <c r="J6265">
        <v>-187.0334</v>
      </c>
      <c r="K6265">
        <v>1.107219</v>
      </c>
      <c r="L6265">
        <v>104.5795</v>
      </c>
      <c r="M6265">
        <v>0.1060127</v>
      </c>
      <c r="N6265">
        <v>0</v>
      </c>
      <c r="O6265">
        <v>0.99428280000000002</v>
      </c>
      <c r="P6265">
        <v>0.26941959999999998</v>
      </c>
      <c r="Q6265">
        <v>4.4329479999999997E-2</v>
      </c>
      <c r="R6265">
        <v>0.96200209999999997</v>
      </c>
      <c r="S6265">
        <v>1.1876979999999999</v>
      </c>
      <c r="T6265">
        <v>-0.43655820000000001</v>
      </c>
      <c r="U6265">
        <v>2.8075559999999999</v>
      </c>
      <c r="V6265">
        <v>0.1662826</v>
      </c>
      <c r="W6265">
        <v>5.5802740000000003E-2</v>
      </c>
      <c r="X6265">
        <v>0.98449790000000004</v>
      </c>
      <c r="Y6265">
        <v>0.28575450000000002</v>
      </c>
      <c r="Z6265">
        <v>-0.14317550000000001</v>
      </c>
      <c r="AA6265">
        <v>0.94754689999999997</v>
      </c>
      <c r="AB6265">
        <v>32</v>
      </c>
      <c r="AC6265">
        <v>2.9781000000000102</v>
      </c>
      <c r="AD6265">
        <v>-1.1072211778259999</v>
      </c>
      <c r="AE6265">
        <v>6.8201999999999998</v>
      </c>
      <c r="AF6265">
        <v>2.1897575848962298</v>
      </c>
      <c r="AG6265">
        <v>-1.1072211778259999</v>
      </c>
      <c r="AH6265">
        <v>6.9438003328197402</v>
      </c>
      <c r="AI6265">
        <v>98.646844162348799</v>
      </c>
      <c r="AJ6265">
        <v>72.4971049028984</v>
      </c>
      <c r="AK6265">
        <v>7.3646004697678196</v>
      </c>
      <c r="AL6265">
        <v>86.801076775676506</v>
      </c>
      <c r="AM6265">
        <v>80.413169690243606</v>
      </c>
      <c r="AN6265">
        <v>0.99999998197933804</v>
      </c>
    </row>
    <row r="6266" spans="1:40" x14ac:dyDescent="0.25">
      <c r="A6266" t="str">
        <f>"20190312151440995"</f>
        <v>20190312151440995</v>
      </c>
      <c r="B6266" t="str">
        <f>"1552374880986869"</f>
        <v>1552374880986869</v>
      </c>
      <c r="C6266" t="s">
        <v>40</v>
      </c>
      <c r="D6266">
        <v>4.7605620000000002</v>
      </c>
      <c r="E6266">
        <v>0.54587790000000003</v>
      </c>
      <c r="F6266" t="s">
        <v>42</v>
      </c>
      <c r="G6266">
        <v>-183.9924</v>
      </c>
      <c r="H6266" s="1">
        <v>-2.2939729999999999E-6</v>
      </c>
      <c r="I6266">
        <v>111.6918</v>
      </c>
      <c r="J6266">
        <v>-186.99359999999999</v>
      </c>
      <c r="K6266">
        <v>1.1071789999999999</v>
      </c>
      <c r="L6266">
        <v>104.91930000000001</v>
      </c>
      <c r="M6266">
        <v>0.1094482</v>
      </c>
      <c r="N6266">
        <v>0</v>
      </c>
      <c r="O6266">
        <v>0.99391050000000003</v>
      </c>
      <c r="P6266">
        <v>0.27424890000000002</v>
      </c>
      <c r="Q6266">
        <v>4.3802750000000001E-2</v>
      </c>
      <c r="R6266">
        <v>0.96066059999999998</v>
      </c>
      <c r="S6266">
        <v>1.1984410000000001</v>
      </c>
      <c r="T6266">
        <v>-0.43635170000000001</v>
      </c>
      <c r="U6266">
        <v>2.8029630000000001</v>
      </c>
      <c r="V6266">
        <v>0.167825799999999</v>
      </c>
      <c r="W6266">
        <v>5.524855E-2</v>
      </c>
      <c r="X6266">
        <v>0.98426729999999996</v>
      </c>
      <c r="Y6266">
        <v>0.2860801</v>
      </c>
      <c r="Z6266">
        <v>-0.14313210000000001</v>
      </c>
      <c r="AA6266">
        <v>0.94745520000000005</v>
      </c>
      <c r="AB6266">
        <v>32</v>
      </c>
      <c r="AC6266">
        <v>3.0011999999999799</v>
      </c>
      <c r="AD6266">
        <v>-1.1071812939729999</v>
      </c>
      <c r="AE6266">
        <v>6.7724999999999902</v>
      </c>
      <c r="AF6266">
        <v>2.1928813693383402</v>
      </c>
      <c r="AG6266">
        <v>-1.1071812939729999</v>
      </c>
      <c r="AH6266">
        <v>6.9060337312838804</v>
      </c>
      <c r="AI6266">
        <v>98.687743268718606</v>
      </c>
      <c r="AJ6266">
        <v>72.3837313456864</v>
      </c>
      <c r="AK6266">
        <v>7.3299304918495496</v>
      </c>
      <c r="AL6266">
        <v>86.832878674274397</v>
      </c>
      <c r="AM6266">
        <v>80.323648481187007</v>
      </c>
      <c r="AN6266">
        <v>1.00000000963601</v>
      </c>
    </row>
    <row r="6267" spans="1:40" x14ac:dyDescent="0.25">
      <c r="A6267" t="str">
        <f>"20190312151441016"</f>
        <v>20190312151441016</v>
      </c>
      <c r="B6267" t="str">
        <f>"1552374881006393"</f>
        <v>1552374881006393</v>
      </c>
      <c r="C6267" t="s">
        <v>40</v>
      </c>
      <c r="D6267">
        <v>4.7132389999999997</v>
      </c>
      <c r="E6267">
        <v>0.54495150000000003</v>
      </c>
      <c r="F6267" t="s">
        <v>42</v>
      </c>
      <c r="G6267">
        <v>-183.44929999999999</v>
      </c>
      <c r="H6267" s="1">
        <v>-2.95581E-6</v>
      </c>
      <c r="I6267">
        <v>113.21210000000001</v>
      </c>
      <c r="J6267">
        <v>-186.95769999999999</v>
      </c>
      <c r="K6267">
        <v>1.107135</v>
      </c>
      <c r="L6267">
        <v>105.2163</v>
      </c>
      <c r="M6267">
        <v>0.112504199999999</v>
      </c>
      <c r="N6267">
        <v>0</v>
      </c>
      <c r="O6267">
        <v>0.99356909999999998</v>
      </c>
      <c r="P6267">
        <v>0.27951920000000002</v>
      </c>
      <c r="Q6267">
        <v>4.2511590000000002E-2</v>
      </c>
      <c r="R6267">
        <v>0.95919849999999995</v>
      </c>
      <c r="S6267">
        <v>1.1960299999999999</v>
      </c>
      <c r="T6267">
        <v>-0.37362840000000003</v>
      </c>
      <c r="U6267">
        <v>2.7984619999999998</v>
      </c>
      <c r="V6267">
        <v>0.1701937</v>
      </c>
      <c r="W6267">
        <v>5.3922539999999998E-2</v>
      </c>
      <c r="X6267">
        <v>0.98393419999999998</v>
      </c>
      <c r="Y6267">
        <v>0.28405399999999997</v>
      </c>
      <c r="Z6267">
        <v>-0.1230832</v>
      </c>
      <c r="AA6267">
        <v>0.95087529999999998</v>
      </c>
      <c r="AB6267">
        <v>32</v>
      </c>
      <c r="AC6267">
        <v>3.5083999999999902</v>
      </c>
      <c r="AD6267">
        <v>-1.1071379558100001</v>
      </c>
      <c r="AE6267">
        <v>7.9958</v>
      </c>
      <c r="AF6267">
        <v>2.5455623096003501</v>
      </c>
      <c r="AG6267">
        <v>-1.1071379558100001</v>
      </c>
      <c r="AH6267">
        <v>8.2078115027891503</v>
      </c>
      <c r="AI6267">
        <v>97.341234380761506</v>
      </c>
      <c r="AJ6267">
        <v>72.769299135369806</v>
      </c>
      <c r="AK6267">
        <v>8.6645145040314198</v>
      </c>
      <c r="AL6267">
        <v>86.908966936858107</v>
      </c>
      <c r="AM6267">
        <v>80.186500447373106</v>
      </c>
      <c r="AN6267">
        <v>1.0000000228846899</v>
      </c>
    </row>
    <row r="6268" spans="1:40" x14ac:dyDescent="0.25">
      <c r="A6268" t="str">
        <f>"20190312151441038"</f>
        <v>20190312151441038</v>
      </c>
      <c r="B6268" t="str">
        <f>"1552374881026890"</f>
        <v>1552374881026890</v>
      </c>
      <c r="C6268" t="s">
        <v>40</v>
      </c>
      <c r="D6268">
        <v>4.7791829999999997</v>
      </c>
      <c r="E6268">
        <v>0.54517939999999998</v>
      </c>
      <c r="F6268" t="s">
        <v>42</v>
      </c>
      <c r="G6268">
        <v>-183.35640000000001</v>
      </c>
      <c r="H6268" s="1">
        <v>-3.1043320000000001E-6</v>
      </c>
      <c r="I6268">
        <v>113.5758</v>
      </c>
      <c r="J6268">
        <v>-186.91800000000001</v>
      </c>
      <c r="K6268">
        <v>1.1070770000000001</v>
      </c>
      <c r="L6268">
        <v>105.53619999999999</v>
      </c>
      <c r="M6268">
        <v>0.11585670000000001</v>
      </c>
      <c r="N6268">
        <v>0</v>
      </c>
      <c r="O6268">
        <v>0.99318379999999995</v>
      </c>
      <c r="P6268">
        <v>0.28513820000000001</v>
      </c>
      <c r="Q6268">
        <v>4.2472610000000001E-2</v>
      </c>
      <c r="R6268">
        <v>0.95754490000000003</v>
      </c>
      <c r="S6268">
        <v>1.2033689999999999</v>
      </c>
      <c r="T6268">
        <v>-0.36995149999999999</v>
      </c>
      <c r="U6268">
        <v>2.7933349999999999</v>
      </c>
      <c r="V6268">
        <v>0.17264860000000001</v>
      </c>
      <c r="W6268">
        <v>5.384303E-2</v>
      </c>
      <c r="X6268">
        <v>0.98351069999999996</v>
      </c>
      <c r="Y6268">
        <v>0.2836147</v>
      </c>
      <c r="Z6268">
        <v>-0.1219706</v>
      </c>
      <c r="AA6268">
        <v>0.95114980000000005</v>
      </c>
      <c r="AB6268">
        <v>32</v>
      </c>
      <c r="AC6268">
        <v>3.5615999999999901</v>
      </c>
      <c r="AD6268">
        <v>-1.107080104332</v>
      </c>
      <c r="AE6268">
        <v>8.0396000000000001</v>
      </c>
      <c r="AF6268">
        <v>2.5654290884798301</v>
      </c>
      <c r="AG6268">
        <v>-1.107080104332</v>
      </c>
      <c r="AH6268">
        <v>8.2670768169819695</v>
      </c>
      <c r="AI6268">
        <v>97.288430679410496</v>
      </c>
      <c r="AJ6268">
        <v>72.759902569831198</v>
      </c>
      <c r="AK6268">
        <v>8.7264890914563598</v>
      </c>
      <c r="AL6268">
        <v>86.913528939008302</v>
      </c>
      <c r="AM6268">
        <v>80.043559911759701</v>
      </c>
      <c r="AN6268">
        <v>0.999999953988014</v>
      </c>
    </row>
    <row r="6269" spans="1:40" x14ac:dyDescent="0.25">
      <c r="A6269" t="str">
        <f>"20190312151441062"</f>
        <v>20190312151441062</v>
      </c>
      <c r="B6269" t="str">
        <f>"1552374881057142"</f>
        <v>1552374881057142</v>
      </c>
      <c r="C6269" t="s">
        <v>40</v>
      </c>
      <c r="D6269">
        <v>4.7639110000000002</v>
      </c>
      <c r="E6269">
        <v>0.54548109999999905</v>
      </c>
      <c r="F6269" t="s">
        <v>42</v>
      </c>
      <c r="G6269">
        <v>-183.33009999999999</v>
      </c>
      <c r="H6269" s="1">
        <v>-3.1592039999999999E-6</v>
      </c>
      <c r="I6269">
        <v>113.7165</v>
      </c>
      <c r="J6269">
        <v>-186.87530000000001</v>
      </c>
      <c r="K6269">
        <v>1.107019</v>
      </c>
      <c r="L6269">
        <v>105.8707</v>
      </c>
      <c r="M6269">
        <v>0.1194398</v>
      </c>
      <c r="N6269">
        <v>0</v>
      </c>
      <c r="O6269">
        <v>0.99275919999999895</v>
      </c>
      <c r="P6269">
        <v>0.29086770000000001</v>
      </c>
      <c r="Q6269">
        <v>4.3015970000000001E-2</v>
      </c>
      <c r="R6269">
        <v>0.95579579999999997</v>
      </c>
      <c r="S6269">
        <v>1.2218929999999999</v>
      </c>
      <c r="T6269">
        <v>-0.3770252</v>
      </c>
      <c r="U6269">
        <v>2.7858890000000001</v>
      </c>
      <c r="V6269">
        <v>0.175005299999999</v>
      </c>
      <c r="W6269">
        <v>5.4341550000000002E-2</v>
      </c>
      <c r="X6269">
        <v>0.98306669999999996</v>
      </c>
      <c r="Y6269">
        <v>0.28628130000000002</v>
      </c>
      <c r="Z6269">
        <v>-0.1242793</v>
      </c>
      <c r="AA6269">
        <v>0.95005139999999999</v>
      </c>
      <c r="AB6269">
        <v>32</v>
      </c>
      <c r="AC6269">
        <v>3.5452000000000199</v>
      </c>
      <c r="AD6269">
        <v>-1.1070221592039999</v>
      </c>
      <c r="AE6269">
        <v>7.8457999999999899</v>
      </c>
      <c r="AF6269">
        <v>2.5406360584596999</v>
      </c>
      <c r="AG6269">
        <v>-1.1070221592039999</v>
      </c>
      <c r="AH6269">
        <v>8.0795212220783608</v>
      </c>
      <c r="AI6269">
        <v>97.446683624120297</v>
      </c>
      <c r="AJ6269">
        <v>72.544047742354607</v>
      </c>
      <c r="AK6269">
        <v>8.5416036445464396</v>
      </c>
      <c r="AL6269">
        <v>86.884924102821401</v>
      </c>
      <c r="AM6269">
        <v>79.905962663913101</v>
      </c>
      <c r="AN6269">
        <v>0.99999999786669103</v>
      </c>
    </row>
    <row r="6270" spans="1:40" x14ac:dyDescent="0.25">
      <c r="A6270" t="str">
        <f>"20190312151441084"</f>
        <v>20190312151441084</v>
      </c>
      <c r="B6270" t="str">
        <f>"1552374881076662"</f>
        <v>1552374881076662</v>
      </c>
      <c r="C6270" t="s">
        <v>40</v>
      </c>
      <c r="D6270">
        <v>4.7899279999999997</v>
      </c>
      <c r="E6270">
        <v>0.54556629999999995</v>
      </c>
      <c r="F6270" t="s">
        <v>42</v>
      </c>
      <c r="G6270">
        <v>-183.19460000000001</v>
      </c>
      <c r="H6270" s="1">
        <v>-3.3285189999999999E-6</v>
      </c>
      <c r="I6270">
        <v>114.10809999999999</v>
      </c>
      <c r="J6270">
        <v>-186.83349999999999</v>
      </c>
      <c r="K6270">
        <v>1.1069639999999901</v>
      </c>
      <c r="L6270">
        <v>106.18859999999999</v>
      </c>
      <c r="M6270">
        <v>0.1229244</v>
      </c>
      <c r="N6270">
        <v>0</v>
      </c>
      <c r="O6270">
        <v>0.99233380000000004</v>
      </c>
      <c r="P6270">
        <v>0.29472320000000002</v>
      </c>
      <c r="Q6270">
        <v>4.424467E-2</v>
      </c>
      <c r="R6270">
        <v>0.95455780000000001</v>
      </c>
      <c r="S6270">
        <v>1.2412110000000001</v>
      </c>
      <c r="T6270">
        <v>-0.37331150000000002</v>
      </c>
      <c r="U6270">
        <v>2.7778320000000001</v>
      </c>
      <c r="V6270">
        <v>0.17554639999999999</v>
      </c>
      <c r="W6270">
        <v>5.5539940000000003E-2</v>
      </c>
      <c r="X6270">
        <v>0.98290319999999998</v>
      </c>
      <c r="Y6270">
        <v>0.28951399999999999</v>
      </c>
      <c r="Z6270">
        <v>-0.1230918</v>
      </c>
      <c r="AA6270">
        <v>0.94922600000000001</v>
      </c>
      <c r="AB6270">
        <v>32</v>
      </c>
      <c r="AC6270">
        <v>3.6388999999999698</v>
      </c>
      <c r="AD6270">
        <v>-1.10696732851899</v>
      </c>
      <c r="AE6270">
        <v>7.9194999999999904</v>
      </c>
      <c r="AF6270">
        <v>2.5958431953528698</v>
      </c>
      <c r="AG6270">
        <v>-1.10696732851899</v>
      </c>
      <c r="AH6270">
        <v>8.1748988188503091</v>
      </c>
      <c r="AI6270">
        <v>97.353951519251197</v>
      </c>
      <c r="AJ6270">
        <v>72.383365019871803</v>
      </c>
      <c r="AK6270">
        <v>8.6482801330500703</v>
      </c>
      <c r="AL6270">
        <v>86.816157431222706</v>
      </c>
      <c r="AM6270">
        <v>79.873748217824001</v>
      </c>
      <c r="AN6270">
        <v>0.99999996202920105</v>
      </c>
    </row>
    <row r="6271" spans="1:40" x14ac:dyDescent="0.25">
      <c r="A6271" t="str">
        <f>"20190312151441106"</f>
        <v>20190312151441106</v>
      </c>
      <c r="B6271" t="str">
        <f>"1552374881097157"</f>
        <v>1552374881097157</v>
      </c>
      <c r="C6271" t="s">
        <v>40</v>
      </c>
      <c r="D6271">
        <v>4.7671169999999998</v>
      </c>
      <c r="E6271">
        <v>0.54570260000000004</v>
      </c>
      <c r="F6271" t="s">
        <v>42</v>
      </c>
      <c r="G6271">
        <v>-183.0943</v>
      </c>
      <c r="H6271" s="1">
        <v>-3.475033E-6</v>
      </c>
      <c r="I6271">
        <v>114.4602</v>
      </c>
      <c r="J6271">
        <v>-186.79179999999999</v>
      </c>
      <c r="K6271">
        <v>1.106908</v>
      </c>
      <c r="L6271">
        <v>106.4962</v>
      </c>
      <c r="M6271">
        <v>0.1263833</v>
      </c>
      <c r="N6271">
        <v>0</v>
      </c>
      <c r="O6271">
        <v>0.99189910000000003</v>
      </c>
      <c r="P6271">
        <v>0.29853499999999999</v>
      </c>
      <c r="Q6271">
        <v>4.5290080000000003E-2</v>
      </c>
      <c r="R6271">
        <v>0.95332349999999999</v>
      </c>
      <c r="S6271">
        <v>1.253525</v>
      </c>
      <c r="T6271">
        <v>-0.37109950000000003</v>
      </c>
      <c r="U6271">
        <v>2.7729949999999999</v>
      </c>
      <c r="V6271">
        <v>0.17607039999999999</v>
      </c>
      <c r="W6271">
        <v>5.6553989999999998E-2</v>
      </c>
      <c r="X6271">
        <v>0.98275170000000001</v>
      </c>
      <c r="Y6271">
        <v>0.29033900000000001</v>
      </c>
      <c r="Z6271">
        <v>-0.1223646</v>
      </c>
      <c r="AA6271">
        <v>0.94906809999999997</v>
      </c>
      <c r="AB6271">
        <v>32</v>
      </c>
      <c r="AC6271">
        <v>3.69749999999999</v>
      </c>
      <c r="AD6271">
        <v>-1.106911475033</v>
      </c>
      <c r="AE6271">
        <v>7.9639999999999898</v>
      </c>
      <c r="AF6271">
        <v>2.6196158274238002</v>
      </c>
      <c r="AG6271">
        <v>-1.106911475033</v>
      </c>
      <c r="AH6271">
        <v>8.2365716200594505</v>
      </c>
      <c r="AI6271">
        <v>97.298059338576394</v>
      </c>
      <c r="AJ6271">
        <v>72.356897170762693</v>
      </c>
      <c r="AK6271">
        <v>8.71371058443059</v>
      </c>
      <c r="AL6271">
        <v>86.757965364459196</v>
      </c>
      <c r="AM6271">
        <v>79.842616927476996</v>
      </c>
      <c r="AN6271">
        <v>1.00000002169698</v>
      </c>
    </row>
    <row r="6272" spans="1:40" x14ac:dyDescent="0.25">
      <c r="A6272" t="str">
        <f>"20190312151441127"</f>
        <v>20190312151441127</v>
      </c>
      <c r="B6272" t="str">
        <f>"1552374881116677"</f>
        <v>1552374881116677</v>
      </c>
      <c r="C6272" t="s">
        <v>40</v>
      </c>
      <c r="D6272">
        <v>4.7635509999999996</v>
      </c>
      <c r="E6272">
        <v>0.54579869999999997</v>
      </c>
      <c r="F6272" t="s">
        <v>42</v>
      </c>
      <c r="G6272">
        <v>-182.99700000000001</v>
      </c>
      <c r="H6272" s="1">
        <v>-3.6135319999999998E-6</v>
      </c>
      <c r="I6272">
        <v>114.7911</v>
      </c>
      <c r="J6272">
        <v>-186.74930000000001</v>
      </c>
      <c r="K6272">
        <v>1.106841</v>
      </c>
      <c r="L6272">
        <v>106.80159999999999</v>
      </c>
      <c r="M6272">
        <v>0.12990560000000001</v>
      </c>
      <c r="N6272">
        <v>0</v>
      </c>
      <c r="O6272">
        <v>0.99144390000000004</v>
      </c>
      <c r="P6272">
        <v>0.3021086</v>
      </c>
      <c r="Q6272">
        <v>4.5717019999999997E-2</v>
      </c>
      <c r="R6272">
        <v>0.95217669999999999</v>
      </c>
      <c r="S6272">
        <v>1.266281</v>
      </c>
      <c r="T6272">
        <v>-0.36936089999999999</v>
      </c>
      <c r="U6272">
        <v>2.7678989999999999</v>
      </c>
      <c r="V6272">
        <v>0.176281299999999</v>
      </c>
      <c r="W6272">
        <v>5.6951990000000001E-2</v>
      </c>
      <c r="X6272">
        <v>0.98269090000000003</v>
      </c>
      <c r="Y6272">
        <v>0.29125089999999998</v>
      </c>
      <c r="Z6272">
        <v>-0.1217906</v>
      </c>
      <c r="AA6272">
        <v>0.94886239999999999</v>
      </c>
      <c r="AB6272">
        <v>32</v>
      </c>
      <c r="AC6272">
        <v>3.7522999999999902</v>
      </c>
      <c r="AD6272">
        <v>-1.106844613532</v>
      </c>
      <c r="AE6272">
        <v>7.9894999999999996</v>
      </c>
      <c r="AF6272">
        <v>2.6410056871956802</v>
      </c>
      <c r="AG6272">
        <v>-1.106844613532</v>
      </c>
      <c r="AH6272">
        <v>8.2790909996500606</v>
      </c>
      <c r="AI6272">
        <v>97.258571924236193</v>
      </c>
      <c r="AJ6272">
        <v>72.307470025605298</v>
      </c>
      <c r="AK6272">
        <v>8.7603289789134795</v>
      </c>
      <c r="AL6272">
        <v>86.735124810812096</v>
      </c>
      <c r="AM6272">
        <v>79.830087959883002</v>
      </c>
      <c r="AN6272">
        <v>1.0000000154187201</v>
      </c>
    </row>
    <row r="6273" spans="1:40" x14ac:dyDescent="0.25">
      <c r="A6273" t="str">
        <f>"20190312151441149"</f>
        <v>20190312151441149</v>
      </c>
      <c r="B6273" t="str">
        <f>"1552374881146933"</f>
        <v>1552374881146933</v>
      </c>
      <c r="C6273" t="s">
        <v>40</v>
      </c>
      <c r="D6273">
        <v>4.7528540000000001</v>
      </c>
      <c r="E6273">
        <v>0.54591639999999997</v>
      </c>
      <c r="F6273" t="s">
        <v>42</v>
      </c>
      <c r="G6273">
        <v>-182.92449999999999</v>
      </c>
      <c r="H6273" s="1">
        <v>-3.7289329999999998E-6</v>
      </c>
      <c r="I6273">
        <v>115.0735</v>
      </c>
      <c r="J6273">
        <v>-186.70410000000001</v>
      </c>
      <c r="K6273">
        <v>1.10677</v>
      </c>
      <c r="L6273">
        <v>107.11669999999999</v>
      </c>
      <c r="M6273">
        <v>0.13361709999999999</v>
      </c>
      <c r="N6273">
        <v>0</v>
      </c>
      <c r="O6273">
        <v>0.99095049999999996</v>
      </c>
      <c r="P6273">
        <v>0.30522830000000001</v>
      </c>
      <c r="Q6273">
        <v>4.5471900000000003E-2</v>
      </c>
      <c r="R6273">
        <v>0.95119290000000001</v>
      </c>
      <c r="S6273">
        <v>1.277603</v>
      </c>
      <c r="T6273">
        <v>-0.3697183</v>
      </c>
      <c r="U6273">
        <v>2.7630620000000001</v>
      </c>
      <c r="V6273">
        <v>0.1758287</v>
      </c>
      <c r="W6273">
        <v>5.6685869999999999E-2</v>
      </c>
      <c r="X6273">
        <v>0.98278739999999998</v>
      </c>
      <c r="Y6273">
        <v>0.29150209999999999</v>
      </c>
      <c r="Z6273">
        <v>-0.1219035</v>
      </c>
      <c r="AA6273">
        <v>0.94877080000000003</v>
      </c>
      <c r="AB6273">
        <v>32</v>
      </c>
      <c r="AC6273">
        <v>3.7796000000000101</v>
      </c>
      <c r="AD6273">
        <v>-1.106773728933</v>
      </c>
      <c r="AE6273">
        <v>7.9568000000000003</v>
      </c>
      <c r="AF6273">
        <v>2.6407636983636098</v>
      </c>
      <c r="AG6273">
        <v>-1.106773728933</v>
      </c>
      <c r="AH6273">
        <v>8.2601045880401696</v>
      </c>
      <c r="AI6273">
        <v>97.273148810259002</v>
      </c>
      <c r="AJ6273">
        <v>72.270869843117794</v>
      </c>
      <c r="AK6273">
        <v>8.7423056914645496</v>
      </c>
      <c r="AL6273">
        <v>86.7503971371859</v>
      </c>
      <c r="AM6273">
        <v>79.856631528526293</v>
      </c>
      <c r="AN6273">
        <v>1.00000004660005</v>
      </c>
    </row>
    <row r="6274" spans="1:40" x14ac:dyDescent="0.25">
      <c r="A6274" t="str">
        <f>"20190312151441172"</f>
        <v>20190312151441172</v>
      </c>
      <c r="B6274" t="str">
        <f>"1552374881166453"</f>
        <v>1552374881166453</v>
      </c>
      <c r="C6274" t="s">
        <v>40</v>
      </c>
      <c r="D6274">
        <v>4.7197420000000001</v>
      </c>
      <c r="E6274">
        <v>0.54586569999999901</v>
      </c>
      <c r="F6274" t="s">
        <v>42</v>
      </c>
      <c r="G6274">
        <v>-182.875</v>
      </c>
      <c r="H6274" s="1">
        <v>-3.826402E-6</v>
      </c>
      <c r="I6274">
        <v>115.32129999999999</v>
      </c>
      <c r="J6274">
        <v>-186.6566</v>
      </c>
      <c r="K6274">
        <v>1.1067049999999901</v>
      </c>
      <c r="L6274">
        <v>107.43859999999999</v>
      </c>
      <c r="M6274">
        <v>0.137491</v>
      </c>
      <c r="N6274">
        <v>0</v>
      </c>
      <c r="O6274">
        <v>0.99042039999999998</v>
      </c>
      <c r="P6274">
        <v>0.30878879999999997</v>
      </c>
      <c r="Q6274">
        <v>4.5051000000000001E-2</v>
      </c>
      <c r="R6274">
        <v>0.95006310000000005</v>
      </c>
      <c r="S6274">
        <v>1.2874300000000001</v>
      </c>
      <c r="T6274">
        <v>-0.37212709999999999</v>
      </c>
      <c r="U6274">
        <v>2.7586059999999999</v>
      </c>
      <c r="V6274">
        <v>0.1756694</v>
      </c>
      <c r="W6274">
        <v>5.6242640000000003E-2</v>
      </c>
      <c r="X6274">
        <v>0.98284130000000003</v>
      </c>
      <c r="Y6274">
        <v>0.29108600000000001</v>
      </c>
      <c r="Z6274">
        <v>-0.122685199999999</v>
      </c>
      <c r="AA6274">
        <v>0.94879780000000002</v>
      </c>
      <c r="AB6274">
        <v>32</v>
      </c>
      <c r="AC6274">
        <v>3.7815999999999899</v>
      </c>
      <c r="AD6274">
        <v>-1.10670882640199</v>
      </c>
      <c r="AE6274">
        <v>7.8826999999999998</v>
      </c>
      <c r="AF6274">
        <v>2.6198124303600498</v>
      </c>
      <c r="AG6274">
        <v>-1.10670882640199</v>
      </c>
      <c r="AH6274">
        <v>8.1964672894450992</v>
      </c>
      <c r="AI6274">
        <v>97.328736260129403</v>
      </c>
      <c r="AJ6274">
        <v>72.274715512411504</v>
      </c>
      <c r="AK6274">
        <v>8.67584564314331</v>
      </c>
      <c r="AL6274">
        <v>86.775832763599894</v>
      </c>
      <c r="AM6274">
        <v>79.866175071663505</v>
      </c>
      <c r="AN6274">
        <v>0.99999999681810903</v>
      </c>
    </row>
    <row r="6275" spans="1:40" x14ac:dyDescent="0.25">
      <c r="A6275" t="str">
        <f>"20190312151441194"</f>
        <v>20190312151441194</v>
      </c>
      <c r="B6275" t="str">
        <f>"1552374881186949"</f>
        <v>1552374881186949</v>
      </c>
      <c r="C6275" t="s">
        <v>40</v>
      </c>
      <c r="D6275">
        <v>4.7077960000000001</v>
      </c>
      <c r="E6275">
        <v>0.54592379999999996</v>
      </c>
      <c r="F6275" t="s">
        <v>42</v>
      </c>
      <c r="G6275">
        <v>-182.85120000000001</v>
      </c>
      <c r="H6275" s="1">
        <v>-3.8991749999999998E-6</v>
      </c>
      <c r="I6275">
        <v>115.51649999999999</v>
      </c>
      <c r="J6275">
        <v>-186.6096</v>
      </c>
      <c r="K6275">
        <v>1.1066419999999999</v>
      </c>
      <c r="L6275">
        <v>107.7492</v>
      </c>
      <c r="M6275">
        <v>0.1413122</v>
      </c>
      <c r="N6275">
        <v>0</v>
      </c>
      <c r="O6275">
        <v>0.98988240000000005</v>
      </c>
      <c r="P6275">
        <v>0.31210260000000001</v>
      </c>
      <c r="Q6275">
        <v>4.4439970000000002E-2</v>
      </c>
      <c r="R6275">
        <v>0.94900850000000003</v>
      </c>
      <c r="S6275">
        <v>1.2973330000000001</v>
      </c>
      <c r="T6275">
        <v>-0.3772973</v>
      </c>
      <c r="U6275">
        <v>2.7539220000000002</v>
      </c>
      <c r="V6275">
        <v>0.17530589999999999</v>
      </c>
      <c r="W6275">
        <v>5.5611819999999999E-2</v>
      </c>
      <c r="X6275">
        <v>0.98294210000000004</v>
      </c>
      <c r="Y6275">
        <v>0.29072120000000001</v>
      </c>
      <c r="Z6275">
        <v>-0.1243673</v>
      </c>
      <c r="AA6275">
        <v>0.9486907</v>
      </c>
      <c r="AB6275">
        <v>32</v>
      </c>
      <c r="AC6275">
        <v>3.7583999999999902</v>
      </c>
      <c r="AD6275">
        <v>-1.1066458991749999</v>
      </c>
      <c r="AE6275">
        <v>7.7672999999999899</v>
      </c>
      <c r="AF6275">
        <v>2.5805297528245101</v>
      </c>
      <c r="AG6275">
        <v>-1.1066458991749999</v>
      </c>
      <c r="AH6275">
        <v>8.0874710067667799</v>
      </c>
      <c r="AI6275">
        <v>97.427163613395606</v>
      </c>
      <c r="AJ6275">
        <v>72.303288704650001</v>
      </c>
      <c r="AK6275">
        <v>8.56101549097224</v>
      </c>
      <c r="AL6275">
        <v>86.812032764657403</v>
      </c>
      <c r="AM6275">
        <v>79.887726699659495</v>
      </c>
      <c r="AN6275">
        <v>1.0000000025254601</v>
      </c>
    </row>
    <row r="6276" spans="1:40" x14ac:dyDescent="0.25">
      <c r="A6276" t="str">
        <f>"20190312151441217"</f>
        <v>20190312151441217</v>
      </c>
      <c r="B6276" t="str">
        <f>"1552374881206474"</f>
        <v>1552374881206474</v>
      </c>
      <c r="C6276" t="s">
        <v>40</v>
      </c>
      <c r="D6276">
        <v>4.7722769999999999</v>
      </c>
      <c r="E6276">
        <v>0.54604209999999997</v>
      </c>
      <c r="F6276" t="s">
        <v>42</v>
      </c>
      <c r="G6276">
        <v>-182.80850000000001</v>
      </c>
      <c r="H6276" s="1">
        <v>-3.9876980000000003E-6</v>
      </c>
      <c r="I6276">
        <v>115.7433</v>
      </c>
      <c r="J6276">
        <v>-186.56139999999999</v>
      </c>
      <c r="K6276">
        <v>1.1065670000000001</v>
      </c>
      <c r="L6276">
        <v>108.0587</v>
      </c>
      <c r="M6276">
        <v>0.14520179999999999</v>
      </c>
      <c r="N6276">
        <v>0</v>
      </c>
      <c r="O6276">
        <v>0.98931930000000001</v>
      </c>
      <c r="P6276">
        <v>0.31611230000000001</v>
      </c>
      <c r="Q6276">
        <v>4.3922309999999999E-2</v>
      </c>
      <c r="R6276">
        <v>0.94770449999999995</v>
      </c>
      <c r="S6276">
        <v>1.307175</v>
      </c>
      <c r="T6276">
        <v>-0.38057239999999998</v>
      </c>
      <c r="U6276">
        <v>2.7491300000000001</v>
      </c>
      <c r="V6276">
        <v>0.17560010000000001</v>
      </c>
      <c r="W6276">
        <v>5.5066209999999997E-2</v>
      </c>
      <c r="X6276">
        <v>0.98292029999999997</v>
      </c>
      <c r="Y6276">
        <v>0.29031659999999998</v>
      </c>
      <c r="Z6276">
        <v>-0.1254344</v>
      </c>
      <c r="AA6276">
        <v>0.94867409999999996</v>
      </c>
      <c r="AB6276">
        <v>32</v>
      </c>
      <c r="AC6276">
        <v>3.7528999999999799</v>
      </c>
      <c r="AD6276">
        <v>-1.1065709876980001</v>
      </c>
      <c r="AE6276">
        <v>7.6845999999999997</v>
      </c>
      <c r="AF6276">
        <v>2.5544436314282901</v>
      </c>
      <c r="AG6276">
        <v>-1.1065709876980001</v>
      </c>
      <c r="AH6276">
        <v>8.0139449228833897</v>
      </c>
      <c r="AI6276">
        <v>97.494736090006697</v>
      </c>
      <c r="AJ6276">
        <v>72.320327542387304</v>
      </c>
      <c r="AK6276">
        <v>8.4836899309184997</v>
      </c>
      <c r="AL6276">
        <v>86.843341882684697</v>
      </c>
      <c r="AM6276">
        <v>79.870887280323302</v>
      </c>
      <c r="AN6276">
        <v>0.99999999937793105</v>
      </c>
    </row>
    <row r="6277" spans="1:40" x14ac:dyDescent="0.25">
      <c r="A6277" t="str">
        <f>"20190312151441239"</f>
        <v>20190312151441239</v>
      </c>
      <c r="B6277" t="str">
        <f>"1552374881236725"</f>
        <v>1552374881236725</v>
      </c>
      <c r="C6277" t="s">
        <v>40</v>
      </c>
      <c r="D6277">
        <v>4.7939030000000002</v>
      </c>
      <c r="E6277">
        <v>0.54608259999999997</v>
      </c>
      <c r="F6277" t="s">
        <v>42</v>
      </c>
      <c r="G6277">
        <v>-182.768</v>
      </c>
      <c r="H6277" s="1">
        <v>-4.0660240000000004E-6</v>
      </c>
      <c r="I6277">
        <v>115.9417</v>
      </c>
      <c r="J6277">
        <v>-186.50980000000001</v>
      </c>
      <c r="K6277">
        <v>1.1064940000000001</v>
      </c>
      <c r="L6277">
        <v>108.3809</v>
      </c>
      <c r="M6277">
        <v>0.1493351</v>
      </c>
      <c r="N6277">
        <v>0</v>
      </c>
      <c r="O6277">
        <v>0.98870380000000002</v>
      </c>
      <c r="P6277">
        <v>0.32059320000000002</v>
      </c>
      <c r="Q6277">
        <v>4.348639E-2</v>
      </c>
      <c r="R6277">
        <v>0.94621829999999996</v>
      </c>
      <c r="S6277">
        <v>1.3199920000000001</v>
      </c>
      <c r="T6277">
        <v>-0.38505549999999999</v>
      </c>
      <c r="U6277">
        <v>2.7430880000000002</v>
      </c>
      <c r="V6277">
        <v>0.17614649999999901</v>
      </c>
      <c r="W6277">
        <v>5.4598170000000001E-2</v>
      </c>
      <c r="X6277">
        <v>0.98284859999999996</v>
      </c>
      <c r="Y6277">
        <v>0.29065560000000001</v>
      </c>
      <c r="Z6277">
        <v>-0.12689020000000001</v>
      </c>
      <c r="AA6277">
        <v>0.94837660000000001</v>
      </c>
      <c r="AB6277">
        <v>32</v>
      </c>
      <c r="AC6277">
        <v>3.7418000000000098</v>
      </c>
      <c r="AD6277">
        <v>-1.106498066024</v>
      </c>
      <c r="AE6277">
        <v>7.5608000000000004</v>
      </c>
      <c r="AF6277">
        <v>2.5271726851955298</v>
      </c>
      <c r="AG6277">
        <v>-1.106498066024</v>
      </c>
      <c r="AH6277">
        <v>7.8989402442983501</v>
      </c>
      <c r="AI6277">
        <v>97.599506353351998</v>
      </c>
      <c r="AJ6277">
        <v>72.258540658840005</v>
      </c>
      <c r="AK6277">
        <v>8.3668510644034697</v>
      </c>
      <c r="AL6277">
        <v>86.8701988807493</v>
      </c>
      <c r="AM6277">
        <v>79.839299210155701</v>
      </c>
      <c r="AN6277">
        <v>0.99999996007577796</v>
      </c>
    </row>
    <row r="6278" spans="1:40" x14ac:dyDescent="0.25">
      <c r="A6278" t="str">
        <f>"20190312151441262"</f>
        <v>20190312151441262</v>
      </c>
      <c r="B6278" t="str">
        <f>"1552374881257221"</f>
        <v>1552374881257221</v>
      </c>
      <c r="C6278" t="s">
        <v>40</v>
      </c>
      <c r="D6278">
        <v>4.7488710000000003</v>
      </c>
      <c r="E6278">
        <v>0.54607879999999998</v>
      </c>
      <c r="F6278" t="s">
        <v>42</v>
      </c>
      <c r="G6278">
        <v>-182.73179999999999</v>
      </c>
      <c r="H6278" s="1">
        <v>-4.1418319999999999E-6</v>
      </c>
      <c r="I6278">
        <v>116.1362</v>
      </c>
      <c r="J6278">
        <v>-186.45750000000001</v>
      </c>
      <c r="K6278">
        <v>1.1064229999999999</v>
      </c>
      <c r="L6278">
        <v>108.69889999999999</v>
      </c>
      <c r="M6278">
        <v>0.1534963</v>
      </c>
      <c r="N6278">
        <v>0</v>
      </c>
      <c r="O6278">
        <v>0.98806629999999995</v>
      </c>
      <c r="P6278">
        <v>0.32535520000000001</v>
      </c>
      <c r="Q6278">
        <v>4.3084160000000003E-2</v>
      </c>
      <c r="R6278">
        <v>0.94460980000000005</v>
      </c>
      <c r="S6278">
        <v>1.333221</v>
      </c>
      <c r="T6278">
        <v>-0.39047009999999899</v>
      </c>
      <c r="U6278">
        <v>2.736755</v>
      </c>
      <c r="V6278">
        <v>0.17696289999999901</v>
      </c>
      <c r="W6278">
        <v>5.4161090000000002E-2</v>
      </c>
      <c r="X6278">
        <v>0.98272619999999999</v>
      </c>
      <c r="Y6278">
        <v>0.29110009999999997</v>
      </c>
      <c r="Z6278">
        <v>-0.12864700000000001</v>
      </c>
      <c r="AA6278">
        <v>0.9480035</v>
      </c>
      <c r="AB6278">
        <v>32</v>
      </c>
      <c r="AC6278">
        <v>3.72570000000001</v>
      </c>
      <c r="AD6278">
        <v>-1.106427141832</v>
      </c>
      <c r="AE6278">
        <v>7.4372999999999996</v>
      </c>
      <c r="AF6278">
        <v>2.49569500589751</v>
      </c>
      <c r="AG6278">
        <v>-1.106427141832</v>
      </c>
      <c r="AH6278">
        <v>7.7833727321188002</v>
      </c>
      <c r="AI6278">
        <v>97.708945038613706</v>
      </c>
      <c r="AJ6278">
        <v>72.221841963478198</v>
      </c>
      <c r="AK6278">
        <v>8.2482462178171403</v>
      </c>
      <c r="AL6278">
        <v>86.895279073112306</v>
      </c>
      <c r="AM6278">
        <v>79.791949871784894</v>
      </c>
      <c r="AN6278">
        <v>1.00000003790641</v>
      </c>
    </row>
    <row r="6279" spans="1:40" x14ac:dyDescent="0.25">
      <c r="A6279" t="str">
        <f>"20190312151441285"</f>
        <v>20190312151441285</v>
      </c>
      <c r="B6279" t="str">
        <f>"1552374881276742"</f>
        <v>1552374881276742</v>
      </c>
      <c r="C6279" t="s">
        <v>40</v>
      </c>
      <c r="D6279">
        <v>4.8180620000000003</v>
      </c>
      <c r="E6279">
        <v>0.5462359</v>
      </c>
      <c r="F6279" t="s">
        <v>42</v>
      </c>
      <c r="G6279">
        <v>-182.6764</v>
      </c>
      <c r="H6279" s="1">
        <v>-4.2326559999999998E-6</v>
      </c>
      <c r="I6279">
        <v>116.35980000000001</v>
      </c>
      <c r="J6279">
        <v>-186.40289999999999</v>
      </c>
      <c r="K6279">
        <v>1.1063510000000001</v>
      </c>
      <c r="L6279">
        <v>109.02160000000001</v>
      </c>
      <c r="M6279">
        <v>0.15780169999999999</v>
      </c>
      <c r="N6279">
        <v>0</v>
      </c>
      <c r="O6279">
        <v>0.98738769999999998</v>
      </c>
      <c r="P6279">
        <v>0.33000790000000002</v>
      </c>
      <c r="Q6279">
        <v>4.2864689999999997E-2</v>
      </c>
      <c r="R6279">
        <v>0.94300450000000002</v>
      </c>
      <c r="S6279">
        <v>1.347321</v>
      </c>
      <c r="T6279">
        <v>-0.39425890000000002</v>
      </c>
      <c r="U6279">
        <v>2.7298429999999998</v>
      </c>
      <c r="V6279">
        <v>0.17752999999999999</v>
      </c>
      <c r="W6279">
        <v>5.3908739999999997E-2</v>
      </c>
      <c r="X6279">
        <v>0.98263780000000001</v>
      </c>
      <c r="Y6279">
        <v>0.291751599999999</v>
      </c>
      <c r="Z6279">
        <v>-0.12987860000000001</v>
      </c>
      <c r="AA6279">
        <v>0.94763520000000001</v>
      </c>
      <c r="AB6279">
        <v>32</v>
      </c>
      <c r="AC6279">
        <v>3.7264999999999802</v>
      </c>
      <c r="AD6279">
        <v>-1.106355232656</v>
      </c>
      <c r="AE6279">
        <v>7.3381999999999996</v>
      </c>
      <c r="AF6279">
        <v>2.4769668257042001</v>
      </c>
      <c r="AG6279">
        <v>-1.106355232656</v>
      </c>
      <c r="AH6279">
        <v>7.6952820351173399</v>
      </c>
      <c r="AI6279">
        <v>97.792839772257494</v>
      </c>
      <c r="AJ6279">
        <v>72.157607537211803</v>
      </c>
      <c r="AK6279">
        <v>8.1594578347132902</v>
      </c>
      <c r="AL6279">
        <v>86.909758852863504</v>
      </c>
      <c r="AM6279">
        <v>79.759026266504407</v>
      </c>
      <c r="AN6279">
        <v>1.0000000495686101</v>
      </c>
    </row>
    <row r="6280" spans="1:40" x14ac:dyDescent="0.25">
      <c r="A6280" t="str">
        <f>"20190312151441306"</f>
        <v>20190312151441306</v>
      </c>
      <c r="B6280" t="str">
        <f>"1552374881297238"</f>
        <v>1552374881297238</v>
      </c>
      <c r="C6280" t="s">
        <v>40</v>
      </c>
      <c r="D6280">
        <v>4.7607949999999999</v>
      </c>
      <c r="E6280">
        <v>0.54631739999999995</v>
      </c>
      <c r="F6280" t="s">
        <v>42</v>
      </c>
      <c r="G6280">
        <v>-182.60470000000001</v>
      </c>
      <c r="H6280" s="1">
        <v>-4.33684E-6</v>
      </c>
      <c r="I6280">
        <v>116.6099</v>
      </c>
      <c r="J6280">
        <v>-186.35130000000001</v>
      </c>
      <c r="K6280">
        <v>1.1062860000000001</v>
      </c>
      <c r="L6280">
        <v>109.3184</v>
      </c>
      <c r="M6280">
        <v>0.16184179999999901</v>
      </c>
      <c r="N6280">
        <v>0</v>
      </c>
      <c r="O6280">
        <v>0.98673350000000004</v>
      </c>
      <c r="P6280">
        <v>0.33432909999999999</v>
      </c>
      <c r="Q6280">
        <v>4.2894880000000003E-2</v>
      </c>
      <c r="R6280">
        <v>0.94147970000000003</v>
      </c>
      <c r="S6280">
        <v>1.3626860000000001</v>
      </c>
      <c r="T6280">
        <v>-0.39693210000000001</v>
      </c>
      <c r="U6280">
        <v>2.7224879999999998</v>
      </c>
      <c r="V6280">
        <v>0.17802390000000001</v>
      </c>
      <c r="W6280">
        <v>5.3913500000000003E-2</v>
      </c>
      <c r="X6280">
        <v>0.98254810000000004</v>
      </c>
      <c r="Y6280">
        <v>0.29309049999999998</v>
      </c>
      <c r="Z6280">
        <v>-0.13074369999999999</v>
      </c>
      <c r="AA6280">
        <v>0.94710300000000003</v>
      </c>
      <c r="AB6280">
        <v>32</v>
      </c>
      <c r="AC6280">
        <v>3.7465999999999999</v>
      </c>
      <c r="AD6280">
        <v>-1.1062903368400001</v>
      </c>
      <c r="AE6280">
        <v>7.2914999999999903</v>
      </c>
      <c r="AF6280">
        <v>2.47201345926617</v>
      </c>
      <c r="AG6280">
        <v>-1.1062903368400001</v>
      </c>
      <c r="AH6280">
        <v>7.6622226370704096</v>
      </c>
      <c r="AI6280">
        <v>97.823918899142896</v>
      </c>
      <c r="AJ6280">
        <v>72.119076918789702</v>
      </c>
      <c r="AK6280">
        <v>8.1267696283463593</v>
      </c>
      <c r="AL6280">
        <v>86.909485486677895</v>
      </c>
      <c r="AM6280">
        <v>79.730223085551799</v>
      </c>
      <c r="AN6280">
        <v>0.99999997163353405</v>
      </c>
    </row>
    <row r="6281" spans="1:40" x14ac:dyDescent="0.25">
      <c r="A6281" t="str">
        <f>"20190312151441329"</f>
        <v>20190312151441329</v>
      </c>
      <c r="B6281" t="str">
        <f>"1552374881316757"</f>
        <v>1552374881316757</v>
      </c>
      <c r="C6281" t="s">
        <v>40</v>
      </c>
      <c r="D6281">
        <v>4.7757809999999896</v>
      </c>
      <c r="E6281">
        <v>0.54642089999999999</v>
      </c>
      <c r="F6281" t="s">
        <v>42</v>
      </c>
      <c r="G6281">
        <v>-182.53980000000001</v>
      </c>
      <c r="H6281" s="1">
        <v>-4.4322370000000001E-6</v>
      </c>
      <c r="I6281">
        <v>116.8395</v>
      </c>
      <c r="J6281">
        <v>-186.29419999999999</v>
      </c>
      <c r="K6281">
        <v>1.1062209999999999</v>
      </c>
      <c r="L6281">
        <v>109.63800000000001</v>
      </c>
      <c r="M6281">
        <v>0.16627749999999999</v>
      </c>
      <c r="N6281">
        <v>0</v>
      </c>
      <c r="O6281">
        <v>0.98599550000000002</v>
      </c>
      <c r="P6281">
        <v>0.33872590000000002</v>
      </c>
      <c r="Q6281">
        <v>4.3554240000000001E-2</v>
      </c>
      <c r="R6281">
        <v>0.9398765</v>
      </c>
      <c r="S6281">
        <v>1.376358</v>
      </c>
      <c r="T6281">
        <v>-0.39949010000000001</v>
      </c>
      <c r="U6281">
        <v>2.7159119999999999</v>
      </c>
      <c r="V6281">
        <v>0.17821789999999901</v>
      </c>
      <c r="W6281">
        <v>5.4553900000000002E-2</v>
      </c>
      <c r="X6281">
        <v>0.98247759999999995</v>
      </c>
      <c r="Y6281">
        <v>0.29346409999999901</v>
      </c>
      <c r="Z6281">
        <v>-0.1315568</v>
      </c>
      <c r="AA6281">
        <v>0.94687469999999996</v>
      </c>
      <c r="AB6281">
        <v>32</v>
      </c>
      <c r="AC6281">
        <v>3.7543999999999702</v>
      </c>
      <c r="AD6281">
        <v>-1.106225432237</v>
      </c>
      <c r="AE6281">
        <v>7.2015000000000002</v>
      </c>
      <c r="AF6281">
        <v>2.4589580578612802</v>
      </c>
      <c r="AG6281">
        <v>-1.106225432237</v>
      </c>
      <c r="AH6281">
        <v>7.5848298822092097</v>
      </c>
      <c r="AI6281">
        <v>97.898702438344998</v>
      </c>
      <c r="AJ6281">
        <v>72.037605125387202</v>
      </c>
      <c r="AK6281">
        <v>8.0498356367880408</v>
      </c>
      <c r="AL6281">
        <v>86.872739248394794</v>
      </c>
      <c r="AM6281">
        <v>79.718548246715699</v>
      </c>
      <c r="AN6281">
        <v>0.99999999119368999</v>
      </c>
    </row>
    <row r="6282" spans="1:40" x14ac:dyDescent="0.25">
      <c r="A6282" t="str">
        <f>"20190312151441350"</f>
        <v>20190312151441350</v>
      </c>
      <c r="B6282" t="str">
        <f>"1552374881347013"</f>
        <v>1552374881347013</v>
      </c>
      <c r="C6282" t="s">
        <v>40</v>
      </c>
      <c r="D6282">
        <v>4.7577249999999998</v>
      </c>
      <c r="E6282">
        <v>0.5465468</v>
      </c>
      <c r="F6282" t="s">
        <v>42</v>
      </c>
      <c r="G6282">
        <v>-182.44730000000001</v>
      </c>
      <c r="H6282" s="1">
        <v>-4.5579229999999996E-6</v>
      </c>
      <c r="I6282">
        <v>117.1345</v>
      </c>
      <c r="J6282">
        <v>-186.23759999999999</v>
      </c>
      <c r="K6282">
        <v>1.1061650000000001</v>
      </c>
      <c r="L6282">
        <v>109.9466</v>
      </c>
      <c r="M6282">
        <v>0.17062379999999999</v>
      </c>
      <c r="N6282">
        <v>0</v>
      </c>
      <c r="O6282">
        <v>0.98525249999999998</v>
      </c>
      <c r="P6282">
        <v>0.34336359999999999</v>
      </c>
      <c r="Q6282">
        <v>4.3635569999999999E-2</v>
      </c>
      <c r="R6282">
        <v>0.93818840000000003</v>
      </c>
      <c r="S6282">
        <v>1.3903350000000001</v>
      </c>
      <c r="T6282">
        <v>-0.3998121</v>
      </c>
      <c r="U6282">
        <v>2.7093660000000002</v>
      </c>
      <c r="V6282">
        <v>0.1787474</v>
      </c>
      <c r="W6282">
        <v>5.4616270000000001E-2</v>
      </c>
      <c r="X6282">
        <v>0.98237790000000003</v>
      </c>
      <c r="Y6282">
        <v>0.29404370000000002</v>
      </c>
      <c r="Z6282">
        <v>-0.13163540000000001</v>
      </c>
      <c r="AA6282">
        <v>0.94668390000000002</v>
      </c>
      <c r="AB6282">
        <v>32</v>
      </c>
      <c r="AC6282">
        <v>3.79029999999997</v>
      </c>
      <c r="AD6282">
        <v>-1.106169557923</v>
      </c>
      <c r="AE6282">
        <v>7.1878999999999902</v>
      </c>
      <c r="AF6282">
        <v>2.46255042259962</v>
      </c>
      <c r="AG6282">
        <v>-1.106169557923</v>
      </c>
      <c r="AH6282">
        <v>7.5886285675522496</v>
      </c>
      <c r="AI6282">
        <v>97.893693024767501</v>
      </c>
      <c r="AJ6282">
        <v>72.021476910905804</v>
      </c>
      <c r="AK6282">
        <v>8.0545049016678405</v>
      </c>
      <c r="AL6282">
        <v>86.869160258940497</v>
      </c>
      <c r="AM6282">
        <v>79.687631557579707</v>
      </c>
      <c r="AN6282">
        <v>0.99999995418193999</v>
      </c>
    </row>
    <row r="6283" spans="1:40" x14ac:dyDescent="0.25">
      <c r="A6283" t="str">
        <f>"20190312151441373"</f>
        <v>20190312151441373</v>
      </c>
      <c r="B6283" t="str">
        <f>"1552374881366543"</f>
        <v>1552374881366543</v>
      </c>
      <c r="C6283" t="s">
        <v>40</v>
      </c>
      <c r="D6283">
        <v>4.7554860000000003</v>
      </c>
      <c r="E6283">
        <v>0.55114619999999903</v>
      </c>
      <c r="F6283" t="s">
        <v>42</v>
      </c>
      <c r="G6283">
        <v>-182.3897</v>
      </c>
      <c r="H6283" s="1">
        <v>-4.6595750000000002E-6</v>
      </c>
      <c r="I6283">
        <v>117.3476</v>
      </c>
      <c r="J6283">
        <v>-186.1788</v>
      </c>
      <c r="K6283">
        <v>1.1061019999999999</v>
      </c>
      <c r="L6283">
        <v>110.2589</v>
      </c>
      <c r="M6283">
        <v>0.17509</v>
      </c>
      <c r="N6283">
        <v>0</v>
      </c>
      <c r="O6283">
        <v>0.98446849999999997</v>
      </c>
      <c r="P6283">
        <v>0.34781089999999998</v>
      </c>
      <c r="Q6283">
        <v>4.3539149999999999E-2</v>
      </c>
      <c r="R6283">
        <v>0.93655319999999997</v>
      </c>
      <c r="S6283">
        <v>1.404938</v>
      </c>
      <c r="T6283">
        <v>-0.40387990000000001</v>
      </c>
      <c r="U6283">
        <v>2.7022400000000002</v>
      </c>
      <c r="V6283">
        <v>0.17895949999999999</v>
      </c>
      <c r="W6283">
        <v>5.4504860000000002E-2</v>
      </c>
      <c r="X6283">
        <v>0.98234549999999998</v>
      </c>
      <c r="Y6283">
        <v>0.294682</v>
      </c>
      <c r="Z6283">
        <v>-0.13293089999999999</v>
      </c>
      <c r="AA6283">
        <v>0.94630429999999999</v>
      </c>
      <c r="AB6283">
        <v>32</v>
      </c>
      <c r="AC6283">
        <v>3.7890999999999901</v>
      </c>
      <c r="AD6283">
        <v>-1.106106659575</v>
      </c>
      <c r="AE6283">
        <v>7.0887000000000002</v>
      </c>
      <c r="AF6283">
        <v>2.4430307557764102</v>
      </c>
      <c r="AG6283">
        <v>-1.106106659575</v>
      </c>
      <c r="AH6283">
        <v>7.5006263858143001</v>
      </c>
      <c r="AI6283">
        <v>97.981879106414297</v>
      </c>
      <c r="AJ6283">
        <v>71.9590404180436</v>
      </c>
      <c r="AK6283">
        <v>7.9656303828133597</v>
      </c>
      <c r="AL6283">
        <v>86.875553191061599</v>
      </c>
      <c r="AM6283">
        <v>79.675324814173194</v>
      </c>
      <c r="AN6283">
        <v>0.99999998188705896</v>
      </c>
    </row>
    <row r="6284" spans="1:40" x14ac:dyDescent="0.25">
      <c r="A6284" t="str">
        <f>"20190312151441395"</f>
        <v>20190312151441395</v>
      </c>
      <c r="B6284" t="str">
        <f>"1552374881387038"</f>
        <v>1552374881387038</v>
      </c>
      <c r="C6284" t="s">
        <v>40</v>
      </c>
      <c r="D6284">
        <v>4.7085059999999999</v>
      </c>
      <c r="E6284">
        <v>0.55058809999999903</v>
      </c>
      <c r="F6284" t="s">
        <v>42</v>
      </c>
      <c r="G6284">
        <v>-182.7474</v>
      </c>
      <c r="H6284" s="1">
        <v>-4.2916440000000001E-6</v>
      </c>
      <c r="I6284">
        <v>116.5886</v>
      </c>
      <c r="J6284">
        <v>-186.1181</v>
      </c>
      <c r="K6284">
        <v>1.1060410000000001</v>
      </c>
      <c r="L6284">
        <v>110.57340000000001</v>
      </c>
      <c r="M6284">
        <v>0.1796584</v>
      </c>
      <c r="N6284">
        <v>0</v>
      </c>
      <c r="O6284">
        <v>0.98364479999999999</v>
      </c>
      <c r="P6284">
        <v>0.35243350000000001</v>
      </c>
      <c r="Q6284">
        <v>4.311955E-2</v>
      </c>
      <c r="R6284">
        <v>0.93484290000000003</v>
      </c>
      <c r="S6284">
        <v>1.4553529999999999</v>
      </c>
      <c r="T6284">
        <v>-0.46912150000000002</v>
      </c>
      <c r="U6284">
        <v>2.6845699999999999</v>
      </c>
      <c r="V6284">
        <v>0.17925260000000001</v>
      </c>
      <c r="W6284">
        <v>5.4069190000000003E-2</v>
      </c>
      <c r="X6284">
        <v>0.98231610000000003</v>
      </c>
      <c r="Y6284">
        <v>0.30517230000000001</v>
      </c>
      <c r="Z6284">
        <v>-0.153695</v>
      </c>
      <c r="AA6284">
        <v>0.9398126</v>
      </c>
      <c r="AB6284">
        <v>32</v>
      </c>
      <c r="AC6284">
        <v>3.3706999999999998</v>
      </c>
      <c r="AD6284">
        <v>-1.106045291644</v>
      </c>
      <c r="AE6284">
        <v>6.0151999999999903</v>
      </c>
      <c r="AF6284">
        <v>2.1790086475280401</v>
      </c>
      <c r="AG6284">
        <v>-1.106045291644</v>
      </c>
      <c r="AH6284">
        <v>6.3593074259268301</v>
      </c>
      <c r="AI6284">
        <v>99.343423005849601</v>
      </c>
      <c r="AJ6284">
        <v>71.086041119330403</v>
      </c>
      <c r="AK6284">
        <v>6.8126504248066304</v>
      </c>
      <c r="AL6284">
        <v>86.9005519970965</v>
      </c>
      <c r="AM6284">
        <v>79.658476788851004</v>
      </c>
      <c r="AN6284">
        <v>0.99999994611661103</v>
      </c>
    </row>
    <row r="6285" spans="1:40" x14ac:dyDescent="0.25">
      <c r="A6285" t="str">
        <f>"20190312151441417"</f>
        <v>20190312151441417</v>
      </c>
      <c r="B6285" t="str">
        <f>"1552374881406565"</f>
        <v>1552374881406565</v>
      </c>
      <c r="C6285" t="s">
        <v>40</v>
      </c>
      <c r="D6285">
        <v>4.702896</v>
      </c>
      <c r="E6285">
        <v>0.55091540000000006</v>
      </c>
      <c r="F6285" t="s">
        <v>42</v>
      </c>
      <c r="G6285">
        <v>-182.69380000000001</v>
      </c>
      <c r="H6285" s="1">
        <v>-4.389535E-6</v>
      </c>
      <c r="I6285">
        <v>116.8344</v>
      </c>
      <c r="J6285">
        <v>-186.05779999999999</v>
      </c>
      <c r="K6285">
        <v>1.105988</v>
      </c>
      <c r="L6285">
        <v>110.87820000000001</v>
      </c>
      <c r="M6285">
        <v>0.18415429999999999</v>
      </c>
      <c r="N6285">
        <v>0</v>
      </c>
      <c r="O6285">
        <v>0.98281289999999999</v>
      </c>
      <c r="P6285">
        <v>0.35651379999999999</v>
      </c>
      <c r="Q6285">
        <v>4.2696999999999999E-2</v>
      </c>
      <c r="R6285">
        <v>0.93331399999999998</v>
      </c>
      <c r="S6285">
        <v>1.464996</v>
      </c>
      <c r="T6285">
        <v>-0.47319630000000001</v>
      </c>
      <c r="U6285">
        <v>2.6786349999999999</v>
      </c>
      <c r="V6285">
        <v>0.17905190000000001</v>
      </c>
      <c r="W6285">
        <v>5.3635429999999998E-2</v>
      </c>
      <c r="X6285">
        <v>0.98237649999999999</v>
      </c>
      <c r="Y6285">
        <v>0.30420449999999999</v>
      </c>
      <c r="Z6285">
        <v>-0.1549973</v>
      </c>
      <c r="AA6285">
        <v>0.93991250000000004</v>
      </c>
      <c r="AB6285">
        <v>32</v>
      </c>
      <c r="AC6285">
        <v>3.3639999999999701</v>
      </c>
      <c r="AD6285">
        <v>-1.1059923895349999</v>
      </c>
      <c r="AE6285">
        <v>5.9561999999999902</v>
      </c>
      <c r="AF6285">
        <v>2.15321848574728</v>
      </c>
      <c r="AG6285">
        <v>-1.1059923895349999</v>
      </c>
      <c r="AH6285">
        <v>6.3089395108149402</v>
      </c>
      <c r="AI6285">
        <v>99.420073312512102</v>
      </c>
      <c r="AJ6285">
        <v>71.155410506581106</v>
      </c>
      <c r="AK6285">
        <v>6.75738756948238</v>
      </c>
      <c r="AL6285">
        <v>86.925440789823696</v>
      </c>
      <c r="AM6285">
        <v>79.670427693386202</v>
      </c>
      <c r="AN6285">
        <v>0.99999996499857102</v>
      </c>
    </row>
    <row r="6286" spans="1:40" x14ac:dyDescent="0.25">
      <c r="A6286" t="str">
        <f>"20190312151441439"</f>
        <v>20190312151441439</v>
      </c>
      <c r="B6286" t="str">
        <f>"1552374881427054"</f>
        <v>1552374881427054</v>
      </c>
      <c r="C6286" t="s">
        <v>40</v>
      </c>
      <c r="D6286">
        <v>4.6898559999999998</v>
      </c>
      <c r="E6286">
        <v>0.53835379999999999</v>
      </c>
      <c r="F6286" t="s">
        <v>42</v>
      </c>
      <c r="G6286">
        <v>-182.57839999999999</v>
      </c>
      <c r="H6286" s="1">
        <v>-4.5450230000000001E-6</v>
      </c>
      <c r="I6286">
        <v>117.15860000000001</v>
      </c>
      <c r="J6286">
        <v>-185.9949</v>
      </c>
      <c r="K6286">
        <v>1.1059270000000001</v>
      </c>
      <c r="L6286">
        <v>111.1879</v>
      </c>
      <c r="M6286">
        <v>0.1887906</v>
      </c>
      <c r="N6286">
        <v>0</v>
      </c>
      <c r="O6286">
        <v>0.98193269999999999</v>
      </c>
      <c r="P6286">
        <v>0.36130990000000002</v>
      </c>
      <c r="Q6286">
        <v>4.2271299999999998E-2</v>
      </c>
      <c r="R6286">
        <v>0.93148710000000001</v>
      </c>
      <c r="S6286">
        <v>1.479584</v>
      </c>
      <c r="T6286">
        <v>-0.47031659999999997</v>
      </c>
      <c r="U6286">
        <v>2.6707000000000001</v>
      </c>
      <c r="V6286">
        <v>0.17946909999999999</v>
      </c>
      <c r="W6286">
        <v>5.3190220000000003E-2</v>
      </c>
      <c r="X6286">
        <v>0.98232459999999999</v>
      </c>
      <c r="Y6286">
        <v>0.30489749999999999</v>
      </c>
      <c r="Z6286">
        <v>-0.15406029999999901</v>
      </c>
      <c r="AA6286">
        <v>0.93984199999999996</v>
      </c>
      <c r="AB6286">
        <v>32</v>
      </c>
      <c r="AC6286">
        <v>3.4165000000000099</v>
      </c>
      <c r="AD6286">
        <v>-1.1059315450229901</v>
      </c>
      <c r="AE6286">
        <v>5.9706999999999999</v>
      </c>
      <c r="AF6286">
        <v>2.17161828551964</v>
      </c>
      <c r="AG6286">
        <v>-1.1059315450229901</v>
      </c>
      <c r="AH6286">
        <v>6.3443916882993596</v>
      </c>
      <c r="AI6286">
        <v>99.365067802131904</v>
      </c>
      <c r="AJ6286">
        <v>71.104466178180303</v>
      </c>
      <c r="AK6286">
        <v>6.79634581630763</v>
      </c>
      <c r="AL6286">
        <v>86.950985982087005</v>
      </c>
      <c r="AM6286">
        <v>79.646344012847507</v>
      </c>
      <c r="AN6286">
        <v>0.99999998856180905</v>
      </c>
    </row>
    <row r="6287" spans="1:40" x14ac:dyDescent="0.25">
      <c r="A6287" t="str">
        <f>"20190312151441462"</f>
        <v>20190312151441462</v>
      </c>
      <c r="B6287" t="str">
        <f>"1552374881457311"</f>
        <v>1552374881457311</v>
      </c>
      <c r="C6287" t="s">
        <v>40</v>
      </c>
      <c r="D6287">
        <v>4.6967540000000003</v>
      </c>
      <c r="E6287">
        <v>0.52968079999999995</v>
      </c>
      <c r="F6287" t="s">
        <v>42</v>
      </c>
      <c r="G6287">
        <v>-181.68889999999999</v>
      </c>
      <c r="H6287" s="1">
        <v>-5.7133559999999999E-6</v>
      </c>
      <c r="I6287">
        <v>119.51430000000001</v>
      </c>
      <c r="J6287">
        <v>-185.92850000000001</v>
      </c>
      <c r="K6287">
        <v>1.1058619999999999</v>
      </c>
      <c r="L6287">
        <v>111.5067</v>
      </c>
      <c r="M6287">
        <v>0.19363379999999999</v>
      </c>
      <c r="N6287">
        <v>0</v>
      </c>
      <c r="O6287">
        <v>0.980989</v>
      </c>
      <c r="P6287">
        <v>0.36605660000000001</v>
      </c>
      <c r="Q6287">
        <v>4.1302569999999997E-2</v>
      </c>
      <c r="R6287">
        <v>0.92967560000000005</v>
      </c>
      <c r="S6287">
        <v>1.394272</v>
      </c>
      <c r="T6287">
        <v>-0.35810229999999998</v>
      </c>
      <c r="U6287">
        <v>2.696091</v>
      </c>
      <c r="V6287">
        <v>0.1796227</v>
      </c>
      <c r="W6287">
        <v>5.2204059999999997E-2</v>
      </c>
      <c r="X6287">
        <v>0.98234949999999999</v>
      </c>
      <c r="Y6287">
        <v>0.27539629999999998</v>
      </c>
      <c r="Z6287">
        <v>-0.1181634</v>
      </c>
      <c r="AA6287">
        <v>0.95404100000000003</v>
      </c>
      <c r="AB6287">
        <v>32</v>
      </c>
      <c r="AC6287">
        <v>4.2396000000000198</v>
      </c>
      <c r="AD6287">
        <v>-1.105867713356</v>
      </c>
      <c r="AE6287">
        <v>8.0076000000000001</v>
      </c>
      <c r="AF6287">
        <v>2.57038633924933</v>
      </c>
      <c r="AG6287">
        <v>-1.105867713356</v>
      </c>
      <c r="AH6287">
        <v>8.5496596635570707</v>
      </c>
      <c r="AI6287">
        <v>97.0612297925462</v>
      </c>
      <c r="AJ6287">
        <v>73.267017755687107</v>
      </c>
      <c r="AK6287">
        <v>8.9959162787954892</v>
      </c>
      <c r="AL6287">
        <v>87.007567620131496</v>
      </c>
      <c r="AM6287">
        <v>79.637931615250693</v>
      </c>
      <c r="AN6287">
        <v>1.00000005919301</v>
      </c>
    </row>
    <row r="6288" spans="1:40" x14ac:dyDescent="0.25">
      <c r="A6288" t="str">
        <f>"20190312151441487"</f>
        <v>20190312151441487</v>
      </c>
      <c r="B6288" t="str">
        <f>"1552374881476480"</f>
        <v>1552374881476480</v>
      </c>
      <c r="C6288" t="s">
        <v>40</v>
      </c>
      <c r="D6288">
        <v>4.6283050000000001</v>
      </c>
      <c r="E6288">
        <v>0.52782359999999995</v>
      </c>
      <c r="F6288" t="s">
        <v>58</v>
      </c>
      <c r="G6288">
        <v>-181.71719999999999</v>
      </c>
      <c r="H6288" s="1">
        <v>-2.3100610000000001E-6</v>
      </c>
      <c r="I6288">
        <v>120.0151</v>
      </c>
      <c r="J6288">
        <v>-185.85749999999999</v>
      </c>
      <c r="K6288">
        <v>1.105804</v>
      </c>
      <c r="L6288">
        <v>111.83920000000001</v>
      </c>
      <c r="M6288">
        <v>0.19875889999999999</v>
      </c>
      <c r="N6288">
        <v>0</v>
      </c>
      <c r="O6288">
        <v>0.97996329999999998</v>
      </c>
      <c r="P6288">
        <v>0.37102610000000003</v>
      </c>
      <c r="Q6288">
        <v>4.0674349999999998E-2</v>
      </c>
      <c r="R6288">
        <v>0.92773119999999998</v>
      </c>
      <c r="S6288">
        <v>1.3431850000000001</v>
      </c>
      <c r="T6288">
        <v>-0.35271259999999999</v>
      </c>
      <c r="U6288">
        <v>2.7137449999999999</v>
      </c>
      <c r="V6288">
        <v>0.1797405</v>
      </c>
      <c r="W6288">
        <v>5.1558809999999997E-2</v>
      </c>
      <c r="X6288">
        <v>0.98236199999999996</v>
      </c>
      <c r="Y6288">
        <v>0.25353979999999998</v>
      </c>
      <c r="Z6288">
        <v>-0.1163846</v>
      </c>
      <c r="AA6288">
        <v>0.96029790000000004</v>
      </c>
      <c r="AB6288">
        <v>32</v>
      </c>
      <c r="AC6288">
        <v>4.1402999999999901</v>
      </c>
      <c r="AD6288">
        <v>-1.1058063100610001</v>
      </c>
      <c r="AE6288">
        <v>8.1758999999999897</v>
      </c>
      <c r="AF6288">
        <v>2.3976043654662802</v>
      </c>
      <c r="AG6288">
        <v>-1.1058063100610001</v>
      </c>
      <c r="AH6288">
        <v>8.7089433812195605</v>
      </c>
      <c r="AI6288">
        <v>96.979374425552194</v>
      </c>
      <c r="AJ6288">
        <v>74.607572508513101</v>
      </c>
      <c r="AK6288">
        <v>9.1003851075633992</v>
      </c>
      <c r="AL6288">
        <v>87.044587486500603</v>
      </c>
      <c r="AM6288">
        <v>79.631412400963498</v>
      </c>
      <c r="AN6288">
        <v>1.0000000286364299</v>
      </c>
    </row>
    <row r="6289" spans="1:40" x14ac:dyDescent="0.25">
      <c r="A6289" t="str">
        <f>"20190312151441506"</f>
        <v>20190312151441506</v>
      </c>
      <c r="B6289" t="str">
        <f>"1552374881496976"</f>
        <v>1552374881496976</v>
      </c>
      <c r="C6289" t="s">
        <v>40</v>
      </c>
      <c r="D6289">
        <v>4.6748570000000003</v>
      </c>
      <c r="E6289">
        <v>0.5274896</v>
      </c>
      <c r="F6289" t="s">
        <v>58</v>
      </c>
      <c r="G6289">
        <v>-181.6934</v>
      </c>
      <c r="H6289" s="1">
        <v>-2.3826930000000001E-6</v>
      </c>
      <c r="I6289">
        <v>120.2402</v>
      </c>
      <c r="J6289">
        <v>-185.79519999999999</v>
      </c>
      <c r="K6289">
        <v>1.10575</v>
      </c>
      <c r="L6289">
        <v>112.1236</v>
      </c>
      <c r="M6289">
        <v>0.20319619999999999</v>
      </c>
      <c r="N6289">
        <v>0</v>
      </c>
      <c r="O6289">
        <v>0.9790527</v>
      </c>
      <c r="P6289">
        <v>0.37525789999999998</v>
      </c>
      <c r="Q6289">
        <v>4.0772370000000002E-2</v>
      </c>
      <c r="R6289">
        <v>0.92602329999999999</v>
      </c>
      <c r="S6289">
        <v>1.3441620000000001</v>
      </c>
      <c r="T6289">
        <v>-0.3569484</v>
      </c>
      <c r="U6289">
        <v>2.7117770000000001</v>
      </c>
      <c r="V6289">
        <v>0.1797832</v>
      </c>
      <c r="W6289">
        <v>5.1644530000000001E-2</v>
      </c>
      <c r="X6289">
        <v>0.98234960000000004</v>
      </c>
      <c r="Y6289">
        <v>0.2496399</v>
      </c>
      <c r="Z6289">
        <v>-0.11772729999999999</v>
      </c>
      <c r="AA6289">
        <v>0.96115569999999895</v>
      </c>
      <c r="AB6289">
        <v>32</v>
      </c>
      <c r="AC6289">
        <v>4.1017999999999901</v>
      </c>
      <c r="AD6289">
        <v>-1.105752382693</v>
      </c>
      <c r="AE6289">
        <v>8.1166</v>
      </c>
      <c r="AF6289">
        <v>2.33233284958686</v>
      </c>
      <c r="AG6289">
        <v>-1.105752382693</v>
      </c>
      <c r="AH6289">
        <v>8.6528598996985799</v>
      </c>
      <c r="AI6289">
        <v>97.0339845164915</v>
      </c>
      <c r="AJ6289">
        <v>74.914739922610494</v>
      </c>
      <c r="AK6289">
        <v>9.0296428111473492</v>
      </c>
      <c r="AL6289">
        <v>87.039669297251393</v>
      </c>
      <c r="AM6289">
        <v>79.628874565612406</v>
      </c>
      <c r="AN6289">
        <v>0.99999994655065905</v>
      </c>
    </row>
    <row r="6290" spans="1:40" x14ac:dyDescent="0.25">
      <c r="A6290" t="str">
        <f>"20190312151441529"</f>
        <v>20190312151441529</v>
      </c>
      <c r="B6290" t="str">
        <f>"1552374881527232"</f>
        <v>1552374881527232</v>
      </c>
      <c r="C6290" t="s">
        <v>40</v>
      </c>
      <c r="D6290">
        <v>4.6510160000000003</v>
      </c>
      <c r="E6290">
        <v>0.52722720000000001</v>
      </c>
      <c r="F6290" t="s">
        <v>58</v>
      </c>
      <c r="G6290">
        <v>-181.5881</v>
      </c>
      <c r="H6290" s="1">
        <v>-2.49674E-6</v>
      </c>
      <c r="I6290">
        <v>120.53230000000001</v>
      </c>
      <c r="J6290">
        <v>-185.72450000000001</v>
      </c>
      <c r="K6290">
        <v>1.1057110000000001</v>
      </c>
      <c r="L6290">
        <v>112.4387</v>
      </c>
      <c r="M6290">
        <v>0.20815429999999999</v>
      </c>
      <c r="N6290">
        <v>0</v>
      </c>
      <c r="O6290">
        <v>0.9780105</v>
      </c>
      <c r="P6290">
        <v>0.37964029999999999</v>
      </c>
      <c r="Q6290">
        <v>4.0737490000000001E-2</v>
      </c>
      <c r="R6290">
        <v>0.92423679999999997</v>
      </c>
      <c r="S6290">
        <v>1.3541559999999999</v>
      </c>
      <c r="T6290">
        <v>-0.35591590000000001</v>
      </c>
      <c r="U6290">
        <v>2.7065579999999998</v>
      </c>
      <c r="V6290">
        <v>0.17946329999999999</v>
      </c>
      <c r="W6290">
        <v>5.160406E-2</v>
      </c>
      <c r="X6290">
        <v>0.98241029999999996</v>
      </c>
      <c r="Y6290">
        <v>0.24833530000000001</v>
      </c>
      <c r="Z6290">
        <v>-0.1173356</v>
      </c>
      <c r="AA6290">
        <v>0.96154139999999999</v>
      </c>
      <c r="AB6290">
        <v>32</v>
      </c>
      <c r="AC6290">
        <v>4.1364000000000001</v>
      </c>
      <c r="AD6290">
        <v>-1.10571349674</v>
      </c>
      <c r="AE6290">
        <v>8.0936000000000092</v>
      </c>
      <c r="AF6290">
        <v>2.3264936162090399</v>
      </c>
      <c r="AG6290">
        <v>-1.10571349674</v>
      </c>
      <c r="AH6290">
        <v>8.6493708168989993</v>
      </c>
      <c r="AI6290">
        <v>97.037539130608494</v>
      </c>
      <c r="AJ6290">
        <v>74.944997007779904</v>
      </c>
      <c r="AK6290">
        <v>9.0247875549155498</v>
      </c>
      <c r="AL6290">
        <v>87.041991389700399</v>
      </c>
      <c r="AM6290">
        <v>79.647555017917099</v>
      </c>
      <c r="AN6290">
        <v>1.00000002630073</v>
      </c>
    </row>
    <row r="6291" spans="1:40" x14ac:dyDescent="0.25">
      <c r="A6291" t="str">
        <f>"20190312151441551"</f>
        <v>20190312151441551</v>
      </c>
      <c r="B6291" t="str">
        <f>"1552374881546753"</f>
        <v>1552374881546753</v>
      </c>
      <c r="C6291" t="s">
        <v>40</v>
      </c>
      <c r="D6291">
        <v>4.6200919999999996</v>
      </c>
      <c r="E6291">
        <v>0.52718719999999997</v>
      </c>
      <c r="F6291" t="s">
        <v>58</v>
      </c>
      <c r="G6291">
        <v>-181.46420000000001</v>
      </c>
      <c r="H6291" s="1">
        <v>-2.6287910000000001E-6</v>
      </c>
      <c r="I6291">
        <v>120.86879999999999</v>
      </c>
      <c r="J6291">
        <v>-185.6541</v>
      </c>
      <c r="K6291">
        <v>1.1056839999999999</v>
      </c>
      <c r="L6291">
        <v>112.7448</v>
      </c>
      <c r="M6291">
        <v>0.21300140000000001</v>
      </c>
      <c r="N6291">
        <v>0</v>
      </c>
      <c r="O6291">
        <v>0.97696620000000001</v>
      </c>
      <c r="P6291">
        <v>0.3835519</v>
      </c>
      <c r="Q6291">
        <v>4.0201529999999999E-2</v>
      </c>
      <c r="R6291">
        <v>0.92264389999999996</v>
      </c>
      <c r="S6291">
        <v>1.364914</v>
      </c>
      <c r="T6291">
        <v>-0.354255599999999</v>
      </c>
      <c r="U6291">
        <v>2.700882</v>
      </c>
      <c r="V6291">
        <v>0.17874579999999901</v>
      </c>
      <c r="W6291">
        <v>5.107213E-2</v>
      </c>
      <c r="X6291">
        <v>0.98256889999999997</v>
      </c>
      <c r="Y6291">
        <v>0.2474286</v>
      </c>
      <c r="Z6291">
        <v>-0.1167434</v>
      </c>
      <c r="AA6291">
        <v>0.96184720000000001</v>
      </c>
      <c r="AB6291">
        <v>32</v>
      </c>
      <c r="AC6291">
        <v>4.18989999999999</v>
      </c>
      <c r="AD6291">
        <v>-1.1056866287909899</v>
      </c>
      <c r="AE6291">
        <v>8.1239999999999899</v>
      </c>
      <c r="AF6291">
        <v>2.3290867673336102</v>
      </c>
      <c r="AG6291">
        <v>-1.1056866287909899</v>
      </c>
      <c r="AH6291">
        <v>8.7027318924480497</v>
      </c>
      <c r="AI6291">
        <v>96.996991305712299</v>
      </c>
      <c r="AJ6291">
        <v>75.017220508966503</v>
      </c>
      <c r="AK6291">
        <v>9.0766034662029895</v>
      </c>
      <c r="AL6291">
        <v>87.072508996559606</v>
      </c>
      <c r="AM6291">
        <v>79.689683472929701</v>
      </c>
      <c r="AN6291">
        <v>1.00000003336379</v>
      </c>
    </row>
    <row r="6292" spans="1:40" x14ac:dyDescent="0.25">
      <c r="A6292" t="str">
        <f>"20190312151441573"</f>
        <v>20190312151441573</v>
      </c>
      <c r="B6292" t="str">
        <f>"1552374881566803"</f>
        <v>1552374881566803</v>
      </c>
      <c r="C6292" t="s">
        <v>40</v>
      </c>
      <c r="D6292">
        <v>4.6501380000000001</v>
      </c>
      <c r="E6292">
        <v>0.52715849999999997</v>
      </c>
      <c r="F6292" t="s">
        <v>58</v>
      </c>
      <c r="G6292">
        <v>-181.36160000000001</v>
      </c>
      <c r="H6292" s="1">
        <v>-2.739124E-6</v>
      </c>
      <c r="I6292">
        <v>121.1506</v>
      </c>
      <c r="J6292">
        <v>-185.58240000000001</v>
      </c>
      <c r="K6292">
        <v>1.1056649999999999</v>
      </c>
      <c r="L6292">
        <v>113.0501</v>
      </c>
      <c r="M6292">
        <v>0.21785170000000001</v>
      </c>
      <c r="N6292">
        <v>0</v>
      </c>
      <c r="O6292">
        <v>0.97589610000000004</v>
      </c>
      <c r="P6292">
        <v>0.38672519999999999</v>
      </c>
      <c r="Q6292">
        <v>3.9014550000000002E-2</v>
      </c>
      <c r="R6292">
        <v>0.92136940000000001</v>
      </c>
      <c r="S6292">
        <v>1.37619</v>
      </c>
      <c r="T6292">
        <v>-0.35448220000000003</v>
      </c>
      <c r="U6292">
        <v>2.6948850000000002</v>
      </c>
      <c r="V6292">
        <v>0.17722460000000001</v>
      </c>
      <c r="W6292">
        <v>4.9902990000000001E-2</v>
      </c>
      <c r="X6292">
        <v>0.98290440000000001</v>
      </c>
      <c r="Y6292">
        <v>0.24667439999999999</v>
      </c>
      <c r="Z6292">
        <v>-0.1167637</v>
      </c>
      <c r="AA6292">
        <v>0.96203850000000002</v>
      </c>
      <c r="AB6292">
        <v>32</v>
      </c>
      <c r="AC6292">
        <v>4.2207999999999899</v>
      </c>
      <c r="AD6292">
        <v>-1.105667739124</v>
      </c>
      <c r="AE6292">
        <v>8.1004999999999896</v>
      </c>
      <c r="AF6292">
        <v>2.32054996225397</v>
      </c>
      <c r="AG6292">
        <v>-1.105667739124</v>
      </c>
      <c r="AH6292">
        <v>8.6980460677953708</v>
      </c>
      <c r="AI6292">
        <v>97.002052433393999</v>
      </c>
      <c r="AJ6292">
        <v>75.061996439240701</v>
      </c>
      <c r="AK6292">
        <v>9.0699205439820201</v>
      </c>
      <c r="AL6292">
        <v>87.139581123548496</v>
      </c>
      <c r="AM6292">
        <v>79.778986229151101</v>
      </c>
      <c r="AN6292">
        <v>0.99999996339772901</v>
      </c>
    </row>
    <row r="6293" spans="1:40" x14ac:dyDescent="0.25">
      <c r="A6293" t="str">
        <f>"20190312151441596"</f>
        <v>20190312151441596</v>
      </c>
      <c r="B6293" t="str">
        <f>"1552374881587299"</f>
        <v>1552374881587299</v>
      </c>
      <c r="C6293" t="s">
        <v>40</v>
      </c>
      <c r="D6293">
        <v>4.6346949999999998</v>
      </c>
      <c r="E6293">
        <v>0.52707869999999901</v>
      </c>
      <c r="F6293" t="s">
        <v>58</v>
      </c>
      <c r="G6293">
        <v>-181.2961</v>
      </c>
      <c r="H6293" s="1">
        <v>-2.8219410000000001E-6</v>
      </c>
      <c r="I6293">
        <v>121.37269999999999</v>
      </c>
      <c r="J6293">
        <v>-185.5069</v>
      </c>
      <c r="K6293">
        <v>1.1056539999999999</v>
      </c>
      <c r="L6293">
        <v>113.3644</v>
      </c>
      <c r="M6293">
        <v>0.2228551</v>
      </c>
      <c r="N6293">
        <v>0</v>
      </c>
      <c r="O6293">
        <v>0.97476560000000001</v>
      </c>
      <c r="P6293">
        <v>0.38938289999999998</v>
      </c>
      <c r="Q6293">
        <v>3.8069470000000001E-2</v>
      </c>
      <c r="R6293">
        <v>0.92028889999999997</v>
      </c>
      <c r="S6293">
        <v>1.385254</v>
      </c>
      <c r="T6293">
        <v>-0.35733219999999999</v>
      </c>
      <c r="U6293">
        <v>2.6897129999999998</v>
      </c>
      <c r="V6293">
        <v>0.17500070000000001</v>
      </c>
      <c r="W6293">
        <v>4.8986200000000001E-2</v>
      </c>
      <c r="X6293">
        <v>0.98334889999999997</v>
      </c>
      <c r="Y6293">
        <v>0.24497079999999999</v>
      </c>
      <c r="Z6293">
        <v>-0.1176267</v>
      </c>
      <c r="AA6293">
        <v>0.96236860000000002</v>
      </c>
      <c r="AB6293">
        <v>32</v>
      </c>
      <c r="AC6293">
        <v>4.2107999999999999</v>
      </c>
      <c r="AD6293">
        <v>-1.1056568219409999</v>
      </c>
      <c r="AE6293">
        <v>8.0082999999999895</v>
      </c>
      <c r="AF6293">
        <v>2.28591126476462</v>
      </c>
      <c r="AG6293">
        <v>-1.1056568219409999</v>
      </c>
      <c r="AH6293">
        <v>8.6166731860602095</v>
      </c>
      <c r="AI6293">
        <v>97.070051278461193</v>
      </c>
      <c r="AJ6293">
        <v>75.142285613597906</v>
      </c>
      <c r="AK6293">
        <v>8.9830353507960492</v>
      </c>
      <c r="AL6293">
        <v>87.192173687943296</v>
      </c>
      <c r="AM6293">
        <v>79.909059688162401</v>
      </c>
      <c r="AN6293">
        <v>0.99999997596106904</v>
      </c>
    </row>
    <row r="6294" spans="1:40" x14ac:dyDescent="0.25">
      <c r="A6294" t="str">
        <f>"20190312151441630"</f>
        <v>20190312151441630</v>
      </c>
      <c r="B6294" t="str">
        <f>"1552374881627315"</f>
        <v>1552374881627315</v>
      </c>
      <c r="C6294" t="s">
        <v>40</v>
      </c>
      <c r="D6294">
        <v>4.6429010000000002</v>
      </c>
      <c r="E6294">
        <v>0.52713959999999904</v>
      </c>
      <c r="F6294" t="s">
        <v>58</v>
      </c>
      <c r="G6294">
        <v>-181.2208</v>
      </c>
      <c r="H6294" s="1">
        <v>-2.9167960000000001E-6</v>
      </c>
      <c r="I6294">
        <v>121.6266</v>
      </c>
      <c r="J6294">
        <v>-185.3914</v>
      </c>
      <c r="K6294">
        <v>1.105656</v>
      </c>
      <c r="L6294">
        <v>113.83199999999999</v>
      </c>
      <c r="M6294">
        <v>0.2302978</v>
      </c>
      <c r="N6294">
        <v>0</v>
      </c>
      <c r="O6294">
        <v>0.97303399999999995</v>
      </c>
      <c r="P6294">
        <v>0.39433600000000002</v>
      </c>
      <c r="Q6294">
        <v>3.8942539999999998E-2</v>
      </c>
      <c r="R6294">
        <v>0.91814079999999998</v>
      </c>
      <c r="S6294">
        <v>1.3930359999999999</v>
      </c>
      <c r="T6294">
        <v>-0.35934870000000002</v>
      </c>
      <c r="U6294">
        <v>2.6853180000000001</v>
      </c>
      <c r="V6294">
        <v>0.17280100000000001</v>
      </c>
      <c r="W6294">
        <v>4.9890129999999998E-2</v>
      </c>
      <c r="X6294">
        <v>0.98369240000000002</v>
      </c>
      <c r="Y6294">
        <v>0.24037169999999999</v>
      </c>
      <c r="Z6294">
        <v>-0.1181354</v>
      </c>
      <c r="AA6294">
        <v>0.96346529999999997</v>
      </c>
      <c r="AB6294">
        <v>32</v>
      </c>
      <c r="AC6294">
        <v>4.1706000000000003</v>
      </c>
      <c r="AD6294">
        <v>-1.105658916796</v>
      </c>
      <c r="AE6294">
        <v>7.7945999999999804</v>
      </c>
      <c r="AF6294">
        <v>2.2283879425478599</v>
      </c>
      <c r="AG6294">
        <v>-1.105658916796</v>
      </c>
      <c r="AH6294">
        <v>8.4139891259249495</v>
      </c>
      <c r="AI6294">
        <v>97.239380616328802</v>
      </c>
      <c r="AJ6294">
        <v>75.166166868055299</v>
      </c>
      <c r="AK6294">
        <v>8.7740188895378193</v>
      </c>
      <c r="AL6294">
        <v>87.140318897284899</v>
      </c>
      <c r="AM6294">
        <v>80.036751056426297</v>
      </c>
      <c r="AN6294">
        <v>0.99999997424508802</v>
      </c>
    </row>
    <row r="6295" spans="1:40" x14ac:dyDescent="0.25">
      <c r="A6295" t="str">
        <f>"20190312151441651"</f>
        <v>20190312151441651</v>
      </c>
      <c r="B6295" t="str">
        <f>"1552374881646835"</f>
        <v>1552374881646835</v>
      </c>
      <c r="C6295" t="s">
        <v>40</v>
      </c>
      <c r="D6295">
        <v>4.6491660000000001</v>
      </c>
      <c r="E6295">
        <v>0.52741190000000004</v>
      </c>
      <c r="F6295" t="s">
        <v>58</v>
      </c>
      <c r="G6295">
        <v>-181.03550000000001</v>
      </c>
      <c r="H6295" s="1">
        <v>-3.1106260000000002E-6</v>
      </c>
      <c r="I6295">
        <v>122.1174</v>
      </c>
      <c r="J6295">
        <v>-185.31729999999999</v>
      </c>
      <c r="K6295">
        <v>1.1056509999999999</v>
      </c>
      <c r="L6295">
        <v>114.12430000000001</v>
      </c>
      <c r="M6295">
        <v>0.2349358</v>
      </c>
      <c r="N6295">
        <v>0</v>
      </c>
      <c r="O6295">
        <v>0.97192449999999997</v>
      </c>
      <c r="P6295">
        <v>0.39723160000000002</v>
      </c>
      <c r="Q6295">
        <v>3.8562689999999997E-2</v>
      </c>
      <c r="R6295">
        <v>0.91690780000000005</v>
      </c>
      <c r="S6295">
        <v>1.4078980000000001</v>
      </c>
      <c r="T6295">
        <v>-0.35736269999999998</v>
      </c>
      <c r="U6295">
        <v>2.6779480000000002</v>
      </c>
      <c r="V6295">
        <v>0.17120469999999999</v>
      </c>
      <c r="W6295">
        <v>4.9534370000000001E-2</v>
      </c>
      <c r="X6295">
        <v>0.98398949999999996</v>
      </c>
      <c r="Y6295">
        <v>0.2410651</v>
      </c>
      <c r="Z6295">
        <v>-0.1174253</v>
      </c>
      <c r="AA6295">
        <v>0.96337890000000004</v>
      </c>
      <c r="AB6295">
        <v>32</v>
      </c>
      <c r="AC6295">
        <v>4.2817999999999703</v>
      </c>
      <c r="AD6295">
        <v>-1.1056541106259901</v>
      </c>
      <c r="AE6295">
        <v>7.9930999999999903</v>
      </c>
      <c r="AF6295">
        <v>2.2504537675675902</v>
      </c>
      <c r="AG6295">
        <v>-1.1056541106259901</v>
      </c>
      <c r="AH6295">
        <v>8.6468167194871501</v>
      </c>
      <c r="AI6295">
        <v>97.054256469511699</v>
      </c>
      <c r="AJ6295">
        <v>75.411624715312698</v>
      </c>
      <c r="AK6295">
        <v>9.0030246335720996</v>
      </c>
      <c r="AL6295">
        <v>87.160727807142905</v>
      </c>
      <c r="AM6295">
        <v>80.129892539637794</v>
      </c>
      <c r="AN6295">
        <v>1.00000001961181</v>
      </c>
    </row>
    <row r="6296" spans="1:40" x14ac:dyDescent="0.25">
      <c r="A6296" t="str">
        <f>"20190312151441675"</f>
        <v>20190312151441675</v>
      </c>
      <c r="B6296" t="str">
        <f>"1552374881667081"</f>
        <v>1552374881667081</v>
      </c>
      <c r="C6296" t="s">
        <v>40</v>
      </c>
      <c r="D6296">
        <v>4.648307</v>
      </c>
      <c r="E6296">
        <v>0.52763649999999995</v>
      </c>
      <c r="F6296" t="s">
        <v>58</v>
      </c>
      <c r="G6296">
        <v>-180.95689999999999</v>
      </c>
      <c r="H6296" s="1">
        <v>-3.1998869999999999E-6</v>
      </c>
      <c r="I6296">
        <v>122.34950000000001</v>
      </c>
      <c r="J6296">
        <v>-185.23070000000001</v>
      </c>
      <c r="K6296">
        <v>1.1056589999999999</v>
      </c>
      <c r="L6296">
        <v>114.4585</v>
      </c>
      <c r="M6296">
        <v>0.2402136</v>
      </c>
      <c r="N6296">
        <v>0</v>
      </c>
      <c r="O6296">
        <v>0.97063359999999999</v>
      </c>
      <c r="P6296">
        <v>0.39984999999999998</v>
      </c>
      <c r="Q6296">
        <v>3.7504870000000003E-2</v>
      </c>
      <c r="R6296">
        <v>0.91581299999999999</v>
      </c>
      <c r="S6296">
        <v>1.417038</v>
      </c>
      <c r="T6296">
        <v>-0.35931859999999999</v>
      </c>
      <c r="U6296">
        <v>2.6730499999999999</v>
      </c>
      <c r="V6296">
        <v>0.16864470000000001</v>
      </c>
      <c r="W6296">
        <v>4.8516589999999998E-2</v>
      </c>
      <c r="X6296">
        <v>0.98448219999999997</v>
      </c>
      <c r="Y6296">
        <v>0.239063</v>
      </c>
      <c r="Z6296">
        <v>-0.1179573</v>
      </c>
      <c r="AA6296">
        <v>0.96381269999999997</v>
      </c>
      <c r="AB6296">
        <v>32</v>
      </c>
      <c r="AC6296">
        <v>4.27380000000002</v>
      </c>
      <c r="AD6296">
        <v>-1.105662199887</v>
      </c>
      <c r="AE6296">
        <v>7.891</v>
      </c>
      <c r="AF6296">
        <v>2.2192690941150199</v>
      </c>
      <c r="AG6296">
        <v>-1.105662199887</v>
      </c>
      <c r="AH6296">
        <v>8.5567330455353598</v>
      </c>
      <c r="AI6296">
        <v>97.129367075364996</v>
      </c>
      <c r="AJ6296">
        <v>75.460169118797495</v>
      </c>
      <c r="AK6296">
        <v>8.9087218289106893</v>
      </c>
      <c r="AL6296">
        <v>87.219112592620405</v>
      </c>
      <c r="AM6296">
        <v>80.279413977884303</v>
      </c>
      <c r="AN6296">
        <v>1.0000000482300699</v>
      </c>
    </row>
    <row r="6297" spans="1:40" x14ac:dyDescent="0.25">
      <c r="A6297" t="str">
        <f>"20190312151441697"</f>
        <v>20190312151441697</v>
      </c>
      <c r="B6297" t="str">
        <f>"1552374881686601"</f>
        <v>1552374881686601</v>
      </c>
      <c r="C6297" t="s">
        <v>40</v>
      </c>
      <c r="D6297">
        <v>4.6722210000000004</v>
      </c>
      <c r="E6297">
        <v>0.5275763</v>
      </c>
      <c r="F6297" t="s">
        <v>58</v>
      </c>
      <c r="G6297">
        <v>-180.87299999999999</v>
      </c>
      <c r="H6297" s="1">
        <v>-3.2977050000000001E-6</v>
      </c>
      <c r="I6297">
        <v>122.6058</v>
      </c>
      <c r="J6297">
        <v>-185.15199999999999</v>
      </c>
      <c r="K6297">
        <v>1.105677</v>
      </c>
      <c r="L6297">
        <v>114.7561</v>
      </c>
      <c r="M6297">
        <v>0.2448611</v>
      </c>
      <c r="N6297">
        <v>0</v>
      </c>
      <c r="O6297">
        <v>0.96947159999999999</v>
      </c>
      <c r="P6297">
        <v>0.40271990000000002</v>
      </c>
      <c r="Q6297">
        <v>3.544216E-2</v>
      </c>
      <c r="R6297">
        <v>0.91463680000000003</v>
      </c>
      <c r="S6297">
        <v>1.4268339999999999</v>
      </c>
      <c r="T6297">
        <v>-0.3620276</v>
      </c>
      <c r="U6297">
        <v>2.6676639999999998</v>
      </c>
      <c r="V6297">
        <v>0.16696939999999999</v>
      </c>
      <c r="W6297">
        <v>4.6488040000000001E-2</v>
      </c>
      <c r="X6297">
        <v>0.98486549999999995</v>
      </c>
      <c r="Y6297">
        <v>0.23792640000000001</v>
      </c>
      <c r="Z6297">
        <v>-0.1187532</v>
      </c>
      <c r="AA6297">
        <v>0.96399619999999997</v>
      </c>
      <c r="AB6297">
        <v>32</v>
      </c>
      <c r="AC6297">
        <v>4.2790000000000203</v>
      </c>
      <c r="AD6297">
        <v>-1.105680297705</v>
      </c>
      <c r="AE6297">
        <v>7.8496999999999897</v>
      </c>
      <c r="AF6297">
        <v>2.1929278595784298</v>
      </c>
      <c r="AG6297">
        <v>-1.105680297705</v>
      </c>
      <c r="AH6297">
        <v>8.5281073789229307</v>
      </c>
      <c r="AI6297">
        <v>97.156968747434206</v>
      </c>
      <c r="AJ6297">
        <v>75.579315335950497</v>
      </c>
      <c r="AK6297">
        <v>8.8746874302415808</v>
      </c>
      <c r="AL6297">
        <v>87.335471148148102</v>
      </c>
      <c r="AM6297">
        <v>80.377838004048002</v>
      </c>
      <c r="AN6297">
        <v>0.99999998574482496</v>
      </c>
    </row>
    <row r="6298" spans="1:40" x14ac:dyDescent="0.25">
      <c r="A6298" t="str">
        <f>"20190312151441718"</f>
        <v>20190312151441718</v>
      </c>
      <c r="B6298" t="str">
        <f>"1552374881707097"</f>
        <v>1552374881707097</v>
      </c>
      <c r="C6298" t="s">
        <v>40</v>
      </c>
      <c r="D6298">
        <v>4.7050159999999996</v>
      </c>
      <c r="E6298">
        <v>0.50833739999999905</v>
      </c>
      <c r="F6298" t="s">
        <v>58</v>
      </c>
      <c r="G6298">
        <v>-180.84559999999999</v>
      </c>
      <c r="H6298" s="1">
        <v>-3.3467250000000001E-6</v>
      </c>
      <c r="I6298">
        <v>122.7475</v>
      </c>
      <c r="J6298">
        <v>-185.07210000000001</v>
      </c>
      <c r="K6298">
        <v>1.105729</v>
      </c>
      <c r="L6298">
        <v>115.0532</v>
      </c>
      <c r="M6298">
        <v>0.24942110000000001</v>
      </c>
      <c r="N6298">
        <v>0</v>
      </c>
      <c r="O6298">
        <v>0.96830839999999996</v>
      </c>
      <c r="P6298">
        <v>0.4053503</v>
      </c>
      <c r="Q6298">
        <v>3.2993340000000003E-2</v>
      </c>
      <c r="R6298">
        <v>0.91356590000000004</v>
      </c>
      <c r="S6298">
        <v>1.4347840000000001</v>
      </c>
      <c r="T6298">
        <v>-0.36838219999999999</v>
      </c>
      <c r="U6298">
        <v>2.662506</v>
      </c>
      <c r="V6298">
        <v>0.16511310000000001</v>
      </c>
      <c r="W6298">
        <v>4.4083440000000002E-2</v>
      </c>
      <c r="X6298">
        <v>0.98528899999999997</v>
      </c>
      <c r="Y6298">
        <v>0.23624790000000001</v>
      </c>
      <c r="Z6298">
        <v>-0.12074029999999999</v>
      </c>
      <c r="AA6298">
        <v>0.96416219999999997</v>
      </c>
      <c r="AB6298">
        <v>32</v>
      </c>
      <c r="AC6298">
        <v>4.2265000000000104</v>
      </c>
      <c r="AD6298">
        <v>-1.105732346725</v>
      </c>
      <c r="AE6298">
        <v>7.6942999999999904</v>
      </c>
      <c r="AF6298">
        <v>2.1396713696239198</v>
      </c>
      <c r="AG6298">
        <v>-1.105732346725</v>
      </c>
      <c r="AH6298">
        <v>8.3725180099499195</v>
      </c>
      <c r="AI6298">
        <v>97.291636143572902</v>
      </c>
      <c r="AJ6298">
        <v>75.664385497070398</v>
      </c>
      <c r="AK6298">
        <v>8.7120546037957194</v>
      </c>
      <c r="AL6298">
        <v>87.473386266637405</v>
      </c>
      <c r="AM6298">
        <v>80.486861760697906</v>
      </c>
      <c r="AN6298">
        <v>1.0000000494974199</v>
      </c>
    </row>
    <row r="6299" spans="1:40" x14ac:dyDescent="0.25">
      <c r="A6299" t="str">
        <f>"20190312151441741"</f>
        <v>20190312151441741</v>
      </c>
      <c r="B6299" t="str">
        <f>"1552374881736378"</f>
        <v>1552374881736378</v>
      </c>
      <c r="C6299" t="s">
        <v>40</v>
      </c>
      <c r="D6299">
        <v>4.6977219999999997</v>
      </c>
      <c r="E6299">
        <v>0.50572779999999995</v>
      </c>
      <c r="F6299" t="s">
        <v>41</v>
      </c>
      <c r="G6299">
        <v>-184.7175</v>
      </c>
      <c r="H6299">
        <v>0.99364269999999999</v>
      </c>
      <c r="I6299">
        <v>115.7921</v>
      </c>
      <c r="J6299">
        <v>-184.98689999999999</v>
      </c>
      <c r="K6299">
        <v>1.1058269999999999</v>
      </c>
      <c r="L6299">
        <v>115.3642</v>
      </c>
      <c r="M6299">
        <v>0.25406889999999999</v>
      </c>
      <c r="N6299">
        <v>0</v>
      </c>
      <c r="O6299">
        <v>0.96709940000000005</v>
      </c>
      <c r="P6299">
        <v>0.40788410000000003</v>
      </c>
      <c r="Q6299">
        <v>3.2350940000000002E-2</v>
      </c>
      <c r="R6299">
        <v>0.91246039999999995</v>
      </c>
      <c r="S6299">
        <v>1.304932</v>
      </c>
      <c r="T6299">
        <v>-0.41253459999999997</v>
      </c>
      <c r="U6299">
        <v>2.7197420000000001</v>
      </c>
      <c r="V6299">
        <v>0.16309189999999901</v>
      </c>
      <c r="W6299">
        <v>4.3498450000000001E-2</v>
      </c>
      <c r="X6299">
        <v>0.98565150000000001</v>
      </c>
      <c r="Y6299">
        <v>0.18526860000000001</v>
      </c>
      <c r="Z6299">
        <v>-0.1343201</v>
      </c>
      <c r="AA6299">
        <v>0.97346480000000002</v>
      </c>
      <c r="AB6299">
        <v>32</v>
      </c>
      <c r="AC6299">
        <v>0.26939999999998998</v>
      </c>
      <c r="AD6299">
        <v>-0.1121843</v>
      </c>
      <c r="AE6299">
        <v>0.427900000000008</v>
      </c>
      <c r="AF6299">
        <v>0.144710034472288</v>
      </c>
      <c r="AG6299">
        <v>-0.1121843</v>
      </c>
      <c r="AH6299">
        <v>0.459681136509898</v>
      </c>
      <c r="AI6299">
        <v>103.10426273777</v>
      </c>
      <c r="AJ6299">
        <v>72.525724423573195</v>
      </c>
      <c r="AK6299">
        <v>0.494806081719386</v>
      </c>
      <c r="AL6299">
        <v>87.506935736817496</v>
      </c>
      <c r="AM6299">
        <v>80.604619624913198</v>
      </c>
      <c r="AN6299">
        <v>0.99999998122513101</v>
      </c>
    </row>
    <row r="6300" spans="1:40" x14ac:dyDescent="0.25">
      <c r="A6300" t="str">
        <f>"20190312151441763"</f>
        <v>20190312151441763</v>
      </c>
      <c r="B6300" t="str">
        <f>"1552374881756873"</f>
        <v>1552374881756873</v>
      </c>
      <c r="C6300" t="s">
        <v>40</v>
      </c>
      <c r="D6300">
        <v>4.7182040000000001</v>
      </c>
      <c r="E6300">
        <v>0.50532129999999997</v>
      </c>
      <c r="F6300" t="s">
        <v>41</v>
      </c>
      <c r="G6300">
        <v>-184.65209999999999</v>
      </c>
      <c r="H6300">
        <v>0.99697049999999998</v>
      </c>
      <c r="I6300">
        <v>116.06870000000001</v>
      </c>
      <c r="J6300">
        <v>-184.90450000000001</v>
      </c>
      <c r="K6300">
        <v>1.105963</v>
      </c>
      <c r="L6300">
        <v>115.65989999999999</v>
      </c>
      <c r="M6300">
        <v>0.25831739999999997</v>
      </c>
      <c r="N6300">
        <v>0</v>
      </c>
      <c r="O6300">
        <v>0.96597339999999998</v>
      </c>
      <c r="P6300">
        <v>0.41012690000000002</v>
      </c>
      <c r="Q6300">
        <v>3.3358899999999997E-2</v>
      </c>
      <c r="R6300">
        <v>0.91141819999999896</v>
      </c>
      <c r="S6300">
        <v>1.2941129999999901</v>
      </c>
      <c r="T6300">
        <v>-0.42083480000000001</v>
      </c>
      <c r="U6300">
        <v>2.724243</v>
      </c>
      <c r="V6300">
        <v>0.16118779999999999</v>
      </c>
      <c r="W6300">
        <v>4.4573139999999997E-2</v>
      </c>
      <c r="X6300">
        <v>0.98591669999999998</v>
      </c>
      <c r="Y6300">
        <v>0.17701629999999999</v>
      </c>
      <c r="Z6300">
        <v>-0.13674939999999999</v>
      </c>
      <c r="AA6300">
        <v>0.97466140000000001</v>
      </c>
      <c r="AB6300">
        <v>32</v>
      </c>
      <c r="AC6300">
        <v>0.252400000000022</v>
      </c>
      <c r="AD6300">
        <v>-0.10899250000000001</v>
      </c>
      <c r="AE6300">
        <v>0.40880000000001299</v>
      </c>
      <c r="AF6300">
        <v>0.131457616325411</v>
      </c>
      <c r="AG6300">
        <v>-0.10899250000000001</v>
      </c>
      <c r="AH6300">
        <v>0.43760627750853998</v>
      </c>
      <c r="AI6300">
        <v>103.41633069683201</v>
      </c>
      <c r="AJ6300">
        <v>73.279649175889304</v>
      </c>
      <c r="AK6300">
        <v>0.46974431775285003</v>
      </c>
      <c r="AL6300">
        <v>87.445300804679405</v>
      </c>
      <c r="AM6300">
        <v>80.714843138678503</v>
      </c>
      <c r="AN6300">
        <v>1.00000000550859</v>
      </c>
    </row>
    <row r="6301" spans="1:40" x14ac:dyDescent="0.25">
      <c r="A6301" t="str">
        <f>"20190312151441785"</f>
        <v>20190312151441785</v>
      </c>
      <c r="B6301" t="str">
        <f>"1552374881777369"</f>
        <v>1552374881777369</v>
      </c>
      <c r="C6301" t="s">
        <v>40</v>
      </c>
      <c r="D6301">
        <v>4.6998499999999996</v>
      </c>
      <c r="E6301">
        <v>0.50540889999999905</v>
      </c>
      <c r="F6301" t="s">
        <v>41</v>
      </c>
      <c r="G6301">
        <v>-184.5788</v>
      </c>
      <c r="H6301">
        <v>1.000516</v>
      </c>
      <c r="I6301">
        <v>116.3434</v>
      </c>
      <c r="J6301">
        <v>-184.82069999999999</v>
      </c>
      <c r="K6301">
        <v>1.1061430000000001</v>
      </c>
      <c r="L6301">
        <v>115.9568</v>
      </c>
      <c r="M6301">
        <v>0.26235320000000001</v>
      </c>
      <c r="N6301">
        <v>0</v>
      </c>
      <c r="O6301">
        <v>0.9648852</v>
      </c>
      <c r="P6301">
        <v>0.41230990000000001</v>
      </c>
      <c r="Q6301">
        <v>3.41476E-2</v>
      </c>
      <c r="R6301">
        <v>0.91040350000000003</v>
      </c>
      <c r="S6301">
        <v>1.2971189999999999</v>
      </c>
      <c r="T6301">
        <v>-0.42003570000000001</v>
      </c>
      <c r="U6301">
        <v>2.7232509999999999</v>
      </c>
      <c r="V6301">
        <v>0.15942379999999901</v>
      </c>
      <c r="W6301">
        <v>4.5442009999999998E-2</v>
      </c>
      <c r="X6301">
        <v>0.98616380000000003</v>
      </c>
      <c r="Y6301">
        <v>0.17394029999999999</v>
      </c>
      <c r="Z6301">
        <v>-0.13632079999999999</v>
      </c>
      <c r="AA6301">
        <v>0.975275</v>
      </c>
      <c r="AB6301">
        <v>32</v>
      </c>
      <c r="AC6301">
        <v>0.24189999999998599</v>
      </c>
      <c r="AD6301">
        <v>-0.105627</v>
      </c>
      <c r="AE6301">
        <v>0.386600000000001</v>
      </c>
      <c r="AF6301">
        <v>0.125270737196612</v>
      </c>
      <c r="AG6301">
        <v>-0.105627</v>
      </c>
      <c r="AH6301">
        <v>0.41429885449602299</v>
      </c>
      <c r="AI6301">
        <v>103.714489879046</v>
      </c>
      <c r="AJ6301">
        <v>73.176360585411004</v>
      </c>
      <c r="AK6301">
        <v>0.44552593814894698</v>
      </c>
      <c r="AL6301">
        <v>87.395467660511599</v>
      </c>
      <c r="AM6301">
        <v>80.816978528995193</v>
      </c>
      <c r="AN6301">
        <v>0.99999998235485899</v>
      </c>
    </row>
    <row r="6302" spans="1:40" x14ac:dyDescent="0.25">
      <c r="A6302" t="str">
        <f>"20190312151441807"</f>
        <v>20190312151441807</v>
      </c>
      <c r="B6302" t="str">
        <f>"1552374881796889"</f>
        <v>1552374881796889</v>
      </c>
      <c r="C6302" t="s">
        <v>40</v>
      </c>
      <c r="D6302">
        <v>4.7430580000000004</v>
      </c>
      <c r="E6302">
        <v>0.50556420000000002</v>
      </c>
      <c r="F6302" t="s">
        <v>41</v>
      </c>
      <c r="G6302">
        <v>-184.50380000000001</v>
      </c>
      <c r="H6302">
        <v>1.0049090000000001</v>
      </c>
      <c r="I6302">
        <v>116.61799999999999</v>
      </c>
      <c r="J6302">
        <v>-184.73419999999999</v>
      </c>
      <c r="K6302">
        <v>1.1063769999999999</v>
      </c>
      <c r="L6302">
        <v>116.25920000000001</v>
      </c>
      <c r="M6302">
        <v>0.26612010000000003</v>
      </c>
      <c r="N6302">
        <v>0</v>
      </c>
      <c r="O6302">
        <v>0.96385319999999997</v>
      </c>
      <c r="P6302">
        <v>0.41511629999999999</v>
      </c>
      <c r="Q6302">
        <v>3.3934649999999997E-2</v>
      </c>
      <c r="R6302">
        <v>0.90913520000000003</v>
      </c>
      <c r="S6302">
        <v>1.302994</v>
      </c>
      <c r="T6302">
        <v>-0.41643950000000002</v>
      </c>
      <c r="U6302">
        <v>2.7207340000000002</v>
      </c>
      <c r="V6302">
        <v>0.15858220000000001</v>
      </c>
      <c r="W6302">
        <v>4.5321500000000001E-2</v>
      </c>
      <c r="X6302">
        <v>0.98630510000000005</v>
      </c>
      <c r="Y6302">
        <v>0.172235</v>
      </c>
      <c r="Z6302">
        <v>-0.13503660000000001</v>
      </c>
      <c r="AA6302">
        <v>0.97575619999999996</v>
      </c>
      <c r="AB6302">
        <v>32</v>
      </c>
      <c r="AC6302">
        <v>0.23039999999997399</v>
      </c>
      <c r="AD6302">
        <v>-0.101467999999999</v>
      </c>
      <c r="AE6302">
        <v>0.35879999999998802</v>
      </c>
      <c r="AF6302">
        <v>0.119813929030629</v>
      </c>
      <c r="AG6302">
        <v>-0.101467999999999</v>
      </c>
      <c r="AH6302">
        <v>0.38535752421818098</v>
      </c>
      <c r="AI6302">
        <v>104.113655048176</v>
      </c>
      <c r="AJ6302">
        <v>72.728679919227304</v>
      </c>
      <c r="AK6302">
        <v>0.41611483281099598</v>
      </c>
      <c r="AL6302">
        <v>87.402379675653606</v>
      </c>
      <c r="AM6302">
        <v>80.865922957524802</v>
      </c>
      <c r="AN6302">
        <v>1.00000005140254</v>
      </c>
    </row>
    <row r="6303" spans="1:40" x14ac:dyDescent="0.25">
      <c r="A6303" t="str">
        <f>"20190312151441830"</f>
        <v>20190312151441830</v>
      </c>
      <c r="B6303" t="str">
        <f>"1552374881827145"</f>
        <v>1552374881827145</v>
      </c>
      <c r="C6303" t="s">
        <v>40</v>
      </c>
      <c r="D6303">
        <v>4.6972050000000003</v>
      </c>
      <c r="E6303">
        <v>0.50608260000000005</v>
      </c>
      <c r="F6303" t="s">
        <v>41</v>
      </c>
      <c r="G6303">
        <v>-184.31129999999999</v>
      </c>
      <c r="H6303">
        <v>0.97198770000000001</v>
      </c>
      <c r="I6303">
        <v>117.1353</v>
      </c>
      <c r="J6303">
        <v>-184.6454</v>
      </c>
      <c r="K6303">
        <v>1.106681</v>
      </c>
      <c r="L6303">
        <v>116.5663</v>
      </c>
      <c r="M6303">
        <v>0.26951439999999999</v>
      </c>
      <c r="N6303">
        <v>0</v>
      </c>
      <c r="O6303">
        <v>0.96290969999999998</v>
      </c>
      <c r="P6303">
        <v>0.41714299999999999</v>
      </c>
      <c r="Q6303">
        <v>3.088024E-2</v>
      </c>
      <c r="R6303">
        <v>0.90831609999999996</v>
      </c>
      <c r="S6303">
        <v>1.310959</v>
      </c>
      <c r="T6303">
        <v>-0.41670469999999998</v>
      </c>
      <c r="U6303">
        <v>2.7167970000000001</v>
      </c>
      <c r="V6303">
        <v>0.15721729999999901</v>
      </c>
      <c r="W6303">
        <v>4.2397490000000003E-2</v>
      </c>
      <c r="X6303">
        <v>0.98665349999999996</v>
      </c>
      <c r="Y6303">
        <v>0.17163729999999999</v>
      </c>
      <c r="Z6303">
        <v>-0.13502639999999999</v>
      </c>
      <c r="AA6303">
        <v>0.97586300000000004</v>
      </c>
      <c r="AB6303">
        <v>31</v>
      </c>
      <c r="AC6303">
        <v>0.334100000000006</v>
      </c>
      <c r="AD6303">
        <v>-0.13469329999999999</v>
      </c>
      <c r="AE6303">
        <v>0.56900000000000195</v>
      </c>
      <c r="AF6303">
        <v>0.16163328759744999</v>
      </c>
      <c r="AG6303">
        <v>-0.13469329999999999</v>
      </c>
      <c r="AH6303">
        <v>0.61247213140809098</v>
      </c>
      <c r="AI6303">
        <v>102.004436971131</v>
      </c>
      <c r="AJ6303">
        <v>75.216513305570203</v>
      </c>
      <c r="AK6303">
        <v>0.64760305471486102</v>
      </c>
      <c r="AL6303">
        <v>87.570074351706694</v>
      </c>
      <c r="AM6303">
        <v>80.946375538306299</v>
      </c>
      <c r="AN6303">
        <v>0.99999997781991901</v>
      </c>
    </row>
    <row r="6304" spans="1:40" x14ac:dyDescent="0.25">
      <c r="A6304" t="str">
        <f>"20190312151441852"</f>
        <v>20190312151441852</v>
      </c>
      <c r="B6304" t="str">
        <f>"1552374881846665"</f>
        <v>1552374881846665</v>
      </c>
      <c r="C6304" t="s">
        <v>40</v>
      </c>
      <c r="D6304">
        <v>4.762772</v>
      </c>
      <c r="E6304">
        <v>0.50637569999999998</v>
      </c>
      <c r="F6304" t="s">
        <v>41</v>
      </c>
      <c r="G6304">
        <v>-184.23589999999999</v>
      </c>
      <c r="H6304">
        <v>0.97402370000000005</v>
      </c>
      <c r="I6304">
        <v>117.40770000000001</v>
      </c>
      <c r="J6304">
        <v>-184.55609999999999</v>
      </c>
      <c r="K6304">
        <v>1.1070139999999999</v>
      </c>
      <c r="L6304">
        <v>116.873</v>
      </c>
      <c r="M6304">
        <v>0.27251550000000002</v>
      </c>
      <c r="N6304">
        <v>0</v>
      </c>
      <c r="O6304">
        <v>0.96206469999999999</v>
      </c>
      <c r="P6304">
        <v>0.41764440000000003</v>
      </c>
      <c r="Q6304">
        <v>2.9117279999999999E-2</v>
      </c>
      <c r="R6304">
        <v>0.9081439</v>
      </c>
      <c r="S6304">
        <v>1.319839</v>
      </c>
      <c r="T6304">
        <v>-0.42747780000000002</v>
      </c>
      <c r="U6304">
        <v>2.7111969999999999</v>
      </c>
      <c r="V6304">
        <v>0.15462089999999901</v>
      </c>
      <c r="W6304">
        <v>4.0782409999999998E-2</v>
      </c>
      <c r="X6304">
        <v>0.9871318</v>
      </c>
      <c r="Y6304">
        <v>0.17172799999999999</v>
      </c>
      <c r="Z6304">
        <v>-0.1384261</v>
      </c>
      <c r="AA6304">
        <v>0.97537059999999998</v>
      </c>
      <c r="AB6304">
        <v>31</v>
      </c>
      <c r="AC6304">
        <v>0.32019999999999899</v>
      </c>
      <c r="AD6304">
        <v>-0.13299029999999901</v>
      </c>
      <c r="AE6304">
        <v>0.53470000000001505</v>
      </c>
      <c r="AF6304">
        <v>0.155282181625679</v>
      </c>
      <c r="AG6304">
        <v>-0.13299029999999901</v>
      </c>
      <c r="AH6304">
        <v>0.575520560434996</v>
      </c>
      <c r="AI6304">
        <v>102.576739120908</v>
      </c>
      <c r="AJ6304">
        <v>74.900481009475101</v>
      </c>
      <c r="AK6304">
        <v>0.61075599981329098</v>
      </c>
      <c r="AL6304">
        <v>87.662691840629293</v>
      </c>
      <c r="AM6304">
        <v>81.097723377445007</v>
      </c>
      <c r="AN6304">
        <v>1.00000000912672</v>
      </c>
    </row>
    <row r="6305" spans="1:40" x14ac:dyDescent="0.25">
      <c r="A6305" t="str">
        <f>"20190312151441877"</f>
        <v>20190312151441877</v>
      </c>
      <c r="B6305" t="str">
        <f>"1552374881866492"</f>
        <v>1552374881866492</v>
      </c>
      <c r="C6305" t="s">
        <v>40</v>
      </c>
      <c r="D6305">
        <v>4.7745449999999998</v>
      </c>
      <c r="E6305">
        <v>0.50677249999999996</v>
      </c>
      <c r="F6305" t="s">
        <v>41</v>
      </c>
      <c r="G6305">
        <v>-184.16120000000001</v>
      </c>
      <c r="H6305">
        <v>0.97747830000000002</v>
      </c>
      <c r="I6305">
        <v>117.68089999999999</v>
      </c>
      <c r="J6305">
        <v>-184.46129999999999</v>
      </c>
      <c r="K6305">
        <v>1.107407</v>
      </c>
      <c r="L6305">
        <v>117.1968</v>
      </c>
      <c r="M6305">
        <v>0.27515859999999998</v>
      </c>
      <c r="N6305">
        <v>0</v>
      </c>
      <c r="O6305">
        <v>0.96131219999999995</v>
      </c>
      <c r="P6305">
        <v>0.41854570000000002</v>
      </c>
      <c r="Q6305">
        <v>3.0225559999999999E-2</v>
      </c>
      <c r="R6305">
        <v>0.90769259999999996</v>
      </c>
      <c r="S6305">
        <v>1.323685</v>
      </c>
      <c r="T6305">
        <v>-0.43427290000000002</v>
      </c>
      <c r="U6305">
        <v>2.708618</v>
      </c>
      <c r="V6305">
        <v>0.1528649</v>
      </c>
      <c r="W6305">
        <v>4.2046849999999997E-2</v>
      </c>
      <c r="X6305">
        <v>0.98735220000000001</v>
      </c>
      <c r="Y6305">
        <v>0.17036899999999999</v>
      </c>
      <c r="Z6305">
        <v>-0.14051229999999901</v>
      </c>
      <c r="AA6305">
        <v>0.97531060000000003</v>
      </c>
      <c r="AB6305">
        <v>31</v>
      </c>
      <c r="AC6305">
        <v>0.30009999999998599</v>
      </c>
      <c r="AD6305">
        <v>-0.12992869999999901</v>
      </c>
      <c r="AE6305">
        <v>0.48409999999999798</v>
      </c>
      <c r="AF6305">
        <v>0.14761690992645399</v>
      </c>
      <c r="AG6305">
        <v>-0.12992869999999901</v>
      </c>
      <c r="AH6305">
        <v>0.52088660929047503</v>
      </c>
      <c r="AI6305">
        <v>103.495010524473</v>
      </c>
      <c r="AJ6305">
        <v>74.177510046178199</v>
      </c>
      <c r="AK6305">
        <v>0.55677201700341605</v>
      </c>
      <c r="AL6305">
        <v>87.590182507764894</v>
      </c>
      <c r="AM6305">
        <v>81.199166716254496</v>
      </c>
      <c r="AN6305">
        <v>0.99999999104588599</v>
      </c>
    </row>
    <row r="6306" spans="1:40" x14ac:dyDescent="0.25">
      <c r="A6306" t="str">
        <f>"20190312151441898"</f>
        <v>20190312151441898</v>
      </c>
      <c r="B6306" t="str">
        <f>"1552374881886988"</f>
        <v>1552374881886988</v>
      </c>
      <c r="C6306" t="s">
        <v>40</v>
      </c>
      <c r="D6306">
        <v>4.7602099999999998</v>
      </c>
      <c r="E6306">
        <v>0.50720869999999996</v>
      </c>
      <c r="F6306" t="s">
        <v>41</v>
      </c>
      <c r="G6306">
        <v>-184.08770000000001</v>
      </c>
      <c r="H6306">
        <v>0.98641959999999995</v>
      </c>
      <c r="I6306">
        <v>117.9569</v>
      </c>
      <c r="J6306">
        <v>-184.37459999999999</v>
      </c>
      <c r="K6306">
        <v>1.107823</v>
      </c>
      <c r="L6306">
        <v>117.4915</v>
      </c>
      <c r="M6306">
        <v>0.27700609999999998</v>
      </c>
      <c r="N6306">
        <v>0</v>
      </c>
      <c r="O6306">
        <v>0.96078149999999996</v>
      </c>
      <c r="P6306">
        <v>0.42052089999999998</v>
      </c>
      <c r="Q6306">
        <v>3.0934639999999999E-2</v>
      </c>
      <c r="R6306">
        <v>0.90675539999999999</v>
      </c>
      <c r="S6306">
        <v>1.3302149999999999</v>
      </c>
      <c r="T6306">
        <v>-0.43078060000000001</v>
      </c>
      <c r="U6306">
        <v>2.7060390000000001</v>
      </c>
      <c r="V6306">
        <v>0.1530849</v>
      </c>
      <c r="W6306">
        <v>4.2900569999999999E-2</v>
      </c>
      <c r="X6306">
        <v>0.98728139999999998</v>
      </c>
      <c r="Y6306">
        <v>0.1708141</v>
      </c>
      <c r="Z6306">
        <v>-0.13933570000000001</v>
      </c>
      <c r="AA6306">
        <v>0.97540150000000003</v>
      </c>
      <c r="AB6306">
        <v>31</v>
      </c>
      <c r="AC6306">
        <v>0.28689999999997401</v>
      </c>
      <c r="AD6306">
        <v>-0.12140339999999999</v>
      </c>
      <c r="AE6306">
        <v>0.46540000000000198</v>
      </c>
      <c r="AF6306">
        <v>0.139846167740245</v>
      </c>
      <c r="AG6306">
        <v>-0.12140339999999999</v>
      </c>
      <c r="AH6306">
        <v>0.50191582687460401</v>
      </c>
      <c r="AI6306">
        <v>103.116166526575</v>
      </c>
      <c r="AJ6306">
        <v>74.430847558105597</v>
      </c>
      <c r="AK6306">
        <v>0.53499087228700504</v>
      </c>
      <c r="AL6306">
        <v>87.541223804076907</v>
      </c>
      <c r="AM6306">
        <v>81.186077352429095</v>
      </c>
      <c r="AN6306">
        <v>1.00000000415014</v>
      </c>
    </row>
    <row r="6307" spans="1:40" x14ac:dyDescent="0.25">
      <c r="A6307" t="str">
        <f>"20190312151441921"</f>
        <v>20190312151441921</v>
      </c>
      <c r="B6307" t="str">
        <f>"1552374881917245"</f>
        <v>1552374881917245</v>
      </c>
      <c r="C6307" t="s">
        <v>40</v>
      </c>
      <c r="D6307">
        <v>4.7394930000000004</v>
      </c>
      <c r="E6307">
        <v>0.50754960000000005</v>
      </c>
      <c r="F6307" t="s">
        <v>41</v>
      </c>
      <c r="G6307">
        <v>-184.00899999999999</v>
      </c>
      <c r="H6307">
        <v>0.99052260000000003</v>
      </c>
      <c r="I6307">
        <v>118.2289</v>
      </c>
      <c r="J6307">
        <v>-184.28630000000001</v>
      </c>
      <c r="K6307">
        <v>1.108311</v>
      </c>
      <c r="L6307">
        <v>117.7921</v>
      </c>
      <c r="M6307">
        <v>0.27829500000000001</v>
      </c>
      <c r="N6307">
        <v>0</v>
      </c>
      <c r="O6307">
        <v>0.96040899999999996</v>
      </c>
      <c r="P6307">
        <v>0.42216910000000002</v>
      </c>
      <c r="Q6307">
        <v>3.1278189999999997E-2</v>
      </c>
      <c r="R6307">
        <v>0.90597729999999999</v>
      </c>
      <c r="S6307">
        <v>1.3394170000000001</v>
      </c>
      <c r="T6307">
        <v>-0.42986200000000002</v>
      </c>
      <c r="U6307">
        <v>2.7019959999999998</v>
      </c>
      <c r="V6307">
        <v>0.15351099999999901</v>
      </c>
      <c r="W6307">
        <v>4.341412E-2</v>
      </c>
      <c r="X6307">
        <v>0.98719279999999998</v>
      </c>
      <c r="Y6307">
        <v>0.17275929999999901</v>
      </c>
      <c r="Z6307">
        <v>-0.13902690000000001</v>
      </c>
      <c r="AA6307">
        <v>0.97510300000000005</v>
      </c>
      <c r="AB6307">
        <v>31</v>
      </c>
      <c r="AC6307">
        <v>0.27729999999999599</v>
      </c>
      <c r="AD6307">
        <v>-0.1177884</v>
      </c>
      <c r="AE6307">
        <v>0.43679999999999097</v>
      </c>
      <c r="AF6307">
        <v>0.137640429276078</v>
      </c>
      <c r="AG6307">
        <v>-0.1177884</v>
      </c>
      <c r="AH6307">
        <v>0.47224325248049298</v>
      </c>
      <c r="AI6307">
        <v>103.466446159943</v>
      </c>
      <c r="AJ6307">
        <v>73.750662730459695</v>
      </c>
      <c r="AK6307">
        <v>0.50579905541550596</v>
      </c>
      <c r="AL6307">
        <v>87.511772151917498</v>
      </c>
      <c r="AM6307">
        <v>81.161150578762502</v>
      </c>
      <c r="AN6307">
        <v>1.0000000186541</v>
      </c>
    </row>
    <row r="6308" spans="1:40" x14ac:dyDescent="0.25">
      <c r="A6308" t="str">
        <f>"20190312151441941"</f>
        <v>20190312151441941</v>
      </c>
      <c r="B6308" t="str">
        <f>"1552374881936764"</f>
        <v>1552374881936764</v>
      </c>
      <c r="C6308" t="s">
        <v>40</v>
      </c>
      <c r="D6308">
        <v>4.7979750000000001</v>
      </c>
      <c r="E6308">
        <v>0.50782039999999995</v>
      </c>
      <c r="F6308" t="s">
        <v>41</v>
      </c>
      <c r="G6308">
        <v>-183.9324</v>
      </c>
      <c r="H6308">
        <v>0.99458000000000002</v>
      </c>
      <c r="I6308">
        <v>118.5013</v>
      </c>
      <c r="J6308">
        <v>-184.20189999999999</v>
      </c>
      <c r="K6308">
        <v>1.1088279999999999</v>
      </c>
      <c r="L6308">
        <v>118.08</v>
      </c>
      <c r="M6308">
        <v>0.27894180000000002</v>
      </c>
      <c r="N6308">
        <v>0</v>
      </c>
      <c r="O6308">
        <v>0.96022130000000006</v>
      </c>
      <c r="P6308">
        <v>0.42347089999999998</v>
      </c>
      <c r="Q6308">
        <v>3.2541029999999999E-2</v>
      </c>
      <c r="R6308">
        <v>0.90532509999999999</v>
      </c>
      <c r="S6308">
        <v>1.3467559999999901</v>
      </c>
      <c r="T6308">
        <v>-0.4327917</v>
      </c>
      <c r="U6308">
        <v>2.6987299999999999</v>
      </c>
      <c r="V6308">
        <v>0.15422829999999901</v>
      </c>
      <c r="W6308">
        <v>4.4861810000000002E-2</v>
      </c>
      <c r="X6308">
        <v>0.98701629999999996</v>
      </c>
      <c r="Y6308">
        <v>0.174629799999999</v>
      </c>
      <c r="Z6308">
        <v>-0.13996049999999999</v>
      </c>
      <c r="AA6308">
        <v>0.97463610000000001</v>
      </c>
      <c r="AB6308">
        <v>31</v>
      </c>
      <c r="AC6308">
        <v>0.26949999999999302</v>
      </c>
      <c r="AD6308">
        <v>-0.114248</v>
      </c>
      <c r="AE6308">
        <v>0.42130000000000201</v>
      </c>
      <c r="AF6308">
        <v>0.13426658211717901</v>
      </c>
      <c r="AG6308">
        <v>-0.114248</v>
      </c>
      <c r="AH6308">
        <v>0.45596183313718203</v>
      </c>
      <c r="AI6308">
        <v>103.515255806246</v>
      </c>
      <c r="AJ6308">
        <v>73.591938141414303</v>
      </c>
      <c r="AK6308">
        <v>0.48885715076620201</v>
      </c>
      <c r="AL6308">
        <v>87.428744819688205</v>
      </c>
      <c r="AM6308">
        <v>81.118944010628098</v>
      </c>
      <c r="AN6308">
        <v>1.00000006349152</v>
      </c>
    </row>
    <row r="6309" spans="1:40" x14ac:dyDescent="0.25">
      <c r="A6309" t="str">
        <f>"20190312151441964"</f>
        <v>20190312151441964</v>
      </c>
      <c r="B6309" t="str">
        <f>"1552374881957260"</f>
        <v>1552374881957260</v>
      </c>
      <c r="C6309" t="s">
        <v>40</v>
      </c>
      <c r="D6309">
        <v>4.7797159999999996</v>
      </c>
      <c r="E6309">
        <v>0.50807259999999999</v>
      </c>
      <c r="F6309" t="s">
        <v>41</v>
      </c>
      <c r="G6309">
        <v>-183.85390000000001</v>
      </c>
      <c r="H6309">
        <v>0.9981331</v>
      </c>
      <c r="I6309">
        <v>118.7726</v>
      </c>
      <c r="J6309">
        <v>-184.114</v>
      </c>
      <c r="K6309">
        <v>1.1093919999999999</v>
      </c>
      <c r="L6309">
        <v>118.381</v>
      </c>
      <c r="M6309">
        <v>0.27901369999999998</v>
      </c>
      <c r="N6309">
        <v>0</v>
      </c>
      <c r="O6309">
        <v>0.96020030000000001</v>
      </c>
      <c r="P6309">
        <v>0.4247322</v>
      </c>
      <c r="Q6309">
        <v>3.5241229999999998E-2</v>
      </c>
      <c r="R6309">
        <v>0.90463289999999996</v>
      </c>
      <c r="S6309">
        <v>1.3537600000000001</v>
      </c>
      <c r="T6309">
        <v>-0.43099470000000001</v>
      </c>
      <c r="U6309">
        <v>2.695999</v>
      </c>
      <c r="V6309">
        <v>0.15550320000000001</v>
      </c>
      <c r="W6309">
        <v>4.7769300000000001E-2</v>
      </c>
      <c r="X6309">
        <v>0.98667969999999905</v>
      </c>
      <c r="Y6309">
        <v>0.17701120000000001</v>
      </c>
      <c r="Z6309">
        <v>-0.13940539999999901</v>
      </c>
      <c r="AA6309">
        <v>0.97428599999999999</v>
      </c>
      <c r="AB6309">
        <v>31</v>
      </c>
      <c r="AC6309">
        <v>0.260099999999994</v>
      </c>
      <c r="AD6309">
        <v>-0.11125889999999899</v>
      </c>
      <c r="AE6309">
        <v>0.39159999999999601</v>
      </c>
      <c r="AF6309">
        <v>0.133046025271261</v>
      </c>
      <c r="AG6309">
        <v>-0.11125889999999899</v>
      </c>
      <c r="AH6309">
        <v>0.42482830734923499</v>
      </c>
      <c r="AI6309">
        <v>104.032037034266</v>
      </c>
      <c r="AJ6309">
        <v>72.6106966923182</v>
      </c>
      <c r="AK6309">
        <v>0.45886695064572602</v>
      </c>
      <c r="AL6309">
        <v>87.2619787026144</v>
      </c>
      <c r="AM6309">
        <v>81.043710060025901</v>
      </c>
      <c r="AN6309">
        <v>0.99999999081240898</v>
      </c>
    </row>
    <row r="6310" spans="1:40" x14ac:dyDescent="0.25">
      <c r="A6310" t="str">
        <f>"20190312151441987"</f>
        <v>20190312151441987</v>
      </c>
      <c r="B6310" t="str">
        <f>"1552374881976785"</f>
        <v>1552374881976785</v>
      </c>
      <c r="C6310" t="s">
        <v>40</v>
      </c>
      <c r="D6310">
        <v>4.8147690000000001</v>
      </c>
      <c r="E6310">
        <v>0.50815739999999998</v>
      </c>
      <c r="F6310" t="s">
        <v>41</v>
      </c>
      <c r="G6310">
        <v>-183.7783</v>
      </c>
      <c r="H6310">
        <v>1.0043759999999999</v>
      </c>
      <c r="I6310">
        <v>119.0457</v>
      </c>
      <c r="J6310">
        <v>-184.02430000000001</v>
      </c>
      <c r="K6310">
        <v>1.109944</v>
      </c>
      <c r="L6310">
        <v>118.6909</v>
      </c>
      <c r="M6310">
        <v>0.27844600000000003</v>
      </c>
      <c r="N6310">
        <v>0</v>
      </c>
      <c r="O6310">
        <v>0.96036489999999997</v>
      </c>
      <c r="P6310">
        <v>0.42651879999999998</v>
      </c>
      <c r="Q6310">
        <v>3.672396E-2</v>
      </c>
      <c r="R6310">
        <v>0.90373289999999995</v>
      </c>
      <c r="S6310">
        <v>1.3605959999999999</v>
      </c>
      <c r="T6310">
        <v>-0.42561389999999999</v>
      </c>
      <c r="U6310">
        <v>2.6940460000000002</v>
      </c>
      <c r="V6310">
        <v>0.1579912</v>
      </c>
      <c r="W6310">
        <v>4.946151E-2</v>
      </c>
      <c r="X6310">
        <v>0.98620099999999999</v>
      </c>
      <c r="Y6310">
        <v>0.1799589</v>
      </c>
      <c r="Z6310">
        <v>-0.13771259999999999</v>
      </c>
      <c r="AA6310">
        <v>0.97398669999999998</v>
      </c>
      <c r="AB6310">
        <v>31</v>
      </c>
      <c r="AC6310">
        <v>0.24600000000000899</v>
      </c>
      <c r="AD6310">
        <v>-0.105568</v>
      </c>
      <c r="AE6310">
        <v>0.35479999999999701</v>
      </c>
      <c r="AF6310">
        <v>0.12971319398794001</v>
      </c>
      <c r="AG6310">
        <v>-0.105568</v>
      </c>
      <c r="AH6310">
        <v>0.38618007448777297</v>
      </c>
      <c r="AI6310">
        <v>104.527904520711</v>
      </c>
      <c r="AJ6310">
        <v>71.433425685372498</v>
      </c>
      <c r="AK6310">
        <v>0.42083864514791702</v>
      </c>
      <c r="AL6310">
        <v>87.164907548340295</v>
      </c>
      <c r="AM6310">
        <v>80.898448356585803</v>
      </c>
      <c r="AN6310">
        <v>1.0000000363249499</v>
      </c>
    </row>
    <row r="6311" spans="1:40" x14ac:dyDescent="0.25">
      <c r="A6311" t="str">
        <f>"20190312151442008"</f>
        <v>20190312151442008</v>
      </c>
      <c r="B6311" t="str">
        <f>"1552374881997277"</f>
        <v>1552374881997277</v>
      </c>
      <c r="C6311" t="s">
        <v>40</v>
      </c>
      <c r="D6311">
        <v>4.8123399999999998</v>
      </c>
      <c r="E6311">
        <v>0.51139799999999902</v>
      </c>
      <c r="F6311" t="s">
        <v>41</v>
      </c>
      <c r="G6311">
        <v>-183.584</v>
      </c>
      <c r="H6311">
        <v>0.97369499999999998</v>
      </c>
      <c r="I6311">
        <v>119.5587</v>
      </c>
      <c r="J6311">
        <v>-183.94139999999999</v>
      </c>
      <c r="K6311">
        <v>1.110384</v>
      </c>
      <c r="L6311">
        <v>118.98</v>
      </c>
      <c r="M6311">
        <v>0.27741909999999997</v>
      </c>
      <c r="N6311">
        <v>0</v>
      </c>
      <c r="O6311">
        <v>0.96066180000000001</v>
      </c>
      <c r="P6311">
        <v>0.42623470000000002</v>
      </c>
      <c r="Q6311">
        <v>3.6294600000000003E-2</v>
      </c>
      <c r="R6311">
        <v>0.90388420000000003</v>
      </c>
      <c r="S6311">
        <v>1.3657840000000001</v>
      </c>
      <c r="T6311">
        <v>-0.42267130000000003</v>
      </c>
      <c r="U6311">
        <v>2.6921390000000001</v>
      </c>
      <c r="V6311">
        <v>0.1586785</v>
      </c>
      <c r="W6311">
        <v>4.9212899999999997E-2</v>
      </c>
      <c r="X6311">
        <v>0.98610310000000001</v>
      </c>
      <c r="Y6311">
        <v>0.18283940000000001</v>
      </c>
      <c r="Z6311">
        <v>-0.13683439999999999</v>
      </c>
      <c r="AA6311">
        <v>0.97357389999999999</v>
      </c>
      <c r="AB6311">
        <v>31</v>
      </c>
      <c r="AC6311">
        <v>0.35739999999998401</v>
      </c>
      <c r="AD6311">
        <v>-0.13668899999999901</v>
      </c>
      <c r="AE6311">
        <v>0.57869999999999699</v>
      </c>
      <c r="AF6311">
        <v>0.17571684477546301</v>
      </c>
      <c r="AG6311">
        <v>-0.13668899999999901</v>
      </c>
      <c r="AH6311">
        <v>0.62970784371002797</v>
      </c>
      <c r="AI6311">
        <v>101.80927244879599</v>
      </c>
      <c r="AJ6311">
        <v>74.408503958768193</v>
      </c>
      <c r="AK6311">
        <v>0.66790138545205702</v>
      </c>
      <c r="AL6311">
        <v>87.179169257981201</v>
      </c>
      <c r="AM6311">
        <v>80.858629223787403</v>
      </c>
      <c r="AN6311">
        <v>1.0000000498591299</v>
      </c>
    </row>
    <row r="6312" spans="1:40" x14ac:dyDescent="0.25">
      <c r="A6312" t="str">
        <f>"20190312151442032"</f>
        <v>20190312151442032</v>
      </c>
      <c r="B6312" t="str">
        <f>"1552374882026558"</f>
        <v>1552374882026558</v>
      </c>
      <c r="C6312" t="s">
        <v>40</v>
      </c>
      <c r="D6312">
        <v>4.8144900000000002</v>
      </c>
      <c r="E6312">
        <v>0.51147370000000003</v>
      </c>
      <c r="F6312" t="s">
        <v>41</v>
      </c>
      <c r="G6312">
        <v>-183.50540000000001</v>
      </c>
      <c r="H6312">
        <v>0.95858010000000005</v>
      </c>
      <c r="I6312">
        <v>119.8206</v>
      </c>
      <c r="J6312">
        <v>-183.85339999999999</v>
      </c>
      <c r="K6312">
        <v>1.110754</v>
      </c>
      <c r="L6312">
        <v>119.28959999999999</v>
      </c>
      <c r="M6312">
        <v>0.27593179999999901</v>
      </c>
      <c r="N6312">
        <v>0</v>
      </c>
      <c r="O6312">
        <v>0.96109</v>
      </c>
      <c r="P6312">
        <v>0.42354439999999999</v>
      </c>
      <c r="Q6312">
        <v>3.4423479999999999E-2</v>
      </c>
      <c r="R6312">
        <v>0.90522100000000005</v>
      </c>
      <c r="S6312">
        <v>1.390854</v>
      </c>
      <c r="T6312">
        <v>-0.4844909</v>
      </c>
      <c r="U6312">
        <v>2.6826020000000002</v>
      </c>
      <c r="V6312">
        <v>0.1572095</v>
      </c>
      <c r="W6312">
        <v>4.7497339999999999E-2</v>
      </c>
      <c r="X6312">
        <v>0.98642240000000003</v>
      </c>
      <c r="Y6312">
        <v>0.19155929999999999</v>
      </c>
      <c r="Z6312">
        <v>-0.1564941</v>
      </c>
      <c r="AA6312">
        <v>0.96892449999999997</v>
      </c>
      <c r="AB6312">
        <v>31</v>
      </c>
      <c r="AC6312">
        <v>0.34799999999998399</v>
      </c>
      <c r="AD6312">
        <v>-0.1521739</v>
      </c>
      <c r="AE6312">
        <v>0.53100000000000502</v>
      </c>
      <c r="AF6312">
        <v>0.17774356485898399</v>
      </c>
      <c r="AG6312">
        <v>-0.1521739</v>
      </c>
      <c r="AH6312">
        <v>0.57346705525321495</v>
      </c>
      <c r="AI6312">
        <v>104.222794496473</v>
      </c>
      <c r="AJ6312">
        <v>72.779409810446097</v>
      </c>
      <c r="AK6312">
        <v>0.61936591297131005</v>
      </c>
      <c r="AL6312">
        <v>87.277578562127999</v>
      </c>
      <c r="AM6312">
        <v>80.944731425538393</v>
      </c>
      <c r="AN6312">
        <v>0.99999998770954202</v>
      </c>
    </row>
    <row r="6313" spans="1:40" x14ac:dyDescent="0.25">
      <c r="A6313" t="str">
        <f>"20190312151442053"</f>
        <v>20190312151442053</v>
      </c>
      <c r="B6313" t="str">
        <f>"1552374882047052"</f>
        <v>1552374882047052</v>
      </c>
      <c r="C6313" t="s">
        <v>40</v>
      </c>
      <c r="D6313">
        <v>4.824325</v>
      </c>
      <c r="E6313">
        <v>0.51150079999999998</v>
      </c>
      <c r="F6313" t="s">
        <v>41</v>
      </c>
      <c r="G6313">
        <v>-183.43960000000001</v>
      </c>
      <c r="H6313">
        <v>0.95981930000000004</v>
      </c>
      <c r="I6313">
        <v>120.0928</v>
      </c>
      <c r="J6313">
        <v>-183.7705</v>
      </c>
      <c r="K6313">
        <v>1.111003</v>
      </c>
      <c r="L6313">
        <v>119.584</v>
      </c>
      <c r="M6313">
        <v>0.27427430000000003</v>
      </c>
      <c r="N6313">
        <v>0</v>
      </c>
      <c r="O6313">
        <v>0.96156419999999998</v>
      </c>
      <c r="P6313">
        <v>0.41976580000000002</v>
      </c>
      <c r="Q6313">
        <v>3.3077179999999998E-2</v>
      </c>
      <c r="R6313">
        <v>0.90702950000000004</v>
      </c>
      <c r="S6313">
        <v>1.383621</v>
      </c>
      <c r="T6313">
        <v>-0.50474300000000005</v>
      </c>
      <c r="U6313">
        <v>2.6859440000000001</v>
      </c>
      <c r="V6313">
        <v>0.15475449999999999</v>
      </c>
      <c r="W6313">
        <v>4.6256070000000003E-2</v>
      </c>
      <c r="X6313">
        <v>0.98686949999999996</v>
      </c>
      <c r="Y6313">
        <v>0.19020770000000001</v>
      </c>
      <c r="Z6313">
        <v>-0.162908</v>
      </c>
      <c r="AA6313">
        <v>0.96813329999999997</v>
      </c>
      <c r="AB6313">
        <v>31</v>
      </c>
      <c r="AC6313">
        <v>0.33089999999998498</v>
      </c>
      <c r="AD6313">
        <v>-0.151183699999999</v>
      </c>
      <c r="AE6313">
        <v>0.50879999999999304</v>
      </c>
      <c r="AF6313">
        <v>0.16820891516595601</v>
      </c>
      <c r="AG6313">
        <v>-0.151183699999999</v>
      </c>
      <c r="AH6313">
        <v>0.54616203633834504</v>
      </c>
      <c r="AI6313">
        <v>104.818055396207</v>
      </c>
      <c r="AJ6313">
        <v>72.882029254200702</v>
      </c>
      <c r="AK6313">
        <v>0.59113764913448497</v>
      </c>
      <c r="AL6313">
        <v>87.348776387234693</v>
      </c>
      <c r="AM6313">
        <v>81.087824593249394</v>
      </c>
      <c r="AN6313">
        <v>0.99999999465617195</v>
      </c>
    </row>
    <row r="6314" spans="1:40" x14ac:dyDescent="0.25">
      <c r="A6314" t="str">
        <f>"20190312151442076"</f>
        <v>20190312151442076</v>
      </c>
      <c r="B6314" t="str">
        <f>"1552374882066572"</f>
        <v>1552374882066572</v>
      </c>
      <c r="C6314" t="s">
        <v>40</v>
      </c>
      <c r="D6314">
        <v>4.7609859999999999</v>
      </c>
      <c r="E6314">
        <v>0.51169709999999902</v>
      </c>
      <c r="F6314" t="s">
        <v>41</v>
      </c>
      <c r="G6314">
        <v>-183.3723</v>
      </c>
      <c r="H6314">
        <v>0.9607232</v>
      </c>
      <c r="I6314">
        <v>120.3643</v>
      </c>
      <c r="J6314">
        <v>-183.68709999999999</v>
      </c>
      <c r="K6314">
        <v>1.111173</v>
      </c>
      <c r="L6314">
        <v>119.883</v>
      </c>
      <c r="M6314">
        <v>0.2724607</v>
      </c>
      <c r="N6314">
        <v>0</v>
      </c>
      <c r="O6314">
        <v>0.96207960000000003</v>
      </c>
      <c r="P6314">
        <v>0.41586440000000002</v>
      </c>
      <c r="Q6314">
        <v>3.2206060000000002E-2</v>
      </c>
      <c r="R6314">
        <v>0.9088562</v>
      </c>
      <c r="S6314">
        <v>1.3728940000000001</v>
      </c>
      <c r="T6314">
        <v>-0.51831579999999999</v>
      </c>
      <c r="U6314">
        <v>2.6910249999999998</v>
      </c>
      <c r="V6314">
        <v>0.15234710000000001</v>
      </c>
      <c r="W6314">
        <v>4.5452970000000002E-2</v>
      </c>
      <c r="X6314">
        <v>0.98728130000000003</v>
      </c>
      <c r="Y6314">
        <v>0.1879198</v>
      </c>
      <c r="Z6314">
        <v>-0.16719319999999999</v>
      </c>
      <c r="AA6314">
        <v>0.96784950000000003</v>
      </c>
      <c r="AB6314">
        <v>31</v>
      </c>
      <c r="AC6314">
        <v>0.31479999999999098</v>
      </c>
      <c r="AD6314">
        <v>-0.150449799999999</v>
      </c>
      <c r="AE6314">
        <v>0.481300000000004</v>
      </c>
      <c r="AF6314">
        <v>0.160741251844017</v>
      </c>
      <c r="AG6314">
        <v>-0.150449799999999</v>
      </c>
      <c r="AH6314">
        <v>0.513709398375783</v>
      </c>
      <c r="AI6314">
        <v>105.615994201882</v>
      </c>
      <c r="AJ6314">
        <v>72.624937807122706</v>
      </c>
      <c r="AK6314">
        <v>0.55890091997064295</v>
      </c>
      <c r="AL6314">
        <v>87.394839064847204</v>
      </c>
      <c r="AM6314">
        <v>81.227893330184799</v>
      </c>
      <c r="AN6314">
        <v>0.99999998834495996</v>
      </c>
    </row>
    <row r="6315" spans="1:40" x14ac:dyDescent="0.25">
      <c r="A6315" t="str">
        <f>"20190312151442099"</f>
        <v>20190312151442099</v>
      </c>
      <c r="B6315" t="str">
        <f>"1552374882096828"</f>
        <v>1552374882096828</v>
      </c>
      <c r="C6315" t="s">
        <v>40</v>
      </c>
      <c r="D6315">
        <v>4.7376719999999999</v>
      </c>
      <c r="E6315">
        <v>0.51229159999999996</v>
      </c>
      <c r="F6315" t="s">
        <v>41</v>
      </c>
      <c r="G6315">
        <v>-183.3064</v>
      </c>
      <c r="H6315">
        <v>0.96328689999999995</v>
      </c>
      <c r="I6315">
        <v>120.6369</v>
      </c>
      <c r="J6315">
        <v>-183.60079999999999</v>
      </c>
      <c r="K6315">
        <v>1.11127</v>
      </c>
      <c r="L6315">
        <v>120.19450000000001</v>
      </c>
      <c r="M6315">
        <v>0.27054460000000002</v>
      </c>
      <c r="N6315">
        <v>0</v>
      </c>
      <c r="O6315">
        <v>0.96262009999999998</v>
      </c>
      <c r="P6315">
        <v>0.41230060000000002</v>
      </c>
      <c r="Q6315">
        <v>3.0831040000000001E-2</v>
      </c>
      <c r="R6315">
        <v>0.91052599999999995</v>
      </c>
      <c r="S6315">
        <v>1.3617859999999999</v>
      </c>
      <c r="T6315">
        <v>-0.528922</v>
      </c>
      <c r="U6315">
        <v>2.696472</v>
      </c>
      <c r="V6315">
        <v>0.15042349999999999</v>
      </c>
      <c r="W6315">
        <v>4.4117740000000003E-2</v>
      </c>
      <c r="X6315">
        <v>0.98763679999999998</v>
      </c>
      <c r="Y6315">
        <v>0.1856448</v>
      </c>
      <c r="Z6315">
        <v>-0.170533399999999</v>
      </c>
      <c r="AA6315">
        <v>0.9677057</v>
      </c>
      <c r="AB6315">
        <v>31</v>
      </c>
      <c r="AC6315">
        <v>0.294399999999996</v>
      </c>
      <c r="AD6315">
        <v>-0.14798309999999901</v>
      </c>
      <c r="AE6315">
        <v>0.44239999999999202</v>
      </c>
      <c r="AF6315">
        <v>0.15193758299056301</v>
      </c>
      <c r="AG6315">
        <v>-0.14798309999999901</v>
      </c>
      <c r="AH6315">
        <v>0.46917027921413201</v>
      </c>
      <c r="AI6315">
        <v>106.703018006571</v>
      </c>
      <c r="AJ6315">
        <v>72.055808922726399</v>
      </c>
      <c r="AK6315">
        <v>0.51488326629294401</v>
      </c>
      <c r="AL6315">
        <v>87.471419049513699</v>
      </c>
      <c r="AM6315">
        <v>81.3400338588701</v>
      </c>
      <c r="AN6315">
        <v>1.0000000265245901</v>
      </c>
    </row>
    <row r="6316" spans="1:40" x14ac:dyDescent="0.25">
      <c r="A6316" t="str">
        <f>"20190312151442120"</f>
        <v>20190312151442120</v>
      </c>
      <c r="B6316" t="str">
        <f>"1552374882117325"</f>
        <v>1552374882117325</v>
      </c>
      <c r="C6316" t="s">
        <v>40</v>
      </c>
      <c r="D6316">
        <v>4.7527720000000002</v>
      </c>
      <c r="E6316">
        <v>0.51281860000000001</v>
      </c>
      <c r="F6316" t="s">
        <v>41</v>
      </c>
      <c r="G6316">
        <v>-183.2413</v>
      </c>
      <c r="H6316">
        <v>0.96796950000000004</v>
      </c>
      <c r="I6316">
        <v>120.91070000000001</v>
      </c>
      <c r="J6316">
        <v>-183.52279999999999</v>
      </c>
      <c r="K6316">
        <v>1.1112979999999999</v>
      </c>
      <c r="L6316">
        <v>120.4785</v>
      </c>
      <c r="M6316">
        <v>0.26885110000000001</v>
      </c>
      <c r="N6316">
        <v>0</v>
      </c>
      <c r="O6316">
        <v>0.96309449999999996</v>
      </c>
      <c r="P6316">
        <v>0.41025470000000003</v>
      </c>
      <c r="Q6316">
        <v>3.016104E-2</v>
      </c>
      <c r="R6316">
        <v>0.91147210000000001</v>
      </c>
      <c r="S6316">
        <v>1.3543400000000001</v>
      </c>
      <c r="T6316">
        <v>-0.54029249999999995</v>
      </c>
      <c r="U6316">
        <v>2.6998289999999998</v>
      </c>
      <c r="V6316">
        <v>0.14993480000000001</v>
      </c>
      <c r="W6316">
        <v>4.3460329999999998E-2</v>
      </c>
      <c r="X6316">
        <v>0.98774019999999996</v>
      </c>
      <c r="Y6316">
        <v>0.18446689999999999</v>
      </c>
      <c r="Z6316">
        <v>-0.1741375</v>
      </c>
      <c r="AA6316">
        <v>0.96728899999999995</v>
      </c>
      <c r="AB6316">
        <v>31</v>
      </c>
      <c r="AC6316">
        <v>0.28149999999999398</v>
      </c>
      <c r="AD6316">
        <v>-0.143328499999999</v>
      </c>
      <c r="AE6316">
        <v>0.43220000000000802</v>
      </c>
      <c r="AF6316">
        <v>0.14382107223204099</v>
      </c>
      <c r="AG6316">
        <v>-0.143328499999999</v>
      </c>
      <c r="AH6316">
        <v>0.45670633256336302</v>
      </c>
      <c r="AI6316">
        <v>106.66449998656699</v>
      </c>
      <c r="AJ6316">
        <v>72.520300343594997</v>
      </c>
      <c r="AK6316">
        <v>0.49980819714536701</v>
      </c>
      <c r="AL6316">
        <v>87.509121900426905</v>
      </c>
      <c r="AM6316">
        <v>81.368634142446396</v>
      </c>
      <c r="AN6316">
        <v>0.99999997361539394</v>
      </c>
    </row>
    <row r="6317" spans="1:40" x14ac:dyDescent="0.25">
      <c r="A6317" t="str">
        <f>"20190312151442142"</f>
        <v>20190312151442142</v>
      </c>
      <c r="B6317" t="str">
        <f>"1552374882136844"</f>
        <v>1552374882136844</v>
      </c>
      <c r="C6317" t="s">
        <v>40</v>
      </c>
      <c r="D6317">
        <v>4.7687549999999996</v>
      </c>
      <c r="E6317">
        <v>0.51806949999999996</v>
      </c>
      <c r="F6317" t="s">
        <v>41</v>
      </c>
      <c r="G6317">
        <v>-183.17089999999999</v>
      </c>
      <c r="H6317">
        <v>0.96912419999999999</v>
      </c>
      <c r="I6317">
        <v>121.1814</v>
      </c>
      <c r="J6317">
        <v>-183.43860000000001</v>
      </c>
      <c r="K6317">
        <v>1.111273</v>
      </c>
      <c r="L6317">
        <v>120.7869</v>
      </c>
      <c r="M6317">
        <v>0.26712059999999999</v>
      </c>
      <c r="N6317">
        <v>0</v>
      </c>
      <c r="O6317">
        <v>0.96357590000000004</v>
      </c>
      <c r="P6317">
        <v>0.40799469999999999</v>
      </c>
      <c r="Q6317">
        <v>2.9010379999999999E-2</v>
      </c>
      <c r="R6317">
        <v>0.91252330000000004</v>
      </c>
      <c r="S6317">
        <v>1.3515010000000001</v>
      </c>
      <c r="T6317">
        <v>-0.54640129999999998</v>
      </c>
      <c r="U6317">
        <v>2.7011409999999998</v>
      </c>
      <c r="V6317">
        <v>0.14925649999999999</v>
      </c>
      <c r="W6317">
        <v>4.2303640000000003E-2</v>
      </c>
      <c r="X6317">
        <v>0.98789320000000003</v>
      </c>
      <c r="Y6317">
        <v>0.1850694</v>
      </c>
      <c r="Z6317">
        <v>-0.17612329999999901</v>
      </c>
      <c r="AA6317">
        <v>0.96681430000000002</v>
      </c>
      <c r="AB6317">
        <v>31</v>
      </c>
      <c r="AC6317">
        <v>0.26770000000001898</v>
      </c>
      <c r="AD6317">
        <v>-0.14214879999999899</v>
      </c>
      <c r="AE6317">
        <v>0.39449999999999302</v>
      </c>
      <c r="AF6317">
        <v>0.14012589318351101</v>
      </c>
      <c r="AG6317">
        <v>-0.14214879999999899</v>
      </c>
      <c r="AH6317">
        <v>0.414801216031977</v>
      </c>
      <c r="AI6317">
        <v>107.98687606419401</v>
      </c>
      <c r="AJ6317">
        <v>71.334282466846702</v>
      </c>
      <c r="AK6317">
        <v>0.460327705122692</v>
      </c>
      <c r="AL6317">
        <v>87.575456534648097</v>
      </c>
      <c r="AM6317">
        <v>81.4084089312923</v>
      </c>
      <c r="AN6317">
        <v>1.0000000376778599</v>
      </c>
    </row>
    <row r="6318" spans="1:40" x14ac:dyDescent="0.25">
      <c r="A6318" t="str">
        <f>"20190312151442157"</f>
        <v>20190312151442157</v>
      </c>
      <c r="B6318" t="str">
        <f>"1552374882146607"</f>
        <v>1552374882146607</v>
      </c>
      <c r="C6318" t="s">
        <v>40</v>
      </c>
      <c r="D6318">
        <v>4.7556909999999997</v>
      </c>
      <c r="E6318">
        <v>0.51866329999999905</v>
      </c>
      <c r="F6318" t="s">
        <v>41</v>
      </c>
      <c r="G6318">
        <v>-183.0967</v>
      </c>
      <c r="H6318">
        <v>0.96758900000000003</v>
      </c>
      <c r="I6318">
        <v>121.4498</v>
      </c>
      <c r="J6318">
        <v>-183.3871</v>
      </c>
      <c r="K6318">
        <v>1.1112379999999999</v>
      </c>
      <c r="L6318">
        <v>120.9764</v>
      </c>
      <c r="M6318">
        <v>0.26614080000000001</v>
      </c>
      <c r="N6318">
        <v>0</v>
      </c>
      <c r="O6318">
        <v>0.96384700000000001</v>
      </c>
      <c r="P6318">
        <v>0.4069931</v>
      </c>
      <c r="Q6318">
        <v>2.862319E-2</v>
      </c>
      <c r="R6318">
        <v>0.91298270000000004</v>
      </c>
      <c r="S6318">
        <v>1.3849180000000001</v>
      </c>
      <c r="T6318">
        <v>-0.5823874</v>
      </c>
      <c r="U6318">
        <v>2.6869049999999999</v>
      </c>
      <c r="V6318">
        <v>0.14917830000000001</v>
      </c>
      <c r="W6318">
        <v>4.1903450000000002E-2</v>
      </c>
      <c r="X6318">
        <v>0.98792199999999997</v>
      </c>
      <c r="Y6318">
        <v>0.1966571</v>
      </c>
      <c r="Z6318">
        <v>-0.18752969999999999</v>
      </c>
      <c r="AA6318">
        <v>0.96237130000000004</v>
      </c>
      <c r="AB6318">
        <v>31</v>
      </c>
      <c r="AC6318">
        <v>0.29040000000000499</v>
      </c>
      <c r="AD6318">
        <v>-0.143649</v>
      </c>
      <c r="AE6318">
        <v>0.47339999999999799</v>
      </c>
      <c r="AF6318">
        <v>0.144271113862285</v>
      </c>
      <c r="AG6318">
        <v>-0.143649</v>
      </c>
      <c r="AH6318">
        <v>0.50015616789936701</v>
      </c>
      <c r="AI6318">
        <v>105.427226138347</v>
      </c>
      <c r="AJ6318">
        <v>73.909681106773107</v>
      </c>
      <c r="AK6318">
        <v>0.54000498311019796</v>
      </c>
      <c r="AL6318">
        <v>87.598405922641902</v>
      </c>
      <c r="AM6318">
        <v>81.413089805251303</v>
      </c>
      <c r="AN6318">
        <v>0.99999997119839501</v>
      </c>
    </row>
    <row r="6319" spans="1:40" x14ac:dyDescent="0.25">
      <c r="A6319" t="str">
        <f>"20190312151442176"</f>
        <v>20190312151442176</v>
      </c>
      <c r="B6319" t="str">
        <f>"1552374882167100"</f>
        <v>1552374882167100</v>
      </c>
      <c r="C6319" t="s">
        <v>40</v>
      </c>
      <c r="D6319">
        <v>4.7422329999999997</v>
      </c>
      <c r="E6319">
        <v>0.51894899999999999</v>
      </c>
      <c r="F6319" t="s">
        <v>41</v>
      </c>
      <c r="G6319">
        <v>-183.00909999999999</v>
      </c>
      <c r="H6319">
        <v>0.95199690000000003</v>
      </c>
      <c r="I6319">
        <v>121.70829999999999</v>
      </c>
      <c r="J6319">
        <v>-183.31700000000001</v>
      </c>
      <c r="K6319">
        <v>1.111175</v>
      </c>
      <c r="L6319">
        <v>121.2354</v>
      </c>
      <c r="M6319">
        <v>0.26489180000000001</v>
      </c>
      <c r="N6319">
        <v>0</v>
      </c>
      <c r="O6319">
        <v>0.96419100000000002</v>
      </c>
      <c r="P6319">
        <v>0.40611180000000002</v>
      </c>
      <c r="Q6319">
        <v>2.812373E-2</v>
      </c>
      <c r="R6319">
        <v>0.91339060000000005</v>
      </c>
      <c r="S6319">
        <v>1.386887</v>
      </c>
      <c r="T6319">
        <v>-0.58444549999999995</v>
      </c>
      <c r="U6319">
        <v>2.6860050000000002</v>
      </c>
      <c r="V6319">
        <v>0.149509</v>
      </c>
      <c r="W6319">
        <v>4.1380340000000002E-2</v>
      </c>
      <c r="X6319">
        <v>0.9878941</v>
      </c>
      <c r="Y6319">
        <v>0.19855129999999999</v>
      </c>
      <c r="Z6319">
        <v>-0.1882537</v>
      </c>
      <c r="AA6319">
        <v>0.9618409</v>
      </c>
      <c r="AB6319">
        <v>31</v>
      </c>
      <c r="AC6319">
        <v>0.30790000000001699</v>
      </c>
      <c r="AD6319">
        <v>-0.15917809999999899</v>
      </c>
      <c r="AE6319">
        <v>0.47289999999999499</v>
      </c>
      <c r="AF6319">
        <v>0.15897225063613299</v>
      </c>
      <c r="AG6319">
        <v>-0.15917809999999899</v>
      </c>
      <c r="AH6319">
        <v>0.49794995052462399</v>
      </c>
      <c r="AI6319">
        <v>106.93676990753499</v>
      </c>
      <c r="AJ6319">
        <v>72.294136577381707</v>
      </c>
      <c r="AK6319">
        <v>0.54641009985120503</v>
      </c>
      <c r="AL6319">
        <v>87.628404039057003</v>
      </c>
      <c r="AM6319">
        <v>81.394099540185806</v>
      </c>
      <c r="AN6319">
        <v>1.00000001321716</v>
      </c>
    </row>
    <row r="6320" spans="1:40" x14ac:dyDescent="0.25">
      <c r="A6320" t="str">
        <f>"20190312151442199"</f>
        <v>20190312151442199</v>
      </c>
      <c r="B6320" t="str">
        <f>"1552374882197357"</f>
        <v>1552374882197357</v>
      </c>
      <c r="C6320" t="s">
        <v>40</v>
      </c>
      <c r="D6320">
        <v>4.7120569999999997</v>
      </c>
      <c r="E6320">
        <v>0.51975839999999995</v>
      </c>
      <c r="F6320" t="s">
        <v>41</v>
      </c>
      <c r="G6320">
        <v>-182.93430000000001</v>
      </c>
      <c r="H6320">
        <v>0.94899149999999999</v>
      </c>
      <c r="I6320">
        <v>121.9759</v>
      </c>
      <c r="J6320">
        <v>-183.23519999999999</v>
      </c>
      <c r="K6320">
        <v>1.1110930000000001</v>
      </c>
      <c r="L6320">
        <v>121.5385</v>
      </c>
      <c r="M6320">
        <v>0.2635729</v>
      </c>
      <c r="N6320">
        <v>0</v>
      </c>
      <c r="O6320">
        <v>0.96455239999999998</v>
      </c>
      <c r="P6320">
        <v>0.40603610000000001</v>
      </c>
      <c r="Q6320">
        <v>2.8557550000000001E-2</v>
      </c>
      <c r="R6320">
        <v>0.91341070000000002</v>
      </c>
      <c r="S6320">
        <v>1.387283</v>
      </c>
      <c r="T6320">
        <v>-0.58825830000000001</v>
      </c>
      <c r="U6320">
        <v>2.6857760000000002</v>
      </c>
      <c r="V6320">
        <v>0.15079029999999999</v>
      </c>
      <c r="W6320">
        <v>4.1781480000000003E-2</v>
      </c>
      <c r="X6320">
        <v>0.98768250000000002</v>
      </c>
      <c r="Y6320">
        <v>0.1999232</v>
      </c>
      <c r="Z6320">
        <v>-0.18951899999999999</v>
      </c>
      <c r="AA6320">
        <v>0.9613081</v>
      </c>
      <c r="AB6320">
        <v>31</v>
      </c>
      <c r="AC6320">
        <v>0.30089999999998401</v>
      </c>
      <c r="AD6320">
        <v>-0.16210150000000001</v>
      </c>
      <c r="AE6320">
        <v>0.43739999999999601</v>
      </c>
      <c r="AF6320">
        <v>0.160041548779422</v>
      </c>
      <c r="AG6320">
        <v>-0.16210150000000001</v>
      </c>
      <c r="AH6320">
        <v>0.45850171314930999</v>
      </c>
      <c r="AI6320">
        <v>108.458796569116</v>
      </c>
      <c r="AJ6320">
        <v>70.758289035704806</v>
      </c>
      <c r="AK6320">
        <v>0.51197071654423598</v>
      </c>
      <c r="AL6320">
        <v>87.605400636402294</v>
      </c>
      <c r="AM6320">
        <v>81.319633806688302</v>
      </c>
      <c r="AN6320">
        <v>1.0000000637256601</v>
      </c>
    </row>
    <row r="6321" spans="1:40" x14ac:dyDescent="0.25">
      <c r="A6321" t="str">
        <f>"20190312151442221"</f>
        <v>20190312151442221</v>
      </c>
      <c r="B6321" t="str">
        <f>"1552374882216877"</f>
        <v>1552374882216877</v>
      </c>
      <c r="C6321" t="s">
        <v>40</v>
      </c>
      <c r="D6321">
        <v>4.7467810000000004</v>
      </c>
      <c r="E6321">
        <v>0.52327389999999996</v>
      </c>
      <c r="F6321" t="s">
        <v>41</v>
      </c>
      <c r="G6321">
        <v>-182.86609999999999</v>
      </c>
      <c r="H6321">
        <v>0.95553829999999995</v>
      </c>
      <c r="I6321">
        <v>122.249</v>
      </c>
      <c r="J6321">
        <v>-183.1542</v>
      </c>
      <c r="K6321">
        <v>1.1110100000000001</v>
      </c>
      <c r="L6321">
        <v>121.8396</v>
      </c>
      <c r="M6321">
        <v>0.26241150000000002</v>
      </c>
      <c r="N6321">
        <v>0</v>
      </c>
      <c r="O6321">
        <v>0.96486899999999998</v>
      </c>
      <c r="P6321">
        <v>0.40612199999999998</v>
      </c>
      <c r="Q6321">
        <v>2.9232919999999999E-2</v>
      </c>
      <c r="R6321">
        <v>0.91335120000000003</v>
      </c>
      <c r="S6321">
        <v>1.393295</v>
      </c>
      <c r="T6321">
        <v>-0.58754499999999998</v>
      </c>
      <c r="U6321">
        <v>2.683395</v>
      </c>
      <c r="V6321">
        <v>0.1520862</v>
      </c>
      <c r="W6321">
        <v>4.2421790000000001E-2</v>
      </c>
      <c r="X6321">
        <v>0.98745640000000001</v>
      </c>
      <c r="Y6321">
        <v>0.20316219999999999</v>
      </c>
      <c r="Z6321">
        <v>-0.1893793</v>
      </c>
      <c r="AA6321">
        <v>0.96065630000000002</v>
      </c>
      <c r="AB6321">
        <v>31</v>
      </c>
      <c r="AC6321">
        <v>0.28810000000001401</v>
      </c>
      <c r="AD6321">
        <v>-0.15547169999999999</v>
      </c>
      <c r="AE6321">
        <v>0.40939999999998999</v>
      </c>
      <c r="AF6321">
        <v>0.15555816216756099</v>
      </c>
      <c r="AG6321">
        <v>-0.15547169999999999</v>
      </c>
      <c r="AH6321">
        <v>0.42925574430188002</v>
      </c>
      <c r="AI6321">
        <v>108.80467789692401</v>
      </c>
      <c r="AJ6321">
        <v>70.079969661202696</v>
      </c>
      <c r="AK6321">
        <v>0.48231761872649898</v>
      </c>
      <c r="AL6321">
        <v>87.568680818694403</v>
      </c>
      <c r="AM6321">
        <v>81.244211635602994</v>
      </c>
      <c r="AN6321">
        <v>0.99999998119910105</v>
      </c>
    </row>
    <row r="6322" spans="1:40" x14ac:dyDescent="0.25">
      <c r="A6322" t="str">
        <f>"20190312151442236"</f>
        <v>20190312151442236</v>
      </c>
      <c r="B6322" t="str">
        <f>"1552374882226637"</f>
        <v>1552374882226637</v>
      </c>
      <c r="C6322" t="s">
        <v>40</v>
      </c>
      <c r="D6322">
        <v>4.6927349999999999</v>
      </c>
      <c r="E6322">
        <v>0.52327389999999996</v>
      </c>
      <c r="F6322" t="s">
        <v>41</v>
      </c>
      <c r="G6322">
        <v>-182.7929</v>
      </c>
      <c r="H6322">
        <v>0.95681919999999998</v>
      </c>
      <c r="I6322">
        <v>122.5187</v>
      </c>
      <c r="J6322">
        <v>-183.10079999999999</v>
      </c>
      <c r="K6322">
        <v>1.110949</v>
      </c>
      <c r="L6322">
        <v>122.03919999999999</v>
      </c>
      <c r="M6322">
        <v>0.26173030000000003</v>
      </c>
      <c r="N6322">
        <v>0</v>
      </c>
      <c r="O6322">
        <v>0.96505399999999997</v>
      </c>
      <c r="P6322">
        <v>0.40626020000000002</v>
      </c>
      <c r="Q6322">
        <v>2.9912729999999998E-2</v>
      </c>
      <c r="R6322">
        <v>0.91326770000000002</v>
      </c>
      <c r="S6322">
        <v>1.4210659999999999</v>
      </c>
      <c r="T6322">
        <v>-0.60670210000000002</v>
      </c>
      <c r="U6322">
        <v>2.6721499999999998</v>
      </c>
      <c r="V6322">
        <v>0.15294379999999999</v>
      </c>
      <c r="W6322">
        <v>4.3077320000000002E-2</v>
      </c>
      <c r="X6322">
        <v>0.98729560000000005</v>
      </c>
      <c r="Y6322">
        <v>0.2127424</v>
      </c>
      <c r="Z6322">
        <v>-0.19542590000000001</v>
      </c>
      <c r="AA6322">
        <v>0.95736589999999999</v>
      </c>
      <c r="AB6322">
        <v>31</v>
      </c>
      <c r="AC6322">
        <v>0.30789999999998902</v>
      </c>
      <c r="AD6322">
        <v>-0.15412980000000001</v>
      </c>
      <c r="AE6322">
        <v>0.47950000000000098</v>
      </c>
      <c r="AF6322">
        <v>0.159953056090504</v>
      </c>
      <c r="AG6322">
        <v>-0.15412980000000001</v>
      </c>
      <c r="AH6322">
        <v>0.50633355643705602</v>
      </c>
      <c r="AI6322">
        <v>106.186136387711</v>
      </c>
      <c r="AJ6322">
        <v>72.468438199393503</v>
      </c>
      <c r="AK6322">
        <v>0.55291468218426698</v>
      </c>
      <c r="AL6322">
        <v>87.531087472319896</v>
      </c>
      <c r="AM6322">
        <v>81.194198522238295</v>
      </c>
      <c r="AN6322">
        <v>1.0000000316180899</v>
      </c>
    </row>
    <row r="6323" spans="1:40" x14ac:dyDescent="0.25">
      <c r="A6323" t="str">
        <f>"20190312151442254"</f>
        <v>20190312151442254</v>
      </c>
      <c r="B6323" t="str">
        <f>"1552374882247132"</f>
        <v>1552374882247132</v>
      </c>
      <c r="C6323" t="s">
        <v>40</v>
      </c>
      <c r="D6323">
        <v>4.8023339999999903</v>
      </c>
      <c r="E6323">
        <v>0.54057040000000001</v>
      </c>
      <c r="F6323" t="s">
        <v>41</v>
      </c>
      <c r="G6323">
        <v>-182.70689999999999</v>
      </c>
      <c r="H6323">
        <v>0.94358529999999996</v>
      </c>
      <c r="I6323">
        <v>122.779</v>
      </c>
      <c r="J6323">
        <v>-183.0342</v>
      </c>
      <c r="K6323">
        <v>1.1108769999999999</v>
      </c>
      <c r="L6323">
        <v>122.28789999999999</v>
      </c>
      <c r="M6323">
        <v>0.26096550000000002</v>
      </c>
      <c r="N6323">
        <v>0</v>
      </c>
      <c r="O6323">
        <v>0.96526109999999998</v>
      </c>
      <c r="P6323">
        <v>0.4076593</v>
      </c>
      <c r="Q6323">
        <v>3.0976119999999999E-2</v>
      </c>
      <c r="R6323">
        <v>0.91260859999999999</v>
      </c>
      <c r="S6323">
        <v>1.4224399999999999</v>
      </c>
      <c r="T6323">
        <v>-0.60440109999999903</v>
      </c>
      <c r="U6323">
        <v>2.6719360000000001</v>
      </c>
      <c r="V6323">
        <v>0.15525549999999999</v>
      </c>
      <c r="W6323">
        <v>4.4109170000000003E-2</v>
      </c>
      <c r="X6323">
        <v>0.98688909999999996</v>
      </c>
      <c r="Y6323">
        <v>0.21399860000000001</v>
      </c>
      <c r="Z6323">
        <v>-0.19474069999999999</v>
      </c>
      <c r="AA6323">
        <v>0.95722549999999995</v>
      </c>
      <c r="AB6323">
        <v>31</v>
      </c>
      <c r="AC6323">
        <v>0.32730000000000797</v>
      </c>
      <c r="AD6323">
        <v>-0.16729169999999999</v>
      </c>
      <c r="AE6323">
        <v>0.49110000000000298</v>
      </c>
      <c r="AF6323">
        <v>0.17381909036136001</v>
      </c>
      <c r="AG6323">
        <v>-0.16729169999999999</v>
      </c>
      <c r="AH6323">
        <v>0.51788806665495901</v>
      </c>
      <c r="AI6323">
        <v>107.026598406955</v>
      </c>
      <c r="AJ6323">
        <v>71.446670837217397</v>
      </c>
      <c r="AK6323">
        <v>0.57132095939721295</v>
      </c>
      <c r="AL6323">
        <v>87.471910466542099</v>
      </c>
      <c r="AM6323">
        <v>81.0596124817354</v>
      </c>
      <c r="AN6323">
        <v>0.99999999242857396</v>
      </c>
    </row>
    <row r="6324" spans="1:40" x14ac:dyDescent="0.25">
      <c r="A6324" t="str">
        <f>"20190312151442277"</f>
        <v>20190312151442277</v>
      </c>
      <c r="B6324" t="str">
        <f>"1552374882266652"</f>
        <v>1552374882266652</v>
      </c>
      <c r="C6324" t="s">
        <v>40</v>
      </c>
      <c r="D6324">
        <v>4.8569279999999999</v>
      </c>
      <c r="E6324">
        <v>0.54660949999999997</v>
      </c>
      <c r="F6324" t="s">
        <v>58</v>
      </c>
      <c r="G6324">
        <v>-179.26179999999999</v>
      </c>
      <c r="H6324" s="1">
        <v>-4.7296100000000003E-6</v>
      </c>
      <c r="I6324">
        <v>128.66</v>
      </c>
      <c r="J6324">
        <v>-182.95249999999999</v>
      </c>
      <c r="K6324">
        <v>1.1107689999999999</v>
      </c>
      <c r="L6324">
        <v>122.5939</v>
      </c>
      <c r="M6324">
        <v>0.26015500000000003</v>
      </c>
      <c r="N6324">
        <v>0</v>
      </c>
      <c r="O6324">
        <v>0.96547989999999995</v>
      </c>
      <c r="P6324">
        <v>0.40953669999999998</v>
      </c>
      <c r="Q6324">
        <v>3.185296E-2</v>
      </c>
      <c r="R6324">
        <v>0.91173740000000003</v>
      </c>
      <c r="S6324">
        <v>1.5463559999999901</v>
      </c>
      <c r="T6324">
        <v>-0.45536009999999999</v>
      </c>
      <c r="U6324">
        <v>2.6119840000000001</v>
      </c>
      <c r="V6324">
        <v>0.15813360000000001</v>
      </c>
      <c r="W6324">
        <v>4.4943749999999998E-2</v>
      </c>
      <c r="X6324">
        <v>0.98639429999999995</v>
      </c>
      <c r="Y6324">
        <v>0.26221430000000001</v>
      </c>
      <c r="Z6324">
        <v>-0.14848599999999901</v>
      </c>
      <c r="AA6324">
        <v>0.95351750000000002</v>
      </c>
      <c r="AB6324">
        <v>31</v>
      </c>
      <c r="AC6324">
        <v>3.6906999999999899</v>
      </c>
      <c r="AD6324">
        <v>-1.11077372961</v>
      </c>
      <c r="AE6324">
        <v>6.0660999999999898</v>
      </c>
      <c r="AF6324">
        <v>1.9379137208399999</v>
      </c>
      <c r="AG6324">
        <v>-1.11077372961</v>
      </c>
      <c r="AH6324">
        <v>6.6545774915757896</v>
      </c>
      <c r="AI6324">
        <v>99.104881451209707</v>
      </c>
      <c r="AJ6324">
        <v>73.763640464275596</v>
      </c>
      <c r="AK6324">
        <v>7.01945364392407</v>
      </c>
      <c r="AL6324">
        <v>87.424044959752393</v>
      </c>
      <c r="AM6324">
        <v>80.892137725249995</v>
      </c>
      <c r="AN6324">
        <v>0.99999994559275396</v>
      </c>
    </row>
    <row r="6325" spans="1:40" x14ac:dyDescent="0.25">
      <c r="A6325" t="str">
        <f>"20190312151442300"</f>
        <v>20190312151442300</v>
      </c>
      <c r="B6325" t="str">
        <f>"1552374882296908"</f>
        <v>1552374882296908</v>
      </c>
      <c r="C6325" t="s">
        <v>40</v>
      </c>
      <c r="D6325">
        <v>8.9198550000000001</v>
      </c>
      <c r="E6325">
        <v>0.55136909999999995</v>
      </c>
      <c r="F6325" t="s">
        <v>58</v>
      </c>
      <c r="G6325">
        <v>-178.70509999999999</v>
      </c>
      <c r="H6325" s="1">
        <v>-4.5488569999999996E-6</v>
      </c>
      <c r="I6325">
        <v>129.49189999999999</v>
      </c>
      <c r="J6325">
        <v>-182.86949999999999</v>
      </c>
      <c r="K6325">
        <v>1.1106560000000001</v>
      </c>
      <c r="L6325">
        <v>122.90519999999999</v>
      </c>
      <c r="M6325">
        <v>0.25946819999999998</v>
      </c>
      <c r="N6325">
        <v>0</v>
      </c>
      <c r="O6325">
        <v>0.96566470000000004</v>
      </c>
      <c r="P6325">
        <v>0.41238439999999998</v>
      </c>
      <c r="Q6325">
        <v>3.1790409999999998E-2</v>
      </c>
      <c r="R6325">
        <v>0.91045509999999996</v>
      </c>
      <c r="S6325">
        <v>1.594147</v>
      </c>
      <c r="T6325">
        <v>-0.41689680000000001</v>
      </c>
      <c r="U6325">
        <v>2.5889280000000001</v>
      </c>
      <c r="V6325">
        <v>0.16193080000000001</v>
      </c>
      <c r="W6325">
        <v>4.4835140000000002E-2</v>
      </c>
      <c r="X6325">
        <v>0.98578299999999996</v>
      </c>
      <c r="Y6325">
        <v>0.28038770000000002</v>
      </c>
      <c r="Z6325">
        <v>-0.1363087</v>
      </c>
      <c r="AA6325">
        <v>0.95015930000000004</v>
      </c>
      <c r="AB6325">
        <v>31</v>
      </c>
      <c r="AC6325">
        <v>4.1643999999999997</v>
      </c>
      <c r="AD6325">
        <v>-1.1106605488569901</v>
      </c>
      <c r="AE6325">
        <v>6.5866999999999898</v>
      </c>
      <c r="AF6325">
        <v>2.26652825179641</v>
      </c>
      <c r="AG6325">
        <v>-1.1106605488569901</v>
      </c>
      <c r="AH6325">
        <v>7.2935415505752497</v>
      </c>
      <c r="AI6325">
        <v>98.273962532069604</v>
      </c>
      <c r="AJ6325">
        <v>72.736936454824104</v>
      </c>
      <c r="AK6325">
        <v>7.7179314275877298</v>
      </c>
      <c r="AL6325">
        <v>87.430274141250806</v>
      </c>
      <c r="AM6325">
        <v>80.671550615718104</v>
      </c>
      <c r="AN6325">
        <v>0.99999994842822804</v>
      </c>
    </row>
    <row r="6326" spans="1:40" x14ac:dyDescent="0.25">
      <c r="A6326" t="str">
        <f>"20190312151442321"</f>
        <v>20190312151442321</v>
      </c>
      <c r="B6326" t="str">
        <f>"1552374882316429"</f>
        <v>1552374882316429</v>
      </c>
      <c r="C6326" t="s">
        <v>40</v>
      </c>
      <c r="D6326">
        <v>4.7358500000000001</v>
      </c>
      <c r="E6326">
        <v>0.55313429999999997</v>
      </c>
      <c r="F6326" t="s">
        <v>58</v>
      </c>
      <c r="G6326">
        <v>-178.54910000000001</v>
      </c>
      <c r="H6326" s="1">
        <v>-4.4968340000000004E-6</v>
      </c>
      <c r="I6326">
        <v>129.6842</v>
      </c>
      <c r="J6326">
        <v>-182.79599999999999</v>
      </c>
      <c r="K6326">
        <v>1.110549</v>
      </c>
      <c r="L6326">
        <v>123.18089999999999</v>
      </c>
      <c r="M6326">
        <v>0.258988</v>
      </c>
      <c r="N6326">
        <v>0</v>
      </c>
      <c r="O6326">
        <v>0.96579360000000003</v>
      </c>
      <c r="P6326">
        <v>0.41540009999999999</v>
      </c>
      <c r="Q6326">
        <v>3.0698E-2</v>
      </c>
      <c r="R6326">
        <v>0.90912059999999995</v>
      </c>
      <c r="S6326">
        <v>1.6368560000000001</v>
      </c>
      <c r="T6326">
        <v>-0.4207938</v>
      </c>
      <c r="U6326">
        <v>2.5683289999999999</v>
      </c>
      <c r="V6326">
        <v>0.16569320000000001</v>
      </c>
      <c r="W6326">
        <v>4.369663E-2</v>
      </c>
      <c r="X6326">
        <v>0.9852088</v>
      </c>
      <c r="Y6326">
        <v>0.29544989999999999</v>
      </c>
      <c r="Z6326">
        <v>-0.13762369999999999</v>
      </c>
      <c r="AA6326">
        <v>0.94539359999999995</v>
      </c>
      <c r="AB6326">
        <v>31</v>
      </c>
      <c r="AC6326">
        <v>4.2468999999999797</v>
      </c>
      <c r="AD6326">
        <v>-1.1105534968340001</v>
      </c>
      <c r="AE6326">
        <v>6.5033000000000003</v>
      </c>
      <c r="AF6326">
        <v>2.3691223600445701</v>
      </c>
      <c r="AG6326">
        <v>-1.1105534968340001</v>
      </c>
      <c r="AH6326">
        <v>7.23348473584121</v>
      </c>
      <c r="AI6326">
        <v>98.301069440266204</v>
      </c>
      <c r="AJ6326">
        <v>71.865261828723504</v>
      </c>
      <c r="AK6326">
        <v>7.6921629760322396</v>
      </c>
      <c r="AL6326">
        <v>87.495570113808299</v>
      </c>
      <c r="AM6326">
        <v>80.453290046198902</v>
      </c>
      <c r="AN6326">
        <v>1.0000000057985099</v>
      </c>
    </row>
    <row r="6327" spans="1:40" x14ac:dyDescent="0.25">
      <c r="A6327" t="str">
        <f>"20190312151442344"</f>
        <v>20190312151442344</v>
      </c>
      <c r="B6327" t="str">
        <f>"1552374882336934"</f>
        <v>1552374882336934</v>
      </c>
      <c r="C6327" t="s">
        <v>40</v>
      </c>
      <c r="D6327">
        <v>4.7423900000000003</v>
      </c>
      <c r="E6327">
        <v>0.55489339999999998</v>
      </c>
      <c r="F6327" t="s">
        <v>58</v>
      </c>
      <c r="G6327">
        <v>-178.38730000000001</v>
      </c>
      <c r="H6327" s="1">
        <v>-4.499596E-6</v>
      </c>
      <c r="I6327">
        <v>129.98230000000001</v>
      </c>
      <c r="J6327">
        <v>-182.71299999999999</v>
      </c>
      <c r="K6327">
        <v>1.1104069999999999</v>
      </c>
      <c r="L6327">
        <v>123.4928</v>
      </c>
      <c r="M6327">
        <v>0.2586078</v>
      </c>
      <c r="N6327">
        <v>0</v>
      </c>
      <c r="O6327">
        <v>0.96589550000000002</v>
      </c>
      <c r="P6327">
        <v>0.41837239999999998</v>
      </c>
      <c r="Q6327">
        <v>2.961745E-2</v>
      </c>
      <c r="R6327">
        <v>0.90779259999999995</v>
      </c>
      <c r="S6327">
        <v>1.6572720000000001</v>
      </c>
      <c r="T6327">
        <v>-0.41746260000000002</v>
      </c>
      <c r="U6327">
        <v>2.556702</v>
      </c>
      <c r="V6327">
        <v>0.16931170000000001</v>
      </c>
      <c r="W6327">
        <v>4.2554700000000001E-2</v>
      </c>
      <c r="X6327">
        <v>0.98464339999999995</v>
      </c>
      <c r="Y6327">
        <v>0.30317539999999998</v>
      </c>
      <c r="Z6327">
        <v>-0.1366503</v>
      </c>
      <c r="AA6327">
        <v>0.94308610000000004</v>
      </c>
      <c r="AB6327">
        <v>31</v>
      </c>
      <c r="AC6327">
        <v>4.3256999999999799</v>
      </c>
      <c r="AD6327">
        <v>-1.1104114995959999</v>
      </c>
      <c r="AE6327">
        <v>6.4894999999999996</v>
      </c>
      <c r="AF6327">
        <v>2.4504741901594098</v>
      </c>
      <c r="AG6327">
        <v>-1.1104114995959999</v>
      </c>
      <c r="AH6327">
        <v>7.2406800599219299</v>
      </c>
      <c r="AI6327">
        <v>98.265193161394095</v>
      </c>
      <c r="AJ6327">
        <v>71.302561558521305</v>
      </c>
      <c r="AK6327">
        <v>7.7243307273331796</v>
      </c>
      <c r="AL6327">
        <v>87.561058774273206</v>
      </c>
      <c r="AM6327">
        <v>80.243273080024906</v>
      </c>
      <c r="AN6327">
        <v>0.99999998970627002</v>
      </c>
    </row>
    <row r="6328" spans="1:40" x14ac:dyDescent="0.25">
      <c r="A6328" t="str">
        <f>"20190312151442367"</f>
        <v>20190312151442367</v>
      </c>
      <c r="B6328" t="str">
        <f>"1552374882356444"</f>
        <v>1552374882356444</v>
      </c>
      <c r="C6328" t="s">
        <v>40</v>
      </c>
      <c r="D6328">
        <v>4.6670280000000002</v>
      </c>
      <c r="E6328">
        <v>0.55581999999999998</v>
      </c>
      <c r="F6328" t="s">
        <v>58</v>
      </c>
      <c r="G6328">
        <v>-178.34530000000001</v>
      </c>
      <c r="H6328" s="1">
        <v>-4.5210319999999996E-6</v>
      </c>
      <c r="I6328">
        <v>130.11429999999999</v>
      </c>
      <c r="J6328">
        <v>-182.63480000000001</v>
      </c>
      <c r="K6328">
        <v>1.1102620000000001</v>
      </c>
      <c r="L6328">
        <v>123.7861</v>
      </c>
      <c r="M6328">
        <v>0.25843539999999998</v>
      </c>
      <c r="N6328">
        <v>0</v>
      </c>
      <c r="O6328">
        <v>0.96594170000000001</v>
      </c>
      <c r="P6328">
        <v>0.42179689999999997</v>
      </c>
      <c r="Q6328">
        <v>2.9775090000000001E-2</v>
      </c>
      <c r="R6328">
        <v>0.90620129999999999</v>
      </c>
      <c r="S6328">
        <v>1.6787110000000001</v>
      </c>
      <c r="T6328">
        <v>-0.42678749999999999</v>
      </c>
      <c r="U6328">
        <v>2.5449830000000002</v>
      </c>
      <c r="V6328">
        <v>0.1732226</v>
      </c>
      <c r="W6328">
        <v>4.2642359999999997E-2</v>
      </c>
      <c r="X6328">
        <v>0.98395909999999998</v>
      </c>
      <c r="Y6328">
        <v>0.31063439999999998</v>
      </c>
      <c r="Z6328">
        <v>-0.1397089</v>
      </c>
      <c r="AA6328">
        <v>0.94020619999999999</v>
      </c>
      <c r="AB6328">
        <v>31</v>
      </c>
      <c r="AC6328">
        <v>4.2895000000000003</v>
      </c>
      <c r="AD6328">
        <v>-1.110266521032</v>
      </c>
      <c r="AE6328">
        <v>6.3281999999999803</v>
      </c>
      <c r="AF6328">
        <v>2.4563785918047101</v>
      </c>
      <c r="AG6328">
        <v>-1.110266521032</v>
      </c>
      <c r="AH6328">
        <v>7.07266610820552</v>
      </c>
      <c r="AI6328">
        <v>98.434974863049604</v>
      </c>
      <c r="AJ6328">
        <v>70.847584656828502</v>
      </c>
      <c r="AK6328">
        <v>7.5689558997367703</v>
      </c>
      <c r="AL6328">
        <v>87.556031627566696</v>
      </c>
      <c r="AM6328">
        <v>80.015584025238994</v>
      </c>
      <c r="AN6328">
        <v>0.99999997524496897</v>
      </c>
    </row>
    <row r="6329" spans="1:40" x14ac:dyDescent="0.25">
      <c r="A6329" t="str">
        <f>"20190312151442388"</f>
        <v>20190312151442388</v>
      </c>
      <c r="B6329" t="str">
        <f>"1552374882376940"</f>
        <v>1552374882376940</v>
      </c>
      <c r="C6329" t="s">
        <v>40</v>
      </c>
      <c r="D6329">
        <v>4.7197149999999999</v>
      </c>
      <c r="E6329">
        <v>0.55716499999999902</v>
      </c>
      <c r="F6329" t="s">
        <v>58</v>
      </c>
      <c r="G6329">
        <v>-178.28270000000001</v>
      </c>
      <c r="H6329" s="1">
        <v>-4.5467099999999999E-6</v>
      </c>
      <c r="I6329">
        <v>130.2944</v>
      </c>
      <c r="J6329">
        <v>-182.55459999999999</v>
      </c>
      <c r="K6329">
        <v>1.1100859999999999</v>
      </c>
      <c r="L6329">
        <v>124.08580000000001</v>
      </c>
      <c r="M6329">
        <v>0.25850099999999998</v>
      </c>
      <c r="N6329">
        <v>0</v>
      </c>
      <c r="O6329">
        <v>0.96592409999999995</v>
      </c>
      <c r="P6329">
        <v>0.42505569999999998</v>
      </c>
      <c r="Q6329">
        <v>3.0937559999999999E-2</v>
      </c>
      <c r="R6329">
        <v>0.90463839999999995</v>
      </c>
      <c r="S6329">
        <v>1.6954800000000001</v>
      </c>
      <c r="T6329">
        <v>-0.4325445</v>
      </c>
      <c r="U6329">
        <v>2.5355530000000002</v>
      </c>
      <c r="V6329">
        <v>0.1767271</v>
      </c>
      <c r="W6329">
        <v>4.3717579999999999E-2</v>
      </c>
      <c r="X6329">
        <v>0.98328850000000001</v>
      </c>
      <c r="Y6329">
        <v>0.31632850000000001</v>
      </c>
      <c r="Z6329">
        <v>-0.14160539999999999</v>
      </c>
      <c r="AA6329">
        <v>0.93802140000000001</v>
      </c>
      <c r="AB6329">
        <v>31</v>
      </c>
      <c r="AC6329">
        <v>4.27189999999998</v>
      </c>
      <c r="AD6329">
        <v>-1.11009054671</v>
      </c>
      <c r="AE6329">
        <v>6.2085999999999899</v>
      </c>
      <c r="AF6329">
        <v>2.4680638584704799</v>
      </c>
      <c r="AG6329">
        <v>-1.11009054671</v>
      </c>
      <c r="AH6329">
        <v>6.9511045874694499</v>
      </c>
      <c r="AI6329">
        <v>98.558504526065207</v>
      </c>
      <c r="AJ6329">
        <v>70.452050600498097</v>
      </c>
      <c r="AK6329">
        <v>7.4593227049995603</v>
      </c>
      <c r="AL6329">
        <v>87.494368565555504</v>
      </c>
      <c r="AM6329">
        <v>79.810974214670395</v>
      </c>
      <c r="AN6329">
        <v>0.99999998445385796</v>
      </c>
    </row>
    <row r="6330" spans="1:40" x14ac:dyDescent="0.25">
      <c r="A6330" t="str">
        <f>"20190312151442411"</f>
        <v>20190312151442411</v>
      </c>
      <c r="B6330" t="str">
        <f>"1552374882407197"</f>
        <v>1552374882407197</v>
      </c>
      <c r="C6330" t="s">
        <v>40</v>
      </c>
      <c r="D6330">
        <v>4.735411</v>
      </c>
      <c r="E6330">
        <v>0.55888939999999998</v>
      </c>
      <c r="F6330" t="s">
        <v>58</v>
      </c>
      <c r="G6330">
        <v>-178.16849999999999</v>
      </c>
      <c r="H6330" s="1">
        <v>-4.5646320000000003E-6</v>
      </c>
      <c r="I6330">
        <v>130.547</v>
      </c>
      <c r="J6330">
        <v>-182.47389999999999</v>
      </c>
      <c r="K6330">
        <v>1.1099030000000001</v>
      </c>
      <c r="L6330">
        <v>124.38639999999999</v>
      </c>
      <c r="M6330">
        <v>0.2587796</v>
      </c>
      <c r="N6330">
        <v>0</v>
      </c>
      <c r="O6330">
        <v>0.96584950000000003</v>
      </c>
      <c r="P6330">
        <v>0.42864340000000001</v>
      </c>
      <c r="Q6330">
        <v>3.1916460000000001E-2</v>
      </c>
      <c r="R6330">
        <v>0.90290979999999998</v>
      </c>
      <c r="S6330">
        <v>1.7144009999999901</v>
      </c>
      <c r="T6330">
        <v>-0.4339018</v>
      </c>
      <c r="U6330">
        <v>2.525528</v>
      </c>
      <c r="V6330">
        <v>0.18037690000000001</v>
      </c>
      <c r="W6330">
        <v>4.4602200000000002E-2</v>
      </c>
      <c r="X6330">
        <v>0.98258579999999995</v>
      </c>
      <c r="Y6330">
        <v>0.32255919999999999</v>
      </c>
      <c r="Z6330">
        <v>-0.1420583</v>
      </c>
      <c r="AA6330">
        <v>0.93582849999999995</v>
      </c>
      <c r="AB6330">
        <v>31</v>
      </c>
      <c r="AC6330">
        <v>4.3053999999999899</v>
      </c>
      <c r="AD6330">
        <v>-1.109907564632</v>
      </c>
      <c r="AE6330">
        <v>6.1605999999999996</v>
      </c>
      <c r="AF6330">
        <v>2.5096175473573301</v>
      </c>
      <c r="AG6330">
        <v>-1.109907564632</v>
      </c>
      <c r="AH6330">
        <v>6.9141741537454697</v>
      </c>
      <c r="AI6330">
        <v>98.580858500777296</v>
      </c>
      <c r="AJ6330">
        <v>70.050769795719205</v>
      </c>
      <c r="AK6330">
        <v>7.4388089950174896</v>
      </c>
      <c r="AL6330">
        <v>87.443634164586598</v>
      </c>
      <c r="AM6330">
        <v>79.597819210333199</v>
      </c>
      <c r="AN6330">
        <v>1.0000000183300399</v>
      </c>
    </row>
    <row r="6331" spans="1:40" x14ac:dyDescent="0.25">
      <c r="A6331" t="str">
        <f>"20190312151442424"</f>
        <v>20190312151442424</v>
      </c>
      <c r="B6331" t="str">
        <f>"1552374882416958"</f>
        <v>1552374882416958</v>
      </c>
      <c r="C6331" t="s">
        <v>40</v>
      </c>
      <c r="D6331">
        <v>4.6640579999999998</v>
      </c>
      <c r="E6331">
        <v>0.55927069999999901</v>
      </c>
      <c r="F6331" t="s">
        <v>58</v>
      </c>
      <c r="G6331">
        <v>-178.02549999999999</v>
      </c>
      <c r="H6331" s="1">
        <v>-4.5717169999999996E-6</v>
      </c>
      <c r="I6331">
        <v>130.8227</v>
      </c>
      <c r="J6331">
        <v>-182.42310000000001</v>
      </c>
      <c r="K6331">
        <v>1.109783</v>
      </c>
      <c r="L6331">
        <v>124.5752</v>
      </c>
      <c r="M6331">
        <v>0.2590636</v>
      </c>
      <c r="N6331">
        <v>0</v>
      </c>
      <c r="O6331">
        <v>0.9657734</v>
      </c>
      <c r="P6331">
        <v>0.43073980000000001</v>
      </c>
      <c r="Q6331">
        <v>3.2433379999999998E-2</v>
      </c>
      <c r="R6331">
        <v>0.90189319999999895</v>
      </c>
      <c r="S6331">
        <v>1.737045</v>
      </c>
      <c r="T6331">
        <v>-0.4334018</v>
      </c>
      <c r="U6331">
        <v>2.51329</v>
      </c>
      <c r="V6331">
        <v>0.18239030000000001</v>
      </c>
      <c r="W6331">
        <v>4.5056640000000002E-2</v>
      </c>
      <c r="X6331">
        <v>0.98219330000000005</v>
      </c>
      <c r="Y6331">
        <v>0.33012960000000002</v>
      </c>
      <c r="Z6331">
        <v>-0.14192170000000001</v>
      </c>
      <c r="AA6331">
        <v>0.93320559999999997</v>
      </c>
      <c r="AB6331">
        <v>31</v>
      </c>
      <c r="AC6331">
        <v>4.3976000000000104</v>
      </c>
      <c r="AD6331">
        <v>-1.109787571717</v>
      </c>
      <c r="AE6331">
        <v>6.2474999999999996</v>
      </c>
      <c r="AF6331">
        <v>2.5744834031651802</v>
      </c>
      <c r="AG6331">
        <v>-1.109787571717</v>
      </c>
      <c r="AH6331">
        <v>7.0252933448292998</v>
      </c>
      <c r="AI6331">
        <v>98.436855975420997</v>
      </c>
      <c r="AJ6331">
        <v>69.874175325143298</v>
      </c>
      <c r="AK6331">
        <v>7.5640161176727601</v>
      </c>
      <c r="AL6331">
        <v>87.417570421624802</v>
      </c>
      <c r="AM6331">
        <v>79.480175843861304</v>
      </c>
      <c r="AN6331">
        <v>1.0000000004535301</v>
      </c>
    </row>
    <row r="6332" spans="1:40" x14ac:dyDescent="0.25">
      <c r="A6332" t="str">
        <f>"20190312151442444"</f>
        <v>20190312151442444</v>
      </c>
      <c r="B6332" t="str">
        <f>"1552374882436476"</f>
        <v>1552374882436476</v>
      </c>
      <c r="C6332" t="s">
        <v>40</v>
      </c>
      <c r="D6332">
        <v>4.6574900000000001</v>
      </c>
      <c r="E6332">
        <v>0.55979109999999999</v>
      </c>
      <c r="F6332" t="s">
        <v>58</v>
      </c>
      <c r="G6332">
        <v>-177.94810000000001</v>
      </c>
      <c r="H6332" s="1">
        <v>-4.5879380000000004E-6</v>
      </c>
      <c r="I6332">
        <v>131.00460000000001</v>
      </c>
      <c r="J6332">
        <v>-182.3528</v>
      </c>
      <c r="K6332">
        <v>1.1095919999999999</v>
      </c>
      <c r="L6332">
        <v>124.8353</v>
      </c>
      <c r="M6332">
        <v>0.25969350000000002</v>
      </c>
      <c r="N6332">
        <v>0</v>
      </c>
      <c r="O6332">
        <v>0.96560420000000002</v>
      </c>
      <c r="P6332">
        <v>0.4350697</v>
      </c>
      <c r="Q6332">
        <v>3.3845449999999999E-2</v>
      </c>
      <c r="R6332">
        <v>0.89976039999999902</v>
      </c>
      <c r="S6332">
        <v>1.745743</v>
      </c>
      <c r="T6332">
        <v>-0.43293540000000003</v>
      </c>
      <c r="U6332">
        <v>2.5081630000000001</v>
      </c>
      <c r="V6332">
        <v>0.1865079</v>
      </c>
      <c r="W6332">
        <v>4.6365150000000001E-2</v>
      </c>
      <c r="X6332">
        <v>0.98135879999999998</v>
      </c>
      <c r="Y6332">
        <v>0.33260139999999999</v>
      </c>
      <c r="Z6332">
        <v>-0.14177899999999999</v>
      </c>
      <c r="AA6332">
        <v>0.93234919999999999</v>
      </c>
      <c r="AB6332">
        <v>31</v>
      </c>
      <c r="AC6332">
        <v>4.4046999999999903</v>
      </c>
      <c r="AD6332">
        <v>-1.1095965879380001</v>
      </c>
      <c r="AE6332">
        <v>6.1692999999999998</v>
      </c>
      <c r="AF6332">
        <v>2.5956758148019601</v>
      </c>
      <c r="AG6332">
        <v>-1.1095965879380001</v>
      </c>
      <c r="AH6332">
        <v>6.95259965214444</v>
      </c>
      <c r="AI6332">
        <v>98.503557040242299</v>
      </c>
      <c r="AJ6332">
        <v>69.527441211927098</v>
      </c>
      <c r="AK6332">
        <v>7.5038243214050802</v>
      </c>
      <c r="AL6332">
        <v>87.342519889314104</v>
      </c>
      <c r="AM6332">
        <v>79.239230769901994</v>
      </c>
      <c r="AN6332">
        <v>1.0000000091171799</v>
      </c>
    </row>
    <row r="6333" spans="1:40" x14ac:dyDescent="0.25">
      <c r="A6333" t="str">
        <f>"20190312151442458"</f>
        <v>20190312151442458</v>
      </c>
      <c r="B6333" t="str">
        <f>"1552374882446237"</f>
        <v>1552374882446237</v>
      </c>
      <c r="C6333" t="s">
        <v>40</v>
      </c>
      <c r="D6333">
        <v>4.573931</v>
      </c>
      <c r="E6333">
        <v>0.5600058</v>
      </c>
      <c r="F6333" t="s">
        <v>58</v>
      </c>
      <c r="G6333">
        <v>-177.82140000000001</v>
      </c>
      <c r="H6333" s="1">
        <v>-4.5991970000000001E-6</v>
      </c>
      <c r="I6333">
        <v>131.2621</v>
      </c>
      <c r="J6333">
        <v>-182.3</v>
      </c>
      <c r="K6333">
        <v>1.109405</v>
      </c>
      <c r="L6333">
        <v>125.029</v>
      </c>
      <c r="M6333">
        <v>0.2604052</v>
      </c>
      <c r="N6333">
        <v>0</v>
      </c>
      <c r="O6333">
        <v>0.96541250000000001</v>
      </c>
      <c r="P6333">
        <v>0.43792229999999999</v>
      </c>
      <c r="Q6333">
        <v>3.4281720000000002E-2</v>
      </c>
      <c r="R6333">
        <v>0.89835900000000002</v>
      </c>
      <c r="S6333">
        <v>1.76171899999999</v>
      </c>
      <c r="T6333">
        <v>-0.43138949999999998</v>
      </c>
      <c r="U6333">
        <v>2.4986109999999999</v>
      </c>
      <c r="V6333">
        <v>0.18892590000000001</v>
      </c>
      <c r="W6333">
        <v>4.6705240000000002E-2</v>
      </c>
      <c r="X6333">
        <v>0.98087999999999997</v>
      </c>
      <c r="Y6333">
        <v>0.33760679999999998</v>
      </c>
      <c r="Z6333">
        <v>-0.1413121</v>
      </c>
      <c r="AA6333">
        <v>0.93061939999999999</v>
      </c>
      <c r="AB6333">
        <v>31</v>
      </c>
      <c r="AC6333">
        <v>4.4786000000000001</v>
      </c>
      <c r="AD6333">
        <v>-1.1094095991970001</v>
      </c>
      <c r="AE6333">
        <v>6.2331000000000003</v>
      </c>
      <c r="AF6333">
        <v>2.64551879476678</v>
      </c>
      <c r="AG6333">
        <v>-1.1094095991970001</v>
      </c>
      <c r="AH6333">
        <v>7.0373357654397797</v>
      </c>
      <c r="AI6333">
        <v>98.394204762881898</v>
      </c>
      <c r="AJ6333">
        <v>69.397444849107202</v>
      </c>
      <c r="AK6333">
        <v>7.5995824903604197</v>
      </c>
      <c r="AL6333">
        <v>87.323012942989905</v>
      </c>
      <c r="AM6333">
        <v>79.097849322531701</v>
      </c>
      <c r="AN6333">
        <v>0.99999997476713298</v>
      </c>
    </row>
    <row r="6334" spans="1:40" x14ac:dyDescent="0.25">
      <c r="A6334" t="str">
        <f>"20190312151442471"</f>
        <v>20190312151442471</v>
      </c>
      <c r="B6334" t="str">
        <f>"1552374882466733"</f>
        <v>1552374882466733</v>
      </c>
      <c r="C6334" t="s">
        <v>40</v>
      </c>
      <c r="D6334">
        <v>4.5983989999999997</v>
      </c>
      <c r="E6334">
        <v>0.56051439999999997</v>
      </c>
      <c r="F6334" t="s">
        <v>58</v>
      </c>
      <c r="G6334">
        <v>-177.7569</v>
      </c>
      <c r="H6334" s="1">
        <v>-4.6160569999999996E-6</v>
      </c>
      <c r="I6334">
        <v>131.42240000000001</v>
      </c>
      <c r="J6334">
        <v>-182.25110000000001</v>
      </c>
      <c r="K6334">
        <v>1.1092089999999999</v>
      </c>
      <c r="L6334">
        <v>125.2077</v>
      </c>
      <c r="M6334">
        <v>0.26120710000000003</v>
      </c>
      <c r="N6334">
        <v>0</v>
      </c>
      <c r="O6334">
        <v>0.96519580000000005</v>
      </c>
      <c r="P6334">
        <v>0.44100879999999998</v>
      </c>
      <c r="Q6334">
        <v>3.5087319999999998E-2</v>
      </c>
      <c r="R6334">
        <v>0.89681669999999902</v>
      </c>
      <c r="S6334">
        <v>1.7711790000000001</v>
      </c>
      <c r="T6334">
        <v>-0.43251089999999998</v>
      </c>
      <c r="U6334">
        <v>2.4925229999999998</v>
      </c>
      <c r="V6334">
        <v>0.1915174</v>
      </c>
      <c r="W6334">
        <v>4.74078E-2</v>
      </c>
      <c r="X6334">
        <v>0.98034359999999998</v>
      </c>
      <c r="Y6334">
        <v>0.34021420000000002</v>
      </c>
      <c r="Z6334">
        <v>-0.1416924</v>
      </c>
      <c r="AA6334">
        <v>0.92961150000000004</v>
      </c>
      <c r="AB6334">
        <v>31</v>
      </c>
      <c r="AC6334">
        <v>4.4942000000000002</v>
      </c>
      <c r="AD6334">
        <v>-1.1092136160570001</v>
      </c>
      <c r="AE6334">
        <v>6.2146999999999997</v>
      </c>
      <c r="AF6334">
        <v>2.6590669763316899</v>
      </c>
      <c r="AG6334">
        <v>-1.1092136160570001</v>
      </c>
      <c r="AH6334">
        <v>7.0259583787634696</v>
      </c>
      <c r="AI6334">
        <v>98.399200649119393</v>
      </c>
      <c r="AJ6334">
        <v>69.270187952854698</v>
      </c>
      <c r="AK6334">
        <v>7.5937529042483796</v>
      </c>
      <c r="AL6334">
        <v>87.282714629284001</v>
      </c>
      <c r="AM6334">
        <v>78.946063637968294</v>
      </c>
      <c r="AN6334">
        <v>0.99999999403227902</v>
      </c>
    </row>
    <row r="6335" spans="1:40" x14ac:dyDescent="0.25">
      <c r="A6335" t="str">
        <f>"20190312151442489"</f>
        <v>20190312151442489</v>
      </c>
      <c r="B6335" t="str">
        <f>"1552374882486252"</f>
        <v>1552374882486252</v>
      </c>
      <c r="C6335" t="s">
        <v>40</v>
      </c>
      <c r="D6335">
        <v>4.7308450000000004</v>
      </c>
      <c r="E6335">
        <v>0.56118919999999906</v>
      </c>
      <c r="F6335" t="s">
        <v>58</v>
      </c>
      <c r="G6335">
        <v>-177.6961</v>
      </c>
      <c r="H6335" s="1">
        <v>-4.6242219999999999E-6</v>
      </c>
      <c r="I6335">
        <v>131.5532</v>
      </c>
      <c r="J6335">
        <v>-182.18719999999999</v>
      </c>
      <c r="K6335">
        <v>1.1089249999999999</v>
      </c>
      <c r="L6335">
        <v>125.4393</v>
      </c>
      <c r="M6335">
        <v>0.26248630000000001</v>
      </c>
      <c r="N6335">
        <v>0</v>
      </c>
      <c r="O6335">
        <v>0.96484859999999995</v>
      </c>
      <c r="P6335">
        <v>0.447017</v>
      </c>
      <c r="Q6335">
        <v>3.6562249999999998E-2</v>
      </c>
      <c r="R6335">
        <v>0.89377790000000001</v>
      </c>
      <c r="S6335">
        <v>1.783798</v>
      </c>
      <c r="T6335">
        <v>-0.43438399999999999</v>
      </c>
      <c r="U6335">
        <v>2.484985</v>
      </c>
      <c r="V6335">
        <v>0.1968501</v>
      </c>
      <c r="W6335">
        <v>4.8722349999999998E-2</v>
      </c>
      <c r="X6335">
        <v>0.97922220000000004</v>
      </c>
      <c r="Y6335">
        <v>0.34337040000000002</v>
      </c>
      <c r="Z6335">
        <v>-0.14228779999999999</v>
      </c>
      <c r="AA6335">
        <v>0.9283593</v>
      </c>
      <c r="AB6335">
        <v>31</v>
      </c>
      <c r="AC6335">
        <v>4.4910999999999799</v>
      </c>
      <c r="AD6335">
        <v>-1.1089296242219999</v>
      </c>
      <c r="AE6335">
        <v>6.1139000000000001</v>
      </c>
      <c r="AF6335">
        <v>2.67155996248637</v>
      </c>
      <c r="AG6335">
        <v>-1.1089296242219999</v>
      </c>
      <c r="AH6335">
        <v>6.9303472437776898</v>
      </c>
      <c r="AI6335">
        <v>98.491627810705296</v>
      </c>
      <c r="AJ6335">
        <v>68.918988755153507</v>
      </c>
      <c r="AK6335">
        <v>7.5097716652355198</v>
      </c>
      <c r="AL6335">
        <v>87.207309244946202</v>
      </c>
      <c r="AM6335">
        <v>78.633499201804796</v>
      </c>
      <c r="AN6335">
        <v>0.99999997311618505</v>
      </c>
    </row>
    <row r="6336" spans="1:40" x14ac:dyDescent="0.25">
      <c r="A6336" t="str">
        <f>"20190312151442512"</f>
        <v>20190312151442512</v>
      </c>
      <c r="B6336" t="str">
        <f>"1552374882506748"</f>
        <v>1552374882506748</v>
      </c>
      <c r="C6336" t="s">
        <v>40</v>
      </c>
      <c r="D6336">
        <v>4.5403960000000003</v>
      </c>
      <c r="E6336">
        <v>0.56156740000000005</v>
      </c>
      <c r="F6336" t="s">
        <v>58</v>
      </c>
      <c r="G6336">
        <v>-177.5694</v>
      </c>
      <c r="H6336" s="1">
        <v>-4.6163969999999997E-6</v>
      </c>
      <c r="I6336">
        <v>131.7604</v>
      </c>
      <c r="J6336">
        <v>-182.1018</v>
      </c>
      <c r="K6336">
        <v>1.108527</v>
      </c>
      <c r="L6336">
        <v>125.745</v>
      </c>
      <c r="M6336">
        <v>0.26461639999999997</v>
      </c>
      <c r="N6336">
        <v>0</v>
      </c>
      <c r="O6336">
        <v>0.96426639999999997</v>
      </c>
      <c r="P6336">
        <v>0.45429029999999998</v>
      </c>
      <c r="Q6336">
        <v>3.8344990000000002E-2</v>
      </c>
      <c r="R6336">
        <v>0.89002809999999899</v>
      </c>
      <c r="S6336">
        <v>1.80542</v>
      </c>
      <c r="T6336">
        <v>-0.43355579999999999</v>
      </c>
      <c r="U6336">
        <v>2.4713440000000002</v>
      </c>
      <c r="V6336">
        <v>0.20274710000000001</v>
      </c>
      <c r="W6336">
        <v>5.0283500000000002E-2</v>
      </c>
      <c r="X6336">
        <v>0.97793920000000001</v>
      </c>
      <c r="Y6336">
        <v>0.34905740000000002</v>
      </c>
      <c r="Z6336">
        <v>-0.14203660000000001</v>
      </c>
      <c r="AA6336">
        <v>0.9262745</v>
      </c>
      <c r="AB6336">
        <v>31</v>
      </c>
      <c r="AC6336">
        <v>4.5323999999999902</v>
      </c>
      <c r="AD6336">
        <v>-1.108531616397</v>
      </c>
      <c r="AE6336">
        <v>6.0153999999999996</v>
      </c>
      <c r="AF6336">
        <v>2.7199810559817799</v>
      </c>
      <c r="AG6336">
        <v>-1.108531616397</v>
      </c>
      <c r="AH6336">
        <v>6.85195721292797</v>
      </c>
      <c r="AI6336">
        <v>98.551432267139703</v>
      </c>
      <c r="AJ6336">
        <v>68.348699059237205</v>
      </c>
      <c r="AK6336">
        <v>7.4549619004557703</v>
      </c>
      <c r="AL6336">
        <v>87.117752055536997</v>
      </c>
      <c r="AM6336">
        <v>78.287325051961403</v>
      </c>
      <c r="AN6336">
        <v>0.99999994791364799</v>
      </c>
    </row>
    <row r="6337" spans="1:40" x14ac:dyDescent="0.25">
      <c r="A6337" t="str">
        <f>"20190312151442534"</f>
        <v>20190312151442534</v>
      </c>
      <c r="B6337" t="str">
        <f>"1552374882526268"</f>
        <v>1552374882526268</v>
      </c>
      <c r="C6337" t="s">
        <v>40</v>
      </c>
      <c r="D6337">
        <v>4.5642050000000003</v>
      </c>
      <c r="E6337">
        <v>0.56188729999999998</v>
      </c>
      <c r="F6337" t="s">
        <v>58</v>
      </c>
      <c r="G6337">
        <v>-177.40729999999999</v>
      </c>
      <c r="H6337" s="1">
        <v>-4.6151860000000003E-6</v>
      </c>
      <c r="I6337">
        <v>132.04849999999999</v>
      </c>
      <c r="J6337">
        <v>-182.0187</v>
      </c>
      <c r="K6337">
        <v>1.108166</v>
      </c>
      <c r="L6337">
        <v>126.03789999999999</v>
      </c>
      <c r="M6337">
        <v>0.26707570000000003</v>
      </c>
      <c r="N6337">
        <v>0</v>
      </c>
      <c r="O6337">
        <v>0.963588</v>
      </c>
      <c r="P6337">
        <v>0.46256269999999999</v>
      </c>
      <c r="Q6337">
        <v>3.9858970000000001E-2</v>
      </c>
      <c r="R6337">
        <v>0.88569019999999998</v>
      </c>
      <c r="S6337">
        <v>1.8289029999999999</v>
      </c>
      <c r="T6337">
        <v>-0.43186999999999998</v>
      </c>
      <c r="U6337">
        <v>2.455765</v>
      </c>
      <c r="V6337">
        <v>0.2094326</v>
      </c>
      <c r="W6337">
        <v>5.1575959999999997E-2</v>
      </c>
      <c r="X6337">
        <v>0.97646189999999999</v>
      </c>
      <c r="Y6337">
        <v>0.35522540000000002</v>
      </c>
      <c r="Z6337">
        <v>-0.14152729999999999</v>
      </c>
      <c r="AA6337">
        <v>0.92400490000000002</v>
      </c>
      <c r="AB6337">
        <v>31</v>
      </c>
      <c r="AC6337">
        <v>4.6113999999999997</v>
      </c>
      <c r="AD6337">
        <v>-1.108170615186</v>
      </c>
      <c r="AE6337">
        <v>6.0105999999999904</v>
      </c>
      <c r="AF6337">
        <v>2.7789812242751899</v>
      </c>
      <c r="AG6337">
        <v>-1.108170615186</v>
      </c>
      <c r="AH6337">
        <v>6.87678278904324</v>
      </c>
      <c r="AI6337">
        <v>98.497601474461305</v>
      </c>
      <c r="AJ6337">
        <v>67.995841330740205</v>
      </c>
      <c r="AK6337">
        <v>7.4993946612321398</v>
      </c>
      <c r="AL6337">
        <v>87.043603375003201</v>
      </c>
      <c r="AM6337">
        <v>77.894541310436907</v>
      </c>
      <c r="AN6337">
        <v>0.99999996787214496</v>
      </c>
    </row>
    <row r="6338" spans="1:40" x14ac:dyDescent="0.25">
      <c r="A6338" t="str">
        <f>"20190312151442547"</f>
        <v>20190312151442547</v>
      </c>
      <c r="B6338" t="str">
        <f>"1552374882537005"</f>
        <v>1552374882537005</v>
      </c>
      <c r="C6338" t="s">
        <v>40</v>
      </c>
      <c r="D6338">
        <v>4.6366839999999998</v>
      </c>
      <c r="E6338">
        <v>0.56191599999999997</v>
      </c>
      <c r="F6338" t="s">
        <v>58</v>
      </c>
      <c r="G6338">
        <v>-177.24279999999999</v>
      </c>
      <c r="H6338" s="1">
        <v>-4.6045219999999999E-6</v>
      </c>
      <c r="I6338">
        <v>132.31610000000001</v>
      </c>
      <c r="J6338">
        <v>-181.96420000000001</v>
      </c>
      <c r="K6338">
        <v>1.107944</v>
      </c>
      <c r="L6338">
        <v>126.2283</v>
      </c>
      <c r="M6338">
        <v>0.26887109999999997</v>
      </c>
      <c r="N6338">
        <v>0</v>
      </c>
      <c r="O6338">
        <v>0.96308850000000001</v>
      </c>
      <c r="P6338">
        <v>0.46751559999999998</v>
      </c>
      <c r="Q6338">
        <v>4.05458E-2</v>
      </c>
      <c r="R6338">
        <v>0.88305449999999996</v>
      </c>
      <c r="S6338">
        <v>1.854614</v>
      </c>
      <c r="T6338">
        <v>-0.4303303</v>
      </c>
      <c r="U6338">
        <v>2.4379729999999999</v>
      </c>
      <c r="V6338">
        <v>0.21312210000000001</v>
      </c>
      <c r="W6338">
        <v>5.2125489999999997E-2</v>
      </c>
      <c r="X6338">
        <v>0.97563409999999995</v>
      </c>
      <c r="Y6338">
        <v>0.36293910000000001</v>
      </c>
      <c r="Z6338">
        <v>-0.14111409999999999</v>
      </c>
      <c r="AA6338">
        <v>0.92106569999999999</v>
      </c>
      <c r="AB6338">
        <v>31</v>
      </c>
      <c r="AC6338">
        <v>4.7214000000000098</v>
      </c>
      <c r="AD6338">
        <v>-1.1079486045219999</v>
      </c>
      <c r="AE6338">
        <v>6.0877999999999997</v>
      </c>
      <c r="AF6338">
        <v>2.8515617090180401</v>
      </c>
      <c r="AG6338">
        <v>-1.1079486045219999</v>
      </c>
      <c r="AH6338">
        <v>6.9886007467988298</v>
      </c>
      <c r="AI6338">
        <v>98.350669283050195</v>
      </c>
      <c r="AJ6338">
        <v>67.803046203189595</v>
      </c>
      <c r="AK6338">
        <v>7.6288593307752999</v>
      </c>
      <c r="AL6338">
        <v>87.012075299716699</v>
      </c>
      <c r="AM6338">
        <v>77.677607276309303</v>
      </c>
      <c r="AN6338">
        <v>0.99999999664948003</v>
      </c>
    </row>
    <row r="6339" spans="1:40" x14ac:dyDescent="0.25">
      <c r="A6339" t="str">
        <f>"20190312151442560"</f>
        <v>20190312151442560</v>
      </c>
      <c r="B6339" t="str">
        <f>"1552374882556525"</f>
        <v>1552374882556525</v>
      </c>
      <c r="C6339" t="s">
        <v>40</v>
      </c>
      <c r="D6339">
        <v>4.5727679999999999</v>
      </c>
      <c r="E6339">
        <v>0.56194319999999998</v>
      </c>
      <c r="F6339" t="s">
        <v>58</v>
      </c>
      <c r="G6339">
        <v>-177.16390000000001</v>
      </c>
      <c r="H6339" s="1">
        <v>-4.6072130000000003E-6</v>
      </c>
      <c r="I6339">
        <v>132.465</v>
      </c>
      <c r="J6339">
        <v>-181.91419999999999</v>
      </c>
      <c r="K6339">
        <v>1.107753</v>
      </c>
      <c r="L6339">
        <v>126.4006</v>
      </c>
      <c r="M6339">
        <v>0.27067940000000001</v>
      </c>
      <c r="N6339">
        <v>0</v>
      </c>
      <c r="O6339">
        <v>0.96258180000000004</v>
      </c>
      <c r="P6339">
        <v>0.47248950000000001</v>
      </c>
      <c r="Q6339">
        <v>4.095911E-2</v>
      </c>
      <c r="R6339">
        <v>0.88038400000000006</v>
      </c>
      <c r="S6339">
        <v>1.868652</v>
      </c>
      <c r="T6339">
        <v>-0.43130350000000001</v>
      </c>
      <c r="U6339">
        <v>2.4278110000000002</v>
      </c>
      <c r="V6339">
        <v>0.2168262</v>
      </c>
      <c r="W6339">
        <v>5.2413099999999997E-2</v>
      </c>
      <c r="X6339">
        <v>0.97480219999999995</v>
      </c>
      <c r="Y6339">
        <v>0.36636849999999999</v>
      </c>
      <c r="Z6339">
        <v>-0.1414569</v>
      </c>
      <c r="AA6339">
        <v>0.91965430000000004</v>
      </c>
      <c r="AB6339">
        <v>31</v>
      </c>
      <c r="AC6339">
        <v>4.7502999999999798</v>
      </c>
      <c r="AD6339">
        <v>-1.107757607213</v>
      </c>
      <c r="AE6339">
        <v>6.0644</v>
      </c>
      <c r="AF6339">
        <v>2.87190428290369</v>
      </c>
      <c r="AG6339">
        <v>-1.107757607213</v>
      </c>
      <c r="AH6339">
        <v>6.9795623006329297</v>
      </c>
      <c r="AI6339">
        <v>98.349959562226005</v>
      </c>
      <c r="AJ6339">
        <v>67.634136997359903</v>
      </c>
      <c r="AK6339">
        <v>7.6281879260355998</v>
      </c>
      <c r="AL6339">
        <v>86.9955740085569</v>
      </c>
      <c r="AM6339">
        <v>77.459795207567893</v>
      </c>
      <c r="AN6339">
        <v>1.0000000315914399</v>
      </c>
    </row>
    <row r="6340" spans="1:40" x14ac:dyDescent="0.25">
      <c r="A6340" t="str">
        <f>"20190312151442577"</f>
        <v>20190312151442577</v>
      </c>
      <c r="B6340" t="str">
        <f>"1552374882566285"</f>
        <v>1552374882566285</v>
      </c>
      <c r="C6340" t="s">
        <v>40</v>
      </c>
      <c r="D6340">
        <v>4.5132669999999999</v>
      </c>
      <c r="E6340">
        <v>0.56186359999999902</v>
      </c>
      <c r="F6340" t="s">
        <v>58</v>
      </c>
      <c r="G6340">
        <v>-177.12870000000001</v>
      </c>
      <c r="H6340" s="1">
        <v>-4.6136549999999998E-6</v>
      </c>
      <c r="I6340">
        <v>132.54519999999999</v>
      </c>
      <c r="J6340">
        <v>-181.8485</v>
      </c>
      <c r="K6340">
        <v>1.107513</v>
      </c>
      <c r="L6340">
        <v>126.6247</v>
      </c>
      <c r="M6340">
        <v>0.27323730000000002</v>
      </c>
      <c r="N6340">
        <v>0</v>
      </c>
      <c r="O6340">
        <v>0.96185869999999996</v>
      </c>
      <c r="P6340">
        <v>0.48452139999999999</v>
      </c>
      <c r="Q6340">
        <v>4.1470670000000001E-2</v>
      </c>
      <c r="R6340">
        <v>0.87379589999999996</v>
      </c>
      <c r="S6340">
        <v>1.882736</v>
      </c>
      <c r="T6340">
        <v>-0.43581940000000002</v>
      </c>
      <c r="U6340">
        <v>2.4174349999999998</v>
      </c>
      <c r="V6340">
        <v>0.2276407</v>
      </c>
      <c r="W6340">
        <v>5.2704529999999999E-2</v>
      </c>
      <c r="X6340">
        <v>0.97231780000000001</v>
      </c>
      <c r="Y6340">
        <v>0.36901499999999998</v>
      </c>
      <c r="Z6340">
        <v>-0.14291690000000001</v>
      </c>
      <c r="AA6340">
        <v>0.91836960000000001</v>
      </c>
      <c r="AB6340">
        <v>31</v>
      </c>
      <c r="AC6340">
        <v>4.7197999999999896</v>
      </c>
      <c r="AD6340">
        <v>-1.107517613655</v>
      </c>
      <c r="AE6340">
        <v>5.9204999999999899</v>
      </c>
      <c r="AF6340">
        <v>2.8611108181713898</v>
      </c>
      <c r="AG6340">
        <v>-1.107517613655</v>
      </c>
      <c r="AH6340">
        <v>6.8385839959853296</v>
      </c>
      <c r="AI6340">
        <v>98.497287356736507</v>
      </c>
      <c r="AJ6340">
        <v>67.296654658938294</v>
      </c>
      <c r="AK6340">
        <v>7.49525059277941</v>
      </c>
      <c r="AL6340">
        <v>86.978853032945693</v>
      </c>
      <c r="AM6340">
        <v>76.823147163126393</v>
      </c>
      <c r="AN6340">
        <v>0.999999979987925</v>
      </c>
    </row>
    <row r="6341" spans="1:40" x14ac:dyDescent="0.25">
      <c r="A6341" t="str">
        <f>"20190312151442612"</f>
        <v>20190312151442612</v>
      </c>
      <c r="B6341" t="str">
        <f>"1552374882606301"</f>
        <v>1552374882606301</v>
      </c>
      <c r="C6341" t="s">
        <v>40</v>
      </c>
      <c r="D6341">
        <v>4.5523759999999998</v>
      </c>
      <c r="E6341">
        <v>0.56154479999999996</v>
      </c>
      <c r="F6341" t="s">
        <v>58</v>
      </c>
      <c r="G6341">
        <v>-176.99799999999999</v>
      </c>
      <c r="H6341" s="1">
        <v>-4.5774009999999998E-6</v>
      </c>
      <c r="I6341">
        <v>132.68469999999999</v>
      </c>
      <c r="J6341">
        <v>-181.7158</v>
      </c>
      <c r="K6341">
        <v>1.1070329999999999</v>
      </c>
      <c r="L6341">
        <v>127.0689</v>
      </c>
      <c r="M6341">
        <v>0.27893269999999998</v>
      </c>
      <c r="N6341">
        <v>0</v>
      </c>
      <c r="O6341">
        <v>0.96022220000000003</v>
      </c>
      <c r="P6341">
        <v>0.50047520000000001</v>
      </c>
      <c r="Q6341">
        <v>4.1596580000000001E-2</v>
      </c>
      <c r="R6341">
        <v>0.86475100000000005</v>
      </c>
      <c r="S6341">
        <v>1.914825</v>
      </c>
      <c r="T6341">
        <v>-0.43721080000000001</v>
      </c>
      <c r="U6341">
        <v>2.3922729999999999</v>
      </c>
      <c r="V6341">
        <v>0.23977609999999999</v>
      </c>
      <c r="W6341">
        <v>5.24593E-2</v>
      </c>
      <c r="X6341">
        <v>0.96940990000000005</v>
      </c>
      <c r="Y6341">
        <v>0.3756814</v>
      </c>
      <c r="Z6341">
        <v>-0.14343259999999999</v>
      </c>
      <c r="AA6341">
        <v>0.91558209999999995</v>
      </c>
      <c r="AB6341">
        <v>31</v>
      </c>
      <c r="AC6341">
        <v>4.7178000000000102</v>
      </c>
      <c r="AD6341">
        <v>-1.107037577401</v>
      </c>
      <c r="AE6341">
        <v>5.6157999999999904</v>
      </c>
      <c r="AF6341">
        <v>2.8979381588219</v>
      </c>
      <c r="AG6341">
        <v>-1.107037577401</v>
      </c>
      <c r="AH6341">
        <v>6.5594985742264402</v>
      </c>
      <c r="AI6341">
        <v>98.775719360165496</v>
      </c>
      <c r="AJ6341">
        <v>66.164511447954595</v>
      </c>
      <c r="AK6341">
        <v>7.2560732710890301</v>
      </c>
      <c r="AL6341">
        <v>86.992923368196898</v>
      </c>
      <c r="AM6341">
        <v>76.107162120872303</v>
      </c>
      <c r="AN6341">
        <v>1.0000000552528501</v>
      </c>
    </row>
    <row r="6342" spans="1:40" x14ac:dyDescent="0.25">
      <c r="A6342" t="str">
        <f>"20190312151442633"</f>
        <v>20190312151442633</v>
      </c>
      <c r="B6342" t="str">
        <f>"1552374882626800"</f>
        <v>1552374882626800</v>
      </c>
      <c r="C6342" t="s">
        <v>40</v>
      </c>
      <c r="D6342">
        <v>4.6369400000000001</v>
      </c>
      <c r="E6342">
        <v>0.56178090000000003</v>
      </c>
      <c r="F6342" t="s">
        <v>58</v>
      </c>
      <c r="G6342">
        <v>-176.87129999999999</v>
      </c>
      <c r="H6342" s="1">
        <v>-4.5757320000000001E-6</v>
      </c>
      <c r="I6342">
        <v>132.90799999999999</v>
      </c>
      <c r="J6342">
        <v>-181.62629999999999</v>
      </c>
      <c r="K6342">
        <v>1.1067419999999999</v>
      </c>
      <c r="L6342">
        <v>127.3612</v>
      </c>
      <c r="M6342">
        <v>0.28309289999999998</v>
      </c>
      <c r="N6342">
        <v>0</v>
      </c>
      <c r="O6342">
        <v>0.95900370000000001</v>
      </c>
      <c r="P6342">
        <v>0.51062489999999905</v>
      </c>
      <c r="Q6342">
        <v>4.200255E-2</v>
      </c>
      <c r="R6342">
        <v>0.85877700000000001</v>
      </c>
      <c r="S6342">
        <v>1.956604</v>
      </c>
      <c r="T6342">
        <v>-0.44711659999999998</v>
      </c>
      <c r="U6342">
        <v>2.3583370000000001</v>
      </c>
      <c r="V6342">
        <v>0.2470349</v>
      </c>
      <c r="W6342">
        <v>5.2626430000000002E-2</v>
      </c>
      <c r="X6342">
        <v>0.96757649999999995</v>
      </c>
      <c r="Y6342">
        <v>0.38739869999999998</v>
      </c>
      <c r="Z6342">
        <v>-0.14683199999999999</v>
      </c>
      <c r="AA6342">
        <v>0.91014430000000002</v>
      </c>
      <c r="AB6342">
        <v>31</v>
      </c>
      <c r="AC6342">
        <v>4.7549999999999901</v>
      </c>
      <c r="AD6342">
        <v>-1.1067465757320001</v>
      </c>
      <c r="AE6342">
        <v>5.5467999999999904</v>
      </c>
      <c r="AF6342">
        <v>2.9229813784174499</v>
      </c>
      <c r="AG6342">
        <v>-1.1067465757320001</v>
      </c>
      <c r="AH6342">
        <v>6.5165356356898601</v>
      </c>
      <c r="AI6342">
        <v>98.808593385621506</v>
      </c>
      <c r="AJ6342">
        <v>65.841458804799103</v>
      </c>
      <c r="AK6342">
        <v>7.2273055015465797</v>
      </c>
      <c r="AL6342">
        <v>86.983334212655294</v>
      </c>
      <c r="AM6342">
        <v>75.677608487301001</v>
      </c>
      <c r="AN6342">
        <v>1.0000000331523999</v>
      </c>
    </row>
    <row r="6343" spans="1:40" x14ac:dyDescent="0.25">
      <c r="A6343" t="str">
        <f>"20190312151442656"</f>
        <v>20190312151442656</v>
      </c>
      <c r="B6343" t="str">
        <f>"1552374882646317"</f>
        <v>1552374882646317</v>
      </c>
      <c r="C6343" t="s">
        <v>40</v>
      </c>
      <c r="D6343">
        <v>4.7688050000000004</v>
      </c>
      <c r="E6343">
        <v>0.60265659999999999</v>
      </c>
      <c r="F6343" t="s">
        <v>58</v>
      </c>
      <c r="G6343">
        <v>-176.71199999999999</v>
      </c>
      <c r="H6343" s="1">
        <v>-4.5534299999999999E-6</v>
      </c>
      <c r="I6343">
        <v>133.13560000000001</v>
      </c>
      <c r="J6343">
        <v>-181.5342</v>
      </c>
      <c r="K6343">
        <v>1.106484</v>
      </c>
      <c r="L6343">
        <v>127.6566</v>
      </c>
      <c r="M6343">
        <v>0.28755609999999998</v>
      </c>
      <c r="N6343">
        <v>0</v>
      </c>
      <c r="O6343">
        <v>0.95767469999999999</v>
      </c>
      <c r="P6343">
        <v>0.52092129999999903</v>
      </c>
      <c r="Q6343">
        <v>4.297169E-2</v>
      </c>
      <c r="R6343">
        <v>0.85252240000000001</v>
      </c>
      <c r="S6343">
        <v>1.986435</v>
      </c>
      <c r="T6343">
        <v>-0.4473646</v>
      </c>
      <c r="U6343">
        <v>2.3340909999999999</v>
      </c>
      <c r="V6343">
        <v>0.25422509999999998</v>
      </c>
      <c r="W6343">
        <v>5.3363069999999999E-2</v>
      </c>
      <c r="X6343">
        <v>0.96567179999999997</v>
      </c>
      <c r="Y6343">
        <v>0.39450360000000001</v>
      </c>
      <c r="Z6343">
        <v>-0.14699179999999901</v>
      </c>
      <c r="AA6343">
        <v>0.90706140000000002</v>
      </c>
      <c r="AB6343">
        <v>31</v>
      </c>
      <c r="AC6343">
        <v>4.8221999999999801</v>
      </c>
      <c r="AD6343">
        <v>-1.10648855343</v>
      </c>
      <c r="AE6343">
        <v>5.4790000000000099</v>
      </c>
      <c r="AF6343">
        <v>2.9744794789469902</v>
      </c>
      <c r="AG6343">
        <v>-1.10648855343</v>
      </c>
      <c r="AH6343">
        <v>6.4852747828951101</v>
      </c>
      <c r="AI6343">
        <v>98.815314817254702</v>
      </c>
      <c r="AJ6343">
        <v>65.361383257302094</v>
      </c>
      <c r="AK6343">
        <v>7.2201547143536704</v>
      </c>
      <c r="AL6343">
        <v>86.941068423742394</v>
      </c>
      <c r="AM6343">
        <v>75.250836052719293</v>
      </c>
      <c r="AN6343">
        <v>1.00000002201253</v>
      </c>
    </row>
    <row r="6344" spans="1:40" x14ac:dyDescent="0.25">
      <c r="A6344" t="str">
        <f>"20190312151442678"</f>
        <v>20190312151442678</v>
      </c>
      <c r="B6344" t="str">
        <f>"1552374882666800"</f>
        <v>1552374882666800</v>
      </c>
      <c r="C6344" t="s">
        <v>40</v>
      </c>
      <c r="D6344">
        <v>4.7067569999999996</v>
      </c>
      <c r="E6344">
        <v>0.61145799999999995</v>
      </c>
      <c r="F6344" t="s">
        <v>58</v>
      </c>
      <c r="G6344">
        <v>-175.79679999999999</v>
      </c>
      <c r="H6344" s="1">
        <v>-3.8820880000000002E-6</v>
      </c>
      <c r="I6344">
        <v>133.01169999999999</v>
      </c>
      <c r="J6344">
        <v>-181.43780000000001</v>
      </c>
      <c r="K6344">
        <v>1.106236</v>
      </c>
      <c r="L6344">
        <v>127.95959999999999</v>
      </c>
      <c r="M6344">
        <v>0.29241699999999998</v>
      </c>
      <c r="N6344">
        <v>0</v>
      </c>
      <c r="O6344">
        <v>0.95620139999999998</v>
      </c>
      <c r="P6344">
        <v>0.53135659999999996</v>
      </c>
      <c r="Q6344">
        <v>4.4214690000000001E-2</v>
      </c>
      <c r="R6344">
        <v>0.84599360000000001</v>
      </c>
      <c r="S6344">
        <v>2.2929529999999998</v>
      </c>
      <c r="T6344">
        <v>-0.44220779999999899</v>
      </c>
      <c r="U6344">
        <v>2.1401669999999999</v>
      </c>
      <c r="V6344">
        <v>0.26124530000000001</v>
      </c>
      <c r="W6344">
        <v>5.4373919999999999E-2</v>
      </c>
      <c r="X6344">
        <v>0.96373980000000004</v>
      </c>
      <c r="Y6344">
        <v>0.49171619999999999</v>
      </c>
      <c r="Z6344">
        <v>-0.1443719</v>
      </c>
      <c r="AA6344">
        <v>0.85870360000000001</v>
      </c>
      <c r="AB6344">
        <v>31</v>
      </c>
      <c r="AC6344">
        <v>5.6410000000000098</v>
      </c>
      <c r="AD6344">
        <v>-1.1062398820879999</v>
      </c>
      <c r="AE6344">
        <v>5.0520999999999896</v>
      </c>
      <c r="AF6344">
        <v>3.83510410965195</v>
      </c>
      <c r="AG6344">
        <v>-1.1062398820879999</v>
      </c>
      <c r="AH6344">
        <v>6.3454877551871398</v>
      </c>
      <c r="AI6344">
        <v>98.486025323726906</v>
      </c>
      <c r="AJ6344">
        <v>58.851953370037499</v>
      </c>
      <c r="AK6344">
        <v>7.4964661714584802</v>
      </c>
      <c r="AL6344">
        <v>86.883066748957901</v>
      </c>
      <c r="AM6344">
        <v>74.833058321679303</v>
      </c>
      <c r="AN6344">
        <v>1.00000001602614</v>
      </c>
    </row>
    <row r="6345" spans="1:40" x14ac:dyDescent="0.25">
      <c r="A6345" t="str">
        <f>"20190312151442700"</f>
        <v>20190312151442700</v>
      </c>
      <c r="B6345" t="str">
        <f>"1552374882697057"</f>
        <v>1552374882697057</v>
      </c>
      <c r="C6345" t="s">
        <v>40</v>
      </c>
      <c r="D6345">
        <v>4.8864989999999997</v>
      </c>
      <c r="E6345">
        <v>0.615803199999999</v>
      </c>
      <c r="F6345" t="s">
        <v>58</v>
      </c>
      <c r="G6345">
        <v>-175.28299999999999</v>
      </c>
      <c r="H6345" s="1">
        <v>-3.6513710000000001E-6</v>
      </c>
      <c r="I6345">
        <v>133.3272</v>
      </c>
      <c r="J6345">
        <v>-181.3415</v>
      </c>
      <c r="K6345">
        <v>1.1059969999999999</v>
      </c>
      <c r="L6345">
        <v>128.25640000000001</v>
      </c>
      <c r="M6345">
        <v>0.29744910000000002</v>
      </c>
      <c r="N6345">
        <v>0</v>
      </c>
      <c r="O6345">
        <v>0.95464789999999999</v>
      </c>
      <c r="P6345">
        <v>0.54197700000000004</v>
      </c>
      <c r="Q6345">
        <v>4.4736249999999998E-2</v>
      </c>
      <c r="R6345">
        <v>0.83920169999999905</v>
      </c>
      <c r="S6345">
        <v>2.3786930000000002</v>
      </c>
      <c r="T6345">
        <v>-0.42753550000000001</v>
      </c>
      <c r="U6345">
        <v>2.0744479999999998</v>
      </c>
      <c r="V6345">
        <v>0.26835809999999999</v>
      </c>
      <c r="W6345">
        <v>5.4664829999999998E-2</v>
      </c>
      <c r="X6345">
        <v>0.96176700000000004</v>
      </c>
      <c r="Y6345">
        <v>0.51650490000000004</v>
      </c>
      <c r="Z6345">
        <v>-0.13940169999999999</v>
      </c>
      <c r="AA6345">
        <v>0.84486090000000003</v>
      </c>
      <c r="AB6345">
        <v>31</v>
      </c>
      <c r="AC6345">
        <v>6.0585000000000004</v>
      </c>
      <c r="AD6345">
        <v>-1.1060006513709999</v>
      </c>
      <c r="AE6345">
        <v>5.0707999999999904</v>
      </c>
      <c r="AF6345">
        <v>4.1936121130459396</v>
      </c>
      <c r="AG6345">
        <v>-1.1060006513709999</v>
      </c>
      <c r="AH6345">
        <v>6.5158007937096496</v>
      </c>
      <c r="AI6345">
        <v>98.123191787140698</v>
      </c>
      <c r="AJ6345">
        <v>57.234401783939397</v>
      </c>
      <c r="AK6345">
        <v>7.8272140624123701</v>
      </c>
      <c r="AL6345">
        <v>86.866374075603602</v>
      </c>
      <c r="AM6345">
        <v>74.409510003467901</v>
      </c>
      <c r="AN6345">
        <v>1.00000003788176</v>
      </c>
    </row>
    <row r="6346" spans="1:40" x14ac:dyDescent="0.25">
      <c r="A6346" t="str">
        <f>"20190312151442723"</f>
        <v>20190312151442723</v>
      </c>
      <c r="B6346" t="str">
        <f>"1552374882716577"</f>
        <v>1552374882716577</v>
      </c>
      <c r="C6346" t="s">
        <v>40</v>
      </c>
      <c r="D6346">
        <v>4.8438569999999999</v>
      </c>
      <c r="E6346">
        <v>0.61626840000000005</v>
      </c>
      <c r="F6346" t="s">
        <v>58</v>
      </c>
      <c r="G6346">
        <v>-175.10169999999999</v>
      </c>
      <c r="H6346" s="1">
        <v>-3.5739409999999999E-6</v>
      </c>
      <c r="I6346">
        <v>133.44909999999999</v>
      </c>
      <c r="J6346">
        <v>-181.24340000000001</v>
      </c>
      <c r="K6346">
        <v>1.1057680000000001</v>
      </c>
      <c r="L6346">
        <v>128.55250000000001</v>
      </c>
      <c r="M6346">
        <v>0.30273070000000002</v>
      </c>
      <c r="N6346">
        <v>0</v>
      </c>
      <c r="O6346">
        <v>0.95298590000000005</v>
      </c>
      <c r="P6346">
        <v>0.55204249999999999</v>
      </c>
      <c r="Q6346">
        <v>4.5233120000000002E-2</v>
      </c>
      <c r="R6346">
        <v>0.83258809999999905</v>
      </c>
      <c r="S6346">
        <v>2.4342350000000001</v>
      </c>
      <c r="T6346">
        <v>-0.43146279999999998</v>
      </c>
      <c r="U6346">
        <v>2.025757</v>
      </c>
      <c r="V6346">
        <v>0.27465580000000001</v>
      </c>
      <c r="W6346">
        <v>5.4938130000000002E-2</v>
      </c>
      <c r="X6346">
        <v>0.95997180000000004</v>
      </c>
      <c r="Y6346">
        <v>0.53111430000000004</v>
      </c>
      <c r="Z6346">
        <v>-0.1405546</v>
      </c>
      <c r="AA6346">
        <v>0.83556090000000005</v>
      </c>
      <c r="AB6346">
        <v>31</v>
      </c>
      <c r="AC6346">
        <v>6.1417000000000099</v>
      </c>
      <c r="AD6346">
        <v>-1.1057715739409999</v>
      </c>
      <c r="AE6346">
        <v>4.8965999999999701</v>
      </c>
      <c r="AF6346">
        <v>4.2860364719780604</v>
      </c>
      <c r="AG6346">
        <v>-1.1057715739409999</v>
      </c>
      <c r="AH6346">
        <v>6.3994080171871701</v>
      </c>
      <c r="AI6346">
        <v>98.169974542880794</v>
      </c>
      <c r="AJ6346">
        <v>56.187598335695597</v>
      </c>
      <c r="AK6346">
        <v>7.7810836252607896</v>
      </c>
      <c r="AL6346">
        <v>86.850691238296605</v>
      </c>
      <c r="AM6346">
        <v>74.033740219724706</v>
      </c>
      <c r="AN6346">
        <v>0.99999993169838597</v>
      </c>
    </row>
    <row r="6347" spans="1:40" x14ac:dyDescent="0.25">
      <c r="A6347" t="str">
        <f>"20190312151442744"</f>
        <v>20190312151442744</v>
      </c>
      <c r="B6347" t="str">
        <f>"1552374882737073"</f>
        <v>1552374882737073</v>
      </c>
      <c r="C6347" t="s">
        <v>40</v>
      </c>
      <c r="D6347">
        <v>4.7888260000000002</v>
      </c>
      <c r="E6347">
        <v>0.61536789999999997</v>
      </c>
      <c r="F6347" t="s">
        <v>58</v>
      </c>
      <c r="G6347">
        <v>-174.887</v>
      </c>
      <c r="H6347" s="1">
        <v>-3.540407E-6</v>
      </c>
      <c r="I6347">
        <v>133.7022</v>
      </c>
      <c r="J6347">
        <v>-181.14869999999999</v>
      </c>
      <c r="K6347">
        <v>1.1055489999999999</v>
      </c>
      <c r="L6347">
        <v>128.83250000000001</v>
      </c>
      <c r="M6347">
        <v>0.30796050000000003</v>
      </c>
      <c r="N6347">
        <v>0</v>
      </c>
      <c r="O6347">
        <v>0.9513085</v>
      </c>
      <c r="P6347">
        <v>0.5618805</v>
      </c>
      <c r="Q6347">
        <v>4.6108719999999999E-2</v>
      </c>
      <c r="R6347">
        <v>0.82593240000000001</v>
      </c>
      <c r="S6347">
        <v>2.4616389999999999</v>
      </c>
      <c r="T6347">
        <v>-0.42822909999999997</v>
      </c>
      <c r="U6347">
        <v>1.9942930000000001</v>
      </c>
      <c r="V6347">
        <v>0.28082299999999999</v>
      </c>
      <c r="W6347">
        <v>5.5592780000000001E-2</v>
      </c>
      <c r="X6347">
        <v>0.95814820000000001</v>
      </c>
      <c r="Y6347">
        <v>0.53757549999999998</v>
      </c>
      <c r="Z6347">
        <v>-0.13961889999999999</v>
      </c>
      <c r="AA6347">
        <v>0.83157630000000005</v>
      </c>
      <c r="AB6347">
        <v>31</v>
      </c>
      <c r="AC6347">
        <v>6.2616999999999896</v>
      </c>
      <c r="AD6347">
        <v>-1.1055525404069999</v>
      </c>
      <c r="AE6347">
        <v>4.8696999999999901</v>
      </c>
      <c r="AF6347">
        <v>4.3725822843703899</v>
      </c>
      <c r="AG6347">
        <v>-1.1055525404069999</v>
      </c>
      <c r="AH6347">
        <v>6.4364835160013696</v>
      </c>
      <c r="AI6347">
        <v>98.086410977071395</v>
      </c>
      <c r="AJ6347">
        <v>55.810032734734499</v>
      </c>
      <c r="AK6347">
        <v>7.8593919806145003</v>
      </c>
      <c r="AL6347">
        <v>86.813125498357394</v>
      </c>
      <c r="AM6347">
        <v>73.664702804574503</v>
      </c>
      <c r="AN6347">
        <v>1.0000000438401799</v>
      </c>
    </row>
    <row r="6348" spans="1:40" x14ac:dyDescent="0.25">
      <c r="A6348" t="str">
        <f>"20190312151442768"</f>
        <v>20190312151442768</v>
      </c>
      <c r="B6348" t="str">
        <f>"1552374882756593"</f>
        <v>1552374882756593</v>
      </c>
      <c r="C6348" t="s">
        <v>40</v>
      </c>
      <c r="D6348">
        <v>4.9763500000000001</v>
      </c>
      <c r="E6348">
        <v>0.61413119999999999</v>
      </c>
      <c r="F6348" t="s">
        <v>58</v>
      </c>
      <c r="G6348">
        <v>-174.7217</v>
      </c>
      <c r="H6348" s="1">
        <v>-3.5558119999999998E-6</v>
      </c>
      <c r="I6348">
        <v>133.9359</v>
      </c>
      <c r="J6348">
        <v>-181.04329999999999</v>
      </c>
      <c r="K6348">
        <v>1.1053200000000001</v>
      </c>
      <c r="L6348">
        <v>129.1371</v>
      </c>
      <c r="M6348">
        <v>0.31391809999999998</v>
      </c>
      <c r="N6348">
        <v>0</v>
      </c>
      <c r="O6348">
        <v>0.94935899999999995</v>
      </c>
      <c r="P6348">
        <v>0.5714262</v>
      </c>
      <c r="Q6348">
        <v>4.6421450000000003E-2</v>
      </c>
      <c r="R6348">
        <v>0.8193395</v>
      </c>
      <c r="S6348">
        <v>2.4797669999999998</v>
      </c>
      <c r="T6348">
        <v>-0.42656359999999899</v>
      </c>
      <c r="U6348">
        <v>1.9690859999999999</v>
      </c>
      <c r="V6348">
        <v>0.28597460000000002</v>
      </c>
      <c r="W6348">
        <v>5.5684659999999997E-2</v>
      </c>
      <c r="X6348">
        <v>0.95661790000000002</v>
      </c>
      <c r="Y6348">
        <v>0.54049619999999998</v>
      </c>
      <c r="Z6348">
        <v>-0.1392108</v>
      </c>
      <c r="AA6348">
        <v>0.82974950000000003</v>
      </c>
      <c r="AB6348">
        <v>31</v>
      </c>
      <c r="AC6348">
        <v>6.3215999999999797</v>
      </c>
      <c r="AD6348">
        <v>-1.105323555812</v>
      </c>
      <c r="AE6348">
        <v>4.7988</v>
      </c>
      <c r="AF6348">
        <v>4.4098945195520196</v>
      </c>
      <c r="AG6348">
        <v>-1.105323555812</v>
      </c>
      <c r="AH6348">
        <v>6.4163659281151402</v>
      </c>
      <c r="AI6348">
        <v>98.080208050547199</v>
      </c>
      <c r="AJ6348">
        <v>55.499706499678403</v>
      </c>
      <c r="AK6348">
        <v>7.8637561991763603</v>
      </c>
      <c r="AL6348">
        <v>86.807852950544699</v>
      </c>
      <c r="AM6348">
        <v>73.356312429269707</v>
      </c>
      <c r="AN6348">
        <v>1.0000000299024401</v>
      </c>
    </row>
    <row r="6349" spans="1:40" x14ac:dyDescent="0.25">
      <c r="A6349" t="str">
        <f>"20190312151442789"</f>
        <v>20190312151442789</v>
      </c>
      <c r="B6349" t="str">
        <f>"1552374882786379"</f>
        <v>1552374882786379</v>
      </c>
      <c r="C6349" t="s">
        <v>40</v>
      </c>
      <c r="D6349">
        <v>4.9792370000000004</v>
      </c>
      <c r="E6349">
        <v>0.61440189999999995</v>
      </c>
      <c r="F6349" t="s">
        <v>58</v>
      </c>
      <c r="G6349">
        <v>-174.1808</v>
      </c>
      <c r="H6349" s="1">
        <v>-3.5266330000000001E-6</v>
      </c>
      <c r="I6349">
        <v>134.49119999999999</v>
      </c>
      <c r="J6349">
        <v>-180.9435</v>
      </c>
      <c r="K6349">
        <v>1.10511</v>
      </c>
      <c r="L6349">
        <v>129.41919999999999</v>
      </c>
      <c r="M6349">
        <v>0.3196678</v>
      </c>
      <c r="N6349">
        <v>0</v>
      </c>
      <c r="O6349">
        <v>0.94743820000000001</v>
      </c>
      <c r="P6349">
        <v>0.58021009999999995</v>
      </c>
      <c r="Q6349">
        <v>4.6743430000000002E-2</v>
      </c>
      <c r="R6349">
        <v>0.81312439999999997</v>
      </c>
      <c r="S6349">
        <v>2.4933619999999999</v>
      </c>
      <c r="T6349">
        <v>-0.40159460000000002</v>
      </c>
      <c r="U6349">
        <v>1.9452970000000001</v>
      </c>
      <c r="V6349">
        <v>0.29050740000000003</v>
      </c>
      <c r="W6349">
        <v>5.5807019999999999E-2</v>
      </c>
      <c r="X6349">
        <v>0.95524390000000003</v>
      </c>
      <c r="Y6349">
        <v>0.54338589999999998</v>
      </c>
      <c r="Z6349">
        <v>-0.13139400000000001</v>
      </c>
      <c r="AA6349">
        <v>0.8291366</v>
      </c>
      <c r="AB6349">
        <v>31</v>
      </c>
      <c r="AC6349">
        <v>6.7626999999999899</v>
      </c>
      <c r="AD6349">
        <v>-1.1051135266329899</v>
      </c>
      <c r="AE6349">
        <v>5.0720000000000001</v>
      </c>
      <c r="AF6349">
        <v>4.70587431658128</v>
      </c>
      <c r="AG6349">
        <v>-1.1051135266329899</v>
      </c>
      <c r="AH6349">
        <v>6.8507452210612696</v>
      </c>
      <c r="AI6349">
        <v>97.573903519101606</v>
      </c>
      <c r="AJ6349">
        <v>55.514273809098</v>
      </c>
      <c r="AK6349">
        <v>8.3844641494910306</v>
      </c>
      <c r="AL6349">
        <v>86.800831034842403</v>
      </c>
      <c r="AM6349">
        <v>73.084510041377698</v>
      </c>
      <c r="AN6349">
        <v>0.99999994071162301</v>
      </c>
    </row>
    <row r="6350" spans="1:40" x14ac:dyDescent="0.25">
      <c r="A6350" t="str">
        <f>"20190312151442811"</f>
        <v>20190312151442811</v>
      </c>
      <c r="B6350" t="str">
        <f>"1552374882806874"</f>
        <v>1552374882806874</v>
      </c>
      <c r="C6350" t="s">
        <v>40</v>
      </c>
      <c r="D6350">
        <v>4.8349789999999997</v>
      </c>
      <c r="E6350">
        <v>0.61391379999999995</v>
      </c>
      <c r="F6350" t="s">
        <v>58</v>
      </c>
      <c r="G6350">
        <v>-174.23079999999999</v>
      </c>
      <c r="H6350" s="1">
        <v>-3.565629E-6</v>
      </c>
      <c r="I6350">
        <v>134.53550000000001</v>
      </c>
      <c r="J6350">
        <v>-180.8372</v>
      </c>
      <c r="K6350">
        <v>1.1049119999999999</v>
      </c>
      <c r="L6350">
        <v>129.7133</v>
      </c>
      <c r="M6350">
        <v>0.32586150000000003</v>
      </c>
      <c r="N6350">
        <v>0</v>
      </c>
      <c r="O6350">
        <v>0.94532550000000004</v>
      </c>
      <c r="P6350">
        <v>0.58870009999999995</v>
      </c>
      <c r="Q6350">
        <v>4.6724870000000002E-2</v>
      </c>
      <c r="R6350">
        <v>0.80700000000000005</v>
      </c>
      <c r="S6350">
        <v>2.5162049999999998</v>
      </c>
      <c r="T6350">
        <v>-0.41423989999999999</v>
      </c>
      <c r="U6350">
        <v>1.917786</v>
      </c>
      <c r="V6350">
        <v>0.29429319999999998</v>
      </c>
      <c r="W6350">
        <v>5.5607530000000002E-2</v>
      </c>
      <c r="X6350">
        <v>0.9540961</v>
      </c>
      <c r="Y6350">
        <v>0.54682549999999996</v>
      </c>
      <c r="Z6350">
        <v>-0.13547979999999901</v>
      </c>
      <c r="AA6350">
        <v>0.82621250000000002</v>
      </c>
      <c r="AB6350">
        <v>31</v>
      </c>
      <c r="AC6350">
        <v>6.6063999999999998</v>
      </c>
      <c r="AD6350">
        <v>-1.104915565629</v>
      </c>
      <c r="AE6350">
        <v>4.8221999999999996</v>
      </c>
      <c r="AF6350">
        <v>4.5904633406105297</v>
      </c>
      <c r="AG6350">
        <v>-1.104915565629</v>
      </c>
      <c r="AH6350">
        <v>6.5916121937052798</v>
      </c>
      <c r="AI6350">
        <v>97.832165594928497</v>
      </c>
      <c r="AJ6350">
        <v>55.146268627330997</v>
      </c>
      <c r="AK6350">
        <v>8.1081775634764295</v>
      </c>
      <c r="AL6350">
        <v>86.812279020987106</v>
      </c>
      <c r="AM6350">
        <v>72.857497695340797</v>
      </c>
      <c r="AN6350">
        <v>1.0000000264970701</v>
      </c>
    </row>
    <row r="6351" spans="1:40" x14ac:dyDescent="0.25">
      <c r="A6351" t="str">
        <f>"20190312151442834"</f>
        <v>20190312151442834</v>
      </c>
      <c r="B6351" t="str">
        <f>"1552374882826395"</f>
        <v>1552374882826395</v>
      </c>
      <c r="C6351" t="s">
        <v>40</v>
      </c>
      <c r="D6351">
        <v>4.8482129999999897</v>
      </c>
      <c r="E6351">
        <v>0.61275649999999904</v>
      </c>
      <c r="F6351" t="s">
        <v>58</v>
      </c>
      <c r="G6351">
        <v>-174.2388</v>
      </c>
      <c r="H6351" s="1">
        <v>-3.6121710000000002E-6</v>
      </c>
      <c r="I6351">
        <v>134.64869999999999</v>
      </c>
      <c r="J6351">
        <v>-180.73159999999999</v>
      </c>
      <c r="K6351">
        <v>1.104733</v>
      </c>
      <c r="L6351">
        <v>129.99889999999999</v>
      </c>
      <c r="M6351">
        <v>0.3320747</v>
      </c>
      <c r="N6351">
        <v>0</v>
      </c>
      <c r="O6351">
        <v>0.94316069999999996</v>
      </c>
      <c r="P6351">
        <v>0.5971516</v>
      </c>
      <c r="Q6351">
        <v>4.72244E-2</v>
      </c>
      <c r="R6351">
        <v>0.80073709999999998</v>
      </c>
      <c r="S6351">
        <v>2.5327299999999999</v>
      </c>
      <c r="T6351">
        <v>-0.42411409999999999</v>
      </c>
      <c r="U6351">
        <v>1.8944399999999999</v>
      </c>
      <c r="V6351">
        <v>0.29808570000000001</v>
      </c>
      <c r="W6351">
        <v>5.593509E-2</v>
      </c>
      <c r="X6351">
        <v>0.95289889999999999</v>
      </c>
      <c r="Y6351">
        <v>0.54843599999999904</v>
      </c>
      <c r="Z6351">
        <v>-0.13870759999999999</v>
      </c>
      <c r="AA6351">
        <v>0.8246078</v>
      </c>
      <c r="AB6351">
        <v>31</v>
      </c>
      <c r="AC6351">
        <v>6.4927999999999804</v>
      </c>
      <c r="AD6351">
        <v>-1.1047366121710001</v>
      </c>
      <c r="AE6351">
        <v>4.6497999999999902</v>
      </c>
      <c r="AF6351">
        <v>4.4940730917144904</v>
      </c>
      <c r="AG6351">
        <v>-1.1047366121710001</v>
      </c>
      <c r="AH6351">
        <v>6.4193325635825396</v>
      </c>
      <c r="AI6351">
        <v>98.024692747875804</v>
      </c>
      <c r="AJ6351">
        <v>55.004743402593597</v>
      </c>
      <c r="AK6351">
        <v>7.9135937789233601</v>
      </c>
      <c r="AL6351">
        <v>86.793482087075205</v>
      </c>
      <c r="AM6351">
        <v>72.629280766320207</v>
      </c>
      <c r="AN6351">
        <v>1.0000000662295001</v>
      </c>
    </row>
    <row r="6352" spans="1:40" x14ac:dyDescent="0.25">
      <c r="A6352" t="str">
        <f>"20190312151442857"</f>
        <v>20190312151442857</v>
      </c>
      <c r="B6352" t="str">
        <f>"1552374882846891"</f>
        <v>1552374882846891</v>
      </c>
      <c r="C6352" t="s">
        <v>40</v>
      </c>
      <c r="D6352">
        <v>4.803922</v>
      </c>
      <c r="E6352">
        <v>0.61163429999999996</v>
      </c>
      <c r="F6352" t="s">
        <v>58</v>
      </c>
      <c r="G6352">
        <v>-174.1636</v>
      </c>
      <c r="H6352" s="1">
        <v>-3.6501209999999999E-6</v>
      </c>
      <c r="I6352">
        <v>134.83670000000001</v>
      </c>
      <c r="J6352">
        <v>-180.61930000000001</v>
      </c>
      <c r="K6352">
        <v>1.1045579999999999</v>
      </c>
      <c r="L6352">
        <v>130.2961</v>
      </c>
      <c r="M6352">
        <v>0.33875260000000001</v>
      </c>
      <c r="N6352">
        <v>0</v>
      </c>
      <c r="O6352">
        <v>0.94078249999999997</v>
      </c>
      <c r="P6352">
        <v>0.60621709999999995</v>
      </c>
      <c r="Q6352">
        <v>4.762955E-2</v>
      </c>
      <c r="R6352">
        <v>0.79387159999999901</v>
      </c>
      <c r="S6352">
        <v>2.54454</v>
      </c>
      <c r="T6352">
        <v>-0.42798960000000003</v>
      </c>
      <c r="U6352">
        <v>1.8742220000000001</v>
      </c>
      <c r="V6352">
        <v>0.30220239999999998</v>
      </c>
      <c r="W6352">
        <v>5.6158369999999999E-2</v>
      </c>
      <c r="X6352">
        <v>0.9515882</v>
      </c>
      <c r="Y6352">
        <v>0.54844809999999999</v>
      </c>
      <c r="Z6352">
        <v>-0.14002129999999999</v>
      </c>
      <c r="AA6352">
        <v>0.82437769999999999</v>
      </c>
      <c r="AB6352">
        <v>31</v>
      </c>
      <c r="AC6352">
        <v>6.4557000000000002</v>
      </c>
      <c r="AD6352">
        <v>-1.1045616501209901</v>
      </c>
      <c r="AE6352">
        <v>4.5406000000000102</v>
      </c>
      <c r="AF6352">
        <v>4.4485384350405104</v>
      </c>
      <c r="AG6352">
        <v>-1.1045616501209901</v>
      </c>
      <c r="AH6352">
        <v>6.3350898647263802</v>
      </c>
      <c r="AI6352">
        <v>98.120720112476207</v>
      </c>
      <c r="AJ6352">
        <v>54.9232372225418</v>
      </c>
      <c r="AK6352">
        <v>7.8193934701554504</v>
      </c>
      <c r="AL6352">
        <v>86.780668982942501</v>
      </c>
      <c r="AM6352">
        <v>72.381355902044007</v>
      </c>
      <c r="AN6352">
        <v>1.00000007773302</v>
      </c>
    </row>
    <row r="6353" spans="1:40" x14ac:dyDescent="0.25">
      <c r="A6353" t="str">
        <f>"20190312151442880"</f>
        <v>20190312151442880</v>
      </c>
      <c r="B6353" t="str">
        <f>"1552374882877148"</f>
        <v>1552374882877148</v>
      </c>
      <c r="C6353" t="s">
        <v>40</v>
      </c>
      <c r="D6353">
        <v>4.9078220000000004</v>
      </c>
      <c r="E6353">
        <v>0.61025200000000002</v>
      </c>
      <c r="F6353" t="s">
        <v>58</v>
      </c>
      <c r="G6353">
        <v>-173.9967</v>
      </c>
      <c r="H6353" s="1">
        <v>-3.6719380000000001E-6</v>
      </c>
      <c r="I6353">
        <v>135.08920000000001</v>
      </c>
      <c r="J6353">
        <v>-180.506</v>
      </c>
      <c r="K6353">
        <v>1.1043780000000001</v>
      </c>
      <c r="L6353">
        <v>130.589</v>
      </c>
      <c r="M6353">
        <v>0.34555069999999999</v>
      </c>
      <c r="N6353">
        <v>0</v>
      </c>
      <c r="O6353">
        <v>0.93830659999999999</v>
      </c>
      <c r="P6353">
        <v>0.61474600000000001</v>
      </c>
      <c r="Q6353">
        <v>4.7598410000000001E-2</v>
      </c>
      <c r="R6353">
        <v>0.78728759999999998</v>
      </c>
      <c r="S6353">
        <v>2.5579070000000002</v>
      </c>
      <c r="T6353">
        <v>-0.42662529999999999</v>
      </c>
      <c r="U6353">
        <v>1.8512729999999999</v>
      </c>
      <c r="V6353">
        <v>0.30560680000000001</v>
      </c>
      <c r="W6353">
        <v>5.5953660000000002E-2</v>
      </c>
      <c r="X6353">
        <v>0.95051229999999998</v>
      </c>
      <c r="Y6353">
        <v>0.5493576</v>
      </c>
      <c r="Z6353">
        <v>-0.1396744</v>
      </c>
      <c r="AA6353">
        <v>0.82383079999999997</v>
      </c>
      <c r="AB6353">
        <v>31</v>
      </c>
      <c r="AC6353">
        <v>6.5092999999999597</v>
      </c>
      <c r="AD6353">
        <v>-1.104381671938</v>
      </c>
      <c r="AE6353">
        <v>4.5002000000000004</v>
      </c>
      <c r="AF6353">
        <v>4.4660885129138199</v>
      </c>
      <c r="AG6353">
        <v>-1.104381671938</v>
      </c>
      <c r="AH6353">
        <v>6.3487777448816098</v>
      </c>
      <c r="AI6353">
        <v>98.097440549594396</v>
      </c>
      <c r="AJ6353">
        <v>54.875283620810201</v>
      </c>
      <c r="AK6353">
        <v>7.8404454169643598</v>
      </c>
      <c r="AL6353">
        <v>86.792416159875899</v>
      </c>
      <c r="AM6353">
        <v>72.1764678820429</v>
      </c>
      <c r="AN6353">
        <v>0.99999998036246196</v>
      </c>
    </row>
    <row r="6354" spans="1:40" x14ac:dyDescent="0.25">
      <c r="A6354" t="str">
        <f>"20190312151442902"</f>
        <v>20190312151442902</v>
      </c>
      <c r="B6354" t="str">
        <f>"1552374882896668"</f>
        <v>1552374882896668</v>
      </c>
      <c r="C6354" t="s">
        <v>40</v>
      </c>
      <c r="D6354">
        <v>4.8769559999999998</v>
      </c>
      <c r="E6354">
        <v>0.60947220000000002</v>
      </c>
      <c r="F6354" t="s">
        <v>58</v>
      </c>
      <c r="G6354">
        <v>-173.65780000000001</v>
      </c>
      <c r="H6354" s="1">
        <v>-3.6666690000000002E-6</v>
      </c>
      <c r="I6354">
        <v>135.47130000000001</v>
      </c>
      <c r="J6354">
        <v>-180.3897</v>
      </c>
      <c r="K6354">
        <v>1.1041939999999999</v>
      </c>
      <c r="L6354">
        <v>130.8827</v>
      </c>
      <c r="M6354">
        <v>0.3525857</v>
      </c>
      <c r="N6354">
        <v>0</v>
      </c>
      <c r="O6354">
        <v>0.9356854</v>
      </c>
      <c r="P6354">
        <v>0.62357340000000006</v>
      </c>
      <c r="Q6354">
        <v>4.8007920000000003E-2</v>
      </c>
      <c r="R6354">
        <v>0.78028940000000002</v>
      </c>
      <c r="S6354">
        <v>2.5677029999999998</v>
      </c>
      <c r="T6354">
        <v>-0.41408469999999997</v>
      </c>
      <c r="U6354">
        <v>1.830597</v>
      </c>
      <c r="V6354">
        <v>0.30921579999999999</v>
      </c>
      <c r="W6354">
        <v>5.6176469999999999E-2</v>
      </c>
      <c r="X6354">
        <v>0.94933120000000004</v>
      </c>
      <c r="Y6354">
        <v>0.54944579999999998</v>
      </c>
      <c r="Z6354">
        <v>-0.13574359999999999</v>
      </c>
      <c r="AA6354">
        <v>0.82442890000000002</v>
      </c>
      <c r="AB6354">
        <v>31</v>
      </c>
      <c r="AC6354">
        <v>6.7318999999999898</v>
      </c>
      <c r="AD6354">
        <v>-1.1041976666689901</v>
      </c>
      <c r="AE6354">
        <v>4.5886000000000102</v>
      </c>
      <c r="AF6354">
        <v>4.59703293829575</v>
      </c>
      <c r="AG6354">
        <v>-1.1041976666689901</v>
      </c>
      <c r="AH6354">
        <v>6.54737300243481</v>
      </c>
      <c r="AI6354">
        <v>97.858531339314695</v>
      </c>
      <c r="AJ6354">
        <v>54.926589831146899</v>
      </c>
      <c r="AK6354">
        <v>8.07589360726511</v>
      </c>
      <c r="AL6354">
        <v>86.779629932790897</v>
      </c>
      <c r="AM6354">
        <v>71.958553961507405</v>
      </c>
      <c r="AN6354">
        <v>0.99999996702236904</v>
      </c>
    </row>
    <row r="6355" spans="1:40" x14ac:dyDescent="0.25">
      <c r="A6355" t="str">
        <f>"20190312151442924"</f>
        <v>20190312151442924</v>
      </c>
      <c r="B6355" t="str">
        <f>"1552374882917164"</f>
        <v>1552374882917164</v>
      </c>
      <c r="C6355" t="s">
        <v>40</v>
      </c>
      <c r="D6355">
        <v>4.8383560000000001</v>
      </c>
      <c r="E6355">
        <v>0.60901519999999898</v>
      </c>
      <c r="F6355" t="s">
        <v>58</v>
      </c>
      <c r="G6355">
        <v>-173.50919999999999</v>
      </c>
      <c r="H6355" s="1">
        <v>-3.6857760000000001E-6</v>
      </c>
      <c r="I6355">
        <v>135.6953</v>
      </c>
      <c r="J6355">
        <v>-180.27330000000001</v>
      </c>
      <c r="K6355">
        <v>1.103998</v>
      </c>
      <c r="L6355">
        <v>131.16980000000001</v>
      </c>
      <c r="M6355">
        <v>0.35968329999999998</v>
      </c>
      <c r="N6355">
        <v>0</v>
      </c>
      <c r="O6355">
        <v>0.93297969999999997</v>
      </c>
      <c r="P6355">
        <v>0.63260539999999998</v>
      </c>
      <c r="Q6355">
        <v>4.886886E-2</v>
      </c>
      <c r="R6355">
        <v>0.77293089999999998</v>
      </c>
      <c r="S6355">
        <v>2.582535</v>
      </c>
      <c r="T6355">
        <v>-0.41445100000000001</v>
      </c>
      <c r="U6355">
        <v>1.806351</v>
      </c>
      <c r="V6355">
        <v>0.31310329999999997</v>
      </c>
      <c r="W6355">
        <v>5.6840590000000003E-2</v>
      </c>
      <c r="X6355">
        <v>0.94801659999999999</v>
      </c>
      <c r="Y6355">
        <v>0.55052069999999997</v>
      </c>
      <c r="Z6355">
        <v>-0.1359041</v>
      </c>
      <c r="AA6355">
        <v>0.82368509999999995</v>
      </c>
      <c r="AB6355">
        <v>31</v>
      </c>
      <c r="AC6355">
        <v>6.7641000000000098</v>
      </c>
      <c r="AD6355">
        <v>-1.104001685776</v>
      </c>
      <c r="AE6355">
        <v>4.5254999999999903</v>
      </c>
      <c r="AF6355">
        <v>4.5988082370933903</v>
      </c>
      <c r="AG6355">
        <v>-1.104001685776</v>
      </c>
      <c r="AH6355">
        <v>6.5354567252279203</v>
      </c>
      <c r="AI6355">
        <v>97.865628115762405</v>
      </c>
      <c r="AJ6355">
        <v>54.867078528857597</v>
      </c>
      <c r="AK6355">
        <v>8.0672208058959907</v>
      </c>
      <c r="AL6355">
        <v>86.741517871411403</v>
      </c>
      <c r="AM6355">
        <v>71.723059320186707</v>
      </c>
      <c r="AN6355">
        <v>1.00000000150899</v>
      </c>
    </row>
    <row r="6356" spans="1:40" x14ac:dyDescent="0.25">
      <c r="A6356" t="str">
        <f>"20190312151442946"</f>
        <v>20190312151442946</v>
      </c>
      <c r="B6356" t="str">
        <f>"1552374882936684"</f>
        <v>1552374882936684</v>
      </c>
      <c r="C6356" t="s">
        <v>40</v>
      </c>
      <c r="D6356">
        <v>4.8498039999999998</v>
      </c>
      <c r="E6356">
        <v>0.60838559999999997</v>
      </c>
      <c r="F6356" t="s">
        <v>58</v>
      </c>
      <c r="G6356">
        <v>-173.0676</v>
      </c>
      <c r="H6356" s="1">
        <v>-3.6437630000000002E-6</v>
      </c>
      <c r="I6356">
        <v>136.10059999999999</v>
      </c>
      <c r="J6356">
        <v>-180.16040000000001</v>
      </c>
      <c r="K6356">
        <v>1.1038140000000001</v>
      </c>
      <c r="L6356">
        <v>131.4419</v>
      </c>
      <c r="M6356">
        <v>0.36662600000000001</v>
      </c>
      <c r="N6356">
        <v>0</v>
      </c>
      <c r="O6356">
        <v>0.93027300000000002</v>
      </c>
      <c r="P6356">
        <v>0.64139799999999902</v>
      </c>
      <c r="Q6356">
        <v>4.9093320000000003E-2</v>
      </c>
      <c r="R6356">
        <v>0.76563599999999998</v>
      </c>
      <c r="S6356">
        <v>2.599564</v>
      </c>
      <c r="T6356">
        <v>-0.39828249999999998</v>
      </c>
      <c r="U6356">
        <v>1.7788539999999999</v>
      </c>
      <c r="V6356">
        <v>0.31690819999999997</v>
      </c>
      <c r="W6356">
        <v>5.6870110000000001E-2</v>
      </c>
      <c r="X6356">
        <v>0.94674970000000003</v>
      </c>
      <c r="Y6356">
        <v>0.55336209999999997</v>
      </c>
      <c r="Z6356">
        <v>-0.13075429999999999</v>
      </c>
      <c r="AA6356">
        <v>0.82261399999999996</v>
      </c>
      <c r="AB6356">
        <v>31</v>
      </c>
      <c r="AC6356">
        <v>7.0928000000000102</v>
      </c>
      <c r="AD6356">
        <v>-1.1038176437629901</v>
      </c>
      <c r="AE6356">
        <v>4.6586999999999801</v>
      </c>
      <c r="AF6356">
        <v>4.8093017090108798</v>
      </c>
      <c r="AG6356">
        <v>-1.1038176437629901</v>
      </c>
      <c r="AH6356">
        <v>6.8194990492910703</v>
      </c>
      <c r="AI6356">
        <v>97.535157924086704</v>
      </c>
      <c r="AJ6356">
        <v>54.807437862260898</v>
      </c>
      <c r="AK6356">
        <v>8.4174440064819809</v>
      </c>
      <c r="AL6356">
        <v>86.739823772822305</v>
      </c>
      <c r="AM6356">
        <v>71.492915121755999</v>
      </c>
      <c r="AN6356">
        <v>1.0000000055443701</v>
      </c>
    </row>
    <row r="6357" spans="1:40" x14ac:dyDescent="0.25">
      <c r="A6357" t="str">
        <f>"20190312151442968"</f>
        <v>20190312151442968</v>
      </c>
      <c r="B6357" t="str">
        <f>"1552374882957180"</f>
        <v>1552374882957180</v>
      </c>
      <c r="C6357" t="s">
        <v>40</v>
      </c>
      <c r="D6357">
        <v>4.757835</v>
      </c>
      <c r="E6357">
        <v>0.60792230000000003</v>
      </c>
      <c r="F6357" t="s">
        <v>58</v>
      </c>
      <c r="G6357">
        <v>-172.77209999999999</v>
      </c>
      <c r="H6357" s="1">
        <v>-3.622843E-6</v>
      </c>
      <c r="I6357">
        <v>136.39089999999999</v>
      </c>
      <c r="J6357">
        <v>-180.03880000000001</v>
      </c>
      <c r="K6357">
        <v>1.103626</v>
      </c>
      <c r="L6357">
        <v>131.7277</v>
      </c>
      <c r="M6357">
        <v>0.37415870000000001</v>
      </c>
      <c r="N6357">
        <v>0</v>
      </c>
      <c r="O6357">
        <v>0.9272686</v>
      </c>
      <c r="P6357">
        <v>0.6511422</v>
      </c>
      <c r="Q6357">
        <v>5.0497920000000002E-2</v>
      </c>
      <c r="R6357">
        <v>0.75727390000000006</v>
      </c>
      <c r="S6357">
        <v>2.615707</v>
      </c>
      <c r="T6357">
        <v>-0.3907852</v>
      </c>
      <c r="U6357">
        <v>1.7520899999999999</v>
      </c>
      <c r="V6357">
        <v>0.32142779999999999</v>
      </c>
      <c r="W6357">
        <v>5.805594E-2</v>
      </c>
      <c r="X6357">
        <v>0.94515269999999996</v>
      </c>
      <c r="Y6357">
        <v>0.55505530000000003</v>
      </c>
      <c r="Z6357">
        <v>-0.1283571</v>
      </c>
      <c r="AA6357">
        <v>0.82185039999999998</v>
      </c>
      <c r="AB6357">
        <v>31</v>
      </c>
      <c r="AC6357">
        <v>7.2667000000000099</v>
      </c>
      <c r="AD6357">
        <v>-1.103629622843</v>
      </c>
      <c r="AE6357">
        <v>4.6631999999999802</v>
      </c>
      <c r="AF6357">
        <v>4.9135732857535004</v>
      </c>
      <c r="AG6357">
        <v>-1.103629622843</v>
      </c>
      <c r="AH6357">
        <v>6.9303382518942698</v>
      </c>
      <c r="AI6357">
        <v>97.401740308313606</v>
      </c>
      <c r="AJ6357">
        <v>54.6635602121696</v>
      </c>
      <c r="AK6357">
        <v>8.5668424209014198</v>
      </c>
      <c r="AL6357">
        <v>86.671768159144705</v>
      </c>
      <c r="AM6357">
        <v>71.217843521652398</v>
      </c>
      <c r="AN6357">
        <v>0.99999997454970602</v>
      </c>
    </row>
    <row r="6358" spans="1:40" x14ac:dyDescent="0.25">
      <c r="A6358" t="str">
        <f>"20190312151442991"</f>
        <v>20190312151442991</v>
      </c>
      <c r="B6358" t="str">
        <f>"1552374882986460"</f>
        <v>1552374882986460</v>
      </c>
      <c r="C6358" t="s">
        <v>40</v>
      </c>
      <c r="D6358">
        <v>5.1028060000000002</v>
      </c>
      <c r="E6358">
        <v>0.60881739999999995</v>
      </c>
      <c r="F6358" t="s">
        <v>58</v>
      </c>
      <c r="G6358">
        <v>-172.53899999999999</v>
      </c>
      <c r="H6358" s="1">
        <v>-3.6088449999999998E-6</v>
      </c>
      <c r="I6358">
        <v>136.62639999999999</v>
      </c>
      <c r="J6358">
        <v>-179.91399999999999</v>
      </c>
      <c r="K6358">
        <v>1.10345</v>
      </c>
      <c r="L6358">
        <v>132.01410000000001</v>
      </c>
      <c r="M6358">
        <v>0.3819051</v>
      </c>
      <c r="N6358">
        <v>0</v>
      </c>
      <c r="O6358">
        <v>0.92410479999999995</v>
      </c>
      <c r="P6358">
        <v>0.6616358</v>
      </c>
      <c r="Q6358">
        <v>5.1153560000000001E-2</v>
      </c>
      <c r="R6358">
        <v>0.74807849999999998</v>
      </c>
      <c r="S6358">
        <v>2.6353909999999998</v>
      </c>
      <c r="T6358">
        <v>-0.38780710000000002</v>
      </c>
      <c r="U6358">
        <v>1.7213750000000001</v>
      </c>
      <c r="V6358">
        <v>0.3267465</v>
      </c>
      <c r="W6358">
        <v>5.8484849999999998E-2</v>
      </c>
      <c r="X6358">
        <v>0.94330069999999999</v>
      </c>
      <c r="Y6358">
        <v>0.55774799999999902</v>
      </c>
      <c r="Z6358">
        <v>-0.12740090000000001</v>
      </c>
      <c r="AA6358">
        <v>0.82017450000000003</v>
      </c>
      <c r="AB6358">
        <v>31</v>
      </c>
      <c r="AC6358">
        <v>7.375</v>
      </c>
      <c r="AD6358">
        <v>-1.103453608845</v>
      </c>
      <c r="AE6358">
        <v>4.6122999999999701</v>
      </c>
      <c r="AF6358">
        <v>4.9742171138706697</v>
      </c>
      <c r="AG6358">
        <v>-1.103453608845</v>
      </c>
      <c r="AH6358">
        <v>6.9673113081192799</v>
      </c>
      <c r="AI6358">
        <v>97.344756128816996</v>
      </c>
      <c r="AJ6358">
        <v>54.475577279491802</v>
      </c>
      <c r="AK6358">
        <v>8.6315625831620899</v>
      </c>
      <c r="AL6358">
        <v>86.647151622257795</v>
      </c>
      <c r="AM6358">
        <v>70.894612046242102</v>
      </c>
      <c r="AN6358">
        <v>0.99999998178113103</v>
      </c>
    </row>
    <row r="6359" spans="1:40" x14ac:dyDescent="0.25">
      <c r="A6359" t="str">
        <f>"20190312151443013"</f>
        <v>20190312151443013</v>
      </c>
      <c r="B6359" t="str">
        <f>"1552374883006955"</f>
        <v>1552374883006955</v>
      </c>
      <c r="C6359" t="s">
        <v>40</v>
      </c>
      <c r="D6359">
        <v>4.9199729999999997</v>
      </c>
      <c r="E6359">
        <v>0.60979740000000004</v>
      </c>
      <c r="F6359" t="s">
        <v>58</v>
      </c>
      <c r="G6359">
        <v>-172.3646</v>
      </c>
      <c r="H6359" s="1">
        <v>-3.5879750000000002E-6</v>
      </c>
      <c r="I6359">
        <v>136.77520000000001</v>
      </c>
      <c r="J6359">
        <v>-179.78739999999999</v>
      </c>
      <c r="K6359">
        <v>1.103283</v>
      </c>
      <c r="L6359">
        <v>132.29750000000001</v>
      </c>
      <c r="M6359">
        <v>0.3897679</v>
      </c>
      <c r="N6359">
        <v>0</v>
      </c>
      <c r="O6359">
        <v>0.92081559999999996</v>
      </c>
      <c r="P6359">
        <v>0.67168139999999998</v>
      </c>
      <c r="Q6359">
        <v>5.0241670000000002E-2</v>
      </c>
      <c r="R6359">
        <v>0.73913459999999997</v>
      </c>
      <c r="S6359">
        <v>2.664444</v>
      </c>
      <c r="T6359">
        <v>-0.38944649999999997</v>
      </c>
      <c r="U6359">
        <v>1.6803589999999999</v>
      </c>
      <c r="V6359">
        <v>0.33143309999999998</v>
      </c>
      <c r="W6359">
        <v>5.736521E-2</v>
      </c>
      <c r="X6359">
        <v>0.94173320000000005</v>
      </c>
      <c r="Y6359">
        <v>0.56370450000000005</v>
      </c>
      <c r="Z6359">
        <v>-0.12792680000000001</v>
      </c>
      <c r="AA6359">
        <v>0.81600980000000001</v>
      </c>
      <c r="AB6359">
        <v>31</v>
      </c>
      <c r="AC6359">
        <v>7.4227999999999899</v>
      </c>
      <c r="AD6359">
        <v>-1.103286587975</v>
      </c>
      <c r="AE6359">
        <v>4.4776999999999898</v>
      </c>
      <c r="AF6359">
        <v>5.0090864267924999</v>
      </c>
      <c r="AG6359">
        <v>-1.103286587975</v>
      </c>
      <c r="AH6359">
        <v>6.9050869735529901</v>
      </c>
      <c r="AI6359">
        <v>97.369316012786598</v>
      </c>
      <c r="AJ6359">
        <v>54.042127518610698</v>
      </c>
      <c r="AK6359">
        <v>8.6016518319805098</v>
      </c>
      <c r="AL6359">
        <v>86.711410370938907</v>
      </c>
      <c r="AM6359">
        <v>70.611016416894401</v>
      </c>
      <c r="AN6359">
        <v>1.00000004353809</v>
      </c>
    </row>
    <row r="6360" spans="1:40" x14ac:dyDescent="0.25">
      <c r="A6360" t="str">
        <f>"20190312151443035"</f>
        <v>20190312151443035</v>
      </c>
      <c r="B6360" t="str">
        <f>"1552374883026476"</f>
        <v>1552374883026476</v>
      </c>
      <c r="C6360" t="s">
        <v>40</v>
      </c>
      <c r="D6360">
        <v>4.9403269999999999</v>
      </c>
      <c r="E6360">
        <v>0.61060619999999999</v>
      </c>
      <c r="F6360" t="s">
        <v>58</v>
      </c>
      <c r="G6360">
        <v>-172.31229999999999</v>
      </c>
      <c r="H6360" s="1">
        <v>-3.5922929999999999E-6</v>
      </c>
      <c r="I6360">
        <v>136.8476</v>
      </c>
      <c r="J6360">
        <v>-179.66409999999999</v>
      </c>
      <c r="K6360">
        <v>1.103135</v>
      </c>
      <c r="L6360">
        <v>132.56700000000001</v>
      </c>
      <c r="M6360">
        <v>0.3974377</v>
      </c>
      <c r="N6360">
        <v>0</v>
      </c>
      <c r="O6360">
        <v>0.91753099999999999</v>
      </c>
      <c r="P6360">
        <v>0.68039329999999998</v>
      </c>
      <c r="Q6360">
        <v>5.0629529999999999E-2</v>
      </c>
      <c r="R6360">
        <v>0.73109609999999903</v>
      </c>
      <c r="S6360">
        <v>2.6925509999999999</v>
      </c>
      <c r="T6360">
        <v>-0.39740779999999998</v>
      </c>
      <c r="U6360">
        <v>1.6389769999999999</v>
      </c>
      <c r="V6360">
        <v>0.33477449999999997</v>
      </c>
      <c r="W6360">
        <v>5.7577049999999998E-2</v>
      </c>
      <c r="X6360">
        <v>0.94053759999999997</v>
      </c>
      <c r="Y6360">
        <v>0.56946640000000004</v>
      </c>
      <c r="Z6360">
        <v>-0.1305065</v>
      </c>
      <c r="AA6360">
        <v>0.81158859999999999</v>
      </c>
      <c r="AB6360">
        <v>31</v>
      </c>
      <c r="AC6360">
        <v>7.3517999999999901</v>
      </c>
      <c r="AD6360">
        <v>-1.1031385922929999</v>
      </c>
      <c r="AE6360">
        <v>4.28059999999999</v>
      </c>
      <c r="AF6360">
        <v>4.9612652796776304</v>
      </c>
      <c r="AG6360">
        <v>-1.1031385922929999</v>
      </c>
      <c r="AH6360">
        <v>6.73680598236822</v>
      </c>
      <c r="AI6360">
        <v>97.511207303245399</v>
      </c>
      <c r="AJ6360">
        <v>53.630517407957001</v>
      </c>
      <c r="AK6360">
        <v>8.4389349312109996</v>
      </c>
      <c r="AL6360">
        <v>86.699252693521601</v>
      </c>
      <c r="AM6360">
        <v>70.407346138069897</v>
      </c>
      <c r="AN6360">
        <v>1.00000002977535</v>
      </c>
    </row>
    <row r="6361" spans="1:40" x14ac:dyDescent="0.25">
      <c r="A6361" t="str">
        <f>"20190312151443057"</f>
        <v>20190312151443057</v>
      </c>
      <c r="B6361" t="str">
        <f>"1552374883046971"</f>
        <v>1552374883046971</v>
      </c>
      <c r="C6361" t="s">
        <v>40</v>
      </c>
      <c r="D6361">
        <v>4.9615470000000004</v>
      </c>
      <c r="E6361">
        <v>0.61121000000000003</v>
      </c>
      <c r="F6361" t="s">
        <v>58</v>
      </c>
      <c r="G6361">
        <v>-172.14240000000001</v>
      </c>
      <c r="H6361" s="1">
        <v>-3.575571E-6</v>
      </c>
      <c r="I6361">
        <v>137.00219999999999</v>
      </c>
      <c r="J6361">
        <v>-179.5307</v>
      </c>
      <c r="K6361">
        <v>1.1029679999999999</v>
      </c>
      <c r="L6361">
        <v>132.8519</v>
      </c>
      <c r="M6361">
        <v>0.40574729999999998</v>
      </c>
      <c r="N6361">
        <v>0</v>
      </c>
      <c r="O6361">
        <v>0.91388630000000004</v>
      </c>
      <c r="P6361">
        <v>0.68940649999999903</v>
      </c>
      <c r="Q6361">
        <v>5.1697989999999999E-2</v>
      </c>
      <c r="R6361">
        <v>0.72252740000000004</v>
      </c>
      <c r="S6361">
        <v>2.7172999999999998</v>
      </c>
      <c r="T6361">
        <v>-0.39851839999999999</v>
      </c>
      <c r="U6361">
        <v>1.6022190000000001</v>
      </c>
      <c r="V6361">
        <v>0.337976</v>
      </c>
      <c r="W6361">
        <v>5.845819E-2</v>
      </c>
      <c r="X6361">
        <v>0.93933750000000005</v>
      </c>
      <c r="Y6361">
        <v>0.57338769999999994</v>
      </c>
      <c r="Z6361">
        <v>-0.1307807</v>
      </c>
      <c r="AA6361">
        <v>0.80877869999999996</v>
      </c>
      <c r="AB6361">
        <v>31</v>
      </c>
      <c r="AC6361">
        <v>7.3882999999999797</v>
      </c>
      <c r="AD6361">
        <v>-1.1029715755709999</v>
      </c>
      <c r="AE6361">
        <v>4.1502999999999801</v>
      </c>
      <c r="AF6361">
        <v>4.9841172269680296</v>
      </c>
      <c r="AG6361">
        <v>-1.1029715755709999</v>
      </c>
      <c r="AH6361">
        <v>6.6781666500429804</v>
      </c>
      <c r="AI6361">
        <v>97.539924778201893</v>
      </c>
      <c r="AJ6361">
        <v>53.2649097981419</v>
      </c>
      <c r="AK6361">
        <v>8.4057052431324006</v>
      </c>
      <c r="AL6361">
        <v>86.648681933408</v>
      </c>
      <c r="AM6361">
        <v>70.211140872844297</v>
      </c>
      <c r="AN6361">
        <v>1.0000000377301601</v>
      </c>
    </row>
    <row r="6362" spans="1:40" x14ac:dyDescent="0.25">
      <c r="A6362" t="str">
        <f>"20190312151443080"</f>
        <v>20190312151443080</v>
      </c>
      <c r="B6362" t="str">
        <f>"1552374883076251"</f>
        <v>1552374883076251</v>
      </c>
      <c r="C6362" t="s">
        <v>40</v>
      </c>
      <c r="D6362">
        <v>4.894698</v>
      </c>
      <c r="E6362">
        <v>0.61173529999999998</v>
      </c>
      <c r="F6362" t="s">
        <v>58</v>
      </c>
      <c r="G6362">
        <v>-171.91569999999999</v>
      </c>
      <c r="H6362" s="1">
        <v>-3.5496899999999998E-6</v>
      </c>
      <c r="I6362">
        <v>137.19880000000001</v>
      </c>
      <c r="J6362">
        <v>-179.3981</v>
      </c>
      <c r="K6362">
        <v>1.1027960000000001</v>
      </c>
      <c r="L6362">
        <v>133.12809999999999</v>
      </c>
      <c r="M6362">
        <v>0.41401209999999999</v>
      </c>
      <c r="N6362">
        <v>0</v>
      </c>
      <c r="O6362">
        <v>0.91017170000000003</v>
      </c>
      <c r="P6362">
        <v>0.69792809999999905</v>
      </c>
      <c r="Q6362">
        <v>5.3264560000000002E-2</v>
      </c>
      <c r="R6362">
        <v>0.71418429999999999</v>
      </c>
      <c r="S6362">
        <v>2.741333</v>
      </c>
      <c r="T6362">
        <v>-0.39705819999999997</v>
      </c>
      <c r="U6362">
        <v>1.564865</v>
      </c>
      <c r="V6362">
        <v>0.34070660000000003</v>
      </c>
      <c r="W6362">
        <v>5.9839070000000001E-2</v>
      </c>
      <c r="X6362">
        <v>0.93826350000000003</v>
      </c>
      <c r="Y6362">
        <v>0.57742599999999999</v>
      </c>
      <c r="Z6362">
        <v>-0.13023390000000001</v>
      </c>
      <c r="AA6362">
        <v>0.80598910000000001</v>
      </c>
      <c r="AB6362">
        <v>31</v>
      </c>
      <c r="AC6362">
        <v>7.4824000000000099</v>
      </c>
      <c r="AD6362">
        <v>-1.1027995496899901</v>
      </c>
      <c r="AE6362">
        <v>4.0707000000000102</v>
      </c>
      <c r="AF6362">
        <v>5.0409210247843097</v>
      </c>
      <c r="AG6362">
        <v>-1.1027995496899901</v>
      </c>
      <c r="AH6362">
        <v>6.6913007461883698</v>
      </c>
      <c r="AI6362">
        <v>97.499098802817798</v>
      </c>
      <c r="AJ6362">
        <v>53.007295870716902</v>
      </c>
      <c r="AK6362">
        <v>8.4498850466056705</v>
      </c>
      <c r="AL6362">
        <v>86.569424606215804</v>
      </c>
      <c r="AM6362">
        <v>70.042792916155904</v>
      </c>
      <c r="AN6362">
        <v>1.0000000485071301</v>
      </c>
    </row>
    <row r="6363" spans="1:40" x14ac:dyDescent="0.25">
      <c r="A6363" t="str">
        <f>"20190312151443102"</f>
        <v>20190312151443102</v>
      </c>
      <c r="B6363" t="str">
        <f>"1552374883096747"</f>
        <v>1552374883096747</v>
      </c>
      <c r="C6363" t="s">
        <v>40</v>
      </c>
      <c r="D6363">
        <v>4.9531150000000004</v>
      </c>
      <c r="E6363">
        <v>0.61206769999999999</v>
      </c>
      <c r="F6363" t="s">
        <v>58</v>
      </c>
      <c r="G6363">
        <v>-171.72040000000001</v>
      </c>
      <c r="H6363" s="1">
        <v>-3.5314740000000001E-6</v>
      </c>
      <c r="I6363">
        <v>137.37899999999999</v>
      </c>
      <c r="J6363">
        <v>-179.2604</v>
      </c>
      <c r="K6363">
        <v>1.1026020000000001</v>
      </c>
      <c r="L6363">
        <v>133.40809999999999</v>
      </c>
      <c r="M6363">
        <v>0.42259439999999998</v>
      </c>
      <c r="N6363">
        <v>0</v>
      </c>
      <c r="O6363">
        <v>0.90621850000000004</v>
      </c>
      <c r="P6363">
        <v>0.70524370000000003</v>
      </c>
      <c r="Q6363">
        <v>5.4236270000000003E-2</v>
      </c>
      <c r="R6363">
        <v>0.70688739999999906</v>
      </c>
      <c r="S6363">
        <v>2.7631679999999998</v>
      </c>
      <c r="T6363">
        <v>-0.39689200000000002</v>
      </c>
      <c r="U6363">
        <v>1.529892</v>
      </c>
      <c r="V6363">
        <v>0.34157599999999999</v>
      </c>
      <c r="W6363">
        <v>6.0655359999999998E-2</v>
      </c>
      <c r="X6363">
        <v>0.93789489999999998</v>
      </c>
      <c r="Y6363">
        <v>0.58027289999999998</v>
      </c>
      <c r="Z6363">
        <v>-0.13005910000000001</v>
      </c>
      <c r="AA6363">
        <v>0.80397019999999997</v>
      </c>
      <c r="AB6363">
        <v>31</v>
      </c>
      <c r="AC6363">
        <v>7.5399999999999903</v>
      </c>
      <c r="AD6363">
        <v>-1.102605531474</v>
      </c>
      <c r="AE6363">
        <v>3.9708999999999999</v>
      </c>
      <c r="AF6363">
        <v>5.0703921726665104</v>
      </c>
      <c r="AG6363">
        <v>-1.102605531474</v>
      </c>
      <c r="AH6363">
        <v>6.6737557547746302</v>
      </c>
      <c r="AI6363">
        <v>97.494443351320101</v>
      </c>
      <c r="AJ6363">
        <v>52.774212736667401</v>
      </c>
      <c r="AK6363">
        <v>8.4536164815457706</v>
      </c>
      <c r="AL6363">
        <v>86.522569492672005</v>
      </c>
      <c r="AM6363">
        <v>69.988663295505106</v>
      </c>
      <c r="AN6363">
        <v>1.00000003995936</v>
      </c>
    </row>
    <row r="6364" spans="1:40" x14ac:dyDescent="0.25">
      <c r="A6364" t="str">
        <f>"20190312151443125"</f>
        <v>20190312151443125</v>
      </c>
      <c r="B6364" t="str">
        <f>"1552374883116267"</f>
        <v>1552374883116267</v>
      </c>
      <c r="C6364" t="s">
        <v>40</v>
      </c>
      <c r="D6364">
        <v>4.918939</v>
      </c>
      <c r="E6364">
        <v>0.61227769999999904</v>
      </c>
      <c r="F6364" t="s">
        <v>58</v>
      </c>
      <c r="G6364">
        <v>-171.54140000000001</v>
      </c>
      <c r="H6364" s="1">
        <v>-3.5250059999999999E-6</v>
      </c>
      <c r="I6364">
        <v>137.5712</v>
      </c>
      <c r="J6364">
        <v>-179.12029999999999</v>
      </c>
      <c r="K6364">
        <v>1.102417</v>
      </c>
      <c r="L6364">
        <v>133.6857</v>
      </c>
      <c r="M6364">
        <v>0.43130819999999997</v>
      </c>
      <c r="N6364">
        <v>0</v>
      </c>
      <c r="O6364">
        <v>0.90210360000000001</v>
      </c>
      <c r="P6364">
        <v>0.71336069999999996</v>
      </c>
      <c r="Q6364">
        <v>5.490072E-2</v>
      </c>
      <c r="R6364">
        <v>0.69864320000000002</v>
      </c>
      <c r="S6364">
        <v>2.7810060000000001</v>
      </c>
      <c r="T6364">
        <v>-0.39725050000000001</v>
      </c>
      <c r="U6364">
        <v>1.4998929999999999</v>
      </c>
      <c r="V6364">
        <v>0.34343170000000001</v>
      </c>
      <c r="W6364">
        <v>6.113702E-2</v>
      </c>
      <c r="X6364">
        <v>0.93718559999999995</v>
      </c>
      <c r="Y6364">
        <v>0.58133610000000002</v>
      </c>
      <c r="Z6364">
        <v>-0.13000349999999999</v>
      </c>
      <c r="AA6364">
        <v>0.80321069999999894</v>
      </c>
      <c r="AB6364">
        <v>31</v>
      </c>
      <c r="AC6364">
        <v>7.5788999999999698</v>
      </c>
      <c r="AD6364">
        <v>-1.102420525006</v>
      </c>
      <c r="AE6364">
        <v>3.8855</v>
      </c>
      <c r="AF6364">
        <v>5.0765201050321496</v>
      </c>
      <c r="AG6364">
        <v>-1.102420525006</v>
      </c>
      <c r="AH6364">
        <v>6.6629473830911996</v>
      </c>
      <c r="AI6364">
        <v>97.497525916861903</v>
      </c>
      <c r="AJ6364">
        <v>52.696112846449502</v>
      </c>
      <c r="AK6364">
        <v>8.4487428189401097</v>
      </c>
      <c r="AL6364">
        <v>86.494920809288899</v>
      </c>
      <c r="AM6364">
        <v>69.8746382268247</v>
      </c>
      <c r="AN6364">
        <v>0.99999995831336397</v>
      </c>
    </row>
    <row r="6365" spans="1:40" x14ac:dyDescent="0.25">
      <c r="A6365" t="str">
        <f>"20190312151443146"</f>
        <v>20190312151443146</v>
      </c>
      <c r="B6365" t="str">
        <f>"1552374883136763"</f>
        <v>1552374883136763</v>
      </c>
      <c r="C6365" t="s">
        <v>40</v>
      </c>
      <c r="D6365">
        <v>4.9460870000000003</v>
      </c>
      <c r="E6365">
        <v>0.61262850000000002</v>
      </c>
      <c r="F6365" t="s">
        <v>58</v>
      </c>
      <c r="G6365">
        <v>-171.3365</v>
      </c>
      <c r="H6365" s="1">
        <v>-3.5068609999999998E-6</v>
      </c>
      <c r="I6365">
        <v>137.7628</v>
      </c>
      <c r="J6365">
        <v>-178.9828</v>
      </c>
      <c r="K6365">
        <v>1.1022459999999901</v>
      </c>
      <c r="L6365">
        <v>133.9512</v>
      </c>
      <c r="M6365">
        <v>0.43985000000000002</v>
      </c>
      <c r="N6365">
        <v>0</v>
      </c>
      <c r="O6365">
        <v>0.89796960000000003</v>
      </c>
      <c r="P6365">
        <v>0.72130130000000003</v>
      </c>
      <c r="Q6365">
        <v>5.527344E-2</v>
      </c>
      <c r="R6365">
        <v>0.69041239999999904</v>
      </c>
      <c r="S6365">
        <v>2.799728</v>
      </c>
      <c r="T6365">
        <v>-0.39652399999999999</v>
      </c>
      <c r="U6365">
        <v>1.466507</v>
      </c>
      <c r="V6365">
        <v>0.345298299999999</v>
      </c>
      <c r="W6365">
        <v>6.1333110000000003E-2</v>
      </c>
      <c r="X6365">
        <v>0.93648670000000001</v>
      </c>
      <c r="Y6365">
        <v>0.58341319999999997</v>
      </c>
      <c r="Z6365">
        <v>-0.12964429999999999</v>
      </c>
      <c r="AA6365">
        <v>0.80176139999999996</v>
      </c>
      <c r="AB6365">
        <v>31</v>
      </c>
      <c r="AC6365">
        <v>7.6462999999999903</v>
      </c>
      <c r="AD6365">
        <v>-1.1022495068610001</v>
      </c>
      <c r="AE6365">
        <v>3.8115999999999901</v>
      </c>
      <c r="AF6365">
        <v>5.1051142864685604</v>
      </c>
      <c r="AG6365">
        <v>-1.1022495068610001</v>
      </c>
      <c r="AH6365">
        <v>6.6754360551151599</v>
      </c>
      <c r="AI6365">
        <v>97.472319834192305</v>
      </c>
      <c r="AJ6365">
        <v>52.592644565616801</v>
      </c>
      <c r="AK6365">
        <v>8.4757650025948799</v>
      </c>
      <c r="AL6365">
        <v>86.483664712301703</v>
      </c>
      <c r="AM6365">
        <v>69.7602263368764</v>
      </c>
      <c r="AN6365">
        <v>1.0000000028210201</v>
      </c>
    </row>
    <row r="6366" spans="1:40" x14ac:dyDescent="0.25">
      <c r="A6366" t="str">
        <f>"20190312151443161"</f>
        <v>20190312151443161</v>
      </c>
      <c r="B6366" t="str">
        <f>"1552374883157260"</f>
        <v>1552374883157260</v>
      </c>
      <c r="C6366" t="s">
        <v>40</v>
      </c>
      <c r="D6366">
        <v>4.8530249999999997</v>
      </c>
      <c r="E6366">
        <v>0.61293540000000002</v>
      </c>
      <c r="F6366" t="s">
        <v>58</v>
      </c>
      <c r="G6366">
        <v>-171.17230000000001</v>
      </c>
      <c r="H6366" s="1">
        <v>-3.4939180000000002E-6</v>
      </c>
      <c r="I6366">
        <v>137.9205</v>
      </c>
      <c r="J6366">
        <v>-178.8904</v>
      </c>
      <c r="K6366">
        <v>1.1021339999999999</v>
      </c>
      <c r="L6366">
        <v>134.12569999999999</v>
      </c>
      <c r="M6366">
        <v>0.44557590000000002</v>
      </c>
      <c r="N6366">
        <v>0</v>
      </c>
      <c r="O6366">
        <v>0.89514199999999999</v>
      </c>
      <c r="P6366">
        <v>0.72618309999999997</v>
      </c>
      <c r="Q6366">
        <v>5.539148E-2</v>
      </c>
      <c r="R6366">
        <v>0.68526640000000005</v>
      </c>
      <c r="S6366">
        <v>2.8185419999999999</v>
      </c>
      <c r="T6366">
        <v>-0.39776800000000001</v>
      </c>
      <c r="U6366">
        <v>1.4324190000000001</v>
      </c>
      <c r="V6366">
        <v>0.34598689999999999</v>
      </c>
      <c r="W6366">
        <v>6.1351669999999997E-2</v>
      </c>
      <c r="X6366">
        <v>0.93623129999999999</v>
      </c>
      <c r="Y6366">
        <v>0.58805929999999995</v>
      </c>
      <c r="Z6366">
        <v>-0.13006199999999901</v>
      </c>
      <c r="AA6366">
        <v>0.798292</v>
      </c>
      <c r="AB6366">
        <v>30</v>
      </c>
      <c r="AC6366">
        <v>7.71809999999999</v>
      </c>
      <c r="AD6366">
        <v>-1.102137493918</v>
      </c>
      <c r="AE6366">
        <v>3.7948</v>
      </c>
      <c r="AF6366">
        <v>5.1340907739842203</v>
      </c>
      <c r="AG6366">
        <v>-1.102137493918</v>
      </c>
      <c r="AH6366">
        <v>6.7260561442429703</v>
      </c>
      <c r="AI6366">
        <v>97.421089118640595</v>
      </c>
      <c r="AJ6366">
        <v>52.645010144259899</v>
      </c>
      <c r="AK6366">
        <v>8.5330783651926296</v>
      </c>
      <c r="AL6366">
        <v>86.482599302990295</v>
      </c>
      <c r="AM6366">
        <v>69.718066795537197</v>
      </c>
      <c r="AN6366">
        <v>1.00000000474154</v>
      </c>
    </row>
    <row r="6367" spans="1:40" x14ac:dyDescent="0.25">
      <c r="A6367" t="str">
        <f>"20190312151443180"</f>
        <v>20190312151443180</v>
      </c>
      <c r="B6367" t="str">
        <f>"1552374883177462"</f>
        <v>1552374883177462</v>
      </c>
      <c r="C6367" t="s">
        <v>40</v>
      </c>
      <c r="D6367">
        <v>4.762562</v>
      </c>
      <c r="E6367">
        <v>0.61315959999999903</v>
      </c>
      <c r="F6367" t="s">
        <v>58</v>
      </c>
      <c r="G6367">
        <v>-171.10929999999999</v>
      </c>
      <c r="H6367" s="1">
        <v>-3.4977439999999999E-6</v>
      </c>
      <c r="I6367">
        <v>138.0043</v>
      </c>
      <c r="J6367">
        <v>-178.76240000000001</v>
      </c>
      <c r="K6367">
        <v>1.1019950000000001</v>
      </c>
      <c r="L6367">
        <v>134.3631</v>
      </c>
      <c r="M6367">
        <v>0.45346239999999999</v>
      </c>
      <c r="N6367">
        <v>0</v>
      </c>
      <c r="O6367">
        <v>0.89117259999999998</v>
      </c>
      <c r="P6367">
        <v>0.73340760000000005</v>
      </c>
      <c r="Q6367">
        <v>5.5808179999999999E-2</v>
      </c>
      <c r="R6367">
        <v>0.6774945</v>
      </c>
      <c r="S6367">
        <v>2.8304140000000002</v>
      </c>
      <c r="T6367">
        <v>-0.4009122</v>
      </c>
      <c r="U6367">
        <v>1.410873</v>
      </c>
      <c r="V6367">
        <v>0.34769109999999998</v>
      </c>
      <c r="W6367">
        <v>6.1622959999999997E-2</v>
      </c>
      <c r="X6367">
        <v>0.93558189999999997</v>
      </c>
      <c r="Y6367">
        <v>0.58705030000000002</v>
      </c>
      <c r="Z6367">
        <v>-0.13082930000000001</v>
      </c>
      <c r="AA6367">
        <v>0.79890909999999904</v>
      </c>
      <c r="AB6367">
        <v>30</v>
      </c>
      <c r="AC6367">
        <v>7.6531000000000198</v>
      </c>
      <c r="AD6367">
        <v>-1.101998497744</v>
      </c>
      <c r="AE6367">
        <v>3.6411999999999898</v>
      </c>
      <c r="AF6367">
        <v>5.0836108051336497</v>
      </c>
      <c r="AG6367">
        <v>-1.101998497744</v>
      </c>
      <c r="AH6367">
        <v>6.6042874485576704</v>
      </c>
      <c r="AI6367">
        <v>97.532256831239195</v>
      </c>
      <c r="AJ6367">
        <v>52.412937266827797</v>
      </c>
      <c r="AK6367">
        <v>8.4067896494606096</v>
      </c>
      <c r="AL6367">
        <v>86.467026015403306</v>
      </c>
      <c r="AM6367">
        <v>69.613380639974295</v>
      </c>
      <c r="AN6367">
        <v>0.99999999091298997</v>
      </c>
    </row>
    <row r="6368" spans="1:40" x14ac:dyDescent="0.25">
      <c r="A6368" t="str">
        <f>"20190312151443194"</f>
        <v>20190312151443194</v>
      </c>
      <c r="B6368" t="str">
        <f>"1552374883187222"</f>
        <v>1552374883187222</v>
      </c>
      <c r="C6368" t="s">
        <v>40</v>
      </c>
      <c r="D6368">
        <v>4.8602999999999996</v>
      </c>
      <c r="E6368">
        <v>0.61331840000000004</v>
      </c>
      <c r="F6368" t="s">
        <v>58</v>
      </c>
      <c r="G6368">
        <v>-170.97280000000001</v>
      </c>
      <c r="H6368" s="1">
        <v>-3.4885230000000001E-6</v>
      </c>
      <c r="I6368">
        <v>138.1396</v>
      </c>
      <c r="J6368">
        <v>-178.672</v>
      </c>
      <c r="K6368">
        <v>1.1019060000000001</v>
      </c>
      <c r="L6368">
        <v>134.5275</v>
      </c>
      <c r="M6368">
        <v>0.4589994</v>
      </c>
      <c r="N6368">
        <v>0</v>
      </c>
      <c r="O6368">
        <v>0.88833340000000005</v>
      </c>
      <c r="P6368">
        <v>0.73799380000000003</v>
      </c>
      <c r="Q6368">
        <v>5.6156049999999999E-2</v>
      </c>
      <c r="R6368">
        <v>0.67246680000000003</v>
      </c>
      <c r="S6368">
        <v>2.8464049999999999</v>
      </c>
      <c r="T6368">
        <v>-0.40268280000000001</v>
      </c>
      <c r="U6368">
        <v>1.3799589999999999</v>
      </c>
      <c r="V6368">
        <v>0.3482594</v>
      </c>
      <c r="W6368">
        <v>6.1889949999999999E-2</v>
      </c>
      <c r="X6368">
        <v>0.93535290000000004</v>
      </c>
      <c r="Y6368">
        <v>0.59074589999999905</v>
      </c>
      <c r="Z6368">
        <v>-0.13139229999999999</v>
      </c>
      <c r="AA6368">
        <v>0.79608760000000001</v>
      </c>
      <c r="AB6368">
        <v>30</v>
      </c>
      <c r="AC6368">
        <v>7.6991999999999896</v>
      </c>
      <c r="AD6368">
        <v>-1.1019094885230001</v>
      </c>
      <c r="AE6368">
        <v>3.6120999999999901</v>
      </c>
      <c r="AF6368">
        <v>5.0964201464973398</v>
      </c>
      <c r="AG6368">
        <v>-1.1019094885230001</v>
      </c>
      <c r="AH6368">
        <v>6.6319568652783403</v>
      </c>
      <c r="AI6368">
        <v>97.505179049131897</v>
      </c>
      <c r="AJ6368">
        <v>52.459018754835803</v>
      </c>
      <c r="AK6368">
        <v>8.4362642617116705</v>
      </c>
      <c r="AL6368">
        <v>86.451699433656103</v>
      </c>
      <c r="AM6368">
        <v>69.578220919315399</v>
      </c>
      <c r="AN6368">
        <v>1.0000000115688801</v>
      </c>
    </row>
    <row r="6369" spans="1:40" x14ac:dyDescent="0.25">
      <c r="A6369" t="str">
        <f>"20190312151443207"</f>
        <v>20190312151443207</v>
      </c>
      <c r="B6369" t="str">
        <f>"1552374883196982"</f>
        <v>1552374883196982</v>
      </c>
      <c r="C6369" t="s">
        <v>40</v>
      </c>
      <c r="D6369">
        <v>4.7253699999999998</v>
      </c>
      <c r="E6369">
        <v>0.61342669999999999</v>
      </c>
      <c r="F6369" t="s">
        <v>58</v>
      </c>
      <c r="G6369">
        <v>-170.8655</v>
      </c>
      <c r="H6369" s="1">
        <v>-3.4801279999999999E-6</v>
      </c>
      <c r="I6369">
        <v>138.24279999999999</v>
      </c>
      <c r="J6369">
        <v>-178.5814</v>
      </c>
      <c r="K6369">
        <v>1.1018250000000001</v>
      </c>
      <c r="L6369">
        <v>134.69040000000001</v>
      </c>
      <c r="M6369">
        <v>0.46452949999999998</v>
      </c>
      <c r="N6369">
        <v>0</v>
      </c>
      <c r="O6369">
        <v>0.88545399999999996</v>
      </c>
      <c r="P6369">
        <v>0.74250159999999998</v>
      </c>
      <c r="Q6369">
        <v>5.6361090000000003E-2</v>
      </c>
      <c r="R6369">
        <v>0.66746909999999904</v>
      </c>
      <c r="S6369">
        <v>2.8568570000000002</v>
      </c>
      <c r="T6369">
        <v>-0.40325319999999998</v>
      </c>
      <c r="U6369">
        <v>1.35965</v>
      </c>
      <c r="V6369">
        <v>0.34874519999999998</v>
      </c>
      <c r="W6369">
        <v>6.2019400000000002E-2</v>
      </c>
      <c r="X6369">
        <v>0.93516330000000003</v>
      </c>
      <c r="Y6369">
        <v>0.59147209999999995</v>
      </c>
      <c r="Z6369">
        <v>-0.13144900000000001</v>
      </c>
      <c r="AA6369">
        <v>0.79553879999999999</v>
      </c>
      <c r="AB6369">
        <v>30</v>
      </c>
      <c r="AC6369">
        <v>7.7159000000000004</v>
      </c>
      <c r="AD6369">
        <v>-1.1018284801279901</v>
      </c>
      <c r="AE6369">
        <v>3.5523999999999698</v>
      </c>
      <c r="AF6369">
        <v>5.0966035343295202</v>
      </c>
      <c r="AG6369">
        <v>-1.1018284801279901</v>
      </c>
      <c r="AH6369">
        <v>6.6190008134878102</v>
      </c>
      <c r="AI6369">
        <v>97.513654314407205</v>
      </c>
      <c r="AJ6369">
        <v>52.403876078787398</v>
      </c>
      <c r="AK6369">
        <v>8.4261833207398098</v>
      </c>
      <c r="AL6369">
        <v>86.444268210598494</v>
      </c>
      <c r="AM6369">
        <v>69.548287901218004</v>
      </c>
      <c r="AN6369">
        <v>1.00000000908314</v>
      </c>
    </row>
    <row r="6370" spans="1:40" x14ac:dyDescent="0.25">
      <c r="A6370" t="str">
        <f>"20190312151443220"</f>
        <v>20190312151443220</v>
      </c>
      <c r="B6370" t="str">
        <f>"1552374883216501"</f>
        <v>1552374883216501</v>
      </c>
      <c r="C6370" t="s">
        <v>40</v>
      </c>
      <c r="D6370">
        <v>4.5759540000000003</v>
      </c>
      <c r="E6370">
        <v>0.61362530000000004</v>
      </c>
      <c r="F6370" t="s">
        <v>58</v>
      </c>
      <c r="G6370">
        <v>-170.7611</v>
      </c>
      <c r="H6370" s="1">
        <v>-3.4727030000000001E-6</v>
      </c>
      <c r="I6370">
        <v>138.34520000000001</v>
      </c>
      <c r="J6370">
        <v>-178.4913</v>
      </c>
      <c r="K6370">
        <v>1.1017459999999999</v>
      </c>
      <c r="L6370">
        <v>134.8494</v>
      </c>
      <c r="M6370">
        <v>0.4699989</v>
      </c>
      <c r="N6370">
        <v>0</v>
      </c>
      <c r="O6370">
        <v>0.88256290000000004</v>
      </c>
      <c r="P6370">
        <v>0.74725710000000001</v>
      </c>
      <c r="Q6370">
        <v>5.7169240000000003E-2</v>
      </c>
      <c r="R6370">
        <v>0.66207139999999998</v>
      </c>
      <c r="S6370">
        <v>2.8666990000000001</v>
      </c>
      <c r="T6370">
        <v>-0.40389989999999998</v>
      </c>
      <c r="U6370">
        <v>1.339737</v>
      </c>
      <c r="V6370">
        <v>0.34970980000000002</v>
      </c>
      <c r="W6370">
        <v>6.2745159999999994E-2</v>
      </c>
      <c r="X6370">
        <v>0.93475459999999999</v>
      </c>
      <c r="Y6370">
        <v>0.59207500000000002</v>
      </c>
      <c r="Z6370">
        <v>-0.1315306</v>
      </c>
      <c r="AA6370">
        <v>0.79507659999999902</v>
      </c>
      <c r="AB6370">
        <v>30</v>
      </c>
      <c r="AC6370">
        <v>7.7301999999999902</v>
      </c>
      <c r="AD6370">
        <v>-1.1017494727029999</v>
      </c>
      <c r="AE6370">
        <v>3.4958</v>
      </c>
      <c r="AF6370">
        <v>5.0939346954950899</v>
      </c>
      <c r="AG6370">
        <v>-1.1017494727029999</v>
      </c>
      <c r="AH6370">
        <v>6.6076316428485997</v>
      </c>
      <c r="AI6370">
        <v>97.522588983931996</v>
      </c>
      <c r="AJ6370">
        <v>52.370764180029298</v>
      </c>
      <c r="AK6370">
        <v>8.4156294185369198</v>
      </c>
      <c r="AL6370">
        <v>86.402604155200905</v>
      </c>
      <c r="AM6370">
        <v>69.488203425575094</v>
      </c>
      <c r="AN6370">
        <v>1.0000000307703101</v>
      </c>
    </row>
    <row r="6371" spans="1:40" x14ac:dyDescent="0.25">
      <c r="A6371" t="str">
        <f>"20190312151443236"</f>
        <v>20190312151443236</v>
      </c>
      <c r="B6371" t="str">
        <f>"1552374883227238"</f>
        <v>1552374883227238</v>
      </c>
      <c r="C6371" t="s">
        <v>40</v>
      </c>
      <c r="D6371">
        <v>4.5467500000000003</v>
      </c>
      <c r="E6371">
        <v>0.61367729999999998</v>
      </c>
      <c r="F6371" t="s">
        <v>58</v>
      </c>
      <c r="G6371">
        <v>-170.654</v>
      </c>
      <c r="H6371" s="1">
        <v>-3.4609019999999998E-6</v>
      </c>
      <c r="I6371">
        <v>138.4393</v>
      </c>
      <c r="J6371">
        <v>-178.38839999999999</v>
      </c>
      <c r="K6371">
        <v>1.1016600000000001</v>
      </c>
      <c r="L6371">
        <v>135.02809999999999</v>
      </c>
      <c r="M6371">
        <v>0.47619980000000001</v>
      </c>
      <c r="N6371">
        <v>0</v>
      </c>
      <c r="O6371">
        <v>0.87923240000000003</v>
      </c>
      <c r="P6371">
        <v>0.75295489999999998</v>
      </c>
      <c r="Q6371">
        <v>5.8113020000000001E-2</v>
      </c>
      <c r="R6371">
        <v>0.65550120000000001</v>
      </c>
      <c r="S6371">
        <v>2.8777309999999998</v>
      </c>
      <c r="T6371">
        <v>-0.40454269999999998</v>
      </c>
      <c r="U6371">
        <v>1.3181609999999999</v>
      </c>
      <c r="V6371">
        <v>0.35128579999999998</v>
      </c>
      <c r="W6371">
        <v>6.3587000000000005E-2</v>
      </c>
      <c r="X6371">
        <v>0.93410649999999995</v>
      </c>
      <c r="Y6371">
        <v>0.5925028</v>
      </c>
      <c r="Z6371">
        <v>-0.1315567</v>
      </c>
      <c r="AA6371">
        <v>0.79475369999999901</v>
      </c>
      <c r="AB6371">
        <v>30</v>
      </c>
      <c r="AC6371">
        <v>7.73439999999996</v>
      </c>
      <c r="AD6371">
        <v>-1.101663460902</v>
      </c>
      <c r="AE6371">
        <v>3.4112</v>
      </c>
      <c r="AF6371">
        <v>5.0899488938355599</v>
      </c>
      <c r="AG6371">
        <v>-1.101663460902</v>
      </c>
      <c r="AH6371">
        <v>6.5713615941627399</v>
      </c>
      <c r="AI6371">
        <v>97.549861383832905</v>
      </c>
      <c r="AJ6371">
        <v>52.239878188960802</v>
      </c>
      <c r="AK6371">
        <v>8.3847501646847906</v>
      </c>
      <c r="AL6371">
        <v>86.354273600571801</v>
      </c>
      <c r="AM6371">
        <v>69.390420692228901</v>
      </c>
      <c r="AN6371">
        <v>0.99999998659644396</v>
      </c>
    </row>
    <row r="6372" spans="1:40" x14ac:dyDescent="0.25">
      <c r="A6372" t="str">
        <f>"20190312151443250"</f>
        <v>20190312151443250</v>
      </c>
      <c r="B6372" t="str">
        <f>"1552374883246758"</f>
        <v>1552374883246758</v>
      </c>
      <c r="C6372" t="s">
        <v>40</v>
      </c>
      <c r="D6372">
        <v>4.474882</v>
      </c>
      <c r="E6372">
        <v>0.61375869999999999</v>
      </c>
      <c r="F6372" t="s">
        <v>58</v>
      </c>
      <c r="G6372">
        <v>-170.51159999999999</v>
      </c>
      <c r="H6372" s="1">
        <v>-3.4414950000000001E-6</v>
      </c>
      <c r="I6372">
        <v>138.55449999999999</v>
      </c>
      <c r="J6372">
        <v>-178.2859</v>
      </c>
      <c r="K6372">
        <v>1.1015839999999999</v>
      </c>
      <c r="L6372">
        <v>135.20359999999999</v>
      </c>
      <c r="M6372">
        <v>0.48233140000000002</v>
      </c>
      <c r="N6372">
        <v>0</v>
      </c>
      <c r="O6372">
        <v>0.87588359999999998</v>
      </c>
      <c r="P6372">
        <v>0.75807530000000001</v>
      </c>
      <c r="Q6372">
        <v>5.8591320000000002E-2</v>
      </c>
      <c r="R6372">
        <v>0.64952980000000005</v>
      </c>
      <c r="S6372">
        <v>2.8893430000000002</v>
      </c>
      <c r="T6372">
        <v>-0.40411059999999999</v>
      </c>
      <c r="U6372">
        <v>1.2935490000000001</v>
      </c>
      <c r="V6372">
        <v>0.35213179999999999</v>
      </c>
      <c r="W6372">
        <v>6.3986730000000006E-2</v>
      </c>
      <c r="X6372">
        <v>0.93376060000000005</v>
      </c>
      <c r="Y6372">
        <v>0.59376209999999996</v>
      </c>
      <c r="Z6372">
        <v>-0.13128989999999999</v>
      </c>
      <c r="AA6372">
        <v>0.79385740000000005</v>
      </c>
      <c r="AB6372">
        <v>30</v>
      </c>
      <c r="AC6372">
        <v>7.77430000000001</v>
      </c>
      <c r="AD6372">
        <v>-1.101587441495</v>
      </c>
      <c r="AE6372">
        <v>3.35089999999999</v>
      </c>
      <c r="AF6372">
        <v>5.1071416281467696</v>
      </c>
      <c r="AG6372">
        <v>-1.101587441495</v>
      </c>
      <c r="AH6372">
        <v>6.5740903732248697</v>
      </c>
      <c r="AI6372">
        <v>97.537967323701594</v>
      </c>
      <c r="AJ6372">
        <v>52.1578290980842</v>
      </c>
      <c r="AK6372">
        <v>8.39732426053307</v>
      </c>
      <c r="AL6372">
        <v>86.331324006030201</v>
      </c>
      <c r="AM6372">
        <v>69.337967038703695</v>
      </c>
      <c r="AN6372">
        <v>0.99999998214984598</v>
      </c>
    </row>
    <row r="6373" spans="1:40" x14ac:dyDescent="0.25">
      <c r="A6373" t="str">
        <f>"20190312151443263"</f>
        <v>20190312151443263</v>
      </c>
      <c r="B6373" t="str">
        <f>"1552374883257494"</f>
        <v>1552374883257494</v>
      </c>
      <c r="C6373" t="s">
        <v>40</v>
      </c>
      <c r="D6373">
        <v>3.761933</v>
      </c>
      <c r="E6373">
        <v>0.6136528</v>
      </c>
      <c r="F6373" t="s">
        <v>58</v>
      </c>
      <c r="G6373">
        <v>-170.3939</v>
      </c>
      <c r="H6373" s="1">
        <v>-3.4246199999999999E-6</v>
      </c>
      <c r="I6373">
        <v>138.66149999999999</v>
      </c>
      <c r="J6373">
        <v>-178.19399999999999</v>
      </c>
      <c r="K6373">
        <v>1.1015159999999999</v>
      </c>
      <c r="L6373">
        <v>135.35839999999999</v>
      </c>
      <c r="M6373">
        <v>0.48778349999999998</v>
      </c>
      <c r="N6373">
        <v>0</v>
      </c>
      <c r="O6373">
        <v>0.87285900000000005</v>
      </c>
      <c r="P6373">
        <v>0.76282839999999996</v>
      </c>
      <c r="Q6373">
        <v>5.9157269999999998E-2</v>
      </c>
      <c r="R6373">
        <v>0.64388909999999999</v>
      </c>
      <c r="S6373">
        <v>2.8999790000000001</v>
      </c>
      <c r="T6373">
        <v>-0.40478439999999999</v>
      </c>
      <c r="U6373">
        <v>1.2706299999999999</v>
      </c>
      <c r="V6373">
        <v>0.35321930000000001</v>
      </c>
      <c r="W6373">
        <v>6.4477809999999997E-2</v>
      </c>
      <c r="X6373">
        <v>0.93331600000000003</v>
      </c>
      <c r="Y6373">
        <v>0.59508409999999901</v>
      </c>
      <c r="Z6373">
        <v>-0.1313936</v>
      </c>
      <c r="AA6373">
        <v>0.79284969999999999</v>
      </c>
      <c r="AB6373">
        <v>30</v>
      </c>
      <c r="AC6373">
        <v>7.8001000000000102</v>
      </c>
      <c r="AD6373">
        <v>-1.10151942462</v>
      </c>
      <c r="AE6373">
        <v>3.3031000000000001</v>
      </c>
      <c r="AF6373">
        <v>5.1112368022947798</v>
      </c>
      <c r="AG6373">
        <v>-1.10151942462</v>
      </c>
      <c r="AH6373">
        <v>6.5772937215565799</v>
      </c>
      <c r="AI6373">
        <v>97.532997109461206</v>
      </c>
      <c r="AJ6373">
        <v>52.149102065871702</v>
      </c>
      <c r="AK6373">
        <v>8.4023139307916495</v>
      </c>
      <c r="AL6373">
        <v>86.303129069299501</v>
      </c>
      <c r="AM6373">
        <v>69.270536876253502</v>
      </c>
      <c r="AN6373">
        <v>1.0000000088654399</v>
      </c>
    </row>
    <row r="6374" spans="1:40" x14ac:dyDescent="0.25">
      <c r="A6374" t="str">
        <f>"20190312151443274"</f>
        <v>20190312151443274</v>
      </c>
      <c r="B6374" t="str">
        <f>"1552374883267254"</f>
        <v>1552374883267254</v>
      </c>
      <c r="C6374" t="s">
        <v>40</v>
      </c>
      <c r="D6374">
        <v>4.6427750000000003</v>
      </c>
      <c r="E6374">
        <v>0.6135389</v>
      </c>
      <c r="F6374" t="s">
        <v>58</v>
      </c>
      <c r="G6374">
        <v>-170.22799999999901</v>
      </c>
      <c r="H6374" s="1">
        <v>-3.3838929999999999E-6</v>
      </c>
      <c r="I6374">
        <v>138.78299999999999</v>
      </c>
      <c r="J6374">
        <v>-178.11420000000001</v>
      </c>
      <c r="K6374">
        <v>1.1014679999999999</v>
      </c>
      <c r="L6374">
        <v>135.4907</v>
      </c>
      <c r="M6374">
        <v>0.49247999999999997</v>
      </c>
      <c r="N6374">
        <v>0</v>
      </c>
      <c r="O6374">
        <v>0.87021769999999998</v>
      </c>
      <c r="P6374">
        <v>0.76690029999999998</v>
      </c>
      <c r="Q6374">
        <v>5.8973459999999998E-2</v>
      </c>
      <c r="R6374">
        <v>0.63905089999999998</v>
      </c>
      <c r="S6374">
        <v>2.9085390000000002</v>
      </c>
      <c r="T6374">
        <v>-0.40218500000000001</v>
      </c>
      <c r="U6374">
        <v>1.2503660000000001</v>
      </c>
      <c r="V6374">
        <v>0.35411029999999999</v>
      </c>
      <c r="W6374">
        <v>6.4235139999999996E-2</v>
      </c>
      <c r="X6374">
        <v>0.93299509999999997</v>
      </c>
      <c r="Y6374">
        <v>0.59639809999999904</v>
      </c>
      <c r="Z6374">
        <v>-0.13049179999999999</v>
      </c>
      <c r="AA6374">
        <v>0.79201080000000001</v>
      </c>
      <c r="AB6374">
        <v>30</v>
      </c>
      <c r="AC6374">
        <v>7.8862000000000299</v>
      </c>
      <c r="AD6374">
        <v>-1.1014713838929999</v>
      </c>
      <c r="AE6374">
        <v>3.29229999999998</v>
      </c>
      <c r="AF6374">
        <v>5.1561459287581002</v>
      </c>
      <c r="AG6374">
        <v>-1.1014713838929999</v>
      </c>
      <c r="AH6374">
        <v>6.6391432808455297</v>
      </c>
      <c r="AI6374">
        <v>97.464992243398498</v>
      </c>
      <c r="AJ6374">
        <v>52.166078596673202</v>
      </c>
      <c r="AK6374">
        <v>8.4780483338903103</v>
      </c>
      <c r="AL6374">
        <v>86.317062097454595</v>
      </c>
      <c r="AM6374">
        <v>69.216171049343899</v>
      </c>
      <c r="AN6374">
        <v>1.0000000572004499</v>
      </c>
    </row>
    <row r="6375" spans="1:40" x14ac:dyDescent="0.25">
      <c r="A6375" t="str">
        <f>"20190312151443288"</f>
        <v>20190312151443288</v>
      </c>
      <c r="B6375" t="str">
        <f>"1552374883276602"</f>
        <v>1552374883276602</v>
      </c>
      <c r="C6375" t="s">
        <v>40</v>
      </c>
      <c r="D6375">
        <v>4.29678</v>
      </c>
      <c r="E6375">
        <v>0.61343499999999995</v>
      </c>
      <c r="F6375" t="s">
        <v>58</v>
      </c>
      <c r="G6375">
        <v>-170.12620000000001</v>
      </c>
      <c r="H6375" s="1">
        <v>-3.3634939999999999E-6</v>
      </c>
      <c r="I6375">
        <v>138.86799999999999</v>
      </c>
      <c r="J6375">
        <v>-178.01679999999999</v>
      </c>
      <c r="K6375">
        <v>1.10141</v>
      </c>
      <c r="L6375">
        <v>135.6506</v>
      </c>
      <c r="M6375">
        <v>0.49817060000000002</v>
      </c>
      <c r="N6375">
        <v>0</v>
      </c>
      <c r="O6375">
        <v>0.86697239999999998</v>
      </c>
      <c r="P6375">
        <v>0.77186049999999995</v>
      </c>
      <c r="Q6375">
        <v>5.8970849999999998E-2</v>
      </c>
      <c r="R6375">
        <v>0.63305119999999904</v>
      </c>
      <c r="S6375">
        <v>2.9155579999999999</v>
      </c>
      <c r="T6375">
        <v>-0.40202830000000001</v>
      </c>
      <c r="U6375">
        <v>1.232712</v>
      </c>
      <c r="V6375">
        <v>0.35528270000000001</v>
      </c>
      <c r="W6375">
        <v>6.4159939999999999E-2</v>
      </c>
      <c r="X6375">
        <v>0.93255440000000001</v>
      </c>
      <c r="Y6375">
        <v>0.59593739999999995</v>
      </c>
      <c r="Z6375">
        <v>-0.1302731</v>
      </c>
      <c r="AA6375">
        <v>0.79239359999999903</v>
      </c>
      <c r="AB6375">
        <v>30</v>
      </c>
      <c r="AC6375">
        <v>7.8905999999999699</v>
      </c>
      <c r="AD6375">
        <v>-1.101413363494</v>
      </c>
      <c r="AE6375">
        <v>3.2173999999999898</v>
      </c>
      <c r="AF6375">
        <v>5.1525221887766701</v>
      </c>
      <c r="AG6375">
        <v>-1.101413363494</v>
      </c>
      <c r="AH6375">
        <v>6.6104460709346302</v>
      </c>
      <c r="AI6375">
        <v>97.486506421245593</v>
      </c>
      <c r="AJ6375">
        <v>52.0653130036861</v>
      </c>
      <c r="AK6375">
        <v>8.4533776420939706</v>
      </c>
      <c r="AL6375">
        <v>86.321379442274704</v>
      </c>
      <c r="AM6375">
        <v>69.144260681708303</v>
      </c>
      <c r="AN6375">
        <v>1.0000000018897199</v>
      </c>
    </row>
    <row r="6376" spans="1:40" x14ac:dyDescent="0.25">
      <c r="A6376" t="str">
        <f>"20190312151443302"</f>
        <v>20190312151443302</v>
      </c>
      <c r="B6376" t="str">
        <f>"1552374883297098"</f>
        <v>1552374883297098</v>
      </c>
      <c r="C6376" t="s">
        <v>40</v>
      </c>
      <c r="D6376">
        <v>4.2792260000000004</v>
      </c>
      <c r="E6376">
        <v>0.61332900000000001</v>
      </c>
      <c r="F6376" t="s">
        <v>58</v>
      </c>
      <c r="G6376">
        <v>-169.98320000000001</v>
      </c>
      <c r="H6376" s="1">
        <v>-3.330121E-6</v>
      </c>
      <c r="I6376">
        <v>138.97669999999999</v>
      </c>
      <c r="J6376">
        <v>-177.90690000000001</v>
      </c>
      <c r="K6376">
        <v>1.101353</v>
      </c>
      <c r="L6376">
        <v>135.8278</v>
      </c>
      <c r="M6376">
        <v>0.50452070000000004</v>
      </c>
      <c r="N6376">
        <v>0</v>
      </c>
      <c r="O6376">
        <v>0.86329249999999902</v>
      </c>
      <c r="P6376">
        <v>0.77734239999999999</v>
      </c>
      <c r="Q6376">
        <v>5.890248E-2</v>
      </c>
      <c r="R6376">
        <v>0.62631400000000004</v>
      </c>
      <c r="S6376">
        <v>2.9243160000000001</v>
      </c>
      <c r="T6376">
        <v>-0.40092689999999997</v>
      </c>
      <c r="U6376">
        <v>1.2107540000000001</v>
      </c>
      <c r="V6376">
        <v>0.35656130000000003</v>
      </c>
      <c r="W6376">
        <v>6.4015279999999994E-2</v>
      </c>
      <c r="X6376">
        <v>0.93207620000000002</v>
      </c>
      <c r="Y6376">
        <v>0.59605039999999998</v>
      </c>
      <c r="Z6376">
        <v>-0.12974769999999999</v>
      </c>
      <c r="AA6376">
        <v>0.79239479999999995</v>
      </c>
      <c r="AB6376">
        <v>30</v>
      </c>
      <c r="AC6376">
        <v>7.9236999999999904</v>
      </c>
      <c r="AD6376">
        <v>-1.1013563301209901</v>
      </c>
      <c r="AE6376">
        <v>3.14889999999999</v>
      </c>
      <c r="AF6376">
        <v>5.1660768905801699</v>
      </c>
      <c r="AG6376">
        <v>-1.1013563301209901</v>
      </c>
      <c r="AH6376">
        <v>6.6064864102587402</v>
      </c>
      <c r="AI6376">
        <v>97.481516248859194</v>
      </c>
      <c r="AJ6376">
        <v>51.975644543507201</v>
      </c>
      <c r="AK6376">
        <v>8.4585459089738002</v>
      </c>
      <c r="AL6376">
        <v>86.329684841837206</v>
      </c>
      <c r="AM6376">
        <v>69.065886994876394</v>
      </c>
      <c r="AN6376">
        <v>0.99999997966880405</v>
      </c>
    </row>
    <row r="6377" spans="1:40" x14ac:dyDescent="0.25">
      <c r="A6377" t="str">
        <f>"20190312151443319"</f>
        <v>20190312151443319</v>
      </c>
      <c r="B6377" t="str">
        <f>"1552374883306858"</f>
        <v>1552374883306858</v>
      </c>
      <c r="C6377" t="s">
        <v>40</v>
      </c>
      <c r="D6377">
        <v>4.1765780000000001</v>
      </c>
      <c r="E6377">
        <v>0.61325699999999905</v>
      </c>
      <c r="F6377" t="s">
        <v>42</v>
      </c>
      <c r="G6377">
        <v>-169.83099999999999</v>
      </c>
      <c r="H6377" s="1">
        <v>-1.8859719999999999E-7</v>
      </c>
      <c r="I6377">
        <v>139.09200000000001</v>
      </c>
      <c r="J6377">
        <v>-177.79259999999999</v>
      </c>
      <c r="K6377">
        <v>1.101299</v>
      </c>
      <c r="L6377">
        <v>136.0087</v>
      </c>
      <c r="M6377">
        <v>0.51104879999999997</v>
      </c>
      <c r="N6377">
        <v>0</v>
      </c>
      <c r="O6377">
        <v>0.85944399999999999</v>
      </c>
      <c r="P6377">
        <v>0.78241559999999999</v>
      </c>
      <c r="Q6377">
        <v>5.8983819999999999E-2</v>
      </c>
      <c r="R6377">
        <v>0.61995719999999899</v>
      </c>
      <c r="S6377">
        <v>2.934097</v>
      </c>
      <c r="T6377">
        <v>-0.4001381</v>
      </c>
      <c r="U6377">
        <v>1.185959</v>
      </c>
      <c r="V6377">
        <v>0.35709950000000001</v>
      </c>
      <c r="W6377">
        <v>6.4044779999999996E-2</v>
      </c>
      <c r="X6377">
        <v>0.93186809999999998</v>
      </c>
      <c r="Y6377">
        <v>0.59671459999999998</v>
      </c>
      <c r="Z6377">
        <v>-0.1293319</v>
      </c>
      <c r="AA6377">
        <v>0.79196269999999902</v>
      </c>
      <c r="AB6377">
        <v>30</v>
      </c>
      <c r="AC6377">
        <v>7.9615999999999998</v>
      </c>
      <c r="AD6377">
        <v>-1.1012991885971899</v>
      </c>
      <c r="AE6377">
        <v>3.0832999999999999</v>
      </c>
      <c r="AF6377">
        <v>5.1811130895578801</v>
      </c>
      <c r="AG6377">
        <v>-1.1012991885971899</v>
      </c>
      <c r="AH6377">
        <v>6.60934084418456</v>
      </c>
      <c r="AI6377">
        <v>97.470989021506895</v>
      </c>
      <c r="AJ6377">
        <v>51.906829799416201</v>
      </c>
      <c r="AK6377">
        <v>8.4699574464219793</v>
      </c>
      <c r="AL6377">
        <v>86.327991109908297</v>
      </c>
      <c r="AM6377">
        <v>69.032757746235504</v>
      </c>
      <c r="AN6377">
        <v>0.99999997127155305</v>
      </c>
    </row>
    <row r="6378" spans="1:40" x14ac:dyDescent="0.25">
      <c r="A6378" t="str">
        <f>"20190312151443337"</f>
        <v>20190312151443337</v>
      </c>
      <c r="B6378" t="str">
        <f>"1552374883327354"</f>
        <v>1552374883327354</v>
      </c>
      <c r="C6378" t="s">
        <v>40</v>
      </c>
      <c r="D6378">
        <v>4.1770699999999996</v>
      </c>
      <c r="E6378">
        <v>0.61317679999999997</v>
      </c>
      <c r="F6378" t="s">
        <v>42</v>
      </c>
      <c r="G6378">
        <v>-169.70240000000001</v>
      </c>
      <c r="H6378" s="1">
        <v>-2.081794E-7</v>
      </c>
      <c r="I6378">
        <v>139.20410000000001</v>
      </c>
      <c r="J6378">
        <v>-177.6585</v>
      </c>
      <c r="K6378">
        <v>1.1012420000000001</v>
      </c>
      <c r="L6378">
        <v>136.2174</v>
      </c>
      <c r="M6378">
        <v>0.5186113</v>
      </c>
      <c r="N6378">
        <v>0</v>
      </c>
      <c r="O6378">
        <v>0.85490159999999904</v>
      </c>
      <c r="P6378">
        <v>0.7886879</v>
      </c>
      <c r="Q6378">
        <v>5.9235389999999999E-2</v>
      </c>
      <c r="R6378">
        <v>0.61193350000000002</v>
      </c>
      <c r="S6378">
        <v>2.9433289999999999</v>
      </c>
      <c r="T6378">
        <v>-0.40066659999999998</v>
      </c>
      <c r="U6378">
        <v>1.1625369999999999</v>
      </c>
      <c r="V6378">
        <v>0.35839409999999999</v>
      </c>
      <c r="W6378">
        <v>6.4223230000000006E-2</v>
      </c>
      <c r="X6378">
        <v>0.93135869999999998</v>
      </c>
      <c r="Y6378">
        <v>0.59597060000000002</v>
      </c>
      <c r="Z6378">
        <v>-0.12922139999999999</v>
      </c>
      <c r="AA6378">
        <v>0.79254080000000005</v>
      </c>
      <c r="AB6378">
        <v>30</v>
      </c>
      <c r="AC6378">
        <v>7.9560999999999904</v>
      </c>
      <c r="AD6378">
        <v>-1.1012422081794</v>
      </c>
      <c r="AE6378">
        <v>2.9867000000000101</v>
      </c>
      <c r="AF6378">
        <v>5.1664769517063798</v>
      </c>
      <c r="AG6378">
        <v>-1.1012422081794</v>
      </c>
      <c r="AH6378">
        <v>6.5697568515249101</v>
      </c>
      <c r="AI6378">
        <v>97.506106258392606</v>
      </c>
      <c r="AJ6378">
        <v>51.818380884058399</v>
      </c>
      <c r="AK6378">
        <v>8.4301200217878005</v>
      </c>
      <c r="AL6378">
        <v>86.317745658448601</v>
      </c>
      <c r="AM6378">
        <v>68.952885289351499</v>
      </c>
      <c r="AN6378">
        <v>0.99999999112606597</v>
      </c>
    </row>
    <row r="6379" spans="1:40" x14ac:dyDescent="0.25">
      <c r="A6379" t="str">
        <f>"20190312151443358"</f>
        <v>20190312151443358</v>
      </c>
      <c r="B6379" t="str">
        <f>"1552374883346874"</f>
        <v>1552374883346874</v>
      </c>
      <c r="C6379" t="s">
        <v>40</v>
      </c>
      <c r="D6379">
        <v>4.1582610000000004</v>
      </c>
      <c r="E6379">
        <v>0.61305299999999996</v>
      </c>
      <c r="F6379" t="s">
        <v>42</v>
      </c>
      <c r="G6379">
        <v>-169.5624</v>
      </c>
      <c r="H6379" s="1">
        <v>-2.3942449999999997E-7</v>
      </c>
      <c r="I6379">
        <v>139.3227</v>
      </c>
      <c r="J6379">
        <v>-177.49340000000001</v>
      </c>
      <c r="K6379">
        <v>1.1011839999999999</v>
      </c>
      <c r="L6379">
        <v>136.46889999999999</v>
      </c>
      <c r="M6379">
        <v>0.52776489999999998</v>
      </c>
      <c r="N6379">
        <v>0</v>
      </c>
      <c r="O6379">
        <v>0.84928110000000001</v>
      </c>
      <c r="P6379">
        <v>0.79596679999999997</v>
      </c>
      <c r="Q6379">
        <v>5.9189360000000003E-2</v>
      </c>
      <c r="R6379">
        <v>0.60243959999999996</v>
      </c>
      <c r="S6379">
        <v>2.954666</v>
      </c>
      <c r="T6379">
        <v>-0.40189839999999999</v>
      </c>
      <c r="U6379">
        <v>1.1332549999999999</v>
      </c>
      <c r="V6379">
        <v>0.35955989999999999</v>
      </c>
      <c r="W6379">
        <v>6.4107120000000004E-2</v>
      </c>
      <c r="X6379">
        <v>0.93091729999999995</v>
      </c>
      <c r="Y6379">
        <v>0.59522730000000001</v>
      </c>
      <c r="Z6379">
        <v>-0.1292623</v>
      </c>
      <c r="AA6379">
        <v>0.79309249999999998</v>
      </c>
      <c r="AB6379">
        <v>30</v>
      </c>
      <c r="AC6379">
        <v>7.9310000000000098</v>
      </c>
      <c r="AD6379">
        <v>-1.1011842394244999</v>
      </c>
      <c r="AE6379">
        <v>2.8538000000000001</v>
      </c>
      <c r="AF6379">
        <v>5.14223044225536</v>
      </c>
      <c r="AG6379">
        <v>-1.1011842394244999</v>
      </c>
      <c r="AH6379">
        <v>6.4990688165863304</v>
      </c>
      <c r="AI6379">
        <v>97.568843547617107</v>
      </c>
      <c r="AJ6379">
        <v>51.648048459325501</v>
      </c>
      <c r="AK6379">
        <v>8.3602055078293098</v>
      </c>
      <c r="AL6379">
        <v>86.324412159245497</v>
      </c>
      <c r="AM6379">
        <v>68.881316200069094</v>
      </c>
      <c r="AN6379">
        <v>1.0000000319809901</v>
      </c>
    </row>
    <row r="6380" spans="1:40" x14ac:dyDescent="0.25">
      <c r="A6380" t="str">
        <f>"20190312151443373"</f>
        <v>20190312151443373</v>
      </c>
      <c r="B6380" t="str">
        <f>"1552374883367370"</f>
        <v>1552374883367370</v>
      </c>
      <c r="C6380" t="s">
        <v>40</v>
      </c>
      <c r="D6380">
        <v>4.1090809999999998</v>
      </c>
      <c r="E6380">
        <v>0.61289229999999995</v>
      </c>
      <c r="F6380" t="s">
        <v>42</v>
      </c>
      <c r="G6380">
        <v>-169.4075</v>
      </c>
      <c r="H6380" s="1">
        <v>-2.8792629999999998E-7</v>
      </c>
      <c r="I6380">
        <v>139.46199999999999</v>
      </c>
      <c r="J6380">
        <v>-177.3828</v>
      </c>
      <c r="K6380">
        <v>1.1011550000000001</v>
      </c>
      <c r="L6380">
        <v>136.63399999999999</v>
      </c>
      <c r="M6380">
        <v>0.5338022</v>
      </c>
      <c r="N6380">
        <v>0</v>
      </c>
      <c r="O6380">
        <v>0.84549949999999996</v>
      </c>
      <c r="P6380">
        <v>0.80042780000000002</v>
      </c>
      <c r="Q6380">
        <v>5.9030220000000001E-2</v>
      </c>
      <c r="R6380">
        <v>0.59651549999999998</v>
      </c>
      <c r="S6380">
        <v>2.9676360000000002</v>
      </c>
      <c r="T6380">
        <v>-0.40414850000000002</v>
      </c>
      <c r="U6380">
        <v>1.098511</v>
      </c>
      <c r="V6380">
        <v>0.3598478</v>
      </c>
      <c r="W6380">
        <v>6.3919630000000005E-2</v>
      </c>
      <c r="X6380">
        <v>0.9308189</v>
      </c>
      <c r="Y6380">
        <v>0.59872109999999901</v>
      </c>
      <c r="Z6380">
        <v>-0.12992680000000001</v>
      </c>
      <c r="AA6380">
        <v>0.79034930000000003</v>
      </c>
      <c r="AB6380">
        <v>30</v>
      </c>
      <c r="AC6380">
        <v>7.9752999999999998</v>
      </c>
      <c r="AD6380">
        <v>-1.10115528792629</v>
      </c>
      <c r="AE6380">
        <v>2.82800000000003</v>
      </c>
      <c r="AF6380">
        <v>5.1468478150804504</v>
      </c>
      <c r="AG6380">
        <v>-1.10115528792629</v>
      </c>
      <c r="AH6380">
        <v>6.5382034393871198</v>
      </c>
      <c r="AI6380">
        <v>97.538454266692895</v>
      </c>
      <c r="AJ6380">
        <v>51.790319104995099</v>
      </c>
      <c r="AK6380">
        <v>8.3934909075151793</v>
      </c>
      <c r="AL6380">
        <v>86.335176473280001</v>
      </c>
      <c r="AM6380">
        <v>68.863861607347303</v>
      </c>
      <c r="AN6380">
        <v>0.99999999143069296</v>
      </c>
    </row>
    <row r="6381" spans="1:40" x14ac:dyDescent="0.25">
      <c r="A6381" t="str">
        <f>"20190312151443392"</f>
        <v>20190312151443392</v>
      </c>
      <c r="B6381" t="str">
        <f>"1552374883387451"</f>
        <v>1552374883387451</v>
      </c>
      <c r="C6381" t="s">
        <v>40</v>
      </c>
      <c r="D6381">
        <v>4.1093349999999997</v>
      </c>
      <c r="E6381">
        <v>0.61274430000000002</v>
      </c>
      <c r="F6381" t="s">
        <v>42</v>
      </c>
      <c r="G6381">
        <v>-169.30179999999999</v>
      </c>
      <c r="H6381" s="1">
        <v>-3.2037439999999998E-7</v>
      </c>
      <c r="I6381">
        <v>139.5607</v>
      </c>
      <c r="J6381">
        <v>-177.23330000000001</v>
      </c>
      <c r="K6381">
        <v>1.101119</v>
      </c>
      <c r="L6381">
        <v>136.85319999999999</v>
      </c>
      <c r="M6381">
        <v>0.54183829999999999</v>
      </c>
      <c r="N6381">
        <v>0</v>
      </c>
      <c r="O6381">
        <v>0.84037199999999901</v>
      </c>
      <c r="P6381">
        <v>0.80648850000000005</v>
      </c>
      <c r="Q6381">
        <v>5.8519050000000003E-2</v>
      </c>
      <c r="R6381">
        <v>0.58834679999999995</v>
      </c>
      <c r="S6381">
        <v>2.974945</v>
      </c>
      <c r="T6381">
        <v>-0.40538170000000001</v>
      </c>
      <c r="U6381">
        <v>1.077423</v>
      </c>
      <c r="V6381">
        <v>0.36046329999999999</v>
      </c>
      <c r="W6381">
        <v>6.3369999999999996E-2</v>
      </c>
      <c r="X6381">
        <v>0.93061830000000001</v>
      </c>
      <c r="Y6381">
        <v>0.59667559999999997</v>
      </c>
      <c r="Z6381">
        <v>-0.12992999999999999</v>
      </c>
      <c r="AA6381">
        <v>0.79189419999999899</v>
      </c>
      <c r="AB6381">
        <v>30</v>
      </c>
      <c r="AC6381">
        <v>7.9315000000000202</v>
      </c>
      <c r="AD6381">
        <v>-1.1011193203744001</v>
      </c>
      <c r="AE6381">
        <v>2.7075000000000098</v>
      </c>
      <c r="AF6381">
        <v>5.1106476962746301</v>
      </c>
      <c r="AG6381">
        <v>-1.1011193203744001</v>
      </c>
      <c r="AH6381">
        <v>6.4619636999076002</v>
      </c>
      <c r="AI6381">
        <v>97.612612735246998</v>
      </c>
      <c r="AJ6381">
        <v>51.660178952938899</v>
      </c>
      <c r="AK6381">
        <v>8.3119286866564597</v>
      </c>
      <c r="AL6381">
        <v>86.366731901025801</v>
      </c>
      <c r="AM6381">
        <v>68.826749507142395</v>
      </c>
      <c r="AN6381">
        <v>0.99999998392088896</v>
      </c>
    </row>
    <row r="6382" spans="1:40" x14ac:dyDescent="0.25">
      <c r="A6382" t="str">
        <f>"20190312151443406"</f>
        <v>20190312151443406</v>
      </c>
      <c r="B6382" t="str">
        <f>"1552374883397207"</f>
        <v>1552374883397207</v>
      </c>
      <c r="C6382" t="s">
        <v>40</v>
      </c>
      <c r="D6382">
        <v>4.0693229999999998</v>
      </c>
      <c r="E6382">
        <v>0.61267439999999995</v>
      </c>
      <c r="F6382" t="s">
        <v>42</v>
      </c>
      <c r="G6382">
        <v>-169.17859999999999</v>
      </c>
      <c r="H6382" s="1">
        <v>-3.860898E-7</v>
      </c>
      <c r="I6382">
        <v>139.6815</v>
      </c>
      <c r="J6382">
        <v>-177.124</v>
      </c>
      <c r="K6382">
        <v>1.101097</v>
      </c>
      <c r="L6382">
        <v>137.0111</v>
      </c>
      <c r="M6382">
        <v>0.54763319999999904</v>
      </c>
      <c r="N6382">
        <v>0</v>
      </c>
      <c r="O6382">
        <v>0.83660730000000005</v>
      </c>
      <c r="P6382">
        <v>0.81079319999999999</v>
      </c>
      <c r="Q6382">
        <v>5.8316220000000002E-2</v>
      </c>
      <c r="R6382">
        <v>0.58242050000000001</v>
      </c>
      <c r="S6382">
        <v>2.9848330000000001</v>
      </c>
      <c r="T6382">
        <v>-0.40804220000000002</v>
      </c>
      <c r="U6382">
        <v>1.0480799999999999</v>
      </c>
      <c r="V6382">
        <v>0.36086309999999999</v>
      </c>
      <c r="W6382">
        <v>6.3143009999999999E-2</v>
      </c>
      <c r="X6382">
        <v>0.93047880000000005</v>
      </c>
      <c r="Y6382">
        <v>0.59879139999999997</v>
      </c>
      <c r="Z6382">
        <v>-0.13066829999999999</v>
      </c>
      <c r="AA6382">
        <v>0.79017380000000004</v>
      </c>
      <c r="AB6382">
        <v>30</v>
      </c>
      <c r="AC6382">
        <v>7.9454000000000304</v>
      </c>
      <c r="AD6382">
        <v>-1.1010973860897999</v>
      </c>
      <c r="AE6382">
        <v>2.6703999999999999</v>
      </c>
      <c r="AF6382">
        <v>5.0973032771008597</v>
      </c>
      <c r="AG6382">
        <v>-1.1010973860897999</v>
      </c>
      <c r="AH6382">
        <v>6.47413596983262</v>
      </c>
      <c r="AI6382">
        <v>97.611285906283001</v>
      </c>
      <c r="AJ6382">
        <v>51.785461260535101</v>
      </c>
      <c r="AK6382">
        <v>8.3132035165920009</v>
      </c>
      <c r="AL6382">
        <v>86.379763652239404</v>
      </c>
      <c r="AM6382">
        <v>68.802453655448801</v>
      </c>
      <c r="AN6382">
        <v>1.0000000069514501</v>
      </c>
    </row>
    <row r="6383" spans="1:40" x14ac:dyDescent="0.25">
      <c r="A6383" t="str">
        <f>"20190312151443418"</f>
        <v>20190312151443418</v>
      </c>
      <c r="B6383" t="str">
        <f>"1552374883406967"</f>
        <v>1552374883406967</v>
      </c>
      <c r="C6383" t="s">
        <v>40</v>
      </c>
      <c r="D6383">
        <v>5.1281030000000003</v>
      </c>
      <c r="E6383">
        <v>0.61254379999999997</v>
      </c>
      <c r="F6383" t="s">
        <v>42</v>
      </c>
      <c r="G6383">
        <v>-169.0675</v>
      </c>
      <c r="H6383" s="1">
        <v>-4.635945E-7</v>
      </c>
      <c r="I6383">
        <v>139.77539999999999</v>
      </c>
      <c r="J6383">
        <v>-177.02209999999999</v>
      </c>
      <c r="K6383">
        <v>1.1010819999999999</v>
      </c>
      <c r="L6383">
        <v>137.15549999999999</v>
      </c>
      <c r="M6383">
        <v>0.55295309999999998</v>
      </c>
      <c r="N6383">
        <v>0</v>
      </c>
      <c r="O6383">
        <v>0.83310059999999997</v>
      </c>
      <c r="P6383">
        <v>0.81470159999999903</v>
      </c>
      <c r="Q6383">
        <v>5.8142819999999998E-2</v>
      </c>
      <c r="R6383">
        <v>0.57695819999999998</v>
      </c>
      <c r="S6383">
        <v>2.9920499999999999</v>
      </c>
      <c r="T6383">
        <v>-0.40892820000000002</v>
      </c>
      <c r="U6383">
        <v>1.0266109999999999</v>
      </c>
      <c r="V6383">
        <v>0.36119630000000003</v>
      </c>
      <c r="W6383">
        <v>6.2952179999999996E-2</v>
      </c>
      <c r="X6383">
        <v>0.93036249999999998</v>
      </c>
      <c r="Y6383">
        <v>0.5993463</v>
      </c>
      <c r="Z6383">
        <v>-0.13076740000000001</v>
      </c>
      <c r="AA6383">
        <v>0.78973660000000001</v>
      </c>
      <c r="AB6383">
        <v>30</v>
      </c>
      <c r="AC6383">
        <v>7.9545999999999903</v>
      </c>
      <c r="AD6383">
        <v>-1.10108246359449</v>
      </c>
      <c r="AE6383">
        <v>2.6198999999999999</v>
      </c>
      <c r="AF6383">
        <v>5.0907867759605896</v>
      </c>
      <c r="AG6383">
        <v>-1.10108246359449</v>
      </c>
      <c r="AH6383">
        <v>6.4699391713898899</v>
      </c>
      <c r="AI6383">
        <v>97.617879457304198</v>
      </c>
      <c r="AJ6383">
        <v>51.803026181185302</v>
      </c>
      <c r="AK6383">
        <v>8.3059379645778595</v>
      </c>
      <c r="AL6383">
        <v>86.390719403287306</v>
      </c>
      <c r="AM6383">
        <v>68.782204828499104</v>
      </c>
      <c r="AN6383">
        <v>1.0000000627533401</v>
      </c>
    </row>
    <row r="6384" spans="1:40" x14ac:dyDescent="0.25">
      <c r="A6384" t="str">
        <f>"20190312151443431"</f>
        <v>20190312151443431</v>
      </c>
      <c r="B6384" t="str">
        <f>"1552374883427463"</f>
        <v>1552374883427463</v>
      </c>
      <c r="C6384" t="s">
        <v>40</v>
      </c>
      <c r="D6384">
        <v>4.1043589999999996</v>
      </c>
      <c r="E6384">
        <v>0.61227719999999997</v>
      </c>
      <c r="F6384" t="s">
        <v>42</v>
      </c>
      <c r="G6384">
        <v>-168.9385</v>
      </c>
      <c r="H6384" s="1">
        <v>-5.5007259999999996E-7</v>
      </c>
      <c r="I6384">
        <v>139.87119999999999</v>
      </c>
      <c r="J6384">
        <v>-176.92509999999999</v>
      </c>
      <c r="K6384">
        <v>1.1010660000000001</v>
      </c>
      <c r="L6384">
        <v>137.29150000000001</v>
      </c>
      <c r="M6384">
        <v>0.55796099999999904</v>
      </c>
      <c r="N6384">
        <v>0</v>
      </c>
      <c r="O6384">
        <v>0.82975489999999996</v>
      </c>
      <c r="P6384">
        <v>0.81834119999999899</v>
      </c>
      <c r="Q6384">
        <v>5.8243349999999999E-2</v>
      </c>
      <c r="R6384">
        <v>0.571774</v>
      </c>
      <c r="S6384">
        <v>2.998154</v>
      </c>
      <c r="T6384">
        <v>-0.40838350000000001</v>
      </c>
      <c r="U6384">
        <v>1.007233</v>
      </c>
      <c r="V6384">
        <v>0.36149759999999997</v>
      </c>
      <c r="W6384">
        <v>6.3037369999999995E-2</v>
      </c>
      <c r="X6384">
        <v>0.93023960000000006</v>
      </c>
      <c r="Y6384">
        <v>0.59965990000000002</v>
      </c>
      <c r="Z6384">
        <v>-0.1304186</v>
      </c>
      <c r="AA6384">
        <v>0.78955620000000004</v>
      </c>
      <c r="AB6384">
        <v>30</v>
      </c>
      <c r="AC6384">
        <v>7.9865999999999797</v>
      </c>
      <c r="AD6384">
        <v>-1.10106655007259</v>
      </c>
      <c r="AE6384">
        <v>2.5796999999999701</v>
      </c>
      <c r="AF6384">
        <v>5.10025186542945</v>
      </c>
      <c r="AG6384">
        <v>-1.10106655007259</v>
      </c>
      <c r="AH6384">
        <v>6.4857195514300798</v>
      </c>
      <c r="AI6384">
        <v>97.601113816215104</v>
      </c>
      <c r="AJ6384">
        <v>51.819133590040003</v>
      </c>
      <c r="AK6384">
        <v>8.3240299577973502</v>
      </c>
      <c r="AL6384">
        <v>86.385828323550996</v>
      </c>
      <c r="AM6384">
        <v>68.763526236300294</v>
      </c>
      <c r="AN6384">
        <v>0.99999996911521805</v>
      </c>
    </row>
    <row r="6385" spans="1:40" x14ac:dyDescent="0.25">
      <c r="A6385" t="str">
        <f>"20190312151443444"</f>
        <v>20190312151443444</v>
      </c>
      <c r="B6385" t="str">
        <f>"1552374883437223"</f>
        <v>1552374883437223</v>
      </c>
      <c r="C6385" t="s">
        <v>40</v>
      </c>
      <c r="D6385">
        <v>4.0805899999999999</v>
      </c>
      <c r="E6385">
        <v>0.61214269999999904</v>
      </c>
      <c r="F6385" t="s">
        <v>42</v>
      </c>
      <c r="G6385">
        <v>-168.7833</v>
      </c>
      <c r="H6385" s="1">
        <v>-6.5089949999999997E-7</v>
      </c>
      <c r="I6385">
        <v>139.97450000000001</v>
      </c>
      <c r="J6385">
        <v>-176.82210000000001</v>
      </c>
      <c r="K6385">
        <v>1.1010489999999999</v>
      </c>
      <c r="L6385">
        <v>137.43440000000001</v>
      </c>
      <c r="M6385">
        <v>0.56322869999999903</v>
      </c>
      <c r="N6385">
        <v>0</v>
      </c>
      <c r="O6385">
        <v>0.82618819999999904</v>
      </c>
      <c r="P6385">
        <v>0.82222659999999903</v>
      </c>
      <c r="Q6385">
        <v>5.8520950000000002E-2</v>
      </c>
      <c r="R6385">
        <v>0.56614370000000003</v>
      </c>
      <c r="S6385">
        <v>3.0033569999999998</v>
      </c>
      <c r="T6385">
        <v>-0.40616200000000002</v>
      </c>
      <c r="U6385">
        <v>0.98971560000000003</v>
      </c>
      <c r="V6385">
        <v>0.36195579999999999</v>
      </c>
      <c r="W6385">
        <v>6.3295770000000001E-2</v>
      </c>
      <c r="X6385">
        <v>0.93004390000000003</v>
      </c>
      <c r="Y6385">
        <v>0.59927299999999994</v>
      </c>
      <c r="Z6385">
        <v>-0.1294949</v>
      </c>
      <c r="AA6385">
        <v>0.79000179999999998</v>
      </c>
      <c r="AB6385">
        <v>30</v>
      </c>
      <c r="AC6385">
        <v>8.0388000000000002</v>
      </c>
      <c r="AD6385">
        <v>-1.1010496508995</v>
      </c>
      <c r="AE6385">
        <v>2.54009999999999</v>
      </c>
      <c r="AF6385">
        <v>5.1239909534938297</v>
      </c>
      <c r="AG6385">
        <v>-1.1010496508995</v>
      </c>
      <c r="AH6385">
        <v>6.5157626541845497</v>
      </c>
      <c r="AI6385">
        <v>97.566295105967299</v>
      </c>
      <c r="AJ6385">
        <v>51.818515606768997</v>
      </c>
      <c r="AK6385">
        <v>8.3619828145541302</v>
      </c>
      <c r="AL6385">
        <v>86.370993601664196</v>
      </c>
      <c r="AM6385">
        <v>68.734937257383805</v>
      </c>
      <c r="AN6385">
        <v>1.00000000579037</v>
      </c>
    </row>
    <row r="6386" spans="1:40" x14ac:dyDescent="0.25">
      <c r="A6386" t="str">
        <f>"20190312151443455"</f>
        <v>20190312151443455</v>
      </c>
      <c r="B6386" t="str">
        <f>"1552374883446984"</f>
        <v>1552374883446984</v>
      </c>
      <c r="C6386" t="s">
        <v>40</v>
      </c>
      <c r="D6386">
        <v>4.0723669999999998</v>
      </c>
      <c r="E6386">
        <v>0.61195869999999997</v>
      </c>
      <c r="F6386" t="s">
        <v>42</v>
      </c>
      <c r="G6386">
        <v>-168.61500000000001</v>
      </c>
      <c r="H6386" s="1">
        <v>-7.5824899999999998E-7</v>
      </c>
      <c r="I6386">
        <v>140.0789</v>
      </c>
      <c r="J6386">
        <v>-176.7304</v>
      </c>
      <c r="K6386">
        <v>1.101043</v>
      </c>
      <c r="L6386">
        <v>137.5592</v>
      </c>
      <c r="M6386">
        <v>0.56783799999999995</v>
      </c>
      <c r="N6386">
        <v>0</v>
      </c>
      <c r="O6386">
        <v>0.82302710000000001</v>
      </c>
      <c r="P6386">
        <v>0.82567080000000004</v>
      </c>
      <c r="Q6386">
        <v>5.8476859999999999E-2</v>
      </c>
      <c r="R6386">
        <v>0.56111350000000004</v>
      </c>
      <c r="S6386">
        <v>3.0096440000000002</v>
      </c>
      <c r="T6386">
        <v>-0.40377069999999998</v>
      </c>
      <c r="U6386">
        <v>0.96975710000000004</v>
      </c>
      <c r="V6386">
        <v>0.36243809999999999</v>
      </c>
      <c r="W6386">
        <v>6.3234390000000001E-2</v>
      </c>
      <c r="X6386">
        <v>0.92986020000000003</v>
      </c>
      <c r="Y6386">
        <v>0.60016729999999996</v>
      </c>
      <c r="Z6386">
        <v>-0.12859200000000001</v>
      </c>
      <c r="AA6386">
        <v>0.78947029999999996</v>
      </c>
      <c r="AB6386">
        <v>30</v>
      </c>
      <c r="AC6386">
        <v>8.1153999999999904</v>
      </c>
      <c r="AD6386">
        <v>-1.101043758249</v>
      </c>
      <c r="AE6386">
        <v>2.5196999999999998</v>
      </c>
      <c r="AF6386">
        <v>5.1622341099537401</v>
      </c>
      <c r="AG6386">
        <v>-1.101043758249</v>
      </c>
      <c r="AH6386">
        <v>6.5722956386750999</v>
      </c>
      <c r="AI6386">
        <v>97.505324482000503</v>
      </c>
      <c r="AJ6386">
        <v>51.852005046971598</v>
      </c>
      <c r="AK6386">
        <v>8.4294737869986101</v>
      </c>
      <c r="AL6386">
        <v>86.374517374791097</v>
      </c>
      <c r="AM6386">
        <v>68.705308392392297</v>
      </c>
      <c r="AN6386">
        <v>0.99999997797716</v>
      </c>
    </row>
    <row r="6387" spans="1:40" x14ac:dyDescent="0.25">
      <c r="A6387" t="str">
        <f>"20190312151443470"</f>
        <v>20190312151443470</v>
      </c>
      <c r="B6387" t="str">
        <f>"1552374883466503"</f>
        <v>1552374883466503</v>
      </c>
      <c r="C6387" t="s">
        <v>40</v>
      </c>
      <c r="D6387">
        <v>4.0483260000000003</v>
      </c>
      <c r="E6387">
        <v>0.6117456</v>
      </c>
      <c r="F6387" t="s">
        <v>42</v>
      </c>
      <c r="G6387">
        <v>-168.4897</v>
      </c>
      <c r="H6387" s="1">
        <v>-8.3970619999999897E-7</v>
      </c>
      <c r="I6387">
        <v>140.16239999999999</v>
      </c>
      <c r="J6387">
        <v>-176.6123</v>
      </c>
      <c r="K6387">
        <v>1.1010340000000001</v>
      </c>
      <c r="L6387">
        <v>137.71860000000001</v>
      </c>
      <c r="M6387">
        <v>0.57372339999999999</v>
      </c>
      <c r="N6387">
        <v>0</v>
      </c>
      <c r="O6387">
        <v>0.81893519999999997</v>
      </c>
      <c r="P6387">
        <v>0.82994939999999995</v>
      </c>
      <c r="Q6387">
        <v>5.8531310000000003E-2</v>
      </c>
      <c r="R6387">
        <v>0.55475949999999996</v>
      </c>
      <c r="S6387">
        <v>3.0147249999999999</v>
      </c>
      <c r="T6387">
        <v>-0.40279609999999999</v>
      </c>
      <c r="U6387">
        <v>0.95234680000000005</v>
      </c>
      <c r="V6387">
        <v>0.36290879999999998</v>
      </c>
      <c r="W6387">
        <v>6.3272449999999994E-2</v>
      </c>
      <c r="X6387">
        <v>0.929674</v>
      </c>
      <c r="Y6387">
        <v>0.59905900000000001</v>
      </c>
      <c r="Z6387">
        <v>-0.12798190000000001</v>
      </c>
      <c r="AA6387">
        <v>0.79041059999999996</v>
      </c>
      <c r="AB6387">
        <v>30</v>
      </c>
      <c r="AC6387">
        <v>8.1226000000000003</v>
      </c>
      <c r="AD6387">
        <v>-1.1010348397062</v>
      </c>
      <c r="AE6387">
        <v>2.44379999999998</v>
      </c>
      <c r="AF6387">
        <v>5.1633101681826297</v>
      </c>
      <c r="AG6387">
        <v>-1.1010348397062</v>
      </c>
      <c r="AH6387">
        <v>6.5516708777270001</v>
      </c>
      <c r="AI6387">
        <v>97.519089813901502</v>
      </c>
      <c r="AJ6387">
        <v>51.758688102372503</v>
      </c>
      <c r="AK6387">
        <v>8.4140620927802203</v>
      </c>
      <c r="AL6387">
        <v>86.372332304306198</v>
      </c>
      <c r="AM6387">
        <v>68.676247943010694</v>
      </c>
      <c r="AN6387">
        <v>0.99999997316122002</v>
      </c>
    </row>
    <row r="6388" spans="1:40" x14ac:dyDescent="0.25">
      <c r="A6388" t="str">
        <f>"20190312151443484"</f>
        <v>20190312151443484</v>
      </c>
      <c r="B6388" t="str">
        <f>"1552374883477239"</f>
        <v>1552374883477239</v>
      </c>
      <c r="C6388" t="s">
        <v>40</v>
      </c>
      <c r="D6388">
        <v>4.064387</v>
      </c>
      <c r="E6388">
        <v>0.61165419999999904</v>
      </c>
      <c r="F6388" t="s">
        <v>42</v>
      </c>
      <c r="G6388">
        <v>-168.3603</v>
      </c>
      <c r="H6388" s="1">
        <v>-9.267123E-7</v>
      </c>
      <c r="I6388">
        <v>140.2595</v>
      </c>
      <c r="J6388">
        <v>-176.49250000000001</v>
      </c>
      <c r="K6388">
        <v>1.10103</v>
      </c>
      <c r="L6388">
        <v>137.87790000000001</v>
      </c>
      <c r="M6388">
        <v>0.57961059999999998</v>
      </c>
      <c r="N6388">
        <v>0</v>
      </c>
      <c r="O6388">
        <v>0.81477900000000003</v>
      </c>
      <c r="P6388">
        <v>0.83387299999999998</v>
      </c>
      <c r="Q6388">
        <v>5.8444400000000001E-2</v>
      </c>
      <c r="R6388">
        <v>0.54885349999999999</v>
      </c>
      <c r="S6388">
        <v>3.0212859999999999</v>
      </c>
      <c r="T6388">
        <v>-0.40311789999999997</v>
      </c>
      <c r="U6388">
        <v>0.9303131</v>
      </c>
      <c r="V6388">
        <v>0.36281249999999998</v>
      </c>
      <c r="W6388">
        <v>6.3184889999999994E-2</v>
      </c>
      <c r="X6388">
        <v>0.92971760000000003</v>
      </c>
      <c r="Y6388">
        <v>0.59907189999999999</v>
      </c>
      <c r="Z6388">
        <v>-0.1278223</v>
      </c>
      <c r="AA6388">
        <v>0.79042670000000004</v>
      </c>
      <c r="AB6388">
        <v>30</v>
      </c>
      <c r="AC6388">
        <v>8.1322000000000099</v>
      </c>
      <c r="AD6388">
        <v>-1.1010309267123</v>
      </c>
      <c r="AE6388">
        <v>2.3815999999999899</v>
      </c>
      <c r="AF6388">
        <v>5.1589373552832596</v>
      </c>
      <c r="AG6388">
        <v>-1.1010309267123</v>
      </c>
      <c r="AH6388">
        <v>6.5441247500814601</v>
      </c>
      <c r="AI6388">
        <v>97.526764158000603</v>
      </c>
      <c r="AJ6388">
        <v>51.750186921823897</v>
      </c>
      <c r="AK6388">
        <v>8.4055025121608793</v>
      </c>
      <c r="AL6388">
        <v>86.377359380691601</v>
      </c>
      <c r="AM6388">
        <v>68.682308306541401</v>
      </c>
      <c r="AN6388">
        <v>1.00000002811516</v>
      </c>
    </row>
    <row r="6389" spans="1:40" x14ac:dyDescent="0.25">
      <c r="A6389" t="str">
        <f>"20190312151443496"</f>
        <v>20190312151443496</v>
      </c>
      <c r="B6389" t="str">
        <f>"1552374883486999"</f>
        <v>1552374883486999</v>
      </c>
      <c r="C6389" t="s">
        <v>40</v>
      </c>
      <c r="D6389">
        <v>4.0654879999999904</v>
      </c>
      <c r="E6389">
        <v>0.61153990000000003</v>
      </c>
      <c r="F6389" t="s">
        <v>42</v>
      </c>
      <c r="G6389">
        <v>-168.23269999999999</v>
      </c>
      <c r="H6389" s="1">
        <v>-1.0133610000000001E-6</v>
      </c>
      <c r="I6389">
        <v>140.3586</v>
      </c>
      <c r="J6389">
        <v>-176.3954</v>
      </c>
      <c r="K6389">
        <v>1.101027</v>
      </c>
      <c r="L6389">
        <v>138.00470000000001</v>
      </c>
      <c r="M6389">
        <v>0.58430340000000003</v>
      </c>
      <c r="N6389">
        <v>0</v>
      </c>
      <c r="O6389">
        <v>0.81142029999999998</v>
      </c>
      <c r="P6389">
        <v>0.83701380000000003</v>
      </c>
      <c r="Q6389">
        <v>5.8563749999999998E-2</v>
      </c>
      <c r="R6389">
        <v>0.54403880000000004</v>
      </c>
      <c r="S6389">
        <v>3.0274960000000002</v>
      </c>
      <c r="T6389">
        <v>-0.40356700000000001</v>
      </c>
      <c r="U6389">
        <v>0.90924070000000001</v>
      </c>
      <c r="V6389">
        <v>0.36280079999999998</v>
      </c>
      <c r="W6389">
        <v>6.3303860000000003E-2</v>
      </c>
      <c r="X6389">
        <v>0.92971400000000004</v>
      </c>
      <c r="Y6389">
        <v>0.59995929999999997</v>
      </c>
      <c r="Z6389">
        <v>-0.1277933</v>
      </c>
      <c r="AA6389">
        <v>0.78975810000000002</v>
      </c>
      <c r="AB6389">
        <v>30</v>
      </c>
      <c r="AC6389">
        <v>8.1626999999999992</v>
      </c>
      <c r="AD6389">
        <v>-1.101028013361</v>
      </c>
      <c r="AE6389">
        <v>2.3538999999999799</v>
      </c>
      <c r="AF6389">
        <v>5.1617751279878101</v>
      </c>
      <c r="AG6389">
        <v>-1.101028013361</v>
      </c>
      <c r="AH6389">
        <v>6.56976533329457</v>
      </c>
      <c r="AI6389">
        <v>97.507237180562001</v>
      </c>
      <c r="AJ6389">
        <v>51.843762084226903</v>
      </c>
      <c r="AK6389">
        <v>8.4272179094098707</v>
      </c>
      <c r="AL6389">
        <v>86.370528982714106</v>
      </c>
      <c r="AM6389">
        <v>68.682858919536599</v>
      </c>
      <c r="AN6389">
        <v>0.99999996048376905</v>
      </c>
    </row>
    <row r="6390" spans="1:40" x14ac:dyDescent="0.25">
      <c r="A6390" t="str">
        <f>"20190312151443508"</f>
        <v>20190312151443508</v>
      </c>
      <c r="B6390" t="str">
        <f>"1552374883496760"</f>
        <v>1552374883496760</v>
      </c>
      <c r="C6390" t="s">
        <v>40</v>
      </c>
      <c r="D6390">
        <v>4.0516059999999996</v>
      </c>
      <c r="E6390">
        <v>0.6114404</v>
      </c>
      <c r="F6390" t="s">
        <v>42</v>
      </c>
      <c r="G6390">
        <v>-168.11099999999999</v>
      </c>
      <c r="H6390" s="1">
        <v>-1.093218E-6</v>
      </c>
      <c r="I6390">
        <v>140.4425</v>
      </c>
      <c r="J6390">
        <v>-176.29079999999999</v>
      </c>
      <c r="K6390">
        <v>1.1010279999999999</v>
      </c>
      <c r="L6390">
        <v>138.1403</v>
      </c>
      <c r="M6390">
        <v>0.58931829999999996</v>
      </c>
      <c r="N6390">
        <v>0</v>
      </c>
      <c r="O6390">
        <v>0.80778549999999905</v>
      </c>
      <c r="P6390">
        <v>0.84025680000000003</v>
      </c>
      <c r="Q6390">
        <v>5.8678290000000001E-2</v>
      </c>
      <c r="R6390">
        <v>0.53900409999999999</v>
      </c>
      <c r="S6390">
        <v>3.0323790000000002</v>
      </c>
      <c r="T6390">
        <v>-0.40301429999999999</v>
      </c>
      <c r="U6390">
        <v>0.89231870000000002</v>
      </c>
      <c r="V6390">
        <v>0.3626199</v>
      </c>
      <c r="W6390">
        <v>6.3422829999999999E-2</v>
      </c>
      <c r="X6390">
        <v>0.92977650000000001</v>
      </c>
      <c r="Y6390">
        <v>0.59947689999999998</v>
      </c>
      <c r="Z6390">
        <v>-0.127356</v>
      </c>
      <c r="AA6390">
        <v>0.79019479999999997</v>
      </c>
      <c r="AB6390">
        <v>30</v>
      </c>
      <c r="AC6390">
        <v>8.1798000000000002</v>
      </c>
      <c r="AD6390">
        <v>-1.101029093218</v>
      </c>
      <c r="AE6390">
        <v>2.3021999999999898</v>
      </c>
      <c r="AF6390">
        <v>5.1645808821476402</v>
      </c>
      <c r="AG6390">
        <v>-1.101029093218</v>
      </c>
      <c r="AH6390">
        <v>6.5705055989813097</v>
      </c>
      <c r="AI6390">
        <v>97.505188021611602</v>
      </c>
      <c r="AJ6390">
        <v>51.8317719887539</v>
      </c>
      <c r="AK6390">
        <v>8.4295138993065404</v>
      </c>
      <c r="AL6390">
        <v>86.3636988989918</v>
      </c>
      <c r="AM6390">
        <v>68.693838492571302</v>
      </c>
      <c r="AN6390">
        <v>0.99999999359673397</v>
      </c>
    </row>
    <row r="6391" spans="1:40" x14ac:dyDescent="0.25">
      <c r="A6391" t="str">
        <f>"20190312151443527"</f>
        <v>20190312151443527</v>
      </c>
      <c r="B6391" t="str">
        <f>"1552374883517255"</f>
        <v>1552374883517255</v>
      </c>
      <c r="C6391" t="s">
        <v>40</v>
      </c>
      <c r="D6391">
        <v>4.0665969999999998</v>
      </c>
      <c r="E6391">
        <v>0.61123719999999904</v>
      </c>
      <c r="F6391" t="s">
        <v>42</v>
      </c>
      <c r="G6391">
        <v>-167.97900000000001</v>
      </c>
      <c r="H6391" s="1">
        <v>-1.179871E-6</v>
      </c>
      <c r="I6391">
        <v>140.53360000000001</v>
      </c>
      <c r="J6391">
        <v>-176.1473</v>
      </c>
      <c r="K6391">
        <v>1.1010249999999999</v>
      </c>
      <c r="L6391">
        <v>138.32339999999999</v>
      </c>
      <c r="M6391">
        <v>0.59609319999999999</v>
      </c>
      <c r="N6391">
        <v>0</v>
      </c>
      <c r="O6391">
        <v>0.80279899999999904</v>
      </c>
      <c r="P6391">
        <v>0.84423300000000001</v>
      </c>
      <c r="Q6391">
        <v>5.838252E-2</v>
      </c>
      <c r="R6391">
        <v>0.53278729999999996</v>
      </c>
      <c r="S6391">
        <v>3.0374150000000002</v>
      </c>
      <c r="T6391">
        <v>-0.40235280000000001</v>
      </c>
      <c r="U6391">
        <v>0.87457280000000004</v>
      </c>
      <c r="V6391">
        <v>0.36167009999999999</v>
      </c>
      <c r="W6391">
        <v>6.3152520000000004E-2</v>
      </c>
      <c r="X6391">
        <v>0.93016480000000001</v>
      </c>
      <c r="Y6391">
        <v>0.59745669999999995</v>
      </c>
      <c r="Z6391">
        <v>-0.1267074</v>
      </c>
      <c r="AA6391">
        <v>0.79182750000000002</v>
      </c>
      <c r="AB6391">
        <v>30</v>
      </c>
      <c r="AC6391">
        <v>8.1682999999999808</v>
      </c>
      <c r="AD6391">
        <v>-1.1010261798709999</v>
      </c>
      <c r="AE6391">
        <v>2.2102000000000102</v>
      </c>
      <c r="AF6391">
        <v>5.1532645961204198</v>
      </c>
      <c r="AG6391">
        <v>-1.1010261798709999</v>
      </c>
      <c r="AH6391">
        <v>6.5334266378821502</v>
      </c>
      <c r="AI6391">
        <v>97.537384016427197</v>
      </c>
      <c r="AJ6391">
        <v>51.735257789442599</v>
      </c>
      <c r="AK6391">
        <v>8.3936915763552893</v>
      </c>
      <c r="AL6391">
        <v>86.379217758166305</v>
      </c>
      <c r="AM6391">
        <v>68.752739973794405</v>
      </c>
      <c r="AN6391">
        <v>1.00000002858769</v>
      </c>
    </row>
    <row r="6392" spans="1:40" x14ac:dyDescent="0.25">
      <c r="A6392" t="str">
        <f>"20190312151443549"</f>
        <v>20190312151443549</v>
      </c>
      <c r="B6392" t="str">
        <f>"1552374883536775"</f>
        <v>1552374883536775</v>
      </c>
      <c r="C6392" t="s">
        <v>40</v>
      </c>
      <c r="D6392">
        <v>4.0306449999999998</v>
      </c>
      <c r="E6392">
        <v>0.61111759999999904</v>
      </c>
      <c r="F6392" t="s">
        <v>42</v>
      </c>
      <c r="G6392">
        <v>-167.8434</v>
      </c>
      <c r="H6392" s="1">
        <v>-1.2753520000000001E-6</v>
      </c>
      <c r="I6392">
        <v>140.6515</v>
      </c>
      <c r="J6392">
        <v>-175.95089999999999</v>
      </c>
      <c r="K6392">
        <v>1.101016</v>
      </c>
      <c r="L6392">
        <v>138.5684</v>
      </c>
      <c r="M6392">
        <v>0.60517219999999905</v>
      </c>
      <c r="N6392">
        <v>0</v>
      </c>
      <c r="O6392">
        <v>0.7959773</v>
      </c>
      <c r="P6392">
        <v>0.84982930000000001</v>
      </c>
      <c r="Q6392">
        <v>5.7969399999999997E-2</v>
      </c>
      <c r="R6392">
        <v>0.52386049999999995</v>
      </c>
      <c r="S6392">
        <v>3.042999</v>
      </c>
      <c r="T6392">
        <v>-0.40347420000000001</v>
      </c>
      <c r="U6392">
        <v>0.85313419999999895</v>
      </c>
      <c r="V6392">
        <v>0.36092200000000002</v>
      </c>
      <c r="W6392">
        <v>6.2761339999999999E-2</v>
      </c>
      <c r="X6392">
        <v>0.93048180000000003</v>
      </c>
      <c r="Y6392">
        <v>0.59394590000000003</v>
      </c>
      <c r="Z6392">
        <v>-0.12641179999999999</v>
      </c>
      <c r="AA6392">
        <v>0.79451139999999998</v>
      </c>
      <c r="AB6392">
        <v>30</v>
      </c>
      <c r="AC6392">
        <v>8.1074999999999804</v>
      </c>
      <c r="AD6392">
        <v>-1.101017275352</v>
      </c>
      <c r="AE6392">
        <v>2.0831</v>
      </c>
      <c r="AF6392">
        <v>5.1049205983094197</v>
      </c>
      <c r="AG6392">
        <v>-1.101017275352</v>
      </c>
      <c r="AH6392">
        <v>6.4535001992246004</v>
      </c>
      <c r="AI6392">
        <v>97.621232097353001</v>
      </c>
      <c r="AJ6392">
        <v>51.654900277074603</v>
      </c>
      <c r="AK6392">
        <v>8.3018141497542199</v>
      </c>
      <c r="AL6392">
        <v>86.401675268812298</v>
      </c>
      <c r="AM6392">
        <v>68.799363329620604</v>
      </c>
      <c r="AN6392">
        <v>1.0000000280069099</v>
      </c>
    </row>
    <row r="6393" spans="1:40" x14ac:dyDescent="0.25">
      <c r="A6393" t="str">
        <f>"20190312151443570"</f>
        <v>20190312151443570</v>
      </c>
      <c r="B6393" t="str">
        <f>"1552374883567031"</f>
        <v>1552374883567031</v>
      </c>
      <c r="C6393" t="s">
        <v>40</v>
      </c>
      <c r="D6393">
        <v>4.176774</v>
      </c>
      <c r="E6393">
        <v>0.61152569999999995</v>
      </c>
      <c r="F6393" t="s">
        <v>42</v>
      </c>
      <c r="G6393">
        <v>-167.6534</v>
      </c>
      <c r="H6393" s="1">
        <v>-1.4053809999999901E-6</v>
      </c>
      <c r="I6393">
        <v>140.80260000000001</v>
      </c>
      <c r="J6393">
        <v>-175.76480000000001</v>
      </c>
      <c r="K6393">
        <v>1.1010200000000001</v>
      </c>
      <c r="L6393">
        <v>138.79570000000001</v>
      </c>
      <c r="M6393">
        <v>0.61359719999999995</v>
      </c>
      <c r="N6393">
        <v>0</v>
      </c>
      <c r="O6393">
        <v>0.78950089999999995</v>
      </c>
      <c r="P6393">
        <v>0.85513379999999894</v>
      </c>
      <c r="Q6393">
        <v>5.7733159999999999E-2</v>
      </c>
      <c r="R6393">
        <v>0.51518240000000004</v>
      </c>
      <c r="S6393">
        <v>3.051285</v>
      </c>
      <c r="T6393">
        <v>-0.40487899999999999</v>
      </c>
      <c r="U6393">
        <v>0.82156369999999901</v>
      </c>
      <c r="V6393">
        <v>0.36051240000000001</v>
      </c>
      <c r="W6393">
        <v>6.25391E-2</v>
      </c>
      <c r="X6393">
        <v>0.93065549999999997</v>
      </c>
      <c r="Y6393">
        <v>0.59361909999999996</v>
      </c>
      <c r="Z6393">
        <v>-0.126380399999999</v>
      </c>
      <c r="AA6393">
        <v>0.79476059999999904</v>
      </c>
      <c r="AB6393">
        <v>30</v>
      </c>
      <c r="AC6393">
        <v>8.1113999999999997</v>
      </c>
      <c r="AD6393">
        <v>-1.1010214053809999</v>
      </c>
      <c r="AE6393">
        <v>2.0068999999999999</v>
      </c>
      <c r="AF6393">
        <v>5.0847321378032602</v>
      </c>
      <c r="AG6393">
        <v>-1.1010214053809999</v>
      </c>
      <c r="AH6393">
        <v>6.4502070102576603</v>
      </c>
      <c r="AI6393">
        <v>97.635103025799395</v>
      </c>
      <c r="AJ6393">
        <v>51.751101460680502</v>
      </c>
      <c r="AK6393">
        <v>8.2868522083776508</v>
      </c>
      <c r="AL6393">
        <v>86.414433626142099</v>
      </c>
      <c r="AM6393">
        <v>68.824892402524895</v>
      </c>
      <c r="AN6393">
        <v>0.99999999463140998</v>
      </c>
    </row>
    <row r="6394" spans="1:40" x14ac:dyDescent="0.25">
      <c r="A6394" t="str">
        <f>"20190312151443584"</f>
        <v>20190312151443584</v>
      </c>
      <c r="B6394" t="str">
        <f>"1552374883577298"</f>
        <v>1552374883577298</v>
      </c>
      <c r="C6394" t="s">
        <v>40</v>
      </c>
      <c r="D6394">
        <v>4.3961779999999999</v>
      </c>
      <c r="E6394">
        <v>0.61168369999999905</v>
      </c>
      <c r="F6394" t="s">
        <v>42</v>
      </c>
      <c r="G6394">
        <v>-167.41839999999999</v>
      </c>
      <c r="H6394" s="1">
        <v>-1.55356E-6</v>
      </c>
      <c r="I6394">
        <v>140.94210000000001</v>
      </c>
      <c r="J6394">
        <v>-175.63399999999999</v>
      </c>
      <c r="K6394">
        <v>1.10102099999999</v>
      </c>
      <c r="L6394">
        <v>138.9528</v>
      </c>
      <c r="M6394">
        <v>0.61941820000000003</v>
      </c>
      <c r="N6394">
        <v>0</v>
      </c>
      <c r="O6394">
        <v>0.78494219999999904</v>
      </c>
      <c r="P6394">
        <v>0.85891489999999904</v>
      </c>
      <c r="Q6394">
        <v>5.7643199999999999E-2</v>
      </c>
      <c r="R6394">
        <v>0.50886399999999998</v>
      </c>
      <c r="S6394">
        <v>3.0612029999999999</v>
      </c>
      <c r="T6394">
        <v>-0.40382439999999997</v>
      </c>
      <c r="U6394">
        <v>0.78726200000000002</v>
      </c>
      <c r="V6394">
        <v>0.3604945</v>
      </c>
      <c r="W6394">
        <v>6.2451529999999998E-2</v>
      </c>
      <c r="X6394">
        <v>0.93066839999999995</v>
      </c>
      <c r="Y6394">
        <v>0.59673240000000005</v>
      </c>
      <c r="Z6394">
        <v>-0.12586149999999999</v>
      </c>
      <c r="AA6394">
        <v>0.7925082</v>
      </c>
      <c r="AB6394">
        <v>30</v>
      </c>
      <c r="AC6394">
        <v>8.2156000000000198</v>
      </c>
      <c r="AD6394">
        <v>-1.10102255355999</v>
      </c>
      <c r="AE6394">
        <v>1.9893000000000101</v>
      </c>
      <c r="AF6394">
        <v>5.1300160381436504</v>
      </c>
      <c r="AG6394">
        <v>-1.10102255355999</v>
      </c>
      <c r="AH6394">
        <v>6.5400431960527898</v>
      </c>
      <c r="AI6394">
        <v>97.545581491606995</v>
      </c>
      <c r="AJ6394">
        <v>51.889329364201103</v>
      </c>
      <c r="AK6394">
        <v>8.3845977972288708</v>
      </c>
      <c r="AL6394">
        <v>86.419461130646098</v>
      </c>
      <c r="AM6394">
        <v>68.826118125145399</v>
      </c>
      <c r="AN6394">
        <v>1.00000007444407</v>
      </c>
    </row>
    <row r="6395" spans="1:40" x14ac:dyDescent="0.25">
      <c r="A6395" t="str">
        <f>"20190312151443596"</f>
        <v>20190312151443596</v>
      </c>
      <c r="B6395" t="str">
        <f>"1552374883587057"</f>
        <v>1552374883587057</v>
      </c>
      <c r="C6395" t="s">
        <v>40</v>
      </c>
      <c r="D6395">
        <v>3.4390779999999999</v>
      </c>
      <c r="E6395">
        <v>0.61178140000000003</v>
      </c>
      <c r="F6395" t="s">
        <v>42</v>
      </c>
      <c r="G6395">
        <v>-167.21700000000001</v>
      </c>
      <c r="H6395" s="1">
        <v>-1.676539E-6</v>
      </c>
      <c r="I6395">
        <v>141.04640000000001</v>
      </c>
      <c r="J6395">
        <v>-175.53030000000001</v>
      </c>
      <c r="K6395">
        <v>1.101024</v>
      </c>
      <c r="L6395">
        <v>139.07490000000001</v>
      </c>
      <c r="M6395">
        <v>0.62395699999999998</v>
      </c>
      <c r="N6395">
        <v>0</v>
      </c>
      <c r="O6395">
        <v>0.78133909999999995</v>
      </c>
      <c r="P6395">
        <v>0.86163449999999997</v>
      </c>
      <c r="Q6395">
        <v>5.7700380000000003E-2</v>
      </c>
      <c r="R6395">
        <v>0.50423869999999904</v>
      </c>
      <c r="S6395">
        <v>3.0676420000000002</v>
      </c>
      <c r="T6395">
        <v>-0.40127590000000002</v>
      </c>
      <c r="U6395">
        <v>0.76303100000000001</v>
      </c>
      <c r="V6395">
        <v>0.36010219999999998</v>
      </c>
      <c r="W6395">
        <v>6.2521489999999999E-2</v>
      </c>
      <c r="X6395">
        <v>0.93081550000000002</v>
      </c>
      <c r="Y6395">
        <v>0.59851840000000001</v>
      </c>
      <c r="Z6395">
        <v>-0.1249009</v>
      </c>
      <c r="AA6395">
        <v>0.79131260000000003</v>
      </c>
      <c r="AB6395">
        <v>30</v>
      </c>
      <c r="AC6395">
        <v>8.3132999999999893</v>
      </c>
      <c r="AD6395">
        <v>-1.1010256765390001</v>
      </c>
      <c r="AE6395">
        <v>1.97149999999999</v>
      </c>
      <c r="AF6395">
        <v>5.1798466134643801</v>
      </c>
      <c r="AG6395">
        <v>-1.1010256765390001</v>
      </c>
      <c r="AH6395">
        <v>6.6182722906490099</v>
      </c>
      <c r="AI6395">
        <v>97.463662346086906</v>
      </c>
      <c r="AJ6395">
        <v>51.951190240228698</v>
      </c>
      <c r="AK6395">
        <v>8.4761191940999208</v>
      </c>
      <c r="AL6395">
        <v>86.415444649483305</v>
      </c>
      <c r="AM6395">
        <v>68.850169114064698</v>
      </c>
      <c r="AN6395">
        <v>1.0000000130984501</v>
      </c>
    </row>
    <row r="6396" spans="1:40" x14ac:dyDescent="0.25">
      <c r="A6396" t="str">
        <f>"20190312151443609"</f>
        <v>20190312151443609</v>
      </c>
      <c r="B6396" t="str">
        <f>"1552374883596818"</f>
        <v>1552374883596818</v>
      </c>
      <c r="C6396" t="s">
        <v>40</v>
      </c>
      <c r="D6396">
        <v>4.1577400000000004</v>
      </c>
      <c r="E6396">
        <v>0.61182720000000002</v>
      </c>
      <c r="F6396" t="s">
        <v>42</v>
      </c>
      <c r="G6396">
        <v>-167.04830000000001</v>
      </c>
      <c r="H6396" s="1">
        <v>-1.7794139999999901E-6</v>
      </c>
      <c r="I6396">
        <v>141.13339999999999</v>
      </c>
      <c r="J6396">
        <v>-175.41929999999999</v>
      </c>
      <c r="K6396">
        <v>1.1010279999999999</v>
      </c>
      <c r="L6396">
        <v>139.20480000000001</v>
      </c>
      <c r="M6396">
        <v>0.62877649999999996</v>
      </c>
      <c r="N6396">
        <v>0</v>
      </c>
      <c r="O6396">
        <v>0.77746590000000004</v>
      </c>
      <c r="P6396">
        <v>0.86453340000000001</v>
      </c>
      <c r="Q6396">
        <v>5.7616680000000003E-2</v>
      </c>
      <c r="R6396">
        <v>0.49926189999999998</v>
      </c>
      <c r="S6396">
        <v>3.0721440000000002</v>
      </c>
      <c r="T6396">
        <v>-0.39878439999999998</v>
      </c>
      <c r="U6396">
        <v>0.74555969999999905</v>
      </c>
      <c r="V6396">
        <v>0.35971570000000003</v>
      </c>
      <c r="W6396">
        <v>6.2451060000000003E-2</v>
      </c>
      <c r="X6396">
        <v>0.93096970000000001</v>
      </c>
      <c r="Y6396">
        <v>0.59824489999999997</v>
      </c>
      <c r="Z6396">
        <v>-0.12382899999999999</v>
      </c>
      <c r="AA6396">
        <v>0.79168769999999999</v>
      </c>
      <c r="AB6396">
        <v>30</v>
      </c>
      <c r="AC6396">
        <v>8.3709999999999791</v>
      </c>
      <c r="AD6396">
        <v>-1.101029779414</v>
      </c>
      <c r="AE6396">
        <v>1.9285999999999801</v>
      </c>
      <c r="AF6396">
        <v>5.2104075196651696</v>
      </c>
      <c r="AG6396">
        <v>-1.101029779414</v>
      </c>
      <c r="AH6396">
        <v>6.6542258746236698</v>
      </c>
      <c r="AI6396">
        <v>97.422517108390494</v>
      </c>
      <c r="AJ6396">
        <v>51.938262458499999</v>
      </c>
      <c r="AK6396">
        <v>8.5228712935636306</v>
      </c>
      <c r="AL6396">
        <v>86.419488028348297</v>
      </c>
      <c r="AM6396">
        <v>68.874056629699794</v>
      </c>
      <c r="AN6396">
        <v>1.0000000510198499</v>
      </c>
    </row>
    <row r="6397" spans="1:40" x14ac:dyDescent="0.25">
      <c r="A6397" t="str">
        <f>"20190312151443621"</f>
        <v>20190312151443621</v>
      </c>
      <c r="B6397" t="str">
        <f>"1552374883617313"</f>
        <v>1552374883617313</v>
      </c>
      <c r="C6397" t="s">
        <v>40</v>
      </c>
      <c r="D6397">
        <v>3.5070190000000001</v>
      </c>
      <c r="E6397">
        <v>0.61192349999999995</v>
      </c>
      <c r="F6397" t="s">
        <v>42</v>
      </c>
      <c r="G6397">
        <v>-166.88159999999999</v>
      </c>
      <c r="H6397" s="1">
        <v>-1.8819839999999999E-6</v>
      </c>
      <c r="I6397">
        <v>141.2227</v>
      </c>
      <c r="J6397">
        <v>-175.3074</v>
      </c>
      <c r="K6397">
        <v>1.1010310000000001</v>
      </c>
      <c r="L6397">
        <v>139.3339</v>
      </c>
      <c r="M6397">
        <v>0.63356919999999906</v>
      </c>
      <c r="N6397">
        <v>0</v>
      </c>
      <c r="O6397">
        <v>0.77356519999999995</v>
      </c>
      <c r="P6397">
        <v>0.86724809999999997</v>
      </c>
      <c r="Q6397">
        <v>5.7616510000000003E-2</v>
      </c>
      <c r="R6397">
        <v>0.49453130000000001</v>
      </c>
      <c r="S6397">
        <v>3.0766140000000002</v>
      </c>
      <c r="T6397">
        <v>-0.39676329999999999</v>
      </c>
      <c r="U6397">
        <v>0.72717290000000001</v>
      </c>
      <c r="V6397">
        <v>0.35904760000000002</v>
      </c>
      <c r="W6397">
        <v>6.2471039999999999E-2</v>
      </c>
      <c r="X6397">
        <v>0.9312262</v>
      </c>
      <c r="Y6397">
        <v>0.59817180000000003</v>
      </c>
      <c r="Z6397">
        <v>-0.1229167</v>
      </c>
      <c r="AA6397">
        <v>0.79188510000000001</v>
      </c>
      <c r="AB6397">
        <v>30</v>
      </c>
      <c r="AC6397">
        <v>8.4258000000000095</v>
      </c>
      <c r="AD6397">
        <v>-1.1010328819839901</v>
      </c>
      <c r="AE6397">
        <v>1.8888</v>
      </c>
      <c r="AF6397">
        <v>5.2365778510960004</v>
      </c>
      <c r="AG6397">
        <v>-1.1010328819839901</v>
      </c>
      <c r="AH6397">
        <v>6.69128165954492</v>
      </c>
      <c r="AI6397">
        <v>97.383393837440096</v>
      </c>
      <c r="AJ6397">
        <v>51.953368279976097</v>
      </c>
      <c r="AK6397">
        <v>8.5678043421381602</v>
      </c>
      <c r="AL6397">
        <v>86.418340917647299</v>
      </c>
      <c r="AM6397">
        <v>68.915140305447494</v>
      </c>
      <c r="AN6397">
        <v>1.00000002273544</v>
      </c>
    </row>
    <row r="6398" spans="1:40" x14ac:dyDescent="0.25">
      <c r="A6398" t="str">
        <f>"20190312151443633"</f>
        <v>20190312151443633</v>
      </c>
      <c r="B6398" t="str">
        <f>"1552374883627074"</f>
        <v>1552374883627074</v>
      </c>
      <c r="C6398" t="s">
        <v>40</v>
      </c>
      <c r="D6398">
        <v>4.1425419999999997</v>
      </c>
      <c r="E6398">
        <v>0.61197969999999902</v>
      </c>
      <c r="F6398" t="s">
        <v>42</v>
      </c>
      <c r="G6398">
        <v>-166.6782</v>
      </c>
      <c r="H6398" s="1">
        <v>-2.0043750000000002E-6</v>
      </c>
      <c r="I6398">
        <v>141.32130000000001</v>
      </c>
      <c r="J6398">
        <v>-175.19980000000001</v>
      </c>
      <c r="K6398">
        <v>1.1010340000000001</v>
      </c>
      <c r="L6398">
        <v>139.45650000000001</v>
      </c>
      <c r="M6398">
        <v>0.6381251</v>
      </c>
      <c r="N6398">
        <v>0</v>
      </c>
      <c r="O6398">
        <v>0.76981129999999998</v>
      </c>
      <c r="P6398">
        <v>0.869834199999999</v>
      </c>
      <c r="Q6398">
        <v>5.7610769999999999E-2</v>
      </c>
      <c r="R6398">
        <v>0.48996869999999998</v>
      </c>
      <c r="S6398">
        <v>3.0807500000000001</v>
      </c>
      <c r="T6398">
        <v>-0.39308270000000001</v>
      </c>
      <c r="U6398">
        <v>0.70953369999999905</v>
      </c>
      <c r="V6398">
        <v>0.35844100000000001</v>
      </c>
      <c r="W6398">
        <v>6.2484369999999997E-2</v>
      </c>
      <c r="X6398">
        <v>0.93145900000000004</v>
      </c>
      <c r="Y6398">
        <v>0.59819</v>
      </c>
      <c r="Z6398">
        <v>-0.12151389999999999</v>
      </c>
      <c r="AA6398">
        <v>0.79208780000000001</v>
      </c>
      <c r="AB6398">
        <v>30</v>
      </c>
      <c r="AC6398">
        <v>8.5215999999999994</v>
      </c>
      <c r="AD6398">
        <v>-1.101036004375</v>
      </c>
      <c r="AE6398">
        <v>1.8648</v>
      </c>
      <c r="AF6398">
        <v>5.2863330763679501</v>
      </c>
      <c r="AG6398">
        <v>-1.101036004375</v>
      </c>
      <c r="AH6398">
        <v>6.7662397162829402</v>
      </c>
      <c r="AI6398">
        <v>97.3071226341944</v>
      </c>
      <c r="AJ6398">
        <v>52.000172257179599</v>
      </c>
      <c r="AK6398">
        <v>8.65676599980827</v>
      </c>
      <c r="AL6398">
        <v>86.417575795786107</v>
      </c>
      <c r="AM6398">
        <v>68.952440389536505</v>
      </c>
      <c r="AN6398">
        <v>1.0000000578281401</v>
      </c>
    </row>
    <row r="6399" spans="1:40" x14ac:dyDescent="0.25">
      <c r="A6399" t="str">
        <f>"20190312151443649"</f>
        <v>20190312151443649</v>
      </c>
      <c r="B6399" t="str">
        <f>"1552374883636834"</f>
        <v>1552374883636834</v>
      </c>
      <c r="C6399" t="s">
        <v>40</v>
      </c>
      <c r="D6399">
        <v>4.1501760000000001</v>
      </c>
      <c r="E6399">
        <v>0.61206169999999904</v>
      </c>
      <c r="F6399" t="s">
        <v>42</v>
      </c>
      <c r="G6399">
        <v>-166.5239</v>
      </c>
      <c r="H6399" s="1">
        <v>-2.099656E-6</v>
      </c>
      <c r="I6399">
        <v>141.40530000000001</v>
      </c>
      <c r="J6399">
        <v>-175.06139999999999</v>
      </c>
      <c r="K6399">
        <v>1.101035</v>
      </c>
      <c r="L6399">
        <v>139.6123</v>
      </c>
      <c r="M6399">
        <v>0.64391290000000001</v>
      </c>
      <c r="N6399">
        <v>0</v>
      </c>
      <c r="O6399">
        <v>0.76497660000000001</v>
      </c>
      <c r="P6399">
        <v>0.87270879999999995</v>
      </c>
      <c r="Q6399">
        <v>5.8041410000000002E-2</v>
      </c>
      <c r="R6399">
        <v>0.48477880000000001</v>
      </c>
      <c r="S6399">
        <v>3.0845639999999999</v>
      </c>
      <c r="T6399">
        <v>-0.39145540000000001</v>
      </c>
      <c r="U6399">
        <v>0.69287109999999996</v>
      </c>
      <c r="V6399">
        <v>0.35694999999999999</v>
      </c>
      <c r="W6399">
        <v>6.2959310000000004E-2</v>
      </c>
      <c r="X6399">
        <v>0.93199940000000003</v>
      </c>
      <c r="Y6399">
        <v>0.59656849999999995</v>
      </c>
      <c r="Z6399">
        <v>-0.12057030000000001</v>
      </c>
      <c r="AA6399">
        <v>0.79345379999999999</v>
      </c>
      <c r="AB6399">
        <v>30</v>
      </c>
      <c r="AC6399">
        <v>8.5374999999999908</v>
      </c>
      <c r="AD6399">
        <v>-1.1010370996559999</v>
      </c>
      <c r="AE6399">
        <v>1.7929999999999999</v>
      </c>
      <c r="AF6399">
        <v>5.2926462357063997</v>
      </c>
      <c r="AG6399">
        <v>-1.1010370996559999</v>
      </c>
      <c r="AH6399">
        <v>6.7619384706929697</v>
      </c>
      <c r="AI6399">
        <v>97.306708353733598</v>
      </c>
      <c r="AJ6399">
        <v>51.949308758620496</v>
      </c>
      <c r="AK6399">
        <v>8.6572627748378803</v>
      </c>
      <c r="AL6399">
        <v>86.390309951897706</v>
      </c>
      <c r="AM6399">
        <v>69.0434695016842</v>
      </c>
      <c r="AN6399">
        <v>1.00000002940801</v>
      </c>
    </row>
    <row r="6400" spans="1:40" x14ac:dyDescent="0.25">
      <c r="A6400" t="str">
        <f>"20190312151443664"</f>
        <v>20190312151443664</v>
      </c>
      <c r="B6400" t="str">
        <f>"1552374883657329"</f>
        <v>1552374883657329</v>
      </c>
      <c r="C6400" t="s">
        <v>40</v>
      </c>
      <c r="D6400">
        <v>4.1437650000000001</v>
      </c>
      <c r="E6400">
        <v>0.61220509999999995</v>
      </c>
      <c r="F6400" t="s">
        <v>42</v>
      </c>
      <c r="G6400">
        <v>-166.334</v>
      </c>
      <c r="H6400" s="1">
        <v>-2.2196369999999999E-6</v>
      </c>
      <c r="I6400">
        <v>141.5188</v>
      </c>
      <c r="J6400">
        <v>-174.9161</v>
      </c>
      <c r="K6400">
        <v>1.101038</v>
      </c>
      <c r="L6400">
        <v>139.77330000000001</v>
      </c>
      <c r="M6400">
        <v>0.64989609999999998</v>
      </c>
      <c r="N6400">
        <v>0</v>
      </c>
      <c r="O6400">
        <v>0.75990009999999997</v>
      </c>
      <c r="P6400">
        <v>0.87605259999999996</v>
      </c>
      <c r="Q6400">
        <v>5.80788E-2</v>
      </c>
      <c r="R6400">
        <v>0.4787054</v>
      </c>
      <c r="S6400">
        <v>3.0886990000000001</v>
      </c>
      <c r="T6400">
        <v>-0.3896654</v>
      </c>
      <c r="U6400">
        <v>0.67471309999999995</v>
      </c>
      <c r="V6400">
        <v>0.35610740000000002</v>
      </c>
      <c r="W6400">
        <v>6.3023079999999995E-2</v>
      </c>
      <c r="X6400">
        <v>0.93231730000000002</v>
      </c>
      <c r="Y6400">
        <v>0.59509299999999998</v>
      </c>
      <c r="Z6400">
        <v>-0.1195626</v>
      </c>
      <c r="AA6400">
        <v>0.79471329999999996</v>
      </c>
      <c r="AB6400">
        <v>30</v>
      </c>
      <c r="AC6400">
        <v>8.5820999999999898</v>
      </c>
      <c r="AD6400">
        <v>-1.1010402196369999</v>
      </c>
      <c r="AE6400">
        <v>1.7454999999999901</v>
      </c>
      <c r="AF6400">
        <v>5.3038176119595004</v>
      </c>
      <c r="AG6400">
        <v>-1.1010402196369999</v>
      </c>
      <c r="AH6400">
        <v>6.7970909818579797</v>
      </c>
      <c r="AI6400">
        <v>97.277740086967796</v>
      </c>
      <c r="AJ6400">
        <v>52.034834859035101</v>
      </c>
      <c r="AK6400">
        <v>8.6915600810122307</v>
      </c>
      <c r="AL6400">
        <v>86.386648708970398</v>
      </c>
      <c r="AM6400">
        <v>69.095170788411295</v>
      </c>
      <c r="AN6400">
        <v>0.99999996841336702</v>
      </c>
    </row>
    <row r="6401" spans="1:40" x14ac:dyDescent="0.25">
      <c r="A6401" t="str">
        <f>"20190312151443682"</f>
        <v>20190312151443682</v>
      </c>
      <c r="B6401" t="str">
        <f>"1552374883677359"</f>
        <v>1552374883677359</v>
      </c>
      <c r="C6401" t="s">
        <v>40</v>
      </c>
      <c r="D6401">
        <v>4.1536939999999998</v>
      </c>
      <c r="E6401">
        <v>0.6122959</v>
      </c>
      <c r="F6401" t="s">
        <v>42</v>
      </c>
      <c r="G6401">
        <v>-166.1156</v>
      </c>
      <c r="H6401" s="1">
        <v>-2.35238E-6</v>
      </c>
      <c r="I6401">
        <v>141.62970000000001</v>
      </c>
      <c r="J6401">
        <v>-174.75049999999999</v>
      </c>
      <c r="K6401">
        <v>1.101043</v>
      </c>
      <c r="L6401">
        <v>139.95349999999999</v>
      </c>
      <c r="M6401">
        <v>0.6566033</v>
      </c>
      <c r="N6401">
        <v>0</v>
      </c>
      <c r="O6401">
        <v>0.75411219999999901</v>
      </c>
      <c r="P6401">
        <v>0.87963959999999997</v>
      </c>
      <c r="Q6401">
        <v>5.7739939999999997E-2</v>
      </c>
      <c r="R6401">
        <v>0.47212310000000002</v>
      </c>
      <c r="S6401">
        <v>3.0935359999999998</v>
      </c>
      <c r="T6401">
        <v>-0.38703310000000002</v>
      </c>
      <c r="U6401">
        <v>0.65254209999999901</v>
      </c>
      <c r="V6401">
        <v>0.35484529999999997</v>
      </c>
      <c r="W6401">
        <v>6.2723269999999998E-2</v>
      </c>
      <c r="X6401">
        <v>0.9328187</v>
      </c>
      <c r="Y6401">
        <v>0.59386810000000001</v>
      </c>
      <c r="Z6401">
        <v>-0.11826059999999999</v>
      </c>
      <c r="AA6401">
        <v>0.79582359999999996</v>
      </c>
      <c r="AB6401">
        <v>30</v>
      </c>
      <c r="AC6401">
        <v>8.6348999999999805</v>
      </c>
      <c r="AD6401">
        <v>-1.1010453523799999</v>
      </c>
      <c r="AE6401">
        <v>1.6762000000000199</v>
      </c>
      <c r="AF6401">
        <v>5.3281065102870402</v>
      </c>
      <c r="AG6401">
        <v>-1.1010453523799999</v>
      </c>
      <c r="AH6401">
        <v>6.8274183579880203</v>
      </c>
      <c r="AI6401">
        <v>97.245472236797397</v>
      </c>
      <c r="AJ6401">
        <v>52.031578956536499</v>
      </c>
      <c r="AK6401">
        <v>8.7301008750158502</v>
      </c>
      <c r="AL6401">
        <v>86.403860945032505</v>
      </c>
      <c r="AM6401">
        <v>69.173127933612193</v>
      </c>
      <c r="AN6401">
        <v>1.0000000613006299</v>
      </c>
    </row>
    <row r="6402" spans="1:40" x14ac:dyDescent="0.25">
      <c r="A6402" t="str">
        <f>"20190312151443697"</f>
        <v>20190312151443697</v>
      </c>
      <c r="B6402" t="str">
        <f>"1552374883687115"</f>
        <v>1552374883687115</v>
      </c>
      <c r="C6402" t="s">
        <v>40</v>
      </c>
      <c r="D6402">
        <v>4.2012169999999998</v>
      </c>
      <c r="E6402">
        <v>0.61231340000000001</v>
      </c>
      <c r="F6402" t="s">
        <v>42</v>
      </c>
      <c r="G6402">
        <v>-165.8973</v>
      </c>
      <c r="H6402" s="1">
        <v>-2.4874129999999998E-6</v>
      </c>
      <c r="I6402">
        <v>141.74950000000001</v>
      </c>
      <c r="J6402">
        <v>-174.60679999999999</v>
      </c>
      <c r="K6402">
        <v>1.101046</v>
      </c>
      <c r="L6402">
        <v>140.10720000000001</v>
      </c>
      <c r="M6402">
        <v>0.66232590000000002</v>
      </c>
      <c r="N6402">
        <v>0</v>
      </c>
      <c r="O6402">
        <v>0.74909110000000001</v>
      </c>
      <c r="P6402">
        <v>0.88279649999999998</v>
      </c>
      <c r="Q6402">
        <v>5.748549E-2</v>
      </c>
      <c r="R6402">
        <v>0.466225</v>
      </c>
      <c r="S6402">
        <v>3.0984500000000001</v>
      </c>
      <c r="T6402">
        <v>-0.38534839999999998</v>
      </c>
      <c r="U6402">
        <v>0.62855530000000004</v>
      </c>
      <c r="V6402">
        <v>0.35399199999999997</v>
      </c>
      <c r="W6402">
        <v>6.2495799999999997E-2</v>
      </c>
      <c r="X6402">
        <v>0.93315800000000004</v>
      </c>
      <c r="Y6402">
        <v>0.59403649999999997</v>
      </c>
      <c r="Z6402">
        <v>-0.1173854</v>
      </c>
      <c r="AA6402">
        <v>0.79582739999999996</v>
      </c>
      <c r="AB6402">
        <v>30</v>
      </c>
      <c r="AC6402">
        <v>8.7094999999999896</v>
      </c>
      <c r="AD6402">
        <v>-1.101048487413</v>
      </c>
      <c r="AE6402">
        <v>1.6423000000000001</v>
      </c>
      <c r="AF6402">
        <v>5.3543452419388498</v>
      </c>
      <c r="AG6402">
        <v>-1.101048487413</v>
      </c>
      <c r="AH6402">
        <v>6.8930332110089303</v>
      </c>
      <c r="AI6402">
        <v>97.189726046909101</v>
      </c>
      <c r="AJ6402">
        <v>52.1607840208707</v>
      </c>
      <c r="AK6402">
        <v>8.7974557452470208</v>
      </c>
      <c r="AL6402">
        <v>86.416919260964306</v>
      </c>
      <c r="AM6402">
        <v>69.225838882447803</v>
      </c>
      <c r="AN6402">
        <v>0.99999995702281896</v>
      </c>
    </row>
    <row r="6403" spans="1:40" x14ac:dyDescent="0.25">
      <c r="A6403" t="str">
        <f>"20190312151443711"</f>
        <v>20190312151443711</v>
      </c>
      <c r="B6403" t="str">
        <f>"1552374883706637"</f>
        <v>1552374883706637</v>
      </c>
      <c r="C6403" t="s">
        <v>40</v>
      </c>
      <c r="D6403">
        <v>4.1834280000000001</v>
      </c>
      <c r="E6403">
        <v>0.61234200000000005</v>
      </c>
      <c r="F6403" t="s">
        <v>42</v>
      </c>
      <c r="G6403">
        <v>-165.73269999999999</v>
      </c>
      <c r="H6403" s="1">
        <v>-2.590852E-6</v>
      </c>
      <c r="I6403">
        <v>141.84569999999999</v>
      </c>
      <c r="J6403">
        <v>-174.48490000000001</v>
      </c>
      <c r="K6403">
        <v>1.1010519999999999</v>
      </c>
      <c r="L6403">
        <v>140.23589999999999</v>
      </c>
      <c r="M6403">
        <v>0.6671203</v>
      </c>
      <c r="N6403">
        <v>0</v>
      </c>
      <c r="O6403">
        <v>0.74482459999999995</v>
      </c>
      <c r="P6403">
        <v>0.88569489999999995</v>
      </c>
      <c r="Q6403">
        <v>5.7358699999999999E-2</v>
      </c>
      <c r="R6403">
        <v>0.46071109999999998</v>
      </c>
      <c r="S6403">
        <v>3.1023710000000002</v>
      </c>
      <c r="T6403">
        <v>-0.38492389999999999</v>
      </c>
      <c r="U6403">
        <v>0.60778809999999905</v>
      </c>
      <c r="V6403">
        <v>0.35382409999999997</v>
      </c>
      <c r="W6403">
        <v>6.2377299999999997E-2</v>
      </c>
      <c r="X6403">
        <v>0.93322969999999905</v>
      </c>
      <c r="Y6403">
        <v>0.59425810000000001</v>
      </c>
      <c r="Z6403">
        <v>-0.11695560000000001</v>
      </c>
      <c r="AA6403">
        <v>0.79572529999999997</v>
      </c>
      <c r="AB6403">
        <v>30</v>
      </c>
      <c r="AC6403">
        <v>8.7522000000000109</v>
      </c>
      <c r="AD6403">
        <v>-1.101054590852</v>
      </c>
      <c r="AE6403">
        <v>1.6097999999999999</v>
      </c>
      <c r="AF6403">
        <v>5.3633275564677696</v>
      </c>
      <c r="AG6403">
        <v>-1.101054590852</v>
      </c>
      <c r="AH6403">
        <v>6.9323226634313597</v>
      </c>
      <c r="AI6403">
        <v>97.1600914430107</v>
      </c>
      <c r="AJ6403">
        <v>52.271967902379799</v>
      </c>
      <c r="AK6403">
        <v>8.8337252164603299</v>
      </c>
      <c r="AL6403">
        <v>86.423722406545593</v>
      </c>
      <c r="AM6403">
        <v>69.236310886825905</v>
      </c>
      <c r="AN6403">
        <v>1.00000004712909</v>
      </c>
    </row>
    <row r="6404" spans="1:40" x14ac:dyDescent="0.25">
      <c r="A6404" t="str">
        <f>"20190312151443728"</f>
        <v>20190312151443728</v>
      </c>
      <c r="B6404" t="str">
        <f>"1552374883717372"</f>
        <v>1552374883717372</v>
      </c>
      <c r="C6404" t="s">
        <v>40</v>
      </c>
      <c r="D6404">
        <v>4.2298970000000002</v>
      </c>
      <c r="E6404">
        <v>0.612342099999999</v>
      </c>
      <c r="F6404" t="s">
        <v>42</v>
      </c>
      <c r="G6404">
        <v>-165.54689999999999</v>
      </c>
      <c r="H6404" s="1">
        <v>-2.700616E-6</v>
      </c>
      <c r="I6404">
        <v>141.9282</v>
      </c>
      <c r="J6404">
        <v>-174.3295</v>
      </c>
      <c r="K6404">
        <v>1.1010599999999999</v>
      </c>
      <c r="L6404">
        <v>140.39789999999999</v>
      </c>
      <c r="M6404">
        <v>0.6731511</v>
      </c>
      <c r="N6404">
        <v>0</v>
      </c>
      <c r="O6404">
        <v>0.7393786</v>
      </c>
      <c r="P6404">
        <v>0.88921419999999995</v>
      </c>
      <c r="Q6404">
        <v>5.7045140000000001E-2</v>
      </c>
      <c r="R6404">
        <v>0.45392080000000001</v>
      </c>
      <c r="S6404">
        <v>3.1060490000000001</v>
      </c>
      <c r="T6404">
        <v>-0.38262620000000003</v>
      </c>
      <c r="U6404">
        <v>0.58805850000000004</v>
      </c>
      <c r="V6404">
        <v>0.35338740000000002</v>
      </c>
      <c r="W6404">
        <v>6.2079370000000002E-2</v>
      </c>
      <c r="X6404">
        <v>0.93341490000000005</v>
      </c>
      <c r="Y6404">
        <v>0.5929432</v>
      </c>
      <c r="Z6404">
        <v>-0.1157811</v>
      </c>
      <c r="AA6404">
        <v>0.7968771</v>
      </c>
      <c r="AB6404">
        <v>30</v>
      </c>
      <c r="AC6404">
        <v>8.7826000000000004</v>
      </c>
      <c r="AD6404">
        <v>-1.1010627006160001</v>
      </c>
      <c r="AE6404">
        <v>1.53030000000001</v>
      </c>
      <c r="AF6404">
        <v>5.3819566421262204</v>
      </c>
      <c r="AG6404">
        <v>-1.1010627006160001</v>
      </c>
      <c r="AH6404">
        <v>6.9383079957748404</v>
      </c>
      <c r="AI6404">
        <v>97.147118791418507</v>
      </c>
      <c r="AJ6404">
        <v>52.199725257942902</v>
      </c>
      <c r="AK6404">
        <v>8.8497409121763209</v>
      </c>
      <c r="AL6404">
        <v>86.440825299597293</v>
      </c>
      <c r="AM6404">
        <v>69.263521150322802</v>
      </c>
      <c r="AN6404">
        <v>0.99999993910018103</v>
      </c>
    </row>
    <row r="6405" spans="1:40" x14ac:dyDescent="0.25">
      <c r="A6405" t="str">
        <f>"20190312151443749"</f>
        <v>20190312151443749</v>
      </c>
      <c r="B6405" t="str">
        <f>"1552374883746653"</f>
        <v>1552374883746653</v>
      </c>
      <c r="C6405" t="s">
        <v>40</v>
      </c>
      <c r="D6405">
        <v>3.5781019999999999</v>
      </c>
      <c r="E6405">
        <v>0.61231049999999998</v>
      </c>
      <c r="F6405" t="s">
        <v>42</v>
      </c>
      <c r="G6405">
        <v>-165.36580000000001</v>
      </c>
      <c r="H6405" s="1">
        <v>-2.8115979999999998E-6</v>
      </c>
      <c r="I6405">
        <v>142.02359999999999</v>
      </c>
      <c r="J6405">
        <v>-174.11949999999999</v>
      </c>
      <c r="K6405">
        <v>1.1010679999999999</v>
      </c>
      <c r="L6405">
        <v>140.6122</v>
      </c>
      <c r="M6405">
        <v>0.68114269999999999</v>
      </c>
      <c r="N6405">
        <v>0</v>
      </c>
      <c r="O6405">
        <v>0.73202309999999904</v>
      </c>
      <c r="P6405">
        <v>0.89405400000000002</v>
      </c>
      <c r="Q6405">
        <v>5.7657899999999998E-2</v>
      </c>
      <c r="R6405">
        <v>0.44423309999999999</v>
      </c>
      <c r="S6405">
        <v>3.110306</v>
      </c>
      <c r="T6405">
        <v>-0.38205860000000003</v>
      </c>
      <c r="U6405">
        <v>0.5641022</v>
      </c>
      <c r="V6405">
        <v>0.3533732</v>
      </c>
      <c r="W6405">
        <v>6.2697569999999994E-2</v>
      </c>
      <c r="X6405">
        <v>0.93337910000000002</v>
      </c>
      <c r="Y6405">
        <v>0.59044980000000002</v>
      </c>
      <c r="Z6405">
        <v>-0.1149121</v>
      </c>
      <c r="AA6405">
        <v>0.7988518</v>
      </c>
      <c r="AB6405">
        <v>30</v>
      </c>
      <c r="AC6405">
        <v>8.7536999999999807</v>
      </c>
      <c r="AD6405">
        <v>-1.1010708115979999</v>
      </c>
      <c r="AE6405">
        <v>1.41139999999998</v>
      </c>
      <c r="AF6405">
        <v>5.36433335620944</v>
      </c>
      <c r="AG6405">
        <v>-1.1010708115979999</v>
      </c>
      <c r="AH6405">
        <v>6.8901002819651298</v>
      </c>
      <c r="AI6405">
        <v>97.186760860564505</v>
      </c>
      <c r="AJ6405">
        <v>52.097221548915599</v>
      </c>
      <c r="AK6405">
        <v>8.8012448655988607</v>
      </c>
      <c r="AL6405">
        <v>86.405336396272503</v>
      </c>
      <c r="AM6405">
        <v>69.263555847490693</v>
      </c>
      <c r="AN6405">
        <v>1.0000000740394701</v>
      </c>
    </row>
    <row r="6406" spans="1:40" x14ac:dyDescent="0.25">
      <c r="A6406" t="str">
        <f>"20190312151443772"</f>
        <v>20190312151443772</v>
      </c>
      <c r="B6406" t="str">
        <f>"1552374883767148"</f>
        <v>1552374883767148</v>
      </c>
      <c r="C6406" t="s">
        <v>40</v>
      </c>
      <c r="D6406">
        <v>3.4533710000000002</v>
      </c>
      <c r="E6406">
        <v>0.61226630000000004</v>
      </c>
      <c r="F6406" t="s">
        <v>42</v>
      </c>
      <c r="G6406">
        <v>-165.05359999999999</v>
      </c>
      <c r="H6406" s="1">
        <v>-2.99449E-6</v>
      </c>
      <c r="I6406">
        <v>142.15629999999999</v>
      </c>
      <c r="J6406">
        <v>-173.90690000000001</v>
      </c>
      <c r="K6406">
        <v>1.101081</v>
      </c>
      <c r="L6406">
        <v>140.8244</v>
      </c>
      <c r="M6406">
        <v>0.68906429999999996</v>
      </c>
      <c r="N6406">
        <v>0</v>
      </c>
      <c r="O6406">
        <v>0.72457130000000003</v>
      </c>
      <c r="P6406">
        <v>0.8988081</v>
      </c>
      <c r="Q6406">
        <v>5.7700080000000001E-2</v>
      </c>
      <c r="R6406">
        <v>0.43452809999999997</v>
      </c>
      <c r="S6406">
        <v>3.1161799999999999</v>
      </c>
      <c r="T6406">
        <v>-0.37846679999999999</v>
      </c>
      <c r="U6406">
        <v>0.53074650000000001</v>
      </c>
      <c r="V6406">
        <v>0.35332380000000002</v>
      </c>
      <c r="W6406">
        <v>6.2746579999999996E-2</v>
      </c>
      <c r="X6406">
        <v>0.93339439999999996</v>
      </c>
      <c r="Y6406">
        <v>0.59046999999999905</v>
      </c>
      <c r="Z6406">
        <v>-0.11326749999999999</v>
      </c>
      <c r="AA6406">
        <v>0.79907169999999905</v>
      </c>
      <c r="AB6406">
        <v>30</v>
      </c>
      <c r="AC6406">
        <v>8.8533000000000097</v>
      </c>
      <c r="AD6406">
        <v>-1.1010839944899999</v>
      </c>
      <c r="AE6406">
        <v>1.3318999999999901</v>
      </c>
      <c r="AF6406">
        <v>5.4156808019738296</v>
      </c>
      <c r="AG6406">
        <v>-1.1010839944899999</v>
      </c>
      <c r="AH6406">
        <v>6.9609218587288701</v>
      </c>
      <c r="AI6406">
        <v>97.116337991684802</v>
      </c>
      <c r="AJ6406">
        <v>52.1166553076893</v>
      </c>
      <c r="AK6406">
        <v>8.8879928912617494</v>
      </c>
      <c r="AL6406">
        <v>86.402522428082193</v>
      </c>
      <c r="AM6406">
        <v>69.266519127950502</v>
      </c>
      <c r="AN6406">
        <v>0.999999973449747</v>
      </c>
    </row>
    <row r="6407" spans="1:40" x14ac:dyDescent="0.25">
      <c r="A6407" t="str">
        <f>"20190312151443787"</f>
        <v>20190312151443787</v>
      </c>
      <c r="B6407" t="str">
        <f>"1552374883776908"</f>
        <v>1552374883776908</v>
      </c>
      <c r="C6407" t="s">
        <v>40</v>
      </c>
      <c r="D6407">
        <v>3.5517089999999998</v>
      </c>
      <c r="E6407">
        <v>0.61224339999999999</v>
      </c>
      <c r="F6407" t="s">
        <v>42</v>
      </c>
      <c r="G6407">
        <v>-164.75239999999999</v>
      </c>
      <c r="H6407" s="1">
        <v>-3.1702580000000001E-6</v>
      </c>
      <c r="I6407">
        <v>142.2817</v>
      </c>
      <c r="J6407">
        <v>-173.74979999999999</v>
      </c>
      <c r="K6407">
        <v>1.1010869999999999</v>
      </c>
      <c r="L6407">
        <v>140.9786</v>
      </c>
      <c r="M6407">
        <v>0.69481749999999998</v>
      </c>
      <c r="N6407">
        <v>0</v>
      </c>
      <c r="O6407">
        <v>0.71905620000000003</v>
      </c>
      <c r="P6407">
        <v>0.90200590000000003</v>
      </c>
      <c r="Q6407">
        <v>5.8228009999999997E-2</v>
      </c>
      <c r="R6407">
        <v>0.42777900000000002</v>
      </c>
      <c r="S6407">
        <v>3.121613</v>
      </c>
      <c r="T6407">
        <v>-0.3754594</v>
      </c>
      <c r="U6407">
        <v>0.49693300000000001</v>
      </c>
      <c r="V6407">
        <v>0.35286650000000003</v>
      </c>
      <c r="W6407">
        <v>6.3291009999999995E-2</v>
      </c>
      <c r="X6407">
        <v>0.93353070000000005</v>
      </c>
      <c r="Y6407">
        <v>0.59286660000000002</v>
      </c>
      <c r="Z6407">
        <v>-0.1120903</v>
      </c>
      <c r="AA6407">
        <v>0.79746159999999999</v>
      </c>
      <c r="AB6407">
        <v>30</v>
      </c>
      <c r="AC6407">
        <v>8.9973999999999901</v>
      </c>
      <c r="AD6407">
        <v>-1.101090170258</v>
      </c>
      <c r="AE6407">
        <v>1.3030999999999999</v>
      </c>
      <c r="AF6407">
        <v>5.4842911346517997</v>
      </c>
      <c r="AG6407">
        <v>-1.101090170258</v>
      </c>
      <c r="AH6407">
        <v>7.0852915834427304</v>
      </c>
      <c r="AI6407">
        <v>97.006045469473904</v>
      </c>
      <c r="AJ6407">
        <v>52.258735980216898</v>
      </c>
      <c r="AK6407">
        <v>9.0272479546683293</v>
      </c>
      <c r="AL6407">
        <v>86.371267013816905</v>
      </c>
      <c r="AM6407">
        <v>69.293843098887194</v>
      </c>
      <c r="AN6407">
        <v>1.0000000433057701</v>
      </c>
    </row>
    <row r="6408" spans="1:40" x14ac:dyDescent="0.25">
      <c r="A6408" t="str">
        <f>"20190312151443805"</f>
        <v>20190312151443805</v>
      </c>
      <c r="B6408" t="str">
        <f>"1552374883797404"</f>
        <v>1552374883797404</v>
      </c>
      <c r="C6408" t="s">
        <v>40</v>
      </c>
      <c r="D6408">
        <v>4.2556339999999997</v>
      </c>
      <c r="E6408">
        <v>0.612174</v>
      </c>
      <c r="F6408" t="s">
        <v>42</v>
      </c>
      <c r="G6408">
        <v>-164.51240000000001</v>
      </c>
      <c r="H6408" s="1">
        <v>-3.309453E-6</v>
      </c>
      <c r="I6408">
        <v>142.3785</v>
      </c>
      <c r="J6408">
        <v>-173.57679999999999</v>
      </c>
      <c r="K6408">
        <v>1.1010979999999999</v>
      </c>
      <c r="L6408">
        <v>141.1455</v>
      </c>
      <c r="M6408">
        <v>0.70105240000000002</v>
      </c>
      <c r="N6408">
        <v>0</v>
      </c>
      <c r="O6408">
        <v>0.71297869999999997</v>
      </c>
      <c r="P6408">
        <v>0.90530219999999995</v>
      </c>
      <c r="Q6408">
        <v>5.8410370000000003E-2</v>
      </c>
      <c r="R6408">
        <v>0.42073280000000002</v>
      </c>
      <c r="S6408">
        <v>3.1253359999999999</v>
      </c>
      <c r="T6408">
        <v>-0.37253629999999999</v>
      </c>
      <c r="U6408">
        <v>0.47364810000000002</v>
      </c>
      <c r="V6408">
        <v>0.3520105</v>
      </c>
      <c r="W6408">
        <v>6.3500390000000004E-2</v>
      </c>
      <c r="X6408">
        <v>0.93383950000000004</v>
      </c>
      <c r="Y6408">
        <v>0.59199990000000002</v>
      </c>
      <c r="Z6408">
        <v>-0.1107025</v>
      </c>
      <c r="AA6408">
        <v>0.79829890000000003</v>
      </c>
      <c r="AB6408">
        <v>30</v>
      </c>
      <c r="AC6408">
        <v>9.0643999999999707</v>
      </c>
      <c r="AD6408">
        <v>-1.101101309453</v>
      </c>
      <c r="AE6408">
        <v>1.2330000000000001</v>
      </c>
      <c r="AF6408">
        <v>5.51889105188119</v>
      </c>
      <c r="AG6408">
        <v>-1.101101309453</v>
      </c>
      <c r="AH6408">
        <v>7.1310817791306897</v>
      </c>
      <c r="AI6408">
        <v>96.961965402013803</v>
      </c>
      <c r="AJ6408">
        <v>52.262974151713003</v>
      </c>
      <c r="AK6408">
        <v>9.0842121219654004</v>
      </c>
      <c r="AL6408">
        <v>86.359245909893602</v>
      </c>
      <c r="AM6408">
        <v>69.346081486435295</v>
      </c>
      <c r="AN6408">
        <v>0.99999995170032496</v>
      </c>
    </row>
    <row r="6409" spans="1:40" x14ac:dyDescent="0.25">
      <c r="A6409" t="str">
        <f>"20190312151443820"</f>
        <v>20190312151443820</v>
      </c>
      <c r="B6409" t="str">
        <f>"1552374883816924"</f>
        <v>1552374883816924</v>
      </c>
      <c r="C6409" t="s">
        <v>40</v>
      </c>
      <c r="D6409">
        <v>4.2853770000000004</v>
      </c>
      <c r="E6409">
        <v>0.61208300000000004</v>
      </c>
      <c r="F6409" t="s">
        <v>42</v>
      </c>
      <c r="G6409">
        <v>-164.2535</v>
      </c>
      <c r="H6409" s="1">
        <v>-3.4602459999999999E-6</v>
      </c>
      <c r="I6409">
        <v>142.4853</v>
      </c>
      <c r="J6409">
        <v>-173.4248</v>
      </c>
      <c r="K6409">
        <v>1.1011040000000001</v>
      </c>
      <c r="L6409">
        <v>141.2894</v>
      </c>
      <c r="M6409">
        <v>0.70643650000000002</v>
      </c>
      <c r="N6409">
        <v>0</v>
      </c>
      <c r="O6409">
        <v>0.70764450000000001</v>
      </c>
      <c r="P6409">
        <v>0.90794940000000002</v>
      </c>
      <c r="Q6409">
        <v>5.9075549999999998E-2</v>
      </c>
      <c r="R6409">
        <v>0.41489510000000002</v>
      </c>
      <c r="S6409">
        <v>3.1286930000000002</v>
      </c>
      <c r="T6409">
        <v>-0.3695039</v>
      </c>
      <c r="U6409">
        <v>0.44958500000000001</v>
      </c>
      <c r="V6409">
        <v>0.3509275</v>
      </c>
      <c r="W6409">
        <v>6.419801E-2</v>
      </c>
      <c r="X6409">
        <v>0.93419940000000001</v>
      </c>
      <c r="Y6409">
        <v>0.59221020000000002</v>
      </c>
      <c r="Z6409">
        <v>-0.10941480000000001</v>
      </c>
      <c r="AA6409">
        <v>0.79832040000000004</v>
      </c>
      <c r="AB6409">
        <v>30</v>
      </c>
      <c r="AC6409">
        <v>9.1713000000000005</v>
      </c>
      <c r="AD6409">
        <v>-1.101107460246</v>
      </c>
      <c r="AE6409">
        <v>1.19589999999999</v>
      </c>
      <c r="AF6409">
        <v>5.5668187546132204</v>
      </c>
      <c r="AG6409">
        <v>-1.101107460246</v>
      </c>
      <c r="AH6409">
        <v>7.2235150821602296</v>
      </c>
      <c r="AI6409">
        <v>96.884546816262201</v>
      </c>
      <c r="AJ6409">
        <v>52.380272153791999</v>
      </c>
      <c r="AK6409">
        <v>9.18591741895818</v>
      </c>
      <c r="AL6409">
        <v>86.319193704098296</v>
      </c>
      <c r="AM6409">
        <v>69.411553124059495</v>
      </c>
      <c r="AN6409">
        <v>1.0000000068522801</v>
      </c>
    </row>
    <row r="6410" spans="1:40" x14ac:dyDescent="0.25">
      <c r="A6410" t="str">
        <f>"20190312151443850"</f>
        <v>20190312151443850</v>
      </c>
      <c r="B6410" t="str">
        <f>"1552374883847180"</f>
        <v>1552374883847180</v>
      </c>
      <c r="C6410" t="s">
        <v>40</v>
      </c>
      <c r="D6410">
        <v>4.2741490000000004</v>
      </c>
      <c r="E6410">
        <v>0.61190009999999995</v>
      </c>
      <c r="F6410" t="s">
        <v>42</v>
      </c>
      <c r="G6410">
        <v>-164.01920000000001</v>
      </c>
      <c r="H6410" s="1">
        <v>-3.5966699999999998E-6</v>
      </c>
      <c r="I6410">
        <v>142.58170000000001</v>
      </c>
      <c r="J6410">
        <v>-173.1378</v>
      </c>
      <c r="K6410">
        <v>1.1011139999999999</v>
      </c>
      <c r="L6410">
        <v>141.5557</v>
      </c>
      <c r="M6410">
        <v>0.71640090000000001</v>
      </c>
      <c r="N6410">
        <v>0</v>
      </c>
      <c r="O6410">
        <v>0.69755509999999998</v>
      </c>
      <c r="P6410">
        <v>0.91265200000000002</v>
      </c>
      <c r="Q6410">
        <v>5.906869E-2</v>
      </c>
      <c r="R6410">
        <v>0.4044468</v>
      </c>
      <c r="S6410">
        <v>3.1313930000000001</v>
      </c>
      <c r="T6410">
        <v>-0.36658879999999999</v>
      </c>
      <c r="U6410">
        <v>0.43026730000000002</v>
      </c>
      <c r="V6410">
        <v>0.34839700000000001</v>
      </c>
      <c r="W6410">
        <v>6.426606E-2</v>
      </c>
      <c r="X6410">
        <v>0.93514140000000001</v>
      </c>
      <c r="Y6410">
        <v>0.58595779999999997</v>
      </c>
      <c r="Z6410">
        <v>-0.10741879999999999</v>
      </c>
      <c r="AA6410">
        <v>0.80319019999999997</v>
      </c>
      <c r="AB6410">
        <v>30</v>
      </c>
      <c r="AC6410">
        <v>9.1185999999999794</v>
      </c>
      <c r="AD6410">
        <v>-1.10111759667</v>
      </c>
      <c r="AE6410">
        <v>1.02600000000001</v>
      </c>
      <c r="AF6410">
        <v>5.5463588700863404</v>
      </c>
      <c r="AG6410">
        <v>-1.10111759667</v>
      </c>
      <c r="AH6410">
        <v>7.1460418390941403</v>
      </c>
      <c r="AI6410">
        <v>96.940231895518494</v>
      </c>
      <c r="AJ6410">
        <v>52.1833810155861</v>
      </c>
      <c r="AK6410">
        <v>9.1126544235785492</v>
      </c>
      <c r="AL6410">
        <v>86.315286695816297</v>
      </c>
      <c r="AM6410">
        <v>69.566580130808305</v>
      </c>
      <c r="AN6410">
        <v>1.0000000170354399</v>
      </c>
    </row>
    <row r="6411" spans="1:40" x14ac:dyDescent="0.25">
      <c r="A6411" t="str">
        <f>"20190312151443872"</f>
        <v>20190312151443872</v>
      </c>
      <c r="B6411" t="str">
        <f>"1552374883866700"</f>
        <v>1552374883866700</v>
      </c>
      <c r="C6411" t="s">
        <v>40</v>
      </c>
      <c r="D6411">
        <v>4.3433830000000002</v>
      </c>
      <c r="E6411">
        <v>0.61172510000000002</v>
      </c>
      <c r="F6411" t="s">
        <v>42</v>
      </c>
      <c r="G6411">
        <v>-163.6969</v>
      </c>
      <c r="H6411" s="1">
        <v>-3.793308E-6</v>
      </c>
      <c r="I6411">
        <v>142.7482</v>
      </c>
      <c r="J6411">
        <v>-172.9051</v>
      </c>
      <c r="K6411">
        <v>1.1011249999999999</v>
      </c>
      <c r="L6411">
        <v>141.76609999999999</v>
      </c>
      <c r="M6411">
        <v>0.72428230000000005</v>
      </c>
      <c r="N6411">
        <v>0</v>
      </c>
      <c r="O6411">
        <v>0.68936819999999999</v>
      </c>
      <c r="P6411">
        <v>0.91623060000000001</v>
      </c>
      <c r="Q6411">
        <v>5.9029110000000003E-2</v>
      </c>
      <c r="R6411">
        <v>0.39627899999999999</v>
      </c>
      <c r="S6411">
        <v>3.1352690000000001</v>
      </c>
      <c r="T6411">
        <v>-0.36567349999999998</v>
      </c>
      <c r="U6411">
        <v>0.39602660000000001</v>
      </c>
      <c r="V6411">
        <v>0.3461188</v>
      </c>
      <c r="W6411">
        <v>6.4293180000000005E-2</v>
      </c>
      <c r="X6411">
        <v>0.93598510000000001</v>
      </c>
      <c r="Y6411">
        <v>0.58562539999999996</v>
      </c>
      <c r="Z6411">
        <v>-0.1065103</v>
      </c>
      <c r="AA6411">
        <v>0.80355369999999904</v>
      </c>
      <c r="AB6411">
        <v>30</v>
      </c>
      <c r="AC6411">
        <v>9.2081999999999997</v>
      </c>
      <c r="AD6411">
        <v>-1.1011287933079901</v>
      </c>
      <c r="AE6411">
        <v>0.98210000000000197</v>
      </c>
      <c r="AF6411">
        <v>5.5584584019245602</v>
      </c>
      <c r="AG6411">
        <v>-1.1011287933079901</v>
      </c>
      <c r="AH6411">
        <v>7.2446197532795296</v>
      </c>
      <c r="AI6411">
        <v>96.875991265150205</v>
      </c>
      <c r="AJ6411">
        <v>52.502657522876</v>
      </c>
      <c r="AK6411">
        <v>9.1974702932374708</v>
      </c>
      <c r="AL6411">
        <v>86.313729448141103</v>
      </c>
      <c r="AM6411">
        <v>69.706063434935203</v>
      </c>
      <c r="AN6411">
        <v>0.99999997206498004</v>
      </c>
    </row>
    <row r="6412" spans="1:40" x14ac:dyDescent="0.25">
      <c r="A6412" t="str">
        <f>"20190312151443894"</f>
        <v>20190312151443894</v>
      </c>
      <c r="B6412" t="str">
        <f>"1552374883887196"</f>
        <v>1552374883887196</v>
      </c>
      <c r="C6412" t="s">
        <v>40</v>
      </c>
      <c r="D6412">
        <v>4.3867649999999996</v>
      </c>
      <c r="E6412">
        <v>0.61154090000000005</v>
      </c>
      <c r="F6412" t="s">
        <v>42</v>
      </c>
      <c r="G6412">
        <v>-163.42400000000001</v>
      </c>
      <c r="H6412" s="1">
        <v>-3.9580059999999998E-6</v>
      </c>
      <c r="I6412">
        <v>142.88239999999999</v>
      </c>
      <c r="J6412">
        <v>-172.68270000000001</v>
      </c>
      <c r="K6412">
        <v>1.101135</v>
      </c>
      <c r="L6412">
        <v>141.96270000000001</v>
      </c>
      <c r="M6412">
        <v>0.7316549</v>
      </c>
      <c r="N6412">
        <v>0</v>
      </c>
      <c r="O6412">
        <v>0.68153830000000004</v>
      </c>
      <c r="P6412">
        <v>0.91971729999999996</v>
      </c>
      <c r="Q6412">
        <v>5.965082E-2</v>
      </c>
      <c r="R6412">
        <v>0.38802310000000001</v>
      </c>
      <c r="S6412">
        <v>3.1379549999999998</v>
      </c>
      <c r="T6412">
        <v>-0.36444070000000001</v>
      </c>
      <c r="U6412">
        <v>0.36947629999999998</v>
      </c>
      <c r="V6412">
        <v>0.34445290000000001</v>
      </c>
      <c r="W6412">
        <v>6.496412E-2</v>
      </c>
      <c r="X6412">
        <v>0.93655319999999997</v>
      </c>
      <c r="Y6412">
        <v>0.58383009999999902</v>
      </c>
      <c r="Z6412">
        <v>-0.10544729999999999</v>
      </c>
      <c r="AA6412">
        <v>0.80499900000000002</v>
      </c>
      <c r="AB6412">
        <v>30</v>
      </c>
      <c r="AC6412">
        <v>9.2586999999999993</v>
      </c>
      <c r="AD6412">
        <v>-1.101138958006</v>
      </c>
      <c r="AE6412">
        <v>0.91969999999997698</v>
      </c>
      <c r="AF6412">
        <v>5.55990869389995</v>
      </c>
      <c r="AG6412">
        <v>-1.101138958006</v>
      </c>
      <c r="AH6412">
        <v>7.2994375008248999</v>
      </c>
      <c r="AI6412">
        <v>96.843075405252605</v>
      </c>
      <c r="AJ6412">
        <v>52.703837298620698</v>
      </c>
      <c r="AK6412">
        <v>9.2415842536759794</v>
      </c>
      <c r="AL6412">
        <v>86.275207047036204</v>
      </c>
      <c r="AM6412">
        <v>69.807090428200596</v>
      </c>
      <c r="AN6412">
        <v>1.0000000168180101</v>
      </c>
    </row>
    <row r="6413" spans="1:40" x14ac:dyDescent="0.25">
      <c r="A6413" t="str">
        <f>"20190312151443917"</f>
        <v>20190312151443917</v>
      </c>
      <c r="B6413" t="str">
        <f>"1552374883906716"</f>
        <v>1552374883906716</v>
      </c>
      <c r="C6413" t="s">
        <v>40</v>
      </c>
      <c r="D6413">
        <v>4.4304079999999999</v>
      </c>
      <c r="E6413">
        <v>0.61136179999999996</v>
      </c>
      <c r="F6413" t="s">
        <v>42</v>
      </c>
      <c r="G6413">
        <v>-163.124</v>
      </c>
      <c r="H6413" s="1">
        <v>-4.1130960000000004E-6</v>
      </c>
      <c r="I6413">
        <v>143.00710000000001</v>
      </c>
      <c r="J6413">
        <v>-172.4496</v>
      </c>
      <c r="K6413">
        <v>1.101148</v>
      </c>
      <c r="L6413">
        <v>142.1644</v>
      </c>
      <c r="M6413">
        <v>0.73922109999999996</v>
      </c>
      <c r="N6413">
        <v>0</v>
      </c>
      <c r="O6413">
        <v>0.67332429999999999</v>
      </c>
      <c r="P6413">
        <v>0.92351899999999998</v>
      </c>
      <c r="Q6413">
        <v>5.998614E-2</v>
      </c>
      <c r="R6413">
        <v>0.37883309999999998</v>
      </c>
      <c r="S6413">
        <v>3.1405789999999998</v>
      </c>
      <c r="T6413">
        <v>-0.36178660000000001</v>
      </c>
      <c r="U6413">
        <v>0.34315489999999998</v>
      </c>
      <c r="V6413">
        <v>0.34332170000000001</v>
      </c>
      <c r="W6413">
        <v>6.5334790000000004E-2</v>
      </c>
      <c r="X6413">
        <v>0.93694270000000002</v>
      </c>
      <c r="Y6413">
        <v>0.58170310000000003</v>
      </c>
      <c r="Z6413">
        <v>-0.1039191</v>
      </c>
      <c r="AA6413">
        <v>0.8067356</v>
      </c>
      <c r="AB6413">
        <v>30</v>
      </c>
      <c r="AC6413">
        <v>9.3255999999999997</v>
      </c>
      <c r="AD6413">
        <v>-1.101152113096</v>
      </c>
      <c r="AE6413">
        <v>0.842700000000007</v>
      </c>
      <c r="AF6413">
        <v>5.5795759138034997</v>
      </c>
      <c r="AG6413">
        <v>-1.101152113096</v>
      </c>
      <c r="AH6413">
        <v>7.3600009562973101</v>
      </c>
      <c r="AI6413">
        <v>96.799029760843197</v>
      </c>
      <c r="AJ6413">
        <v>52.834435763669198</v>
      </c>
      <c r="AK6413">
        <v>9.30128041888692</v>
      </c>
      <c r="AL6413">
        <v>86.253924031344795</v>
      </c>
      <c r="AM6413">
        <v>69.875769813869496</v>
      </c>
      <c r="AN6413">
        <v>1.0000000237792599</v>
      </c>
    </row>
    <row r="6414" spans="1:40" x14ac:dyDescent="0.25">
      <c r="A6414" t="str">
        <f>"20190312151443939"</f>
        <v>20190312151443939</v>
      </c>
      <c r="B6414" t="str">
        <f>"1552374883927213"</f>
        <v>1552374883927213</v>
      </c>
      <c r="C6414" t="s">
        <v>40</v>
      </c>
      <c r="D6414">
        <v>4.424283</v>
      </c>
      <c r="E6414">
        <v>0.61111599999999999</v>
      </c>
      <c r="F6414" t="s">
        <v>42</v>
      </c>
      <c r="G6414">
        <v>-162.84729999999999</v>
      </c>
      <c r="H6414" s="1">
        <v>-4.2397609999999996E-6</v>
      </c>
      <c r="I6414">
        <v>143.12209999999999</v>
      </c>
      <c r="J6414">
        <v>-172.2182</v>
      </c>
      <c r="K6414">
        <v>1.1011629999999999</v>
      </c>
      <c r="L6414">
        <v>142.36009999999999</v>
      </c>
      <c r="M6414">
        <v>0.74657099999999998</v>
      </c>
      <c r="N6414">
        <v>0</v>
      </c>
      <c r="O6414">
        <v>0.66516549999999997</v>
      </c>
      <c r="P6414">
        <v>0.92734190000000005</v>
      </c>
      <c r="Q6414">
        <v>6.0339249999999997E-2</v>
      </c>
      <c r="R6414">
        <v>0.3693186</v>
      </c>
      <c r="S6414">
        <v>3.143265</v>
      </c>
      <c r="T6414">
        <v>-0.36045660000000002</v>
      </c>
      <c r="U6414">
        <v>0.31352229999999998</v>
      </c>
      <c r="V6414">
        <v>0.3426554</v>
      </c>
      <c r="W6414">
        <v>6.5710190000000002E-2</v>
      </c>
      <c r="X6414">
        <v>0.93716029999999995</v>
      </c>
      <c r="Y6414">
        <v>0.58050809999999997</v>
      </c>
      <c r="Z6414">
        <v>-0.1028285</v>
      </c>
      <c r="AA6414">
        <v>0.80773549999999905</v>
      </c>
      <c r="AB6414">
        <v>30</v>
      </c>
      <c r="AC6414">
        <v>9.3709000000000007</v>
      </c>
      <c r="AD6414">
        <v>-1.1011672397609999</v>
      </c>
      <c r="AE6414">
        <v>0.76200000000000001</v>
      </c>
      <c r="AF6414">
        <v>5.5881837261683698</v>
      </c>
      <c r="AG6414">
        <v>-1.1011672397609999</v>
      </c>
      <c r="AH6414">
        <v>7.4020590786040801</v>
      </c>
      <c r="AI6414">
        <v>96.7709905595745</v>
      </c>
      <c r="AJ6414">
        <v>52.949024002443203</v>
      </c>
      <c r="AK6414">
        <v>9.3397454596193903</v>
      </c>
      <c r="AL6414">
        <v>86.232368748836905</v>
      </c>
      <c r="AM6414">
        <v>69.915991774458504</v>
      </c>
      <c r="AN6414">
        <v>0.99999999005754303</v>
      </c>
    </row>
    <row r="6415" spans="1:40" x14ac:dyDescent="0.25">
      <c r="A6415" t="str">
        <f>"20190312151443962"</f>
        <v>20190312151443962</v>
      </c>
      <c r="B6415" t="str">
        <f>"1552374883956493"</f>
        <v>1552374883956493</v>
      </c>
      <c r="C6415" t="s">
        <v>40</v>
      </c>
      <c r="D6415">
        <v>4.4537870000000002</v>
      </c>
      <c r="E6415">
        <v>0.61082239999999999</v>
      </c>
      <c r="F6415" t="s">
        <v>42</v>
      </c>
      <c r="G6415">
        <v>-162.57579999999999</v>
      </c>
      <c r="H6415" s="1">
        <v>-4.3630800000000001E-6</v>
      </c>
      <c r="I6415">
        <v>143.2296</v>
      </c>
      <c r="J6415">
        <v>-171.9777</v>
      </c>
      <c r="K6415">
        <v>1.10117</v>
      </c>
      <c r="L6415">
        <v>142.5591</v>
      </c>
      <c r="M6415">
        <v>0.75404939999999998</v>
      </c>
      <c r="N6415">
        <v>0</v>
      </c>
      <c r="O6415">
        <v>0.65667569999999997</v>
      </c>
      <c r="P6415">
        <v>0.93117119999999998</v>
      </c>
      <c r="Q6415">
        <v>6.0898269999999997E-2</v>
      </c>
      <c r="R6415">
        <v>0.35946020000000001</v>
      </c>
      <c r="S6415">
        <v>3.1454930000000001</v>
      </c>
      <c r="T6415">
        <v>-0.3592149</v>
      </c>
      <c r="U6415">
        <v>0.2836304</v>
      </c>
      <c r="V6415">
        <v>0.3419798</v>
      </c>
      <c r="W6415">
        <v>6.6291630000000004E-2</v>
      </c>
      <c r="X6415">
        <v>0.93736609999999998</v>
      </c>
      <c r="Y6415">
        <v>0.579098</v>
      </c>
      <c r="Z6415">
        <v>-0.1017274</v>
      </c>
      <c r="AA6415">
        <v>0.80888629999999995</v>
      </c>
      <c r="AB6415">
        <v>30</v>
      </c>
      <c r="AC6415">
        <v>9.4019000000000101</v>
      </c>
      <c r="AD6415">
        <v>-1.1011743630799999</v>
      </c>
      <c r="AE6415">
        <v>0.67050000000000398</v>
      </c>
      <c r="AF6415">
        <v>5.5926084158337597</v>
      </c>
      <c r="AG6415">
        <v>-1.1011743630799999</v>
      </c>
      <c r="AH6415">
        <v>7.4291059863563502</v>
      </c>
      <c r="AI6415">
        <v>96.753531606660999</v>
      </c>
      <c r="AJ6415">
        <v>53.027677342987403</v>
      </c>
      <c r="AK6415">
        <v>9.3638384024541494</v>
      </c>
      <c r="AL6415">
        <v>86.198981871353098</v>
      </c>
      <c r="AM6415">
        <v>69.956485152561001</v>
      </c>
      <c r="AN6415">
        <v>0.99999998462265305</v>
      </c>
    </row>
    <row r="6416" spans="1:40" x14ac:dyDescent="0.25">
      <c r="A6416" t="str">
        <f>"20190312151443986"</f>
        <v>20190312151443986</v>
      </c>
      <c r="B6416" t="str">
        <f>"1552374883976992"</f>
        <v>1552374883976992</v>
      </c>
      <c r="C6416" t="s">
        <v>40</v>
      </c>
      <c r="D6416">
        <v>4.4712639999999997</v>
      </c>
      <c r="E6416">
        <v>0.60037569999999996</v>
      </c>
      <c r="F6416" t="s">
        <v>42</v>
      </c>
      <c r="G6416">
        <v>-162.25579999999999</v>
      </c>
      <c r="H6416" s="1">
        <v>-4.5052020000000001E-6</v>
      </c>
      <c r="I6416">
        <v>143.3382</v>
      </c>
      <c r="J6416">
        <v>-171.7415</v>
      </c>
      <c r="K6416">
        <v>1.1011759999999999</v>
      </c>
      <c r="L6416">
        <v>142.7501</v>
      </c>
      <c r="M6416">
        <v>0.76123490000000005</v>
      </c>
      <c r="N6416">
        <v>0</v>
      </c>
      <c r="O6416">
        <v>0.64833249999999998</v>
      </c>
      <c r="P6416">
        <v>0.93496290000000004</v>
      </c>
      <c r="Q6416">
        <v>6.1429419999999998E-2</v>
      </c>
      <c r="R6416">
        <v>0.34938629999999998</v>
      </c>
      <c r="S6416">
        <v>3.1476899999999999</v>
      </c>
      <c r="T6416">
        <v>-0.3565334</v>
      </c>
      <c r="U6416">
        <v>0.25224299999999999</v>
      </c>
      <c r="V6416">
        <v>0.34176529999999999</v>
      </c>
      <c r="W6416">
        <v>6.6833539999999997E-2</v>
      </c>
      <c r="X6416">
        <v>0.93740590000000001</v>
      </c>
      <c r="Y6416">
        <v>0.5783701</v>
      </c>
      <c r="Z6416">
        <v>-0.1002687</v>
      </c>
      <c r="AA6416">
        <v>0.80958889999999994</v>
      </c>
      <c r="AB6416">
        <v>30</v>
      </c>
      <c r="AC6416">
        <v>9.4856999999999996</v>
      </c>
      <c r="AD6416">
        <v>-1.1011805052019901</v>
      </c>
      <c r="AE6416">
        <v>0.58809999999999696</v>
      </c>
      <c r="AF6416">
        <v>5.6271921858745104</v>
      </c>
      <c r="AG6416">
        <v>-1.1011805052019901</v>
      </c>
      <c r="AH6416">
        <v>7.5021233399770297</v>
      </c>
      <c r="AI6416">
        <v>96.697089546367806</v>
      </c>
      <c r="AJ6416">
        <v>53.127171312749297</v>
      </c>
      <c r="AK6416">
        <v>9.4424438049708392</v>
      </c>
      <c r="AL6416">
        <v>86.167863883618793</v>
      </c>
      <c r="AM6416">
        <v>69.968839910791203</v>
      </c>
      <c r="AN6416">
        <v>1.00000003185391</v>
      </c>
    </row>
    <row r="6417" spans="1:40" x14ac:dyDescent="0.25">
      <c r="A6417" t="str">
        <f>"20190312151444006"</f>
        <v>20190312151444006</v>
      </c>
      <c r="B6417" t="str">
        <f>"1552374883996507"</f>
        <v>1552374883996507</v>
      </c>
      <c r="C6417" t="s">
        <v>40</v>
      </c>
      <c r="D6417">
        <v>4.4866699999999904</v>
      </c>
      <c r="E6417">
        <v>0.60074019999999995</v>
      </c>
      <c r="F6417" t="s">
        <v>42</v>
      </c>
      <c r="G6417">
        <v>-164.2501</v>
      </c>
      <c r="H6417" s="1">
        <v>-3.721412E-6</v>
      </c>
      <c r="I6417">
        <v>143.46080000000001</v>
      </c>
      <c r="J6417">
        <v>-171.5136</v>
      </c>
      <c r="K6417">
        <v>1.1011839999999999</v>
      </c>
      <c r="L6417">
        <v>142.93029999999999</v>
      </c>
      <c r="M6417">
        <v>0.7680188</v>
      </c>
      <c r="N6417">
        <v>0</v>
      </c>
      <c r="O6417">
        <v>0.64028169999999995</v>
      </c>
      <c r="P6417">
        <v>0.9385675</v>
      </c>
      <c r="Q6417">
        <v>6.1361800000000001E-2</v>
      </c>
      <c r="R6417">
        <v>0.33959669999999997</v>
      </c>
      <c r="S6417">
        <v>3.1279910000000002</v>
      </c>
      <c r="T6417">
        <v>-0.45979419999999999</v>
      </c>
      <c r="U6417">
        <v>0.29675289999999999</v>
      </c>
      <c r="V6417">
        <v>0.34169159999999998</v>
      </c>
      <c r="W6417">
        <v>6.6772170000000006E-2</v>
      </c>
      <c r="X6417">
        <v>0.93743710000000002</v>
      </c>
      <c r="Y6417">
        <v>0.55330559999999995</v>
      </c>
      <c r="Z6417">
        <v>-0.12694259999999999</v>
      </c>
      <c r="AA6417">
        <v>0.82324869999999895</v>
      </c>
      <c r="AB6417">
        <v>30</v>
      </c>
      <c r="AC6417">
        <v>7.2634999999999899</v>
      </c>
      <c r="AD6417">
        <v>-1.1011877214119901</v>
      </c>
      <c r="AE6417">
        <v>0.53050000000001696</v>
      </c>
      <c r="AF6417">
        <v>4.1487966994926202</v>
      </c>
      <c r="AG6417">
        <v>-1.1011877214119901</v>
      </c>
      <c r="AH6417">
        <v>5.7864345190628503</v>
      </c>
      <c r="AI6417">
        <v>98.791695346156899</v>
      </c>
      <c r="AJ6417">
        <v>54.359979386477796</v>
      </c>
      <c r="AK6417">
        <v>7.2047174056246996</v>
      </c>
      <c r="AL6417">
        <v>86.171387853790307</v>
      </c>
      <c r="AM6417">
        <v>69.973429725524994</v>
      </c>
      <c r="AN6417">
        <v>0.99999999432673903</v>
      </c>
    </row>
    <row r="6418" spans="1:40" x14ac:dyDescent="0.25">
      <c r="A6418" t="str">
        <f>"20190312151444028"</f>
        <v>20190312151444028</v>
      </c>
      <c r="B6418" t="str">
        <f>"1552374884017004"</f>
        <v>1552374884017004</v>
      </c>
      <c r="C6418" t="s">
        <v>40</v>
      </c>
      <c r="D6418">
        <v>4.4847789999999996</v>
      </c>
      <c r="E6418">
        <v>0.60011669999999995</v>
      </c>
      <c r="F6418" t="s">
        <v>42</v>
      </c>
      <c r="G6418">
        <v>-163.78299999999999</v>
      </c>
      <c r="H6418" s="1">
        <v>-3.961188E-6</v>
      </c>
      <c r="I6418">
        <v>143.57740000000001</v>
      </c>
      <c r="J6418">
        <v>-171.27250000000001</v>
      </c>
      <c r="K6418">
        <v>1.101189</v>
      </c>
      <c r="L6418">
        <v>143.1165</v>
      </c>
      <c r="M6418">
        <v>0.77504410000000001</v>
      </c>
      <c r="N6418">
        <v>0</v>
      </c>
      <c r="O6418">
        <v>0.63175959999999998</v>
      </c>
      <c r="P6418">
        <v>0.94223990000000002</v>
      </c>
      <c r="Q6418">
        <v>6.1189050000000002E-2</v>
      </c>
      <c r="R6418">
        <v>0.3293024</v>
      </c>
      <c r="S6418">
        <v>3.1306919999999998</v>
      </c>
      <c r="T6418">
        <v>-0.44595119999999999</v>
      </c>
      <c r="U6418">
        <v>0.26206970000000002</v>
      </c>
      <c r="V6418">
        <v>0.34160089999999999</v>
      </c>
      <c r="W6418">
        <v>6.6607070000000004E-2</v>
      </c>
      <c r="X6418">
        <v>0.93748189999999998</v>
      </c>
      <c r="Y6418">
        <v>0.55402680000000004</v>
      </c>
      <c r="Z6418">
        <v>-0.1223316</v>
      </c>
      <c r="AA6418">
        <v>0.82346180000000002</v>
      </c>
      <c r="AB6418">
        <v>30</v>
      </c>
      <c r="AC6418">
        <v>7.48950000000002</v>
      </c>
      <c r="AD6418">
        <v>-1.101192961188</v>
      </c>
      <c r="AE6418">
        <v>0.46090000000000902</v>
      </c>
      <c r="AF6418">
        <v>4.2825220712162002</v>
      </c>
      <c r="AG6418">
        <v>-1.101192961188</v>
      </c>
      <c r="AH6418">
        <v>5.9679099426791904</v>
      </c>
      <c r="AI6418">
        <v>98.525977207480295</v>
      </c>
      <c r="AJ6418">
        <v>54.337095721535199</v>
      </c>
      <c r="AK6418">
        <v>7.4275548003466803</v>
      </c>
      <c r="AL6418">
        <v>86.180868494728998</v>
      </c>
      <c r="AM6418">
        <v>69.979204083401598</v>
      </c>
      <c r="AN6418">
        <v>0.99999999474120205</v>
      </c>
    </row>
    <row r="6419" spans="1:40" x14ac:dyDescent="0.25">
      <c r="A6419" t="str">
        <f>"20190312151444061"</f>
        <v>20190312151444061</v>
      </c>
      <c r="B6419" t="str">
        <f>"1552374884057020"</f>
        <v>1552374884057020</v>
      </c>
      <c r="C6419" t="s">
        <v>40</v>
      </c>
      <c r="D6419">
        <v>5.0405009999999999</v>
      </c>
      <c r="E6419">
        <v>0.60024940000000004</v>
      </c>
      <c r="F6419" t="s">
        <v>42</v>
      </c>
      <c r="G6419">
        <v>-163.5659</v>
      </c>
      <c r="H6419" s="1">
        <v>-4.0642979999999997E-6</v>
      </c>
      <c r="I6419">
        <v>143.68860000000001</v>
      </c>
      <c r="J6419">
        <v>-170.90889999999999</v>
      </c>
      <c r="K6419">
        <v>1.1012090000000001</v>
      </c>
      <c r="L6419">
        <v>143.3896</v>
      </c>
      <c r="M6419">
        <v>0.78535489999999997</v>
      </c>
      <c r="N6419">
        <v>0</v>
      </c>
      <c r="O6419">
        <v>0.61889519999999998</v>
      </c>
      <c r="P6419">
        <v>0.94749620000000001</v>
      </c>
      <c r="Q6419">
        <v>6.140963E-2</v>
      </c>
      <c r="R6419">
        <v>0.31381479999999901</v>
      </c>
      <c r="S6419">
        <v>3.131729</v>
      </c>
      <c r="T6419">
        <v>-0.44748870000000002</v>
      </c>
      <c r="U6419">
        <v>0.23248289999999999</v>
      </c>
      <c r="V6419">
        <v>0.34150360000000002</v>
      </c>
      <c r="W6419">
        <v>6.6836389999999996E-2</v>
      </c>
      <c r="X6419">
        <v>0.93750109999999998</v>
      </c>
      <c r="Y6419">
        <v>0.54820360000000001</v>
      </c>
      <c r="Z6419">
        <v>-0.12099989999999999</v>
      </c>
      <c r="AA6419">
        <v>0.82754559999999999</v>
      </c>
      <c r="AB6419">
        <v>30</v>
      </c>
      <c r="AC6419">
        <v>7.3429999999999804</v>
      </c>
      <c r="AD6419">
        <v>-1.101213064298</v>
      </c>
      <c r="AE6419">
        <v>0.29900000000000598</v>
      </c>
      <c r="AF6419">
        <v>4.2154775786494101</v>
      </c>
      <c r="AG6419">
        <v>-1.101213064298</v>
      </c>
      <c r="AH6419">
        <v>5.8217492518879004</v>
      </c>
      <c r="AI6419">
        <v>98.710441421487602</v>
      </c>
      <c r="AJ6419">
        <v>54.092032269460397</v>
      </c>
      <c r="AK6419">
        <v>7.2715669412399597</v>
      </c>
      <c r="AL6419">
        <v>86.167700341076795</v>
      </c>
      <c r="AM6419">
        <v>69.984831270664003</v>
      </c>
      <c r="AN6419">
        <v>1.00000006217119</v>
      </c>
    </row>
    <row r="6420" spans="1:40" x14ac:dyDescent="0.25">
      <c r="A6420" t="str">
        <f>"20190312151444084"</f>
        <v>20190312151444084</v>
      </c>
      <c r="B6420" t="str">
        <f>"1552374884076540"</f>
        <v>1552374884076540</v>
      </c>
      <c r="C6420" t="s">
        <v>40</v>
      </c>
      <c r="D6420">
        <v>4.5749829999999996</v>
      </c>
      <c r="E6420">
        <v>0.59943480000000005</v>
      </c>
      <c r="F6420" t="s">
        <v>42</v>
      </c>
      <c r="G6420">
        <v>-162.92949999999999</v>
      </c>
      <c r="H6420" s="1">
        <v>-4.3368870000000002E-6</v>
      </c>
      <c r="I6420">
        <v>143.8476</v>
      </c>
      <c r="J6420">
        <v>-170.667</v>
      </c>
      <c r="K6420">
        <v>1.1012109999999999</v>
      </c>
      <c r="L6420">
        <v>143.56639999999999</v>
      </c>
      <c r="M6420">
        <v>0.79203239999999997</v>
      </c>
      <c r="N6420">
        <v>0</v>
      </c>
      <c r="O6420">
        <v>0.61032649999999999</v>
      </c>
      <c r="P6420">
        <v>0.95104759999999999</v>
      </c>
      <c r="Q6420">
        <v>6.126301E-2</v>
      </c>
      <c r="R6420">
        <v>0.30291180000000001</v>
      </c>
      <c r="S6420">
        <v>3.134674</v>
      </c>
      <c r="T6420">
        <v>-0.43260530000000003</v>
      </c>
      <c r="U6420">
        <v>0.1799316</v>
      </c>
      <c r="V6420">
        <v>0.34208749999999999</v>
      </c>
      <c r="W6420">
        <v>6.6678899999999999E-2</v>
      </c>
      <c r="X6420">
        <v>0.93729929999999995</v>
      </c>
      <c r="Y6420">
        <v>0.55375529999999995</v>
      </c>
      <c r="Z6420">
        <v>-0.1165363</v>
      </c>
      <c r="AA6420">
        <v>0.82448429999999995</v>
      </c>
      <c r="AB6420">
        <v>30</v>
      </c>
      <c r="AC6420">
        <v>7.7375000000000096</v>
      </c>
      <c r="AD6420">
        <v>-1.1012153368869999</v>
      </c>
      <c r="AE6420">
        <v>0.281200000000012</v>
      </c>
      <c r="AF6420">
        <v>4.4108741963433102</v>
      </c>
      <c r="AG6420">
        <v>-1.1012153368869999</v>
      </c>
      <c r="AH6420">
        <v>6.1756355961556002</v>
      </c>
      <c r="AI6420">
        <v>98.256282571456495</v>
      </c>
      <c r="AJ6420">
        <v>54.464128926085898</v>
      </c>
      <c r="AK6420">
        <v>7.6685697108826396</v>
      </c>
      <c r="AL6420">
        <v>86.176743619144702</v>
      </c>
      <c r="AM6420">
        <v>69.949360522792702</v>
      </c>
      <c r="AN6420">
        <v>0.99999995557097399</v>
      </c>
    </row>
    <row r="6421" spans="1:40" x14ac:dyDescent="0.25">
      <c r="A6421" t="str">
        <f>"20190312151444107"</f>
        <v>20190312151444107</v>
      </c>
      <c r="B6421" t="str">
        <f>"1552374884097036"</f>
        <v>1552374884097036</v>
      </c>
      <c r="C6421" t="s">
        <v>40</v>
      </c>
      <c r="D6421">
        <v>4.5976400000000002</v>
      </c>
      <c r="E6421">
        <v>0.59872440000000005</v>
      </c>
      <c r="F6421" t="s">
        <v>42</v>
      </c>
      <c r="G6421">
        <v>-162.69470000000001</v>
      </c>
      <c r="H6421" s="1">
        <v>-4.4451360000000002E-6</v>
      </c>
      <c r="I6421">
        <v>143.9496</v>
      </c>
      <c r="J6421">
        <v>-170.4161</v>
      </c>
      <c r="K6421">
        <v>1.101221</v>
      </c>
      <c r="L6421">
        <v>143.74529999999999</v>
      </c>
      <c r="M6421">
        <v>0.79880490000000004</v>
      </c>
      <c r="N6421">
        <v>0</v>
      </c>
      <c r="O6421">
        <v>0.60143539999999995</v>
      </c>
      <c r="P6421">
        <v>0.95425139999999997</v>
      </c>
      <c r="Q6421">
        <v>6.1467210000000001E-2</v>
      </c>
      <c r="R6421">
        <v>0.29261910000000002</v>
      </c>
      <c r="S6421">
        <v>3.1343230000000002</v>
      </c>
      <c r="T6421">
        <v>-0.43294500000000002</v>
      </c>
      <c r="U6421">
        <v>0.150665299999999</v>
      </c>
      <c r="V6421">
        <v>0.34173229999999999</v>
      </c>
      <c r="W6421">
        <v>6.6897289999999998E-2</v>
      </c>
      <c r="X6421">
        <v>0.9374133</v>
      </c>
      <c r="Y6421">
        <v>0.55222759999999904</v>
      </c>
      <c r="Z6421">
        <v>-0.11565250000000001</v>
      </c>
      <c r="AA6421">
        <v>0.82563259999999905</v>
      </c>
      <c r="AB6421">
        <v>30</v>
      </c>
      <c r="AC6421">
        <v>7.7213999999999796</v>
      </c>
      <c r="AD6421">
        <v>-1.101225445136</v>
      </c>
      <c r="AE6421">
        <v>0.204300000000017</v>
      </c>
      <c r="AF6421">
        <v>4.39187448146353</v>
      </c>
      <c r="AG6421">
        <v>-1.101225445136</v>
      </c>
      <c r="AH6421">
        <v>6.1660193190752697</v>
      </c>
      <c r="AI6421">
        <v>98.276643907481002</v>
      </c>
      <c r="AJ6421">
        <v>54.538845472607797</v>
      </c>
      <c r="AK6421">
        <v>7.6499054363537704</v>
      </c>
      <c r="AL6421">
        <v>86.164202784494194</v>
      </c>
      <c r="AM6421">
        <v>69.970765836510694</v>
      </c>
      <c r="AN6421">
        <v>0.99999995364476002</v>
      </c>
    </row>
    <row r="6422" spans="1:40" x14ac:dyDescent="0.25">
      <c r="A6422" t="str">
        <f>"20190312151444130"</f>
        <v>20190312151444130</v>
      </c>
      <c r="B6422" t="str">
        <f>"1552374884116557"</f>
        <v>1552374884116557</v>
      </c>
      <c r="C6422" t="s">
        <v>40</v>
      </c>
      <c r="D6422">
        <v>4.4562379999999999</v>
      </c>
      <c r="E6422">
        <v>0.59884789999999999</v>
      </c>
      <c r="F6422" t="s">
        <v>42</v>
      </c>
      <c r="G6422">
        <v>-162.31989999999999</v>
      </c>
      <c r="H6422" s="1">
        <v>-4.6088109999999999E-6</v>
      </c>
      <c r="I6422">
        <v>144.0609</v>
      </c>
      <c r="J6422">
        <v>-170.1653</v>
      </c>
      <c r="K6422">
        <v>1.101229</v>
      </c>
      <c r="L6422">
        <v>143.91990000000001</v>
      </c>
      <c r="M6422">
        <v>0.80541969999999996</v>
      </c>
      <c r="N6422">
        <v>0</v>
      </c>
      <c r="O6422">
        <v>0.59254779999999996</v>
      </c>
      <c r="P6422">
        <v>0.95727640000000003</v>
      </c>
      <c r="Q6422">
        <v>6.1073780000000001E-2</v>
      </c>
      <c r="R6422">
        <v>0.282651599999999</v>
      </c>
      <c r="S6422">
        <v>3.1338200000000001</v>
      </c>
      <c r="T6422">
        <v>-0.42625560000000001</v>
      </c>
      <c r="U6422">
        <v>0.1221313</v>
      </c>
      <c r="V6422">
        <v>0.3411264</v>
      </c>
      <c r="W6422">
        <v>6.6524760000000002E-2</v>
      </c>
      <c r="X6422">
        <v>0.93766050000000001</v>
      </c>
      <c r="Y6422">
        <v>0.55092069999999904</v>
      </c>
      <c r="Z6422">
        <v>-0.1129232</v>
      </c>
      <c r="AA6422">
        <v>0.82688249999999996</v>
      </c>
      <c r="AB6422">
        <v>30</v>
      </c>
      <c r="AC6422">
        <v>7.8454000000000104</v>
      </c>
      <c r="AD6422">
        <v>-1.101233608811</v>
      </c>
      <c r="AE6422">
        <v>0.14099999999999099</v>
      </c>
      <c r="AF6422">
        <v>4.4480222925096804</v>
      </c>
      <c r="AG6422">
        <v>-1.101233608811</v>
      </c>
      <c r="AH6422">
        <v>6.27930497289955</v>
      </c>
      <c r="AI6422">
        <v>98.144210451807993</v>
      </c>
      <c r="AJ6422">
        <v>54.687685179450597</v>
      </c>
      <c r="AK6422">
        <v>7.7734991296403297</v>
      </c>
      <c r="AL6422">
        <v>86.185594971153805</v>
      </c>
      <c r="AM6422">
        <v>70.008315868410193</v>
      </c>
      <c r="AN6422">
        <v>0.99999998886513297</v>
      </c>
    </row>
    <row r="6423" spans="1:40" x14ac:dyDescent="0.25">
      <c r="A6423" t="str">
        <f>"20190312151444153"</f>
        <v>20190312151444153</v>
      </c>
      <c r="B6423" t="str">
        <f>"1552374884146812"</f>
        <v>1552374884146812</v>
      </c>
      <c r="C6423" t="s">
        <v>40</v>
      </c>
      <c r="D6423">
        <v>4.5976480000000004</v>
      </c>
      <c r="E6423">
        <v>0.55096299999999998</v>
      </c>
      <c r="F6423" t="s">
        <v>42</v>
      </c>
      <c r="G6423">
        <v>-162.13749999999999</v>
      </c>
      <c r="H6423" s="1">
        <v>-4.6941840000000003E-6</v>
      </c>
      <c r="I6423">
        <v>144.1472</v>
      </c>
      <c r="J6423">
        <v>-169.91399999999999</v>
      </c>
      <c r="K6423">
        <v>1.1012360000000001</v>
      </c>
      <c r="L6423">
        <v>144.0908</v>
      </c>
      <c r="M6423">
        <v>0.81190439999999997</v>
      </c>
      <c r="N6423">
        <v>0</v>
      </c>
      <c r="O6423">
        <v>0.58363100000000001</v>
      </c>
      <c r="P6423">
        <v>0.96015110000000004</v>
      </c>
      <c r="Q6423">
        <v>6.1098409999999999E-2</v>
      </c>
      <c r="R6423">
        <v>0.2727212</v>
      </c>
      <c r="S6423">
        <v>3.1351170000000002</v>
      </c>
      <c r="T6423">
        <v>-0.4300641</v>
      </c>
      <c r="U6423">
        <v>8.8790889999999997E-2</v>
      </c>
      <c r="V6423">
        <v>0.34049750000000001</v>
      </c>
      <c r="W6423">
        <v>6.6570439999999995E-2</v>
      </c>
      <c r="X6423">
        <v>0.93788579999999999</v>
      </c>
      <c r="Y6423">
        <v>0.55046379999999995</v>
      </c>
      <c r="Z6423">
        <v>-0.1129386</v>
      </c>
      <c r="AA6423">
        <v>0.82718469999999999</v>
      </c>
      <c r="AB6423">
        <v>30</v>
      </c>
      <c r="AC6423">
        <v>7.77650000000002</v>
      </c>
      <c r="AD6423">
        <v>-1.1012406941840001</v>
      </c>
      <c r="AE6423">
        <v>5.6399999999996397E-2</v>
      </c>
      <c r="AF6423">
        <v>4.4049028927893499</v>
      </c>
      <c r="AG6423">
        <v>-1.1012406941840001</v>
      </c>
      <c r="AH6423">
        <v>6.2225038678751003</v>
      </c>
      <c r="AI6423">
        <v>98.219366595992895</v>
      </c>
      <c r="AJ6423">
        <v>54.705369507725102</v>
      </c>
      <c r="AK6423">
        <v>7.7029510544434503</v>
      </c>
      <c r="AL6423">
        <v>86.182971822309895</v>
      </c>
      <c r="AM6423">
        <v>70.0466762836095</v>
      </c>
      <c r="AN6423">
        <v>0.99999997241484095</v>
      </c>
    </row>
    <row r="6424" spans="1:40" x14ac:dyDescent="0.25">
      <c r="A6424" t="str">
        <f>"20190312151444175"</f>
        <v>20190312151444175</v>
      </c>
      <c r="B6424" t="str">
        <f>"1552374884167309"</f>
        <v>1552374884167309</v>
      </c>
      <c r="C6424" t="s">
        <v>40</v>
      </c>
      <c r="D6424">
        <v>4.5367709999999999</v>
      </c>
      <c r="E6424">
        <v>0.54928889999999997</v>
      </c>
      <c r="F6424" t="s">
        <v>42</v>
      </c>
      <c r="G6424">
        <v>-160.32050000000001</v>
      </c>
      <c r="H6424" s="1">
        <v>-5.6208259999999999E-6</v>
      </c>
      <c r="I6424">
        <v>145.43770000000001</v>
      </c>
      <c r="J6424">
        <v>-169.66040000000001</v>
      </c>
      <c r="K6424">
        <v>1.1012459999999999</v>
      </c>
      <c r="L6424">
        <v>144.25909999999999</v>
      </c>
      <c r="M6424">
        <v>0.81829919999999901</v>
      </c>
      <c r="N6424">
        <v>0</v>
      </c>
      <c r="O6424">
        <v>0.57463069999999905</v>
      </c>
      <c r="P6424">
        <v>0.96301349999999997</v>
      </c>
      <c r="Q6424">
        <v>6.1028649999999997E-2</v>
      </c>
      <c r="R6424">
        <v>0.2624514</v>
      </c>
      <c r="S6424">
        <v>3.0259550000000002</v>
      </c>
      <c r="T6424">
        <v>-0.34735329999999998</v>
      </c>
      <c r="U6424">
        <v>0.42486570000000001</v>
      </c>
      <c r="V6424">
        <v>0.3401575</v>
      </c>
      <c r="W6424">
        <v>6.6513820000000001E-2</v>
      </c>
      <c r="X6424">
        <v>0.93801319999999999</v>
      </c>
      <c r="Y6424">
        <v>0.44921509999999998</v>
      </c>
      <c r="Z6424">
        <v>-8.7098430000000004E-2</v>
      </c>
      <c r="AA6424">
        <v>0.88916799999999996</v>
      </c>
      <c r="AB6424">
        <v>30</v>
      </c>
      <c r="AC6424">
        <v>9.3399000000000001</v>
      </c>
      <c r="AD6424">
        <v>-1.1012516208259999</v>
      </c>
      <c r="AE6424">
        <v>1.1786000000000101</v>
      </c>
      <c r="AF6424">
        <v>4.3435166250522004</v>
      </c>
      <c r="AG6424">
        <v>-1.1012516208259999</v>
      </c>
      <c r="AH6424">
        <v>8.2085368718990708</v>
      </c>
      <c r="AI6424">
        <v>96.762633524152307</v>
      </c>
      <c r="AJ6424">
        <v>62.114612098724798</v>
      </c>
      <c r="AK6424">
        <v>9.3519500309723291</v>
      </c>
      <c r="AL6424">
        <v>86.186223175899897</v>
      </c>
      <c r="AM6424">
        <v>70.067524599023798</v>
      </c>
      <c r="AN6424">
        <v>0.99999998821574099</v>
      </c>
    </row>
    <row r="6425" spans="1:40" x14ac:dyDescent="0.25">
      <c r="A6425" t="str">
        <f>"20190312151444196"</f>
        <v>20190312151444196</v>
      </c>
      <c r="B6425" t="str">
        <f>"1552374884186828"</f>
        <v>1552374884186828</v>
      </c>
      <c r="C6425" t="s">
        <v>40</v>
      </c>
      <c r="D6425">
        <v>4.5292450000000004</v>
      </c>
      <c r="E6425">
        <v>0.54846819999999996</v>
      </c>
      <c r="F6425" t="s">
        <v>42</v>
      </c>
      <c r="G6425">
        <v>-160.01439999999999</v>
      </c>
      <c r="H6425" s="1">
        <v>-5.7586839999999898E-6</v>
      </c>
      <c r="I6425">
        <v>145.5522</v>
      </c>
      <c r="J6425">
        <v>-169.4143</v>
      </c>
      <c r="K6425">
        <v>1.1012500000000001</v>
      </c>
      <c r="L6425">
        <v>144.4187</v>
      </c>
      <c r="M6425">
        <v>0.82436830000000005</v>
      </c>
      <c r="N6425">
        <v>0</v>
      </c>
      <c r="O6425">
        <v>0.56588959999999999</v>
      </c>
      <c r="P6425">
        <v>0.9656631</v>
      </c>
      <c r="Q6425">
        <v>6.0689479999999997E-2</v>
      </c>
      <c r="R6425">
        <v>0.2526098</v>
      </c>
      <c r="S6425">
        <v>3.0265659999999999</v>
      </c>
      <c r="T6425">
        <v>-0.34553279999999997</v>
      </c>
      <c r="U6425">
        <v>0.40571590000000002</v>
      </c>
      <c r="V6425">
        <v>0.33975090000000002</v>
      </c>
      <c r="W6425">
        <v>6.6189799999999993E-2</v>
      </c>
      <c r="X6425">
        <v>0.93818349999999995</v>
      </c>
      <c r="Y6425">
        <v>0.44539770000000001</v>
      </c>
      <c r="Z6425">
        <v>-8.567023E-2</v>
      </c>
      <c r="AA6425">
        <v>0.89122469999999998</v>
      </c>
      <c r="AB6425">
        <v>30</v>
      </c>
      <c r="AC6425">
        <v>9.3999000000000006</v>
      </c>
      <c r="AD6425">
        <v>-1.1012557586839999</v>
      </c>
      <c r="AE6425">
        <v>1.13349999999999</v>
      </c>
      <c r="AF6425">
        <v>4.3267557921578499</v>
      </c>
      <c r="AG6425">
        <v>-1.1012557586839999</v>
      </c>
      <c r="AH6425">
        <v>8.2791875701297304</v>
      </c>
      <c r="AI6425">
        <v>96.723401468910893</v>
      </c>
      <c r="AJ6425">
        <v>62.408147019467599</v>
      </c>
      <c r="AK6425">
        <v>9.4063025016420099</v>
      </c>
      <c r="AL6425">
        <v>86.2048292840215</v>
      </c>
      <c r="AM6425">
        <v>70.092807377000696</v>
      </c>
      <c r="AN6425">
        <v>1.0000000216735401</v>
      </c>
    </row>
    <row r="6426" spans="1:40" x14ac:dyDescent="0.25">
      <c r="A6426" t="str">
        <f>"20190312151444219"</f>
        <v>20190312151444219</v>
      </c>
      <c r="B6426" t="str">
        <f>"1552374884207325"</f>
        <v>1552374884207325</v>
      </c>
      <c r="C6426" t="s">
        <v>40</v>
      </c>
      <c r="D6426">
        <v>4.5518199999999904</v>
      </c>
      <c r="E6426">
        <v>0.54768229999999996</v>
      </c>
      <c r="F6426" t="s">
        <v>42</v>
      </c>
      <c r="G6426">
        <v>-159.83199999999999</v>
      </c>
      <c r="H6426" s="1">
        <v>-1.6531849999999999E-6</v>
      </c>
      <c r="I6426">
        <v>145.625</v>
      </c>
      <c r="J6426">
        <v>-169.1585</v>
      </c>
      <c r="K6426">
        <v>1.101254</v>
      </c>
      <c r="L6426">
        <v>144.58080000000001</v>
      </c>
      <c r="M6426">
        <v>0.83053580000000005</v>
      </c>
      <c r="N6426">
        <v>0</v>
      </c>
      <c r="O6426">
        <v>0.55679820000000002</v>
      </c>
      <c r="P6426">
        <v>0.96827379999999996</v>
      </c>
      <c r="Q6426">
        <v>6.0503319999999999E-2</v>
      </c>
      <c r="R6426">
        <v>0.2424569</v>
      </c>
      <c r="S6426">
        <v>3.0287929999999998</v>
      </c>
      <c r="T6426">
        <v>-0.34808519999999998</v>
      </c>
      <c r="U6426">
        <v>0.38130190000000003</v>
      </c>
      <c r="V6426">
        <v>0.3392946</v>
      </c>
      <c r="W6426">
        <v>6.602044E-2</v>
      </c>
      <c r="X6426">
        <v>0.93836059999999999</v>
      </c>
      <c r="Y6426">
        <v>0.44270660000000001</v>
      </c>
      <c r="Z6426">
        <v>-8.5309270000000006E-2</v>
      </c>
      <c r="AA6426">
        <v>0.89259909999999998</v>
      </c>
      <c r="AB6426">
        <v>30</v>
      </c>
      <c r="AC6426">
        <v>9.32650000000001</v>
      </c>
      <c r="AD6426">
        <v>-1.101255653185</v>
      </c>
      <c r="AE6426">
        <v>1.04419999999998</v>
      </c>
      <c r="AF6426">
        <v>4.2673743371942798</v>
      </c>
      <c r="AG6426">
        <v>-1.101255653185</v>
      </c>
      <c r="AH6426">
        <v>8.2150556048363104</v>
      </c>
      <c r="AI6426">
        <v>96.784067945817696</v>
      </c>
      <c r="AJ6426">
        <v>62.5500293912255</v>
      </c>
      <c r="AK6426">
        <v>9.3225740189053408</v>
      </c>
      <c r="AL6426">
        <v>86.2145543512991</v>
      </c>
      <c r="AM6426">
        <v>70.120905571763302</v>
      </c>
      <c r="AN6426">
        <v>1.0000000698596501</v>
      </c>
    </row>
    <row r="6427" spans="1:40" x14ac:dyDescent="0.25">
      <c r="A6427" t="str">
        <f>"20190312151444240"</f>
        <v>20190312151444240</v>
      </c>
      <c r="B6427" t="str">
        <f>"1552374884236605"</f>
        <v>1552374884236605</v>
      </c>
      <c r="C6427" t="s">
        <v>40</v>
      </c>
      <c r="D6427">
        <v>4.5957439999999998</v>
      </c>
      <c r="E6427">
        <v>0.5467187</v>
      </c>
      <c r="F6427" t="s">
        <v>42</v>
      </c>
      <c r="G6427">
        <v>-159.7012</v>
      </c>
      <c r="H6427" s="1">
        <v>-1.7261019999999999E-6</v>
      </c>
      <c r="I6427">
        <v>145.68809999999999</v>
      </c>
      <c r="J6427">
        <v>-168.90549999999999</v>
      </c>
      <c r="K6427">
        <v>1.1012569999999999</v>
      </c>
      <c r="L6427">
        <v>144.7372</v>
      </c>
      <c r="M6427">
        <v>0.83649819999999997</v>
      </c>
      <c r="N6427">
        <v>0</v>
      </c>
      <c r="O6427">
        <v>0.54779990000000001</v>
      </c>
      <c r="P6427">
        <v>0.97067969999999903</v>
      </c>
      <c r="Q6427">
        <v>6.0374009999999999E-2</v>
      </c>
      <c r="R6427">
        <v>0.23267109999999999</v>
      </c>
      <c r="S6427">
        <v>3.031479</v>
      </c>
      <c r="T6427">
        <v>-0.35299809999999998</v>
      </c>
      <c r="U6427">
        <v>0.35496519999999998</v>
      </c>
      <c r="V6427">
        <v>0.3386364</v>
      </c>
      <c r="W6427">
        <v>6.5912899999999996E-2</v>
      </c>
      <c r="X6427">
        <v>0.93860580000000005</v>
      </c>
      <c r="Y6427">
        <v>0.44067899999999999</v>
      </c>
      <c r="Z6427">
        <v>-8.5530159999999994E-2</v>
      </c>
      <c r="AA6427">
        <v>0.89358079999999995</v>
      </c>
      <c r="AB6427">
        <v>30</v>
      </c>
      <c r="AC6427">
        <v>9.2042999999999893</v>
      </c>
      <c r="AD6427">
        <v>-1.1012587261019999</v>
      </c>
      <c r="AE6427">
        <v>0.95089999999998998</v>
      </c>
      <c r="AF6427">
        <v>4.1877679179784097</v>
      </c>
      <c r="AG6427">
        <v>-1.1012587261019999</v>
      </c>
      <c r="AH6427">
        <v>8.1062312111985992</v>
      </c>
      <c r="AI6427">
        <v>96.882216571113503</v>
      </c>
      <c r="AJ6427">
        <v>62.678627844230299</v>
      </c>
      <c r="AK6427">
        <v>9.1902750430047107</v>
      </c>
      <c r="AL6427">
        <v>86.220729067340798</v>
      </c>
      <c r="AM6427">
        <v>70.161235328422507</v>
      </c>
      <c r="AN6427">
        <v>0.99999998479250496</v>
      </c>
    </row>
    <row r="6428" spans="1:40" x14ac:dyDescent="0.25">
      <c r="A6428" t="str">
        <f>"20190312151444262"</f>
        <v>20190312151444262</v>
      </c>
      <c r="B6428" t="str">
        <f>"1552374884257100"</f>
        <v>1552374884257100</v>
      </c>
      <c r="C6428" t="s">
        <v>40</v>
      </c>
      <c r="D6428">
        <v>4.6390089999999997</v>
      </c>
      <c r="E6428">
        <v>0.54628369999999904</v>
      </c>
      <c r="F6428" t="s">
        <v>42</v>
      </c>
      <c r="G6428">
        <v>-159.60669999999999</v>
      </c>
      <c r="H6428" s="1">
        <v>-1.784208E-6</v>
      </c>
      <c r="I6428">
        <v>145.7542</v>
      </c>
      <c r="J6428">
        <v>-168.64359999999999</v>
      </c>
      <c r="K6428">
        <v>1.1012690000000001</v>
      </c>
      <c r="L6428">
        <v>144.8954</v>
      </c>
      <c r="M6428">
        <v>0.84252879999999997</v>
      </c>
      <c r="N6428">
        <v>0</v>
      </c>
      <c r="O6428">
        <v>0.53847880000000004</v>
      </c>
      <c r="P6428">
        <v>0.97298870000000004</v>
      </c>
      <c r="Q6428">
        <v>6.0148340000000002E-2</v>
      </c>
      <c r="R6428">
        <v>0.22287999999999999</v>
      </c>
      <c r="S6428">
        <v>3.0334469999999998</v>
      </c>
      <c r="T6428">
        <v>-0.35924990000000001</v>
      </c>
      <c r="U6428">
        <v>0.33175660000000001</v>
      </c>
      <c r="V6428">
        <v>0.33767180000000002</v>
      </c>
      <c r="W6428">
        <v>6.5717330000000004E-2</v>
      </c>
      <c r="X6428">
        <v>0.938967</v>
      </c>
      <c r="Y6428">
        <v>0.43740479999999998</v>
      </c>
      <c r="Z6428">
        <v>-8.5935880000000006E-2</v>
      </c>
      <c r="AA6428">
        <v>0.89514919999999998</v>
      </c>
      <c r="AB6428">
        <v>30</v>
      </c>
      <c r="AC6428">
        <v>9.0368999999999993</v>
      </c>
      <c r="AD6428">
        <v>-1.1012707842080001</v>
      </c>
      <c r="AE6428">
        <v>0.85880000000000201</v>
      </c>
      <c r="AF6428">
        <v>4.0829085635086102</v>
      </c>
      <c r="AG6428">
        <v>-1.1012707842080001</v>
      </c>
      <c r="AH6428">
        <v>7.95989192976469</v>
      </c>
      <c r="AI6428">
        <v>97.017957758517994</v>
      </c>
      <c r="AJ6428">
        <v>62.845116831770902</v>
      </c>
      <c r="AK6428">
        <v>9.0134798613884399</v>
      </c>
      <c r="AL6428">
        <v>86.231958882031904</v>
      </c>
      <c r="AM6428">
        <v>70.220374070794804</v>
      </c>
      <c r="AN6428">
        <v>1.0000000195332801</v>
      </c>
    </row>
    <row r="6429" spans="1:40" x14ac:dyDescent="0.25">
      <c r="A6429" t="str">
        <f>"20190312151444285"</f>
        <v>20190312151444285</v>
      </c>
      <c r="B6429" t="str">
        <f>"1552374884276620"</f>
        <v>1552374884276620</v>
      </c>
      <c r="C6429" t="s">
        <v>40</v>
      </c>
      <c r="D6429">
        <v>4.6980089999999999</v>
      </c>
      <c r="E6429">
        <v>0.54567659999999996</v>
      </c>
      <c r="F6429" t="s">
        <v>42</v>
      </c>
      <c r="G6429">
        <v>-159.4452</v>
      </c>
      <c r="H6429" s="1">
        <v>-1.87041E-6</v>
      </c>
      <c r="I6429">
        <v>145.81780000000001</v>
      </c>
      <c r="J6429">
        <v>-168.38470000000001</v>
      </c>
      <c r="K6429">
        <v>1.101272</v>
      </c>
      <c r="L6429">
        <v>145.0478</v>
      </c>
      <c r="M6429">
        <v>0.84835119999999897</v>
      </c>
      <c r="N6429">
        <v>0</v>
      </c>
      <c r="O6429">
        <v>0.52925840000000002</v>
      </c>
      <c r="P6429">
        <v>0.97508340000000004</v>
      </c>
      <c r="Q6429">
        <v>5.9742700000000003E-2</v>
      </c>
      <c r="R6429">
        <v>0.21364259999999999</v>
      </c>
      <c r="S6429">
        <v>3.0359950000000002</v>
      </c>
      <c r="T6429">
        <v>-0.36348069999999999</v>
      </c>
      <c r="U6429">
        <v>0.30445860000000002</v>
      </c>
      <c r="V6429">
        <v>0.33633859999999999</v>
      </c>
      <c r="W6429">
        <v>6.5350950000000005E-2</v>
      </c>
      <c r="X6429">
        <v>0.9394709</v>
      </c>
      <c r="Y6429">
        <v>0.43558079999999999</v>
      </c>
      <c r="Z6429">
        <v>-8.590913E-2</v>
      </c>
      <c r="AA6429">
        <v>0.89604069999999902</v>
      </c>
      <c r="AB6429">
        <v>30</v>
      </c>
      <c r="AC6429">
        <v>8.9395000000000095</v>
      </c>
      <c r="AD6429">
        <v>-1.10127387041</v>
      </c>
      <c r="AE6429">
        <v>0.77000000000001001</v>
      </c>
      <c r="AF6429">
        <v>4.0179259773686598</v>
      </c>
      <c r="AG6429">
        <v>-1.10127387041</v>
      </c>
      <c r="AH6429">
        <v>7.8734968739299296</v>
      </c>
      <c r="AI6429">
        <v>97.101682109190406</v>
      </c>
      <c r="AJ6429">
        <v>62.964314394459898</v>
      </c>
      <c r="AK6429">
        <v>8.9077767327794106</v>
      </c>
      <c r="AL6429">
        <v>86.252996007671598</v>
      </c>
      <c r="AM6429">
        <v>70.302199177211094</v>
      </c>
      <c r="AN6429">
        <v>0.99999998623133601</v>
      </c>
    </row>
    <row r="6430" spans="1:40" x14ac:dyDescent="0.25">
      <c r="A6430" t="str">
        <f>"20190312151444308"</f>
        <v>20190312151444308</v>
      </c>
      <c r="B6430" t="str">
        <f>"1552374884297117"</f>
        <v>1552374884297117</v>
      </c>
      <c r="C6430" t="s">
        <v>40</v>
      </c>
      <c r="D6430">
        <v>4.6766649999999998</v>
      </c>
      <c r="E6430">
        <v>0.54516089999999995</v>
      </c>
      <c r="F6430" t="s">
        <v>42</v>
      </c>
      <c r="G6430">
        <v>-159.02170000000001</v>
      </c>
      <c r="H6430" s="1">
        <v>-2.0770429999999999E-6</v>
      </c>
      <c r="I6430">
        <v>145.91149999999999</v>
      </c>
      <c r="J6430">
        <v>-168.12090000000001</v>
      </c>
      <c r="K6430">
        <v>1.1012789999999999</v>
      </c>
      <c r="L6430">
        <v>145.19899999999899</v>
      </c>
      <c r="M6430">
        <v>0.85414080000000003</v>
      </c>
      <c r="N6430">
        <v>0</v>
      </c>
      <c r="O6430">
        <v>0.51986309999999902</v>
      </c>
      <c r="P6430">
        <v>0.97713179999999999</v>
      </c>
      <c r="Q6430">
        <v>5.9035089999999998E-2</v>
      </c>
      <c r="R6430">
        <v>0.20427500000000001</v>
      </c>
      <c r="S6430">
        <v>3.03714</v>
      </c>
      <c r="T6430">
        <v>-0.35722599999999999</v>
      </c>
      <c r="U6430">
        <v>0.28018189999999998</v>
      </c>
      <c r="V6430">
        <v>0.33499069999999997</v>
      </c>
      <c r="W6430">
        <v>6.4683370000000004E-2</v>
      </c>
      <c r="X6430">
        <v>0.93999860000000002</v>
      </c>
      <c r="Y6430">
        <v>0.433085</v>
      </c>
      <c r="Z6430">
        <v>-8.3388970000000007E-2</v>
      </c>
      <c r="AA6430">
        <v>0.89748749999999999</v>
      </c>
      <c r="AB6430">
        <v>30</v>
      </c>
      <c r="AC6430">
        <v>9.0991999999999909</v>
      </c>
      <c r="AD6430">
        <v>-1.1012810770429999</v>
      </c>
      <c r="AE6430">
        <v>0.71250000000000502</v>
      </c>
      <c r="AF6430">
        <v>4.0629924639763502</v>
      </c>
      <c r="AG6430">
        <v>-1.1012810770429999</v>
      </c>
      <c r="AH6430">
        <v>8.0263012632738597</v>
      </c>
      <c r="AI6430">
        <v>96.979303589094698</v>
      </c>
      <c r="AJ6430">
        <v>63.151019537058097</v>
      </c>
      <c r="AK6430">
        <v>9.0632356110725301</v>
      </c>
      <c r="AL6430">
        <v>86.291326818631305</v>
      </c>
      <c r="AM6430">
        <v>70.385273962136495</v>
      </c>
      <c r="AN6430">
        <v>1.0000000377214999</v>
      </c>
    </row>
    <row r="6431" spans="1:40" x14ac:dyDescent="0.25">
      <c r="A6431" t="str">
        <f>"20190312151444330"</f>
        <v>20190312151444330</v>
      </c>
      <c r="B6431" t="str">
        <f>"1552374884327372"</f>
        <v>1552374884327372</v>
      </c>
      <c r="C6431" t="s">
        <v>40</v>
      </c>
      <c r="D6431">
        <v>4.6075489999999997</v>
      </c>
      <c r="E6431">
        <v>0.54435049999999996</v>
      </c>
      <c r="F6431" t="s">
        <v>42</v>
      </c>
      <c r="G6431">
        <v>-158.74199999999999</v>
      </c>
      <c r="H6431" s="1">
        <v>-2.2166699999999999E-6</v>
      </c>
      <c r="I6431">
        <v>145.9853</v>
      </c>
      <c r="J6431">
        <v>-167.86250000000001</v>
      </c>
      <c r="K6431">
        <v>1.1012820000000001</v>
      </c>
      <c r="L6431">
        <v>145.3434</v>
      </c>
      <c r="M6431">
        <v>0.85967769999999999</v>
      </c>
      <c r="N6431">
        <v>0</v>
      </c>
      <c r="O6431">
        <v>0.51065509999999903</v>
      </c>
      <c r="P6431">
        <v>0.97895189999999999</v>
      </c>
      <c r="Q6431">
        <v>5.9003369999999999E-2</v>
      </c>
      <c r="R6431">
        <v>0.19537589999999999</v>
      </c>
      <c r="S6431">
        <v>3.038513</v>
      </c>
      <c r="T6431">
        <v>-0.3567824</v>
      </c>
      <c r="U6431">
        <v>0.25473020000000002</v>
      </c>
      <c r="V6431">
        <v>0.33344020000000002</v>
      </c>
      <c r="W6431">
        <v>6.4696699999999996E-2</v>
      </c>
      <c r="X6431">
        <v>0.94054879999999996</v>
      </c>
      <c r="Y6431">
        <v>0.43099850000000001</v>
      </c>
      <c r="Z6431">
        <v>-8.2263020000000006E-2</v>
      </c>
      <c r="AA6431">
        <v>0.89859509999999898</v>
      </c>
      <c r="AB6431">
        <v>30</v>
      </c>
      <c r="AC6431">
        <v>9.1204999999999892</v>
      </c>
      <c r="AD6431">
        <v>-1.1012842166700001</v>
      </c>
      <c r="AE6431">
        <v>0.64189999999999203</v>
      </c>
      <c r="AF6431">
        <v>4.0472650050095398</v>
      </c>
      <c r="AG6431">
        <v>-1.1012842166700001</v>
      </c>
      <c r="AH6431">
        <v>8.0524116326018191</v>
      </c>
      <c r="AI6431">
        <v>96.966878436134493</v>
      </c>
      <c r="AJ6431">
        <v>63.3151993597494</v>
      </c>
      <c r="AK6431">
        <v>9.0793454636070798</v>
      </c>
      <c r="AL6431">
        <v>86.290561462262403</v>
      </c>
      <c r="AM6431">
        <v>70.479736352325602</v>
      </c>
      <c r="AN6431">
        <v>1.00000003757418</v>
      </c>
    </row>
    <row r="6432" spans="1:40" x14ac:dyDescent="0.25">
      <c r="A6432" t="str">
        <f>"20190312151444352"</f>
        <v>20190312151444352</v>
      </c>
      <c r="B6432" t="str">
        <f>"1552374884346892"</f>
        <v>1552374884346892</v>
      </c>
      <c r="C6432" t="s">
        <v>40</v>
      </c>
      <c r="D6432">
        <v>4.631113</v>
      </c>
      <c r="E6432">
        <v>0.54414619999999903</v>
      </c>
      <c r="F6432" t="s">
        <v>42</v>
      </c>
      <c r="G6432">
        <v>-158.27670000000001</v>
      </c>
      <c r="H6432" s="1">
        <v>-2.441637E-6</v>
      </c>
      <c r="I6432">
        <v>146.0806</v>
      </c>
      <c r="J6432">
        <v>-167.59270000000001</v>
      </c>
      <c r="K6432">
        <v>1.101289</v>
      </c>
      <c r="L6432">
        <v>145.49039999999999</v>
      </c>
      <c r="M6432">
        <v>0.86532209999999998</v>
      </c>
      <c r="N6432">
        <v>0</v>
      </c>
      <c r="O6432">
        <v>0.501031</v>
      </c>
      <c r="P6432">
        <v>0.98077809999999999</v>
      </c>
      <c r="Q6432">
        <v>5.8564629999999999E-2</v>
      </c>
      <c r="R6432">
        <v>0.1861303</v>
      </c>
      <c r="S6432">
        <v>3.0389249999999999</v>
      </c>
      <c r="T6432">
        <v>-0.34912959999999998</v>
      </c>
      <c r="U6432">
        <v>0.23370360000000001</v>
      </c>
      <c r="V6432">
        <v>0.33182119999999998</v>
      </c>
      <c r="W6432">
        <v>6.4304599999999906E-2</v>
      </c>
      <c r="X6432">
        <v>0.94114799999999998</v>
      </c>
      <c r="Y6432">
        <v>0.42746830000000002</v>
      </c>
      <c r="Z6432">
        <v>-7.9389509999999996E-2</v>
      </c>
      <c r="AA6432">
        <v>0.9005377</v>
      </c>
      <c r="AB6432">
        <v>30</v>
      </c>
      <c r="AC6432">
        <v>9.3160000000000007</v>
      </c>
      <c r="AD6432">
        <v>-1.1012914416370001</v>
      </c>
      <c r="AE6432">
        <v>0.59020000000000905</v>
      </c>
      <c r="AF6432">
        <v>4.1002069989678196</v>
      </c>
      <c r="AG6432">
        <v>-1.1012914416370001</v>
      </c>
      <c r="AH6432">
        <v>8.2430898064768208</v>
      </c>
      <c r="AI6432">
        <v>96.821346630465598</v>
      </c>
      <c r="AJ6432">
        <v>63.553723441326497</v>
      </c>
      <c r="AK6432">
        <v>9.2721664044305001</v>
      </c>
      <c r="AL6432">
        <v>86.313073781137703</v>
      </c>
      <c r="AM6432">
        <v>70.578843330998396</v>
      </c>
      <c r="AN6432">
        <v>0.99999997412729902</v>
      </c>
    </row>
    <row r="6433" spans="1:40" x14ac:dyDescent="0.25">
      <c r="A6433" t="str">
        <f>"20190312151444374"</f>
        <v>20190312151444374</v>
      </c>
      <c r="B6433" t="str">
        <f>"1552374884367389"</f>
        <v>1552374884367389</v>
      </c>
      <c r="C6433" t="s">
        <v>40</v>
      </c>
      <c r="D6433">
        <v>4.6242970000000003</v>
      </c>
      <c r="E6433">
        <v>0.54385859999999997</v>
      </c>
      <c r="F6433" t="s">
        <v>42</v>
      </c>
      <c r="G6433">
        <v>-157.87190000000001</v>
      </c>
      <c r="H6433" s="1">
        <v>-2.6335700000000001E-6</v>
      </c>
      <c r="I6433">
        <v>146.14920000000001</v>
      </c>
      <c r="J6433">
        <v>-167.33320000000001</v>
      </c>
      <c r="K6433">
        <v>1.1012869999999999</v>
      </c>
      <c r="L6433">
        <v>145.62809999999999</v>
      </c>
      <c r="M6433">
        <v>0.87061679999999997</v>
      </c>
      <c r="N6433">
        <v>0</v>
      </c>
      <c r="O6433">
        <v>0.49177310000000002</v>
      </c>
      <c r="P6433">
        <v>0.98241480000000003</v>
      </c>
      <c r="Q6433">
        <v>5.8725920000000001E-2</v>
      </c>
      <c r="R6433">
        <v>0.17723529999999901</v>
      </c>
      <c r="S6433">
        <v>3.0402529999999999</v>
      </c>
      <c r="T6433">
        <v>-0.34443649999999998</v>
      </c>
      <c r="U6433">
        <v>0.2060699</v>
      </c>
      <c r="V6433">
        <v>0.33030730000000003</v>
      </c>
      <c r="W6433">
        <v>6.4509689999999995E-2</v>
      </c>
      <c r="X6433">
        <v>0.94166640000000001</v>
      </c>
      <c r="Y6433">
        <v>0.42623040000000001</v>
      </c>
      <c r="Z6433">
        <v>-7.7368519999999996E-2</v>
      </c>
      <c r="AA6433">
        <v>0.90129999999999999</v>
      </c>
      <c r="AB6433">
        <v>30</v>
      </c>
      <c r="AC6433">
        <v>9.4612999999999907</v>
      </c>
      <c r="AD6433">
        <v>-1.10128963357</v>
      </c>
      <c r="AE6433">
        <v>0.52110000000001799</v>
      </c>
      <c r="AF6433">
        <v>4.1435536841078404</v>
      </c>
      <c r="AG6433">
        <v>-1.10128963357</v>
      </c>
      <c r="AH6433">
        <v>8.3810086558143695</v>
      </c>
      <c r="AI6433">
        <v>96.718094378254904</v>
      </c>
      <c r="AJ6433">
        <v>63.692301817003603</v>
      </c>
      <c r="AK6433">
        <v>9.4139886381346205</v>
      </c>
      <c r="AL6433">
        <v>86.301298676018206</v>
      </c>
      <c r="AM6433">
        <v>70.6707155347233</v>
      </c>
      <c r="AN6433">
        <v>1.00000001071307</v>
      </c>
    </row>
    <row r="6434" spans="1:40" x14ac:dyDescent="0.25">
      <c r="A6434" t="str">
        <f>"20190312151444397"</f>
        <v>20190312151444397</v>
      </c>
      <c r="B6434" t="str">
        <f>"1552374884386909"</f>
        <v>1552374884386909</v>
      </c>
      <c r="C6434" t="s">
        <v>40</v>
      </c>
      <c r="D6434">
        <v>5.3809909999999999</v>
      </c>
      <c r="E6434">
        <v>0.54367109999999996</v>
      </c>
      <c r="F6434" t="s">
        <v>42</v>
      </c>
      <c r="G6434">
        <v>-157.48599999999999</v>
      </c>
      <c r="H6434" s="1">
        <v>-2.8159009999999998E-6</v>
      </c>
      <c r="I6434">
        <v>146.2123</v>
      </c>
      <c r="J6434">
        <v>-167.06129999999999</v>
      </c>
      <c r="K6434">
        <v>1.1012959999999901</v>
      </c>
      <c r="L6434">
        <v>145.76859999999999</v>
      </c>
      <c r="M6434">
        <v>0.87602780000000002</v>
      </c>
      <c r="N6434">
        <v>0</v>
      </c>
      <c r="O6434">
        <v>0.4820681</v>
      </c>
      <c r="P6434">
        <v>0.98408200000000001</v>
      </c>
      <c r="Q6434">
        <v>5.8201450000000002E-2</v>
      </c>
      <c r="R6434">
        <v>0.16791410000000001</v>
      </c>
      <c r="S6434">
        <v>3.041458</v>
      </c>
      <c r="T6434">
        <v>-0.34014879999999997</v>
      </c>
      <c r="U6434">
        <v>0.18045040000000001</v>
      </c>
      <c r="V6434">
        <v>0.32877109999999998</v>
      </c>
      <c r="W6434">
        <v>6.4029559999999999E-2</v>
      </c>
      <c r="X6434">
        <v>0.94223650000000003</v>
      </c>
      <c r="Y6434">
        <v>0.4239868</v>
      </c>
      <c r="Z6434">
        <v>-7.5351269999999998E-2</v>
      </c>
      <c r="AA6434">
        <v>0.90252829999999995</v>
      </c>
      <c r="AB6434">
        <v>30</v>
      </c>
      <c r="AC6434">
        <v>9.5753000000000004</v>
      </c>
      <c r="AD6434">
        <v>-1.10129881590099</v>
      </c>
      <c r="AE6434">
        <v>0.44370000000000598</v>
      </c>
      <c r="AF6434">
        <v>4.1725676650266399</v>
      </c>
      <c r="AG6434">
        <v>-1.10129881590099</v>
      </c>
      <c r="AH6434">
        <v>8.4908420280065506</v>
      </c>
      <c r="AI6434">
        <v>96.639793680892097</v>
      </c>
      <c r="AJ6434">
        <v>63.829585652051101</v>
      </c>
      <c r="AK6434">
        <v>9.5245775940822295</v>
      </c>
      <c r="AL6434">
        <v>86.328864761677906</v>
      </c>
      <c r="AM6434">
        <v>70.764776763885493</v>
      </c>
      <c r="AN6434">
        <v>0.99999992134062299</v>
      </c>
    </row>
    <row r="6435" spans="1:40" x14ac:dyDescent="0.25">
      <c r="A6435" t="str">
        <f>"20190312151444420"</f>
        <v>20190312151444420</v>
      </c>
      <c r="B6435" t="str">
        <f>"1552374884407405"</f>
        <v>1552374884407405</v>
      </c>
      <c r="C6435" t="s">
        <v>40</v>
      </c>
      <c r="D6435">
        <v>5.2285250000000003</v>
      </c>
      <c r="E6435">
        <v>0.5380722</v>
      </c>
      <c r="F6435" t="s">
        <v>42</v>
      </c>
      <c r="G6435">
        <v>-157.18610000000001</v>
      </c>
      <c r="H6435" s="1">
        <v>-2.9581819999999998E-6</v>
      </c>
      <c r="I6435">
        <v>146.2636</v>
      </c>
      <c r="J6435">
        <v>-166.7963</v>
      </c>
      <c r="K6435">
        <v>1.1013109999999999</v>
      </c>
      <c r="L6435">
        <v>145.90199999999999</v>
      </c>
      <c r="M6435">
        <v>0.88117219999999996</v>
      </c>
      <c r="N6435">
        <v>0</v>
      </c>
      <c r="O6435">
        <v>0.4725993</v>
      </c>
      <c r="P6435">
        <v>0.98556589999999999</v>
      </c>
      <c r="Q6435">
        <v>5.7791420000000003E-2</v>
      </c>
      <c r="R6435">
        <v>0.1591235</v>
      </c>
      <c r="S6435">
        <v>3.042557</v>
      </c>
      <c r="T6435">
        <v>-0.339310099999999</v>
      </c>
      <c r="U6435">
        <v>0.15252689999999999</v>
      </c>
      <c r="V6435">
        <v>0.32702710000000002</v>
      </c>
      <c r="W6435">
        <v>6.3669799999999999E-2</v>
      </c>
      <c r="X6435">
        <v>0.94286760000000003</v>
      </c>
      <c r="Y6435">
        <v>0.42260880000000001</v>
      </c>
      <c r="Z6435">
        <v>-7.4176329999999999E-2</v>
      </c>
      <c r="AA6435">
        <v>0.90327170000000001</v>
      </c>
      <c r="AB6435">
        <v>30</v>
      </c>
      <c r="AC6435">
        <v>9.6101999999999901</v>
      </c>
      <c r="AD6435">
        <v>-1.101313958182</v>
      </c>
      <c r="AE6435">
        <v>0.36159999999998099</v>
      </c>
      <c r="AF6435">
        <v>4.1688621386100699</v>
      </c>
      <c r="AG6435">
        <v>-1.101313958182</v>
      </c>
      <c r="AH6435">
        <v>8.5280947316684106</v>
      </c>
      <c r="AI6435">
        <v>96.617824223915605</v>
      </c>
      <c r="AJ6435">
        <v>63.948828898140398</v>
      </c>
      <c r="AK6435">
        <v>9.5561866723883995</v>
      </c>
      <c r="AL6435">
        <v>86.349519704591998</v>
      </c>
      <c r="AM6435">
        <v>70.8712509587196</v>
      </c>
      <c r="AN6435">
        <v>0.99999993934810305</v>
      </c>
    </row>
    <row r="6436" spans="1:40" x14ac:dyDescent="0.25">
      <c r="A6436" t="str">
        <f>"20190312151444442"</f>
        <v>20190312151444442</v>
      </c>
      <c r="B6436" t="str">
        <f>"1552374884436685"</f>
        <v>1552374884436685</v>
      </c>
      <c r="C6436" t="s">
        <v>40</v>
      </c>
      <c r="D6436">
        <v>4.6911009999999997</v>
      </c>
      <c r="E6436">
        <v>0.53645520000000002</v>
      </c>
      <c r="F6436" t="s">
        <v>42</v>
      </c>
      <c r="G6436">
        <v>-153.60990000000001</v>
      </c>
      <c r="H6436" s="1">
        <v>-4.2942969999999998E-6</v>
      </c>
      <c r="I6436">
        <v>146.6447</v>
      </c>
      <c r="J6436">
        <v>-166.52170000000001</v>
      </c>
      <c r="K6436">
        <v>1.1013189999999999</v>
      </c>
      <c r="L6436">
        <v>146.03649999999999</v>
      </c>
      <c r="M6436">
        <v>0.88636680000000001</v>
      </c>
      <c r="N6436">
        <v>0</v>
      </c>
      <c r="O6436">
        <v>0.46278330000000001</v>
      </c>
      <c r="P6436">
        <v>0.98691719999999905</v>
      </c>
      <c r="Q6436">
        <v>5.6514340000000003E-2</v>
      </c>
      <c r="R6436">
        <v>0.15099849999999901</v>
      </c>
      <c r="S6436">
        <v>3.0312190000000001</v>
      </c>
      <c r="T6436">
        <v>-0.25316480000000002</v>
      </c>
      <c r="U6436">
        <v>0.17073060000000001</v>
      </c>
      <c r="V6436">
        <v>0.32432559999999999</v>
      </c>
      <c r="W6436">
        <v>6.2467229999999999E-2</v>
      </c>
      <c r="X6436">
        <v>0.94388070000000002</v>
      </c>
      <c r="Y6436">
        <v>0.40933370000000002</v>
      </c>
      <c r="Z6436">
        <v>-5.4321410000000001E-2</v>
      </c>
      <c r="AA6436">
        <v>0.91076619999999997</v>
      </c>
      <c r="AB6436">
        <v>30</v>
      </c>
      <c r="AC6436">
        <v>12.911799999999999</v>
      </c>
      <c r="AD6436">
        <v>-1.1013232942969999</v>
      </c>
      <c r="AE6436">
        <v>0.60820000000000995</v>
      </c>
      <c r="AF6436">
        <v>5.3975987672191899</v>
      </c>
      <c r="AG6436">
        <v>-1.1013232942969999</v>
      </c>
      <c r="AH6436">
        <v>11.6426263912557</v>
      </c>
      <c r="AI6436">
        <v>94.905099900839403</v>
      </c>
      <c r="AJ6436">
        <v>65.127248373611096</v>
      </c>
      <c r="AK6436">
        <v>12.880129453418199</v>
      </c>
      <c r="AL6436">
        <v>86.418559605893506</v>
      </c>
      <c r="AM6436">
        <v>71.036833952220604</v>
      </c>
      <c r="AN6436">
        <v>1.0000000127358599</v>
      </c>
    </row>
    <row r="6437" spans="1:40" x14ac:dyDescent="0.25">
      <c r="A6437" t="str">
        <f>"20190312151444464"</f>
        <v>20190312151444464</v>
      </c>
      <c r="B6437" t="str">
        <f>"1552374884457181"</f>
        <v>1552374884457181</v>
      </c>
      <c r="C6437" t="s">
        <v>40</v>
      </c>
      <c r="D6437">
        <v>4.6677419999999996</v>
      </c>
      <c r="E6437">
        <v>0.53599669999999999</v>
      </c>
      <c r="F6437" t="s">
        <v>42</v>
      </c>
      <c r="G6437">
        <v>-153.44980000000001</v>
      </c>
      <c r="H6437" s="1">
        <v>-4.3616919999999999E-6</v>
      </c>
      <c r="I6437">
        <v>146.71729999999999</v>
      </c>
      <c r="J6437">
        <v>-166.25239999999999</v>
      </c>
      <c r="K6437">
        <v>1.1013250000000001</v>
      </c>
      <c r="L6437">
        <v>146.16480000000001</v>
      </c>
      <c r="M6437">
        <v>0.89133289999999998</v>
      </c>
      <c r="N6437">
        <v>0</v>
      </c>
      <c r="O6437">
        <v>0.45314480000000001</v>
      </c>
      <c r="P6437">
        <v>0.98795069999999996</v>
      </c>
      <c r="Q6437">
        <v>5.5675990000000002E-2</v>
      </c>
      <c r="R6437">
        <v>0.1444069</v>
      </c>
      <c r="S6437">
        <v>3.0302579999999999</v>
      </c>
      <c r="T6437">
        <v>-0.25530180000000002</v>
      </c>
      <c r="U6437">
        <v>0.1578369</v>
      </c>
      <c r="V6437">
        <v>0.3203896</v>
      </c>
      <c r="W6437">
        <v>6.1733379999999997E-2</v>
      </c>
      <c r="X6437">
        <v>0.94527209999999995</v>
      </c>
      <c r="Y6437">
        <v>0.40328849999999999</v>
      </c>
      <c r="Z6437">
        <v>-5.382928E-2</v>
      </c>
      <c r="AA6437">
        <v>0.91348830000000003</v>
      </c>
      <c r="AB6437">
        <v>30</v>
      </c>
      <c r="AC6437">
        <v>12.802599999999901</v>
      </c>
      <c r="AD6437">
        <v>-1.1013293616919999</v>
      </c>
      <c r="AE6437">
        <v>0.55249999999998001</v>
      </c>
      <c r="AF6437">
        <v>5.2705325266348</v>
      </c>
      <c r="AG6437">
        <v>-1.1013293616919999</v>
      </c>
      <c r="AH6437">
        <v>11.5773085039656</v>
      </c>
      <c r="AI6437">
        <v>94.948254996882099</v>
      </c>
      <c r="AJ6437">
        <v>65.522751232143605</v>
      </c>
      <c r="AK6437">
        <v>12.768144409946</v>
      </c>
      <c r="AL6437">
        <v>86.460687111812007</v>
      </c>
      <c r="AM6437">
        <v>71.276474910075507</v>
      </c>
      <c r="AN6437">
        <v>0.99999992451639397</v>
      </c>
    </row>
    <row r="6438" spans="1:40" x14ac:dyDescent="0.25">
      <c r="A6438" t="str">
        <f>"20190312151444486"</f>
        <v>20190312151444486</v>
      </c>
      <c r="B6438" t="str">
        <f>"1552374884476701"</f>
        <v>1552374884476701</v>
      </c>
      <c r="C6438" t="s">
        <v>40</v>
      </c>
      <c r="D6438">
        <v>4.6617329999999999</v>
      </c>
      <c r="E6438">
        <v>0.53552330000000004</v>
      </c>
      <c r="F6438" t="s">
        <v>42</v>
      </c>
      <c r="G6438">
        <v>-153.2508</v>
      </c>
      <c r="H6438" s="1">
        <v>-4.4383460000000003E-6</v>
      </c>
      <c r="I6438">
        <v>146.7679</v>
      </c>
      <c r="J6438">
        <v>-165.98390000000001</v>
      </c>
      <c r="K6438">
        <v>1.101316</v>
      </c>
      <c r="L6438">
        <v>146.28909999999999</v>
      </c>
      <c r="M6438">
        <v>0.89616260000000003</v>
      </c>
      <c r="N6438">
        <v>0</v>
      </c>
      <c r="O6438">
        <v>0.44351689999999999</v>
      </c>
      <c r="P6438">
        <v>0.98891700000000005</v>
      </c>
      <c r="Q6438">
        <v>5.5991770000000003E-2</v>
      </c>
      <c r="R6438">
        <v>0.1375065</v>
      </c>
      <c r="S6438">
        <v>3.0305179999999998</v>
      </c>
      <c r="T6438">
        <v>-0.25670769999999998</v>
      </c>
      <c r="U6438">
        <v>0.14057919999999999</v>
      </c>
      <c r="V6438">
        <v>0.31680029999999998</v>
      </c>
      <c r="W6438">
        <v>6.2139809999999997E-2</v>
      </c>
      <c r="X6438">
        <v>0.94645460000000003</v>
      </c>
      <c r="Y6438">
        <v>0.39864379999999999</v>
      </c>
      <c r="Z6438">
        <v>-5.3207770000000001E-2</v>
      </c>
      <c r="AA6438">
        <v>0.91556110000000002</v>
      </c>
      <c r="AB6438">
        <v>30</v>
      </c>
      <c r="AC6438">
        <v>12.7331</v>
      </c>
      <c r="AD6438">
        <v>-1.101320438346</v>
      </c>
      <c r="AE6438">
        <v>0.478800000000006</v>
      </c>
      <c r="AF6438">
        <v>5.1800488866296197</v>
      </c>
      <c r="AG6438">
        <v>-1.101320438346</v>
      </c>
      <c r="AH6438">
        <v>11.5381662195839</v>
      </c>
      <c r="AI6438">
        <v>94.976609709229393</v>
      </c>
      <c r="AJ6438">
        <v>65.822348703618204</v>
      </c>
      <c r="AK6438">
        <v>12.695475291872199</v>
      </c>
      <c r="AL6438">
        <v>86.437356032074405</v>
      </c>
      <c r="AM6438">
        <v>71.4934116140833</v>
      </c>
      <c r="AN6438">
        <v>1.0000000479640401</v>
      </c>
    </row>
    <row r="6439" spans="1:40" x14ac:dyDescent="0.25">
      <c r="A6439" t="str">
        <f>"20190312151444508"</f>
        <v>20190312151444508</v>
      </c>
      <c r="B6439" t="str">
        <f>"1552374884497197"</f>
        <v>1552374884497197</v>
      </c>
      <c r="C6439" t="s">
        <v>40</v>
      </c>
      <c r="D6439">
        <v>4.6953800000000001</v>
      </c>
      <c r="E6439">
        <v>0.53295049999999999</v>
      </c>
      <c r="F6439" t="s">
        <v>42</v>
      </c>
      <c r="G6439">
        <v>-152.89750000000001</v>
      </c>
      <c r="H6439" s="1">
        <v>-4.5676290000000003E-6</v>
      </c>
      <c r="I6439">
        <v>146.81890000000001</v>
      </c>
      <c r="J6439">
        <v>-165.70679999999999</v>
      </c>
      <c r="K6439">
        <v>1.101305</v>
      </c>
      <c r="L6439">
        <v>146.4134</v>
      </c>
      <c r="M6439">
        <v>0.90102439999999995</v>
      </c>
      <c r="N6439">
        <v>0</v>
      </c>
      <c r="O6439">
        <v>0.43355480000000002</v>
      </c>
      <c r="P6439">
        <v>0.98985710000000005</v>
      </c>
      <c r="Q6439">
        <v>5.5573490000000003E-2</v>
      </c>
      <c r="R6439">
        <v>0.130747</v>
      </c>
      <c r="S6439">
        <v>3.0310060000000001</v>
      </c>
      <c r="T6439">
        <v>-0.25508259999999999</v>
      </c>
      <c r="U6439">
        <v>0.12271120000000001</v>
      </c>
      <c r="V6439">
        <v>0.31277179999999999</v>
      </c>
      <c r="W6439">
        <v>6.1818560000000002E-2</v>
      </c>
      <c r="X6439">
        <v>0.9478145</v>
      </c>
      <c r="Y6439">
        <v>0.39396019999999998</v>
      </c>
      <c r="Z6439">
        <v>-5.1924850000000002E-2</v>
      </c>
      <c r="AA6439">
        <v>0.91765960000000002</v>
      </c>
      <c r="AB6439">
        <v>30</v>
      </c>
      <c r="AC6439">
        <v>12.809299999999901</v>
      </c>
      <c r="AD6439">
        <v>-1.1013095676289999</v>
      </c>
      <c r="AE6439">
        <v>0.40550000000001701</v>
      </c>
      <c r="AF6439">
        <v>5.1506130214166799</v>
      </c>
      <c r="AG6439">
        <v>-1.1013095676289999</v>
      </c>
      <c r="AH6439">
        <v>11.6324814592808</v>
      </c>
      <c r="AI6439">
        <v>94.947697159945406</v>
      </c>
      <c r="AJ6439">
        <v>66.117265923133999</v>
      </c>
      <c r="AK6439">
        <v>12.769350890340901</v>
      </c>
      <c r="AL6439">
        <v>86.455797691339001</v>
      </c>
      <c r="AM6439">
        <v>71.737490837923204</v>
      </c>
      <c r="AN6439">
        <v>1.0000000298229801</v>
      </c>
    </row>
    <row r="6440" spans="1:40" x14ac:dyDescent="0.25">
      <c r="A6440" t="str">
        <f>"20190312151444531"</f>
        <v>20190312151444531</v>
      </c>
      <c r="B6440" t="str">
        <f>"1552374884526476"</f>
        <v>1552374884526476</v>
      </c>
      <c r="C6440" t="s">
        <v>40</v>
      </c>
      <c r="D6440">
        <v>4.7210260000000002</v>
      </c>
      <c r="E6440">
        <v>0.53249939999999996</v>
      </c>
      <c r="F6440" t="s">
        <v>42</v>
      </c>
      <c r="G6440">
        <v>-155.3443</v>
      </c>
      <c r="H6440" s="1">
        <v>-3.7364100000000002E-6</v>
      </c>
      <c r="I6440">
        <v>146.827</v>
      </c>
      <c r="J6440">
        <v>-165.43020000000001</v>
      </c>
      <c r="K6440">
        <v>1.1012949999999999</v>
      </c>
      <c r="L6440">
        <v>146.53399999999999</v>
      </c>
      <c r="M6440">
        <v>0.9057579</v>
      </c>
      <c r="N6440">
        <v>0</v>
      </c>
      <c r="O6440">
        <v>0.42357669999999997</v>
      </c>
      <c r="P6440">
        <v>0.99050839999999996</v>
      </c>
      <c r="Q6440">
        <v>5.7723219999999999E-2</v>
      </c>
      <c r="R6440">
        <v>0.12474489999999901</v>
      </c>
      <c r="S6440">
        <v>3.0328520000000001</v>
      </c>
      <c r="T6440">
        <v>-0.32232559999999999</v>
      </c>
      <c r="U6440">
        <v>0.121048</v>
      </c>
      <c r="V6440">
        <v>0.30803770000000003</v>
      </c>
      <c r="W6440">
        <v>6.4079040000000004E-2</v>
      </c>
      <c r="X6440">
        <v>0.94921369999999905</v>
      </c>
      <c r="Y6440">
        <v>0.3827565</v>
      </c>
      <c r="Z6440">
        <v>-6.3945760000000004E-2</v>
      </c>
      <c r="AA6440">
        <v>0.92163349999999999</v>
      </c>
      <c r="AB6440">
        <v>30</v>
      </c>
      <c r="AC6440">
        <v>10.085900000000001</v>
      </c>
      <c r="AD6440">
        <v>-1.10129873641</v>
      </c>
      <c r="AE6440">
        <v>0.29300000000000598</v>
      </c>
      <c r="AF6440">
        <v>3.9599623426997899</v>
      </c>
      <c r="AG6440">
        <v>-1.10129873641</v>
      </c>
      <c r="AH6440">
        <v>9.1513319013073104</v>
      </c>
      <c r="AI6440">
        <v>96.302551579593</v>
      </c>
      <c r="AJ6440">
        <v>66.600910191592902</v>
      </c>
      <c r="AK6440">
        <v>10.0320006095645</v>
      </c>
      <c r="AL6440">
        <v>86.326024214900997</v>
      </c>
      <c r="AM6440">
        <v>72.020778203129595</v>
      </c>
      <c r="AN6440">
        <v>0.99999999812814999</v>
      </c>
    </row>
    <row r="6441" spans="1:40" x14ac:dyDescent="0.25">
      <c r="A6441" t="str">
        <f>"20190312151444553"</f>
        <v>20190312151444553</v>
      </c>
      <c r="B6441" t="str">
        <f>"1552374884546973"</f>
        <v>1552374884546973</v>
      </c>
      <c r="C6441" t="s">
        <v>40</v>
      </c>
      <c r="D6441">
        <v>4.6996460000000004</v>
      </c>
      <c r="E6441">
        <v>0.53207559999999998</v>
      </c>
      <c r="F6441" t="s">
        <v>42</v>
      </c>
      <c r="G6441">
        <v>-154.8948</v>
      </c>
      <c r="H6441" s="1">
        <v>-3.9029049999999999E-6</v>
      </c>
      <c r="I6441">
        <v>146.9032</v>
      </c>
      <c r="J6441">
        <v>-165.15260000000001</v>
      </c>
      <c r="K6441">
        <v>1.1012879999999901</v>
      </c>
      <c r="L6441">
        <v>146.65119999999999</v>
      </c>
      <c r="M6441">
        <v>0.91039199999999998</v>
      </c>
      <c r="N6441">
        <v>0</v>
      </c>
      <c r="O6441">
        <v>0.41352270000000002</v>
      </c>
      <c r="P6441">
        <v>0.99093410000000004</v>
      </c>
      <c r="Q6441">
        <v>6.1484709999999998E-2</v>
      </c>
      <c r="R6441">
        <v>0.1194552</v>
      </c>
      <c r="S6441">
        <v>3.0338440000000002</v>
      </c>
      <c r="T6441">
        <v>-0.31713560000000002</v>
      </c>
      <c r="U6441">
        <v>0.10632320000000001</v>
      </c>
      <c r="V6441">
        <v>0.30257790000000001</v>
      </c>
      <c r="W6441">
        <v>6.7965830000000005E-2</v>
      </c>
      <c r="X6441">
        <v>0.9506983</v>
      </c>
      <c r="Y6441">
        <v>0.37723620000000002</v>
      </c>
      <c r="Z6441">
        <v>-6.1667430000000002E-2</v>
      </c>
      <c r="AA6441">
        <v>0.92406169999999999</v>
      </c>
      <c r="AB6441">
        <v>30</v>
      </c>
      <c r="AC6441">
        <v>10.2578</v>
      </c>
      <c r="AD6441">
        <v>-1.1012919029049999</v>
      </c>
      <c r="AE6441">
        <v>0.25200000000000899</v>
      </c>
      <c r="AF6441">
        <v>3.9670873908567499</v>
      </c>
      <c r="AG6441">
        <v>-1.1012919029049999</v>
      </c>
      <c r="AH6441">
        <v>9.3361541477981795</v>
      </c>
      <c r="AI6441">
        <v>96.196072565591905</v>
      </c>
      <c r="AJ6441">
        <v>66.978552850065697</v>
      </c>
      <c r="AK6441">
        <v>10.2036464312297</v>
      </c>
      <c r="AL6441">
        <v>86.102840454908403</v>
      </c>
      <c r="AM6441">
        <v>72.345334337271098</v>
      </c>
      <c r="AN6441">
        <v>0.999999998619444</v>
      </c>
    </row>
    <row r="6442" spans="1:40" x14ac:dyDescent="0.25">
      <c r="A6442" t="str">
        <f>"20190312151444577"</f>
        <v>20190312151444577</v>
      </c>
      <c r="B6442" t="str">
        <f>"1552374884566493"</f>
        <v>1552374884566493</v>
      </c>
      <c r="C6442" t="s">
        <v>40</v>
      </c>
      <c r="D6442">
        <v>4.8315130000000002</v>
      </c>
      <c r="E6442">
        <v>0.51132979999999995</v>
      </c>
      <c r="F6442" t="s">
        <v>42</v>
      </c>
      <c r="G6442">
        <v>-154.12289999999999</v>
      </c>
      <c r="H6442" s="1">
        <v>-4.1818980000000001E-6</v>
      </c>
      <c r="I6442">
        <v>146.99510000000001</v>
      </c>
      <c r="J6442">
        <v>-164.87110000000001</v>
      </c>
      <c r="K6442">
        <v>1.1012900000000001</v>
      </c>
      <c r="L6442">
        <v>146.76650000000001</v>
      </c>
      <c r="M6442">
        <v>0.91498060000000003</v>
      </c>
      <c r="N6442">
        <v>0</v>
      </c>
      <c r="O6442">
        <v>0.4032674</v>
      </c>
      <c r="P6442">
        <v>0.99135059999999997</v>
      </c>
      <c r="Q6442">
        <v>6.6151249999999995E-2</v>
      </c>
      <c r="R6442">
        <v>0.1133474</v>
      </c>
      <c r="S6442">
        <v>3.0348359999999999</v>
      </c>
      <c r="T6442">
        <v>-0.30301929999999999</v>
      </c>
      <c r="U6442">
        <v>9.4635010000000006E-2</v>
      </c>
      <c r="V6442">
        <v>0.29773110000000003</v>
      </c>
      <c r="W6442">
        <v>7.2734759999999996E-2</v>
      </c>
      <c r="X6442">
        <v>0.95187489999999997</v>
      </c>
      <c r="Y6442">
        <v>0.3708439</v>
      </c>
      <c r="Z6442">
        <v>-5.7667429999999999E-2</v>
      </c>
      <c r="AA6442">
        <v>0.92690309999999998</v>
      </c>
      <c r="AB6442">
        <v>30</v>
      </c>
      <c r="AC6442">
        <v>10.748200000000001</v>
      </c>
      <c r="AD6442">
        <v>-1.101294181898</v>
      </c>
      <c r="AE6442">
        <v>0.2286</v>
      </c>
      <c r="AF6442">
        <v>4.0827732101791199</v>
      </c>
      <c r="AG6442">
        <v>-1.101294181898</v>
      </c>
      <c r="AH6442">
        <v>9.8244074500596295</v>
      </c>
      <c r="AI6442">
        <v>95.909921312867496</v>
      </c>
      <c r="AJ6442">
        <v>67.433475393456305</v>
      </c>
      <c r="AK6442">
        <v>10.6958341285579</v>
      </c>
      <c r="AL6442">
        <v>85.828921914873902</v>
      </c>
      <c r="AM6442">
        <v>72.6311598540467</v>
      </c>
      <c r="AN6442">
        <v>0.99999998923473798</v>
      </c>
    </row>
    <row r="6443" spans="1:40" x14ac:dyDescent="0.25">
      <c r="A6443" t="str">
        <f>"20190312151444598"</f>
        <v>20190312151444598</v>
      </c>
      <c r="B6443" t="str">
        <f>"1552374884586988"</f>
        <v>1552374884586988</v>
      </c>
      <c r="C6443" t="s">
        <v>40</v>
      </c>
      <c r="D6443">
        <v>4.8418830000000002</v>
      </c>
      <c r="E6443">
        <v>0.50724769999999997</v>
      </c>
      <c r="F6443" t="s">
        <v>42</v>
      </c>
      <c r="G6443">
        <v>-154.7586</v>
      </c>
      <c r="H6443" s="1">
        <v>-4.0686380000000001E-6</v>
      </c>
      <c r="I6443">
        <v>147.5762</v>
      </c>
      <c r="J6443">
        <v>-164.59599999999901</v>
      </c>
      <c r="K6443">
        <v>1.1012850000000001</v>
      </c>
      <c r="L6443">
        <v>146.87559999999999</v>
      </c>
      <c r="M6443">
        <v>0.91936309999999999</v>
      </c>
      <c r="N6443">
        <v>0</v>
      </c>
      <c r="O6443">
        <v>0.39317390000000002</v>
      </c>
      <c r="P6443">
        <v>0.99162660000000002</v>
      </c>
      <c r="Q6443">
        <v>7.3053370000000006E-2</v>
      </c>
      <c r="R6443">
        <v>0.1064895</v>
      </c>
      <c r="S6443">
        <v>3.0204620000000002</v>
      </c>
      <c r="T6443">
        <v>-0.32893939999999999</v>
      </c>
      <c r="U6443">
        <v>0.2418671</v>
      </c>
      <c r="V6443">
        <v>0.29379860000000002</v>
      </c>
      <c r="W6443">
        <v>7.9709580000000002E-2</v>
      </c>
      <c r="X6443">
        <v>0.95253810000000005</v>
      </c>
      <c r="Y6443">
        <v>0.31453629999999999</v>
      </c>
      <c r="Z6443">
        <v>-5.8615479999999998E-2</v>
      </c>
      <c r="AA6443">
        <v>0.947434</v>
      </c>
      <c r="AB6443">
        <v>30</v>
      </c>
      <c r="AC6443">
        <v>9.8373999999999704</v>
      </c>
      <c r="AD6443">
        <v>-1.1012890686379999</v>
      </c>
      <c r="AE6443">
        <v>0.70060000000000799</v>
      </c>
      <c r="AF6443">
        <v>3.1842964206100701</v>
      </c>
      <c r="AG6443">
        <v>-1.1012890686379999</v>
      </c>
      <c r="AH6443">
        <v>9.2056769150851601</v>
      </c>
      <c r="AI6443">
        <v>96.450400545902696</v>
      </c>
      <c r="AJ6443">
        <v>70.919203698852698</v>
      </c>
      <c r="AK6443">
        <v>9.8029112396238496</v>
      </c>
      <c r="AL6443">
        <v>85.428127566256904</v>
      </c>
      <c r="AM6443">
        <v>72.858268361899704</v>
      </c>
      <c r="AN6443">
        <v>1.00000003322867</v>
      </c>
    </row>
    <row r="6444" spans="1:40" x14ac:dyDescent="0.25">
      <c r="A6444" t="str">
        <f>"20190312151444620"</f>
        <v>20190312151444620</v>
      </c>
      <c r="B6444" t="str">
        <f>"1552374884617245"</f>
        <v>1552374884617245</v>
      </c>
      <c r="C6444" t="s">
        <v>40</v>
      </c>
      <c r="D6444">
        <v>4.9195970000000004</v>
      </c>
      <c r="E6444">
        <v>0.50531839999999995</v>
      </c>
      <c r="F6444" t="s">
        <v>42</v>
      </c>
      <c r="G6444">
        <v>-154.33799999999999</v>
      </c>
      <c r="H6444" s="1">
        <v>-4.2398819999999998E-6</v>
      </c>
      <c r="I6444">
        <v>147.73480000000001</v>
      </c>
      <c r="J6444">
        <v>-164.32299999999901</v>
      </c>
      <c r="K6444">
        <v>1.1012550000000001</v>
      </c>
      <c r="L6444">
        <v>146.9803</v>
      </c>
      <c r="M6444">
        <v>0.92361780000000004</v>
      </c>
      <c r="N6444">
        <v>0</v>
      </c>
      <c r="O6444">
        <v>0.38307219999999997</v>
      </c>
      <c r="P6444">
        <v>0.99205330000000003</v>
      </c>
      <c r="Q6444">
        <v>7.6778659999999999E-2</v>
      </c>
      <c r="R6444">
        <v>9.9675830000000007E-2</v>
      </c>
      <c r="S6444">
        <v>3.022049</v>
      </c>
      <c r="T6444">
        <v>-0.32444580000000001</v>
      </c>
      <c r="U6444">
        <v>0.25314330000000002</v>
      </c>
      <c r="V6444">
        <v>0.28987760000000001</v>
      </c>
      <c r="W6444">
        <v>8.3499680000000007E-2</v>
      </c>
      <c r="X6444">
        <v>0.95341430000000005</v>
      </c>
      <c r="Y6444">
        <v>0.30088090000000001</v>
      </c>
      <c r="Z6444">
        <v>-5.6042460000000002E-2</v>
      </c>
      <c r="AA6444">
        <v>0.95201360000000002</v>
      </c>
      <c r="AB6444">
        <v>30</v>
      </c>
      <c r="AC6444">
        <v>9.9849999999999799</v>
      </c>
      <c r="AD6444">
        <v>-1.10125923988199</v>
      </c>
      <c r="AE6444">
        <v>0.75450000000000705</v>
      </c>
      <c r="AF6444">
        <v>3.09101084782337</v>
      </c>
      <c r="AG6444">
        <v>-1.10125923988199</v>
      </c>
      <c r="AH6444">
        <v>9.3985589395422799</v>
      </c>
      <c r="AI6444">
        <v>96.351336341641101</v>
      </c>
      <c r="AJ6444">
        <v>71.794928311990702</v>
      </c>
      <c r="AK6444">
        <v>9.9548998043595294</v>
      </c>
      <c r="AL6444">
        <v>85.210243969870504</v>
      </c>
      <c r="AM6444">
        <v>73.088546857554903</v>
      </c>
      <c r="AN6444">
        <v>1.0000000234931701</v>
      </c>
    </row>
    <row r="6445" spans="1:40" x14ac:dyDescent="0.25">
      <c r="A6445" t="str">
        <f>"20190312151444642"</f>
        <v>20190312151444642</v>
      </c>
      <c r="B6445" t="str">
        <f>"1552374884636765"</f>
        <v>1552374884636765</v>
      </c>
      <c r="C6445" t="s">
        <v>40</v>
      </c>
      <c r="D6445">
        <v>4.9150090000000004</v>
      </c>
      <c r="E6445">
        <v>0.50476120000000002</v>
      </c>
      <c r="F6445" t="s">
        <v>42</v>
      </c>
      <c r="G6445">
        <v>-154.6259</v>
      </c>
      <c r="H6445" s="1">
        <v>-4.14811E-6</v>
      </c>
      <c r="I6445">
        <v>147.7696</v>
      </c>
      <c r="J6445">
        <v>-164.0384</v>
      </c>
      <c r="K6445">
        <v>1.1011930000000001</v>
      </c>
      <c r="L6445">
        <v>147.0857</v>
      </c>
      <c r="M6445">
        <v>0.92795799999999995</v>
      </c>
      <c r="N6445">
        <v>0</v>
      </c>
      <c r="O6445">
        <v>0.37243530000000002</v>
      </c>
      <c r="P6445">
        <v>0.99268820000000002</v>
      </c>
      <c r="Q6445">
        <v>7.822221E-2</v>
      </c>
      <c r="R6445">
        <v>9.1932739999999999E-2</v>
      </c>
      <c r="S6445">
        <v>3.0258790000000002</v>
      </c>
      <c r="T6445">
        <v>-0.34363480000000002</v>
      </c>
      <c r="U6445">
        <v>0.24630740000000001</v>
      </c>
      <c r="V6445">
        <v>0.28636149999999999</v>
      </c>
      <c r="W6445">
        <v>8.4986399999999906E-2</v>
      </c>
      <c r="X6445">
        <v>0.954345</v>
      </c>
      <c r="Y6445">
        <v>0.2918268</v>
      </c>
      <c r="Z6445">
        <v>-5.7640610000000002E-2</v>
      </c>
      <c r="AA6445">
        <v>0.95473280000000005</v>
      </c>
      <c r="AB6445">
        <v>30</v>
      </c>
      <c r="AC6445">
        <v>9.4124999999999908</v>
      </c>
      <c r="AD6445">
        <v>-1.10119714811</v>
      </c>
      <c r="AE6445">
        <v>0.68389999999999396</v>
      </c>
      <c r="AF6445">
        <v>2.8326161980303199</v>
      </c>
      <c r="AG6445">
        <v>-1.10119714811</v>
      </c>
      <c r="AH6445">
        <v>8.8691904003479305</v>
      </c>
      <c r="AI6445">
        <v>96.745275351659501</v>
      </c>
      <c r="AJ6445">
        <v>72.287709281455605</v>
      </c>
      <c r="AK6445">
        <v>9.3754406852143894</v>
      </c>
      <c r="AL6445">
        <v>85.124757123912701</v>
      </c>
      <c r="AM6445">
        <v>73.297561202981001</v>
      </c>
      <c r="AN6445">
        <v>0.99999998794610501</v>
      </c>
    </row>
    <row r="6446" spans="1:40" x14ac:dyDescent="0.25">
      <c r="A6446" t="str">
        <f>"20190312151444665"</f>
        <v>20190312151444665</v>
      </c>
      <c r="B6446" t="str">
        <f>"1552374884657261"</f>
        <v>1552374884657261</v>
      </c>
      <c r="C6446" t="s">
        <v>40</v>
      </c>
      <c r="D6446">
        <v>4.8290419999999896</v>
      </c>
      <c r="E6446">
        <v>0.50459579999999904</v>
      </c>
      <c r="F6446" t="s">
        <v>42</v>
      </c>
      <c r="G6446">
        <v>-154.38669999999999</v>
      </c>
      <c r="H6446" s="1">
        <v>-4.2357750000000001E-6</v>
      </c>
      <c r="I6446">
        <v>147.80500000000001</v>
      </c>
      <c r="J6446">
        <v>-163.75899999999999</v>
      </c>
      <c r="K6446">
        <v>1.101102</v>
      </c>
      <c r="L6446">
        <v>147.18549999999999</v>
      </c>
      <c r="M6446">
        <v>0.93212910000000004</v>
      </c>
      <c r="N6446">
        <v>0</v>
      </c>
      <c r="O6446">
        <v>0.3618693</v>
      </c>
      <c r="P6446">
        <v>0.99320269999999999</v>
      </c>
      <c r="Q6446">
        <v>7.9910330000000002E-2</v>
      </c>
      <c r="R6446">
        <v>8.4634780000000007E-2</v>
      </c>
      <c r="S6446">
        <v>3.0284270000000002</v>
      </c>
      <c r="T6446">
        <v>-0.34552240000000001</v>
      </c>
      <c r="U6446">
        <v>0.22570799999999999</v>
      </c>
      <c r="V6446">
        <v>0.2825339</v>
      </c>
      <c r="W6446">
        <v>8.6719000000000004E-2</v>
      </c>
      <c r="X6446">
        <v>0.95532950000000005</v>
      </c>
      <c r="Y6446">
        <v>0.28753640000000003</v>
      </c>
      <c r="Z6446">
        <v>-5.6568210000000001E-2</v>
      </c>
      <c r="AA6446">
        <v>0.95609770000000005</v>
      </c>
      <c r="AB6446">
        <v>29</v>
      </c>
      <c r="AC6446">
        <v>9.3722999999999903</v>
      </c>
      <c r="AD6446">
        <v>-1.1011062357750001</v>
      </c>
      <c r="AE6446">
        <v>0.61950000000001604</v>
      </c>
      <c r="AF6446">
        <v>2.7762027593399701</v>
      </c>
      <c r="AG6446">
        <v>-1.1011062357750001</v>
      </c>
      <c r="AH6446">
        <v>8.8397229541888205</v>
      </c>
      <c r="AI6446">
        <v>96.777267689719594</v>
      </c>
      <c r="AJ6446">
        <v>72.564585961299201</v>
      </c>
      <c r="AK6446">
        <v>9.3306183401874403</v>
      </c>
      <c r="AL6446">
        <v>85.025118728708804</v>
      </c>
      <c r="AM6446">
        <v>73.524681932972697</v>
      </c>
      <c r="AN6446">
        <v>1.0000000215902201</v>
      </c>
    </row>
    <row r="6447" spans="1:40" x14ac:dyDescent="0.25">
      <c r="A6447" t="str">
        <f>"20190312151444688"</f>
        <v>20190312151444688</v>
      </c>
      <c r="B6447" t="str">
        <f>"1552374884676781"</f>
        <v>1552374884676781</v>
      </c>
      <c r="C6447" t="s">
        <v>40</v>
      </c>
      <c r="D6447">
        <v>4.8564660000000002</v>
      </c>
      <c r="E6447">
        <v>0.50431049999999999</v>
      </c>
      <c r="F6447" t="s">
        <v>42</v>
      </c>
      <c r="G6447">
        <v>-153.7807</v>
      </c>
      <c r="H6447" s="1">
        <v>-4.4519690000000001E-6</v>
      </c>
      <c r="I6447">
        <v>147.8613</v>
      </c>
      <c r="J6447">
        <v>-163.4735</v>
      </c>
      <c r="K6447">
        <v>1.101005</v>
      </c>
      <c r="L6447">
        <v>147.2835</v>
      </c>
      <c r="M6447">
        <v>0.9363051</v>
      </c>
      <c r="N6447">
        <v>0</v>
      </c>
      <c r="O6447">
        <v>0.35092220000000002</v>
      </c>
      <c r="P6447">
        <v>0.99373579999999995</v>
      </c>
      <c r="Q6447">
        <v>8.0275639999999995E-2</v>
      </c>
      <c r="R6447">
        <v>7.7747999999999998E-2</v>
      </c>
      <c r="S6447">
        <v>3.0299529999999999</v>
      </c>
      <c r="T6447">
        <v>-0.3343544</v>
      </c>
      <c r="U6447">
        <v>0.2052002</v>
      </c>
      <c r="V6447">
        <v>0.27797379999999999</v>
      </c>
      <c r="W6447">
        <v>8.7144159999999998E-2</v>
      </c>
      <c r="X6447">
        <v>0.95662769999999997</v>
      </c>
      <c r="Y6447">
        <v>0.28314250000000002</v>
      </c>
      <c r="Z6447">
        <v>-5.3375690000000003E-2</v>
      </c>
      <c r="AA6447">
        <v>0.95759139999999998</v>
      </c>
      <c r="AB6447">
        <v>29</v>
      </c>
      <c r="AC6447">
        <v>9.6928000000000001</v>
      </c>
      <c r="AD6447">
        <v>-1.1010094519689999</v>
      </c>
      <c r="AE6447">
        <v>0.57779999999999598</v>
      </c>
      <c r="AF6447">
        <v>2.8243749238992399</v>
      </c>
      <c r="AG6447">
        <v>-1.1010094519689999</v>
      </c>
      <c r="AH6447">
        <v>9.1612583992910093</v>
      </c>
      <c r="AI6447">
        <v>96.551545200047997</v>
      </c>
      <c r="AJ6447">
        <v>72.865703960901499</v>
      </c>
      <c r="AK6447">
        <v>9.6497653330356101</v>
      </c>
      <c r="AL6447">
        <v>85.000666414083398</v>
      </c>
      <c r="AM6447">
        <v>73.797362103453295</v>
      </c>
      <c r="AN6447">
        <v>1.00000004725791</v>
      </c>
    </row>
    <row r="6448" spans="1:40" x14ac:dyDescent="0.25">
      <c r="A6448" t="str">
        <f>"20190312151444708"</f>
        <v>20190312151444708</v>
      </c>
      <c r="B6448" t="str">
        <f>"1552374884707037"</f>
        <v>1552374884707037</v>
      </c>
      <c r="C6448" t="s">
        <v>40</v>
      </c>
      <c r="D6448">
        <v>4.8274350000000004</v>
      </c>
      <c r="E6448">
        <v>0.5037121</v>
      </c>
      <c r="F6448" t="s">
        <v>42</v>
      </c>
      <c r="G6448">
        <v>-153.55029999999999</v>
      </c>
      <c r="H6448" s="1">
        <v>-4.5367150000000003E-6</v>
      </c>
      <c r="I6448">
        <v>147.89699999999999</v>
      </c>
      <c r="J6448">
        <v>-163.20079999999999</v>
      </c>
      <c r="K6448">
        <v>1.1009089999999999</v>
      </c>
      <c r="L6448">
        <v>147.3734</v>
      </c>
      <c r="M6448">
        <v>0.94020919999999997</v>
      </c>
      <c r="N6448">
        <v>0</v>
      </c>
      <c r="O6448">
        <v>0.3403235</v>
      </c>
      <c r="P6448">
        <v>0.99421660000000001</v>
      </c>
      <c r="Q6448">
        <v>8.0517019999999995E-2</v>
      </c>
      <c r="R6448">
        <v>7.1066599999999994E-2</v>
      </c>
      <c r="S6448">
        <v>3.0314030000000001</v>
      </c>
      <c r="T6448">
        <v>-0.33634380000000003</v>
      </c>
      <c r="U6448">
        <v>0.18743899999999999</v>
      </c>
      <c r="V6448">
        <v>0.27361190000000002</v>
      </c>
      <c r="W6448">
        <v>8.7442469999999994E-2</v>
      </c>
      <c r="X6448">
        <v>0.95785710000000002</v>
      </c>
      <c r="Y6448">
        <v>0.27798050000000002</v>
      </c>
      <c r="Z6448">
        <v>-5.2293829999999999E-2</v>
      </c>
      <c r="AA6448">
        <v>0.95916219999999996</v>
      </c>
      <c r="AB6448">
        <v>29</v>
      </c>
      <c r="AC6448">
        <v>9.6504999999999903</v>
      </c>
      <c r="AD6448">
        <v>-1.10091353671499</v>
      </c>
      <c r="AE6448">
        <v>0.52360000000001605</v>
      </c>
      <c r="AF6448">
        <v>2.7564915355974202</v>
      </c>
      <c r="AG6448">
        <v>-1.10091353671499</v>
      </c>
      <c r="AH6448">
        <v>9.1340252445940902</v>
      </c>
      <c r="AI6448">
        <v>96.582188379190697</v>
      </c>
      <c r="AJ6448">
        <v>73.207090066343298</v>
      </c>
      <c r="AK6448">
        <v>9.6042008189138102</v>
      </c>
      <c r="AL6448">
        <v>84.983508479178795</v>
      </c>
      <c r="AM6448">
        <v>74.058008400028797</v>
      </c>
      <c r="AN6448">
        <v>0.99999994070085796</v>
      </c>
    </row>
    <row r="6449" spans="1:40" x14ac:dyDescent="0.25">
      <c r="A6449" t="str">
        <f>"20190312151444732"</f>
        <v>20190312151444732</v>
      </c>
      <c r="B6449" t="str">
        <f>"1552374884726557"</f>
        <v>1552374884726557</v>
      </c>
      <c r="C6449" t="s">
        <v>40</v>
      </c>
      <c r="D6449">
        <v>4.9701309999999896</v>
      </c>
      <c r="E6449">
        <v>0.50337089999999995</v>
      </c>
      <c r="F6449" t="s">
        <v>42</v>
      </c>
      <c r="G6449">
        <v>-153.45750000000001</v>
      </c>
      <c r="H6449" s="1">
        <v>-4.5732620000000001E-6</v>
      </c>
      <c r="I6449">
        <v>147.92490000000001</v>
      </c>
      <c r="J6449">
        <v>-162.9015</v>
      </c>
      <c r="K6449">
        <v>1.1007940000000001</v>
      </c>
      <c r="L6449">
        <v>147.46799999999999</v>
      </c>
      <c r="M6449">
        <v>0.94439010000000001</v>
      </c>
      <c r="N6449">
        <v>0</v>
      </c>
      <c r="O6449">
        <v>0.32854270000000002</v>
      </c>
      <c r="P6449">
        <v>0.9947165</v>
      </c>
      <c r="Q6449">
        <v>8.1290630000000003E-2</v>
      </c>
      <c r="R6449">
        <v>6.269711E-2</v>
      </c>
      <c r="S6449">
        <v>3.0329130000000002</v>
      </c>
      <c r="T6449">
        <v>-0.34269229999999901</v>
      </c>
      <c r="U6449">
        <v>0.17166139999999999</v>
      </c>
      <c r="V6449">
        <v>0.26971250000000002</v>
      </c>
      <c r="W6449">
        <v>8.8260399999999906E-2</v>
      </c>
      <c r="X6449">
        <v>0.9588875</v>
      </c>
      <c r="Y6449">
        <v>0.27095130000000001</v>
      </c>
      <c r="Z6449">
        <v>-5.1611049999999999E-2</v>
      </c>
      <c r="AA6449">
        <v>0.96120850000000002</v>
      </c>
      <c r="AB6449">
        <v>29</v>
      </c>
      <c r="AC6449">
        <v>9.4439999999999795</v>
      </c>
      <c r="AD6449">
        <v>-1.100798573262</v>
      </c>
      <c r="AE6449">
        <v>0.45690000000001801</v>
      </c>
      <c r="AF6449">
        <v>2.6357880701513499</v>
      </c>
      <c r="AG6449">
        <v>-1.100798573262</v>
      </c>
      <c r="AH6449">
        <v>8.9484858512756098</v>
      </c>
      <c r="AI6449">
        <v>96.729925976883095</v>
      </c>
      <c r="AJ6449">
        <v>73.587594505880105</v>
      </c>
      <c r="AK6449">
        <v>9.3933239739789496</v>
      </c>
      <c r="AL6449">
        <v>84.9364628606411</v>
      </c>
      <c r="AM6449">
        <v>74.289956243089307</v>
      </c>
      <c r="AN6449">
        <v>0.99999998426032899</v>
      </c>
    </row>
    <row r="6450" spans="1:40" x14ac:dyDescent="0.25">
      <c r="A6450" t="str">
        <f>"20190312151444758"</f>
        <v>20190312151444758</v>
      </c>
      <c r="B6450" t="str">
        <f>"1552374884747053"</f>
        <v>1552374884747053</v>
      </c>
      <c r="C6450" t="s">
        <v>40</v>
      </c>
      <c r="D6450">
        <v>4.9006740000000004</v>
      </c>
      <c r="E6450">
        <v>0.50299380000000005</v>
      </c>
      <c r="F6450" t="s">
        <v>42</v>
      </c>
      <c r="G6450">
        <v>-153.13800000000001</v>
      </c>
      <c r="H6450" s="1">
        <v>-4.6858479999999997E-6</v>
      </c>
      <c r="I6450">
        <v>147.9468</v>
      </c>
      <c r="J6450">
        <v>-162.5744</v>
      </c>
      <c r="K6450">
        <v>1.100651</v>
      </c>
      <c r="L6450">
        <v>147.5667</v>
      </c>
      <c r="M6450">
        <v>0.94883240000000002</v>
      </c>
      <c r="N6450">
        <v>0</v>
      </c>
      <c r="O6450">
        <v>0.31548349999999997</v>
      </c>
      <c r="P6450">
        <v>0.99557359999999995</v>
      </c>
      <c r="Q6450">
        <v>7.8151449999999997E-2</v>
      </c>
      <c r="R6450">
        <v>5.2208459999999998E-2</v>
      </c>
      <c r="S6450">
        <v>3.0345149999999999</v>
      </c>
      <c r="T6450">
        <v>-0.34213070000000001</v>
      </c>
      <c r="U6450">
        <v>0.14880370000000001</v>
      </c>
      <c r="V6450">
        <v>0.26662019999999997</v>
      </c>
      <c r="W6450">
        <v>8.5145540000000006E-2</v>
      </c>
      <c r="X6450">
        <v>0.96003329999999998</v>
      </c>
      <c r="Y6450">
        <v>0.26505489999999998</v>
      </c>
      <c r="Z6450">
        <v>-4.979169E-2</v>
      </c>
      <c r="AA6450">
        <v>0.96294690000000005</v>
      </c>
      <c r="AB6450">
        <v>29</v>
      </c>
      <c r="AC6450">
        <v>9.4363999999999901</v>
      </c>
      <c r="AD6450">
        <v>-1.1006556858480001</v>
      </c>
      <c r="AE6450">
        <v>0.380099999999998</v>
      </c>
      <c r="AF6450">
        <v>2.5815577484951802</v>
      </c>
      <c r="AG6450">
        <v>-1.1006556858480001</v>
      </c>
      <c r="AH6450">
        <v>8.95272470439083</v>
      </c>
      <c r="AI6450">
        <v>96.737006461756906</v>
      </c>
      <c r="AJ6450">
        <v>73.914849729984198</v>
      </c>
      <c r="AK6450">
        <v>9.3822791996516006</v>
      </c>
      <c r="AL6450">
        <v>85.115606038455795</v>
      </c>
      <c r="AM6450">
        <v>74.478976080827493</v>
      </c>
      <c r="AN6450">
        <v>1.00000001556941</v>
      </c>
    </row>
    <row r="6451" spans="1:40" x14ac:dyDescent="0.25">
      <c r="A6451" t="str">
        <f>"20190312151444780"</f>
        <v>20190312151444780</v>
      </c>
      <c r="B6451" t="str">
        <f>"1552374884777309"</f>
        <v>1552374884777309</v>
      </c>
      <c r="C6451" t="s">
        <v>40</v>
      </c>
      <c r="D6451">
        <v>4.8863909999999997</v>
      </c>
      <c r="E6451">
        <v>0.50243230000000005</v>
      </c>
      <c r="F6451" t="s">
        <v>42</v>
      </c>
      <c r="G6451">
        <v>-153.15020000000001</v>
      </c>
      <c r="H6451" s="1">
        <v>-4.679865E-6</v>
      </c>
      <c r="I6451">
        <v>147.93639999999999</v>
      </c>
      <c r="J6451">
        <v>-162.29179999999999</v>
      </c>
      <c r="K6451">
        <v>1.1005199999999999</v>
      </c>
      <c r="L6451">
        <v>147.64779999999999</v>
      </c>
      <c r="M6451">
        <v>0.95256320000000005</v>
      </c>
      <c r="N6451">
        <v>0</v>
      </c>
      <c r="O6451">
        <v>0.30403160000000001</v>
      </c>
      <c r="P6451">
        <v>0.99632120000000002</v>
      </c>
      <c r="Q6451">
        <v>7.4172619999999995E-2</v>
      </c>
      <c r="R6451">
        <v>4.291942E-2</v>
      </c>
      <c r="S6451">
        <v>3.034897</v>
      </c>
      <c r="T6451">
        <v>-0.35444710000000001</v>
      </c>
      <c r="U6451">
        <v>0.11907959999999999</v>
      </c>
      <c r="V6451">
        <v>0.2640303</v>
      </c>
      <c r="W6451">
        <v>8.118583E-2</v>
      </c>
      <c r="X6451">
        <v>0.96109149999999999</v>
      </c>
      <c r="Y6451">
        <v>0.26269150000000002</v>
      </c>
      <c r="Z6451">
        <v>-5.0177079999999999E-2</v>
      </c>
      <c r="AA6451">
        <v>0.96357429999999999</v>
      </c>
      <c r="AB6451">
        <v>29</v>
      </c>
      <c r="AC6451">
        <v>9.1415999999999809</v>
      </c>
      <c r="AD6451">
        <v>-1.1005246798649999</v>
      </c>
      <c r="AE6451">
        <v>0.28860000000000202</v>
      </c>
      <c r="AF6451">
        <v>2.4689150551560699</v>
      </c>
      <c r="AG6451">
        <v>-1.1005246798649999</v>
      </c>
      <c r="AH6451">
        <v>8.67098029710675</v>
      </c>
      <c r="AI6451">
        <v>96.9595862215252</v>
      </c>
      <c r="AJ6451">
        <v>74.106592781022997</v>
      </c>
      <c r="AK6451">
        <v>9.0825434451689695</v>
      </c>
      <c r="AL6451">
        <v>85.343269495277596</v>
      </c>
      <c r="AM6451">
        <v>74.638706654291695</v>
      </c>
      <c r="AN6451">
        <v>1.00000000484156</v>
      </c>
    </row>
    <row r="6452" spans="1:40" x14ac:dyDescent="0.25">
      <c r="A6452" t="str">
        <f>"20190312151444800"</f>
        <v>20190312151444800</v>
      </c>
      <c r="B6452" t="str">
        <f>"1552374884796829"</f>
        <v>1552374884796829</v>
      </c>
      <c r="C6452" t="s">
        <v>40</v>
      </c>
      <c r="D6452">
        <v>4.8705280000000002</v>
      </c>
      <c r="E6452">
        <v>0.49933709999999998</v>
      </c>
      <c r="F6452" t="s">
        <v>42</v>
      </c>
      <c r="G6452">
        <v>-153.24469999999999</v>
      </c>
      <c r="H6452" s="1">
        <v>-4.6461100000000001E-6</v>
      </c>
      <c r="I6452">
        <v>147.92740000000001</v>
      </c>
      <c r="J6452">
        <v>-162.0284</v>
      </c>
      <c r="K6452">
        <v>1.10039</v>
      </c>
      <c r="L6452">
        <v>147.72</v>
      </c>
      <c r="M6452">
        <v>0.95595370000000002</v>
      </c>
      <c r="N6452">
        <v>0</v>
      </c>
      <c r="O6452">
        <v>0.29319669999999998</v>
      </c>
      <c r="P6452">
        <v>0.99690160000000005</v>
      </c>
      <c r="Q6452">
        <v>7.0847599999999997E-2</v>
      </c>
      <c r="R6452">
        <v>3.4174990000000002E-2</v>
      </c>
      <c r="S6452">
        <v>3.0345</v>
      </c>
      <c r="T6452">
        <v>-0.36912699999999998</v>
      </c>
      <c r="U6452">
        <v>9.3795779999999995E-2</v>
      </c>
      <c r="V6452">
        <v>0.2615632</v>
      </c>
      <c r="W6452">
        <v>7.7878039999999996E-2</v>
      </c>
      <c r="X6452">
        <v>0.96203939999999999</v>
      </c>
      <c r="Y6452">
        <v>0.2595346</v>
      </c>
      <c r="Z6452">
        <v>-5.0812490000000002E-2</v>
      </c>
      <c r="AA6452">
        <v>0.96439609999999998</v>
      </c>
      <c r="AB6452">
        <v>29</v>
      </c>
      <c r="AC6452">
        <v>8.7837000000000103</v>
      </c>
      <c r="AD6452">
        <v>-1.10039464611</v>
      </c>
      <c r="AE6452">
        <v>0.207400000000006</v>
      </c>
      <c r="AF6452">
        <v>2.34059722764363</v>
      </c>
      <c r="AG6452">
        <v>-1.10039464611</v>
      </c>
      <c r="AH6452">
        <v>8.3277895627850906</v>
      </c>
      <c r="AI6452">
        <v>97.249459137148705</v>
      </c>
      <c r="AJ6452">
        <v>74.301522972620802</v>
      </c>
      <c r="AK6452">
        <v>8.7201687346789907</v>
      </c>
      <c r="AL6452">
        <v>85.533394454876301</v>
      </c>
      <c r="AM6452">
        <v>74.7898575090923</v>
      </c>
      <c r="AN6452">
        <v>1.00000005193041</v>
      </c>
    </row>
    <row r="6453" spans="1:40" x14ac:dyDescent="0.25">
      <c r="A6453" t="str">
        <f>"20190312151444822"</f>
        <v>20190312151444822</v>
      </c>
      <c r="B6453" t="str">
        <f>"1552374884817325"</f>
        <v>1552374884817325</v>
      </c>
      <c r="C6453" t="s">
        <v>40</v>
      </c>
      <c r="D6453">
        <v>4.8960460000000001</v>
      </c>
      <c r="E6453">
        <v>0.49920769999999998</v>
      </c>
      <c r="F6453" t="s">
        <v>41</v>
      </c>
      <c r="G6453">
        <v>-161.23179999999999</v>
      </c>
      <c r="H6453">
        <v>0.96946290000000002</v>
      </c>
      <c r="I6453">
        <v>147.74299999999999</v>
      </c>
      <c r="J6453">
        <v>-161.74789999999999</v>
      </c>
      <c r="K6453">
        <v>1.100247</v>
      </c>
      <c r="L6453">
        <v>147.79320000000001</v>
      </c>
      <c r="M6453">
        <v>0.95946589999999998</v>
      </c>
      <c r="N6453">
        <v>0</v>
      </c>
      <c r="O6453">
        <v>0.2814894</v>
      </c>
      <c r="P6453">
        <v>0.99737019999999998</v>
      </c>
      <c r="Q6453">
        <v>6.8169670000000002E-2</v>
      </c>
      <c r="R6453">
        <v>2.4613469999999998E-2</v>
      </c>
      <c r="S6453">
        <v>3.0418400000000001</v>
      </c>
      <c r="T6453">
        <v>-0.49990269999999998</v>
      </c>
      <c r="U6453">
        <v>8.7753300000000006E-2</v>
      </c>
      <c r="V6453">
        <v>0.25903939999999998</v>
      </c>
      <c r="W6453">
        <v>7.5212749999999995E-2</v>
      </c>
      <c r="X6453">
        <v>0.96293390000000001</v>
      </c>
      <c r="Y6453">
        <v>0.24674090000000001</v>
      </c>
      <c r="Z6453">
        <v>-6.5559720000000002E-2</v>
      </c>
      <c r="AA6453">
        <v>0.96686130000000003</v>
      </c>
      <c r="AB6453">
        <v>29</v>
      </c>
      <c r="AC6453">
        <v>0.51609999999999401</v>
      </c>
      <c r="AD6453">
        <v>-0.13078409999999899</v>
      </c>
      <c r="AE6453">
        <v>-5.0200000000018001E-2</v>
      </c>
      <c r="AF6453">
        <v>0.18188942952024501</v>
      </c>
      <c r="AG6453">
        <v>-0.13078409999999899</v>
      </c>
      <c r="AH6453">
        <v>0.45232107901240398</v>
      </c>
      <c r="AI6453">
        <v>105.016759797731</v>
      </c>
      <c r="AJ6453">
        <v>68.093727648141396</v>
      </c>
      <c r="AK6453">
        <v>0.50475994680932801</v>
      </c>
      <c r="AL6453">
        <v>85.686553630190801</v>
      </c>
      <c r="AM6453">
        <v>74.943276127571593</v>
      </c>
      <c r="AN6453">
        <v>1.0000000321420599</v>
      </c>
    </row>
    <row r="6454" spans="1:40" x14ac:dyDescent="0.25">
      <c r="A6454" t="str">
        <f>"20190312151444843"</f>
        <v>20190312151444843</v>
      </c>
      <c r="B6454" t="str">
        <f>"1552374884836845"</f>
        <v>1552374884836845</v>
      </c>
      <c r="C6454" t="s">
        <v>40</v>
      </c>
      <c r="D6454">
        <v>4.9041779999999999</v>
      </c>
      <c r="E6454">
        <v>0.49820599999999998</v>
      </c>
      <c r="F6454" t="s">
        <v>41</v>
      </c>
      <c r="G6454">
        <v>-160.9742</v>
      </c>
      <c r="H6454">
        <v>0.97131250000000002</v>
      </c>
      <c r="I6454">
        <v>147.8082</v>
      </c>
      <c r="J6454">
        <v>-161.4736</v>
      </c>
      <c r="K6454">
        <v>1.100101</v>
      </c>
      <c r="L6454">
        <v>147.86109999999999</v>
      </c>
      <c r="M6454">
        <v>0.96279979999999998</v>
      </c>
      <c r="N6454">
        <v>0</v>
      </c>
      <c r="O6454">
        <v>0.26986459999999901</v>
      </c>
      <c r="P6454">
        <v>0.99764129999999995</v>
      </c>
      <c r="Q6454">
        <v>6.6885710000000001E-2</v>
      </c>
      <c r="R6454">
        <v>1.5431220000000001E-2</v>
      </c>
      <c r="S6454">
        <v>3.0410919999999999</v>
      </c>
      <c r="T6454">
        <v>-0.50665839999999995</v>
      </c>
      <c r="U6454">
        <v>5.8914179999999997E-2</v>
      </c>
      <c r="V6454">
        <v>0.2562719</v>
      </c>
      <c r="W6454">
        <v>7.3948349999999996E-2</v>
      </c>
      <c r="X6454">
        <v>0.96377190000000001</v>
      </c>
      <c r="Y6454">
        <v>0.24418619999999999</v>
      </c>
      <c r="Z6454">
        <v>-6.4399230000000002E-2</v>
      </c>
      <c r="AA6454">
        <v>0.96758759999999999</v>
      </c>
      <c r="AB6454">
        <v>29</v>
      </c>
      <c r="AC6454">
        <v>0.499400000000008</v>
      </c>
      <c r="AD6454">
        <v>-0.128788499999999</v>
      </c>
      <c r="AE6454">
        <v>-5.2899999999993903E-2</v>
      </c>
      <c r="AF6454">
        <v>0.17425949384023401</v>
      </c>
      <c r="AG6454">
        <v>-0.128788499999999</v>
      </c>
      <c r="AH6454">
        <v>0.43779777119462299</v>
      </c>
      <c r="AI6454">
        <v>105.286611371612</v>
      </c>
      <c r="AJ6454">
        <v>68.295638969605506</v>
      </c>
      <c r="AK6454">
        <v>0.48848719265573798</v>
      </c>
      <c r="AL6454">
        <v>85.759200433539306</v>
      </c>
      <c r="AM6454">
        <v>75.109326166657596</v>
      </c>
      <c r="AN6454">
        <v>0.99999996021347004</v>
      </c>
    </row>
    <row r="6455" spans="1:40" x14ac:dyDescent="0.25">
      <c r="A6455" t="str">
        <f>"20190312151444871"</f>
        <v>20190312151444871</v>
      </c>
      <c r="B6455" t="str">
        <f>"1552374884867101"</f>
        <v>1552374884867101</v>
      </c>
      <c r="C6455" t="s">
        <v>40</v>
      </c>
      <c r="D6455">
        <v>4.9181419999999996</v>
      </c>
      <c r="E6455">
        <v>0.49765670000000001</v>
      </c>
      <c r="F6455" t="s">
        <v>41</v>
      </c>
      <c r="G6455">
        <v>-160.7148</v>
      </c>
      <c r="H6455">
        <v>0.97558009999999995</v>
      </c>
      <c r="I6455">
        <v>147.8707</v>
      </c>
      <c r="J6455">
        <v>-161.1319</v>
      </c>
      <c r="K6455">
        <v>1.099923</v>
      </c>
      <c r="L6455">
        <v>147.94040000000001</v>
      </c>
      <c r="M6455">
        <v>0.96680759999999999</v>
      </c>
      <c r="N6455">
        <v>0</v>
      </c>
      <c r="O6455">
        <v>0.25513229999999998</v>
      </c>
      <c r="P6455">
        <v>0.9977684</v>
      </c>
      <c r="Q6455">
        <v>6.6711129999999993E-2</v>
      </c>
      <c r="R6455">
        <v>2.8670129999999999E-3</v>
      </c>
      <c r="S6455">
        <v>3.039917</v>
      </c>
      <c r="T6455">
        <v>-0.49869740000000001</v>
      </c>
      <c r="U6455">
        <v>3.8375850000000003E-2</v>
      </c>
      <c r="V6455">
        <v>0.25372040000000001</v>
      </c>
      <c r="W6455">
        <v>7.3774320000000004E-2</v>
      </c>
      <c r="X6455">
        <v>0.96446010000000004</v>
      </c>
      <c r="Y6455">
        <v>0.23642440000000001</v>
      </c>
      <c r="Z6455">
        <v>-6.0473270000000003E-2</v>
      </c>
      <c r="AA6455">
        <v>0.96976620000000002</v>
      </c>
      <c r="AB6455">
        <v>29</v>
      </c>
      <c r="AC6455">
        <v>0.41710000000000402</v>
      </c>
      <c r="AD6455">
        <v>-0.12434290000000001</v>
      </c>
      <c r="AE6455">
        <v>-6.97000000000116E-2</v>
      </c>
      <c r="AF6455">
        <v>0.159986753399777</v>
      </c>
      <c r="AG6455">
        <v>-0.12434290000000001</v>
      </c>
      <c r="AH6455">
        <v>0.35483175873729</v>
      </c>
      <c r="AI6455">
        <v>107.71645880180201</v>
      </c>
      <c r="AJ6455">
        <v>65.730310758037206</v>
      </c>
      <c r="AK6455">
        <v>0.40861044413035902</v>
      </c>
      <c r="AL6455">
        <v>85.769199047251107</v>
      </c>
      <c r="AM6455">
        <v>75.261153681701899</v>
      </c>
      <c r="AN6455">
        <v>0.99999998807981605</v>
      </c>
    </row>
    <row r="6456" spans="1:40" x14ac:dyDescent="0.25">
      <c r="A6456" t="str">
        <f>"20190312151444892"</f>
        <v>20190312151444892</v>
      </c>
      <c r="B6456" t="str">
        <f>"1552374884886621"</f>
        <v>1552374884886621</v>
      </c>
      <c r="C6456" t="s">
        <v>40</v>
      </c>
      <c r="D6456">
        <v>4.8970469999999997</v>
      </c>
      <c r="E6456">
        <v>0.497587</v>
      </c>
      <c r="F6456" t="s">
        <v>41</v>
      </c>
      <c r="G6456">
        <v>-160.19799999999901</v>
      </c>
      <c r="H6456">
        <v>0.9474977</v>
      </c>
      <c r="I6456">
        <v>147.9417</v>
      </c>
      <c r="J6456">
        <v>-160.84119999999999</v>
      </c>
      <c r="K6456">
        <v>1.0997790000000001</v>
      </c>
      <c r="L6456">
        <v>148.0033</v>
      </c>
      <c r="M6456">
        <v>0.97007739999999998</v>
      </c>
      <c r="N6456">
        <v>0</v>
      </c>
      <c r="O6456">
        <v>0.24240120000000001</v>
      </c>
      <c r="P6456">
        <v>0.99772830000000001</v>
      </c>
      <c r="Q6456">
        <v>6.6785399999999995E-2</v>
      </c>
      <c r="R6456">
        <v>-8.8307249999999993E-3</v>
      </c>
      <c r="S6456">
        <v>3.0398710000000002</v>
      </c>
      <c r="T6456">
        <v>-0.4961025</v>
      </c>
      <c r="U6456">
        <v>4.1656489999999996E-3</v>
      </c>
      <c r="V6456">
        <v>0.25237490000000001</v>
      </c>
      <c r="W6456">
        <v>7.3830899999999894E-2</v>
      </c>
      <c r="X6456">
        <v>0.96480880000000002</v>
      </c>
      <c r="Y6456">
        <v>0.23483029999999999</v>
      </c>
      <c r="Z6456">
        <v>-5.8038270000000003E-2</v>
      </c>
      <c r="AA6456">
        <v>0.9703022</v>
      </c>
      <c r="AB6456">
        <v>29</v>
      </c>
      <c r="AC6456">
        <v>0.64320000000000699</v>
      </c>
      <c r="AD6456">
        <v>-0.15228130000000001</v>
      </c>
      <c r="AE6456">
        <v>-6.1599999999998503E-2</v>
      </c>
      <c r="AF6456">
        <v>0.204340043505158</v>
      </c>
      <c r="AG6456">
        <v>-0.15228130000000001</v>
      </c>
      <c r="AH6456">
        <v>0.57702974743916702</v>
      </c>
      <c r="AI6456">
        <v>103.969778121289</v>
      </c>
      <c r="AJ6456">
        <v>70.499727101260504</v>
      </c>
      <c r="AK6456">
        <v>0.63079931605787998</v>
      </c>
      <c r="AL6456">
        <v>85.765948676197297</v>
      </c>
      <c r="AM6456">
        <v>75.341009401837397</v>
      </c>
      <c r="AN6456">
        <v>1.00000005625112</v>
      </c>
    </row>
    <row r="6457" spans="1:40" x14ac:dyDescent="0.25">
      <c r="A6457" t="str">
        <f>"20190312151444914"</f>
        <v>20190312151444914</v>
      </c>
      <c r="B6457" t="str">
        <f>"1552374884907117"</f>
        <v>1552374884907117</v>
      </c>
      <c r="C6457" t="s">
        <v>40</v>
      </c>
      <c r="D6457">
        <v>4.9213079999999998</v>
      </c>
      <c r="E6457">
        <v>0.49759759999999997</v>
      </c>
      <c r="F6457" t="s">
        <v>41</v>
      </c>
      <c r="G6457">
        <v>-159.9375</v>
      </c>
      <c r="H6457">
        <v>0.95151960000000002</v>
      </c>
      <c r="I6457">
        <v>147.994</v>
      </c>
      <c r="J6457">
        <v>-160.54050000000001</v>
      </c>
      <c r="K6457">
        <v>1.0996539999999999</v>
      </c>
      <c r="L6457">
        <v>148.0641</v>
      </c>
      <c r="M6457">
        <v>0.97331630000000002</v>
      </c>
      <c r="N6457">
        <v>0</v>
      </c>
      <c r="O6457">
        <v>0.22904820000000001</v>
      </c>
      <c r="P6457">
        <v>0.99754259999999995</v>
      </c>
      <c r="Q6457">
        <v>6.6734520000000006E-2</v>
      </c>
      <c r="R6457">
        <v>-2.1341039999999999E-2</v>
      </c>
      <c r="S6457">
        <v>3.0399020000000001</v>
      </c>
      <c r="T6457">
        <v>-0.49829649999999998</v>
      </c>
      <c r="U6457">
        <v>-3.0899050000000001E-2</v>
      </c>
      <c r="V6457">
        <v>0.25123839999999997</v>
      </c>
      <c r="W6457">
        <v>7.3762439999999999E-2</v>
      </c>
      <c r="X6457">
        <v>0.96511049999999998</v>
      </c>
      <c r="Y6457">
        <v>0.23282639999999999</v>
      </c>
      <c r="Z6457">
        <v>-5.6012230000000003E-2</v>
      </c>
      <c r="AA6457">
        <v>0.97090399999999999</v>
      </c>
      <c r="AB6457">
        <v>29</v>
      </c>
      <c r="AC6457">
        <v>0.60300000000000797</v>
      </c>
      <c r="AD6457">
        <v>-0.1481344</v>
      </c>
      <c r="AE6457">
        <v>-7.0099999999996498E-2</v>
      </c>
      <c r="AF6457">
        <v>0.194767875588052</v>
      </c>
      <c r="AG6457">
        <v>-0.1481344</v>
      </c>
      <c r="AH6457">
        <v>0.53882393211278901</v>
      </c>
      <c r="AI6457">
        <v>104.49632534782501</v>
      </c>
      <c r="AJ6457">
        <v>70.126673277282805</v>
      </c>
      <c r="AK6457">
        <v>0.59178505865046205</v>
      </c>
      <c r="AL6457">
        <v>85.769881437172202</v>
      </c>
      <c r="AM6457">
        <v>75.4085650285014</v>
      </c>
      <c r="AN6457">
        <v>0.99999995419978005</v>
      </c>
    </row>
    <row r="6458" spans="1:40" x14ac:dyDescent="0.25">
      <c r="A6458" t="str">
        <f>"20190312151444938"</f>
        <v>20190312151444938</v>
      </c>
      <c r="B6458" t="str">
        <f>"1552374884926638"</f>
        <v>1552374884926638</v>
      </c>
      <c r="C6458" t="s">
        <v>40</v>
      </c>
      <c r="D6458">
        <v>4.9794900000000002</v>
      </c>
      <c r="E6458">
        <v>0.49814239999999999</v>
      </c>
      <c r="F6458" t="s">
        <v>41</v>
      </c>
      <c r="G6458">
        <v>-159.67509999999999</v>
      </c>
      <c r="H6458">
        <v>0.95793320000000004</v>
      </c>
      <c r="I6458">
        <v>148.04429999999999</v>
      </c>
      <c r="J6458">
        <v>-160.23699999999999</v>
      </c>
      <c r="K6458">
        <v>1.0995349999999999</v>
      </c>
      <c r="L6458">
        <v>148.12090000000001</v>
      </c>
      <c r="M6458">
        <v>0.9764273</v>
      </c>
      <c r="N6458">
        <v>0</v>
      </c>
      <c r="O6458">
        <v>0.21539839999999999</v>
      </c>
      <c r="P6458">
        <v>0.99720779999999998</v>
      </c>
      <c r="Q6458">
        <v>6.6626530000000003E-2</v>
      </c>
      <c r="R6458">
        <v>-3.3730490000000002E-2</v>
      </c>
      <c r="S6458">
        <v>3.039215</v>
      </c>
      <c r="T6458">
        <v>-0.49768020000000002</v>
      </c>
      <c r="U6458">
        <v>-6.9396970000000002E-2</v>
      </c>
      <c r="V6458">
        <v>0.24973429999999999</v>
      </c>
      <c r="W6458">
        <v>7.3653529999999995E-2</v>
      </c>
      <c r="X6458">
        <v>0.96550919999999896</v>
      </c>
      <c r="Y6458">
        <v>0.2317295</v>
      </c>
      <c r="Z6458">
        <v>-5.3694899999999997E-2</v>
      </c>
      <c r="AA6458">
        <v>0.97129719999999997</v>
      </c>
      <c r="AB6458">
        <v>29</v>
      </c>
      <c r="AC6458">
        <v>0.56190000000000795</v>
      </c>
      <c r="AD6458">
        <v>-0.141601799999999</v>
      </c>
      <c r="AE6458">
        <v>-7.6600000000013296E-2</v>
      </c>
      <c r="AF6458">
        <v>0.184351657489399</v>
      </c>
      <c r="AG6458">
        <v>-0.141601799999999</v>
      </c>
      <c r="AH6458">
        <v>0.50097181329126605</v>
      </c>
      <c r="AI6458">
        <v>104.85635350474401</v>
      </c>
      <c r="AJ6458">
        <v>69.796986161659603</v>
      </c>
      <c r="AK6458">
        <v>0.552276525931229</v>
      </c>
      <c r="AL6458">
        <v>85.776138900566394</v>
      </c>
      <c r="AM6458">
        <v>75.497961847416803</v>
      </c>
      <c r="AN6458">
        <v>1.00000003918129</v>
      </c>
    </row>
    <row r="6459" spans="1:40" x14ac:dyDescent="0.25">
      <c r="A6459" t="str">
        <f>"20190312151444965"</f>
        <v>20190312151444965</v>
      </c>
      <c r="B6459" t="str">
        <f>"1552374884956893"</f>
        <v>1552374884956893</v>
      </c>
      <c r="C6459" t="s">
        <v>40</v>
      </c>
      <c r="D6459">
        <v>4.8545939999999996</v>
      </c>
      <c r="E6459">
        <v>0.53430549999999999</v>
      </c>
      <c r="F6459" t="s">
        <v>41</v>
      </c>
      <c r="G6459">
        <v>-159.4111</v>
      </c>
      <c r="H6459">
        <v>0.9660029</v>
      </c>
      <c r="I6459">
        <v>148.09049999999999</v>
      </c>
      <c r="J6459">
        <v>-159.875</v>
      </c>
      <c r="K6459">
        <v>1.0993919999999999</v>
      </c>
      <c r="L6459">
        <v>148.1832</v>
      </c>
      <c r="M6459">
        <v>0.97992270000000004</v>
      </c>
      <c r="N6459">
        <v>0</v>
      </c>
      <c r="O6459">
        <v>0.19889039999999999</v>
      </c>
      <c r="P6459">
        <v>0.99656990000000001</v>
      </c>
      <c r="Q6459">
        <v>6.628539E-2</v>
      </c>
      <c r="R6459">
        <v>-4.9545560000000002E-2</v>
      </c>
      <c r="S6459">
        <v>3.0373990000000002</v>
      </c>
      <c r="T6459">
        <v>-0.49050349999999998</v>
      </c>
      <c r="U6459">
        <v>-0.1114655</v>
      </c>
      <c r="V6459">
        <v>0.248779</v>
      </c>
      <c r="W6459">
        <v>7.3291149999999999E-2</v>
      </c>
      <c r="X6459">
        <v>0.96578339999999996</v>
      </c>
      <c r="Y6459">
        <v>0.22919329999999999</v>
      </c>
      <c r="Z6459">
        <v>-5.0152019999999999E-2</v>
      </c>
      <c r="AA6459">
        <v>0.97208810000000001</v>
      </c>
      <c r="AB6459">
        <v>29</v>
      </c>
      <c r="AC6459">
        <v>0.46389999999999498</v>
      </c>
      <c r="AD6459">
        <v>-0.13338909999999901</v>
      </c>
      <c r="AE6459">
        <v>-9.2700000000007707E-2</v>
      </c>
      <c r="AF6459">
        <v>0.169635234238323</v>
      </c>
      <c r="AG6459">
        <v>-0.13338909999999901</v>
      </c>
      <c r="AH6459">
        <v>0.40406654767070399</v>
      </c>
      <c r="AI6459">
        <v>106.929263548761</v>
      </c>
      <c r="AJ6459">
        <v>67.226359660798295</v>
      </c>
      <c r="AK6459">
        <v>0.45808136792541798</v>
      </c>
      <c r="AL6459">
        <v>85.796958183431897</v>
      </c>
      <c r="AM6459">
        <v>75.555040239049504</v>
      </c>
      <c r="AN6459">
        <v>1.00000007961243</v>
      </c>
    </row>
    <row r="6460" spans="1:40" x14ac:dyDescent="0.25">
      <c r="A6460" t="str">
        <f>"20190312151444991"</f>
        <v>20190312151444991</v>
      </c>
      <c r="B6460" t="str">
        <f>"1552374884976413"</f>
        <v>1552374884976413</v>
      </c>
      <c r="C6460" t="s">
        <v>40</v>
      </c>
      <c r="D6460">
        <v>4.8091900000000001</v>
      </c>
      <c r="E6460">
        <v>0.53727230000000004</v>
      </c>
      <c r="F6460" t="s">
        <v>42</v>
      </c>
      <c r="G6460">
        <v>-150.25200000000001</v>
      </c>
      <c r="H6460" s="1">
        <v>-5.4591080000000002E-6</v>
      </c>
      <c r="I6460">
        <v>146.76929999999999</v>
      </c>
      <c r="J6460">
        <v>-159.5866</v>
      </c>
      <c r="K6460">
        <v>1.0992820000000001</v>
      </c>
      <c r="L6460">
        <v>148.2276</v>
      </c>
      <c r="M6460">
        <v>0.98253349999999995</v>
      </c>
      <c r="N6460">
        <v>0</v>
      </c>
      <c r="O6460">
        <v>0.18556159999999999</v>
      </c>
      <c r="P6460">
        <v>0.99589649999999996</v>
      </c>
      <c r="Q6460">
        <v>6.6258650000000002E-2</v>
      </c>
      <c r="R6460">
        <v>-6.164302E-2</v>
      </c>
      <c r="S6460">
        <v>3.011215</v>
      </c>
      <c r="T6460">
        <v>-0.34402319999999997</v>
      </c>
      <c r="U6460">
        <v>-0.44241330000000001</v>
      </c>
      <c r="V6460">
        <v>0.24740580000000001</v>
      </c>
      <c r="W6460">
        <v>7.327119E-2</v>
      </c>
      <c r="X6460">
        <v>0.96613749999999998</v>
      </c>
      <c r="Y6460">
        <v>0.32319300000000001</v>
      </c>
      <c r="Z6460">
        <v>-3.9305420000000001E-2</v>
      </c>
      <c r="AA6460">
        <v>0.94551649999999998</v>
      </c>
      <c r="AB6460">
        <v>29</v>
      </c>
      <c r="AC6460">
        <v>9.3345999999999894</v>
      </c>
      <c r="AD6460">
        <v>-1.099287459108</v>
      </c>
      <c r="AE6460">
        <v>-1.4582999999999999</v>
      </c>
      <c r="AF6460">
        <v>3.1230006424817098</v>
      </c>
      <c r="AG6460">
        <v>-1.099287459108</v>
      </c>
      <c r="AH6460">
        <v>8.7829155643117502</v>
      </c>
      <c r="AI6460">
        <v>96.725753135725995</v>
      </c>
      <c r="AJ6460">
        <v>70.425795704266093</v>
      </c>
      <c r="AK6460">
        <v>9.3862224425230192</v>
      </c>
      <c r="AL6460">
        <v>85.798104483676198</v>
      </c>
      <c r="AM6460">
        <v>75.636511561002806</v>
      </c>
      <c r="AN6460">
        <v>0.99999998303195203</v>
      </c>
    </row>
    <row r="6461" spans="1:40" x14ac:dyDescent="0.25">
      <c r="A6461" t="str">
        <f>"20190312151445033"</f>
        <v>20190312151445033</v>
      </c>
      <c r="B6461" t="str">
        <f>"1552374885027165"</f>
        <v>1552374885027165</v>
      </c>
      <c r="C6461" t="s">
        <v>40</v>
      </c>
      <c r="D6461">
        <v>4.8189109999999999</v>
      </c>
      <c r="E6461">
        <v>0.53719869999999903</v>
      </c>
      <c r="F6461" t="s">
        <v>42</v>
      </c>
      <c r="G6461">
        <v>-149.28360000000001</v>
      </c>
      <c r="H6461" s="1">
        <v>-2.123181E-6</v>
      </c>
      <c r="I6461">
        <v>146.50720000000001</v>
      </c>
      <c r="J6461">
        <v>-158.97409999999999</v>
      </c>
      <c r="K6461">
        <v>1.0990709999999999</v>
      </c>
      <c r="L6461">
        <v>148.30850000000001</v>
      </c>
      <c r="M6461">
        <v>0.9875256</v>
      </c>
      <c r="N6461">
        <v>0</v>
      </c>
      <c r="O6461">
        <v>0.1568331</v>
      </c>
      <c r="P6461">
        <v>0.99401629999999996</v>
      </c>
      <c r="Q6461">
        <v>6.5875710000000004E-2</v>
      </c>
      <c r="R6461">
        <v>-8.713253E-2</v>
      </c>
      <c r="S6461">
        <v>3.00264</v>
      </c>
      <c r="T6461">
        <v>-0.32036769999999998</v>
      </c>
      <c r="U6461">
        <v>-0.50137330000000002</v>
      </c>
      <c r="V6461">
        <v>0.2440071</v>
      </c>
      <c r="W6461">
        <v>7.2932590000000005E-2</v>
      </c>
      <c r="X6461">
        <v>0.96702710000000003</v>
      </c>
      <c r="Y6461">
        <v>0.3147491</v>
      </c>
      <c r="Z6461">
        <v>-3.3205680000000001E-2</v>
      </c>
      <c r="AA6461">
        <v>0.94859389999999999</v>
      </c>
      <c r="AB6461">
        <v>29</v>
      </c>
      <c r="AC6461">
        <v>9.6904999999999806</v>
      </c>
      <c r="AD6461">
        <v>-1.09907312318099</v>
      </c>
      <c r="AE6461">
        <v>-1.8012999999999899</v>
      </c>
      <c r="AF6461">
        <v>3.25843019022627</v>
      </c>
      <c r="AG6461">
        <v>-1.09907312318099</v>
      </c>
      <c r="AH6461">
        <v>9.1739579635903805</v>
      </c>
      <c r="AI6461">
        <v>96.441077546862701</v>
      </c>
      <c r="AJ6461">
        <v>70.445847218065197</v>
      </c>
      <c r="AK6461">
        <v>9.7972870608347602</v>
      </c>
      <c r="AL6461">
        <v>85.817557034565894</v>
      </c>
      <c r="AM6461">
        <v>75.838337954603901</v>
      </c>
      <c r="AN6461">
        <v>1.0000000198344601</v>
      </c>
    </row>
    <row r="6462" spans="1:40" x14ac:dyDescent="0.25">
      <c r="A6462" t="str">
        <f>"20190312151445052"</f>
        <v>20190312151445052</v>
      </c>
      <c r="B6462" t="str">
        <f>"1552374885046686"</f>
        <v>1552374885046686</v>
      </c>
      <c r="C6462" t="s">
        <v>40</v>
      </c>
      <c r="D6462">
        <v>4.8754039999999996</v>
      </c>
      <c r="E6462">
        <v>0.53629629999999995</v>
      </c>
      <c r="F6462" t="s">
        <v>42</v>
      </c>
      <c r="G6462">
        <v>-147.22210000000001</v>
      </c>
      <c r="H6462" s="1">
        <v>-2.8847819999999998E-6</v>
      </c>
      <c r="I6462">
        <v>146.04580000000001</v>
      </c>
      <c r="J6462">
        <v>-158.7285</v>
      </c>
      <c r="K6462">
        <v>1.099013</v>
      </c>
      <c r="L6462">
        <v>148.33590000000001</v>
      </c>
      <c r="M6462">
        <v>0.98930459999999998</v>
      </c>
      <c r="N6462">
        <v>0</v>
      </c>
      <c r="O6462">
        <v>0.1451867</v>
      </c>
      <c r="P6462">
        <v>0.99314179999999996</v>
      </c>
      <c r="Q6462">
        <v>6.5683309999999995E-2</v>
      </c>
      <c r="R6462">
        <v>-9.6720990000000007E-2</v>
      </c>
      <c r="S6462">
        <v>2.9861759999999999</v>
      </c>
      <c r="T6462">
        <v>-0.27927370000000001</v>
      </c>
      <c r="U6462">
        <v>-0.5749512</v>
      </c>
      <c r="V6462">
        <v>0.24195179999999999</v>
      </c>
      <c r="W6462">
        <v>7.2785639999999999E-2</v>
      </c>
      <c r="X6462">
        <v>0.96755449999999998</v>
      </c>
      <c r="Y6462">
        <v>0.32764320000000002</v>
      </c>
      <c r="Z6462">
        <v>-2.8587689999999999E-2</v>
      </c>
      <c r="AA6462">
        <v>0.94436900000000001</v>
      </c>
      <c r="AB6462">
        <v>29</v>
      </c>
      <c r="AC6462">
        <v>11.5063999999999</v>
      </c>
      <c r="AD6462">
        <v>-1.099015884782</v>
      </c>
      <c r="AE6462">
        <v>-2.29009999999999</v>
      </c>
      <c r="AF6462">
        <v>3.902327187614</v>
      </c>
      <c r="AG6462">
        <v>-1.099015884782</v>
      </c>
      <c r="AH6462">
        <v>10.9557929294046</v>
      </c>
      <c r="AI6462">
        <v>95.398313153232493</v>
      </c>
      <c r="AJ6462">
        <v>70.394686855143306</v>
      </c>
      <c r="AK6462">
        <v>11.681840270530399</v>
      </c>
      <c r="AL6462">
        <v>85.825999282057595</v>
      </c>
      <c r="AM6462">
        <v>75.960235606584305</v>
      </c>
      <c r="AN6462">
        <v>1.0000000666918401</v>
      </c>
    </row>
    <row r="6463" spans="1:40" x14ac:dyDescent="0.25">
      <c r="A6463" t="str">
        <f>"20190312151445076"</f>
        <v>20190312151445076</v>
      </c>
      <c r="B6463" t="str">
        <f>"1552374885067181"</f>
        <v>1552374885067181</v>
      </c>
      <c r="C6463" t="s">
        <v>40</v>
      </c>
      <c r="D6463">
        <v>4.8813909999999998</v>
      </c>
      <c r="E6463">
        <v>0.53577519999999901</v>
      </c>
      <c r="F6463" t="s">
        <v>42</v>
      </c>
      <c r="G6463">
        <v>-146.15620000000001</v>
      </c>
      <c r="H6463" s="1">
        <v>-3.2816730000000002E-6</v>
      </c>
      <c r="I6463">
        <v>145.82089999999999</v>
      </c>
      <c r="J6463">
        <v>-158.40450000000001</v>
      </c>
      <c r="K6463">
        <v>1.0989500000000001</v>
      </c>
      <c r="L6463">
        <v>148.3674</v>
      </c>
      <c r="M6463">
        <v>0.99144869999999996</v>
      </c>
      <c r="N6463">
        <v>0</v>
      </c>
      <c r="O6463">
        <v>0.12973589999999999</v>
      </c>
      <c r="P6463">
        <v>0.99177630000000006</v>
      </c>
      <c r="Q6463">
        <v>6.6318879999999997E-2</v>
      </c>
      <c r="R6463">
        <v>-0.10946069999999999</v>
      </c>
      <c r="S6463">
        <v>2.979889</v>
      </c>
      <c r="T6463">
        <v>-0.26048870000000002</v>
      </c>
      <c r="U6463">
        <v>-0.59608459999999996</v>
      </c>
      <c r="V6463">
        <v>0.2392985</v>
      </c>
      <c r="W6463">
        <v>7.3486609999999994E-2</v>
      </c>
      <c r="X6463">
        <v>0.9681611</v>
      </c>
      <c r="Y6463">
        <v>0.32006190000000001</v>
      </c>
      <c r="Z6463">
        <v>-2.50488E-2</v>
      </c>
      <c r="AA6463">
        <v>0.9470655</v>
      </c>
      <c r="AB6463">
        <v>29</v>
      </c>
      <c r="AC6463">
        <v>12.2483</v>
      </c>
      <c r="AD6463">
        <v>-1.0989532816730001</v>
      </c>
      <c r="AE6463">
        <v>-2.5465</v>
      </c>
      <c r="AF6463">
        <v>4.0826712631899804</v>
      </c>
      <c r="AG6463">
        <v>-1.0989532816730001</v>
      </c>
      <c r="AH6463">
        <v>11.7238895898056</v>
      </c>
      <c r="AI6463">
        <v>95.058769609838293</v>
      </c>
      <c r="AJ6463">
        <v>70.800083018057705</v>
      </c>
      <c r="AK6463">
        <v>12.4629647384773</v>
      </c>
      <c r="AL6463">
        <v>85.7857284697957</v>
      </c>
      <c r="AM6463">
        <v>76.116571653488904</v>
      </c>
      <c r="AN6463">
        <v>0.99999998475237595</v>
      </c>
    </row>
    <row r="6464" spans="1:40" x14ac:dyDescent="0.25">
      <c r="A6464" t="str">
        <f>"20190312151445095"</f>
        <v>20190312151445095</v>
      </c>
      <c r="B6464" t="str">
        <f>"1552374885086702"</f>
        <v>1552374885086702</v>
      </c>
      <c r="C6464" t="s">
        <v>40</v>
      </c>
      <c r="D6464">
        <v>4.8805649999999998</v>
      </c>
      <c r="E6464">
        <v>0.53504249999999998</v>
      </c>
      <c r="F6464" t="s">
        <v>42</v>
      </c>
      <c r="G6464">
        <v>-146.2259</v>
      </c>
      <c r="H6464" s="1">
        <v>-3.2426020000000001E-6</v>
      </c>
      <c r="I6464">
        <v>145.78440000000001</v>
      </c>
      <c r="J6464">
        <v>-158.1584</v>
      </c>
      <c r="K6464">
        <v>1.098919</v>
      </c>
      <c r="L6464">
        <v>148.3878</v>
      </c>
      <c r="M6464">
        <v>0.99291980000000002</v>
      </c>
      <c r="N6464">
        <v>0</v>
      </c>
      <c r="O6464">
        <v>0.1179486</v>
      </c>
      <c r="P6464">
        <v>0.99065859999999994</v>
      </c>
      <c r="Q6464">
        <v>6.6958320000000002E-2</v>
      </c>
      <c r="R6464">
        <v>-0.1187957</v>
      </c>
      <c r="S6464">
        <v>2.973236</v>
      </c>
      <c r="T6464">
        <v>-0.26829360000000002</v>
      </c>
      <c r="U6464">
        <v>-0.6305847</v>
      </c>
      <c r="V6464">
        <v>0.236932</v>
      </c>
      <c r="W6464">
        <v>7.4191359999999998E-2</v>
      </c>
      <c r="X6464">
        <v>0.96868929999999998</v>
      </c>
      <c r="Y6464">
        <v>0.3197062</v>
      </c>
      <c r="Z6464">
        <v>-2.475865E-2</v>
      </c>
      <c r="AA6464">
        <v>0.94719319999999896</v>
      </c>
      <c r="AB6464">
        <v>29</v>
      </c>
      <c r="AC6464">
        <v>11.932499999999999</v>
      </c>
      <c r="AD6464">
        <v>-1.098922242602</v>
      </c>
      <c r="AE6464">
        <v>-2.6033999999999899</v>
      </c>
      <c r="AF6464">
        <v>3.9607188649869198</v>
      </c>
      <c r="AG6464">
        <v>-1.098922242602</v>
      </c>
      <c r="AH6464">
        <v>11.449397864760201</v>
      </c>
      <c r="AI6464">
        <v>95.182928370662097</v>
      </c>
      <c r="AJ6464">
        <v>70.9178337920887</v>
      </c>
      <c r="AK6464">
        <v>12.1648524647167</v>
      </c>
      <c r="AL6464">
        <v>85.745238995661794</v>
      </c>
      <c r="AM6464">
        <v>76.255846610017002</v>
      </c>
      <c r="AN6464">
        <v>1.00000004522856</v>
      </c>
    </row>
    <row r="6465" spans="1:40" x14ac:dyDescent="0.25">
      <c r="A6465" t="str">
        <f>"20190312151445117"</f>
        <v>20190312151445117</v>
      </c>
      <c r="B6465" t="str">
        <f>"1552374885107197"</f>
        <v>1552374885107197</v>
      </c>
      <c r="C6465" t="s">
        <v>40</v>
      </c>
      <c r="D6465">
        <v>4.9601610000000003</v>
      </c>
      <c r="E6465">
        <v>0.53395809999999999</v>
      </c>
      <c r="F6465" t="s">
        <v>42</v>
      </c>
      <c r="G6465">
        <v>-146.2988</v>
      </c>
      <c r="H6465" s="1">
        <v>-3.2105590000000002E-6</v>
      </c>
      <c r="I6465">
        <v>145.7816</v>
      </c>
      <c r="J6465">
        <v>-157.8545</v>
      </c>
      <c r="K6465">
        <v>1.098876</v>
      </c>
      <c r="L6465">
        <v>148.40899999999999</v>
      </c>
      <c r="M6465">
        <v>0.9945465</v>
      </c>
      <c r="N6465">
        <v>0</v>
      </c>
      <c r="O6465">
        <v>0.1033372</v>
      </c>
      <c r="P6465">
        <v>0.9892938</v>
      </c>
      <c r="Q6465">
        <v>6.6648509999999994E-2</v>
      </c>
      <c r="R6465">
        <v>-0.12983130000000001</v>
      </c>
      <c r="S6465">
        <v>2.968658</v>
      </c>
      <c r="T6465">
        <v>-0.2750783</v>
      </c>
      <c r="U6465">
        <v>-0.65237429999999996</v>
      </c>
      <c r="V6465">
        <v>0.23348440000000001</v>
      </c>
      <c r="W6465">
        <v>7.3983069999999998E-2</v>
      </c>
      <c r="X6465">
        <v>0.96954189999999996</v>
      </c>
      <c r="Y6465">
        <v>0.31271320000000002</v>
      </c>
      <c r="Z6465">
        <v>-2.3745499999999999E-2</v>
      </c>
      <c r="AA6465">
        <v>0.94955069999999997</v>
      </c>
      <c r="AB6465">
        <v>29</v>
      </c>
      <c r="AC6465">
        <v>11.5557</v>
      </c>
      <c r="AD6465">
        <v>-1.098879210559</v>
      </c>
      <c r="AE6465">
        <v>-2.62739999999999</v>
      </c>
      <c r="AF6465">
        <v>3.7751234493112702</v>
      </c>
      <c r="AG6465">
        <v>-1.098879210559</v>
      </c>
      <c r="AH6465">
        <v>11.126616755573799</v>
      </c>
      <c r="AI6465">
        <v>95.343034146105396</v>
      </c>
      <c r="AJ6465">
        <v>71.258561029257294</v>
      </c>
      <c r="AK6465">
        <v>11.8008767895591</v>
      </c>
      <c r="AL6465">
        <v>85.757205734518493</v>
      </c>
      <c r="AM6465">
        <v>76.459889263118299</v>
      </c>
      <c r="AN6465">
        <v>0.99999997777279703</v>
      </c>
    </row>
    <row r="6466" spans="1:40" x14ac:dyDescent="0.25">
      <c r="A6466" t="str">
        <f>"20190312151445142"</f>
        <v>20190312151445142</v>
      </c>
      <c r="B6466" t="str">
        <f>"1552374885136477"</f>
        <v>1552374885136477</v>
      </c>
      <c r="C6466" t="s">
        <v>40</v>
      </c>
      <c r="D6466">
        <v>4.8875209999999996</v>
      </c>
      <c r="E6466">
        <v>0.53195019999999904</v>
      </c>
      <c r="F6466" t="s">
        <v>42</v>
      </c>
      <c r="G6466">
        <v>-146.60149999999999</v>
      </c>
      <c r="H6466" s="1">
        <v>-3.0956679999999998E-6</v>
      </c>
      <c r="I6466">
        <v>145.83770000000001</v>
      </c>
      <c r="J6466">
        <v>-157.5352</v>
      </c>
      <c r="K6466">
        <v>1.0988370000000001</v>
      </c>
      <c r="L6466">
        <v>148.42660000000001</v>
      </c>
      <c r="M6466">
        <v>0.9960251</v>
      </c>
      <c r="N6466">
        <v>0</v>
      </c>
      <c r="O6466">
        <v>8.7946789999999997E-2</v>
      </c>
      <c r="P6466">
        <v>0.987904</v>
      </c>
      <c r="Q6466">
        <v>6.7033830000000003E-2</v>
      </c>
      <c r="R6466">
        <v>-0.1398279</v>
      </c>
      <c r="S6466">
        <v>2.963104</v>
      </c>
      <c r="T6466">
        <v>-0.28935119999999998</v>
      </c>
      <c r="U6466">
        <v>-0.67706299999999997</v>
      </c>
      <c r="V6466">
        <v>0.22830310000000001</v>
      </c>
      <c r="W6466">
        <v>7.4527540000000003E-2</v>
      </c>
      <c r="X6466">
        <v>0.97073339999999997</v>
      </c>
      <c r="Y6466">
        <v>0.30585020000000002</v>
      </c>
      <c r="Z6466">
        <v>-2.3182830000000001E-2</v>
      </c>
      <c r="AA6466">
        <v>0.95179740000000002</v>
      </c>
      <c r="AB6466">
        <v>29</v>
      </c>
      <c r="AC6466">
        <v>10.9337</v>
      </c>
      <c r="AD6466">
        <v>-1.098840095668</v>
      </c>
      <c r="AE6466">
        <v>-2.58889999999999</v>
      </c>
      <c r="AF6466">
        <v>3.5070048211281999</v>
      </c>
      <c r="AG6466">
        <v>-1.098840095668</v>
      </c>
      <c r="AH6466">
        <v>10.562595556233701</v>
      </c>
      <c r="AI6466">
        <v>95.638624856082103</v>
      </c>
      <c r="AJ6466">
        <v>71.632743580369805</v>
      </c>
      <c r="AK6466">
        <v>11.1836915754965</v>
      </c>
      <c r="AL6466">
        <v>85.725923619868396</v>
      </c>
      <c r="AM6466">
        <v>76.765339060873799</v>
      </c>
      <c r="AN6466">
        <v>0.99999999678180995</v>
      </c>
    </row>
    <row r="6467" spans="1:40" x14ac:dyDescent="0.25">
      <c r="A6467" t="str">
        <f>"20190312151445168"</f>
        <v>20190312151445168</v>
      </c>
      <c r="B6467" t="str">
        <f>"1552374885156973"</f>
        <v>1552374885156973</v>
      </c>
      <c r="C6467" t="s">
        <v>40</v>
      </c>
      <c r="D6467">
        <v>4.8791549999999999</v>
      </c>
      <c r="E6467">
        <v>0.53104949999999995</v>
      </c>
      <c r="F6467" t="s">
        <v>42</v>
      </c>
      <c r="G6467">
        <v>-146.08930000000001</v>
      </c>
      <c r="H6467" s="1">
        <v>-3.291556E-6</v>
      </c>
      <c r="I6467">
        <v>145.7484</v>
      </c>
      <c r="J6467">
        <v>-157.19239999999999</v>
      </c>
      <c r="K6467">
        <v>1.098811</v>
      </c>
      <c r="L6467">
        <v>148.43979999999999</v>
      </c>
      <c r="M6467">
        <v>0.99734809999999996</v>
      </c>
      <c r="N6467">
        <v>0</v>
      </c>
      <c r="O6467">
        <v>7.1393910000000005E-2</v>
      </c>
      <c r="P6467">
        <v>0.98652640000000003</v>
      </c>
      <c r="Q6467">
        <v>6.6519120000000001E-2</v>
      </c>
      <c r="R6467">
        <v>-0.14946880000000001</v>
      </c>
      <c r="S6467">
        <v>2.9580380000000002</v>
      </c>
      <c r="T6467">
        <v>-0.28397909999999998</v>
      </c>
      <c r="U6467">
        <v>-0.6921387</v>
      </c>
      <c r="V6467">
        <v>0.22164320000000001</v>
      </c>
      <c r="W6467">
        <v>7.4221789999999996E-2</v>
      </c>
      <c r="X6467">
        <v>0.97229900000000002</v>
      </c>
      <c r="Y6467">
        <v>0.29516930000000002</v>
      </c>
      <c r="Z6467">
        <v>-2.0706929999999998E-2</v>
      </c>
      <c r="AA6467">
        <v>0.95522059999999998</v>
      </c>
      <c r="AB6467">
        <v>29</v>
      </c>
      <c r="AC6467">
        <v>11.1030999999999</v>
      </c>
      <c r="AD6467">
        <v>-1.098814291556</v>
      </c>
      <c r="AE6467">
        <v>-2.6913999999999798</v>
      </c>
      <c r="AF6467">
        <v>3.4454317555010698</v>
      </c>
      <c r="AG6467">
        <v>-1.098814291556</v>
      </c>
      <c r="AH6467">
        <v>10.782846385192601</v>
      </c>
      <c r="AI6467">
        <v>95.544274993177098</v>
      </c>
      <c r="AJ6467">
        <v>72.2798130917474</v>
      </c>
      <c r="AK6467">
        <v>11.373133648902799</v>
      </c>
      <c r="AL6467">
        <v>85.743490317630204</v>
      </c>
      <c r="AM6467">
        <v>77.158412269902399</v>
      </c>
      <c r="AN6467">
        <v>0.99999996380902101</v>
      </c>
    </row>
    <row r="6468" spans="1:40" x14ac:dyDescent="0.25">
      <c r="A6468" t="str">
        <f>"20190312151445192"</f>
        <v>20190312151445192</v>
      </c>
      <c r="B6468" t="str">
        <f>"1552374885186892"</f>
        <v>1552374885186892</v>
      </c>
      <c r="C6468" t="s">
        <v>40</v>
      </c>
      <c r="D6468">
        <v>5.1386430000000001</v>
      </c>
      <c r="E6468">
        <v>0.52970759999999995</v>
      </c>
      <c r="F6468" t="s">
        <v>42</v>
      </c>
      <c r="G6468">
        <v>-145.5273</v>
      </c>
      <c r="H6468" s="1">
        <v>-3.4593570000000002E-6</v>
      </c>
      <c r="I6468">
        <v>145.61609999999999</v>
      </c>
      <c r="J6468">
        <v>-156.87350000000001</v>
      </c>
      <c r="K6468">
        <v>1.0988020000000001</v>
      </c>
      <c r="L6468">
        <v>148.4468</v>
      </c>
      <c r="M6468">
        <v>0.99833079999999996</v>
      </c>
      <c r="N6468">
        <v>0</v>
      </c>
      <c r="O6468">
        <v>5.5999409999999999E-2</v>
      </c>
      <c r="P6468">
        <v>0.98533890000000002</v>
      </c>
      <c r="Q6468">
        <v>6.5773999999999999E-2</v>
      </c>
      <c r="R6468">
        <v>-0.15742110000000001</v>
      </c>
      <c r="S6468">
        <v>2.9514770000000001</v>
      </c>
      <c r="T6468">
        <v>-0.27801920000000002</v>
      </c>
      <c r="U6468">
        <v>-0.71443179999999995</v>
      </c>
      <c r="V6468">
        <v>0.2144576</v>
      </c>
      <c r="W6468">
        <v>7.370488E-2</v>
      </c>
      <c r="X6468">
        <v>0.97394840000000005</v>
      </c>
      <c r="Y6468">
        <v>0.28788560000000002</v>
      </c>
      <c r="Z6468">
        <v>-1.853366E-2</v>
      </c>
      <c r="AA6468">
        <v>0.95748540000000004</v>
      </c>
      <c r="AB6468">
        <v>29</v>
      </c>
      <c r="AC6468">
        <v>11.3462</v>
      </c>
      <c r="AD6468">
        <v>-1.098805459357</v>
      </c>
      <c r="AE6468">
        <v>-2.8307000000000002</v>
      </c>
      <c r="AF6468">
        <v>3.4314048723831299</v>
      </c>
      <c r="AG6468">
        <v>-1.098805459357</v>
      </c>
      <c r="AH6468">
        <v>11.072101806061699</v>
      </c>
      <c r="AI6468">
        <v>95.4150566628131</v>
      </c>
      <c r="AJ6468">
        <v>72.781033314887196</v>
      </c>
      <c r="AK6468">
        <v>11.6435970060597</v>
      </c>
      <c r="AL6468">
        <v>85.773188487743198</v>
      </c>
      <c r="AM6468">
        <v>77.581979333943295</v>
      </c>
      <c r="AN6468">
        <v>0.999999978698067</v>
      </c>
    </row>
    <row r="6469" spans="1:40" x14ac:dyDescent="0.25">
      <c r="A6469" t="str">
        <f>"20190312151445223"</f>
        <v>20190312151445223</v>
      </c>
      <c r="B6469" t="str">
        <f>"1552374885217148"</f>
        <v>1552374885217148</v>
      </c>
      <c r="C6469" t="s">
        <v>40</v>
      </c>
      <c r="D6469">
        <v>4.9447349999999997</v>
      </c>
      <c r="E6469">
        <v>0.5284491</v>
      </c>
      <c r="F6469" t="s">
        <v>42</v>
      </c>
      <c r="G6469">
        <v>-145.1566</v>
      </c>
      <c r="H6469" s="1">
        <v>-3.5747100000000001E-6</v>
      </c>
      <c r="I6469">
        <v>145.55539999999999</v>
      </c>
      <c r="J6469">
        <v>-156.4547</v>
      </c>
      <c r="K6469">
        <v>1.0988039999999999</v>
      </c>
      <c r="L6469">
        <v>148.44890000000001</v>
      </c>
      <c r="M6469">
        <v>0.9992588</v>
      </c>
      <c r="N6469">
        <v>0</v>
      </c>
      <c r="O6469">
        <v>3.5801739999999999E-2</v>
      </c>
      <c r="P6469">
        <v>0.98456089999999996</v>
      </c>
      <c r="Q6469">
        <v>6.5203289999999997E-2</v>
      </c>
      <c r="R6469">
        <v>-0.1624457</v>
      </c>
      <c r="S6469">
        <v>2.9468990000000002</v>
      </c>
      <c r="T6469">
        <v>-0.27635859999999901</v>
      </c>
      <c r="U6469">
        <v>-0.72720340000000006</v>
      </c>
      <c r="V6469">
        <v>0.19968150000000001</v>
      </c>
      <c r="W6469">
        <v>7.3605489999999996E-2</v>
      </c>
      <c r="X6469">
        <v>0.97709239999999997</v>
      </c>
      <c r="Y6469">
        <v>0.27291130000000002</v>
      </c>
      <c r="Z6469">
        <v>-1.5885549999999998E-2</v>
      </c>
      <c r="AA6469">
        <v>0.96190799999999999</v>
      </c>
      <c r="AB6469">
        <v>29</v>
      </c>
      <c r="AC6469">
        <v>11.2981</v>
      </c>
      <c r="AD6469">
        <v>-1.0988075747099999</v>
      </c>
      <c r="AE6469">
        <v>-2.8935000000000102</v>
      </c>
      <c r="AF6469">
        <v>3.2671756240736101</v>
      </c>
      <c r="AG6469">
        <v>-1.0988075747099999</v>
      </c>
      <c r="AH6469">
        <v>11.0888226922815</v>
      </c>
      <c r="AI6469">
        <v>95.429739867802297</v>
      </c>
      <c r="AJ6469">
        <v>73.583084641299493</v>
      </c>
      <c r="AK6469">
        <v>11.6122264594537</v>
      </c>
      <c r="AL6469">
        <v>85.778898774182196</v>
      </c>
      <c r="AM6469">
        <v>78.449905548743999</v>
      </c>
      <c r="AN6469">
        <v>1.0000000138690699</v>
      </c>
    </row>
    <row r="6470" spans="1:40" x14ac:dyDescent="0.25">
      <c r="A6470" t="str">
        <f>"20190312151445252"</f>
        <v>20190312151445252</v>
      </c>
      <c r="B6470" t="str">
        <f>"1552374885246428"</f>
        <v>1552374885246428</v>
      </c>
      <c r="C6470" t="s">
        <v>40</v>
      </c>
      <c r="D6470">
        <v>4.9351649999999996</v>
      </c>
      <c r="E6470">
        <v>0.52735220000000005</v>
      </c>
      <c r="F6470" t="s">
        <v>42</v>
      </c>
      <c r="G6470">
        <v>-144.9853</v>
      </c>
      <c r="H6470" s="1">
        <v>-3.6416669999999999E-6</v>
      </c>
      <c r="I6470">
        <v>145.60409999999999</v>
      </c>
      <c r="J6470">
        <v>-156.07939999999999</v>
      </c>
      <c r="K6470">
        <v>1.098884</v>
      </c>
      <c r="L6470">
        <v>148.4434</v>
      </c>
      <c r="M6470">
        <v>0.99973990000000001</v>
      </c>
      <c r="N6470">
        <v>0</v>
      </c>
      <c r="O6470">
        <v>1.783442E-2</v>
      </c>
      <c r="P6470">
        <v>0.98281010000000002</v>
      </c>
      <c r="Q6470">
        <v>6.4123349999999996E-2</v>
      </c>
      <c r="R6470">
        <v>-0.17312669999999999</v>
      </c>
      <c r="S6470">
        <v>2.9452060000000002</v>
      </c>
      <c r="T6470">
        <v>-0.28216059999999998</v>
      </c>
      <c r="U6470">
        <v>-0.73051449999999996</v>
      </c>
      <c r="V6470">
        <v>0.1926802</v>
      </c>
      <c r="W6470">
        <v>7.282843E-2</v>
      </c>
      <c r="X6470">
        <v>0.97855530000000002</v>
      </c>
      <c r="Y6470">
        <v>0.25682749999999999</v>
      </c>
      <c r="Z6470">
        <v>-1.377283E-2</v>
      </c>
      <c r="AA6470">
        <v>0.96635910000000003</v>
      </c>
      <c r="AB6470">
        <v>29</v>
      </c>
      <c r="AC6470">
        <v>11.0940999999999</v>
      </c>
      <c r="AD6470">
        <v>-1.0988876416669999</v>
      </c>
      <c r="AE6470">
        <v>-2.8393000000000002</v>
      </c>
      <c r="AF6470">
        <v>3.0090178801043099</v>
      </c>
      <c r="AG6470">
        <v>-1.0988876416669999</v>
      </c>
      <c r="AH6470">
        <v>10.9409476500647</v>
      </c>
      <c r="AI6470">
        <v>95.531408650635001</v>
      </c>
      <c r="AJ6470">
        <v>74.622496175316499</v>
      </c>
      <c r="AK6470">
        <v>11.400266581674799</v>
      </c>
      <c r="AL6470">
        <v>85.823541033060906</v>
      </c>
      <c r="AM6470">
        <v>78.860804376692499</v>
      </c>
      <c r="AN6470">
        <v>1.00000005742319</v>
      </c>
    </row>
    <row r="6471" spans="1:40" x14ac:dyDescent="0.25">
      <c r="A6471" t="str">
        <f>"20190312151445274"</f>
        <v>20190312151445274</v>
      </c>
      <c r="B6471" t="str">
        <f>"1552374885266924"</f>
        <v>1552374885266924</v>
      </c>
      <c r="C6471" t="s">
        <v>40</v>
      </c>
      <c r="D6471">
        <v>4.9451169999999998</v>
      </c>
      <c r="E6471">
        <v>0.52662869999999995</v>
      </c>
      <c r="F6471" t="s">
        <v>42</v>
      </c>
      <c r="G6471">
        <v>-145.21809999999999</v>
      </c>
      <c r="H6471" s="1">
        <v>-3.572413E-6</v>
      </c>
      <c r="I6471">
        <v>145.66030000000001</v>
      </c>
      <c r="J6471">
        <v>-155.77699999999999</v>
      </c>
      <c r="K6471">
        <v>1.099013</v>
      </c>
      <c r="L6471">
        <v>148.4341</v>
      </c>
      <c r="M6471">
        <v>0.99989130000000004</v>
      </c>
      <c r="N6471">
        <v>0</v>
      </c>
      <c r="O6471">
        <v>3.4871960000000001E-3</v>
      </c>
      <c r="P6471">
        <v>0.9817207</v>
      </c>
      <c r="Q6471">
        <v>6.3771289999999994E-2</v>
      </c>
      <c r="R6471">
        <v>-0.17932619999999999</v>
      </c>
      <c r="S6471">
        <v>2.939209</v>
      </c>
      <c r="T6471">
        <v>-0.29737249999999998</v>
      </c>
      <c r="U6471">
        <v>-0.75312809999999997</v>
      </c>
      <c r="V6471">
        <v>0.1847808</v>
      </c>
      <c r="W6471">
        <v>7.2862200000000002E-2</v>
      </c>
      <c r="X6471">
        <v>0.98007509999999998</v>
      </c>
      <c r="Y6471">
        <v>0.2503763</v>
      </c>
      <c r="Z6471">
        <v>-1.2780659999999999E-2</v>
      </c>
      <c r="AA6471">
        <v>0.96806420000000004</v>
      </c>
      <c r="AB6471">
        <v>29</v>
      </c>
      <c r="AC6471">
        <v>10.5589</v>
      </c>
      <c r="AD6471">
        <v>-1.0990165724130001</v>
      </c>
      <c r="AE6471">
        <v>-2.7737999999999898</v>
      </c>
      <c r="AF6471">
        <v>2.7824103715405801</v>
      </c>
      <c r="AG6471">
        <v>-1.0990165724130001</v>
      </c>
      <c r="AH6471">
        <v>10.443327282360301</v>
      </c>
      <c r="AI6471">
        <v>95.806388113463797</v>
      </c>
      <c r="AJ6471">
        <v>75.081270553637907</v>
      </c>
      <c r="AK6471">
        <v>10.863366404047399</v>
      </c>
      <c r="AL6471">
        <v>85.821600856172907</v>
      </c>
      <c r="AM6471">
        <v>79.322936189747097</v>
      </c>
      <c r="AN6471">
        <v>1.00000002293874</v>
      </c>
    </row>
    <row r="6472" spans="1:40" x14ac:dyDescent="0.25">
      <c r="A6472" t="str">
        <f>"20190312151445298"</f>
        <v>20190312151445298</v>
      </c>
      <c r="B6472" t="str">
        <f>"1552374885286444"</f>
        <v>1552374885286444</v>
      </c>
      <c r="C6472" t="s">
        <v>40</v>
      </c>
      <c r="D6472">
        <v>4.9317250000000001</v>
      </c>
      <c r="E6472">
        <v>0.52589269999999999</v>
      </c>
      <c r="F6472" t="s">
        <v>42</v>
      </c>
      <c r="G6472">
        <v>-145.21950000000001</v>
      </c>
      <c r="H6472" s="1">
        <v>-3.5753100000000002E-6</v>
      </c>
      <c r="I6472">
        <v>145.67939999999999</v>
      </c>
      <c r="J6472">
        <v>-155.47749999999999</v>
      </c>
      <c r="K6472">
        <v>1.099167</v>
      </c>
      <c r="L6472">
        <v>148.42089999999999</v>
      </c>
      <c r="M6472">
        <v>0.99983909999999998</v>
      </c>
      <c r="N6472">
        <v>0</v>
      </c>
      <c r="O6472">
        <v>-1.062129E-2</v>
      </c>
      <c r="P6472">
        <v>0.98038890000000001</v>
      </c>
      <c r="Q6472">
        <v>6.5153630000000004E-2</v>
      </c>
      <c r="R6472">
        <v>-0.18599089999999999</v>
      </c>
      <c r="S6472">
        <v>2.9358059999999999</v>
      </c>
      <c r="T6472">
        <v>-0.3056104</v>
      </c>
      <c r="U6472">
        <v>-0.76602169999999903</v>
      </c>
      <c r="V6472">
        <v>0.17762149999999999</v>
      </c>
      <c r="W6472">
        <v>7.4635010000000002E-2</v>
      </c>
      <c r="X6472">
        <v>0.98126460000000004</v>
      </c>
      <c r="Y6472">
        <v>0.24101359999999999</v>
      </c>
      <c r="Z6472">
        <v>-1.12219E-2</v>
      </c>
      <c r="AA6472">
        <v>0.97045680000000001</v>
      </c>
      <c r="AB6472">
        <v>29</v>
      </c>
      <c r="AC6472">
        <v>10.2579999999999</v>
      </c>
      <c r="AD6472">
        <v>-1.0991705753100001</v>
      </c>
      <c r="AE6472">
        <v>-2.7414999999999998</v>
      </c>
      <c r="AF6472">
        <v>2.6044705822566998</v>
      </c>
      <c r="AG6472">
        <v>-1.0991705753100001</v>
      </c>
      <c r="AH6472">
        <v>10.177478128118301</v>
      </c>
      <c r="AI6472">
        <v>95.973048876018396</v>
      </c>
      <c r="AJ6472">
        <v>75.645755820284805</v>
      </c>
      <c r="AK6472">
        <v>10.5627886476912</v>
      </c>
      <c r="AL6472">
        <v>85.719748853075799</v>
      </c>
      <c r="AM6472">
        <v>79.739825525137803</v>
      </c>
      <c r="AN6472">
        <v>0.99999999859655497</v>
      </c>
    </row>
    <row r="6473" spans="1:40" x14ac:dyDescent="0.25">
      <c r="A6473" t="str">
        <f>"20190312151445322"</f>
        <v>20190312151445322</v>
      </c>
      <c r="B6473" t="str">
        <f>"1552374885316700"</f>
        <v>1552374885316700</v>
      </c>
      <c r="C6473" t="s">
        <v>40</v>
      </c>
      <c r="D6473">
        <v>4.9609500000000004</v>
      </c>
      <c r="E6473">
        <v>0.51290970000000002</v>
      </c>
      <c r="F6473" t="s">
        <v>42</v>
      </c>
      <c r="G6473">
        <v>-145.0521</v>
      </c>
      <c r="H6473" s="1">
        <v>-3.626856E-6</v>
      </c>
      <c r="I6473">
        <v>145.64879999999999</v>
      </c>
      <c r="J6473">
        <v>-155.15360000000001</v>
      </c>
      <c r="K6473">
        <v>1.099359</v>
      </c>
      <c r="L6473">
        <v>148.40209999999999</v>
      </c>
      <c r="M6473">
        <v>0.99956319999999999</v>
      </c>
      <c r="N6473">
        <v>0</v>
      </c>
      <c r="O6473">
        <v>-2.5697649999999999E-2</v>
      </c>
      <c r="P6473">
        <v>0.97867510000000002</v>
      </c>
      <c r="Q6473">
        <v>6.6160979999999994E-2</v>
      </c>
      <c r="R6473">
        <v>-0.19446740000000001</v>
      </c>
      <c r="S6473">
        <v>2.9326479999999999</v>
      </c>
      <c r="T6473">
        <v>-0.30919590000000002</v>
      </c>
      <c r="U6473">
        <v>-0.77976990000000002</v>
      </c>
      <c r="V6473">
        <v>0.17131250000000001</v>
      </c>
      <c r="W6473">
        <v>7.6022950000000006E-2</v>
      </c>
      <c r="X6473">
        <v>0.98227920000000002</v>
      </c>
      <c r="Y6473">
        <v>0.23098099999999999</v>
      </c>
      <c r="Z6473">
        <v>-9.2831289999999993E-3</v>
      </c>
      <c r="AA6473">
        <v>0.97291399999999995</v>
      </c>
      <c r="AB6473">
        <v>29</v>
      </c>
      <c r="AC6473">
        <v>10.1015</v>
      </c>
      <c r="AD6473">
        <v>-1.0993626268559999</v>
      </c>
      <c r="AE6473">
        <v>-2.7532999999999901</v>
      </c>
      <c r="AF6473">
        <v>2.4655943059316301</v>
      </c>
      <c r="AG6473">
        <v>-1.0993626268559999</v>
      </c>
      <c r="AH6473">
        <v>10.0580319700871</v>
      </c>
      <c r="AI6473">
        <v>96.059757598557496</v>
      </c>
      <c r="AJ6473">
        <v>76.226302451913696</v>
      </c>
      <c r="AK6473">
        <v>10.414017504213501</v>
      </c>
      <c r="AL6473">
        <v>85.639998914494001</v>
      </c>
      <c r="AM6473">
        <v>80.106943581567194</v>
      </c>
      <c r="AN6473">
        <v>0.99999994416779403</v>
      </c>
    </row>
    <row r="6474" spans="1:40" x14ac:dyDescent="0.25">
      <c r="A6474" t="str">
        <f>"20190312151445345"</f>
        <v>20190312151445345</v>
      </c>
      <c r="B6474" t="str">
        <f>"1552374885337196"</f>
        <v>1552374885337196</v>
      </c>
      <c r="C6474" t="s">
        <v>40</v>
      </c>
      <c r="D6474">
        <v>4.9710219999999996</v>
      </c>
      <c r="E6474">
        <v>0.51279269999999999</v>
      </c>
      <c r="F6474" t="s">
        <v>41</v>
      </c>
      <c r="G6474">
        <v>-154.4049</v>
      </c>
      <c r="H6474">
        <v>0.98680970000000001</v>
      </c>
      <c r="I6474">
        <v>148.22299999999899</v>
      </c>
      <c r="J6474">
        <v>-154.863</v>
      </c>
      <c r="K6474">
        <v>1.099545</v>
      </c>
      <c r="L6474">
        <v>148.38120000000001</v>
      </c>
      <c r="M6474">
        <v>0.99913110000000005</v>
      </c>
      <c r="N6474">
        <v>0</v>
      </c>
      <c r="O6474">
        <v>-3.9000430000000003E-2</v>
      </c>
      <c r="P6474">
        <v>0.97746719999999998</v>
      </c>
      <c r="Q6474">
        <v>6.6672529999999994E-2</v>
      </c>
      <c r="R6474">
        <v>-0.20028209999999999</v>
      </c>
      <c r="S6474">
        <v>2.9549560000000001</v>
      </c>
      <c r="T6474">
        <v>-0.4441407</v>
      </c>
      <c r="U6474">
        <v>-0.70671079999999997</v>
      </c>
      <c r="V6474">
        <v>0.1640556</v>
      </c>
      <c r="W6474">
        <v>7.6912969999999997E-2</v>
      </c>
      <c r="X6474">
        <v>0.98344810000000005</v>
      </c>
      <c r="Y6474">
        <v>0.19285820000000001</v>
      </c>
      <c r="Z6474">
        <v>-8.473141E-3</v>
      </c>
      <c r="AA6474">
        <v>0.98119009999999995</v>
      </c>
      <c r="AB6474">
        <v>29</v>
      </c>
      <c r="AC6474">
        <v>0.45810000000000101</v>
      </c>
      <c r="AD6474">
        <v>-0.112735299999999</v>
      </c>
      <c r="AE6474">
        <v>-0.15820000000002199</v>
      </c>
      <c r="AF6474">
        <v>0.13301433107667199</v>
      </c>
      <c r="AG6474">
        <v>-0.112735299999999</v>
      </c>
      <c r="AH6474">
        <v>0.44010817366374799</v>
      </c>
      <c r="AI6474">
        <v>103.77708838952201</v>
      </c>
      <c r="AJ6474">
        <v>73.183555805363099</v>
      </c>
      <c r="AK6474">
        <v>0.47338912605118499</v>
      </c>
      <c r="AL6474">
        <v>85.588855041574206</v>
      </c>
      <c r="AM6474">
        <v>80.529312160922998</v>
      </c>
      <c r="AN6474">
        <v>1.0000000051195901</v>
      </c>
    </row>
    <row r="6475" spans="1:40" x14ac:dyDescent="0.25">
      <c r="A6475" t="str">
        <f>"20190312151445373"</f>
        <v>20190312151445373</v>
      </c>
      <c r="B6475" t="str">
        <f>"1552374885366477"</f>
        <v>1552374885366477</v>
      </c>
      <c r="C6475" t="s">
        <v>40</v>
      </c>
      <c r="D6475">
        <v>4.9168390000000004</v>
      </c>
      <c r="E6475">
        <v>0.51209749999999998</v>
      </c>
      <c r="F6475" t="s">
        <v>41</v>
      </c>
      <c r="G6475">
        <v>-154.1422</v>
      </c>
      <c r="H6475">
        <v>0.99168060000000002</v>
      </c>
      <c r="I6475">
        <v>148.20480000000001</v>
      </c>
      <c r="J6475">
        <v>-154.5119</v>
      </c>
      <c r="K6475">
        <v>1.0998110000000001</v>
      </c>
      <c r="L6475">
        <v>148.35079999999999</v>
      </c>
      <c r="M6475">
        <v>0.99839480000000003</v>
      </c>
      <c r="N6475">
        <v>0</v>
      </c>
      <c r="O6475">
        <v>-5.4666550000000001E-2</v>
      </c>
      <c r="P6475">
        <v>0.97605819999999999</v>
      </c>
      <c r="Q6475">
        <v>6.5867739999999994E-2</v>
      </c>
      <c r="R6475">
        <v>-0.20729639999999999</v>
      </c>
      <c r="S6475">
        <v>2.9513090000000002</v>
      </c>
      <c r="T6475">
        <v>-0.44146200000000002</v>
      </c>
      <c r="U6475">
        <v>-0.72224429999999995</v>
      </c>
      <c r="V6475">
        <v>0.15561459999999999</v>
      </c>
      <c r="W6475">
        <v>7.6543550000000002E-2</v>
      </c>
      <c r="X6475">
        <v>0.98484780000000005</v>
      </c>
      <c r="Y6475">
        <v>0.18290219999999999</v>
      </c>
      <c r="Z6475">
        <v>-5.4088069999999999E-3</v>
      </c>
      <c r="AA6475">
        <v>0.9831162</v>
      </c>
      <c r="AB6475">
        <v>29</v>
      </c>
      <c r="AC6475">
        <v>0.36969999999999398</v>
      </c>
      <c r="AD6475">
        <v>-0.1081304</v>
      </c>
      <c r="AE6475">
        <v>-0.145999999999986</v>
      </c>
      <c r="AF6475">
        <v>0.116916883687835</v>
      </c>
      <c r="AG6475">
        <v>-0.1081304</v>
      </c>
      <c r="AH6475">
        <v>0.35114326445296901</v>
      </c>
      <c r="AI6475">
        <v>106.286695141379</v>
      </c>
      <c r="AJ6475">
        <v>71.584272053929098</v>
      </c>
      <c r="AK6475">
        <v>0.38556884374404798</v>
      </c>
      <c r="AL6475">
        <v>85.610083824990099</v>
      </c>
      <c r="AM6475">
        <v>81.020998209182807</v>
      </c>
      <c r="AN6475">
        <v>1.0000000039723</v>
      </c>
    </row>
    <row r="6476" spans="1:40" x14ac:dyDescent="0.25">
      <c r="A6476" t="str">
        <f>"20190312151445404"</f>
        <v>20190312151445404</v>
      </c>
      <c r="B6476" t="str">
        <f>"1552374885397239"</f>
        <v>1552374885397239</v>
      </c>
      <c r="C6476" t="s">
        <v>40</v>
      </c>
      <c r="D6476">
        <v>4.9810730000000003</v>
      </c>
      <c r="E6476">
        <v>0.51075409999999999</v>
      </c>
      <c r="F6476" t="s">
        <v>41</v>
      </c>
      <c r="G6476">
        <v>-153.63630000000001</v>
      </c>
      <c r="H6476">
        <v>0.96655480000000005</v>
      </c>
      <c r="I6476">
        <v>148.13120000000001</v>
      </c>
      <c r="J6476">
        <v>-154.09039999999999</v>
      </c>
      <c r="K6476">
        <v>1.100163</v>
      </c>
      <c r="L6476">
        <v>148.30770000000001</v>
      </c>
      <c r="M6476">
        <v>0.99722409999999995</v>
      </c>
      <c r="N6476">
        <v>0</v>
      </c>
      <c r="O6476">
        <v>-7.2950890000000004E-2</v>
      </c>
      <c r="P6476">
        <v>0.97550910000000002</v>
      </c>
      <c r="Q6476">
        <v>6.5512399999999998E-2</v>
      </c>
      <c r="R6476">
        <v>-0.20997679999999999</v>
      </c>
      <c r="S6476">
        <v>2.9469449999999999</v>
      </c>
      <c r="T6476">
        <v>-0.44811679999999998</v>
      </c>
      <c r="U6476">
        <v>-0.73866269999999901</v>
      </c>
      <c r="V6476">
        <v>0.1401714</v>
      </c>
      <c r="W6476">
        <v>7.6825019999999994E-2</v>
      </c>
      <c r="X6476">
        <v>0.98714230000000003</v>
      </c>
      <c r="Y6476">
        <v>0.17066139999999999</v>
      </c>
      <c r="Z6476">
        <v>-1.873988E-3</v>
      </c>
      <c r="AA6476">
        <v>0.98532799999999998</v>
      </c>
      <c r="AB6476">
        <v>29</v>
      </c>
      <c r="AC6476">
        <v>0.45409999999998202</v>
      </c>
      <c r="AD6476">
        <v>-0.13360819999999901</v>
      </c>
      <c r="AE6476">
        <v>-0.17650000000000399</v>
      </c>
      <c r="AF6476">
        <v>0.13290360503213799</v>
      </c>
      <c r="AG6476">
        <v>-0.13360819999999901</v>
      </c>
      <c r="AH6476">
        <v>0.43318811988735001</v>
      </c>
      <c r="AI6476">
        <v>106.42891515437999</v>
      </c>
      <c r="AJ6476">
        <v>72.943806437310798</v>
      </c>
      <c r="AK6476">
        <v>0.47240498150349303</v>
      </c>
      <c r="AL6476">
        <v>85.593909193216604</v>
      </c>
      <c r="AM6476">
        <v>81.918191546538395</v>
      </c>
      <c r="AN6476">
        <v>1.0000000127626201</v>
      </c>
    </row>
    <row r="6477" spans="1:40" x14ac:dyDescent="0.25">
      <c r="A6477" t="str">
        <f>"20190312151445434"</f>
        <v>20190312151445434</v>
      </c>
      <c r="B6477" t="str">
        <f>"1552374885426519"</f>
        <v>1552374885426519</v>
      </c>
      <c r="C6477" t="s">
        <v>40</v>
      </c>
      <c r="D6477">
        <v>5.0741110000000003</v>
      </c>
      <c r="E6477">
        <v>0.5091639</v>
      </c>
      <c r="F6477" t="s">
        <v>41</v>
      </c>
      <c r="G6477">
        <v>-153.34960000000001</v>
      </c>
      <c r="H6477">
        <v>1.0229060000000001</v>
      </c>
      <c r="I6477">
        <v>148.1234</v>
      </c>
      <c r="J6477">
        <v>-153.691</v>
      </c>
      <c r="K6477">
        <v>1.100527</v>
      </c>
      <c r="L6477">
        <v>148.25989999999999</v>
      </c>
      <c r="M6477">
        <v>0.9958591</v>
      </c>
      <c r="N6477">
        <v>0</v>
      </c>
      <c r="O6477">
        <v>-8.9669910000000005E-2</v>
      </c>
      <c r="P6477">
        <v>0.97422299999999995</v>
      </c>
      <c r="Q6477">
        <v>6.4342990000000003E-2</v>
      </c>
      <c r="R6477">
        <v>-0.21621779999999999</v>
      </c>
      <c r="S6477">
        <v>2.9385530000000002</v>
      </c>
      <c r="T6477">
        <v>-0.30633510000000003</v>
      </c>
      <c r="U6477">
        <v>-0.73100279999999995</v>
      </c>
      <c r="V6477">
        <v>0.1298154</v>
      </c>
      <c r="W6477">
        <v>7.6105190000000003E-2</v>
      </c>
      <c r="X6477">
        <v>0.98861310000000002</v>
      </c>
      <c r="Y6477">
        <v>0.15308250000000001</v>
      </c>
      <c r="Z6477">
        <v>1.311308E-3</v>
      </c>
      <c r="AA6477">
        <v>0.98821250000000005</v>
      </c>
      <c r="AB6477">
        <v>29</v>
      </c>
      <c r="AC6477">
        <v>0.34139999999999299</v>
      </c>
      <c r="AD6477">
        <v>-7.7621000000000107E-2</v>
      </c>
      <c r="AE6477">
        <v>-0.136499999999983</v>
      </c>
      <c r="AF6477">
        <v>0.100839031498723</v>
      </c>
      <c r="AG6477">
        <v>-7.7621000000000107E-2</v>
      </c>
      <c r="AH6477">
        <v>0.33723566780123698</v>
      </c>
      <c r="AI6477">
        <v>102.43588637248099</v>
      </c>
      <c r="AJ6477">
        <v>73.352466983422303</v>
      </c>
      <c r="AK6477">
        <v>0.36044614792219198</v>
      </c>
      <c r="AL6477">
        <v>85.635273243101295</v>
      </c>
      <c r="AM6477">
        <v>82.519255217935296</v>
      </c>
      <c r="AN6477">
        <v>0.99999994975685103</v>
      </c>
    </row>
    <row r="6478" spans="1:40" x14ac:dyDescent="0.25">
      <c r="A6478" t="str">
        <f>"20190312151445456"</f>
        <v>20190312151445456</v>
      </c>
      <c r="B6478" t="str">
        <f>"1552374885447014"</f>
        <v>1552374885447014</v>
      </c>
      <c r="C6478" t="s">
        <v>40</v>
      </c>
      <c r="D6478">
        <v>5.0157850000000002</v>
      </c>
      <c r="E6478">
        <v>0.50842609999999999</v>
      </c>
      <c r="F6478" t="s">
        <v>41</v>
      </c>
      <c r="G6478">
        <v>-152.84219999999999</v>
      </c>
      <c r="H6478">
        <v>1.0086360000000001</v>
      </c>
      <c r="I6478">
        <v>148.04669999999999</v>
      </c>
      <c r="J6478">
        <v>-153.4059</v>
      </c>
      <c r="K6478">
        <v>1.1008070000000001</v>
      </c>
      <c r="L6478">
        <v>148.22210000000001</v>
      </c>
      <c r="M6478">
        <v>0.99475000000000002</v>
      </c>
      <c r="N6478">
        <v>0</v>
      </c>
      <c r="O6478">
        <v>-0.10122829999999999</v>
      </c>
      <c r="P6478">
        <v>0.9741938</v>
      </c>
      <c r="Q6478">
        <v>6.2983999999999998E-2</v>
      </c>
      <c r="R6478">
        <v>-0.21674750000000001</v>
      </c>
      <c r="S6478">
        <v>2.9366460000000001</v>
      </c>
      <c r="T6478">
        <v>-0.3178455</v>
      </c>
      <c r="U6478">
        <v>-0.73759459999999999</v>
      </c>
      <c r="V6478">
        <v>0.1187665</v>
      </c>
      <c r="W6478">
        <v>7.5136190000000005E-2</v>
      </c>
      <c r="X6478">
        <v>0.99007529999999999</v>
      </c>
      <c r="Y6478">
        <v>0.14392659999999999</v>
      </c>
      <c r="Z6478">
        <v>3.0643039999999999E-3</v>
      </c>
      <c r="AA6478">
        <v>0.98958360000000001</v>
      </c>
      <c r="AB6478">
        <v>29</v>
      </c>
      <c r="AC6478">
        <v>0.56370000000001097</v>
      </c>
      <c r="AD6478">
        <v>-9.2170999999999698E-2</v>
      </c>
      <c r="AE6478">
        <v>-0.17540000000002401</v>
      </c>
      <c r="AF6478">
        <v>0.1146356586834</v>
      </c>
      <c r="AG6478">
        <v>-9.2170999999999698E-2</v>
      </c>
      <c r="AH6478">
        <v>0.56479393311257797</v>
      </c>
      <c r="AI6478">
        <v>99.086531020287495</v>
      </c>
      <c r="AJ6478">
        <v>78.526592985234004</v>
      </c>
      <c r="AK6478">
        <v>0.58363431561513901</v>
      </c>
      <c r="AL6478">
        <v>85.690952564586695</v>
      </c>
      <c r="AM6478">
        <v>83.159653219926398</v>
      </c>
      <c r="AN6478">
        <v>1.00000001412002</v>
      </c>
    </row>
    <row r="6479" spans="1:40" x14ac:dyDescent="0.25">
      <c r="A6479" t="str">
        <f>"20190312151445481"</f>
        <v>20190312151445481</v>
      </c>
      <c r="B6479" t="str">
        <f>"1552374885477270"</f>
        <v>1552374885477270</v>
      </c>
      <c r="C6479" t="s">
        <v>40</v>
      </c>
      <c r="D6479">
        <v>5.0134410000000003</v>
      </c>
      <c r="E6479">
        <v>0.50951559999999996</v>
      </c>
      <c r="F6479" t="s">
        <v>41</v>
      </c>
      <c r="G6479">
        <v>-152.58410000000001</v>
      </c>
      <c r="H6479">
        <v>1.0103839999999999</v>
      </c>
      <c r="I6479">
        <v>148.01689999999999</v>
      </c>
      <c r="J6479">
        <v>-153.0932</v>
      </c>
      <c r="K6479">
        <v>1.101119</v>
      </c>
      <c r="L6479">
        <v>148.1772</v>
      </c>
      <c r="M6479">
        <v>0.99341950000000001</v>
      </c>
      <c r="N6479">
        <v>0</v>
      </c>
      <c r="O6479">
        <v>-0.11354359999999999</v>
      </c>
      <c r="P6479">
        <v>0.97405649999999999</v>
      </c>
      <c r="Q6479">
        <v>6.2691789999999997E-2</v>
      </c>
      <c r="R6479">
        <v>-0.21744849999999999</v>
      </c>
      <c r="S6479">
        <v>2.937195</v>
      </c>
      <c r="T6479">
        <v>-0.32313190000000003</v>
      </c>
      <c r="U6479">
        <v>-0.73339840000000001</v>
      </c>
      <c r="V6479">
        <v>0.1071336</v>
      </c>
      <c r="W6479">
        <v>7.5228429999999999E-2</v>
      </c>
      <c r="X6479">
        <v>0.99139449999999996</v>
      </c>
      <c r="Y6479">
        <v>0.1304177</v>
      </c>
      <c r="Z6479">
        <v>5.1610509999999998E-3</v>
      </c>
      <c r="AA6479">
        <v>0.99144569999999999</v>
      </c>
      <c r="AB6479">
        <v>29</v>
      </c>
      <c r="AC6479">
        <v>0.50909999999998901</v>
      </c>
      <c r="AD6479">
        <v>-9.0734999999999996E-2</v>
      </c>
      <c r="AE6479">
        <v>-0.16030000000000599</v>
      </c>
      <c r="AF6479">
        <v>9.8601998445915204E-2</v>
      </c>
      <c r="AG6479">
        <v>-9.0734999999999996E-2</v>
      </c>
      <c r="AH6479">
        <v>0.50929175873108901</v>
      </c>
      <c r="AI6479">
        <v>99.921309033762498</v>
      </c>
      <c r="AJ6479">
        <v>79.042749295784105</v>
      </c>
      <c r="AK6479">
        <v>0.52662442958329703</v>
      </c>
      <c r="AL6479">
        <v>85.685652496819301</v>
      </c>
      <c r="AM6479">
        <v>83.832348936495293</v>
      </c>
      <c r="AN6479">
        <v>0.99999998977973703</v>
      </c>
    </row>
    <row r="6480" spans="1:40" x14ac:dyDescent="0.25">
      <c r="A6480" t="str">
        <f>"20190312151445503"</f>
        <v>20190312151445503</v>
      </c>
      <c r="B6480" t="str">
        <f>"1552374885496790"</f>
        <v>1552374885496790</v>
      </c>
      <c r="C6480" t="s">
        <v>40</v>
      </c>
      <c r="D6480">
        <v>5.0241730000000002</v>
      </c>
      <c r="E6480">
        <v>0.50933850000000003</v>
      </c>
      <c r="F6480" t="s">
        <v>41</v>
      </c>
      <c r="G6480">
        <v>-152.33869999999999</v>
      </c>
      <c r="H6480">
        <v>0.98740110000000003</v>
      </c>
      <c r="I6480">
        <v>147.9854</v>
      </c>
      <c r="J6480">
        <v>-152.80459999999999</v>
      </c>
      <c r="K6480">
        <v>1.101442</v>
      </c>
      <c r="L6480">
        <v>148.1326</v>
      </c>
      <c r="M6480">
        <v>0.99210100000000001</v>
      </c>
      <c r="N6480">
        <v>0</v>
      </c>
      <c r="O6480">
        <v>-0.1245382</v>
      </c>
      <c r="P6480">
        <v>0.97448840000000003</v>
      </c>
      <c r="Q6480">
        <v>6.3524890000000001E-2</v>
      </c>
      <c r="R6480">
        <v>-0.2152608</v>
      </c>
      <c r="S6480">
        <v>2.9415279999999999</v>
      </c>
      <c r="T6480">
        <v>-0.44321100000000002</v>
      </c>
      <c r="U6480">
        <v>-0.74761959999999905</v>
      </c>
      <c r="V6480">
        <v>9.3879850000000001E-2</v>
      </c>
      <c r="W6480">
        <v>7.6448000000000002E-2</v>
      </c>
      <c r="X6480">
        <v>0.99264410000000003</v>
      </c>
      <c r="Y6480">
        <v>0.1237</v>
      </c>
      <c r="Z6480">
        <v>9.1431900000000007E-3</v>
      </c>
      <c r="AA6480">
        <v>0.99227759999999998</v>
      </c>
      <c r="AB6480">
        <v>29</v>
      </c>
      <c r="AC6480">
        <v>0.46590000000000398</v>
      </c>
      <c r="AD6480">
        <v>-0.114040899999999</v>
      </c>
      <c r="AE6480">
        <v>-0.147199999999998</v>
      </c>
      <c r="AF6480">
        <v>8.3477269983987801E-2</v>
      </c>
      <c r="AG6480">
        <v>-0.114040899999999</v>
      </c>
      <c r="AH6480">
        <v>0.45577680490567202</v>
      </c>
      <c r="AI6480">
        <v>103.82672288528001</v>
      </c>
      <c r="AJ6480">
        <v>79.621092533643207</v>
      </c>
      <c r="AK6480">
        <v>0.47718578915010901</v>
      </c>
      <c r="AL6480">
        <v>85.615574578260393</v>
      </c>
      <c r="AM6480">
        <v>84.597290809199606</v>
      </c>
      <c r="AN6480">
        <v>1.0000000161024101</v>
      </c>
    </row>
    <row r="6481" spans="1:40" x14ac:dyDescent="0.25">
      <c r="A6481" t="str">
        <f>"20190312151445536"</f>
        <v>20190312151445536</v>
      </c>
      <c r="B6481" t="str">
        <f>"1552374885527047"</f>
        <v>1552374885527047</v>
      </c>
      <c r="C6481" t="s">
        <v>40</v>
      </c>
      <c r="D6481">
        <v>5.0030130000000002</v>
      </c>
      <c r="E6481">
        <v>0.50745620000000002</v>
      </c>
      <c r="F6481" t="s">
        <v>41</v>
      </c>
      <c r="G6481">
        <v>-152.0804</v>
      </c>
      <c r="H6481">
        <v>0.99227379999999998</v>
      </c>
      <c r="I6481">
        <v>147.9504</v>
      </c>
      <c r="J6481">
        <v>-152.3792</v>
      </c>
      <c r="K6481">
        <v>1.1019650000000001</v>
      </c>
      <c r="L6481">
        <v>148.06129999999999</v>
      </c>
      <c r="M6481">
        <v>0.99003509999999995</v>
      </c>
      <c r="N6481">
        <v>0</v>
      </c>
      <c r="O6481">
        <v>-0.140017899999999</v>
      </c>
      <c r="P6481">
        <v>0.97599239999999998</v>
      </c>
      <c r="Q6481">
        <v>6.7238989999999998E-2</v>
      </c>
      <c r="R6481">
        <v>-0.20716609999999999</v>
      </c>
      <c r="S6481">
        <v>2.9439090000000001</v>
      </c>
      <c r="T6481">
        <v>-0.4436853</v>
      </c>
      <c r="U6481">
        <v>-0.74047850000000004</v>
      </c>
      <c r="V6481">
        <v>7.0117890000000002E-2</v>
      </c>
      <c r="W6481">
        <v>8.0766190000000002E-2</v>
      </c>
      <c r="X6481">
        <v>0.99426369999999997</v>
      </c>
      <c r="Y6481">
        <v>0.1060741</v>
      </c>
      <c r="Z6481">
        <v>1.270139E-2</v>
      </c>
      <c r="AA6481">
        <v>0.99427710000000002</v>
      </c>
      <c r="AB6481">
        <v>29</v>
      </c>
      <c r="AC6481">
        <v>0.29879999999999901</v>
      </c>
      <c r="AD6481">
        <v>-0.109691199999999</v>
      </c>
      <c r="AE6481">
        <v>-0.110899999999986</v>
      </c>
      <c r="AF6481">
        <v>6.0767329698892598E-2</v>
      </c>
      <c r="AG6481">
        <v>-0.109691199999999</v>
      </c>
      <c r="AH6481">
        <v>0.27840819004001099</v>
      </c>
      <c r="AI6481">
        <v>111.053295781481</v>
      </c>
      <c r="AJ6481">
        <v>77.687323656499004</v>
      </c>
      <c r="AK6481">
        <v>0.30534562056386</v>
      </c>
      <c r="AL6481">
        <v>85.367392294405903</v>
      </c>
      <c r="AM6481">
        <v>85.966041193805907</v>
      </c>
      <c r="AN6481">
        <v>1.00000000054142</v>
      </c>
    </row>
    <row r="6482" spans="1:40" x14ac:dyDescent="0.25">
      <c r="A6482" t="str">
        <f>"20190312151445571"</f>
        <v>20190312151445571</v>
      </c>
      <c r="B6482" t="str">
        <f>"1552374885567063"</f>
        <v>1552374885567063</v>
      </c>
      <c r="C6482" t="s">
        <v>40</v>
      </c>
      <c r="D6482">
        <v>5.0575809999999999</v>
      </c>
      <c r="E6482">
        <v>0.50943679999999902</v>
      </c>
      <c r="F6482" t="s">
        <v>41</v>
      </c>
      <c r="G6482">
        <v>-151.55850000000001</v>
      </c>
      <c r="H6482">
        <v>1.0175270000000001</v>
      </c>
      <c r="I6482">
        <v>147.86689999999999</v>
      </c>
      <c r="J6482">
        <v>-151.94059999999999</v>
      </c>
      <c r="K6482">
        <v>1.1024590000000001</v>
      </c>
      <c r="L6482">
        <v>147.98159999999999</v>
      </c>
      <c r="M6482">
        <v>0.98776960000000003</v>
      </c>
      <c r="N6482">
        <v>0</v>
      </c>
      <c r="O6482">
        <v>-0.15519929999999901</v>
      </c>
      <c r="P6482">
        <v>0.97523890000000002</v>
      </c>
      <c r="Q6482">
        <v>6.7804310000000007E-2</v>
      </c>
      <c r="R6482">
        <v>-0.21050459999999999</v>
      </c>
      <c r="S6482">
        <v>2.9465330000000001</v>
      </c>
      <c r="T6482">
        <v>-0.30293510000000001</v>
      </c>
      <c r="U6482">
        <v>-0.69772339999999999</v>
      </c>
      <c r="V6482">
        <v>5.8164470000000003E-2</v>
      </c>
      <c r="W6482">
        <v>8.1623550000000003E-2</v>
      </c>
      <c r="X6482">
        <v>0.99496450000000003</v>
      </c>
      <c r="Y6482">
        <v>7.6972449999999998E-2</v>
      </c>
      <c r="Z6482">
        <v>1.168929E-2</v>
      </c>
      <c r="AA6482">
        <v>0.99696470000000004</v>
      </c>
      <c r="AB6482">
        <v>29</v>
      </c>
      <c r="AC6482">
        <v>0.38209999999997901</v>
      </c>
      <c r="AD6482">
        <v>-8.4931999999999994E-2</v>
      </c>
      <c r="AE6482">
        <v>-0.114699999999999</v>
      </c>
      <c r="AF6482">
        <v>5.1660186872670398E-2</v>
      </c>
      <c r="AG6482">
        <v>-8.4931999999999994E-2</v>
      </c>
      <c r="AH6482">
        <v>0.378134306575027</v>
      </c>
      <c r="AI6482">
        <v>102.54620095280301</v>
      </c>
      <c r="AJ6482">
        <v>82.220491729472897</v>
      </c>
      <c r="AK6482">
        <v>0.39098308574757501</v>
      </c>
      <c r="AL6482">
        <v>85.3181061361053</v>
      </c>
      <c r="AM6482">
        <v>86.654362922000004</v>
      </c>
      <c r="AN6482">
        <v>0.99999993287261402</v>
      </c>
    </row>
    <row r="6483" spans="1:40" x14ac:dyDescent="0.25">
      <c r="A6483" t="str">
        <f>"20190312151445603"</f>
        <v>20190312151445603</v>
      </c>
      <c r="B6483" t="str">
        <f>"1552374885597322"</f>
        <v>1552374885597322</v>
      </c>
      <c r="C6483" t="s">
        <v>40</v>
      </c>
      <c r="D6483">
        <v>5.0713109999999997</v>
      </c>
      <c r="E6483">
        <v>0.50645359999999995</v>
      </c>
      <c r="F6483" t="s">
        <v>41</v>
      </c>
      <c r="G6483">
        <v>-151.0745</v>
      </c>
      <c r="H6483">
        <v>0.97477320000000001</v>
      </c>
      <c r="I6483">
        <v>147.7672</v>
      </c>
      <c r="J6483">
        <v>-151.52619999999999</v>
      </c>
      <c r="K6483">
        <v>1.1028819999999999</v>
      </c>
      <c r="L6483">
        <v>147.9008</v>
      </c>
      <c r="M6483">
        <v>0.98553170000000001</v>
      </c>
      <c r="N6483">
        <v>0</v>
      </c>
      <c r="O6483">
        <v>-0.1688297</v>
      </c>
      <c r="P6483">
        <v>0.9774581</v>
      </c>
      <c r="Q6483">
        <v>6.6704479999999997E-2</v>
      </c>
      <c r="R6483">
        <v>-0.20031579999999999</v>
      </c>
      <c r="S6483">
        <v>2.948868</v>
      </c>
      <c r="T6483">
        <v>-0.43463639999999998</v>
      </c>
      <c r="U6483">
        <v>-0.72976680000000005</v>
      </c>
      <c r="V6483">
        <v>3.3882250000000003E-2</v>
      </c>
      <c r="W6483">
        <v>8.10081E-2</v>
      </c>
      <c r="X6483">
        <v>0.99613739999999995</v>
      </c>
      <c r="Y6483">
        <v>7.3818709999999996E-2</v>
      </c>
      <c r="Z6483">
        <v>1.8846990000000001E-2</v>
      </c>
      <c r="AA6483">
        <v>0.99709360000000002</v>
      </c>
      <c r="AB6483">
        <v>28</v>
      </c>
      <c r="AC6483">
        <v>0.451699999999988</v>
      </c>
      <c r="AD6483">
        <v>-0.128108799999999</v>
      </c>
      <c r="AE6483">
        <v>-0.133600000000001</v>
      </c>
      <c r="AF6483">
        <v>5.1596442917385202E-2</v>
      </c>
      <c r="AG6483">
        <v>-0.128108799999999</v>
      </c>
      <c r="AH6483">
        <v>0.43555602862078702</v>
      </c>
      <c r="AI6483">
        <v>106.282278625285</v>
      </c>
      <c r="AJ6483">
        <v>83.244163596406295</v>
      </c>
      <c r="AK6483">
        <v>0.45692790637810499</v>
      </c>
      <c r="AL6483">
        <v>85.353486393978898</v>
      </c>
      <c r="AM6483">
        <v>88.051913527886001</v>
      </c>
      <c r="AN6483">
        <v>1.0000000194047101</v>
      </c>
    </row>
    <row r="6484" spans="1:40" x14ac:dyDescent="0.25">
      <c r="A6484" t="str">
        <f>"20190312151445635"</f>
        <v>20190312151445635</v>
      </c>
      <c r="B6484" t="str">
        <f>"1552374885627575"</f>
        <v>1552374885627575</v>
      </c>
      <c r="C6484" t="s">
        <v>40</v>
      </c>
      <c r="D6484">
        <v>5.0498779999999996</v>
      </c>
      <c r="E6484">
        <v>0.50605250000000002</v>
      </c>
      <c r="F6484" t="s">
        <v>41</v>
      </c>
      <c r="G6484">
        <v>-150.81030000000001</v>
      </c>
      <c r="H6484">
        <v>0.991842</v>
      </c>
      <c r="I6484">
        <v>147.73699999999999</v>
      </c>
      <c r="J6484">
        <v>-151.14080000000001</v>
      </c>
      <c r="K6484">
        <v>1.103278</v>
      </c>
      <c r="L6484">
        <v>147.82060000000001</v>
      </c>
      <c r="M6484">
        <v>0.98340510000000003</v>
      </c>
      <c r="N6484">
        <v>0</v>
      </c>
      <c r="O6484">
        <v>-0.18080889999999999</v>
      </c>
      <c r="P6484">
        <v>0.97736979999999996</v>
      </c>
      <c r="Q6484">
        <v>6.6018779999999999E-2</v>
      </c>
      <c r="R6484">
        <v>-0.20097200000000001</v>
      </c>
      <c r="S6484">
        <v>2.9616699999999998</v>
      </c>
      <c r="T6484">
        <v>-0.45939600000000003</v>
      </c>
      <c r="U6484">
        <v>-0.67758180000000001</v>
      </c>
      <c r="V6484">
        <v>2.2319410000000001E-2</v>
      </c>
      <c r="W6484">
        <v>8.0518560000000003E-2</v>
      </c>
      <c r="X6484">
        <v>0.99650320000000003</v>
      </c>
      <c r="Y6484">
        <v>4.4586019999999997E-2</v>
      </c>
      <c r="Z6484">
        <v>2.3885170000000001E-2</v>
      </c>
      <c r="AA6484">
        <v>0.99872000000000005</v>
      </c>
      <c r="AB6484">
        <v>28</v>
      </c>
      <c r="AC6484">
        <v>0.33050000000000002</v>
      </c>
      <c r="AD6484">
        <v>-0.11143599999999899</v>
      </c>
      <c r="AE6484">
        <v>-8.3600000000018299E-2</v>
      </c>
      <c r="AF6484">
        <v>2.02898596229646E-2</v>
      </c>
      <c r="AG6484">
        <v>-0.11143599999999899</v>
      </c>
      <c r="AH6484">
        <v>0.30733068729366803</v>
      </c>
      <c r="AI6484">
        <v>109.890403501466</v>
      </c>
      <c r="AJ6484">
        <v>86.222834925932204</v>
      </c>
      <c r="AK6484">
        <v>0.32753902340319402</v>
      </c>
      <c r="AL6484">
        <v>85.381626857523301</v>
      </c>
      <c r="AM6484">
        <v>88.716919105723903</v>
      </c>
      <c r="AN6484">
        <v>1.0000000110887299</v>
      </c>
    </row>
    <row r="6485" spans="1:40" x14ac:dyDescent="0.25">
      <c r="A6485" t="str">
        <f>"20190312151445658"</f>
        <v>20190312151445658</v>
      </c>
      <c r="B6485" t="str">
        <f>"1552374885647095"</f>
        <v>1552374885647095</v>
      </c>
      <c r="C6485" t="s">
        <v>40</v>
      </c>
      <c r="D6485">
        <v>5.0860669999999999</v>
      </c>
      <c r="E6485">
        <v>0.50613009999999903</v>
      </c>
      <c r="F6485" t="s">
        <v>41</v>
      </c>
      <c r="G6485">
        <v>-150.31710000000001</v>
      </c>
      <c r="H6485">
        <v>0.9735085</v>
      </c>
      <c r="I6485">
        <v>147.63220000000001</v>
      </c>
      <c r="J6485">
        <v>-150.83250000000001</v>
      </c>
      <c r="K6485">
        <v>1.103618</v>
      </c>
      <c r="L6485">
        <v>147.75360000000001</v>
      </c>
      <c r="M6485">
        <v>0.9816897</v>
      </c>
      <c r="N6485">
        <v>0</v>
      </c>
      <c r="O6485">
        <v>-0.18990570000000001</v>
      </c>
      <c r="P6485">
        <v>0.97799199999999997</v>
      </c>
      <c r="Q6485">
        <v>6.3777749999999994E-2</v>
      </c>
      <c r="R6485">
        <v>-0.19865630000000001</v>
      </c>
      <c r="S6485">
        <v>2.9616549999999999</v>
      </c>
      <c r="T6485">
        <v>-0.46658430000000001</v>
      </c>
      <c r="U6485">
        <v>-0.67758180000000001</v>
      </c>
      <c r="V6485">
        <v>1.0587799999999901E-2</v>
      </c>
      <c r="W6485">
        <v>7.8453259999999997E-2</v>
      </c>
      <c r="X6485">
        <v>0.99686160000000001</v>
      </c>
      <c r="Y6485">
        <v>3.5589599999999999E-2</v>
      </c>
      <c r="Z6485">
        <v>2.6323619999999999E-2</v>
      </c>
      <c r="AA6485">
        <v>0.99901969999999995</v>
      </c>
      <c r="AB6485">
        <v>28</v>
      </c>
      <c r="AC6485">
        <v>0.51539999999999897</v>
      </c>
      <c r="AD6485">
        <v>-0.13010949999999999</v>
      </c>
      <c r="AE6485">
        <v>-0.121399999999994</v>
      </c>
      <c r="AF6485">
        <v>2.00891455650066E-2</v>
      </c>
      <c r="AG6485">
        <v>-0.13010949999999999</v>
      </c>
      <c r="AH6485">
        <v>0.49895032125740602</v>
      </c>
      <c r="AI6485">
        <v>104.60401579703399</v>
      </c>
      <c r="AJ6485">
        <v>87.694355855314797</v>
      </c>
      <c r="AK6485">
        <v>0.51602662609854899</v>
      </c>
      <c r="AL6485">
        <v>85.500335543107894</v>
      </c>
      <c r="AM6485">
        <v>89.391476766046793</v>
      </c>
      <c r="AN6485">
        <v>1.0000000325340099</v>
      </c>
    </row>
    <row r="6486" spans="1:40" x14ac:dyDescent="0.25">
      <c r="A6486" t="str">
        <f>"20190312151445693"</f>
        <v>20190312151445693</v>
      </c>
      <c r="B6486" t="str">
        <f>"1552374885687111"</f>
        <v>1552374885687111</v>
      </c>
      <c r="C6486" t="s">
        <v>40</v>
      </c>
      <c r="D6486">
        <v>5.1333929999999999</v>
      </c>
      <c r="E6486">
        <v>0.50651829999999998</v>
      </c>
      <c r="F6486" t="s">
        <v>41</v>
      </c>
      <c r="G6486">
        <v>-150.0634</v>
      </c>
      <c r="H6486">
        <v>0.98004170000000002</v>
      </c>
      <c r="I6486">
        <v>147.5788</v>
      </c>
      <c r="J6486">
        <v>-150.40430000000001</v>
      </c>
      <c r="K6486">
        <v>1.1041069999999999</v>
      </c>
      <c r="L6486">
        <v>147.65629999999999</v>
      </c>
      <c r="M6486">
        <v>0.97931679999999999</v>
      </c>
      <c r="N6486">
        <v>0</v>
      </c>
      <c r="O6486">
        <v>-0.20179</v>
      </c>
      <c r="P6486">
        <v>0.97972969999999904</v>
      </c>
      <c r="Q6486">
        <v>6.1601700000000002E-2</v>
      </c>
      <c r="R6486">
        <v>-0.1906177</v>
      </c>
      <c r="S6486">
        <v>2.9618380000000002</v>
      </c>
      <c r="T6486">
        <v>-0.47585519999999998</v>
      </c>
      <c r="U6486">
        <v>-0.67297359999999995</v>
      </c>
      <c r="V6486">
        <v>-9.8602570000000007E-3</v>
      </c>
      <c r="W6486">
        <v>7.6540230000000001E-2</v>
      </c>
      <c r="X6486">
        <v>0.99701770000000001</v>
      </c>
      <c r="Y6486">
        <v>2.2351179999999998E-2</v>
      </c>
      <c r="Z6486">
        <v>2.9713710000000001E-2</v>
      </c>
      <c r="AA6486">
        <v>0.99930850000000004</v>
      </c>
      <c r="AB6486">
        <v>28</v>
      </c>
      <c r="AC6486">
        <v>0.34090000000000398</v>
      </c>
      <c r="AD6486">
        <v>-0.1240653</v>
      </c>
      <c r="AE6486">
        <v>-7.7499999999986302E-2</v>
      </c>
      <c r="AF6486">
        <v>6.3126137764925802E-3</v>
      </c>
      <c r="AG6486">
        <v>-0.1240653</v>
      </c>
      <c r="AH6486">
        <v>0.31043070200044798</v>
      </c>
      <c r="AI6486">
        <v>111.780304427964</v>
      </c>
      <c r="AJ6486">
        <v>88.835049873740701</v>
      </c>
      <c r="AK6486">
        <v>0.33436397608186202</v>
      </c>
      <c r="AL6486">
        <v>85.610274425548894</v>
      </c>
      <c r="AM6486">
        <v>90.566622531713307</v>
      </c>
      <c r="AN6486">
        <v>0.99999996279492298</v>
      </c>
    </row>
    <row r="6487" spans="1:40" x14ac:dyDescent="0.25">
      <c r="A6487" t="str">
        <f>"20190312151445727"</f>
        <v>20190312151445727</v>
      </c>
      <c r="B6487" t="str">
        <f>"1552374885717366"</f>
        <v>1552374885717366</v>
      </c>
      <c r="C6487" t="s">
        <v>40</v>
      </c>
      <c r="D6487">
        <v>5.1505640000000001</v>
      </c>
      <c r="E6487">
        <v>0.50691560000000002</v>
      </c>
      <c r="F6487" t="s">
        <v>41</v>
      </c>
      <c r="G6487">
        <v>-149.56909999999999</v>
      </c>
      <c r="H6487">
        <v>0.96824929999999998</v>
      </c>
      <c r="I6487">
        <v>147.47210000000001</v>
      </c>
      <c r="J6487">
        <v>-149.99459999999999</v>
      </c>
      <c r="K6487">
        <v>1.1046</v>
      </c>
      <c r="L6487">
        <v>147.5592</v>
      </c>
      <c r="M6487">
        <v>0.97708859999999997</v>
      </c>
      <c r="N6487">
        <v>0</v>
      </c>
      <c r="O6487">
        <v>-0.2123217</v>
      </c>
      <c r="P6487">
        <v>0.9793984</v>
      </c>
      <c r="Q6487">
        <v>6.1867470000000001E-2</v>
      </c>
      <c r="R6487">
        <v>-0.1922277</v>
      </c>
      <c r="S6487">
        <v>2.9653019999999999</v>
      </c>
      <c r="T6487">
        <v>-0.48205209999999998</v>
      </c>
      <c r="U6487">
        <v>-0.65322880000000005</v>
      </c>
      <c r="V6487">
        <v>-1.9050919999999999E-2</v>
      </c>
      <c r="W6487">
        <v>7.685591E-2</v>
      </c>
      <c r="X6487">
        <v>0.99686019999999997</v>
      </c>
      <c r="Y6487">
        <v>5.3851369999999999E-3</v>
      </c>
      <c r="Z6487">
        <v>3.307715E-2</v>
      </c>
      <c r="AA6487">
        <v>0.9994383</v>
      </c>
      <c r="AB6487">
        <v>28</v>
      </c>
      <c r="AC6487">
        <v>0.42549999999999899</v>
      </c>
      <c r="AD6487">
        <v>-0.13635069999999899</v>
      </c>
      <c r="AE6487">
        <v>-8.7099999999992406E-2</v>
      </c>
      <c r="AF6487">
        <v>-4.7690146638201501E-3</v>
      </c>
      <c r="AG6487">
        <v>-0.13635069999999899</v>
      </c>
      <c r="AH6487">
        <v>0.39532906942781598</v>
      </c>
      <c r="AI6487">
        <v>109.028249837647</v>
      </c>
      <c r="AJ6487">
        <v>90.691148666418997</v>
      </c>
      <c r="AK6487">
        <v>0.418209672324801</v>
      </c>
      <c r="AL6487">
        <v>85.592134081119099</v>
      </c>
      <c r="AM6487">
        <v>91.094842039532395</v>
      </c>
      <c r="AN6487">
        <v>1.0000000133994</v>
      </c>
    </row>
    <row r="6488" spans="1:40" x14ac:dyDescent="0.25">
      <c r="A6488" t="str">
        <f>"20190312151445751"</f>
        <v>20190312151445751</v>
      </c>
      <c r="B6488" t="str">
        <f>"1552374885746647"</f>
        <v>1552374885746647</v>
      </c>
      <c r="C6488" t="s">
        <v>40</v>
      </c>
      <c r="D6488">
        <v>5.0752930000000003</v>
      </c>
      <c r="E6488">
        <v>0.50721369999999999</v>
      </c>
      <c r="F6488" t="s">
        <v>41</v>
      </c>
      <c r="G6488">
        <v>-149.07859999999999</v>
      </c>
      <c r="H6488">
        <v>0.95695419999999998</v>
      </c>
      <c r="I6488">
        <v>147.35499999999999</v>
      </c>
      <c r="J6488">
        <v>-149.69059999999999</v>
      </c>
      <c r="K6488">
        <v>1.104973</v>
      </c>
      <c r="L6488">
        <v>147.4846</v>
      </c>
      <c r="M6488">
        <v>0.97550179999999997</v>
      </c>
      <c r="N6488">
        <v>0</v>
      </c>
      <c r="O6488">
        <v>-0.21949969999999999</v>
      </c>
      <c r="P6488">
        <v>0.97968789999999994</v>
      </c>
      <c r="Q6488">
        <v>6.2305350000000002E-2</v>
      </c>
      <c r="R6488">
        <v>-0.1906041</v>
      </c>
      <c r="S6488">
        <v>2.963654</v>
      </c>
      <c r="T6488">
        <v>-0.47756769999999998</v>
      </c>
      <c r="U6488">
        <v>-0.66035459999999901</v>
      </c>
      <c r="V6488">
        <v>-2.8099900000000001E-2</v>
      </c>
      <c r="W6488">
        <v>7.734133E-2</v>
      </c>
      <c r="X6488">
        <v>0.99660859999999996</v>
      </c>
      <c r="Y6488">
        <v>5.3672520000000001E-4</v>
      </c>
      <c r="Z6488">
        <v>3.426572E-2</v>
      </c>
      <c r="AA6488">
        <v>0.99941259999999998</v>
      </c>
      <c r="AB6488">
        <v>28</v>
      </c>
      <c r="AC6488">
        <v>0.61199999999999399</v>
      </c>
      <c r="AD6488">
        <v>-0.14801879999999901</v>
      </c>
      <c r="AE6488">
        <v>-0.12960000000001001</v>
      </c>
      <c r="AF6488">
        <v>-7.4902867820058703E-3</v>
      </c>
      <c r="AG6488">
        <v>-0.14801879999999901</v>
      </c>
      <c r="AH6488">
        <v>0.59235810689516499</v>
      </c>
      <c r="AI6488">
        <v>104.028727459381</v>
      </c>
      <c r="AJ6488">
        <v>90.724458640629194</v>
      </c>
      <c r="AK6488">
        <v>0.61061755326385803</v>
      </c>
      <c r="AL6488">
        <v>85.564238444248403</v>
      </c>
      <c r="AM6488">
        <v>91.6150565360836</v>
      </c>
      <c r="AN6488">
        <v>0.99999999365006897</v>
      </c>
    </row>
    <row r="6489" spans="1:40" x14ac:dyDescent="0.25">
      <c r="A6489" t="str">
        <f>"20190312151445774"</f>
        <v>20190312151445774</v>
      </c>
      <c r="B6489" t="str">
        <f>"1552374885767143"</f>
        <v>1552374885767143</v>
      </c>
      <c r="C6489" t="s">
        <v>40</v>
      </c>
      <c r="D6489">
        <v>5.0351619999999997</v>
      </c>
      <c r="E6489">
        <v>0.52202139999999997</v>
      </c>
      <c r="F6489" t="s">
        <v>41</v>
      </c>
      <c r="G6489">
        <v>-148.82759999999999</v>
      </c>
      <c r="H6489">
        <v>0.96664570000000005</v>
      </c>
      <c r="I6489">
        <v>147.29310000000001</v>
      </c>
      <c r="J6489">
        <v>-149.39320000000001</v>
      </c>
      <c r="K6489">
        <v>1.1053409999999999</v>
      </c>
      <c r="L6489">
        <v>147.40989999999999</v>
      </c>
      <c r="M6489">
        <v>0.97400529999999996</v>
      </c>
      <c r="N6489">
        <v>0</v>
      </c>
      <c r="O6489">
        <v>-0.22605059999999999</v>
      </c>
      <c r="P6489">
        <v>0.98002409999999995</v>
      </c>
      <c r="Q6489">
        <v>6.2949249999999998E-2</v>
      </c>
      <c r="R6489">
        <v>-0.18865380000000001</v>
      </c>
      <c r="S6489">
        <v>2.9644620000000002</v>
      </c>
      <c r="T6489">
        <v>-0.47510170000000002</v>
      </c>
      <c r="U6489">
        <v>-0.65765379999999996</v>
      </c>
      <c r="V6489">
        <v>-3.6840350000000001E-2</v>
      </c>
      <c r="W6489">
        <v>7.8013059999999995E-2</v>
      </c>
      <c r="X6489">
        <v>0.99627140000000003</v>
      </c>
      <c r="Y6489">
        <v>-6.971728E-3</v>
      </c>
      <c r="Z6489">
        <v>3.5675499999999999E-2</v>
      </c>
      <c r="AA6489">
        <v>0.99933910000000004</v>
      </c>
      <c r="AB6489">
        <v>28</v>
      </c>
      <c r="AC6489">
        <v>0.56560000000001698</v>
      </c>
      <c r="AD6489">
        <v>-0.13869529999999899</v>
      </c>
      <c r="AE6489">
        <v>-0.116799999999983</v>
      </c>
      <c r="AF6489">
        <v>-1.33235143953796E-2</v>
      </c>
      <c r="AG6489">
        <v>-0.13869529999999899</v>
      </c>
      <c r="AH6489">
        <v>0.54587989847713903</v>
      </c>
      <c r="AI6489">
        <v>104.251791903563</v>
      </c>
      <c r="AJ6489">
        <v>91.39816397685</v>
      </c>
      <c r="AK6489">
        <v>0.563381545526072</v>
      </c>
      <c r="AL6489">
        <v>85.525634429369205</v>
      </c>
      <c r="AM6489">
        <v>92.117731439263196</v>
      </c>
      <c r="AN6489">
        <v>0.999999975688322</v>
      </c>
    </row>
    <row r="6490" spans="1:40" x14ac:dyDescent="0.25">
      <c r="A6490" t="str">
        <f>"20190312151445805"</f>
        <v>20190312151445805</v>
      </c>
      <c r="B6490" t="str">
        <f>"1552374885797399"</f>
        <v>1552374885797399</v>
      </c>
      <c r="C6490" t="s">
        <v>40</v>
      </c>
      <c r="D6490">
        <v>5.0390129999999997</v>
      </c>
      <c r="E6490">
        <v>0.52401500000000001</v>
      </c>
      <c r="F6490" t="s">
        <v>41</v>
      </c>
      <c r="G6490">
        <v>-148.57749999999999</v>
      </c>
      <c r="H6490">
        <v>0.99346350000000005</v>
      </c>
      <c r="I6490">
        <v>147.19749999999999</v>
      </c>
      <c r="J6490">
        <v>-149.02520000000001</v>
      </c>
      <c r="K6490">
        <v>1.1058539999999999</v>
      </c>
      <c r="L6490">
        <v>147.31549999999999</v>
      </c>
      <c r="M6490">
        <v>0.97227419999999998</v>
      </c>
      <c r="N6490">
        <v>0</v>
      </c>
      <c r="O6490">
        <v>-0.23338780000000001</v>
      </c>
      <c r="P6490">
        <v>0.98132770000000002</v>
      </c>
      <c r="Q6490">
        <v>6.3832669999999994E-2</v>
      </c>
      <c r="R6490">
        <v>-0.18144250000000001</v>
      </c>
      <c r="S6490">
        <v>2.9397579999999999</v>
      </c>
      <c r="T6490">
        <v>-0.4030629</v>
      </c>
      <c r="U6490">
        <v>-0.76512150000000001</v>
      </c>
      <c r="V6490">
        <v>-5.1763450000000003E-2</v>
      </c>
      <c r="W6490">
        <v>7.8939540000000002E-2</v>
      </c>
      <c r="X6490">
        <v>0.99553460000000005</v>
      </c>
      <c r="Y6490">
        <v>2.083778E-2</v>
      </c>
      <c r="Z6490">
        <v>2.9489930000000001E-2</v>
      </c>
      <c r="AA6490">
        <v>0.99934789999999996</v>
      </c>
      <c r="AB6490">
        <v>28</v>
      </c>
      <c r="AC6490">
        <v>0.44770000000002602</v>
      </c>
      <c r="AD6490">
        <v>-0.1123905</v>
      </c>
      <c r="AE6490">
        <v>-0.117999999999994</v>
      </c>
      <c r="AF6490">
        <v>9.6717951773663199E-3</v>
      </c>
      <c r="AG6490">
        <v>-0.1123905</v>
      </c>
      <c r="AH6490">
        <v>0.437118016609507</v>
      </c>
      <c r="AI6490">
        <v>104.416005492819</v>
      </c>
      <c r="AJ6490">
        <v>88.732464421885695</v>
      </c>
      <c r="AK6490">
        <v>0.45143917481409701</v>
      </c>
      <c r="AL6490">
        <v>85.4723870291796</v>
      </c>
      <c r="AM6490">
        <v>92.976449834532204</v>
      </c>
      <c r="AN6490">
        <v>1.0000000227642301</v>
      </c>
    </row>
    <row r="6491" spans="1:40" x14ac:dyDescent="0.25">
      <c r="A6491" t="str">
        <f>"20190312151445862"</f>
        <v>20190312151445862</v>
      </c>
      <c r="B6491" t="str">
        <f>"1552374885856934"</f>
        <v>1552374885856934</v>
      </c>
      <c r="C6491" t="s">
        <v>40</v>
      </c>
      <c r="D6491">
        <v>5.0285760000000002</v>
      </c>
      <c r="E6491">
        <v>0.52748949999999994</v>
      </c>
      <c r="F6491" t="s">
        <v>42</v>
      </c>
      <c r="G6491">
        <v>-130.89760000000001</v>
      </c>
      <c r="H6491" s="1">
        <v>-4.516005E-6</v>
      </c>
      <c r="I6491">
        <v>142.69120000000001</v>
      </c>
      <c r="J6491">
        <v>-148.31700000000001</v>
      </c>
      <c r="K6491">
        <v>1.1071869999999999</v>
      </c>
      <c r="L6491">
        <v>147.12909999999999</v>
      </c>
      <c r="M6491">
        <v>0.96959640000000002</v>
      </c>
      <c r="N6491">
        <v>0</v>
      </c>
      <c r="O6491">
        <v>-0.24428230000000001</v>
      </c>
      <c r="P6491">
        <v>0.98188699999999995</v>
      </c>
      <c r="Q6491">
        <v>6.1303120000000003E-2</v>
      </c>
      <c r="R6491">
        <v>-0.179277399999999</v>
      </c>
      <c r="S6491">
        <v>2.9304960000000002</v>
      </c>
      <c r="T6491">
        <v>-0.17877209999999999</v>
      </c>
      <c r="U6491">
        <v>-0.74755859999999996</v>
      </c>
      <c r="V6491">
        <v>-6.545028E-2</v>
      </c>
      <c r="W6491">
        <v>7.6214069999999995E-2</v>
      </c>
      <c r="X6491">
        <v>0.99494110000000002</v>
      </c>
      <c r="Y6491">
        <v>3.3711639999999998E-3</v>
      </c>
      <c r="Z6491">
        <v>1.4331419999999999E-2</v>
      </c>
      <c r="AA6491">
        <v>0.99989159999999999</v>
      </c>
      <c r="AB6491">
        <v>28</v>
      </c>
      <c r="AC6491">
        <v>17.4193999999999</v>
      </c>
      <c r="AD6491">
        <v>-1.1071915160050001</v>
      </c>
      <c r="AE6491">
        <v>-4.4378999999999804</v>
      </c>
      <c r="AF6491">
        <v>4.7545379215097001E-2</v>
      </c>
      <c r="AG6491">
        <v>-1.1071915160050001</v>
      </c>
      <c r="AH6491">
        <v>17.907828673316999</v>
      </c>
      <c r="AI6491">
        <v>93.537923676199199</v>
      </c>
      <c r="AJ6491">
        <v>89.847879761795497</v>
      </c>
      <c r="AK6491">
        <v>17.9420863170667</v>
      </c>
      <c r="AL6491">
        <v>85.629017181302203</v>
      </c>
      <c r="AM6491">
        <v>93.763669540326006</v>
      </c>
      <c r="AN6491">
        <v>1.0000000580436199</v>
      </c>
    </row>
    <row r="6492" spans="1:40" x14ac:dyDescent="0.25">
      <c r="A6492" t="str">
        <f>"20190312151445894"</f>
        <v>20190312151445894</v>
      </c>
      <c r="B6492" t="str">
        <f>"1552374885887191"</f>
        <v>1552374885887191</v>
      </c>
      <c r="C6492" t="s">
        <v>40</v>
      </c>
      <c r="D6492">
        <v>5.0116569999999996</v>
      </c>
      <c r="E6492">
        <v>0.52846349999999997</v>
      </c>
      <c r="F6492" t="s">
        <v>41</v>
      </c>
      <c r="G6492">
        <v>-147.5874</v>
      </c>
      <c r="H6492">
        <v>1.0236400000000001</v>
      </c>
      <c r="I6492">
        <v>146.93709999999999</v>
      </c>
      <c r="J6492">
        <v>-147.9357</v>
      </c>
      <c r="K6492">
        <v>1.107955</v>
      </c>
      <c r="L6492">
        <v>147.02760000000001</v>
      </c>
      <c r="M6492">
        <v>0.96857629999999995</v>
      </c>
      <c r="N6492">
        <v>0</v>
      </c>
      <c r="O6492">
        <v>-0.2482994</v>
      </c>
      <c r="P6492">
        <v>0.98225039999999997</v>
      </c>
      <c r="Q6492">
        <v>6.4822530000000003E-2</v>
      </c>
      <c r="R6492">
        <v>-0.1760186</v>
      </c>
      <c r="S6492">
        <v>2.9353940000000001</v>
      </c>
      <c r="T6492">
        <v>-0.33614909999999998</v>
      </c>
      <c r="U6492">
        <v>-0.77198789999999995</v>
      </c>
      <c r="V6492">
        <v>-7.2942530000000005E-2</v>
      </c>
      <c r="W6492">
        <v>7.9587909999999998E-2</v>
      </c>
      <c r="X6492">
        <v>0.99415549999999997</v>
      </c>
      <c r="Y6492">
        <v>7.6424419999999898E-3</v>
      </c>
      <c r="Z6492">
        <v>2.700433E-2</v>
      </c>
      <c r="AA6492">
        <v>0.99960610000000005</v>
      </c>
      <c r="AB6492">
        <v>28</v>
      </c>
      <c r="AC6492">
        <v>0.348299999999994</v>
      </c>
      <c r="AD6492">
        <v>-8.4315000000000098E-2</v>
      </c>
      <c r="AE6492">
        <v>-9.0500000000019995E-2</v>
      </c>
      <c r="AF6492">
        <v>1.1125242722842799E-3</v>
      </c>
      <c r="AG6492">
        <v>-8.4315000000000098E-2</v>
      </c>
      <c r="AH6492">
        <v>0.34113696622238898</v>
      </c>
      <c r="AI6492">
        <v>103.882856903156</v>
      </c>
      <c r="AJ6492">
        <v>89.813146255787302</v>
      </c>
      <c r="AK6492">
        <v>0.351403879686425</v>
      </c>
      <c r="AL6492">
        <v>85.435120823954605</v>
      </c>
      <c r="AM6492">
        <v>94.196349260112797</v>
      </c>
      <c r="AN6492">
        <v>1.0000000031406</v>
      </c>
    </row>
    <row r="6493" spans="1:40" x14ac:dyDescent="0.25">
      <c r="A6493" t="str">
        <f>"20190312151445931"</f>
        <v>20190312151445931</v>
      </c>
      <c r="B6493" t="str">
        <f>"1552374885927207"</f>
        <v>1552374885927207</v>
      </c>
      <c r="C6493" t="s">
        <v>40</v>
      </c>
      <c r="D6493">
        <v>5.0939430000000003</v>
      </c>
      <c r="E6493">
        <v>0.52894919999999901</v>
      </c>
      <c r="F6493" t="s">
        <v>41</v>
      </c>
      <c r="G6493">
        <v>-147.10560000000001</v>
      </c>
      <c r="H6493">
        <v>1.0171790000000001</v>
      </c>
      <c r="I6493">
        <v>146.8107</v>
      </c>
      <c r="J6493">
        <v>-147.50020000000001</v>
      </c>
      <c r="K6493">
        <v>1.1087800000000001</v>
      </c>
      <c r="L6493">
        <v>146.91139999999999</v>
      </c>
      <c r="M6493">
        <v>0.96779199999999999</v>
      </c>
      <c r="N6493">
        <v>0</v>
      </c>
      <c r="O6493">
        <v>-0.2513415</v>
      </c>
      <c r="P6493">
        <v>0.98199369999999997</v>
      </c>
      <c r="Q6493">
        <v>6.5642339999999993E-2</v>
      </c>
      <c r="R6493">
        <v>-0.1771422</v>
      </c>
      <c r="S6493">
        <v>2.937897</v>
      </c>
      <c r="T6493">
        <v>-0.3212836</v>
      </c>
      <c r="U6493">
        <v>-0.76744080000000003</v>
      </c>
      <c r="V6493">
        <v>-7.5069460000000005E-2</v>
      </c>
      <c r="W6493">
        <v>8.0209630000000004E-2</v>
      </c>
      <c r="X6493">
        <v>0.99394709999999997</v>
      </c>
      <c r="Y6493">
        <v>2.7614940000000002E-3</v>
      </c>
      <c r="Z6493">
        <v>2.6376989999999999E-2</v>
      </c>
      <c r="AA6493">
        <v>0.99964830000000005</v>
      </c>
      <c r="AB6493">
        <v>28</v>
      </c>
      <c r="AC6493">
        <v>0.39459999999999601</v>
      </c>
      <c r="AD6493">
        <v>-9.1600999999999794E-2</v>
      </c>
      <c r="AE6493">
        <v>-0.10069999999998901</v>
      </c>
      <c r="AF6493">
        <v>-1.63991185851457E-3</v>
      </c>
      <c r="AG6493">
        <v>-9.1600999999999794E-2</v>
      </c>
      <c r="AH6493">
        <v>0.38763154313254899</v>
      </c>
      <c r="AI6493">
        <v>103.295515615677</v>
      </c>
      <c r="AJ6493">
        <v>90.242393761224207</v>
      </c>
      <c r="AK6493">
        <v>0.398310991240795</v>
      </c>
      <c r="AL6493">
        <v>85.399384273149096</v>
      </c>
      <c r="AM6493">
        <v>94.319156194635198</v>
      </c>
      <c r="AN6493">
        <v>0.99999992308391605</v>
      </c>
    </row>
    <row r="6494" spans="1:40" x14ac:dyDescent="0.25">
      <c r="A6494" t="str">
        <f>"20190312151445962"</f>
        <v>20190312151445962</v>
      </c>
      <c r="B6494" t="str">
        <f>"1552374885957463"</f>
        <v>1552374885957463</v>
      </c>
      <c r="C6494" t="s">
        <v>40</v>
      </c>
      <c r="D6494">
        <v>5.046055</v>
      </c>
      <c r="E6494">
        <v>0.52879449999999995</v>
      </c>
      <c r="F6494" t="s">
        <v>41</v>
      </c>
      <c r="G6494">
        <v>-146.62569999999999</v>
      </c>
      <c r="H6494">
        <v>1.01268799999999</v>
      </c>
      <c r="I6494">
        <v>146.68129999999999</v>
      </c>
      <c r="J6494">
        <v>-147.1284</v>
      </c>
      <c r="K6494">
        <v>1.10938799999999</v>
      </c>
      <c r="L6494">
        <v>146.8125</v>
      </c>
      <c r="M6494">
        <v>0.96742980000000001</v>
      </c>
      <c r="N6494">
        <v>0</v>
      </c>
      <c r="O6494">
        <v>-0.2527354</v>
      </c>
      <c r="P6494">
        <v>0.98227469999999995</v>
      </c>
      <c r="Q6494">
        <v>6.5514199999999995E-2</v>
      </c>
      <c r="R6494">
        <v>-0.17562610000000001</v>
      </c>
      <c r="S6494">
        <v>2.9371640000000001</v>
      </c>
      <c r="T6494">
        <v>-0.32278659999999998</v>
      </c>
      <c r="U6494">
        <v>-0.7728119</v>
      </c>
      <c r="V6494">
        <v>-7.8160549999999995E-2</v>
      </c>
      <c r="W6494">
        <v>7.9929189999999997E-2</v>
      </c>
      <c r="X6494">
        <v>0.99373149999999999</v>
      </c>
      <c r="Y6494">
        <v>3.1102600000000001E-3</v>
      </c>
      <c r="Z6494">
        <v>2.6623790000000001E-2</v>
      </c>
      <c r="AA6494">
        <v>0.99964070000000005</v>
      </c>
      <c r="AB6494">
        <v>28</v>
      </c>
      <c r="AC6494">
        <v>0.50270000000000403</v>
      </c>
      <c r="AD6494">
        <v>-9.6699999999999994E-2</v>
      </c>
      <c r="AE6494">
        <v>-0.13120000000000601</v>
      </c>
      <c r="AF6494">
        <v>-1.19179669887892E-4</v>
      </c>
      <c r="AG6494">
        <v>-9.6699999999999994E-2</v>
      </c>
      <c r="AH6494">
        <v>0.50214315062886605</v>
      </c>
      <c r="AI6494">
        <v>100.900271519244</v>
      </c>
      <c r="AJ6494">
        <v>90.013598695813201</v>
      </c>
      <c r="AK6494">
        <v>0.51136938501173301</v>
      </c>
      <c r="AL6494">
        <v>85.415504506552097</v>
      </c>
      <c r="AM6494">
        <v>94.497260071324206</v>
      </c>
      <c r="AN6494">
        <v>1.0000000205413</v>
      </c>
    </row>
    <row r="6495" spans="1:40" x14ac:dyDescent="0.25">
      <c r="A6495" t="str">
        <f>"20190312151446007"</f>
        <v>20190312151446007</v>
      </c>
      <c r="B6495" t="str">
        <f>"1552374885997479"</f>
        <v>1552374885997479</v>
      </c>
      <c r="C6495" t="s">
        <v>40</v>
      </c>
      <c r="D6495">
        <v>5.0054959999999999</v>
      </c>
      <c r="E6495">
        <v>0.52812619999999999</v>
      </c>
      <c r="F6495" t="s">
        <v>41</v>
      </c>
      <c r="G6495">
        <v>-146.37860000000001</v>
      </c>
      <c r="H6495">
        <v>1.0260180000000001</v>
      </c>
      <c r="I6495">
        <v>146.61680000000001</v>
      </c>
      <c r="J6495">
        <v>-146.5932</v>
      </c>
      <c r="K6495">
        <v>1.1102129999999999</v>
      </c>
      <c r="L6495">
        <v>146.6713</v>
      </c>
      <c r="M6495">
        <v>0.96736920000000004</v>
      </c>
      <c r="N6495">
        <v>0</v>
      </c>
      <c r="O6495">
        <v>-0.25297039999999998</v>
      </c>
      <c r="P6495">
        <v>0.98264459999999998</v>
      </c>
      <c r="Q6495">
        <v>6.6293909999999998E-2</v>
      </c>
      <c r="R6495">
        <v>-0.1732486</v>
      </c>
      <c r="S6495">
        <v>2.9387509999999999</v>
      </c>
      <c r="T6495">
        <v>-0.32670379999999999</v>
      </c>
      <c r="U6495">
        <v>-0.76731870000000002</v>
      </c>
      <c r="V6495">
        <v>-8.0956970000000003E-2</v>
      </c>
      <c r="W6495">
        <v>8.0493839999999997E-2</v>
      </c>
      <c r="X6495">
        <v>0.99346199999999996</v>
      </c>
      <c r="Y6495">
        <v>1.031768E-3</v>
      </c>
      <c r="Z6495">
        <v>2.707669E-2</v>
      </c>
      <c r="AA6495">
        <v>0.99963279999999999</v>
      </c>
      <c r="AB6495">
        <v>28</v>
      </c>
      <c r="AC6495">
        <v>0.21459999999998999</v>
      </c>
      <c r="AD6495">
        <v>-8.4194999999999798E-2</v>
      </c>
      <c r="AE6495">
        <v>-5.4499999999990202E-2</v>
      </c>
      <c r="AF6495">
        <v>-1.36815034407006E-3</v>
      </c>
      <c r="AG6495">
        <v>-8.4194999999999798E-2</v>
      </c>
      <c r="AH6495">
        <v>0.19343588912579801</v>
      </c>
      <c r="AI6495">
        <v>113.52106481474399</v>
      </c>
      <c r="AJ6495">
        <v>90.405239863647296</v>
      </c>
      <c r="AK6495">
        <v>0.21096946002265801</v>
      </c>
      <c r="AL6495">
        <v>85.383047850474597</v>
      </c>
      <c r="AM6495">
        <v>94.658724735144602</v>
      </c>
      <c r="AN6495">
        <v>1.00000001735676</v>
      </c>
    </row>
    <row r="6496" spans="1:40" x14ac:dyDescent="0.25">
      <c r="A6496" t="str">
        <f>"20190312151446037"</f>
        <v>20190312151446037</v>
      </c>
      <c r="B6496" t="str">
        <f>"1552374886026759"</f>
        <v>1552374886026759</v>
      </c>
      <c r="C6496" t="s">
        <v>40</v>
      </c>
      <c r="D6496">
        <v>4.9839830000000003</v>
      </c>
      <c r="E6496">
        <v>0.52765859999999998</v>
      </c>
      <c r="F6496" t="s">
        <v>41</v>
      </c>
      <c r="G6496">
        <v>-145.66829999999999</v>
      </c>
      <c r="H6496">
        <v>1.0043949999999999</v>
      </c>
      <c r="I6496">
        <v>146.4342</v>
      </c>
      <c r="J6496">
        <v>-146.22</v>
      </c>
      <c r="K6496">
        <v>1.110762</v>
      </c>
      <c r="L6496">
        <v>146.5744</v>
      </c>
      <c r="M6496">
        <v>0.9676264</v>
      </c>
      <c r="N6496">
        <v>0</v>
      </c>
      <c r="O6496">
        <v>-0.25198549999999997</v>
      </c>
      <c r="P6496">
        <v>0.98314630000000003</v>
      </c>
      <c r="Q6496">
        <v>6.7844260000000003E-2</v>
      </c>
      <c r="R6496">
        <v>-0.16976569999999999</v>
      </c>
      <c r="S6496">
        <v>2.9427639999999999</v>
      </c>
      <c r="T6496">
        <v>-0.33675159999999998</v>
      </c>
      <c r="U6496">
        <v>-0.75407409999999997</v>
      </c>
      <c r="V6496">
        <v>-8.3549219999999993E-2</v>
      </c>
      <c r="W6496">
        <v>8.1905370000000005E-2</v>
      </c>
      <c r="X6496">
        <v>0.99313189999999996</v>
      </c>
      <c r="Y6496">
        <v>-2.3998700000000001E-3</v>
      </c>
      <c r="Z6496">
        <v>2.7973629999999999E-2</v>
      </c>
      <c r="AA6496">
        <v>0.99960579999999999</v>
      </c>
      <c r="AB6496">
        <v>28</v>
      </c>
      <c r="AC6496">
        <v>0.55170000000001096</v>
      </c>
      <c r="AD6496">
        <v>-0.106366999999999</v>
      </c>
      <c r="AE6496">
        <v>-0.140199999999993</v>
      </c>
      <c r="AF6496">
        <v>-3.2461742975842798E-3</v>
      </c>
      <c r="AG6496">
        <v>-0.106366999999999</v>
      </c>
      <c r="AH6496">
        <v>0.55002070851302698</v>
      </c>
      <c r="AI6496">
        <v>100.944978030979</v>
      </c>
      <c r="AJ6496">
        <v>90.338150772241903</v>
      </c>
      <c r="AK6496">
        <v>0.56022072090359398</v>
      </c>
      <c r="AL6496">
        <v>85.301904948490602</v>
      </c>
      <c r="AM6496">
        <v>94.808799578198105</v>
      </c>
      <c r="AN6496">
        <v>0.99999996629752697</v>
      </c>
    </row>
    <row r="6497" spans="1:40" x14ac:dyDescent="0.25">
      <c r="A6497" t="str">
        <f>"20190312151446060"</f>
        <v>20190312151446060</v>
      </c>
      <c r="B6497" t="str">
        <f>"1552374886057015"</f>
        <v>1552374886057015</v>
      </c>
      <c r="C6497" t="s">
        <v>40</v>
      </c>
      <c r="D6497">
        <v>5.0954480000000002</v>
      </c>
      <c r="E6497">
        <v>0.52700139999999995</v>
      </c>
      <c r="F6497" t="s">
        <v>41</v>
      </c>
      <c r="G6497">
        <v>-145.42099999999999</v>
      </c>
      <c r="H6497">
        <v>1.0193110000000001</v>
      </c>
      <c r="I6497">
        <v>146.374</v>
      </c>
      <c r="J6497">
        <v>-145.9385</v>
      </c>
      <c r="K6497">
        <v>1.1111169999999999</v>
      </c>
      <c r="L6497">
        <v>146.50210000000001</v>
      </c>
      <c r="M6497">
        <v>0.96793220000000002</v>
      </c>
      <c r="N6497">
        <v>0</v>
      </c>
      <c r="O6497">
        <v>-0.25080999999999998</v>
      </c>
      <c r="P6497">
        <v>0.98345329999999997</v>
      </c>
      <c r="Q6497">
        <v>7.035044E-2</v>
      </c>
      <c r="R6497">
        <v>-0.1669446</v>
      </c>
      <c r="S6497">
        <v>2.9470519999999998</v>
      </c>
      <c r="T6497">
        <v>-0.337310099999999</v>
      </c>
      <c r="U6497">
        <v>-0.73913569999999995</v>
      </c>
      <c r="V6497">
        <v>-8.5222510000000001E-2</v>
      </c>
      <c r="W6497">
        <v>8.4315989999999993E-2</v>
      </c>
      <c r="X6497">
        <v>0.992788</v>
      </c>
      <c r="Y6497">
        <v>-6.2762529999999999E-3</v>
      </c>
      <c r="Z6497">
        <v>2.809292E-2</v>
      </c>
      <c r="AA6497">
        <v>0.99958559999999996</v>
      </c>
      <c r="AB6497">
        <v>28</v>
      </c>
      <c r="AC6497">
        <v>0.51750000000001195</v>
      </c>
      <c r="AD6497">
        <v>-9.1805999999999804E-2</v>
      </c>
      <c r="AE6497">
        <v>-0.12810000000001701</v>
      </c>
      <c r="AF6497">
        <v>-5.6355251968478797E-3</v>
      </c>
      <c r="AG6497">
        <v>-9.1805999999999804E-2</v>
      </c>
      <c r="AH6497">
        <v>0.51773415135802403</v>
      </c>
      <c r="AI6497">
        <v>100.05473542005301</v>
      </c>
      <c r="AJ6497">
        <v>90.623638708799803</v>
      </c>
      <c r="AK6497">
        <v>0.52584099522826999</v>
      </c>
      <c r="AL6497">
        <v>85.163307399422706</v>
      </c>
      <c r="AM6497">
        <v>94.906333722833693</v>
      </c>
      <c r="AN6497">
        <v>1.00000003766218</v>
      </c>
    </row>
    <row r="6498" spans="1:40" x14ac:dyDescent="0.25">
      <c r="A6498" t="str">
        <f>"20190312151446095"</f>
        <v>20190312151446095</v>
      </c>
      <c r="B6498" t="str">
        <f>"1552374886087274"</f>
        <v>1552374886087274</v>
      </c>
      <c r="C6498" t="s">
        <v>40</v>
      </c>
      <c r="D6498">
        <v>4.9579319999999996</v>
      </c>
      <c r="E6498">
        <v>0.52790800000000004</v>
      </c>
      <c r="F6498" t="s">
        <v>41</v>
      </c>
      <c r="G6498">
        <v>-145.17789999999999</v>
      </c>
      <c r="H6498">
        <v>1.026116</v>
      </c>
      <c r="I6498">
        <v>146.31489999999999</v>
      </c>
      <c r="J6498">
        <v>-145.5335</v>
      </c>
      <c r="K6498">
        <v>1.1115999999999999</v>
      </c>
      <c r="L6498">
        <v>146.3997</v>
      </c>
      <c r="M6498">
        <v>0.96857939999999998</v>
      </c>
      <c r="N6498">
        <v>0</v>
      </c>
      <c r="O6498">
        <v>-0.24829989999999999</v>
      </c>
      <c r="P6498">
        <v>0.98441190000000001</v>
      </c>
      <c r="Q6498">
        <v>7.3768920000000002E-2</v>
      </c>
      <c r="R6498">
        <v>-0.15966179999999999</v>
      </c>
      <c r="S6498">
        <v>2.9508670000000001</v>
      </c>
      <c r="T6498">
        <v>-0.32989299999999999</v>
      </c>
      <c r="U6498">
        <v>-0.72581479999999998</v>
      </c>
      <c r="V6498">
        <v>-9.0043979999999996E-2</v>
      </c>
      <c r="W6498">
        <v>8.7593989999999997E-2</v>
      </c>
      <c r="X6498">
        <v>0.99207829999999997</v>
      </c>
      <c r="Y6498">
        <v>-8.3093249999999994E-3</v>
      </c>
      <c r="Z6498">
        <v>2.730989E-2</v>
      </c>
      <c r="AA6498">
        <v>0.99959249999999999</v>
      </c>
      <c r="AB6498">
        <v>28</v>
      </c>
      <c r="AC6498">
        <v>0.35560000000000902</v>
      </c>
      <c r="AD6498">
        <v>-8.5483999999999893E-2</v>
      </c>
      <c r="AE6498">
        <v>-8.4800000000001305E-2</v>
      </c>
      <c r="AF6498">
        <v>-5.8411395779788501E-3</v>
      </c>
      <c r="AG6498">
        <v>-8.5483999999999893E-2</v>
      </c>
      <c r="AH6498">
        <v>0.346569155864418</v>
      </c>
      <c r="AI6498">
        <v>103.853983118945</v>
      </c>
      <c r="AJ6498">
        <v>90.965582065457298</v>
      </c>
      <c r="AK6498">
        <v>0.357003939703955</v>
      </c>
      <c r="AL6498">
        <v>84.974793827591697</v>
      </c>
      <c r="AM6498">
        <v>95.186125712952602</v>
      </c>
      <c r="AN6498">
        <v>0.99999998937462498</v>
      </c>
    </row>
    <row r="6499" spans="1:40" x14ac:dyDescent="0.25">
      <c r="A6499" t="str">
        <f>"20190312151446123"</f>
        <v>20190312151446123</v>
      </c>
      <c r="B6499" t="str">
        <f>"1552374886117527"</f>
        <v>1552374886117527</v>
      </c>
      <c r="C6499" t="s">
        <v>40</v>
      </c>
      <c r="D6499">
        <v>5.1043849999999997</v>
      </c>
      <c r="E6499">
        <v>0.52826619999999902</v>
      </c>
      <c r="F6499" t="s">
        <v>41</v>
      </c>
      <c r="G6499">
        <v>-144.70179999999999</v>
      </c>
      <c r="H6499">
        <v>1.022089</v>
      </c>
      <c r="I6499">
        <v>146.1995</v>
      </c>
      <c r="J6499">
        <v>-145.19290000000001</v>
      </c>
      <c r="K6499">
        <v>1.111942</v>
      </c>
      <c r="L6499">
        <v>146.3152</v>
      </c>
      <c r="M6499">
        <v>0.96925810000000001</v>
      </c>
      <c r="N6499">
        <v>0</v>
      </c>
      <c r="O6499">
        <v>-0.2456383</v>
      </c>
      <c r="P6499">
        <v>0.98513539999999999</v>
      </c>
      <c r="Q6499">
        <v>7.5298530000000002E-2</v>
      </c>
      <c r="R6499">
        <v>-0.15439800000000001</v>
      </c>
      <c r="S6499">
        <v>2.9560390000000001</v>
      </c>
      <c r="T6499">
        <v>-0.31831369999999998</v>
      </c>
      <c r="U6499">
        <v>-0.71105959999999901</v>
      </c>
      <c r="V6499">
        <v>-9.2674859999999998E-2</v>
      </c>
      <c r="W6499">
        <v>8.9023199999999997E-2</v>
      </c>
      <c r="X6499">
        <v>0.99170879999999995</v>
      </c>
      <c r="Y6499">
        <v>-1.0782730000000001E-2</v>
      </c>
      <c r="Z6499">
        <v>2.6191349999999999E-2</v>
      </c>
      <c r="AA6499">
        <v>0.99959880000000001</v>
      </c>
      <c r="AB6499">
        <v>28</v>
      </c>
      <c r="AC6499">
        <v>0.49110000000001702</v>
      </c>
      <c r="AD6499">
        <v>-8.9852999999999905E-2</v>
      </c>
      <c r="AE6499">
        <v>-0.11570000000000299</v>
      </c>
      <c r="AF6499">
        <v>-8.2296546173541794E-3</v>
      </c>
      <c r="AG6499">
        <v>-8.9852999999999905E-2</v>
      </c>
      <c r="AH6499">
        <v>0.488966018348517</v>
      </c>
      <c r="AI6499">
        <v>100.41113355024</v>
      </c>
      <c r="AJ6499">
        <v>90.964238705439996</v>
      </c>
      <c r="AK6499">
        <v>0.49722133494423099</v>
      </c>
      <c r="AL6499">
        <v>84.8925852621025</v>
      </c>
      <c r="AM6499">
        <v>95.338766841657105</v>
      </c>
      <c r="AN6499">
        <v>1.0000000519058401</v>
      </c>
    </row>
    <row r="6500" spans="1:40" x14ac:dyDescent="0.25">
      <c r="A6500" t="str">
        <f>"20190312151446147"</f>
        <v>20190312151446147</v>
      </c>
      <c r="B6500" t="str">
        <f>"1552374886137047"</f>
        <v>1552374886137047</v>
      </c>
      <c r="C6500" t="s">
        <v>40</v>
      </c>
      <c r="D6500">
        <v>4.9778769999999897</v>
      </c>
      <c r="E6500">
        <v>0.52857699999999996</v>
      </c>
      <c r="F6500" t="s">
        <v>41</v>
      </c>
      <c r="G6500">
        <v>-144.45169999999999</v>
      </c>
      <c r="H6500">
        <v>1.035598</v>
      </c>
      <c r="I6500">
        <v>146.1404</v>
      </c>
      <c r="J6500">
        <v>-144.91370000000001</v>
      </c>
      <c r="K6500">
        <v>1.112169</v>
      </c>
      <c r="L6500">
        <v>146.24719999999999</v>
      </c>
      <c r="M6500">
        <v>0.96987590000000001</v>
      </c>
      <c r="N6500">
        <v>0</v>
      </c>
      <c r="O6500">
        <v>-0.2431873</v>
      </c>
      <c r="P6500">
        <v>0.98580129999999999</v>
      </c>
      <c r="Q6500">
        <v>7.5860339999999998E-2</v>
      </c>
      <c r="R6500">
        <v>-0.1498033</v>
      </c>
      <c r="S6500">
        <v>2.9592290000000001</v>
      </c>
      <c r="T6500">
        <v>-0.30483559999999998</v>
      </c>
      <c r="U6500">
        <v>-0.69772339999999999</v>
      </c>
      <c r="V6500">
        <v>-9.4831970000000002E-2</v>
      </c>
      <c r="W6500">
        <v>8.951713E-2</v>
      </c>
      <c r="X6500">
        <v>0.99146029999999996</v>
      </c>
      <c r="Y6500">
        <v>-1.287783E-2</v>
      </c>
      <c r="Z6500">
        <v>2.4945149999999999E-2</v>
      </c>
      <c r="AA6500">
        <v>0.99960590000000005</v>
      </c>
      <c r="AB6500">
        <v>28</v>
      </c>
      <c r="AC6500">
        <v>0.46200000000001701</v>
      </c>
      <c r="AD6500">
        <v>-7.6570999999999903E-2</v>
      </c>
      <c r="AE6500">
        <v>-0.106799999999992</v>
      </c>
      <c r="AF6500">
        <v>-8.54777762496115E-3</v>
      </c>
      <c r="AG6500">
        <v>-7.6570999999999903E-2</v>
      </c>
      <c r="AH6500">
        <v>0.46205427290557299</v>
      </c>
      <c r="AI6500">
        <v>99.407882616409907</v>
      </c>
      <c r="AJ6500">
        <v>91.059822953229201</v>
      </c>
      <c r="AK6500">
        <v>0.46843391599415901</v>
      </c>
      <c r="AL6500">
        <v>84.864171308935497</v>
      </c>
      <c r="AM6500">
        <v>95.463650227337595</v>
      </c>
      <c r="AN6500">
        <v>0.99999997278680297</v>
      </c>
    </row>
    <row r="6501" spans="1:40" x14ac:dyDescent="0.25">
      <c r="A6501" t="str">
        <f>"20190312151446170"</f>
        <v>20190312151446170</v>
      </c>
      <c r="B6501" t="str">
        <f>"1552374886167303"</f>
        <v>1552374886167303</v>
      </c>
      <c r="C6501" t="s">
        <v>40</v>
      </c>
      <c r="D6501">
        <v>5.142614</v>
      </c>
      <c r="E6501">
        <v>0.52885509999999902</v>
      </c>
      <c r="F6501" t="s">
        <v>41</v>
      </c>
      <c r="G6501">
        <v>-143.98750000000001</v>
      </c>
      <c r="H6501">
        <v>1.0185599999999999</v>
      </c>
      <c r="I6501">
        <v>146.0326</v>
      </c>
      <c r="J6501">
        <v>-144.6405</v>
      </c>
      <c r="K6501">
        <v>1.112312</v>
      </c>
      <c r="L6501">
        <v>146.1816</v>
      </c>
      <c r="M6501">
        <v>0.97051759999999998</v>
      </c>
      <c r="N6501">
        <v>0</v>
      </c>
      <c r="O6501">
        <v>-0.2406142</v>
      </c>
      <c r="P6501">
        <v>0.98636670000000004</v>
      </c>
      <c r="Q6501">
        <v>7.7014769999999996E-2</v>
      </c>
      <c r="R6501">
        <v>-0.1454289</v>
      </c>
      <c r="S6501">
        <v>2.9619599999999999</v>
      </c>
      <c r="T6501">
        <v>-0.29932629999999999</v>
      </c>
      <c r="U6501">
        <v>-0.68630979999999997</v>
      </c>
      <c r="V6501">
        <v>-9.6615809999999996E-2</v>
      </c>
      <c r="W6501">
        <v>9.0621259999999995E-2</v>
      </c>
      <c r="X6501">
        <v>0.99118779999999995</v>
      </c>
      <c r="Y6501">
        <v>-1.413527E-2</v>
      </c>
      <c r="Z6501">
        <v>2.430386E-2</v>
      </c>
      <c r="AA6501">
        <v>0.99960470000000001</v>
      </c>
      <c r="AB6501">
        <v>28</v>
      </c>
      <c r="AC6501">
        <v>0.65299999999999103</v>
      </c>
      <c r="AD6501">
        <v>-9.3752000000000002E-2</v>
      </c>
      <c r="AE6501">
        <v>-0.14899999999999999</v>
      </c>
      <c r="AF6501">
        <v>-1.2274710723411599E-2</v>
      </c>
      <c r="AG6501">
        <v>-9.3752000000000002E-2</v>
      </c>
      <c r="AH6501">
        <v>0.65679822416149203</v>
      </c>
      <c r="AI6501">
        <v>98.122178468765696</v>
      </c>
      <c r="AJ6501">
        <v>91.070659498952594</v>
      </c>
      <c r="AK6501">
        <v>0.66356914733058003</v>
      </c>
      <c r="AL6501">
        <v>84.800651494365198</v>
      </c>
      <c r="AM6501">
        <v>95.567305524998503</v>
      </c>
      <c r="AN6501">
        <v>1.0000000411873899</v>
      </c>
    </row>
    <row r="6502" spans="1:40" x14ac:dyDescent="0.25">
      <c r="A6502" t="str">
        <f>"20190312151446207"</f>
        <v>20190312151446207</v>
      </c>
      <c r="B6502" t="str">
        <f>"1552374886197560"</f>
        <v>1552374886197560</v>
      </c>
      <c r="C6502" t="s">
        <v>40</v>
      </c>
      <c r="D6502">
        <v>4.991905</v>
      </c>
      <c r="E6502">
        <v>0.52918739999999997</v>
      </c>
      <c r="F6502" t="s">
        <v>41</v>
      </c>
      <c r="G6502">
        <v>-143.74619999999999</v>
      </c>
      <c r="H6502">
        <v>1.024645</v>
      </c>
      <c r="I6502">
        <v>145.9778</v>
      </c>
      <c r="J6502">
        <v>-144.19640000000001</v>
      </c>
      <c r="K6502">
        <v>1.1124149999999999</v>
      </c>
      <c r="L6502">
        <v>146.07679999999999</v>
      </c>
      <c r="M6502">
        <v>0.97159070000000003</v>
      </c>
      <c r="N6502">
        <v>0</v>
      </c>
      <c r="O6502">
        <v>-0.23624490000000001</v>
      </c>
      <c r="P6502">
        <v>0.98664470000000004</v>
      </c>
      <c r="Q6502">
        <v>7.8804520000000003E-2</v>
      </c>
      <c r="R6502">
        <v>-0.14255709999999999</v>
      </c>
      <c r="S6502">
        <v>2.9646150000000002</v>
      </c>
      <c r="T6502">
        <v>-0.29068680000000002</v>
      </c>
      <c r="U6502">
        <v>-0.67526249999999999</v>
      </c>
      <c r="V6502">
        <v>-9.5035339999999996E-2</v>
      </c>
      <c r="W6502">
        <v>9.2382430000000001E-2</v>
      </c>
      <c r="X6502">
        <v>0.991178</v>
      </c>
      <c r="Y6502">
        <v>-1.3461829999999999E-2</v>
      </c>
      <c r="Z6502">
        <v>2.3157759999999999E-2</v>
      </c>
      <c r="AA6502">
        <v>0.99964120000000001</v>
      </c>
      <c r="AB6502">
        <v>27</v>
      </c>
      <c r="AC6502">
        <v>0.45020000000002303</v>
      </c>
      <c r="AD6502">
        <v>-8.7769999999999904E-2</v>
      </c>
      <c r="AE6502">
        <v>-9.8999999999989499E-2</v>
      </c>
      <c r="AF6502">
        <v>-9.8151398543098803E-3</v>
      </c>
      <c r="AG6502">
        <v>-8.7769999999999904E-2</v>
      </c>
      <c r="AH6502">
        <v>0.44472092304736999</v>
      </c>
      <c r="AI6502">
        <v>101.16175088732599</v>
      </c>
      <c r="AJ6502">
        <v>91.264331802416606</v>
      </c>
      <c r="AK6502">
        <v>0.45340556819084599</v>
      </c>
      <c r="AL6502">
        <v>84.6993187091755</v>
      </c>
      <c r="AM6502">
        <v>95.476846013771194</v>
      </c>
      <c r="AN6502">
        <v>1.0000000284527999</v>
      </c>
    </row>
    <row r="6503" spans="1:40" x14ac:dyDescent="0.25">
      <c r="A6503" t="str">
        <f>"20190312151446238"</f>
        <v>20190312151446238</v>
      </c>
      <c r="B6503" t="str">
        <f>"1552374886226839"</f>
        <v>1552374886226839</v>
      </c>
      <c r="C6503" t="s">
        <v>40</v>
      </c>
      <c r="D6503">
        <v>4.9031779999999996</v>
      </c>
      <c r="E6503">
        <v>0.52928599999999904</v>
      </c>
      <c r="F6503" t="s">
        <v>41</v>
      </c>
      <c r="G6503">
        <v>-143.27119999999999</v>
      </c>
      <c r="H6503">
        <v>1.023971</v>
      </c>
      <c r="I6503">
        <v>145.86850000000001</v>
      </c>
      <c r="J6503">
        <v>-143.82910000000001</v>
      </c>
      <c r="K6503">
        <v>1.1124320000000001</v>
      </c>
      <c r="L6503">
        <v>145.99189999999999</v>
      </c>
      <c r="M6503">
        <v>0.9724718</v>
      </c>
      <c r="N6503">
        <v>0</v>
      </c>
      <c r="O6503">
        <v>-0.2325914</v>
      </c>
      <c r="P6503">
        <v>0.98700200000000005</v>
      </c>
      <c r="Q6503">
        <v>7.9577490000000001E-2</v>
      </c>
      <c r="R6503">
        <v>-0.13962279999999999</v>
      </c>
      <c r="S6503">
        <v>2.9667819999999998</v>
      </c>
      <c r="T6503">
        <v>-0.28370790000000001</v>
      </c>
      <c r="U6503">
        <v>-0.66767880000000002</v>
      </c>
      <c r="V6503">
        <v>-9.4246830000000004E-2</v>
      </c>
      <c r="W6503">
        <v>9.3147779999999999E-2</v>
      </c>
      <c r="X6503">
        <v>0.9911816</v>
      </c>
      <c r="Y6503">
        <v>-1.236516E-2</v>
      </c>
      <c r="Z6503">
        <v>2.2211970000000001E-2</v>
      </c>
      <c r="AA6503">
        <v>0.99967680000000003</v>
      </c>
      <c r="AB6503">
        <v>27</v>
      </c>
      <c r="AC6503">
        <v>0.55790000000001705</v>
      </c>
      <c r="AD6503">
        <v>-8.8460999999999901E-2</v>
      </c>
      <c r="AE6503">
        <v>-0.123399999999975</v>
      </c>
      <c r="AF6503">
        <v>-9.5322209250112803E-3</v>
      </c>
      <c r="AG6503">
        <v>-8.8460999999999901E-2</v>
      </c>
      <c r="AH6503">
        <v>0.55792799208661004</v>
      </c>
      <c r="AI6503">
        <v>99.008112380093905</v>
      </c>
      <c r="AJ6503">
        <v>90.978805338193496</v>
      </c>
      <c r="AK6503">
        <v>0.56497774833223302</v>
      </c>
      <c r="AL6503">
        <v>84.655277161105801</v>
      </c>
      <c r="AM6503">
        <v>95.431657806647607</v>
      </c>
      <c r="AN6503">
        <v>0.99999996903126798</v>
      </c>
    </row>
    <row r="6504" spans="1:40" x14ac:dyDescent="0.25">
      <c r="A6504" t="str">
        <f>"20190312151446274"</f>
        <v>20190312151446274</v>
      </c>
      <c r="B6504" t="str">
        <f>"1552374886266855"</f>
        <v>1552374886266855</v>
      </c>
      <c r="C6504" t="s">
        <v>40</v>
      </c>
      <c r="D6504">
        <v>5.021185</v>
      </c>
      <c r="E6504">
        <v>0.52981099999999903</v>
      </c>
      <c r="F6504" t="s">
        <v>41</v>
      </c>
      <c r="G6504">
        <v>-143.01900000000001</v>
      </c>
      <c r="H6504">
        <v>1.036629</v>
      </c>
      <c r="I6504">
        <v>145.81219999999999</v>
      </c>
      <c r="J6504">
        <v>-143.40389999999999</v>
      </c>
      <c r="K6504">
        <v>1.1124240000000001</v>
      </c>
      <c r="L6504">
        <v>145.8954</v>
      </c>
      <c r="M6504">
        <v>0.97345979999999999</v>
      </c>
      <c r="N6504">
        <v>0</v>
      </c>
      <c r="O6504">
        <v>-0.2284214</v>
      </c>
      <c r="P6504">
        <v>0.98725680000000005</v>
      </c>
      <c r="Q6504">
        <v>8.2681749999999998E-2</v>
      </c>
      <c r="R6504">
        <v>-0.13596920000000001</v>
      </c>
      <c r="S6504">
        <v>2.9687039999999998</v>
      </c>
      <c r="T6504">
        <v>-0.27773520000000002</v>
      </c>
      <c r="U6504">
        <v>-0.65881350000000005</v>
      </c>
      <c r="V6504">
        <v>-9.3618380000000001E-2</v>
      </c>
      <c r="W6504">
        <v>9.6245159999999996E-2</v>
      </c>
      <c r="X6504">
        <v>0.99094519999999997</v>
      </c>
      <c r="Y6504">
        <v>-1.1126540000000001E-2</v>
      </c>
      <c r="Z6504">
        <v>2.1312439999999998E-2</v>
      </c>
      <c r="AA6504">
        <v>0.99971100000000002</v>
      </c>
      <c r="AB6504">
        <v>27</v>
      </c>
      <c r="AC6504">
        <v>0.38489999999998697</v>
      </c>
      <c r="AD6504">
        <v>-7.5795000000000001E-2</v>
      </c>
      <c r="AE6504">
        <v>-8.3200000000005006E-2</v>
      </c>
      <c r="AF6504">
        <v>-6.68073240045477E-3</v>
      </c>
      <c r="AG6504">
        <v>-7.5795000000000001E-2</v>
      </c>
      <c r="AH6504">
        <v>0.37966327776639103</v>
      </c>
      <c r="AI6504">
        <v>101.28825358287899</v>
      </c>
      <c r="AJ6504">
        <v>91.008099263580803</v>
      </c>
      <c r="AK6504">
        <v>0.38721275636880298</v>
      </c>
      <c r="AL6504">
        <v>84.477009131989902</v>
      </c>
      <c r="AM6504">
        <v>95.396932867470895</v>
      </c>
      <c r="AN6504">
        <v>0.99999996065014396</v>
      </c>
    </row>
    <row r="6505" spans="1:40" x14ac:dyDescent="0.25">
      <c r="A6505" t="str">
        <f>"20190312151446301"</f>
        <v>20190312151446301</v>
      </c>
      <c r="B6505" t="str">
        <f>"1552374886297111"</f>
        <v>1552374886297111</v>
      </c>
      <c r="C6505" t="s">
        <v>40</v>
      </c>
      <c r="D6505">
        <v>5.0134970000000001</v>
      </c>
      <c r="E6505">
        <v>0.53016070000000004</v>
      </c>
      <c r="F6505" t="s">
        <v>41</v>
      </c>
      <c r="G6505">
        <v>-142.5506</v>
      </c>
      <c r="H6505">
        <v>1.035031</v>
      </c>
      <c r="I6505">
        <v>145.70849999999999</v>
      </c>
      <c r="J6505">
        <v>-143.0746</v>
      </c>
      <c r="K6505">
        <v>1.112419</v>
      </c>
      <c r="L6505">
        <v>145.8219</v>
      </c>
      <c r="M6505">
        <v>0.97419979999999995</v>
      </c>
      <c r="N6505">
        <v>0</v>
      </c>
      <c r="O6505">
        <v>-0.2252459</v>
      </c>
      <c r="P6505">
        <v>0.9873828</v>
      </c>
      <c r="Q6505">
        <v>8.5304859999999996E-2</v>
      </c>
      <c r="R6505">
        <v>-0.13341229999999901</v>
      </c>
      <c r="S6505">
        <v>2.9716339999999999</v>
      </c>
      <c r="T6505">
        <v>-0.26947759999999998</v>
      </c>
      <c r="U6505">
        <v>-0.65092469999999902</v>
      </c>
      <c r="V6505">
        <v>-9.2911590000000002E-2</v>
      </c>
      <c r="W6505">
        <v>9.8865209999999995E-2</v>
      </c>
      <c r="X6505">
        <v>0.99075380000000002</v>
      </c>
      <c r="Y6505">
        <v>-1.0676720000000001E-2</v>
      </c>
      <c r="Z6505">
        <v>2.0373849999999999E-2</v>
      </c>
      <c r="AA6505">
        <v>0.99973540000000005</v>
      </c>
      <c r="AB6505">
        <v>27</v>
      </c>
      <c r="AC6505">
        <v>0.52400000000000002</v>
      </c>
      <c r="AD6505">
        <v>-7.7387999999999998E-2</v>
      </c>
      <c r="AE6505">
        <v>-0.11340000000001201</v>
      </c>
      <c r="AF6505">
        <v>-7.4011387741718896E-3</v>
      </c>
      <c r="AG6505">
        <v>-7.7387999999999998E-2</v>
      </c>
      <c r="AH6505">
        <v>0.52513540194235098</v>
      </c>
      <c r="AI6505">
        <v>98.3823877888249</v>
      </c>
      <c r="AJ6505">
        <v>90.807460209095296</v>
      </c>
      <c r="AK6505">
        <v>0.53085861561465597</v>
      </c>
      <c r="AL6505">
        <v>84.326171980665407</v>
      </c>
      <c r="AM6505">
        <v>95.357454333401805</v>
      </c>
      <c r="AN6505">
        <v>0.99999999275955598</v>
      </c>
    </row>
    <row r="6506" spans="1:40" x14ac:dyDescent="0.25">
      <c r="A6506" t="str">
        <f>"20190312151446324"</f>
        <v>20190312151446324</v>
      </c>
      <c r="B6506" t="str">
        <f>"1552374886316631"</f>
        <v>1552374886316631</v>
      </c>
      <c r="C6506" t="s">
        <v>40</v>
      </c>
      <c r="D6506">
        <v>5.1575309999999996</v>
      </c>
      <c r="E6506">
        <v>0.530308</v>
      </c>
      <c r="F6506" t="s">
        <v>42</v>
      </c>
      <c r="G6506">
        <v>-130.62260000000001</v>
      </c>
      <c r="H6506" s="1">
        <v>-4.6851759999999998E-6</v>
      </c>
      <c r="I6506">
        <v>143.1172</v>
      </c>
      <c r="J6506">
        <v>-142.80699999999999</v>
      </c>
      <c r="K6506">
        <v>1.1124179999999999</v>
      </c>
      <c r="L6506">
        <v>145.76300000000001</v>
      </c>
      <c r="M6506">
        <v>0.97478869999999895</v>
      </c>
      <c r="N6506">
        <v>0</v>
      </c>
      <c r="O6506">
        <v>-0.22268379999999999</v>
      </c>
      <c r="P6506">
        <v>0.987514</v>
      </c>
      <c r="Q6506">
        <v>8.786033E-2</v>
      </c>
      <c r="R6506">
        <v>-0.13075529999999999</v>
      </c>
      <c r="S6506">
        <v>2.97403</v>
      </c>
      <c r="T6506">
        <v>-0.2656887</v>
      </c>
      <c r="U6506">
        <v>-0.64598080000000002</v>
      </c>
      <c r="V6506">
        <v>-9.2931079999999999E-2</v>
      </c>
      <c r="W6506">
        <v>0.1014149</v>
      </c>
      <c r="X6506">
        <v>0.99049430000000005</v>
      </c>
      <c r="Y6506">
        <v>-9.8408939999999993E-3</v>
      </c>
      <c r="Z6506">
        <v>1.982163E-2</v>
      </c>
      <c r="AA6506">
        <v>0.99975510000000001</v>
      </c>
      <c r="AB6506">
        <v>27</v>
      </c>
      <c r="AC6506">
        <v>12.1844</v>
      </c>
      <c r="AD6506">
        <v>-1.112422685176</v>
      </c>
      <c r="AE6506">
        <v>-2.6457999999999999</v>
      </c>
      <c r="AF6506">
        <v>-0.13312619194110301</v>
      </c>
      <c r="AG6506">
        <v>-1.112422685176</v>
      </c>
      <c r="AH6506">
        <v>12.3691718029005</v>
      </c>
      <c r="AI6506">
        <v>95.138779809151998</v>
      </c>
      <c r="AJ6506">
        <v>90.616635823778694</v>
      </c>
      <c r="AK6506">
        <v>12.4198074825314</v>
      </c>
      <c r="AL6506">
        <v>84.179347836839597</v>
      </c>
      <c r="AM6506">
        <v>95.359967340695803</v>
      </c>
      <c r="AN6506">
        <v>1.0000000629522301</v>
      </c>
    </row>
    <row r="6507" spans="1:40" x14ac:dyDescent="0.25">
      <c r="A6507" t="str">
        <f>"20190312151446363"</f>
        <v>20190312151446363</v>
      </c>
      <c r="B6507" t="str">
        <f>"1552374886356647"</f>
        <v>1552374886356647</v>
      </c>
      <c r="C6507" t="s">
        <v>40</v>
      </c>
      <c r="D6507">
        <v>5.0474560000000004</v>
      </c>
      <c r="E6507">
        <v>0.53059250000000002</v>
      </c>
      <c r="F6507" t="s">
        <v>42</v>
      </c>
      <c r="G6507">
        <v>-129.98320000000001</v>
      </c>
      <c r="H6507" s="1">
        <v>-4.8836400000000004E-6</v>
      </c>
      <c r="I6507">
        <v>143.0094</v>
      </c>
      <c r="J6507">
        <v>-142.34870000000001</v>
      </c>
      <c r="K6507">
        <v>1.112409</v>
      </c>
      <c r="L6507">
        <v>145.66399999999999</v>
      </c>
      <c r="M6507">
        <v>0.97578390000000004</v>
      </c>
      <c r="N6507">
        <v>0</v>
      </c>
      <c r="O6507">
        <v>-0.21828139999999999</v>
      </c>
      <c r="P6507">
        <v>0.98778299999999997</v>
      </c>
      <c r="Q6507">
        <v>9.0091660000000004E-2</v>
      </c>
      <c r="R6507">
        <v>-0.1271555</v>
      </c>
      <c r="S6507">
        <v>2.9762879999999998</v>
      </c>
      <c r="T6507">
        <v>-0.25818229999999998</v>
      </c>
      <c r="U6507">
        <v>-0.63908390000000004</v>
      </c>
      <c r="V6507">
        <v>-9.2034640000000001E-2</v>
      </c>
      <c r="W6507">
        <v>0.10364139999999999</v>
      </c>
      <c r="X6507">
        <v>0.99034739999999999</v>
      </c>
      <c r="Y6507">
        <v>-7.7689539999999998E-3</v>
      </c>
      <c r="Z6507">
        <v>1.8801169999999999E-2</v>
      </c>
      <c r="AA6507">
        <v>0.99979309999999999</v>
      </c>
      <c r="AB6507">
        <v>27</v>
      </c>
      <c r="AC6507">
        <v>12.3654999999999</v>
      </c>
      <c r="AD6507">
        <v>-1.1124138836399999</v>
      </c>
      <c r="AE6507">
        <v>-2.6545999999999799</v>
      </c>
      <c r="AF6507">
        <v>-0.108017867854176</v>
      </c>
      <c r="AG6507">
        <v>-1.1124138836399999</v>
      </c>
      <c r="AH6507">
        <v>12.549674162473799</v>
      </c>
      <c r="AI6507">
        <v>95.065321175224497</v>
      </c>
      <c r="AJ6507">
        <v>90.493145481831206</v>
      </c>
      <c r="AK6507">
        <v>12.599343399263001</v>
      </c>
      <c r="AL6507">
        <v>84.0511022151086</v>
      </c>
      <c r="AM6507">
        <v>95.309343292373498</v>
      </c>
      <c r="AN6507">
        <v>0.99999994372032297</v>
      </c>
    </row>
    <row r="6508" spans="1:40" x14ac:dyDescent="0.25">
      <c r="A6508" t="str">
        <f>"20190312151446396"</f>
        <v>20190312151446396</v>
      </c>
      <c r="B6508" t="str">
        <f>"1552374886386903"</f>
        <v>1552374886386903</v>
      </c>
      <c r="C6508" t="s">
        <v>40</v>
      </c>
      <c r="D6508">
        <v>5.0976629999999998</v>
      </c>
      <c r="E6508">
        <v>0.53088769999999996</v>
      </c>
      <c r="F6508" t="s">
        <v>42</v>
      </c>
      <c r="G6508">
        <v>-129.2287</v>
      </c>
      <c r="H6508" s="1">
        <v>-1.182832E-6</v>
      </c>
      <c r="I6508">
        <v>142.88470000000001</v>
      </c>
      <c r="J6508">
        <v>-141.96129999999999</v>
      </c>
      <c r="K6508">
        <v>1.1124050000000001</v>
      </c>
      <c r="L6508">
        <v>145.58199999999999</v>
      </c>
      <c r="M6508">
        <v>0.97661629999999999</v>
      </c>
      <c r="N6508">
        <v>0</v>
      </c>
      <c r="O6508">
        <v>-0.21452740000000001</v>
      </c>
      <c r="P6508">
        <v>0.98823050000000001</v>
      </c>
      <c r="Q6508">
        <v>8.8985839999999997E-2</v>
      </c>
      <c r="R6508">
        <v>-0.1244291</v>
      </c>
      <c r="S6508">
        <v>2.9788969999999999</v>
      </c>
      <c r="T6508">
        <v>-0.252573299999999</v>
      </c>
      <c r="U6508">
        <v>-0.63104249999999995</v>
      </c>
      <c r="V6508">
        <v>-9.0974949999999999E-2</v>
      </c>
      <c r="W6508">
        <v>0.1025372</v>
      </c>
      <c r="X6508">
        <v>0.99056029999999995</v>
      </c>
      <c r="Y6508">
        <v>-6.7353569999999896E-3</v>
      </c>
      <c r="Z6508">
        <v>1.80366E-2</v>
      </c>
      <c r="AA6508">
        <v>0.9998146</v>
      </c>
      <c r="AB6508">
        <v>27</v>
      </c>
      <c r="AC6508">
        <v>12.7325999999999</v>
      </c>
      <c r="AD6508">
        <v>-1.11240618283199</v>
      </c>
      <c r="AE6508">
        <v>-2.6972999999999798</v>
      </c>
      <c r="AF6508">
        <v>-9.6568641315010403E-2</v>
      </c>
      <c r="AG6508">
        <v>-1.11240618283199</v>
      </c>
      <c r="AH6508">
        <v>12.9204166679651</v>
      </c>
      <c r="AI6508">
        <v>94.920710062667197</v>
      </c>
      <c r="AJ6508">
        <v>90.428227099633204</v>
      </c>
      <c r="AK6508">
        <v>12.968575091039099</v>
      </c>
      <c r="AL6508">
        <v>84.114707513639104</v>
      </c>
      <c r="AM6508">
        <v>95.247432949183803</v>
      </c>
      <c r="AN6508">
        <v>1.0000000134237099</v>
      </c>
    </row>
    <row r="6509" spans="1:40" x14ac:dyDescent="0.25">
      <c r="A6509" t="str">
        <f>"20190312151446429"</f>
        <v>20190312151446429</v>
      </c>
      <c r="B6509" t="str">
        <f>"1552374886426920"</f>
        <v>1552374886426920</v>
      </c>
      <c r="C6509" t="s">
        <v>40</v>
      </c>
      <c r="D6509">
        <v>5.2893540000000003</v>
      </c>
      <c r="E6509">
        <v>0.53151610000000005</v>
      </c>
      <c r="F6509" t="s">
        <v>41</v>
      </c>
      <c r="G6509">
        <v>-141.11959999999999</v>
      </c>
      <c r="H6509">
        <v>1.040295</v>
      </c>
      <c r="I6509">
        <v>145.40530000000001</v>
      </c>
      <c r="J6509">
        <v>-141.5616</v>
      </c>
      <c r="K6509">
        <v>1.11239</v>
      </c>
      <c r="L6509">
        <v>145.4991</v>
      </c>
      <c r="M6509">
        <v>0.97746569999999999</v>
      </c>
      <c r="N6509">
        <v>0</v>
      </c>
      <c r="O6509">
        <v>-0.21062320000000001</v>
      </c>
      <c r="P6509">
        <v>0.98878860000000002</v>
      </c>
      <c r="Q6509">
        <v>8.6113969999999998E-2</v>
      </c>
      <c r="R6509">
        <v>-0.1219904</v>
      </c>
      <c r="S6509">
        <v>2.9799799999999999</v>
      </c>
      <c r="T6509">
        <v>-0.25539990000000001</v>
      </c>
      <c r="U6509">
        <v>-0.62541199999999997</v>
      </c>
      <c r="V6509">
        <v>-8.9499010000000004E-2</v>
      </c>
      <c r="W6509">
        <v>9.9671830000000003E-2</v>
      </c>
      <c r="X6509">
        <v>0.99098710000000001</v>
      </c>
      <c r="Y6509">
        <v>-4.6256359999999998E-3</v>
      </c>
      <c r="Z6509">
        <v>1.7825359999999998E-2</v>
      </c>
      <c r="AA6509">
        <v>0.99983040000000001</v>
      </c>
      <c r="AB6509">
        <v>27</v>
      </c>
      <c r="AC6509">
        <v>0.442000000000007</v>
      </c>
      <c r="AD6509">
        <v>-7.2095000000000006E-2</v>
      </c>
      <c r="AE6509">
        <v>-9.3799999999987393E-2</v>
      </c>
      <c r="AF6509">
        <v>-1.3743233991909401E-3</v>
      </c>
      <c r="AG6509">
        <v>-7.2095000000000006E-2</v>
      </c>
      <c r="AH6509">
        <v>0.440623525880393</v>
      </c>
      <c r="AI6509">
        <v>99.2923736991211</v>
      </c>
      <c r="AJ6509">
        <v>90.178707378267305</v>
      </c>
      <c r="AK6509">
        <v>0.44648479184522599</v>
      </c>
      <c r="AL6509">
        <v>84.279726629963207</v>
      </c>
      <c r="AM6509">
        <v>95.160553087758302</v>
      </c>
      <c r="AN6509">
        <v>0.99999998942646895</v>
      </c>
    </row>
    <row r="6510" spans="1:40" x14ac:dyDescent="0.25">
      <c r="A6510" t="str">
        <f>"20190312151446458"</f>
        <v>20190312151446458</v>
      </c>
      <c r="B6510" t="str">
        <f>"1552374886447416"</f>
        <v>1552374886447416</v>
      </c>
      <c r="C6510" t="s">
        <v>40</v>
      </c>
      <c r="D6510">
        <v>5.0076910000000003</v>
      </c>
      <c r="E6510">
        <v>0.53180939999999999</v>
      </c>
      <c r="F6510" t="s">
        <v>41</v>
      </c>
      <c r="G6510">
        <v>-140.66200000000001</v>
      </c>
      <c r="H6510">
        <v>1.033663</v>
      </c>
      <c r="I6510">
        <v>145.31059999999999</v>
      </c>
      <c r="J6510">
        <v>-141.22799999999901</v>
      </c>
      <c r="K6510">
        <v>1.1123749999999999</v>
      </c>
      <c r="L6510">
        <v>145.43119999999999</v>
      </c>
      <c r="M6510">
        <v>0.97816650000000005</v>
      </c>
      <c r="N6510">
        <v>0</v>
      </c>
      <c r="O6510">
        <v>-0.20734520000000001</v>
      </c>
      <c r="P6510">
        <v>0.98915649999999999</v>
      </c>
      <c r="Q6510">
        <v>8.5365070000000001E-2</v>
      </c>
      <c r="R6510">
        <v>-0.1195084</v>
      </c>
      <c r="S6510">
        <v>2.9797210000000001</v>
      </c>
      <c r="T6510">
        <v>-0.26078669999999998</v>
      </c>
      <c r="U6510">
        <v>-0.6242065</v>
      </c>
      <c r="V6510">
        <v>-8.8671589999999995E-2</v>
      </c>
      <c r="W6510">
        <v>9.8925470000000001E-2</v>
      </c>
      <c r="X6510">
        <v>0.99113629999999997</v>
      </c>
      <c r="Y6510">
        <v>-1.6337189999999901E-3</v>
      </c>
      <c r="Z6510">
        <v>1.7797650000000002E-2</v>
      </c>
      <c r="AA6510">
        <v>0.99984030000000002</v>
      </c>
      <c r="AB6510">
        <v>27</v>
      </c>
      <c r="AC6510">
        <v>0.56599999999997397</v>
      </c>
      <c r="AD6510">
        <v>-7.8711999999999893E-2</v>
      </c>
      <c r="AE6510">
        <v>-0.120599999999996</v>
      </c>
      <c r="AF6510">
        <v>5.9848529131330199E-4</v>
      </c>
      <c r="AG6510">
        <v>-7.8711999999999893E-2</v>
      </c>
      <c r="AH6510">
        <v>0.56819398499254004</v>
      </c>
      <c r="AI6510">
        <v>97.886992364334304</v>
      </c>
      <c r="AJ6510">
        <v>89.939649715559796</v>
      </c>
      <c r="AK6510">
        <v>0.57362038118458303</v>
      </c>
      <c r="AL6510">
        <v>84.322702553582602</v>
      </c>
      <c r="AM6510">
        <v>95.112332128705802</v>
      </c>
      <c r="AN6510">
        <v>1.00000003233276</v>
      </c>
    </row>
    <row r="6511" spans="1:40" x14ac:dyDescent="0.25">
      <c r="A6511" t="str">
        <f>"20190312151446497"</f>
        <v>20190312151446497</v>
      </c>
      <c r="B6511" t="str">
        <f>"1552374886487432"</f>
        <v>1552374886487432</v>
      </c>
      <c r="C6511" t="s">
        <v>40</v>
      </c>
      <c r="D6511">
        <v>4.9833259999999999</v>
      </c>
      <c r="E6511">
        <v>0.52948899999999999</v>
      </c>
      <c r="F6511" t="s">
        <v>41</v>
      </c>
      <c r="G6511">
        <v>-140.41810000000001</v>
      </c>
      <c r="H6511">
        <v>1.041253</v>
      </c>
      <c r="I6511">
        <v>145.2628</v>
      </c>
      <c r="J6511">
        <v>-140.77090000000001</v>
      </c>
      <c r="K6511">
        <v>1.1123670000000001</v>
      </c>
      <c r="L6511">
        <v>145.34</v>
      </c>
      <c r="M6511">
        <v>0.9791107</v>
      </c>
      <c r="N6511">
        <v>0</v>
      </c>
      <c r="O6511">
        <v>-0.2028403</v>
      </c>
      <c r="P6511">
        <v>0.98939270000000001</v>
      </c>
      <c r="Q6511">
        <v>8.6301879999999997E-2</v>
      </c>
      <c r="R6511">
        <v>-0.11685180000000001</v>
      </c>
      <c r="S6511">
        <v>2.980667</v>
      </c>
      <c r="T6511">
        <v>-0.26183709999999999</v>
      </c>
      <c r="U6511">
        <v>-0.619278</v>
      </c>
      <c r="V6511">
        <v>-8.6753869999999997E-2</v>
      </c>
      <c r="W6511">
        <v>9.9868739999999998E-2</v>
      </c>
      <c r="X6511">
        <v>0.99121139999999996</v>
      </c>
      <c r="Y6511">
        <v>1.30094E-3</v>
      </c>
      <c r="Z6511">
        <v>1.7359550000000001E-2</v>
      </c>
      <c r="AA6511">
        <v>0.99984850000000003</v>
      </c>
      <c r="AB6511">
        <v>27</v>
      </c>
      <c r="AC6511">
        <v>0.352800000000002</v>
      </c>
      <c r="AD6511">
        <v>-7.1114000000000094E-2</v>
      </c>
      <c r="AE6511">
        <v>-7.7200000000004806E-2</v>
      </c>
      <c r="AF6511">
        <v>3.8754213318587501E-3</v>
      </c>
      <c r="AG6511">
        <v>-7.1114000000000094E-2</v>
      </c>
      <c r="AH6511">
        <v>0.34764567968940002</v>
      </c>
      <c r="AI6511">
        <v>101.560168474367</v>
      </c>
      <c r="AJ6511">
        <v>89.361314976721104</v>
      </c>
      <c r="AK6511">
        <v>0.35486580349930102</v>
      </c>
      <c r="AL6511">
        <v>84.268388115500201</v>
      </c>
      <c r="AM6511">
        <v>95.001956666656795</v>
      </c>
      <c r="AN6511">
        <v>1.00000001933956</v>
      </c>
    </row>
    <row r="6512" spans="1:40" x14ac:dyDescent="0.25">
      <c r="A6512" t="str">
        <f>"20190312151446524"</f>
        <v>20190312151446524</v>
      </c>
      <c r="B6512" t="str">
        <f>"1552374886516711"</f>
        <v>1552374886516711</v>
      </c>
      <c r="C6512" t="s">
        <v>40</v>
      </c>
      <c r="D6512">
        <v>5.0215389999999998</v>
      </c>
      <c r="E6512">
        <v>0.54085660000000002</v>
      </c>
      <c r="F6512" t="s">
        <v>71</v>
      </c>
      <c r="G6512">
        <v>-32.249109999999902</v>
      </c>
      <c r="H6512">
        <v>-0.1</v>
      </c>
      <c r="I6512">
        <v>123.79170000000001</v>
      </c>
      <c r="J6512">
        <v>-140.4503</v>
      </c>
      <c r="K6512">
        <v>1.1123590000000001</v>
      </c>
      <c r="L6512">
        <v>145.2773</v>
      </c>
      <c r="M6512">
        <v>0.97975959999999995</v>
      </c>
      <c r="N6512">
        <v>0</v>
      </c>
      <c r="O6512">
        <v>-0.1996821</v>
      </c>
      <c r="P6512">
        <v>0.98962269999999997</v>
      </c>
      <c r="Q6512">
        <v>8.7254360000000003E-2</v>
      </c>
      <c r="R6512">
        <v>-0.1141655</v>
      </c>
      <c r="S6512">
        <v>2.9655149999999999</v>
      </c>
      <c r="T6512">
        <v>-3.3129690000000003E-2</v>
      </c>
      <c r="U6512">
        <v>-0.58883669999999899</v>
      </c>
      <c r="V6512">
        <v>-8.6234140000000001E-2</v>
      </c>
      <c r="W6512">
        <v>0.10082000000000001</v>
      </c>
      <c r="X6512">
        <v>0.9911605</v>
      </c>
      <c r="Y6512">
        <v>-5.0297329999999998E-3</v>
      </c>
      <c r="Z6512">
        <v>2.2152109999999999E-3</v>
      </c>
      <c r="AA6512">
        <v>0.99998489999999995</v>
      </c>
      <c r="AB6512">
        <v>27</v>
      </c>
      <c r="AC6512">
        <v>108.20119</v>
      </c>
      <c r="AD6512">
        <v>-1.212359</v>
      </c>
      <c r="AE6512">
        <v>-21.485599999999899</v>
      </c>
      <c r="AF6512">
        <v>-0.55510594925778201</v>
      </c>
      <c r="AG6512">
        <v>-1.212359</v>
      </c>
      <c r="AH6512">
        <v>110.299053876123</v>
      </c>
      <c r="AI6512">
        <v>90.629736836031</v>
      </c>
      <c r="AJ6512">
        <v>90.288352061382298</v>
      </c>
      <c r="AK6512">
        <v>110.307113292515</v>
      </c>
      <c r="AL6512">
        <v>84.213608728124797</v>
      </c>
      <c r="AM6512">
        <v>94.972395388316102</v>
      </c>
      <c r="AN6512">
        <v>1.00000006803089</v>
      </c>
    </row>
    <row r="6513" spans="1:40" x14ac:dyDescent="0.25">
      <c r="A6513" t="str">
        <f>"20190312151446548"</f>
        <v>20190312151446548</v>
      </c>
      <c r="B6513" t="str">
        <f>"1552374886537208"</f>
        <v>1552374886537208</v>
      </c>
      <c r="C6513" t="s">
        <v>40</v>
      </c>
      <c r="D6513">
        <v>5.5475279999999998</v>
      </c>
      <c r="E6513">
        <v>0.54441209999999995</v>
      </c>
      <c r="F6513" t="s">
        <v>42</v>
      </c>
      <c r="G6513">
        <v>-115.6572</v>
      </c>
      <c r="H6513" s="1">
        <v>-1.855666E-6</v>
      </c>
      <c r="I6513">
        <v>139.655</v>
      </c>
      <c r="J6513">
        <v>-140.161</v>
      </c>
      <c r="K6513">
        <v>1.1123609999999999</v>
      </c>
      <c r="L6513">
        <v>145.2217</v>
      </c>
      <c r="M6513">
        <v>0.98033590000000004</v>
      </c>
      <c r="N6513">
        <v>0</v>
      </c>
      <c r="O6513">
        <v>-0.1968336</v>
      </c>
      <c r="P6513">
        <v>0.9900158</v>
      </c>
      <c r="Q6513">
        <v>8.6886000000000005E-2</v>
      </c>
      <c r="R6513">
        <v>-0.1109947</v>
      </c>
      <c r="S6513">
        <v>2.9656220000000002</v>
      </c>
      <c r="T6513">
        <v>-0.13305429999999999</v>
      </c>
      <c r="U6513">
        <v>-0.672500599999999</v>
      </c>
      <c r="V6513">
        <v>-8.6532330000000005E-2</v>
      </c>
      <c r="W6513">
        <v>0.1004476</v>
      </c>
      <c r="X6513">
        <v>0.99117230000000001</v>
      </c>
      <c r="Y6513">
        <v>2.5005200000000002E-2</v>
      </c>
      <c r="Z6513">
        <v>8.0727969999999996E-3</v>
      </c>
      <c r="AA6513">
        <v>0.99965470000000001</v>
      </c>
      <c r="AB6513">
        <v>27</v>
      </c>
      <c r="AC6513">
        <v>24.503799999999998</v>
      </c>
      <c r="AD6513">
        <v>-1.1123628556659999</v>
      </c>
      <c r="AE6513">
        <v>-5.5666999999999902</v>
      </c>
      <c r="AF6513">
        <v>0.632887268819599</v>
      </c>
      <c r="AG6513">
        <v>-1.1123628556659999</v>
      </c>
      <c r="AH6513">
        <v>25.071026505506602</v>
      </c>
      <c r="AI6513">
        <v>92.539651398052598</v>
      </c>
      <c r="AJ6513">
        <v>88.5539455368299</v>
      </c>
      <c r="AK6513">
        <v>25.103670398121402</v>
      </c>
      <c r="AL6513">
        <v>84.2350544188198</v>
      </c>
      <c r="AM6513">
        <v>94.989443741978803</v>
      </c>
      <c r="AN6513">
        <v>1.0000000463841301</v>
      </c>
    </row>
    <row r="6514" spans="1:40" x14ac:dyDescent="0.25">
      <c r="A6514" t="str">
        <f>"20190312151446571"</f>
        <v>20190312151446571</v>
      </c>
      <c r="B6514" t="str">
        <f>"1552374886567463"</f>
        <v>1552374886567463</v>
      </c>
      <c r="C6514" t="s">
        <v>40</v>
      </c>
      <c r="D6514">
        <v>5.0677529999999997</v>
      </c>
      <c r="E6514">
        <v>0.54805000000000004</v>
      </c>
      <c r="F6514" t="s">
        <v>42</v>
      </c>
      <c r="G6514">
        <v>-118.8976</v>
      </c>
      <c r="H6514" s="1">
        <v>-6.2746240000000001E-7</v>
      </c>
      <c r="I6514">
        <v>140.2636</v>
      </c>
      <c r="J6514">
        <v>-139.8956</v>
      </c>
      <c r="K6514">
        <v>1.1123620000000001</v>
      </c>
      <c r="L6514">
        <v>145.17150000000001</v>
      </c>
      <c r="M6514">
        <v>0.98085670000000003</v>
      </c>
      <c r="N6514">
        <v>0</v>
      </c>
      <c r="O6514">
        <v>-0.19422210000000001</v>
      </c>
      <c r="P6514">
        <v>0.99026720000000001</v>
      </c>
      <c r="Q6514">
        <v>8.6494680000000004E-2</v>
      </c>
      <c r="R6514">
        <v>-0.10903980000000001</v>
      </c>
      <c r="S6514">
        <v>2.9663240000000002</v>
      </c>
      <c r="T6514">
        <v>-0.1551787</v>
      </c>
      <c r="U6514">
        <v>-0.69166559999999999</v>
      </c>
      <c r="V6514">
        <v>-8.5851789999999997E-2</v>
      </c>
      <c r="W6514">
        <v>0.10005799999999999</v>
      </c>
      <c r="X6514">
        <v>0.99127080000000001</v>
      </c>
      <c r="Y6514">
        <v>3.3792580000000003E-2</v>
      </c>
      <c r="Z6514">
        <v>9.0452199999999996E-3</v>
      </c>
      <c r="AA6514">
        <v>0.9993879</v>
      </c>
      <c r="AB6514">
        <v>27</v>
      </c>
      <c r="AC6514">
        <v>20.998000000000001</v>
      </c>
      <c r="AD6514">
        <v>-1.1123626274623899</v>
      </c>
      <c r="AE6514">
        <v>-4.9079000000000104</v>
      </c>
      <c r="AF6514">
        <v>0.73379117026813701</v>
      </c>
      <c r="AG6514">
        <v>-1.1123626274623899</v>
      </c>
      <c r="AH6514">
        <v>21.4941894090184</v>
      </c>
      <c r="AI6514">
        <v>92.960794064039206</v>
      </c>
      <c r="AJ6514">
        <v>88.044735983770494</v>
      </c>
      <c r="AK6514">
        <v>21.535458630994999</v>
      </c>
      <c r="AL6514">
        <v>84.257489420803694</v>
      </c>
      <c r="AM6514">
        <v>94.949910184598906</v>
      </c>
      <c r="AN6514">
        <v>0.99999996607142105</v>
      </c>
    </row>
    <row r="6515" spans="1:40" x14ac:dyDescent="0.25">
      <c r="A6515" t="str">
        <f>"20190312151446609"</f>
        <v>20190312151446609</v>
      </c>
      <c r="B6515" t="str">
        <f>"1552374886596743"</f>
        <v>1552374886596743</v>
      </c>
      <c r="C6515" t="s">
        <v>40</v>
      </c>
      <c r="D6515">
        <v>5.2461840000000004</v>
      </c>
      <c r="E6515">
        <v>0.54874389999999995</v>
      </c>
      <c r="F6515" t="s">
        <v>42</v>
      </c>
      <c r="G6515">
        <v>-120.1272</v>
      </c>
      <c r="H6515" s="1">
        <v>-4.3733869999999998E-6</v>
      </c>
      <c r="I6515">
        <v>140.4092</v>
      </c>
      <c r="J6515">
        <v>-139.4529</v>
      </c>
      <c r="K6515">
        <v>1.112339</v>
      </c>
      <c r="L6515">
        <v>145.08930000000001</v>
      </c>
      <c r="M6515">
        <v>0.98170919999999895</v>
      </c>
      <c r="N6515">
        <v>0</v>
      </c>
      <c r="O6515">
        <v>-0.18986600000000001</v>
      </c>
      <c r="P6515">
        <v>0.99084939999999999</v>
      </c>
      <c r="Q6515">
        <v>8.3675680000000002E-2</v>
      </c>
      <c r="R6515">
        <v>-0.1059046</v>
      </c>
      <c r="S6515">
        <v>2.965408</v>
      </c>
      <c r="T6515">
        <v>-0.16686280000000001</v>
      </c>
      <c r="U6515">
        <v>-0.71437069999999903</v>
      </c>
      <c r="V6515">
        <v>-8.4618579999999999E-2</v>
      </c>
      <c r="W6515">
        <v>9.7246559999999996E-2</v>
      </c>
      <c r="X6515">
        <v>0.9916566</v>
      </c>
      <c r="Y6515">
        <v>4.5547499999999998E-2</v>
      </c>
      <c r="Z6515">
        <v>9.1566960000000006E-3</v>
      </c>
      <c r="AA6515">
        <v>0.99892020000000004</v>
      </c>
      <c r="AB6515">
        <v>27</v>
      </c>
      <c r="AC6515">
        <v>19.325700000000001</v>
      </c>
      <c r="AD6515">
        <v>-1.1123433733870001</v>
      </c>
      <c r="AE6515">
        <v>-4.6801000000000004</v>
      </c>
      <c r="AF6515">
        <v>0.92240890018772104</v>
      </c>
      <c r="AG6515">
        <v>-1.1123433733870001</v>
      </c>
      <c r="AH6515">
        <v>19.800811358386198</v>
      </c>
      <c r="AI6515">
        <v>93.211830033921203</v>
      </c>
      <c r="AJ6515">
        <v>87.332838762321899</v>
      </c>
      <c r="AK6515">
        <v>19.8534701352146</v>
      </c>
      <c r="AL6515">
        <v>84.419362968882993</v>
      </c>
      <c r="AM6515">
        <v>94.877264335774996</v>
      </c>
      <c r="AN6515">
        <v>1.0000000049183</v>
      </c>
    </row>
    <row r="6516" spans="1:40" x14ac:dyDescent="0.25">
      <c r="A6516" t="str">
        <f>"20190312151446653"</f>
        <v>20190312151446653</v>
      </c>
      <c r="B6516" t="str">
        <f>"1552374886647497"</f>
        <v>1552374886647497</v>
      </c>
      <c r="C6516" t="s">
        <v>40</v>
      </c>
      <c r="D6516">
        <v>5.1534909999999998</v>
      </c>
      <c r="E6516">
        <v>0.54724740000000005</v>
      </c>
      <c r="F6516" t="s">
        <v>42</v>
      </c>
      <c r="G6516">
        <v>-120.3663</v>
      </c>
      <c r="H6516" s="1">
        <v>-4.3122430000000001E-6</v>
      </c>
      <c r="I6516">
        <v>140.52330000000001</v>
      </c>
      <c r="J6516">
        <v>-138.93450000000001</v>
      </c>
      <c r="K6516">
        <v>1.112309</v>
      </c>
      <c r="L6516">
        <v>144.9957</v>
      </c>
      <c r="M6516">
        <v>0.98268180000000005</v>
      </c>
      <c r="N6516">
        <v>0</v>
      </c>
      <c r="O6516">
        <v>-0.18476709999999999</v>
      </c>
      <c r="P6516">
        <v>0.99191269999999998</v>
      </c>
      <c r="Q6516">
        <v>7.9348909999999995E-2</v>
      </c>
      <c r="R6516">
        <v>-9.9061969999999999E-2</v>
      </c>
      <c r="S6516">
        <v>2.9664760000000001</v>
      </c>
      <c r="T6516">
        <v>-0.17288220000000001</v>
      </c>
      <c r="U6516">
        <v>-0.70965579999999995</v>
      </c>
      <c r="V6516">
        <v>-8.6361389999999996E-2</v>
      </c>
      <c r="W6516">
        <v>9.2910859999999998E-2</v>
      </c>
      <c r="X6516">
        <v>0.99192199999999997</v>
      </c>
      <c r="Y6516">
        <v>4.9151960000000001E-2</v>
      </c>
      <c r="Z6516">
        <v>9.0961589999999995E-3</v>
      </c>
      <c r="AA6516">
        <v>0.99874989999999997</v>
      </c>
      <c r="AB6516">
        <v>27</v>
      </c>
      <c r="AC6516">
        <v>18.568200000000001</v>
      </c>
      <c r="AD6516">
        <v>-1.112313312243</v>
      </c>
      <c r="AE6516">
        <v>-4.4723999999999897</v>
      </c>
      <c r="AF6516">
        <v>0.96098946003649999</v>
      </c>
      <c r="AG6516">
        <v>-1.112313312243</v>
      </c>
      <c r="AH6516">
        <v>19.010390920778999</v>
      </c>
      <c r="AI6516">
        <v>93.344343847892105</v>
      </c>
      <c r="AJ6516">
        <v>87.106118860267699</v>
      </c>
      <c r="AK6516">
        <v>19.0671367700484</v>
      </c>
      <c r="AL6516">
        <v>84.668910891553594</v>
      </c>
      <c r="AM6516">
        <v>94.975892235594102</v>
      </c>
      <c r="AN6516">
        <v>0.99999998583633498</v>
      </c>
    </row>
    <row r="6517" spans="1:40" x14ac:dyDescent="0.25">
      <c r="A6517" t="str">
        <f>"20190312151446682"</f>
        <v>20190312151446682</v>
      </c>
      <c r="B6517" t="str">
        <f>"1552374886676776"</f>
        <v>1552374886676776</v>
      </c>
      <c r="C6517" t="s">
        <v>40</v>
      </c>
      <c r="D6517">
        <v>5.1881680000000001</v>
      </c>
      <c r="E6517">
        <v>0.49527850000000001</v>
      </c>
      <c r="F6517" t="s">
        <v>42</v>
      </c>
      <c r="G6517">
        <v>-121.8839</v>
      </c>
      <c r="H6517" s="1">
        <v>-3.8615049999999997E-6</v>
      </c>
      <c r="I6517">
        <v>141.11000000000001</v>
      </c>
      <c r="J6517">
        <v>-138.59809999999999</v>
      </c>
      <c r="K6517">
        <v>1.1122920000000001</v>
      </c>
      <c r="L6517">
        <v>144.93639999999999</v>
      </c>
      <c r="M6517">
        <v>0.98329469999999997</v>
      </c>
      <c r="N6517">
        <v>0</v>
      </c>
      <c r="O6517">
        <v>-0.18147769999999999</v>
      </c>
      <c r="P6517">
        <v>0.99239469999999996</v>
      </c>
      <c r="Q6517">
        <v>7.8821639999999998E-2</v>
      </c>
      <c r="R6517">
        <v>-9.4552239999999996E-2</v>
      </c>
      <c r="S6517">
        <v>2.972321</v>
      </c>
      <c r="T6517">
        <v>-0.19390250000000001</v>
      </c>
      <c r="U6517">
        <v>-0.67736819999999998</v>
      </c>
      <c r="V6517">
        <v>-8.7553839999999994E-2</v>
      </c>
      <c r="W6517">
        <v>9.2376260000000002E-2</v>
      </c>
      <c r="X6517">
        <v>0.99186739999999995</v>
      </c>
      <c r="Y6517">
        <v>4.1822699999999997E-2</v>
      </c>
      <c r="Z6517">
        <v>1.0224830000000001E-2</v>
      </c>
      <c r="AA6517">
        <v>0.99907270000000004</v>
      </c>
      <c r="AB6517">
        <v>27</v>
      </c>
      <c r="AC6517">
        <v>16.714199999999899</v>
      </c>
      <c r="AD6517">
        <v>-1.112295861505</v>
      </c>
      <c r="AE6517">
        <v>-3.8263999999999698</v>
      </c>
      <c r="AF6517">
        <v>0.72624016173969697</v>
      </c>
      <c r="AG6517">
        <v>-1.112295861505</v>
      </c>
      <c r="AH6517">
        <v>17.059294277544499</v>
      </c>
      <c r="AI6517">
        <v>93.727138329103198</v>
      </c>
      <c r="AJ6517">
        <v>87.562303257025107</v>
      </c>
      <c r="AK6517">
        <v>17.110936505752999</v>
      </c>
      <c r="AL6517">
        <v>84.699673557805994</v>
      </c>
      <c r="AM6517">
        <v>95.044521907945807</v>
      </c>
      <c r="AN6517">
        <v>0.99999999374654602</v>
      </c>
    </row>
    <row r="6518" spans="1:40" x14ac:dyDescent="0.25">
      <c r="A6518" t="str">
        <f>"20190312151446705"</f>
        <v>20190312151446705</v>
      </c>
      <c r="B6518" t="str">
        <f>"1552374886696647"</f>
        <v>1552374886696647</v>
      </c>
      <c r="C6518" t="s">
        <v>40</v>
      </c>
      <c r="D6518">
        <v>5.099736</v>
      </c>
      <c r="E6518">
        <v>0.49313709999999999</v>
      </c>
      <c r="F6518" t="s">
        <v>42</v>
      </c>
      <c r="G6518">
        <v>-128.5017</v>
      </c>
      <c r="H6518" s="1">
        <v>-1.816296E-6</v>
      </c>
      <c r="I6518">
        <v>144.0932</v>
      </c>
      <c r="J6518">
        <v>-138.33449999999999</v>
      </c>
      <c r="K6518">
        <v>1.1122669999999999</v>
      </c>
      <c r="L6518">
        <v>144.89070000000001</v>
      </c>
      <c r="M6518">
        <v>0.98376059999999999</v>
      </c>
      <c r="N6518">
        <v>0</v>
      </c>
      <c r="O6518">
        <v>-0.17893429999999999</v>
      </c>
      <c r="P6518">
        <v>0.99275930000000001</v>
      </c>
      <c r="Q6518">
        <v>7.9765130000000004E-2</v>
      </c>
      <c r="R6518">
        <v>-8.9812619999999996E-2</v>
      </c>
      <c r="S6518">
        <v>3.0253909999999999</v>
      </c>
      <c r="T6518">
        <v>-0.33329690000000001</v>
      </c>
      <c r="U6518">
        <v>-0.25265500000000002</v>
      </c>
      <c r="V6518">
        <v>-8.9712429999999996E-2</v>
      </c>
      <c r="W6518">
        <v>9.3308249999999995E-2</v>
      </c>
      <c r="X6518">
        <v>0.9915872</v>
      </c>
      <c r="Y6518">
        <v>-9.4822729999999994E-2</v>
      </c>
      <c r="Z6518">
        <v>2.470325E-2</v>
      </c>
      <c r="AA6518">
        <v>0.99518759999999995</v>
      </c>
      <c r="AB6518">
        <v>27</v>
      </c>
      <c r="AC6518">
        <v>9.83279999999999</v>
      </c>
      <c r="AD6518">
        <v>-1.1122688162959999</v>
      </c>
      <c r="AE6518">
        <v>-0.79750000000001298</v>
      </c>
      <c r="AF6518">
        <v>-0.96273405786032495</v>
      </c>
      <c r="AG6518">
        <v>-1.1122688162959999</v>
      </c>
      <c r="AH6518">
        <v>9.6935656117994196</v>
      </c>
      <c r="AI6518">
        <v>96.513893568592806</v>
      </c>
      <c r="AJ6518">
        <v>95.671834437640996</v>
      </c>
      <c r="AK6518">
        <v>9.8045506299946705</v>
      </c>
      <c r="AL6518">
        <v>84.646042653397302</v>
      </c>
      <c r="AM6518">
        <v>95.169678737970102</v>
      </c>
      <c r="AN6518">
        <v>0.99999996240920297</v>
      </c>
    </row>
    <row r="6519" spans="1:40" x14ac:dyDescent="0.25">
      <c r="A6519" t="str">
        <f>"20190312151446728"</f>
        <v>20190312151446728</v>
      </c>
      <c r="B6519" t="str">
        <f>"1552374886717143"</f>
        <v>1552374886717143</v>
      </c>
      <c r="C6519" t="s">
        <v>40</v>
      </c>
      <c r="D6519">
        <v>5.0566069999999996</v>
      </c>
      <c r="E6519">
        <v>0.49290450000000002</v>
      </c>
      <c r="F6519" t="s">
        <v>42</v>
      </c>
      <c r="G6519">
        <v>-129.15270000000001</v>
      </c>
      <c r="H6519" s="1">
        <v>-1.570761E-6</v>
      </c>
      <c r="I6519">
        <v>144.2201</v>
      </c>
      <c r="J6519">
        <v>-138.0675</v>
      </c>
      <c r="K6519">
        <v>1.1122190000000001</v>
      </c>
      <c r="L6519">
        <v>144.8451</v>
      </c>
      <c r="M6519">
        <v>0.98421259999999999</v>
      </c>
      <c r="N6519">
        <v>0</v>
      </c>
      <c r="O6519">
        <v>-0.17643229999999999</v>
      </c>
      <c r="P6519">
        <v>0.99308830000000003</v>
      </c>
      <c r="Q6519">
        <v>8.1162100000000001E-2</v>
      </c>
      <c r="R6519">
        <v>-8.4785979999999997E-2</v>
      </c>
      <c r="S6519">
        <v>3.0313569999999999</v>
      </c>
      <c r="T6519">
        <v>-0.36721379999999998</v>
      </c>
      <c r="U6519">
        <v>-0.22140499999999999</v>
      </c>
      <c r="V6519">
        <v>-9.2188510000000001E-2</v>
      </c>
      <c r="W6519">
        <v>9.4695399999999999E-2</v>
      </c>
      <c r="X6519">
        <v>0.99122860000000002</v>
      </c>
      <c r="Y6519">
        <v>-0.1022696</v>
      </c>
      <c r="Z6519">
        <v>2.731432E-2</v>
      </c>
      <c r="AA6519">
        <v>0.99438170000000004</v>
      </c>
      <c r="AB6519">
        <v>27</v>
      </c>
      <c r="AC6519">
        <v>8.9147999999999801</v>
      </c>
      <c r="AD6519">
        <v>-1.112220570761</v>
      </c>
      <c r="AE6519">
        <v>-0.625</v>
      </c>
      <c r="AF6519">
        <v>-0.94321065244367397</v>
      </c>
      <c r="AG6519">
        <v>-1.112220570761</v>
      </c>
      <c r="AH6519">
        <v>8.7496791941978493</v>
      </c>
      <c r="AI6519">
        <v>97.203044924353094</v>
      </c>
      <c r="AJ6519">
        <v>96.152694321437096</v>
      </c>
      <c r="AK6519">
        <v>8.8703758056965096</v>
      </c>
      <c r="AL6519">
        <v>84.566211728425898</v>
      </c>
      <c r="AM6519">
        <v>95.3134682051314</v>
      </c>
      <c r="AN6519">
        <v>1.0000000388075601</v>
      </c>
    </row>
    <row r="6520" spans="1:40" x14ac:dyDescent="0.25">
      <c r="A6520" t="str">
        <f>"20190312151446750"</f>
        <v>20190312151446750</v>
      </c>
      <c r="B6520" t="str">
        <f>"1552374886747400"</f>
        <v>1552374886747400</v>
      </c>
      <c r="C6520" t="s">
        <v>40</v>
      </c>
      <c r="D6520">
        <v>5.1232509999999998</v>
      </c>
      <c r="E6520">
        <v>0.4928901</v>
      </c>
      <c r="F6520" t="s">
        <v>42</v>
      </c>
      <c r="G6520">
        <v>-129.43010000000001</v>
      </c>
      <c r="H6520" s="1">
        <v>-1.4628469999999901E-6</v>
      </c>
      <c r="I6520">
        <v>144.26169999999999</v>
      </c>
      <c r="J6520">
        <v>-137.80289999999999</v>
      </c>
      <c r="K6520">
        <v>1.112144</v>
      </c>
      <c r="L6520">
        <v>144.8006</v>
      </c>
      <c r="M6520">
        <v>0.98463809999999996</v>
      </c>
      <c r="N6520">
        <v>0</v>
      </c>
      <c r="O6520">
        <v>-0.17404220000000001</v>
      </c>
      <c r="P6520">
        <v>0.9933649</v>
      </c>
      <c r="Q6520">
        <v>8.2797860000000001E-2</v>
      </c>
      <c r="R6520">
        <v>-7.9817899999999997E-2</v>
      </c>
      <c r="S6520">
        <v>3.0353240000000001</v>
      </c>
      <c r="T6520">
        <v>-0.39085320000000001</v>
      </c>
      <c r="U6520">
        <v>-0.20500180000000001</v>
      </c>
      <c r="V6520">
        <v>-9.4710039999999995E-2</v>
      </c>
      <c r="W6520">
        <v>9.6325839999999996E-2</v>
      </c>
      <c r="X6520">
        <v>0.99083359999999998</v>
      </c>
      <c r="Y6520">
        <v>-0.1050311</v>
      </c>
      <c r="Z6520">
        <v>2.8904450000000002E-2</v>
      </c>
      <c r="AA6520">
        <v>0.99404879999999995</v>
      </c>
      <c r="AB6520">
        <v>27</v>
      </c>
      <c r="AC6520">
        <v>8.3727999999999803</v>
      </c>
      <c r="AD6520">
        <v>-1.112145462847</v>
      </c>
      <c r="AE6520">
        <v>-0.53890000000001204</v>
      </c>
      <c r="AF6520">
        <v>-0.91068905695646496</v>
      </c>
      <c r="AG6520">
        <v>-1.112145462847</v>
      </c>
      <c r="AH6520">
        <v>8.1948036188494804</v>
      </c>
      <c r="AI6520">
        <v>97.681872906099599</v>
      </c>
      <c r="AJ6520">
        <v>96.341264464979901</v>
      </c>
      <c r="AK6520">
        <v>8.3199175741409892</v>
      </c>
      <c r="AL6520">
        <v>84.472364821317399</v>
      </c>
      <c r="AM6520">
        <v>95.460098257269806</v>
      </c>
      <c r="AN6520">
        <v>0.99999994100873102</v>
      </c>
    </row>
    <row r="6521" spans="1:40" x14ac:dyDescent="0.25">
      <c r="A6521" t="str">
        <f>"20190312151446788"</f>
        <v>20190312151446788</v>
      </c>
      <c r="B6521" t="str">
        <f>"1552374886776679"</f>
        <v>1552374886776679</v>
      </c>
      <c r="C6521" t="s">
        <v>40</v>
      </c>
      <c r="D6521">
        <v>5.3609450000000001</v>
      </c>
      <c r="E6521">
        <v>0.49247160000000001</v>
      </c>
      <c r="F6521" t="s">
        <v>42</v>
      </c>
      <c r="G6521">
        <v>-129.4085</v>
      </c>
      <c r="H6521" s="1">
        <v>-1.475513E-6</v>
      </c>
      <c r="I6521">
        <v>144.27449999999999</v>
      </c>
      <c r="J6521">
        <v>-137.36760000000001</v>
      </c>
      <c r="K6521">
        <v>1.112033</v>
      </c>
      <c r="L6521">
        <v>144.72839999999999</v>
      </c>
      <c r="M6521">
        <v>0.98529480000000003</v>
      </c>
      <c r="N6521">
        <v>0</v>
      </c>
      <c r="O6521">
        <v>-0.17028560000000001</v>
      </c>
      <c r="P6521">
        <v>0.99385029999999996</v>
      </c>
      <c r="Q6521">
        <v>8.3603399999999994E-2</v>
      </c>
      <c r="R6521">
        <v>-7.2609690000000005E-2</v>
      </c>
      <c r="S6521">
        <v>3.038284</v>
      </c>
      <c r="T6521">
        <v>-0.40253030000000001</v>
      </c>
      <c r="U6521">
        <v>-0.19039919999999999</v>
      </c>
      <c r="V6521">
        <v>-9.8086060000000003E-2</v>
      </c>
      <c r="W6521">
        <v>9.7131239999999994E-2</v>
      </c>
      <c r="X6521">
        <v>0.99042649999999999</v>
      </c>
      <c r="Y6521">
        <v>-0.1059514</v>
      </c>
      <c r="Z6521">
        <v>2.9311440000000001E-2</v>
      </c>
      <c r="AA6521">
        <v>0.99393920000000002</v>
      </c>
      <c r="AB6521">
        <v>27</v>
      </c>
      <c r="AC6521">
        <v>7.9591000000000003</v>
      </c>
      <c r="AD6521">
        <v>-1.1120344755130001</v>
      </c>
      <c r="AE6521">
        <v>-0.45390000000000402</v>
      </c>
      <c r="AF6521">
        <v>-0.890850087426583</v>
      </c>
      <c r="AG6521">
        <v>-1.1120344755130001</v>
      </c>
      <c r="AH6521">
        <v>7.7689639609042702</v>
      </c>
      <c r="AI6521">
        <v>98.093548970083305</v>
      </c>
      <c r="AJ6521">
        <v>96.541411064638993</v>
      </c>
      <c r="AK6521">
        <v>7.8985464218947801</v>
      </c>
      <c r="AL6521">
        <v>84.426001732496005</v>
      </c>
      <c r="AM6521">
        <v>95.655797467275903</v>
      </c>
      <c r="AN6521">
        <v>1.0000000024262501</v>
      </c>
    </row>
    <row r="6522" spans="1:40" x14ac:dyDescent="0.25">
      <c r="A6522" t="str">
        <f>"20190312151446832"</f>
        <v>20190312151446832</v>
      </c>
      <c r="B6522" t="str">
        <f>"1552374886826922"</f>
        <v>1552374886826922</v>
      </c>
      <c r="C6522" t="s">
        <v>40</v>
      </c>
      <c r="D6522">
        <v>5.1099990000000002</v>
      </c>
      <c r="E6522">
        <v>0.49306709999999898</v>
      </c>
      <c r="F6522" t="s">
        <v>42</v>
      </c>
      <c r="G6522">
        <v>-128.37370000000001</v>
      </c>
      <c r="H6522" s="1">
        <v>-1.911062E-6</v>
      </c>
      <c r="I6522">
        <v>144.2431</v>
      </c>
      <c r="J6522">
        <v>-136.8535</v>
      </c>
      <c r="K6522">
        <v>1.111904</v>
      </c>
      <c r="L6522">
        <v>144.64500000000001</v>
      </c>
      <c r="M6522">
        <v>0.98599270000000006</v>
      </c>
      <c r="N6522">
        <v>0</v>
      </c>
      <c r="O6522">
        <v>-0.16619809999999999</v>
      </c>
      <c r="P6522">
        <v>0.99408960000000002</v>
      </c>
      <c r="Q6522">
        <v>8.4615480000000007E-2</v>
      </c>
      <c r="R6522">
        <v>-6.8017770000000005E-2</v>
      </c>
      <c r="S6522">
        <v>3.0381930000000001</v>
      </c>
      <c r="T6522">
        <v>-0.37565080000000001</v>
      </c>
      <c r="U6522">
        <v>-0.16394039999999999</v>
      </c>
      <c r="V6522">
        <v>-9.8512420000000003E-2</v>
      </c>
      <c r="W6522">
        <v>9.8161509999999993E-2</v>
      </c>
      <c r="X6522">
        <v>0.99028260000000001</v>
      </c>
      <c r="Y6522">
        <v>-0.11075169999999999</v>
      </c>
      <c r="Z6522">
        <v>2.717982E-2</v>
      </c>
      <c r="AA6522">
        <v>0.99347640000000004</v>
      </c>
      <c r="AB6522">
        <v>26</v>
      </c>
      <c r="AC6522">
        <v>8.4797999999999796</v>
      </c>
      <c r="AD6522">
        <v>-1.111905911062</v>
      </c>
      <c r="AE6522">
        <v>-0.40190000000001103</v>
      </c>
      <c r="AF6522">
        <v>-0.99606823575342496</v>
      </c>
      <c r="AG6522">
        <v>-1.111905911062</v>
      </c>
      <c r="AH6522">
        <v>8.2864898074248092</v>
      </c>
      <c r="AI6522">
        <v>97.588486049455</v>
      </c>
      <c r="AJ6522">
        <v>96.854288836607495</v>
      </c>
      <c r="AK6522">
        <v>8.4198812351414301</v>
      </c>
      <c r="AL6522">
        <v>84.366688163435597</v>
      </c>
      <c r="AM6522">
        <v>95.681041640447802</v>
      </c>
      <c r="AN6522">
        <v>1.00000000340124</v>
      </c>
    </row>
    <row r="6523" spans="1:40" x14ac:dyDescent="0.25">
      <c r="A6523" t="str">
        <f>"20190312151446861"</f>
        <v>20190312151446861</v>
      </c>
      <c r="B6523" t="str">
        <f>"1552374886857178"</f>
        <v>1552374886857178</v>
      </c>
      <c r="C6523" t="s">
        <v>40</v>
      </c>
      <c r="D6523">
        <v>5.0961109999999996</v>
      </c>
      <c r="E6523">
        <v>0.49362270000000003</v>
      </c>
      <c r="F6523" t="s">
        <v>42</v>
      </c>
      <c r="G6523">
        <v>-127.44670000000001</v>
      </c>
      <c r="H6523" s="1">
        <v>-2.2895100000000001E-6</v>
      </c>
      <c r="I6523">
        <v>144.17080000000001</v>
      </c>
      <c r="J6523">
        <v>-136.52260000000001</v>
      </c>
      <c r="K6523">
        <v>1.1118250000000001</v>
      </c>
      <c r="L6523">
        <v>144.59219999999999</v>
      </c>
      <c r="M6523">
        <v>0.98640289999999997</v>
      </c>
      <c r="N6523">
        <v>0</v>
      </c>
      <c r="O6523">
        <v>-0.16374720000000001</v>
      </c>
      <c r="P6523">
        <v>0.99412730000000005</v>
      </c>
      <c r="Q6523">
        <v>8.5585099999999997E-2</v>
      </c>
      <c r="R6523">
        <v>-6.6230590000000006E-2</v>
      </c>
      <c r="S6523">
        <v>3.037903</v>
      </c>
      <c r="T6523">
        <v>-0.35908689999999999</v>
      </c>
      <c r="U6523">
        <v>-0.1531372</v>
      </c>
      <c r="V6523">
        <v>-9.7801570000000004E-2</v>
      </c>
      <c r="W6523">
        <v>9.9145170000000005E-2</v>
      </c>
      <c r="X6523">
        <v>0.99025510000000005</v>
      </c>
      <c r="Y6523">
        <v>-0.1119872</v>
      </c>
      <c r="Z6523">
        <v>2.5783899999999998E-2</v>
      </c>
      <c r="AA6523">
        <v>0.99337509999999996</v>
      </c>
      <c r="AB6523">
        <v>26</v>
      </c>
      <c r="AC6523">
        <v>9.0759000000000007</v>
      </c>
      <c r="AD6523">
        <v>-1.1118272895100001</v>
      </c>
      <c r="AE6523">
        <v>-0.42139999999997702</v>
      </c>
      <c r="AF6523">
        <v>-1.05479277239356</v>
      </c>
      <c r="AG6523">
        <v>-1.1118272895100001</v>
      </c>
      <c r="AH6523">
        <v>8.8892674799859499</v>
      </c>
      <c r="AI6523">
        <v>97.080100779796098</v>
      </c>
      <c r="AJ6523">
        <v>96.767026013264697</v>
      </c>
      <c r="AK6523">
        <v>9.0204115230475299</v>
      </c>
      <c r="AL6523">
        <v>84.310052511657503</v>
      </c>
      <c r="AM6523">
        <v>95.640469048502098</v>
      </c>
      <c r="AN6523">
        <v>1.0000000374524001</v>
      </c>
    </row>
    <row r="6524" spans="1:40" x14ac:dyDescent="0.25">
      <c r="A6524" t="str">
        <f>"20190312151446886"</f>
        <v>20190312151446886</v>
      </c>
      <c r="B6524" t="str">
        <f>"1552374886876698"</f>
        <v>1552374886876698</v>
      </c>
      <c r="C6524" t="s">
        <v>40</v>
      </c>
      <c r="D6524">
        <v>5.1071759999999999</v>
      </c>
      <c r="E6524">
        <v>0.49395539999999999</v>
      </c>
      <c r="F6524" t="s">
        <v>42</v>
      </c>
      <c r="G6524">
        <v>-127.39830000000001</v>
      </c>
      <c r="H6524" s="1">
        <v>-2.3016670000000001E-6</v>
      </c>
      <c r="I6524">
        <v>144.13839999999999</v>
      </c>
      <c r="J6524">
        <v>-136.23249999999999</v>
      </c>
      <c r="K6524">
        <v>1.1117520000000001</v>
      </c>
      <c r="L6524">
        <v>144.54650000000001</v>
      </c>
      <c r="M6524">
        <v>0.9867399</v>
      </c>
      <c r="N6524">
        <v>0</v>
      </c>
      <c r="O6524">
        <v>-0.1617043</v>
      </c>
      <c r="P6524">
        <v>0.99415849999999995</v>
      </c>
      <c r="Q6524">
        <v>8.6339180000000001E-2</v>
      </c>
      <c r="R6524">
        <v>-6.4766619999999997E-2</v>
      </c>
      <c r="S6524">
        <v>3.039536</v>
      </c>
      <c r="T6524">
        <v>-0.37037730000000002</v>
      </c>
      <c r="U6524">
        <v>-0.15118409999999999</v>
      </c>
      <c r="V6524">
        <v>-9.7183530000000004E-2</v>
      </c>
      <c r="W6524">
        <v>9.9911929999999996E-2</v>
      </c>
      <c r="X6524">
        <v>0.99023879999999997</v>
      </c>
      <c r="Y6524">
        <v>-0.1105</v>
      </c>
      <c r="Z6524">
        <v>2.624017E-2</v>
      </c>
      <c r="AA6524">
        <v>0.99352969999999896</v>
      </c>
      <c r="AB6524">
        <v>26</v>
      </c>
      <c r="AC6524">
        <v>8.8341999999999796</v>
      </c>
      <c r="AD6524">
        <v>-1.111754301667</v>
      </c>
      <c r="AE6524">
        <v>-0.408100000000018</v>
      </c>
      <c r="AF6524">
        <v>-1.00997881590094</v>
      </c>
      <c r="AG6524">
        <v>-1.111754301667</v>
      </c>
      <c r="AH6524">
        <v>8.6472522662156699</v>
      </c>
      <c r="AI6524">
        <v>97.277243563039207</v>
      </c>
      <c r="AJ6524">
        <v>96.661829421931003</v>
      </c>
      <c r="AK6524">
        <v>8.7767321134586194</v>
      </c>
      <c r="AL6524">
        <v>84.265900711048204</v>
      </c>
      <c r="AM6524">
        <v>95.605144450565405</v>
      </c>
      <c r="AN6524">
        <v>0.99999995664251196</v>
      </c>
    </row>
    <row r="6525" spans="1:40" x14ac:dyDescent="0.25">
      <c r="A6525" t="str">
        <f>"20190312151446922"</f>
        <v>20190312151446922</v>
      </c>
      <c r="B6525" t="str">
        <f>"1552374886916714"</f>
        <v>1552374886916714</v>
      </c>
      <c r="C6525" t="s">
        <v>40</v>
      </c>
      <c r="D6525">
        <v>5.0976839999999903</v>
      </c>
      <c r="E6525">
        <v>0.49457659999999998</v>
      </c>
      <c r="F6525" t="s">
        <v>42</v>
      </c>
      <c r="G6525">
        <v>-127.2355</v>
      </c>
      <c r="H6525" s="1">
        <v>-2.362437E-6</v>
      </c>
      <c r="I6525">
        <v>144.10429999999999</v>
      </c>
      <c r="J6525">
        <v>-135.81229999999999</v>
      </c>
      <c r="K6525">
        <v>1.1116619999999999</v>
      </c>
      <c r="L6525">
        <v>144.4813</v>
      </c>
      <c r="M6525">
        <v>0.98718839999999997</v>
      </c>
      <c r="N6525">
        <v>0</v>
      </c>
      <c r="O6525">
        <v>-0.15893679999999999</v>
      </c>
      <c r="P6525">
        <v>0.99445799999999995</v>
      </c>
      <c r="Q6525">
        <v>8.4449659999999996E-2</v>
      </c>
      <c r="R6525">
        <v>-6.2623659999999998E-2</v>
      </c>
      <c r="S6525">
        <v>3.040527</v>
      </c>
      <c r="T6525">
        <v>-0.37571529999999997</v>
      </c>
      <c r="U6525">
        <v>-0.14942929999999999</v>
      </c>
      <c r="V6525">
        <v>-9.6534990000000001E-2</v>
      </c>
      <c r="W6525">
        <v>9.8122109999999998E-2</v>
      </c>
      <c r="X6525">
        <v>0.99048119999999995</v>
      </c>
      <c r="Y6525">
        <v>-0.1082825</v>
      </c>
      <c r="Z6525">
        <v>2.6134649999999999E-2</v>
      </c>
      <c r="AA6525">
        <v>0.99377660000000001</v>
      </c>
      <c r="AB6525">
        <v>26</v>
      </c>
      <c r="AC6525">
        <v>8.5767999999999898</v>
      </c>
      <c r="AD6525">
        <v>-1.111664362437</v>
      </c>
      <c r="AE6525">
        <v>-0.37700000000000899</v>
      </c>
      <c r="AF6525">
        <v>-0.97475351020142098</v>
      </c>
      <c r="AG6525">
        <v>-1.111664362437</v>
      </c>
      <c r="AH6525">
        <v>8.3870548271549001</v>
      </c>
      <c r="AI6525">
        <v>97.500369534649195</v>
      </c>
      <c r="AJ6525">
        <v>96.629242686093093</v>
      </c>
      <c r="AK6525">
        <v>8.5163742716055406</v>
      </c>
      <c r="AL6525">
        <v>84.368956436700699</v>
      </c>
      <c r="AM6525">
        <v>95.566621091081899</v>
      </c>
      <c r="AN6525">
        <v>0.99999998015929503</v>
      </c>
    </row>
    <row r="6526" spans="1:40" x14ac:dyDescent="0.25">
      <c r="A6526" t="str">
        <f>"20190312151446952"</f>
        <v>20190312151446952</v>
      </c>
      <c r="B6526" t="str">
        <f>"1552374886946969"</f>
        <v>1552374886946969</v>
      </c>
      <c r="C6526" t="s">
        <v>40</v>
      </c>
      <c r="D6526">
        <v>5.0341620000000002</v>
      </c>
      <c r="E6526">
        <v>0.49495359999999999</v>
      </c>
      <c r="F6526" t="s">
        <v>42</v>
      </c>
      <c r="G6526">
        <v>-127.26439999999999</v>
      </c>
      <c r="H6526" s="1">
        <v>-2.3395459999999998E-6</v>
      </c>
      <c r="I6526">
        <v>144.06479999999999</v>
      </c>
      <c r="J6526">
        <v>-135.4682</v>
      </c>
      <c r="K6526">
        <v>1.1116569999999999</v>
      </c>
      <c r="L6526">
        <v>144.42859999999999</v>
      </c>
      <c r="M6526">
        <v>0.98752989999999996</v>
      </c>
      <c r="N6526">
        <v>0</v>
      </c>
      <c r="O6526">
        <v>-0.15677639999999901</v>
      </c>
      <c r="P6526">
        <v>0.99475429999999998</v>
      </c>
      <c r="Q6526">
        <v>8.2809579999999994E-2</v>
      </c>
      <c r="R6526">
        <v>-6.0056409999999998E-2</v>
      </c>
      <c r="S6526">
        <v>3.040985</v>
      </c>
      <c r="T6526">
        <v>-0.395478</v>
      </c>
      <c r="U6526">
        <v>-0.14816279999999901</v>
      </c>
      <c r="V6526">
        <v>-9.6926719999999994E-2</v>
      </c>
      <c r="W6526">
        <v>9.6767720000000002E-2</v>
      </c>
      <c r="X6526">
        <v>0.99057620000000002</v>
      </c>
      <c r="Y6526">
        <v>-0.1063462</v>
      </c>
      <c r="Z6526">
        <v>2.709282E-2</v>
      </c>
      <c r="AA6526">
        <v>0.99395999999999995</v>
      </c>
      <c r="AB6526">
        <v>26</v>
      </c>
      <c r="AC6526">
        <v>8.2037999999999993</v>
      </c>
      <c r="AD6526">
        <v>-1.1116593395459999</v>
      </c>
      <c r="AE6526">
        <v>-0.36379999999999701</v>
      </c>
      <c r="AF6526">
        <v>-0.91031218158418103</v>
      </c>
      <c r="AG6526">
        <v>-1.1116593395459999</v>
      </c>
      <c r="AH6526">
        <v>8.0125377173173007</v>
      </c>
      <c r="AI6526">
        <v>97.848935126161706</v>
      </c>
      <c r="AJ6526">
        <v>96.481637284633294</v>
      </c>
      <c r="AK6526">
        <v>8.1403449206144103</v>
      </c>
      <c r="AL6526">
        <v>84.446928428837097</v>
      </c>
      <c r="AM6526">
        <v>95.588534563763304</v>
      </c>
      <c r="AN6526">
        <v>0.99999999434519804</v>
      </c>
    </row>
    <row r="6527" spans="1:40" x14ac:dyDescent="0.25">
      <c r="A6527" t="str">
        <f>"20190312151446992"</f>
        <v>20190312151446992</v>
      </c>
      <c r="B6527" t="str">
        <f>"1552374886986985"</f>
        <v>1552374886986985</v>
      </c>
      <c r="C6527" t="s">
        <v>40</v>
      </c>
      <c r="D6527">
        <v>5.0573230000000002</v>
      </c>
      <c r="E6527">
        <v>0.49522319999999997</v>
      </c>
      <c r="F6527" t="s">
        <v>42</v>
      </c>
      <c r="G6527">
        <v>-127.2264</v>
      </c>
      <c r="H6527" s="1">
        <v>-2.3491589999999998E-6</v>
      </c>
      <c r="I6527">
        <v>144.03970000000001</v>
      </c>
      <c r="J6527">
        <v>-135.0325</v>
      </c>
      <c r="K6527">
        <v>1.1117649999999999</v>
      </c>
      <c r="L6527">
        <v>144.3629</v>
      </c>
      <c r="M6527">
        <v>0.98793660000000005</v>
      </c>
      <c r="N6527">
        <v>0</v>
      </c>
      <c r="O6527">
        <v>-0.1541207</v>
      </c>
      <c r="P6527">
        <v>0.99519349999999995</v>
      </c>
      <c r="Q6527">
        <v>8.0046210000000007E-2</v>
      </c>
      <c r="R6527">
        <v>-5.641645E-2</v>
      </c>
      <c r="S6527">
        <v>3.0413060000000001</v>
      </c>
      <c r="T6527">
        <v>-0.41021190000000002</v>
      </c>
      <c r="U6527">
        <v>-0.1434937</v>
      </c>
      <c r="V6527">
        <v>-9.7907250000000001E-2</v>
      </c>
      <c r="W6527">
        <v>9.4768989999999997E-2</v>
      </c>
      <c r="X6527">
        <v>0.99067300000000003</v>
      </c>
      <c r="Y6527">
        <v>-0.1050717</v>
      </c>
      <c r="Z6527">
        <v>2.765426E-2</v>
      </c>
      <c r="AA6527">
        <v>0.99408010000000002</v>
      </c>
      <c r="AB6527">
        <v>26</v>
      </c>
      <c r="AC6527">
        <v>7.8060999999999998</v>
      </c>
      <c r="AD6527">
        <v>-1.1117673491590001</v>
      </c>
      <c r="AE6527">
        <v>-0.323199999999985</v>
      </c>
      <c r="AF6527">
        <v>-0.86633831615244195</v>
      </c>
      <c r="AG6527">
        <v>-1.1117673491590001</v>
      </c>
      <c r="AH6527">
        <v>7.6085589897795698</v>
      </c>
      <c r="AI6527">
        <v>98.260628638553101</v>
      </c>
      <c r="AJ6527">
        <v>96.495930031309001</v>
      </c>
      <c r="AK6527">
        <v>7.7380061138283702</v>
      </c>
      <c r="AL6527">
        <v>84.561976029193005</v>
      </c>
      <c r="AM6527">
        <v>95.644158005893999</v>
      </c>
      <c r="AN6527">
        <v>0.99999999199859102</v>
      </c>
    </row>
    <row r="6528" spans="1:40" x14ac:dyDescent="0.25">
      <c r="A6528" t="str">
        <f>"20190312151447033"</f>
        <v>20190312151447033</v>
      </c>
      <c r="B6528" t="str">
        <f>"1552374887027002"</f>
        <v>1552374887027002</v>
      </c>
      <c r="C6528" t="s">
        <v>40</v>
      </c>
      <c r="D6528">
        <v>5.1132379999999999</v>
      </c>
      <c r="E6528">
        <v>0.49564399999999997</v>
      </c>
      <c r="F6528" t="s">
        <v>42</v>
      </c>
      <c r="G6528">
        <v>-127.1182</v>
      </c>
      <c r="H6528" s="1">
        <v>-2.3870909999999999E-6</v>
      </c>
      <c r="I6528">
        <v>144.00790000000001</v>
      </c>
      <c r="J6528">
        <v>-134.5436</v>
      </c>
      <c r="K6528">
        <v>1.111974</v>
      </c>
      <c r="L6528">
        <v>144.29050000000001</v>
      </c>
      <c r="M6528">
        <v>0.98836950000000001</v>
      </c>
      <c r="N6528">
        <v>0</v>
      </c>
      <c r="O6528">
        <v>-0.15118619999999999</v>
      </c>
      <c r="P6528">
        <v>0.99558139999999995</v>
      </c>
      <c r="Q6528">
        <v>7.765176E-2</v>
      </c>
      <c r="R6528">
        <v>-5.2802559999999998E-2</v>
      </c>
      <c r="S6528">
        <v>3.0411220000000001</v>
      </c>
      <c r="T6528">
        <v>-0.42720560000000002</v>
      </c>
      <c r="U6528">
        <v>-0.13638310000000001</v>
      </c>
      <c r="V6528">
        <v>-9.858857E-2</v>
      </c>
      <c r="W6528">
        <v>9.3642459999999997E-2</v>
      </c>
      <c r="X6528">
        <v>0.99071260000000005</v>
      </c>
      <c r="Y6528">
        <v>-0.10427790000000001</v>
      </c>
      <c r="Z6528">
        <v>2.8332449999999999E-2</v>
      </c>
      <c r="AA6528">
        <v>0.99414460000000004</v>
      </c>
      <c r="AB6528">
        <v>26</v>
      </c>
      <c r="AC6528">
        <v>7.42539999999999</v>
      </c>
      <c r="AD6528">
        <v>-1.111976387091</v>
      </c>
      <c r="AE6528">
        <v>-0.28260000000000202</v>
      </c>
      <c r="AF6528">
        <v>-0.82494457787127295</v>
      </c>
      <c r="AG6528">
        <v>-1.111976387091</v>
      </c>
      <c r="AH6528">
        <v>7.2210502713979796</v>
      </c>
      <c r="AI6528">
        <v>98.698561029114003</v>
      </c>
      <c r="AJ6528">
        <v>96.517308653332904</v>
      </c>
      <c r="AK6528">
        <v>7.3525908402456297</v>
      </c>
      <c r="AL6528">
        <v>84.626810017324701</v>
      </c>
      <c r="AM6528">
        <v>95.682952835076193</v>
      </c>
      <c r="AN6528">
        <v>1.0000000361241199</v>
      </c>
    </row>
    <row r="6529" spans="1:40" x14ac:dyDescent="0.25">
      <c r="A6529" t="str">
        <f>"20190312151447061"</f>
        <v>20190312151447061</v>
      </c>
      <c r="B6529" t="str">
        <f>"1552374887057258"</f>
        <v>1552374887057258</v>
      </c>
      <c r="C6529" t="s">
        <v>40</v>
      </c>
      <c r="D6529">
        <v>5.0579530000000004</v>
      </c>
      <c r="E6529">
        <v>0.4959577</v>
      </c>
      <c r="F6529" t="s">
        <v>42</v>
      </c>
      <c r="G6529">
        <v>-126.8789</v>
      </c>
      <c r="H6529" s="1">
        <v>-2.4774580000000001E-6</v>
      </c>
      <c r="I6529">
        <v>143.9616</v>
      </c>
      <c r="J6529">
        <v>-134.24</v>
      </c>
      <c r="K6529">
        <v>1.1121080000000001</v>
      </c>
      <c r="L6529">
        <v>144.24639999999999</v>
      </c>
      <c r="M6529">
        <v>0.9886317</v>
      </c>
      <c r="N6529">
        <v>0</v>
      </c>
      <c r="O6529">
        <v>-0.1493671</v>
      </c>
      <c r="P6529">
        <v>0.9958996</v>
      </c>
      <c r="Q6529">
        <v>7.5029810000000002E-2</v>
      </c>
      <c r="R6529">
        <v>-5.0544789999999999E-2</v>
      </c>
      <c r="S6529">
        <v>3.0408019999999998</v>
      </c>
      <c r="T6529">
        <v>-0.44115100000000002</v>
      </c>
      <c r="U6529">
        <v>-0.13047790000000001</v>
      </c>
      <c r="V6529">
        <v>-9.9040600000000006E-2</v>
      </c>
      <c r="W6529">
        <v>9.1864879999999996E-2</v>
      </c>
      <c r="X6529">
        <v>0.99083390000000005</v>
      </c>
      <c r="Y6529">
        <v>-0.10422629999999999</v>
      </c>
      <c r="Z6529">
        <v>2.8989770000000002E-2</v>
      </c>
      <c r="AA6529">
        <v>0.99413099999999999</v>
      </c>
      <c r="AB6529">
        <v>25</v>
      </c>
      <c r="AC6529">
        <v>7.3611000000000004</v>
      </c>
      <c r="AD6529">
        <v>-1.112110477458</v>
      </c>
      <c r="AE6529">
        <v>-0.28479999999998901</v>
      </c>
      <c r="AF6529">
        <v>-0.79983631251263698</v>
      </c>
      <c r="AG6529">
        <v>-1.112110477458</v>
      </c>
      <c r="AH6529">
        <v>7.1579082701740004</v>
      </c>
      <c r="AI6529">
        <v>98.777556006138994</v>
      </c>
      <c r="AJ6529">
        <v>96.375874583761302</v>
      </c>
      <c r="AK6529">
        <v>7.2878102777933904</v>
      </c>
      <c r="AL6529">
        <v>84.729098663515998</v>
      </c>
      <c r="AM6529">
        <v>95.708143259008096</v>
      </c>
      <c r="AN6529">
        <v>1.0000000070074899</v>
      </c>
    </row>
    <row r="6530" spans="1:40" x14ac:dyDescent="0.25">
      <c r="A6530" t="str">
        <f>"20190312151447084"</f>
        <v>20190312151447084</v>
      </c>
      <c r="B6530" t="str">
        <f>"1552374887076778"</f>
        <v>1552374887076778</v>
      </c>
      <c r="C6530" t="s">
        <v>40</v>
      </c>
      <c r="D6530">
        <v>5.1207379999999896</v>
      </c>
      <c r="E6530">
        <v>0.49615350000000003</v>
      </c>
      <c r="F6530" t="s">
        <v>42</v>
      </c>
      <c r="G6530">
        <v>-126.77589999999999</v>
      </c>
      <c r="H6530" s="1">
        <v>-2.5154070000000001E-6</v>
      </c>
      <c r="I6530">
        <v>143.93819999999999</v>
      </c>
      <c r="J6530">
        <v>-133.9778</v>
      </c>
      <c r="K6530">
        <v>1.1122129999999999</v>
      </c>
      <c r="L6530">
        <v>144.20869999999999</v>
      </c>
      <c r="M6530">
        <v>0.98885630000000002</v>
      </c>
      <c r="N6530">
        <v>0</v>
      </c>
      <c r="O6530">
        <v>-0.14778179999999999</v>
      </c>
      <c r="P6530">
        <v>0.99624509999999999</v>
      </c>
      <c r="Q6530">
        <v>7.1463499999999999E-2</v>
      </c>
      <c r="R6530">
        <v>-4.8874109999999998E-2</v>
      </c>
      <c r="S6530">
        <v>3.0401150000000001</v>
      </c>
      <c r="T6530">
        <v>-0.45296170000000002</v>
      </c>
      <c r="U6530">
        <v>-0.1254883</v>
      </c>
      <c r="V6530">
        <v>-9.9145780000000003E-2</v>
      </c>
      <c r="W6530">
        <v>8.9061660000000001E-2</v>
      </c>
      <c r="X6530">
        <v>0.9910793</v>
      </c>
      <c r="Y6530">
        <v>-0.1041276</v>
      </c>
      <c r="Z6530">
        <v>2.9526340000000002E-2</v>
      </c>
      <c r="AA6530">
        <v>0.9941255</v>
      </c>
      <c r="AB6530">
        <v>25</v>
      </c>
      <c r="AC6530">
        <v>7.2019000000000002</v>
      </c>
      <c r="AD6530">
        <v>-1.1122155154069999</v>
      </c>
      <c r="AE6530">
        <v>-0.27049999999999802</v>
      </c>
      <c r="AF6530">
        <v>-0.77841430748662599</v>
      </c>
      <c r="AG6530">
        <v>-1.1122155154069999</v>
      </c>
      <c r="AH6530">
        <v>6.9961572549064703</v>
      </c>
      <c r="AI6530">
        <v>98.978523805246098</v>
      </c>
      <c r="AJ6530">
        <v>96.348795045516695</v>
      </c>
      <c r="AK6530">
        <v>7.1266519854832602</v>
      </c>
      <c r="AL6530">
        <v>84.890372725015496</v>
      </c>
      <c r="AM6530">
        <v>95.712759629524399</v>
      </c>
      <c r="AN6530">
        <v>1.00000002193112</v>
      </c>
    </row>
    <row r="6531" spans="1:40" x14ac:dyDescent="0.25">
      <c r="A6531" t="str">
        <f>"20190312151447130"</f>
        <v>20190312151447130</v>
      </c>
      <c r="B6531" t="str">
        <f>"1552374887126553"</f>
        <v>1552374887126553</v>
      </c>
      <c r="C6531" t="s">
        <v>40</v>
      </c>
      <c r="D6531">
        <v>5.0344720000000001</v>
      </c>
      <c r="E6531">
        <v>0.49641859999999999</v>
      </c>
      <c r="F6531" t="s">
        <v>42</v>
      </c>
      <c r="G6531">
        <v>-126.71420000000001</v>
      </c>
      <c r="H6531" s="1">
        <v>-2.5372679999999998E-6</v>
      </c>
      <c r="I6531">
        <v>143.92089999999999</v>
      </c>
      <c r="J6531">
        <v>-133.48269999999999</v>
      </c>
      <c r="K6531">
        <v>1.112374</v>
      </c>
      <c r="L6531">
        <v>144.13890000000001</v>
      </c>
      <c r="M6531">
        <v>0.98927750000000003</v>
      </c>
      <c r="N6531">
        <v>0</v>
      </c>
      <c r="O6531">
        <v>-0.14473849999999999</v>
      </c>
      <c r="P6531">
        <v>0.99680389999999996</v>
      </c>
      <c r="Q6531">
        <v>6.7607180000000003E-2</v>
      </c>
      <c r="R6531">
        <v>-4.2560859999999999E-2</v>
      </c>
      <c r="S6531">
        <v>3.0387729999999999</v>
      </c>
      <c r="T6531">
        <v>-0.46530179999999999</v>
      </c>
      <c r="U6531">
        <v>-0.12039179999999999</v>
      </c>
      <c r="V6531">
        <v>-0.1024095</v>
      </c>
      <c r="W6531">
        <v>8.6704749999999997E-2</v>
      </c>
      <c r="X6531">
        <v>0.99095639999999996</v>
      </c>
      <c r="Y6531">
        <v>-0.1026164</v>
      </c>
      <c r="Z6531">
        <v>2.9763419999999999E-2</v>
      </c>
      <c r="AA6531">
        <v>0.99427560000000004</v>
      </c>
      <c r="AB6531">
        <v>25</v>
      </c>
      <c r="AC6531">
        <v>6.76849999999998</v>
      </c>
      <c r="AD6531">
        <v>-1.1123765372679999</v>
      </c>
      <c r="AE6531">
        <v>-0.21800000000001701</v>
      </c>
      <c r="AF6531">
        <v>-0.74406932985214502</v>
      </c>
      <c r="AG6531">
        <v>-1.1123765372679999</v>
      </c>
      <c r="AH6531">
        <v>6.5519758972761402</v>
      </c>
      <c r="AI6531">
        <v>99.575244554905396</v>
      </c>
      <c r="AJ6531">
        <v>96.4789867666709</v>
      </c>
      <c r="AK6531">
        <v>6.6872572020805698</v>
      </c>
      <c r="AL6531">
        <v>85.025938187903705</v>
      </c>
      <c r="AM6531">
        <v>95.900235567668602</v>
      </c>
      <c r="AN6531">
        <v>1.0000000030318801</v>
      </c>
    </row>
    <row r="6532" spans="1:40" x14ac:dyDescent="0.25">
      <c r="A6532" t="str">
        <f>"20190312151447151"</f>
        <v>20190312151447151</v>
      </c>
      <c r="B6532" t="str">
        <f>"1552374887147050"</f>
        <v>1552374887147050</v>
      </c>
      <c r="C6532" t="s">
        <v>40</v>
      </c>
      <c r="D6532">
        <v>5.0511210000000002</v>
      </c>
      <c r="E6532">
        <v>0.49657200000000001</v>
      </c>
      <c r="F6532" t="s">
        <v>42</v>
      </c>
      <c r="G6532">
        <v>-126.4436</v>
      </c>
      <c r="H6532" s="1">
        <v>-2.6488890000000001E-6</v>
      </c>
      <c r="I6532">
        <v>143.9041</v>
      </c>
      <c r="J6532">
        <v>-133.25729999999999</v>
      </c>
      <c r="K6532">
        <v>1.1124590000000001</v>
      </c>
      <c r="L6532">
        <v>144.10769999999999</v>
      </c>
      <c r="M6532">
        <v>0.98946579999999995</v>
      </c>
      <c r="N6532">
        <v>0</v>
      </c>
      <c r="O6532">
        <v>-0.143349</v>
      </c>
      <c r="P6532">
        <v>0.99689700000000003</v>
      </c>
      <c r="Q6532">
        <v>6.8682660000000006E-2</v>
      </c>
      <c r="R6532">
        <v>-3.8464419999999999E-2</v>
      </c>
      <c r="S6532">
        <v>3.0378720000000001</v>
      </c>
      <c r="T6532">
        <v>-0.48006670000000001</v>
      </c>
      <c r="U6532">
        <v>-0.1013336</v>
      </c>
      <c r="V6532">
        <v>-0.1050857</v>
      </c>
      <c r="W6532">
        <v>8.8469389999999995E-2</v>
      </c>
      <c r="X6532">
        <v>0.99052019999999996</v>
      </c>
      <c r="Y6532">
        <v>-0.1072116</v>
      </c>
      <c r="Z6532">
        <v>3.0856290000000001E-2</v>
      </c>
      <c r="AA6532">
        <v>0.99375729999999995</v>
      </c>
      <c r="AB6532">
        <v>24</v>
      </c>
      <c r="AC6532">
        <v>6.8136999999999803</v>
      </c>
      <c r="AD6532">
        <v>-1.112461648889</v>
      </c>
      <c r="AE6532">
        <v>-0.20359999999999401</v>
      </c>
      <c r="AF6532">
        <v>-0.75532386869690404</v>
      </c>
      <c r="AG6532">
        <v>-1.112461648889</v>
      </c>
      <c r="AH6532">
        <v>6.5968012347195701</v>
      </c>
      <c r="AI6532">
        <v>99.511105653784796</v>
      </c>
      <c r="AJ6532">
        <v>96.531836193264994</v>
      </c>
      <c r="AK6532">
        <v>6.7324491529657902</v>
      </c>
      <c r="AL6532">
        <v>84.924441934833894</v>
      </c>
      <c r="AM6532">
        <v>96.055938069479296</v>
      </c>
      <c r="AN6532">
        <v>1.0000000519597401</v>
      </c>
    </row>
    <row r="6533" spans="1:40" x14ac:dyDescent="0.25">
      <c r="A6533" t="str">
        <f>"20190312151447190"</f>
        <v>20190312151447190</v>
      </c>
      <c r="B6533" t="str">
        <f>"1552374887187066"</f>
        <v>1552374887187066</v>
      </c>
      <c r="C6533" t="s">
        <v>40</v>
      </c>
      <c r="D6533">
        <v>5.1511699999999996</v>
      </c>
      <c r="E6533">
        <v>0.5011641</v>
      </c>
      <c r="F6533" t="s">
        <v>42</v>
      </c>
      <c r="G6533">
        <v>-126.1835</v>
      </c>
      <c r="H6533" s="1">
        <v>-2.7589500000000001E-6</v>
      </c>
      <c r="I6533">
        <v>143.89840000000001</v>
      </c>
      <c r="J6533">
        <v>-132.8492</v>
      </c>
      <c r="K6533">
        <v>1.112573</v>
      </c>
      <c r="L6533">
        <v>144.05199999999999</v>
      </c>
      <c r="M6533">
        <v>0.9897996</v>
      </c>
      <c r="N6533">
        <v>0</v>
      </c>
      <c r="O6533">
        <v>-0.14084389999999999</v>
      </c>
      <c r="P6533">
        <v>0.99692289999999995</v>
      </c>
      <c r="Q6533">
        <v>7.02015E-2</v>
      </c>
      <c r="R6533">
        <v>-3.4888629999999997E-2</v>
      </c>
      <c r="S6533">
        <v>3.0387879999999998</v>
      </c>
      <c r="T6533">
        <v>-0.4778926</v>
      </c>
      <c r="U6533">
        <v>-8.9904789999999998E-2</v>
      </c>
      <c r="V6533">
        <v>-0.10612149999999999</v>
      </c>
      <c r="W6533">
        <v>9.1208670000000006E-2</v>
      </c>
      <c r="X6533">
        <v>0.99016119999999996</v>
      </c>
      <c r="Y6533">
        <v>-0.1084866</v>
      </c>
      <c r="Z6533">
        <v>3.0424469999999999E-2</v>
      </c>
      <c r="AA6533">
        <v>0.99363230000000002</v>
      </c>
      <c r="AB6533">
        <v>24</v>
      </c>
      <c r="AC6533">
        <v>6.6657000000000002</v>
      </c>
      <c r="AD6533">
        <v>-1.11257575895</v>
      </c>
      <c r="AE6533">
        <v>-0.15360000000001101</v>
      </c>
      <c r="AF6533">
        <v>-0.76565181209348498</v>
      </c>
      <c r="AG6533">
        <v>-1.11257575895</v>
      </c>
      <c r="AH6533">
        <v>6.4415034664313904</v>
      </c>
      <c r="AI6533">
        <v>99.732252861818594</v>
      </c>
      <c r="AJ6533">
        <v>96.778503802166796</v>
      </c>
      <c r="AK6533">
        <v>6.5815662592435196</v>
      </c>
      <c r="AL6533">
        <v>84.766855194328897</v>
      </c>
      <c r="AM6533">
        <v>96.117379994364498</v>
      </c>
      <c r="AN6533">
        <v>0.99999999811542895</v>
      </c>
    </row>
    <row r="6534" spans="1:40" x14ac:dyDescent="0.25">
      <c r="A6534" t="str">
        <f>"20190312151447234"</f>
        <v>20190312151447234</v>
      </c>
      <c r="B6534" t="str">
        <f>"1552374887227082"</f>
        <v>1552374887227082</v>
      </c>
      <c r="C6534" t="s">
        <v>40</v>
      </c>
      <c r="D6534">
        <v>5.2537770000000004</v>
      </c>
      <c r="E6534">
        <v>0.50073429999999997</v>
      </c>
      <c r="F6534" t="s">
        <v>42</v>
      </c>
      <c r="G6534">
        <v>-125.86669999999999</v>
      </c>
      <c r="H6534" s="1">
        <v>-2.8675289999999998E-6</v>
      </c>
      <c r="I6534">
        <v>143.79570000000001</v>
      </c>
      <c r="J6534">
        <v>-132.3965</v>
      </c>
      <c r="K6534">
        <v>1.11266</v>
      </c>
      <c r="L6534">
        <v>143.9914</v>
      </c>
      <c r="M6534">
        <v>0.99016150000000003</v>
      </c>
      <c r="N6534">
        <v>0</v>
      </c>
      <c r="O6534">
        <v>-0.13805899999999999</v>
      </c>
      <c r="P6534">
        <v>0.99726400000000004</v>
      </c>
      <c r="Q6534">
        <v>6.4882040000000002E-2</v>
      </c>
      <c r="R6534">
        <v>-3.5423969999999999E-2</v>
      </c>
      <c r="S6534">
        <v>3.0394589999999999</v>
      </c>
      <c r="T6534">
        <v>-0.48429729999999999</v>
      </c>
      <c r="U6534">
        <v>-0.111557</v>
      </c>
      <c r="V6534">
        <v>-0.1028316</v>
      </c>
      <c r="W6534">
        <v>8.7265280000000001E-2</v>
      </c>
      <c r="X6534">
        <v>0.99086350000000001</v>
      </c>
      <c r="Y6534">
        <v>-9.8704299999999995E-2</v>
      </c>
      <c r="Z6534">
        <v>2.960351E-2</v>
      </c>
      <c r="AA6534">
        <v>0.99467640000000002</v>
      </c>
      <c r="AB6534">
        <v>24</v>
      </c>
      <c r="AC6534">
        <v>6.5297999999999998</v>
      </c>
      <c r="AD6534">
        <v>-1.112662867529</v>
      </c>
      <c r="AE6534">
        <v>-0.19569999999998799</v>
      </c>
      <c r="AF6534">
        <v>-0.68795013871293698</v>
      </c>
      <c r="AG6534">
        <v>-1.112662867529</v>
      </c>
      <c r="AH6534">
        <v>6.3111801359810897</v>
      </c>
      <c r="AI6534">
        <v>99.940817041066893</v>
      </c>
      <c r="AJ6534">
        <v>96.220964214081405</v>
      </c>
      <c r="AK6534">
        <v>6.4453307718793802</v>
      </c>
      <c r="AL6534">
        <v>84.993700081158195</v>
      </c>
      <c r="AM6534">
        <v>95.924933379314695</v>
      </c>
      <c r="AN6534">
        <v>1.0000000213421401</v>
      </c>
    </row>
    <row r="6535" spans="1:40" x14ac:dyDescent="0.25">
      <c r="A6535" t="str">
        <f>"20190312151447261"</f>
        <v>20190312151447261</v>
      </c>
      <c r="B6535" t="str">
        <f>"1552374887257338"</f>
        <v>1552374887257338</v>
      </c>
      <c r="C6535" t="s">
        <v>40</v>
      </c>
      <c r="D6535">
        <v>5.2379569999999998</v>
      </c>
      <c r="E6535">
        <v>0.4967028</v>
      </c>
      <c r="F6535" t="s">
        <v>42</v>
      </c>
      <c r="G6535">
        <v>-125.745</v>
      </c>
      <c r="H6535" s="1">
        <v>-2.9112210000000001E-6</v>
      </c>
      <c r="I6535">
        <v>143.7636</v>
      </c>
      <c r="J6535">
        <v>-132.1249</v>
      </c>
      <c r="K6535">
        <v>1.1127039999999999</v>
      </c>
      <c r="L6535">
        <v>143.95570000000001</v>
      </c>
      <c r="M6535">
        <v>0.99037529999999996</v>
      </c>
      <c r="N6535">
        <v>0</v>
      </c>
      <c r="O6535">
        <v>-0.13638339999999999</v>
      </c>
      <c r="P6535">
        <v>0.99753840000000005</v>
      </c>
      <c r="Q6535">
        <v>6.012559E-2</v>
      </c>
      <c r="R6535">
        <v>-3.6092119999999998E-2</v>
      </c>
      <c r="S6535">
        <v>3.037598</v>
      </c>
      <c r="T6535">
        <v>-0.50812389999999996</v>
      </c>
      <c r="U6535">
        <v>-0.10401920000000001</v>
      </c>
      <c r="V6535">
        <v>-0.1005143</v>
      </c>
      <c r="W6535">
        <v>8.3317219999999997E-2</v>
      </c>
      <c r="X6535">
        <v>0.99144100000000002</v>
      </c>
      <c r="Y6535">
        <v>-9.918064E-2</v>
      </c>
      <c r="Z6535">
        <v>3.0825470000000001E-2</v>
      </c>
      <c r="AA6535">
        <v>0.99459189999999997</v>
      </c>
      <c r="AB6535">
        <v>23</v>
      </c>
      <c r="AC6535">
        <v>6.3798999999999904</v>
      </c>
      <c r="AD6535">
        <v>-1.112706911221</v>
      </c>
      <c r="AE6535">
        <v>-0.19210000000001001</v>
      </c>
      <c r="AF6535">
        <v>-0.65999292550906496</v>
      </c>
      <c r="AG6535">
        <v>-1.112706911221</v>
      </c>
      <c r="AH6535">
        <v>6.1592757349706897</v>
      </c>
      <c r="AI6535">
        <v>100.18328169089</v>
      </c>
      <c r="AJ6535">
        <v>96.116152171571102</v>
      </c>
      <c r="AK6535">
        <v>6.2936781703070697</v>
      </c>
      <c r="AL6535">
        <v>85.220734936255099</v>
      </c>
      <c r="AM6535">
        <v>95.788982774557994</v>
      </c>
      <c r="AN6535">
        <v>1.000000070067</v>
      </c>
    </row>
    <row r="6536" spans="1:40" x14ac:dyDescent="0.25">
      <c r="A6536" t="str">
        <f>"20190312151447284"</f>
        <v>20190312151447284</v>
      </c>
      <c r="B6536" t="str">
        <f>"1552374887276858"</f>
        <v>1552374887276858</v>
      </c>
      <c r="C6536" t="s">
        <v>40</v>
      </c>
      <c r="D6536">
        <v>5.2444739999999896</v>
      </c>
      <c r="E6536">
        <v>0.49899199999999999</v>
      </c>
      <c r="F6536" t="s">
        <v>42</v>
      </c>
      <c r="G6536">
        <v>-125.9359</v>
      </c>
      <c r="H6536" s="1">
        <v>-2.841515E-6</v>
      </c>
      <c r="I6536">
        <v>143.80950000000001</v>
      </c>
      <c r="J6536">
        <v>-131.89169999999999</v>
      </c>
      <c r="K6536">
        <v>1.112733</v>
      </c>
      <c r="L6536">
        <v>143.9255</v>
      </c>
      <c r="M6536">
        <v>0.99055599999999999</v>
      </c>
      <c r="N6536">
        <v>0</v>
      </c>
      <c r="O6536">
        <v>-0.13494999999999999</v>
      </c>
      <c r="P6536">
        <v>0.99766679999999996</v>
      </c>
      <c r="Q6536">
        <v>5.7293879999999998E-2</v>
      </c>
      <c r="R6536">
        <v>-3.7130179999999999E-2</v>
      </c>
      <c r="S6536">
        <v>3.037766</v>
      </c>
      <c r="T6536">
        <v>-0.54615449999999999</v>
      </c>
      <c r="U6536">
        <v>-7.1777339999999995E-2</v>
      </c>
      <c r="V6536">
        <v>-9.8058190000000003E-2</v>
      </c>
      <c r="W6536">
        <v>8.1146869999999996E-2</v>
      </c>
      <c r="X6536">
        <v>0.99186680000000005</v>
      </c>
      <c r="Y6536">
        <v>-0.10767110000000001</v>
      </c>
      <c r="Z6536">
        <v>3.3608680000000002E-2</v>
      </c>
      <c r="AA6536">
        <v>0.99361829999999995</v>
      </c>
      <c r="AB6536">
        <v>23</v>
      </c>
      <c r="AC6536">
        <v>5.9557999999999804</v>
      </c>
      <c r="AD6536">
        <v>-1.1127358415149999</v>
      </c>
      <c r="AE6536">
        <v>-0.115999999999985</v>
      </c>
      <c r="AF6536">
        <v>-0.66580122984847601</v>
      </c>
      <c r="AG6536">
        <v>-1.1127358415149999</v>
      </c>
      <c r="AH6536">
        <v>5.7174461465736002</v>
      </c>
      <c r="AI6536">
        <v>100.94116151493201</v>
      </c>
      <c r="AJ6536">
        <v>96.642223094424907</v>
      </c>
      <c r="AK6536">
        <v>5.8626498078624101</v>
      </c>
      <c r="AL6536">
        <v>85.345509040645396</v>
      </c>
      <c r="AM6536">
        <v>95.646043417719994</v>
      </c>
      <c r="AN6536">
        <v>0.99999998603955598</v>
      </c>
    </row>
    <row r="6537" spans="1:40" x14ac:dyDescent="0.25">
      <c r="A6537" t="str">
        <f>"20190312151447308"</f>
        <v>20190312151447308</v>
      </c>
      <c r="B6537" t="str">
        <f>"1552374887297355"</f>
        <v>1552374887297355</v>
      </c>
      <c r="C6537" t="s">
        <v>40</v>
      </c>
      <c r="D6537">
        <v>5.1604519999999896</v>
      </c>
      <c r="E6537">
        <v>0.49976520000000002</v>
      </c>
      <c r="F6537" t="s">
        <v>42</v>
      </c>
      <c r="G6537">
        <v>-125.6204</v>
      </c>
      <c r="H6537" s="1">
        <v>-2.957144E-6</v>
      </c>
      <c r="I6537">
        <v>143.7354</v>
      </c>
      <c r="J6537">
        <v>-131.6722</v>
      </c>
      <c r="K6537">
        <v>1.1127659999999999</v>
      </c>
      <c r="L6537">
        <v>143.8974</v>
      </c>
      <c r="M6537">
        <v>0.99072530000000003</v>
      </c>
      <c r="N6537">
        <v>0</v>
      </c>
      <c r="O6537">
        <v>-0.13359770000000001</v>
      </c>
      <c r="P6537">
        <v>0.99766699999999997</v>
      </c>
      <c r="Q6537">
        <v>5.6310659999999998E-2</v>
      </c>
      <c r="R6537">
        <v>-3.8605500000000001E-2</v>
      </c>
      <c r="S6537">
        <v>3.0345460000000002</v>
      </c>
      <c r="T6537">
        <v>-0.53843069999999904</v>
      </c>
      <c r="U6537">
        <v>-9.196472E-2</v>
      </c>
      <c r="V6537">
        <v>-9.5235899999999998E-2</v>
      </c>
      <c r="W6537">
        <v>8.0748600000000004E-2</v>
      </c>
      <c r="X6537">
        <v>0.99217429999999995</v>
      </c>
      <c r="Y6537">
        <v>-9.9925529999999999E-2</v>
      </c>
      <c r="Z6537">
        <v>3.2252210000000003E-2</v>
      </c>
      <c r="AA6537">
        <v>0.99447209999999997</v>
      </c>
      <c r="AB6537">
        <v>23</v>
      </c>
      <c r="AC6537">
        <v>6.0518000000000001</v>
      </c>
      <c r="AD6537">
        <v>-1.11276895714399</v>
      </c>
      <c r="AE6537">
        <v>-0.162000000000006</v>
      </c>
      <c r="AF6537">
        <v>-0.62702413235713605</v>
      </c>
      <c r="AG6537">
        <v>-1.11276895714399</v>
      </c>
      <c r="AH6537">
        <v>5.8224513109815099</v>
      </c>
      <c r="AI6537">
        <v>100.75897610517001</v>
      </c>
      <c r="AJ6537">
        <v>96.146537276441094</v>
      </c>
      <c r="AK6537">
        <v>5.9609020528181702</v>
      </c>
      <c r="AL6537">
        <v>85.368403554028006</v>
      </c>
      <c r="AM6537">
        <v>95.482856146216506</v>
      </c>
      <c r="AN6537">
        <v>1.00000002731562</v>
      </c>
    </row>
    <row r="6538" spans="1:40" x14ac:dyDescent="0.25">
      <c r="A6538" t="str">
        <f>"20190312151447330"</f>
        <v>20190312151447330</v>
      </c>
      <c r="B6538" t="str">
        <f>"1552374887326634"</f>
        <v>1552374887326634</v>
      </c>
      <c r="C6538" t="s">
        <v>40</v>
      </c>
      <c r="D6538">
        <v>5.1282750000000004</v>
      </c>
      <c r="E6538">
        <v>0.4998919</v>
      </c>
      <c r="F6538" t="s">
        <v>41</v>
      </c>
      <c r="G6538">
        <v>-130.79300000000001</v>
      </c>
      <c r="H6538">
        <v>0.95822370000000001</v>
      </c>
      <c r="I6538">
        <v>143.86779999999999</v>
      </c>
      <c r="J6538">
        <v>-131.4495</v>
      </c>
      <c r="K6538">
        <v>1.1127959999999999</v>
      </c>
      <c r="L6538">
        <v>143.86920000000001</v>
      </c>
      <c r="M6538">
        <v>0.99089660000000002</v>
      </c>
      <c r="N6538">
        <v>0</v>
      </c>
      <c r="O6538">
        <v>-0.13221569999999999</v>
      </c>
      <c r="P6538">
        <v>0.99754699999999996</v>
      </c>
      <c r="Q6538">
        <v>5.7707410000000001E-2</v>
      </c>
      <c r="R6538">
        <v>-3.962334E-2</v>
      </c>
      <c r="S6538">
        <v>3.0331419999999998</v>
      </c>
      <c r="T6538">
        <v>-0.53322650000000005</v>
      </c>
      <c r="U6538">
        <v>-0.101852399999999</v>
      </c>
      <c r="V6538">
        <v>-9.2823909999999996E-2</v>
      </c>
      <c r="W6538">
        <v>8.2707050000000004E-2</v>
      </c>
      <c r="X6538">
        <v>0.99224159999999995</v>
      </c>
      <c r="Y6538">
        <v>-9.5442639999999995E-2</v>
      </c>
      <c r="Z6538">
        <v>3.1327059999999997E-2</v>
      </c>
      <c r="AA6538">
        <v>0.99494190000000005</v>
      </c>
      <c r="AB6538">
        <v>22</v>
      </c>
      <c r="AC6538">
        <v>0.65649999999999398</v>
      </c>
      <c r="AD6538">
        <v>-0.1545723</v>
      </c>
      <c r="AE6538">
        <v>-1.40000000001805E-3</v>
      </c>
      <c r="AF6538">
        <v>-8.0952158405655394E-2</v>
      </c>
      <c r="AG6538">
        <v>-0.1545723</v>
      </c>
      <c r="AH6538">
        <v>0.61672901227279997</v>
      </c>
      <c r="AI6538">
        <v>103.955371962953</v>
      </c>
      <c r="AJ6538">
        <v>97.477921713426298</v>
      </c>
      <c r="AK6538">
        <v>0.640937221931141</v>
      </c>
      <c r="AL6538">
        <v>85.255816150921802</v>
      </c>
      <c r="AM6538">
        <v>95.344448817138996</v>
      </c>
      <c r="AN6538">
        <v>1.0000000635789701</v>
      </c>
    </row>
    <row r="6539" spans="1:40" x14ac:dyDescent="0.25">
      <c r="A6539" t="str">
        <f>"20190312151447352"</f>
        <v>20190312151447352</v>
      </c>
      <c r="B6539" t="str">
        <f>"1552374887347134"</f>
        <v>1552374887347134</v>
      </c>
      <c r="C6539" t="s">
        <v>40</v>
      </c>
      <c r="D6539">
        <v>5.1110730000000002</v>
      </c>
      <c r="E6539">
        <v>0.4999228</v>
      </c>
      <c r="F6539" t="s">
        <v>41</v>
      </c>
      <c r="G6539">
        <v>-130.59790000000001</v>
      </c>
      <c r="H6539">
        <v>0.96900629999999999</v>
      </c>
      <c r="I6539">
        <v>143.83940000000001</v>
      </c>
      <c r="J6539">
        <v>-131.2406</v>
      </c>
      <c r="K6539">
        <v>1.1128260000000001</v>
      </c>
      <c r="L6539">
        <v>143.84299999999999</v>
      </c>
      <c r="M6539">
        <v>0.99105710000000002</v>
      </c>
      <c r="N6539">
        <v>0</v>
      </c>
      <c r="O6539">
        <v>-0.1309128</v>
      </c>
      <c r="P6539">
        <v>0.99735339999999995</v>
      </c>
      <c r="Q6539">
        <v>6.1186320000000002E-2</v>
      </c>
      <c r="R6539">
        <v>-3.9274709999999997E-2</v>
      </c>
      <c r="S6539">
        <v>3.032791</v>
      </c>
      <c r="T6539">
        <v>-0.51209640000000001</v>
      </c>
      <c r="U6539">
        <v>-0.10588069999999999</v>
      </c>
      <c r="V6539">
        <v>-9.1840859999999996E-2</v>
      </c>
      <c r="W6539">
        <v>8.6672449999999998E-2</v>
      </c>
      <c r="X6539">
        <v>0.9919945</v>
      </c>
      <c r="Y6539">
        <v>-9.3129980000000001E-2</v>
      </c>
      <c r="Z6539">
        <v>2.9695289999999999E-2</v>
      </c>
      <c r="AA6539">
        <v>0.99521099999999996</v>
      </c>
      <c r="AB6539">
        <v>22</v>
      </c>
      <c r="AC6539">
        <v>0.64269999999998995</v>
      </c>
      <c r="AD6539">
        <v>-0.14381969999999999</v>
      </c>
      <c r="AE6539">
        <v>-3.5999999999773899E-3</v>
      </c>
      <c r="AF6539">
        <v>-7.6753459434214702E-2</v>
      </c>
      <c r="AG6539">
        <v>-0.14381969999999999</v>
      </c>
      <c r="AH6539">
        <v>0.60723052462237104</v>
      </c>
      <c r="AI6539">
        <v>103.223230135794</v>
      </c>
      <c r="AJ6539">
        <v>97.203938246350106</v>
      </c>
      <c r="AK6539">
        <v>0.62873214461833404</v>
      </c>
      <c r="AL6539">
        <v>85.027795683034597</v>
      </c>
      <c r="AM6539">
        <v>95.289480896181402</v>
      </c>
      <c r="AN6539">
        <v>0.99999997259239504</v>
      </c>
    </row>
    <row r="6540" spans="1:40" x14ac:dyDescent="0.25">
      <c r="A6540" t="str">
        <f>"20190312151447375"</f>
        <v>20190312151447375</v>
      </c>
      <c r="B6540" t="str">
        <f>"1552374887366650"</f>
        <v>1552374887366650</v>
      </c>
      <c r="C6540" t="s">
        <v>40</v>
      </c>
      <c r="D6540">
        <v>5.1449740000000004</v>
      </c>
      <c r="E6540">
        <v>0.50003160000000002</v>
      </c>
      <c r="F6540" t="s">
        <v>41</v>
      </c>
      <c r="G6540">
        <v>-130.40639999999999</v>
      </c>
      <c r="H6540">
        <v>0.97496389999999999</v>
      </c>
      <c r="I6540">
        <v>143.81399999999999</v>
      </c>
      <c r="J6540">
        <v>-131.03210000000001</v>
      </c>
      <c r="K6540">
        <v>1.112854</v>
      </c>
      <c r="L6540">
        <v>143.81720000000001</v>
      </c>
      <c r="M6540">
        <v>0.9912166</v>
      </c>
      <c r="N6540">
        <v>0</v>
      </c>
      <c r="O6540">
        <v>-0.12961019999999901</v>
      </c>
      <c r="P6540">
        <v>0.99715989999999999</v>
      </c>
      <c r="Q6540">
        <v>6.4981570000000002E-2</v>
      </c>
      <c r="R6540">
        <v>-3.8072580000000002E-2</v>
      </c>
      <c r="S6540">
        <v>3.0346069999999998</v>
      </c>
      <c r="T6540">
        <v>-0.50153970000000003</v>
      </c>
      <c r="U6540">
        <v>-0.105423</v>
      </c>
      <c r="V6540">
        <v>-9.1705300000000003E-2</v>
      </c>
      <c r="W6540">
        <v>9.0909030000000002E-2</v>
      </c>
      <c r="X6540">
        <v>0.99162779999999995</v>
      </c>
      <c r="Y6540">
        <v>-9.2156119999999994E-2</v>
      </c>
      <c r="Z6540">
        <v>2.8782530000000001E-2</v>
      </c>
      <c r="AA6540">
        <v>0.99532849999999995</v>
      </c>
      <c r="AB6540">
        <v>21</v>
      </c>
      <c r="AC6540">
        <v>0.62570000000002302</v>
      </c>
      <c r="AD6540">
        <v>-0.13789009999999899</v>
      </c>
      <c r="AE6540">
        <v>-3.2000000000209599E-3</v>
      </c>
      <c r="AF6540">
        <v>-7.4341740951702803E-2</v>
      </c>
      <c r="AG6540">
        <v>-0.13789009999999899</v>
      </c>
      <c r="AH6540">
        <v>0.59207919960828104</v>
      </c>
      <c r="AI6540">
        <v>103.011353527903</v>
      </c>
      <c r="AJ6540">
        <v>97.156632535712703</v>
      </c>
      <c r="AK6540">
        <v>0.61245257182456403</v>
      </c>
      <c r="AL6540">
        <v>84.784094953547395</v>
      </c>
      <c r="AM6540">
        <v>95.2836597494899</v>
      </c>
      <c r="AN6540">
        <v>1.0000000037582299</v>
      </c>
    </row>
    <row r="6541" spans="1:40" x14ac:dyDescent="0.25">
      <c r="A6541" t="str">
        <f>"20190312151447400"</f>
        <v>20190312151447400</v>
      </c>
      <c r="B6541" t="str">
        <f>"1552374887396907"</f>
        <v>1552374887396907</v>
      </c>
      <c r="C6541" t="s">
        <v>40</v>
      </c>
      <c r="D6541">
        <v>5.1567679999999996</v>
      </c>
      <c r="E6541">
        <v>0.50008359999999996</v>
      </c>
      <c r="F6541" t="s">
        <v>42</v>
      </c>
      <c r="G6541">
        <v>-124.1673</v>
      </c>
      <c r="H6541" s="1">
        <v>-3.5401000000000002E-6</v>
      </c>
      <c r="I6541">
        <v>143.58340000000001</v>
      </c>
      <c r="J6541">
        <v>-130.7961</v>
      </c>
      <c r="K6541">
        <v>1.112876</v>
      </c>
      <c r="L6541">
        <v>143.78829999999999</v>
      </c>
      <c r="M6541">
        <v>0.99139549999999999</v>
      </c>
      <c r="N6541">
        <v>0</v>
      </c>
      <c r="O6541">
        <v>-0.1281378</v>
      </c>
      <c r="P6541">
        <v>0.99702259999999998</v>
      </c>
      <c r="Q6541">
        <v>6.8859000000000004E-2</v>
      </c>
      <c r="R6541">
        <v>-3.4709190000000001E-2</v>
      </c>
      <c r="S6541">
        <v>3.0366819999999999</v>
      </c>
      <c r="T6541">
        <v>-0.49227559999999898</v>
      </c>
      <c r="U6541">
        <v>-0.1034088</v>
      </c>
      <c r="V6541">
        <v>-9.3551889999999999E-2</v>
      </c>
      <c r="W6541">
        <v>9.5237489999999994E-2</v>
      </c>
      <c r="X6541">
        <v>0.99104890000000001</v>
      </c>
      <c r="Y6541">
        <v>-9.1502139999999996E-2</v>
      </c>
      <c r="Z6541">
        <v>2.7951489999999999E-2</v>
      </c>
      <c r="AA6541">
        <v>0.99541250000000003</v>
      </c>
      <c r="AB6541">
        <v>21</v>
      </c>
      <c r="AC6541">
        <v>6.6287999999999903</v>
      </c>
      <c r="AD6541">
        <v>-1.1128795401</v>
      </c>
      <c r="AE6541">
        <v>-0.20489999999997999</v>
      </c>
      <c r="AF6541">
        <v>-0.62878845926143401</v>
      </c>
      <c r="AG6541">
        <v>-1.1128795401</v>
      </c>
      <c r="AH6541">
        <v>6.4196126019366799</v>
      </c>
      <c r="AI6541">
        <v>99.788903221164205</v>
      </c>
      <c r="AJ6541">
        <v>95.594164930072196</v>
      </c>
      <c r="AK6541">
        <v>6.5456322655812098</v>
      </c>
      <c r="AL6541">
        <v>84.535011194488305</v>
      </c>
      <c r="AM6541">
        <v>95.392561454542403</v>
      </c>
      <c r="AN6541">
        <v>1.0000000289076401</v>
      </c>
    </row>
    <row r="6542" spans="1:40" x14ac:dyDescent="0.25">
      <c r="A6542" t="str">
        <f>"20190312151447434"</f>
        <v>20190312151447434</v>
      </c>
      <c r="B6542" t="str">
        <f>"1552374887427163"</f>
        <v>1552374887427163</v>
      </c>
      <c r="C6542" t="s">
        <v>40</v>
      </c>
      <c r="D6542">
        <v>5.1455679999999999</v>
      </c>
      <c r="E6542">
        <v>0.49989820000000001</v>
      </c>
      <c r="F6542" t="s">
        <v>42</v>
      </c>
      <c r="G6542">
        <v>-123.7183</v>
      </c>
      <c r="H6542" s="1">
        <v>-3.7117430000000001E-6</v>
      </c>
      <c r="I6542">
        <v>143.5685</v>
      </c>
      <c r="J6542">
        <v>-130.48759999999999</v>
      </c>
      <c r="K6542">
        <v>1.1129199999999999</v>
      </c>
      <c r="L6542">
        <v>143.75110000000001</v>
      </c>
      <c r="M6542">
        <v>0.9916275</v>
      </c>
      <c r="N6542">
        <v>0</v>
      </c>
      <c r="O6542">
        <v>-0.12620680000000001</v>
      </c>
      <c r="P6542">
        <v>0.9971312</v>
      </c>
      <c r="Q6542">
        <v>6.9129499999999997E-2</v>
      </c>
      <c r="R6542">
        <v>-3.0834150000000001E-2</v>
      </c>
      <c r="S6542">
        <v>3.038681</v>
      </c>
      <c r="T6542">
        <v>-0.47778549999999997</v>
      </c>
      <c r="U6542">
        <v>-9.4360349999999996E-2</v>
      </c>
      <c r="V6542">
        <v>-9.5468689999999995E-2</v>
      </c>
      <c r="W6542">
        <v>9.6083310000000005E-2</v>
      </c>
      <c r="X6542">
        <v>0.99078440000000001</v>
      </c>
      <c r="Y6542">
        <v>-9.2724509999999996E-2</v>
      </c>
      <c r="Z6542">
        <v>2.691967E-2</v>
      </c>
      <c r="AA6542">
        <v>0.99532779999999998</v>
      </c>
      <c r="AB6542">
        <v>21</v>
      </c>
      <c r="AC6542">
        <v>6.7692999999999799</v>
      </c>
      <c r="AD6542">
        <v>-1.112923711743</v>
      </c>
      <c r="AE6542">
        <v>-0.18260000000000701</v>
      </c>
      <c r="AF6542">
        <v>-0.65579878843781503</v>
      </c>
      <c r="AG6542">
        <v>-1.112923711743</v>
      </c>
      <c r="AH6542">
        <v>6.5609727085555196</v>
      </c>
      <c r="AI6542">
        <v>99.580472007105797</v>
      </c>
      <c r="AJ6542">
        <v>95.708012341141597</v>
      </c>
      <c r="AK6542">
        <v>6.6869300969493199</v>
      </c>
      <c r="AL6542">
        <v>84.486325850838796</v>
      </c>
      <c r="AM6542">
        <v>95.503839086331595</v>
      </c>
      <c r="AN6542">
        <v>1.0000000002571099</v>
      </c>
    </row>
    <row r="6543" spans="1:40" x14ac:dyDescent="0.25">
      <c r="A6543" t="str">
        <f>"20190312151447464"</f>
        <v>20190312151447464</v>
      </c>
      <c r="B6543" t="str">
        <f>"1552374887457418"</f>
        <v>1552374887457418</v>
      </c>
      <c r="C6543" t="s">
        <v>40</v>
      </c>
      <c r="D6543">
        <v>5.1425519999999896</v>
      </c>
      <c r="E6543">
        <v>0.49981310000000001</v>
      </c>
      <c r="F6543" t="s">
        <v>42</v>
      </c>
      <c r="G6543">
        <v>-123.4076</v>
      </c>
      <c r="H6543" s="1">
        <v>-3.8173379999999996E-6</v>
      </c>
      <c r="I6543">
        <v>143.56780000000001</v>
      </c>
      <c r="J6543">
        <v>-130.23580000000001</v>
      </c>
      <c r="K6543">
        <v>1.112938</v>
      </c>
      <c r="L6543">
        <v>143.72110000000001</v>
      </c>
      <c r="M6543">
        <v>0.99181529999999996</v>
      </c>
      <c r="N6543">
        <v>0</v>
      </c>
      <c r="O6543">
        <v>-0.12461999999999999</v>
      </c>
      <c r="P6543">
        <v>0.9972683</v>
      </c>
      <c r="Q6543">
        <v>6.7626140000000001E-2</v>
      </c>
      <c r="R6543">
        <v>-2.9709909999999999E-2</v>
      </c>
      <c r="S6543">
        <v>3.0393219999999999</v>
      </c>
      <c r="T6543">
        <v>-0.47775960000000001</v>
      </c>
      <c r="U6543">
        <v>-7.8659060000000003E-2</v>
      </c>
      <c r="V6543">
        <v>-9.5004770000000002E-2</v>
      </c>
      <c r="W6543">
        <v>9.5046660000000005E-2</v>
      </c>
      <c r="X6543">
        <v>0.9909289</v>
      </c>
      <c r="Y6543">
        <v>-9.6253720000000001E-2</v>
      </c>
      <c r="Z6543">
        <v>2.6945790000000001E-2</v>
      </c>
      <c r="AA6543">
        <v>0.99499199999999999</v>
      </c>
      <c r="AB6543">
        <v>20</v>
      </c>
      <c r="AC6543">
        <v>6.8282000000000096</v>
      </c>
      <c r="AD6543">
        <v>-1.1129418173379999</v>
      </c>
      <c r="AE6543">
        <v>-0.15330000000000099</v>
      </c>
      <c r="AF6543">
        <v>-0.68107055084413703</v>
      </c>
      <c r="AG6543">
        <v>-1.1129418173379999</v>
      </c>
      <c r="AH6543">
        <v>6.6183055184293096</v>
      </c>
      <c r="AI6543">
        <v>99.496385061243302</v>
      </c>
      <c r="AJ6543">
        <v>95.875459975434495</v>
      </c>
      <c r="AK6543">
        <v>6.7456997056849897</v>
      </c>
      <c r="AL6543">
        <v>84.545994228071393</v>
      </c>
      <c r="AM6543">
        <v>95.476462949226601</v>
      </c>
      <c r="AN6543">
        <v>0.999999929377556</v>
      </c>
    </row>
    <row r="6544" spans="1:40" x14ac:dyDescent="0.25">
      <c r="A6544" t="str">
        <f>"20190312151447488"</f>
        <v>20190312151447488</v>
      </c>
      <c r="B6544" t="str">
        <f>"1552374887476939"</f>
        <v>1552374887476939</v>
      </c>
      <c r="C6544" t="s">
        <v>40</v>
      </c>
      <c r="D6544">
        <v>5.1844729999999997</v>
      </c>
      <c r="E6544">
        <v>0.49985469999999999</v>
      </c>
      <c r="F6544" t="s">
        <v>42</v>
      </c>
      <c r="G6544">
        <v>-123.2389</v>
      </c>
      <c r="H6544" s="1">
        <v>-3.8718830000000003E-6</v>
      </c>
      <c r="I6544">
        <v>143.55170000000001</v>
      </c>
      <c r="J6544">
        <v>-130.02770000000001</v>
      </c>
      <c r="K6544">
        <v>1.1129500000000001</v>
      </c>
      <c r="L6544">
        <v>143.69669999999999</v>
      </c>
      <c r="M6544">
        <v>0.99197020000000002</v>
      </c>
      <c r="N6544">
        <v>0</v>
      </c>
      <c r="O6544">
        <v>-0.1233042</v>
      </c>
      <c r="P6544">
        <v>0.99733340000000004</v>
      </c>
      <c r="Q6544">
        <v>6.6972229999999994E-2</v>
      </c>
      <c r="R6544">
        <v>-2.8996640000000001E-2</v>
      </c>
      <c r="S6544">
        <v>3.0388030000000001</v>
      </c>
      <c r="T6544">
        <v>-0.4833596</v>
      </c>
      <c r="U6544">
        <v>-7.3577879999999998E-2</v>
      </c>
      <c r="V6544">
        <v>-9.4398499999999996E-2</v>
      </c>
      <c r="W6544">
        <v>9.4738600000000006E-2</v>
      </c>
      <c r="X6544">
        <v>0.99101640000000002</v>
      </c>
      <c r="Y6544">
        <v>-9.6541290000000002E-2</v>
      </c>
      <c r="Z6544">
        <v>2.707963E-2</v>
      </c>
      <c r="AA6544">
        <v>0.99496050000000003</v>
      </c>
      <c r="AB6544">
        <v>20</v>
      </c>
      <c r="AC6544">
        <v>6.7888000000000002</v>
      </c>
      <c r="AD6544">
        <v>-1.1129538718829901</v>
      </c>
      <c r="AE6544">
        <v>-0.14499999999998101</v>
      </c>
      <c r="AF6544">
        <v>-0.67538282099866198</v>
      </c>
      <c r="AG6544">
        <v>-1.1129538718829901</v>
      </c>
      <c r="AH6544">
        <v>6.5781245810399902</v>
      </c>
      <c r="AI6544">
        <v>99.553652249189994</v>
      </c>
      <c r="AJ6544">
        <v>95.862076189446299</v>
      </c>
      <c r="AK6544">
        <v>6.7057088573485002</v>
      </c>
      <c r="AL6544">
        <v>84.563725118110298</v>
      </c>
      <c r="AM6544">
        <v>95.441247938799293</v>
      </c>
      <c r="AN6544">
        <v>0.99999999210058499</v>
      </c>
    </row>
    <row r="6545" spans="1:40" x14ac:dyDescent="0.25">
      <c r="A6545" t="str">
        <f>"20190312151447511"</f>
        <v>20190312151447511</v>
      </c>
      <c r="B6545" t="str">
        <f>"1552374887507195"</f>
        <v>1552374887507195</v>
      </c>
      <c r="C6545" t="s">
        <v>40</v>
      </c>
      <c r="D6545">
        <v>5.1597</v>
      </c>
      <c r="E6545">
        <v>0.49999539999999998</v>
      </c>
      <c r="F6545" t="s">
        <v>42</v>
      </c>
      <c r="G6545">
        <v>-123.0582</v>
      </c>
      <c r="H6545" s="1">
        <v>-3.9296030000000003E-6</v>
      </c>
      <c r="I6545">
        <v>143.53030000000001</v>
      </c>
      <c r="J6545">
        <v>-129.8373</v>
      </c>
      <c r="K6545">
        <v>1.1129549999999999</v>
      </c>
      <c r="L6545">
        <v>143.6746</v>
      </c>
      <c r="M6545">
        <v>0.99211139999999998</v>
      </c>
      <c r="N6545">
        <v>0</v>
      </c>
      <c r="O6545">
        <v>-0.1220991</v>
      </c>
      <c r="P6545">
        <v>0.99731519999999996</v>
      </c>
      <c r="Q6545">
        <v>6.7493189999999995E-2</v>
      </c>
      <c r="R6545">
        <v>-2.8415449999999998E-2</v>
      </c>
      <c r="S6545">
        <v>3.0384829999999998</v>
      </c>
      <c r="T6545">
        <v>-0.4852089</v>
      </c>
      <c r="U6545">
        <v>-7.2509770000000001E-2</v>
      </c>
      <c r="V6545">
        <v>-9.3763739999999998E-2</v>
      </c>
      <c r="W6545">
        <v>9.5536049999999997E-2</v>
      </c>
      <c r="X6545">
        <v>0.99100010000000005</v>
      </c>
      <c r="Y6545">
        <v>-9.5684749999999999E-2</v>
      </c>
      <c r="Z6545">
        <v>2.6927159999999999E-2</v>
      </c>
      <c r="AA6545">
        <v>0.99504740000000003</v>
      </c>
      <c r="AB6545">
        <v>19</v>
      </c>
      <c r="AC6545">
        <v>6.7790999999999997</v>
      </c>
      <c r="AD6545">
        <v>-1.112958929603</v>
      </c>
      <c r="AE6545">
        <v>-0.14429999999998699</v>
      </c>
      <c r="AF6545">
        <v>-0.666870336738692</v>
      </c>
      <c r="AG6545">
        <v>-1.112958929603</v>
      </c>
      <c r="AH6545">
        <v>6.5689864998794896</v>
      </c>
      <c r="AI6545">
        <v>99.567833508009798</v>
      </c>
      <c r="AJ6545">
        <v>95.796693686673294</v>
      </c>
      <c r="AK6545">
        <v>6.6958925663875499</v>
      </c>
      <c r="AL6545">
        <v>84.517826379729598</v>
      </c>
      <c r="AM6545">
        <v>95.404965348955898</v>
      </c>
      <c r="AN6545">
        <v>0.99999998699420001</v>
      </c>
    </row>
    <row r="6546" spans="1:40" x14ac:dyDescent="0.25">
      <c r="A6546" t="str">
        <f>"20190312151447530"</f>
        <v>20190312151447530</v>
      </c>
      <c r="B6546" t="str">
        <f>"1552374887526715"</f>
        <v>1552374887526715</v>
      </c>
      <c r="C6546" t="s">
        <v>40</v>
      </c>
      <c r="D6546">
        <v>5.140574</v>
      </c>
      <c r="E6546">
        <v>0.50008520000000001</v>
      </c>
      <c r="F6546" t="s">
        <v>42</v>
      </c>
      <c r="G6546">
        <v>-122.8289</v>
      </c>
      <c r="H6546" s="1">
        <v>-4.0035069999999999E-6</v>
      </c>
      <c r="I6546">
        <v>143.50710000000001</v>
      </c>
      <c r="J6546">
        <v>-129.678</v>
      </c>
      <c r="K6546">
        <v>1.1129610000000001</v>
      </c>
      <c r="L6546">
        <v>143.65629999999999</v>
      </c>
      <c r="M6546">
        <v>0.99222949999999999</v>
      </c>
      <c r="N6546">
        <v>0</v>
      </c>
      <c r="O6546">
        <v>-0.121089</v>
      </c>
      <c r="P6546">
        <v>0.99729350000000005</v>
      </c>
      <c r="Q6546">
        <v>6.7890759999999994E-2</v>
      </c>
      <c r="R6546">
        <v>-2.8230789999999999E-2</v>
      </c>
      <c r="S6546">
        <v>3.0386510000000002</v>
      </c>
      <c r="T6546">
        <v>-0.48254330000000001</v>
      </c>
      <c r="U6546">
        <v>-7.261658E-2</v>
      </c>
      <c r="V6546">
        <v>-9.2930819999999997E-2</v>
      </c>
      <c r="W6546">
        <v>9.6143099999999995E-2</v>
      </c>
      <c r="X6546">
        <v>0.99101980000000001</v>
      </c>
      <c r="Y6546">
        <v>-9.4693769999999997E-2</v>
      </c>
      <c r="Z6546">
        <v>2.654308E-2</v>
      </c>
      <c r="AA6546">
        <v>0.9951525</v>
      </c>
      <c r="AB6546">
        <v>19</v>
      </c>
      <c r="AC6546">
        <v>6.8490999999999902</v>
      </c>
      <c r="AD6546">
        <v>-1.112965003507</v>
      </c>
      <c r="AE6546">
        <v>-0.14919999999997899</v>
      </c>
      <c r="AF6546">
        <v>-0.66406223717187796</v>
      </c>
      <c r="AG6546">
        <v>-1.112965003507</v>
      </c>
      <c r="AH6546">
        <v>6.6414462356237696</v>
      </c>
      <c r="AI6546">
        <v>99.466814734892196</v>
      </c>
      <c r="AJ6546">
        <v>95.709889426066894</v>
      </c>
      <c r="AK6546">
        <v>6.7667183962797104</v>
      </c>
      <c r="AL6546">
        <v>84.482883860914399</v>
      </c>
      <c r="AM6546">
        <v>95.357126793652299</v>
      </c>
      <c r="AN6546">
        <v>0.99999993848775903</v>
      </c>
    </row>
    <row r="6547" spans="1:40" x14ac:dyDescent="0.25">
      <c r="A6547" t="str">
        <f>"20190312151447569"</f>
        <v>20190312151447569</v>
      </c>
      <c r="B6547" t="str">
        <f>"1552374887556970"</f>
        <v>1552374887556970</v>
      </c>
      <c r="C6547" t="s">
        <v>40</v>
      </c>
      <c r="D6547">
        <v>5.1657739999999999</v>
      </c>
      <c r="E6547">
        <v>0.50023030000000002</v>
      </c>
      <c r="F6547" t="s">
        <v>42</v>
      </c>
      <c r="G6547">
        <v>-122.6421</v>
      </c>
      <c r="H6547" s="1">
        <v>-4.0631180000000002E-6</v>
      </c>
      <c r="I6547">
        <v>143.48490000000001</v>
      </c>
      <c r="J6547">
        <v>-129.36250000000001</v>
      </c>
      <c r="K6547">
        <v>1.1129549999999999</v>
      </c>
      <c r="L6547">
        <v>143.6206</v>
      </c>
      <c r="M6547">
        <v>0.99246279999999998</v>
      </c>
      <c r="N6547">
        <v>0</v>
      </c>
      <c r="O6547">
        <v>-0.11907760000000001</v>
      </c>
      <c r="P6547">
        <v>0.99737299999999995</v>
      </c>
      <c r="Q6547">
        <v>6.7683370000000007E-2</v>
      </c>
      <c r="R6547">
        <v>-2.581174E-2</v>
      </c>
      <c r="S6547">
        <v>3.0387729999999999</v>
      </c>
      <c r="T6547">
        <v>-0.48068650000000002</v>
      </c>
      <c r="U6547">
        <v>-7.403564E-2</v>
      </c>
      <c r="V6547">
        <v>-9.3320269999999997E-2</v>
      </c>
      <c r="W6547">
        <v>9.6290249999999994E-2</v>
      </c>
      <c r="X6547">
        <v>0.99096899999999999</v>
      </c>
      <c r="Y6547">
        <v>-9.2289289999999996E-2</v>
      </c>
      <c r="Z6547">
        <v>2.5937780000000001E-2</v>
      </c>
      <c r="AA6547">
        <v>0.99539429999999995</v>
      </c>
      <c r="AB6547">
        <v>19</v>
      </c>
      <c r="AC6547">
        <v>6.7204000000000104</v>
      </c>
      <c r="AD6547">
        <v>-1.112959063118</v>
      </c>
      <c r="AE6547">
        <v>-0.135699999999985</v>
      </c>
      <c r="AF6547">
        <v>-0.64808365969013104</v>
      </c>
      <c r="AG6547">
        <v>-1.112959063118</v>
      </c>
      <c r="AH6547">
        <v>6.5102302434223596</v>
      </c>
      <c r="AI6547">
        <v>99.654425513006998</v>
      </c>
      <c r="AJ6547">
        <v>95.684979116381001</v>
      </c>
      <c r="AK6547">
        <v>6.6363987318804902</v>
      </c>
      <c r="AL6547">
        <v>84.474413950278603</v>
      </c>
      <c r="AM6547">
        <v>95.379719899681902</v>
      </c>
      <c r="AN6547">
        <v>1.00000002199946</v>
      </c>
    </row>
    <row r="6548" spans="1:40" x14ac:dyDescent="0.25">
      <c r="A6548" t="str">
        <f>"20190312151447597"</f>
        <v>20190312151447597</v>
      </c>
      <c r="B6548" t="str">
        <f>"1552374887587226"</f>
        <v>1552374887587226</v>
      </c>
      <c r="C6548" t="s">
        <v>40</v>
      </c>
      <c r="D6548">
        <v>5.0050699999999999</v>
      </c>
      <c r="E6548">
        <v>0.50039319999999998</v>
      </c>
      <c r="F6548" t="s">
        <v>42</v>
      </c>
      <c r="G6548">
        <v>-122.31019999999999</v>
      </c>
      <c r="H6548" s="1">
        <v>-4.1719550000000003E-6</v>
      </c>
      <c r="I6548">
        <v>143.46170000000001</v>
      </c>
      <c r="J6548">
        <v>-129.1405</v>
      </c>
      <c r="K6548">
        <v>1.112949</v>
      </c>
      <c r="L6548">
        <v>143.5958</v>
      </c>
      <c r="M6548">
        <v>0.99262620000000001</v>
      </c>
      <c r="N6548">
        <v>0</v>
      </c>
      <c r="O6548">
        <v>-0.11765680000000001</v>
      </c>
      <c r="P6548">
        <v>0.99744630000000001</v>
      </c>
      <c r="Q6548">
        <v>6.7182610000000004E-2</v>
      </c>
      <c r="R6548">
        <v>-2.4239239999999999E-2</v>
      </c>
      <c r="S6548">
        <v>3.0386660000000001</v>
      </c>
      <c r="T6548">
        <v>-0.47955110000000001</v>
      </c>
      <c r="U6548">
        <v>-6.8435670000000004E-2</v>
      </c>
      <c r="V6548">
        <v>-9.346235E-2</v>
      </c>
      <c r="W6548">
        <v>9.5995499999999997E-2</v>
      </c>
      <c r="X6548">
        <v>0.99098419999999998</v>
      </c>
      <c r="Y6548">
        <v>-9.2721460000000006E-2</v>
      </c>
      <c r="Z6548">
        <v>2.5691640000000002E-2</v>
      </c>
      <c r="AA6548">
        <v>0.99536060000000004</v>
      </c>
      <c r="AB6548">
        <v>18</v>
      </c>
      <c r="AC6548">
        <v>6.8303000000000003</v>
      </c>
      <c r="AD6548">
        <v>-1.1129531719550001</v>
      </c>
      <c r="AE6548">
        <v>-0.13409999999998901</v>
      </c>
      <c r="AF6548">
        <v>-0.65346213345664095</v>
      </c>
      <c r="AG6548">
        <v>-1.1129531719550001</v>
      </c>
      <c r="AH6548">
        <v>6.6228305610425897</v>
      </c>
      <c r="AI6548">
        <v>99.494051299275299</v>
      </c>
      <c r="AJ6548">
        <v>95.635026751752306</v>
      </c>
      <c r="AK6548">
        <v>6.7474115157670704</v>
      </c>
      <c r="AL6548">
        <v>84.491380443241596</v>
      </c>
      <c r="AM6548">
        <v>95.387780199076303</v>
      </c>
      <c r="AN6548">
        <v>1.0000000157686999</v>
      </c>
    </row>
    <row r="6549" spans="1:40" x14ac:dyDescent="0.25">
      <c r="A6549" t="str">
        <f>"20190312151447637"</f>
        <v>20190312151447637</v>
      </c>
      <c r="B6549" t="str">
        <f>"1552374887627243"</f>
        <v>1552374887627243</v>
      </c>
      <c r="C6549" t="s">
        <v>40</v>
      </c>
      <c r="D6549">
        <v>5.0262000000000002</v>
      </c>
      <c r="E6549">
        <v>0.55047179999999996</v>
      </c>
      <c r="F6549" t="s">
        <v>42</v>
      </c>
      <c r="G6549">
        <v>-122.09520000000001</v>
      </c>
      <c r="H6549" s="1">
        <v>-4.2422940000000003E-6</v>
      </c>
      <c r="I6549">
        <v>143.44569999999999</v>
      </c>
      <c r="J6549">
        <v>-128.84520000000001</v>
      </c>
      <c r="K6549">
        <v>1.1129389999999999</v>
      </c>
      <c r="L6549">
        <v>143.5634</v>
      </c>
      <c r="M6549">
        <v>0.99284170000000005</v>
      </c>
      <c r="N6549">
        <v>0</v>
      </c>
      <c r="O6549">
        <v>-0.115771</v>
      </c>
      <c r="P6549">
        <v>0.99749030000000005</v>
      </c>
      <c r="Q6549">
        <v>6.6960039999999998E-2</v>
      </c>
      <c r="R6549">
        <v>-2.3011790000000001E-2</v>
      </c>
      <c r="S6549">
        <v>3.0384519999999999</v>
      </c>
      <c r="T6549">
        <v>-0.47998639999999998</v>
      </c>
      <c r="U6549">
        <v>-6.4727779999999999E-2</v>
      </c>
      <c r="V6549">
        <v>-9.2791830000000006E-2</v>
      </c>
      <c r="W6549">
        <v>9.5992649999999999E-2</v>
      </c>
      <c r="X6549">
        <v>0.99104740000000002</v>
      </c>
      <c r="Y6549">
        <v>-9.2069689999999996E-2</v>
      </c>
      <c r="Z6549">
        <v>2.5371640000000001E-2</v>
      </c>
      <c r="AA6549">
        <v>0.99542929999999996</v>
      </c>
      <c r="AB6549">
        <v>18</v>
      </c>
      <c r="AC6549">
        <v>6.75</v>
      </c>
      <c r="AD6549">
        <v>-1.112943242294</v>
      </c>
      <c r="AE6549">
        <v>-0.117700000000013</v>
      </c>
      <c r="AF6549">
        <v>-0.64729190060601605</v>
      </c>
      <c r="AG6549">
        <v>-1.112943242294</v>
      </c>
      <c r="AH6549">
        <v>6.5404534247687396</v>
      </c>
      <c r="AI6549">
        <v>99.611051367406006</v>
      </c>
      <c r="AJ6549">
        <v>95.652011323170697</v>
      </c>
      <c r="AK6549">
        <v>6.6659703319717201</v>
      </c>
      <c r="AL6549">
        <v>84.491544024360806</v>
      </c>
      <c r="AM6549">
        <v>95.349012925716707</v>
      </c>
      <c r="AN6549">
        <v>0.99999993080776295</v>
      </c>
    </row>
    <row r="6550" spans="1:40" x14ac:dyDescent="0.25">
      <c r="A6550" t="str">
        <f>"20190312151447665"</f>
        <v>20190312151447665</v>
      </c>
      <c r="B6550" t="str">
        <f>"1552374887656524"</f>
        <v>1552374887656524</v>
      </c>
      <c r="C6550" t="s">
        <v>40</v>
      </c>
      <c r="D6550">
        <v>4.9921480000000003</v>
      </c>
      <c r="E6550">
        <v>0.55325709999999995</v>
      </c>
      <c r="F6550" t="s">
        <v>41</v>
      </c>
      <c r="G6550">
        <v>-128.06290000000001</v>
      </c>
      <c r="H6550">
        <v>1.014184</v>
      </c>
      <c r="I6550">
        <v>143.44390000000001</v>
      </c>
      <c r="J6550">
        <v>-128.63290000000001</v>
      </c>
      <c r="K6550">
        <v>1.112927</v>
      </c>
      <c r="L6550">
        <v>143.54040000000001</v>
      </c>
      <c r="M6550">
        <v>0.99299559999999998</v>
      </c>
      <c r="N6550">
        <v>0</v>
      </c>
      <c r="O6550">
        <v>-0.1144082</v>
      </c>
      <c r="P6550">
        <v>0.99748579999999998</v>
      </c>
      <c r="Q6550">
        <v>6.7331080000000001E-2</v>
      </c>
      <c r="R6550">
        <v>-2.2109380000000001E-2</v>
      </c>
      <c r="S6550">
        <v>3.0225070000000001</v>
      </c>
      <c r="T6550">
        <v>-0.38155359999999999</v>
      </c>
      <c r="U6550">
        <v>-0.46170040000000001</v>
      </c>
      <c r="V6550">
        <v>-9.2317880000000005E-2</v>
      </c>
      <c r="W6550">
        <v>9.6512349999999997E-2</v>
      </c>
      <c r="X6550">
        <v>0.99104119999999996</v>
      </c>
      <c r="Y6550">
        <v>3.7456299999999998E-2</v>
      </c>
      <c r="Z6550">
        <v>1.191382E-2</v>
      </c>
      <c r="AA6550">
        <v>0.99922719999999998</v>
      </c>
      <c r="AB6550">
        <v>17</v>
      </c>
      <c r="AC6550">
        <v>0.56999999999999296</v>
      </c>
      <c r="AD6550">
        <v>-9.8742999999999997E-2</v>
      </c>
      <c r="AE6550">
        <v>-9.6499999999991801E-2</v>
      </c>
      <c r="AF6550">
        <v>2.9756625370165098E-2</v>
      </c>
      <c r="AG6550">
        <v>-9.8742999999999997E-2</v>
      </c>
      <c r="AH6550">
        <v>0.56093471382230697</v>
      </c>
      <c r="AI6550">
        <v>99.969924615207802</v>
      </c>
      <c r="AJ6550">
        <v>86.963403392235804</v>
      </c>
      <c r="AK6550">
        <v>0.57033620784001904</v>
      </c>
      <c r="AL6550">
        <v>84.4616285703611</v>
      </c>
      <c r="AM6550">
        <v>95.321882305534501</v>
      </c>
      <c r="AN6550">
        <v>0.99999994238382595</v>
      </c>
    </row>
    <row r="6551" spans="1:40" x14ac:dyDescent="0.25">
      <c r="A6551" t="str">
        <f>"20190312151447703"</f>
        <v>20190312151447703</v>
      </c>
      <c r="B6551" t="str">
        <f>"1552374887697514"</f>
        <v>1552374887697514</v>
      </c>
      <c r="C6551" t="s">
        <v>40</v>
      </c>
      <c r="D6551">
        <v>5.042332</v>
      </c>
      <c r="E6551">
        <v>0.55393919999999996</v>
      </c>
      <c r="F6551" t="s">
        <v>41</v>
      </c>
      <c r="G6551">
        <v>-127.9156</v>
      </c>
      <c r="H6551">
        <v>1.0149250000000001</v>
      </c>
      <c r="I6551">
        <v>143.4263</v>
      </c>
      <c r="J6551">
        <v>-128.35849999999999</v>
      </c>
      <c r="K6551">
        <v>1.1129260000000001</v>
      </c>
      <c r="L6551">
        <v>143.5112</v>
      </c>
      <c r="M6551">
        <v>0.99319259999999998</v>
      </c>
      <c r="N6551">
        <v>0</v>
      </c>
      <c r="O6551">
        <v>-0.1126394</v>
      </c>
      <c r="P6551">
        <v>0.99743870000000001</v>
      </c>
      <c r="Q6551">
        <v>6.8438780000000005E-2</v>
      </c>
      <c r="R6551">
        <v>-2.080224E-2</v>
      </c>
      <c r="S6551">
        <v>3.0247959999999998</v>
      </c>
      <c r="T6551">
        <v>-0.41345189999999998</v>
      </c>
      <c r="U6551">
        <v>-0.48075869999999998</v>
      </c>
      <c r="V6551">
        <v>-9.1834669999999993E-2</v>
      </c>
      <c r="W6551">
        <v>9.7798969999999999E-2</v>
      </c>
      <c r="X6551">
        <v>0.99095999999999995</v>
      </c>
      <c r="Y6551">
        <v>4.5282360000000001E-2</v>
      </c>
      <c r="Z6551">
        <v>1.211805E-2</v>
      </c>
      <c r="AA6551">
        <v>0.99890069999999997</v>
      </c>
      <c r="AB6551">
        <v>17</v>
      </c>
      <c r="AC6551">
        <v>0.44289999999999402</v>
      </c>
      <c r="AD6551">
        <v>-9.8001000000000005E-2</v>
      </c>
      <c r="AE6551">
        <v>-8.4900000000004597E-2</v>
      </c>
      <c r="AF6551">
        <v>3.2895716681110999E-2</v>
      </c>
      <c r="AG6551">
        <v>-9.8001000000000005E-2</v>
      </c>
      <c r="AH6551">
        <v>0.429368953794246</v>
      </c>
      <c r="AI6551">
        <v>102.820860317547</v>
      </c>
      <c r="AJ6551">
        <v>85.6188939029323</v>
      </c>
      <c r="AK6551">
        <v>0.44163788634958601</v>
      </c>
      <c r="AL6551">
        <v>84.387560493294501</v>
      </c>
      <c r="AM6551">
        <v>95.294616563661094</v>
      </c>
      <c r="AN6551">
        <v>0.99999998337353402</v>
      </c>
    </row>
    <row r="6552" spans="1:40" x14ac:dyDescent="0.25">
      <c r="A6552" t="str">
        <f>"20190312151447730"</f>
        <v>20190312151447730</v>
      </c>
      <c r="B6552" t="str">
        <f>"1552374887726795"</f>
        <v>1552374887726795</v>
      </c>
      <c r="C6552" t="s">
        <v>40</v>
      </c>
      <c r="D6552">
        <v>4.9847349999999997</v>
      </c>
      <c r="E6552">
        <v>0.55453949999999996</v>
      </c>
      <c r="F6552" t="s">
        <v>41</v>
      </c>
      <c r="G6552">
        <v>-127.6315</v>
      </c>
      <c r="H6552">
        <v>1.0114430000000001</v>
      </c>
      <c r="I6552">
        <v>143.39519999999999</v>
      </c>
      <c r="J6552">
        <v>-128.17189999999999</v>
      </c>
      <c r="K6552">
        <v>1.1129290000000001</v>
      </c>
      <c r="L6552">
        <v>143.49170000000001</v>
      </c>
      <c r="M6552">
        <v>0.99332529999999997</v>
      </c>
      <c r="N6552">
        <v>0</v>
      </c>
      <c r="O6552">
        <v>-0.1114382</v>
      </c>
      <c r="P6552">
        <v>0.99746800000000002</v>
      </c>
      <c r="Q6552">
        <v>6.8199399999999993E-2</v>
      </c>
      <c r="R6552">
        <v>-2.0172869999999999E-2</v>
      </c>
      <c r="S6552">
        <v>3.0266419999999998</v>
      </c>
      <c r="T6552">
        <v>-0.42264099999999999</v>
      </c>
      <c r="U6552">
        <v>-0.48242190000000001</v>
      </c>
      <c r="V6552">
        <v>-9.1257069999999996E-2</v>
      </c>
      <c r="W6552">
        <v>9.7658490000000001E-2</v>
      </c>
      <c r="X6552">
        <v>0.9910272</v>
      </c>
      <c r="Y6552">
        <v>4.6930600000000003E-2</v>
      </c>
      <c r="Z6552">
        <v>1.2098630000000001E-2</v>
      </c>
      <c r="AA6552">
        <v>0.99882490000000002</v>
      </c>
      <c r="AB6552">
        <v>16</v>
      </c>
      <c r="AC6552">
        <v>0.540399999999991</v>
      </c>
      <c r="AD6552">
        <v>-0.10148599999999899</v>
      </c>
      <c r="AE6552">
        <v>-9.6500000000020195E-2</v>
      </c>
      <c r="AF6552">
        <v>3.44722908419757E-2</v>
      </c>
      <c r="AG6552">
        <v>-0.10148599999999899</v>
      </c>
      <c r="AH6552">
        <v>0.52968589777531006</v>
      </c>
      <c r="AI6552">
        <v>100.823875128284</v>
      </c>
      <c r="AJ6552">
        <v>86.276405845642699</v>
      </c>
      <c r="AK6552">
        <v>0.540421037094163</v>
      </c>
      <c r="AL6552">
        <v>84.395648057113505</v>
      </c>
      <c r="AM6552">
        <v>95.261148448380396</v>
      </c>
      <c r="AN6552">
        <v>0.99999997231695203</v>
      </c>
    </row>
    <row r="6553" spans="1:40" x14ac:dyDescent="0.25">
      <c r="A6553" t="str">
        <f>"20190312151447753"</f>
        <v>20190312151447753</v>
      </c>
      <c r="B6553" t="str">
        <f>"1552374887747290"</f>
        <v>1552374887747290</v>
      </c>
      <c r="C6553" t="s">
        <v>40</v>
      </c>
      <c r="D6553">
        <v>4.9890420000000004</v>
      </c>
      <c r="E6553">
        <v>0.55447270000000004</v>
      </c>
      <c r="F6553" t="s">
        <v>41</v>
      </c>
      <c r="G6553">
        <v>-127.364</v>
      </c>
      <c r="H6553">
        <v>0.99796660000000004</v>
      </c>
      <c r="I6553">
        <v>143.3621</v>
      </c>
      <c r="J6553">
        <v>-128.0204</v>
      </c>
      <c r="K6553">
        <v>1.112927</v>
      </c>
      <c r="L6553">
        <v>143.4759</v>
      </c>
      <c r="M6553">
        <v>0.9934326</v>
      </c>
      <c r="N6553">
        <v>0</v>
      </c>
      <c r="O6553">
        <v>-0.1104629</v>
      </c>
      <c r="P6553">
        <v>0.99745459999999997</v>
      </c>
      <c r="Q6553">
        <v>6.8502090000000002E-2</v>
      </c>
      <c r="R6553">
        <v>-1.9799529999999999E-2</v>
      </c>
      <c r="S6553">
        <v>3.0272670000000002</v>
      </c>
      <c r="T6553">
        <v>-0.4309306</v>
      </c>
      <c r="U6553">
        <v>-0.484848</v>
      </c>
      <c r="V6553">
        <v>-9.0646539999999998E-2</v>
      </c>
      <c r="W6553">
        <v>9.8024849999999997E-2</v>
      </c>
      <c r="X6553">
        <v>0.99104709999999996</v>
      </c>
      <c r="Y6553">
        <v>4.8656739999999997E-2</v>
      </c>
      <c r="Z6553">
        <v>1.2072660000000001E-2</v>
      </c>
      <c r="AA6553">
        <v>0.99874260000000004</v>
      </c>
      <c r="AB6553">
        <v>16</v>
      </c>
      <c r="AC6553">
        <v>0.65640000000000498</v>
      </c>
      <c r="AD6553">
        <v>-0.1149604</v>
      </c>
      <c r="AE6553">
        <v>-0.113799999999997</v>
      </c>
      <c r="AF6553">
        <v>3.9389870563592798E-2</v>
      </c>
      <c r="AG6553">
        <v>-0.1149604</v>
      </c>
      <c r="AH6553">
        <v>0.64572710560450097</v>
      </c>
      <c r="AI6553">
        <v>100.076398450873</v>
      </c>
      <c r="AJ6553">
        <v>86.509237100331802</v>
      </c>
      <c r="AK6553">
        <v>0.65706236415087904</v>
      </c>
      <c r="AL6553">
        <v>84.374556189736893</v>
      </c>
      <c r="AM6553">
        <v>95.226041398226101</v>
      </c>
      <c r="AN6553">
        <v>1.00000001042495</v>
      </c>
    </row>
    <row r="6554" spans="1:40" x14ac:dyDescent="0.25">
      <c r="A6554" t="str">
        <f>"20190312151447776"</f>
        <v>20190312151447776</v>
      </c>
      <c r="B6554" t="str">
        <f>"1552374887766811"</f>
        <v>1552374887766811</v>
      </c>
      <c r="C6554" t="s">
        <v>40</v>
      </c>
      <c r="D6554">
        <v>5.0131769999999998</v>
      </c>
      <c r="E6554">
        <v>0.55434600000000001</v>
      </c>
      <c r="F6554" t="s">
        <v>41</v>
      </c>
      <c r="G6554">
        <v>-127.229</v>
      </c>
      <c r="H6554">
        <v>1.0006980000000001</v>
      </c>
      <c r="I6554">
        <v>143.34950000000001</v>
      </c>
      <c r="J6554">
        <v>-127.8646</v>
      </c>
      <c r="K6554">
        <v>1.1129789999999999</v>
      </c>
      <c r="L6554">
        <v>143.4599</v>
      </c>
      <c r="M6554">
        <v>0.99353329999999995</v>
      </c>
      <c r="N6554">
        <v>0</v>
      </c>
      <c r="O6554">
        <v>-0.109475</v>
      </c>
      <c r="P6554">
        <v>0.99745240000000002</v>
      </c>
      <c r="Q6554">
        <v>6.8733600000000006E-2</v>
      </c>
      <c r="R6554">
        <v>-1.908909E-2</v>
      </c>
      <c r="S6554">
        <v>3.0275569999999998</v>
      </c>
      <c r="T6554">
        <v>-0.42937720000000001</v>
      </c>
      <c r="U6554">
        <v>-0.48329159999999999</v>
      </c>
      <c r="V6554">
        <v>-9.0359750000000003E-2</v>
      </c>
      <c r="W6554">
        <v>9.8542550000000007E-2</v>
      </c>
      <c r="X6554">
        <v>0.99102190000000001</v>
      </c>
      <c r="Y6554">
        <v>4.911517E-2</v>
      </c>
      <c r="Z6554">
        <v>1.1859629999999999E-2</v>
      </c>
      <c r="AA6554">
        <v>0.99872269999999996</v>
      </c>
      <c r="AB6554">
        <v>15</v>
      </c>
      <c r="AC6554">
        <v>0.63559999999999595</v>
      </c>
      <c r="AD6554">
        <v>-0.11228100000000001</v>
      </c>
      <c r="AE6554">
        <v>-0.110399999999998</v>
      </c>
      <c r="AF6554">
        <v>3.8942299815083598E-2</v>
      </c>
      <c r="AG6554">
        <v>-0.11228100000000001</v>
      </c>
      <c r="AH6554">
        <v>0.62493686430239104</v>
      </c>
      <c r="AI6554">
        <v>100.166227203312</v>
      </c>
      <c r="AJ6554">
        <v>86.434282752223993</v>
      </c>
      <c r="AK6554">
        <v>0.63613647123867501</v>
      </c>
      <c r="AL6554">
        <v>84.344749583091399</v>
      </c>
      <c r="AM6554">
        <v>95.209729969677497</v>
      </c>
      <c r="AN6554">
        <v>0.99999996243008604</v>
      </c>
    </row>
    <row r="6555" spans="1:40" x14ac:dyDescent="0.25">
      <c r="A6555" t="str">
        <f>"20190312151447800"</f>
        <v>20190312151447800</v>
      </c>
      <c r="B6555" t="str">
        <f>"1552374887797067"</f>
        <v>1552374887797067</v>
      </c>
      <c r="C6555" t="s">
        <v>40</v>
      </c>
      <c r="D6555">
        <v>5.1001620000000001</v>
      </c>
      <c r="E6555">
        <v>0.52326510000000004</v>
      </c>
      <c r="F6555" t="s">
        <v>41</v>
      </c>
      <c r="G6555">
        <v>-127.09739999999999</v>
      </c>
      <c r="H6555">
        <v>1.0049969999999999</v>
      </c>
      <c r="I6555">
        <v>143.33799999999999</v>
      </c>
      <c r="J6555">
        <v>-127.71250000000001</v>
      </c>
      <c r="K6555">
        <v>1.113113</v>
      </c>
      <c r="L6555">
        <v>143.4444</v>
      </c>
      <c r="M6555">
        <v>0.99361429999999995</v>
      </c>
      <c r="N6555">
        <v>0</v>
      </c>
      <c r="O6555">
        <v>-0.1085382</v>
      </c>
      <c r="P6555">
        <v>0.99748499999999996</v>
      </c>
      <c r="Q6555">
        <v>6.8128099999999997E-2</v>
      </c>
      <c r="R6555">
        <v>-1.9556460000000001E-2</v>
      </c>
      <c r="S6555">
        <v>3.0278170000000002</v>
      </c>
      <c r="T6555">
        <v>-0.42628549999999998</v>
      </c>
      <c r="U6555">
        <v>-0.48051450000000001</v>
      </c>
      <c r="V6555">
        <v>-8.8953260000000006E-2</v>
      </c>
      <c r="W6555">
        <v>9.8658339999999997E-2</v>
      </c>
      <c r="X6555">
        <v>0.99113770000000001</v>
      </c>
      <c r="Y6555">
        <v>4.9130529999999999E-2</v>
      </c>
      <c r="Z6555">
        <v>1.1644989999999999E-2</v>
      </c>
      <c r="AA6555">
        <v>0.99872450000000002</v>
      </c>
      <c r="AB6555">
        <v>15</v>
      </c>
      <c r="AC6555">
        <v>0.61510000000001197</v>
      </c>
      <c r="AD6555">
        <v>-0.108116</v>
      </c>
      <c r="AE6555">
        <v>-0.106400000000007</v>
      </c>
      <c r="AF6555">
        <v>3.7842069866946201E-2</v>
      </c>
      <c r="AG6555">
        <v>-0.108116</v>
      </c>
      <c r="AH6555">
        <v>0.60487203971182102</v>
      </c>
      <c r="AI6555">
        <v>100.114773004185</v>
      </c>
      <c r="AJ6555">
        <v>86.4201209595699</v>
      </c>
      <c r="AK6555">
        <v>0.61562267350460198</v>
      </c>
      <c r="AL6555">
        <v>84.338083289594394</v>
      </c>
      <c r="AM6555">
        <v>95.128478052256199</v>
      </c>
      <c r="AN6555">
        <v>1.0000000454387299</v>
      </c>
    </row>
    <row r="6556" spans="1:40" x14ac:dyDescent="0.25">
      <c r="A6556" t="str">
        <f>"20190312151447839"</f>
        <v>20190312151447839</v>
      </c>
      <c r="B6556" t="str">
        <f>"1552374887827323"</f>
        <v>1552374887827323</v>
      </c>
      <c r="C6556" t="s">
        <v>40</v>
      </c>
      <c r="D6556">
        <v>5.1355930000000001</v>
      </c>
      <c r="E6556">
        <v>0.51101589999999997</v>
      </c>
      <c r="F6556" t="s">
        <v>42</v>
      </c>
      <c r="G6556">
        <v>-114.22929999999999</v>
      </c>
      <c r="H6556" s="1">
        <v>-3.1949670000000001E-6</v>
      </c>
      <c r="I6556">
        <v>142.38630000000001</v>
      </c>
      <c r="J6556">
        <v>-127.4804</v>
      </c>
      <c r="K6556">
        <v>1.1131390000000001</v>
      </c>
      <c r="L6556">
        <v>143.42099999999999</v>
      </c>
      <c r="M6556">
        <v>0.99375720000000001</v>
      </c>
      <c r="N6556">
        <v>0</v>
      </c>
      <c r="O6556">
        <v>-0.1070668</v>
      </c>
      <c r="P6556">
        <v>0.99762260000000003</v>
      </c>
      <c r="Q6556">
        <v>6.6060640000000004E-2</v>
      </c>
      <c r="R6556">
        <v>-1.9639050000000002E-2</v>
      </c>
      <c r="S6556">
        <v>3.019943</v>
      </c>
      <c r="T6556">
        <v>-0.24931200000000001</v>
      </c>
      <c r="U6556">
        <v>-0.23698430000000001</v>
      </c>
      <c r="V6556">
        <v>-8.7407589999999993E-2</v>
      </c>
      <c r="W6556">
        <v>9.714217E-2</v>
      </c>
      <c r="X6556">
        <v>0.99142490000000005</v>
      </c>
      <c r="Y6556">
        <v>-2.8552009999999999E-2</v>
      </c>
      <c r="Z6556">
        <v>9.9675830000000003E-3</v>
      </c>
      <c r="AA6556">
        <v>0.99954259999999995</v>
      </c>
      <c r="AB6556">
        <v>15</v>
      </c>
      <c r="AC6556">
        <v>13.251099999999999</v>
      </c>
      <c r="AD6556">
        <v>-1.113142194967</v>
      </c>
      <c r="AE6556">
        <v>-1.03469999999998</v>
      </c>
      <c r="AF6556">
        <v>-0.38798317877473998</v>
      </c>
      <c r="AG6556">
        <v>-1.113142194967</v>
      </c>
      <c r="AH6556">
        <v>13.1931567071641</v>
      </c>
      <c r="AI6556">
        <v>94.820702703638403</v>
      </c>
      <c r="AJ6556">
        <v>91.684463709890494</v>
      </c>
      <c r="AK6556">
        <v>13.245716303508001</v>
      </c>
      <c r="AL6556">
        <v>84.425372557338903</v>
      </c>
      <c r="AM6556">
        <v>95.038375103788496</v>
      </c>
      <c r="AN6556">
        <v>1.0000000101609601</v>
      </c>
    </row>
    <row r="6557" spans="1:40" x14ac:dyDescent="0.25">
      <c r="A6557" t="str">
        <f>"20190312151447870"</f>
        <v>20190312151447870</v>
      </c>
      <c r="B6557" t="str">
        <f>"1552374887867339"</f>
        <v>1552374887867339</v>
      </c>
      <c r="C6557" t="s">
        <v>40</v>
      </c>
      <c r="D6557">
        <v>5.0819239999999999</v>
      </c>
      <c r="E6557">
        <v>0.50841930000000002</v>
      </c>
      <c r="F6557" t="s">
        <v>42</v>
      </c>
      <c r="G6557">
        <v>-108.10599999999999</v>
      </c>
      <c r="H6557" s="1">
        <v>-1.647035E-6</v>
      </c>
      <c r="I6557">
        <v>142.51499999999999</v>
      </c>
      <c r="J6557">
        <v>-127.2955</v>
      </c>
      <c r="K6557">
        <v>1.11297</v>
      </c>
      <c r="L6557">
        <v>143.40260000000001</v>
      </c>
      <c r="M6557">
        <v>0.99390049999999996</v>
      </c>
      <c r="N6557">
        <v>0</v>
      </c>
      <c r="O6557">
        <v>-0.1058706</v>
      </c>
      <c r="P6557">
        <v>0.99761</v>
      </c>
      <c r="Q6557">
        <v>6.6567310000000005E-2</v>
      </c>
      <c r="R6557">
        <v>-1.8523680000000001E-2</v>
      </c>
      <c r="S6557">
        <v>3.0158390000000002</v>
      </c>
      <c r="T6557">
        <v>-0.17327329999999999</v>
      </c>
      <c r="U6557">
        <v>-0.1410217</v>
      </c>
      <c r="V6557">
        <v>-8.7319999999999995E-2</v>
      </c>
      <c r="W6557">
        <v>9.7157809999999997E-2</v>
      </c>
      <c r="X6557">
        <v>0.99143110000000001</v>
      </c>
      <c r="Y6557">
        <v>-5.9088189999999999E-2</v>
      </c>
      <c r="Z6557">
        <v>7.7600960000000002E-3</v>
      </c>
      <c r="AA6557">
        <v>0.99822259999999996</v>
      </c>
      <c r="AB6557">
        <v>14</v>
      </c>
      <c r="AC6557">
        <v>19.189499999999899</v>
      </c>
      <c r="AD6557">
        <v>-1.112971647035</v>
      </c>
      <c r="AE6557">
        <v>-0.88760000000002004</v>
      </c>
      <c r="AF6557">
        <v>-1.1461188276479699</v>
      </c>
      <c r="AG6557">
        <v>-1.112971647035</v>
      </c>
      <c r="AH6557">
        <v>19.111414447164599</v>
      </c>
      <c r="AI6557">
        <v>93.326946827952199</v>
      </c>
      <c r="AJ6557">
        <v>93.4319394683355</v>
      </c>
      <c r="AK6557">
        <v>19.178072281266498</v>
      </c>
      <c r="AL6557">
        <v>84.424472271185294</v>
      </c>
      <c r="AM6557">
        <v>95.033320848281406</v>
      </c>
      <c r="AN6557">
        <v>1.0000000242456</v>
      </c>
    </row>
    <row r="6558" spans="1:40" x14ac:dyDescent="0.25">
      <c r="A6558" t="str">
        <f>"20190312151447904"</f>
        <v>20190312151447904</v>
      </c>
      <c r="B6558" t="str">
        <f>"1552374887896948"</f>
        <v>1552374887896948</v>
      </c>
      <c r="C6558" t="s">
        <v>40</v>
      </c>
      <c r="D6558">
        <v>5.0901430000000003</v>
      </c>
      <c r="E6558">
        <v>0.50787660000000001</v>
      </c>
      <c r="F6558" t="s">
        <v>42</v>
      </c>
      <c r="G6558">
        <v>-105.9229</v>
      </c>
      <c r="H6558" s="1">
        <v>-2.6938980000000001E-6</v>
      </c>
      <c r="I6558">
        <v>142.571</v>
      </c>
      <c r="J6558">
        <v>-127.0958</v>
      </c>
      <c r="K6558">
        <v>1.112895</v>
      </c>
      <c r="L6558">
        <v>143.38310000000001</v>
      </c>
      <c r="M6558">
        <v>0.99404519999999996</v>
      </c>
      <c r="N6558">
        <v>0</v>
      </c>
      <c r="O6558">
        <v>-0.1045716</v>
      </c>
      <c r="P6558">
        <v>0.99769540000000001</v>
      </c>
      <c r="Q6558">
        <v>6.5554020000000005E-2</v>
      </c>
      <c r="R6558">
        <v>-1.7513689999999998E-2</v>
      </c>
      <c r="S6558">
        <v>3.0154879999999999</v>
      </c>
      <c r="T6558">
        <v>-0.15703049999999999</v>
      </c>
      <c r="U6558">
        <v>-0.1173401</v>
      </c>
      <c r="V6558">
        <v>-8.7027880000000002E-2</v>
      </c>
      <c r="W6558">
        <v>9.5924289999999995E-2</v>
      </c>
      <c r="X6558">
        <v>0.99157689999999998</v>
      </c>
      <c r="Y6558">
        <v>-6.5642210000000006E-2</v>
      </c>
      <c r="Z6558">
        <v>7.1394340000000001E-3</v>
      </c>
      <c r="AA6558">
        <v>0.99781770000000003</v>
      </c>
      <c r="AB6558">
        <v>13</v>
      </c>
      <c r="AC6558">
        <v>21.172899999999998</v>
      </c>
      <c r="AD6558">
        <v>-1.112897693898</v>
      </c>
      <c r="AE6558">
        <v>-0.81210000000001503</v>
      </c>
      <c r="AF6558">
        <v>-1.40360863800377</v>
      </c>
      <c r="AG6558">
        <v>-1.112897693898</v>
      </c>
      <c r="AH6558">
        <v>21.0835057316358</v>
      </c>
      <c r="AI6558">
        <v>93.014905263494995</v>
      </c>
      <c r="AJ6558">
        <v>93.808776243862894</v>
      </c>
      <c r="AK6558">
        <v>21.159462952109202</v>
      </c>
      <c r="AL6558">
        <v>84.495479497431504</v>
      </c>
      <c r="AM6558">
        <v>95.015834596772905</v>
      </c>
      <c r="AN6558">
        <v>1.00000003496145</v>
      </c>
    </row>
    <row r="6559" spans="1:40" x14ac:dyDescent="0.25">
      <c r="A6559" t="str">
        <f>"20190312151447949"</f>
        <v>20190312151447949</v>
      </c>
      <c r="B6559" t="str">
        <f>"1552374887936953"</f>
        <v>1552374887936953</v>
      </c>
      <c r="C6559" t="s">
        <v>40</v>
      </c>
      <c r="D6559">
        <v>5.2905759999999997</v>
      </c>
      <c r="E6559">
        <v>0.50751080000000004</v>
      </c>
      <c r="F6559" t="s">
        <v>42</v>
      </c>
      <c r="G6559">
        <v>-109.8651</v>
      </c>
      <c r="H6559" s="1">
        <v>-8.7985609999999897E-7</v>
      </c>
      <c r="I6559">
        <v>142.7569</v>
      </c>
      <c r="J6559">
        <v>-126.8583</v>
      </c>
      <c r="K6559">
        <v>1.112905</v>
      </c>
      <c r="L6559">
        <v>143.36019999999999</v>
      </c>
      <c r="M6559">
        <v>0.99421000000000004</v>
      </c>
      <c r="N6559">
        <v>0</v>
      </c>
      <c r="O6559">
        <v>-0.1029632</v>
      </c>
      <c r="P6559">
        <v>0.99774669999999999</v>
      </c>
      <c r="Q6559">
        <v>6.5307889999999993E-2</v>
      </c>
      <c r="R6559">
        <v>-1.5382170000000001E-2</v>
      </c>
      <c r="S6559">
        <v>3.0178219999999998</v>
      </c>
      <c r="T6559">
        <v>-0.19491510000000001</v>
      </c>
      <c r="U6559">
        <v>-0.10968020000000001</v>
      </c>
      <c r="V6559">
        <v>-8.7534009999999995E-2</v>
      </c>
      <c r="W6559">
        <v>9.5787129999999998E-2</v>
      </c>
      <c r="X6559">
        <v>0.99154560000000003</v>
      </c>
      <c r="Y6559">
        <v>-6.6465220000000005E-2</v>
      </c>
      <c r="Z6559">
        <v>8.7757359999999993E-3</v>
      </c>
      <c r="AA6559">
        <v>0.99775020000000003</v>
      </c>
      <c r="AB6559">
        <v>13</v>
      </c>
      <c r="AC6559">
        <v>16.993200000000002</v>
      </c>
      <c r="AD6559">
        <v>-1.1129058798561</v>
      </c>
      <c r="AE6559">
        <v>-0.60329999999998996</v>
      </c>
      <c r="AF6559">
        <v>-1.14550408600739</v>
      </c>
      <c r="AG6559">
        <v>-1.1129058798561</v>
      </c>
      <c r="AH6559">
        <v>16.892582542806601</v>
      </c>
      <c r="AI6559">
        <v>93.760663761664205</v>
      </c>
      <c r="AJ6559">
        <v>93.879349160587694</v>
      </c>
      <c r="AK6559">
        <v>16.9679133682965</v>
      </c>
      <c r="AL6559">
        <v>84.503374497332203</v>
      </c>
      <c r="AM6559">
        <v>95.045013625113</v>
      </c>
      <c r="AN6559">
        <v>1.0000000270298299</v>
      </c>
    </row>
    <row r="6560" spans="1:40" x14ac:dyDescent="0.25">
      <c r="A6560" t="str">
        <f>"20190312151447975"</f>
        <v>20190312151447975</v>
      </c>
      <c r="B6560" t="str">
        <f>"1552374887967209"</f>
        <v>1552374887967209</v>
      </c>
      <c r="C6560" t="s">
        <v>40</v>
      </c>
      <c r="D6560">
        <v>5.0683249999999997</v>
      </c>
      <c r="E6560">
        <v>0.50754739999999998</v>
      </c>
      <c r="F6560" t="s">
        <v>42</v>
      </c>
      <c r="G6560">
        <v>-110.86369999999999</v>
      </c>
      <c r="H6560" s="1">
        <v>-4.5517949999999998E-6</v>
      </c>
      <c r="I6560">
        <v>142.8279</v>
      </c>
      <c r="J6560">
        <v>-126.7206</v>
      </c>
      <c r="K6560">
        <v>1.112897</v>
      </c>
      <c r="L6560">
        <v>143.34710000000001</v>
      </c>
      <c r="M6560">
        <v>0.99430479999999999</v>
      </c>
      <c r="N6560">
        <v>0</v>
      </c>
      <c r="O6560">
        <v>-0.102064</v>
      </c>
      <c r="P6560">
        <v>0.99776319999999996</v>
      </c>
      <c r="Q6560">
        <v>6.5471950000000001E-2</v>
      </c>
      <c r="R6560">
        <v>-1.351494E-2</v>
      </c>
      <c r="S6560">
        <v>3.018967</v>
      </c>
      <c r="T6560">
        <v>-0.21005989999999999</v>
      </c>
      <c r="U6560">
        <v>-0.10046389999999999</v>
      </c>
      <c r="V6560">
        <v>-8.8492440000000006E-2</v>
      </c>
      <c r="W6560">
        <v>9.5887280000000005E-2</v>
      </c>
      <c r="X6560">
        <v>0.99145079999999997</v>
      </c>
      <c r="Y6560">
        <v>-6.8559099999999998E-2</v>
      </c>
      <c r="Z6560">
        <v>9.4637539999999996E-3</v>
      </c>
      <c r="AA6560">
        <v>0.99760219999999999</v>
      </c>
      <c r="AB6560">
        <v>12</v>
      </c>
      <c r="AC6560">
        <v>15.8569</v>
      </c>
      <c r="AD6560">
        <v>-1.1129015517950001</v>
      </c>
      <c r="AE6560">
        <v>-0.51920000000001199</v>
      </c>
      <c r="AF6560">
        <v>-1.0972952066456001</v>
      </c>
      <c r="AG6560">
        <v>-1.1129015517950001</v>
      </c>
      <c r="AH6560">
        <v>15.749535024496501</v>
      </c>
      <c r="AI6560">
        <v>94.032202462827897</v>
      </c>
      <c r="AJ6560">
        <v>93.985447973597999</v>
      </c>
      <c r="AK6560">
        <v>15.8268904122811</v>
      </c>
      <c r="AL6560">
        <v>84.497609561743403</v>
      </c>
      <c r="AM6560">
        <v>95.100447967105893</v>
      </c>
      <c r="AN6560">
        <v>0.99999998561179504</v>
      </c>
    </row>
    <row r="6561" spans="1:40" x14ac:dyDescent="0.25">
      <c r="A6561" t="str">
        <f>"20190312151448005"</f>
        <v>20190312151448005</v>
      </c>
      <c r="B6561" t="str">
        <f>"1552374887997465"</f>
        <v>1552374887997465</v>
      </c>
      <c r="C6561" t="s">
        <v>40</v>
      </c>
      <c r="D6561">
        <v>5.1670220000000002</v>
      </c>
      <c r="E6561">
        <v>0.50739380000000001</v>
      </c>
      <c r="F6561" t="s">
        <v>42</v>
      </c>
      <c r="G6561">
        <v>-110.1083</v>
      </c>
      <c r="H6561" s="1">
        <v>-4.8080079999999998E-6</v>
      </c>
      <c r="I6561">
        <v>142.82310000000001</v>
      </c>
      <c r="J6561">
        <v>-126.5742</v>
      </c>
      <c r="K6561">
        <v>1.1128880000000001</v>
      </c>
      <c r="L6561">
        <v>143.33330000000001</v>
      </c>
      <c r="M6561">
        <v>0.99440189999999995</v>
      </c>
      <c r="N6561">
        <v>0</v>
      </c>
      <c r="O6561">
        <v>-0.1011218</v>
      </c>
      <c r="P6561">
        <v>0.99774940000000001</v>
      </c>
      <c r="Q6561">
        <v>6.6028950000000003E-2</v>
      </c>
      <c r="R6561">
        <v>-1.16814E-2</v>
      </c>
      <c r="S6561">
        <v>3.018707</v>
      </c>
      <c r="T6561">
        <v>-0.20223070000000001</v>
      </c>
      <c r="U6561">
        <v>-9.5214839999999995E-2</v>
      </c>
      <c r="V6561">
        <v>-8.9368630000000004E-2</v>
      </c>
      <c r="W6561">
        <v>9.6408880000000002E-2</v>
      </c>
      <c r="X6561">
        <v>0.99132160000000002</v>
      </c>
      <c r="Y6561">
        <v>-6.9373870000000004E-2</v>
      </c>
      <c r="Z6561">
        <v>9.0774979999999998E-3</v>
      </c>
      <c r="AA6561">
        <v>0.99754940000000003</v>
      </c>
      <c r="AB6561">
        <v>12</v>
      </c>
      <c r="AC6561">
        <v>16.465900000000001</v>
      </c>
      <c r="AD6561">
        <v>-1.1128928080079901</v>
      </c>
      <c r="AE6561">
        <v>-0.51019999999999699</v>
      </c>
      <c r="AF6561">
        <v>-1.15299970203422</v>
      </c>
      <c r="AG6561">
        <v>-1.1128928080079901</v>
      </c>
      <c r="AH6561">
        <v>16.358378649884699</v>
      </c>
      <c r="AI6561">
        <v>93.882345849750607</v>
      </c>
      <c r="AJ6561">
        <v>94.0317531028183</v>
      </c>
      <c r="AK6561">
        <v>16.436681257723802</v>
      </c>
      <c r="AL6561">
        <v>84.467584889735306</v>
      </c>
      <c r="AM6561">
        <v>95.151346385248999</v>
      </c>
      <c r="AN6561">
        <v>0.99999996939874503</v>
      </c>
    </row>
    <row r="6562" spans="1:40" x14ac:dyDescent="0.25">
      <c r="A6562" t="str">
        <f>"20190312151448039"</f>
        <v>20190312151448039</v>
      </c>
      <c r="B6562" t="str">
        <f>"1552374888026747"</f>
        <v>1552374888026747</v>
      </c>
      <c r="C6562" t="s">
        <v>40</v>
      </c>
      <c r="D6562">
        <v>5.1682569999999997</v>
      </c>
      <c r="E6562">
        <v>0.50697890000000001</v>
      </c>
      <c r="F6562" t="s">
        <v>42</v>
      </c>
      <c r="G6562">
        <v>-110.5436</v>
      </c>
      <c r="H6562" s="1">
        <v>-4.667023E-6</v>
      </c>
      <c r="I6562">
        <v>142.86340000000001</v>
      </c>
      <c r="J6562">
        <v>-126.4157</v>
      </c>
      <c r="K6562">
        <v>1.112894</v>
      </c>
      <c r="L6562">
        <v>143.3186</v>
      </c>
      <c r="M6562">
        <v>0.99450640000000001</v>
      </c>
      <c r="N6562">
        <v>0</v>
      </c>
      <c r="O6562">
        <v>-0.10007489999999999</v>
      </c>
      <c r="P6562">
        <v>0.99770919999999996</v>
      </c>
      <c r="Q6562">
        <v>6.7101339999999995E-2</v>
      </c>
      <c r="R6562">
        <v>-8.6018789999999998E-3</v>
      </c>
      <c r="S6562">
        <v>3.0195919999999998</v>
      </c>
      <c r="T6562">
        <v>-0.20962810000000001</v>
      </c>
      <c r="U6562">
        <v>-8.8516239999999996E-2</v>
      </c>
      <c r="V6562">
        <v>-9.1373570000000001E-2</v>
      </c>
      <c r="W6562">
        <v>9.7525609999999999E-2</v>
      </c>
      <c r="X6562">
        <v>0.99102959999999995</v>
      </c>
      <c r="Y6562">
        <v>-7.0515510000000003E-2</v>
      </c>
      <c r="Z6562">
        <v>9.3738309999999991E-3</v>
      </c>
      <c r="AA6562">
        <v>0.99746659999999998</v>
      </c>
      <c r="AB6562">
        <v>11</v>
      </c>
      <c r="AC6562">
        <v>15.8721</v>
      </c>
      <c r="AD6562">
        <v>-1.1128986670229899</v>
      </c>
      <c r="AE6562">
        <v>-0.45519999999999</v>
      </c>
      <c r="AF6562">
        <v>-1.13068057063009</v>
      </c>
      <c r="AG6562">
        <v>-1.1128986670229899</v>
      </c>
      <c r="AH6562">
        <v>15.760500420533999</v>
      </c>
      <c r="AI6562">
        <v>94.028811092834701</v>
      </c>
      <c r="AJ6562">
        <v>94.103449900467496</v>
      </c>
      <c r="AK6562">
        <v>15.840150109816401</v>
      </c>
      <c r="AL6562">
        <v>84.403298310943597</v>
      </c>
      <c r="AM6562">
        <v>95.267814453388993</v>
      </c>
      <c r="AN6562">
        <v>1.00000002098828</v>
      </c>
    </row>
    <row r="6563" spans="1:40" x14ac:dyDescent="0.25">
      <c r="A6563" t="str">
        <f>"20190312151448070"</f>
        <v>20190312151448070</v>
      </c>
      <c r="B6563" t="str">
        <f>"1552374888066761"</f>
        <v>1552374888066761</v>
      </c>
      <c r="C6563" t="s">
        <v>40</v>
      </c>
      <c r="D6563">
        <v>4.7960370000000001</v>
      </c>
      <c r="E6563">
        <v>0.45633180000000001</v>
      </c>
      <c r="F6563" t="s">
        <v>42</v>
      </c>
      <c r="G6563">
        <v>-110.86320000000001</v>
      </c>
      <c r="H6563" s="1">
        <v>-4.569362E-6</v>
      </c>
      <c r="I6563">
        <v>142.92609999999999</v>
      </c>
      <c r="J6563">
        <v>-126.27549999999999</v>
      </c>
      <c r="K6563">
        <v>1.1128979999999999</v>
      </c>
      <c r="L6563">
        <v>143.3057</v>
      </c>
      <c r="M6563">
        <v>0.99459739999999996</v>
      </c>
      <c r="N6563">
        <v>0</v>
      </c>
      <c r="O6563">
        <v>-9.9155549999999995E-2</v>
      </c>
      <c r="P6563">
        <v>0.99771200000000004</v>
      </c>
      <c r="Q6563">
        <v>6.7224619999999999E-2</v>
      </c>
      <c r="R6563">
        <v>-7.2223290000000004E-3</v>
      </c>
      <c r="S6563">
        <v>3.0207670000000002</v>
      </c>
      <c r="T6563">
        <v>-0.21615909999999999</v>
      </c>
      <c r="U6563">
        <v>-7.6232910000000001E-2</v>
      </c>
      <c r="V6563">
        <v>-9.1822860000000006E-2</v>
      </c>
      <c r="W6563">
        <v>9.7694080000000003E-2</v>
      </c>
      <c r="X6563">
        <v>0.99097139999999995</v>
      </c>
      <c r="Y6563">
        <v>-7.3626289999999997E-2</v>
      </c>
      <c r="Z6563">
        <v>9.7079999999999996E-3</v>
      </c>
      <c r="AA6563">
        <v>0.99723859999999998</v>
      </c>
      <c r="AB6563">
        <v>11</v>
      </c>
      <c r="AC6563">
        <v>15.412299999999901</v>
      </c>
      <c r="AD6563">
        <v>-1.1129025693619901</v>
      </c>
      <c r="AE6563">
        <v>-0.37960000000000998</v>
      </c>
      <c r="AF6563">
        <v>-1.1452417330544</v>
      </c>
      <c r="AG6563">
        <v>-1.1129025693619901</v>
      </c>
      <c r="AH6563">
        <v>15.294235285543699</v>
      </c>
      <c r="AI6563">
        <v>94.150279393713902</v>
      </c>
      <c r="AJ6563">
        <v>94.282351231590297</v>
      </c>
      <c r="AK6563">
        <v>15.3773783111944</v>
      </c>
      <c r="AL6563">
        <v>84.393598939180094</v>
      </c>
      <c r="AM6563">
        <v>95.293878986564906</v>
      </c>
      <c r="AN6563">
        <v>0.99999994325179098</v>
      </c>
    </row>
    <row r="6564" spans="1:40" x14ac:dyDescent="0.25">
      <c r="A6564" t="str">
        <f>"20190312151448089"</f>
        <v>20190312151448089</v>
      </c>
      <c r="B6564" t="str">
        <f>"1552374888087258"</f>
        <v>1552374888087258</v>
      </c>
      <c r="C6564" t="s">
        <v>40</v>
      </c>
      <c r="D6564">
        <v>4.7797470000000004</v>
      </c>
      <c r="E6564">
        <v>0.44188860000000002</v>
      </c>
      <c r="F6564" t="s">
        <v>42</v>
      </c>
      <c r="G6564">
        <v>-105.41079999999999</v>
      </c>
      <c r="H6564" s="1">
        <v>-3.693695E-6</v>
      </c>
      <c r="I6564">
        <v>145.59350000000001</v>
      </c>
      <c r="J6564">
        <v>-126.1925</v>
      </c>
      <c r="K6564">
        <v>1.112903</v>
      </c>
      <c r="L6564">
        <v>143.29810000000001</v>
      </c>
      <c r="M6564">
        <v>0.9946488</v>
      </c>
      <c r="N6564">
        <v>0</v>
      </c>
      <c r="O6564">
        <v>-9.8621829999999994E-2</v>
      </c>
      <c r="P6564">
        <v>0.99773800000000001</v>
      </c>
      <c r="Q6564">
        <v>6.6912189999999996E-2</v>
      </c>
      <c r="R6564">
        <v>-6.4690529999999998E-3</v>
      </c>
      <c r="S6564">
        <v>3.0201259999999999</v>
      </c>
      <c r="T6564">
        <v>-0.1610907</v>
      </c>
      <c r="U6564">
        <v>0.3311462</v>
      </c>
      <c r="V6564">
        <v>-9.2039780000000002E-2</v>
      </c>
      <c r="W6564">
        <v>9.7431649999999995E-2</v>
      </c>
      <c r="X6564">
        <v>0.9909772</v>
      </c>
      <c r="Y6564">
        <v>-0.2061133</v>
      </c>
      <c r="Z6564">
        <v>1.0720800000000001E-2</v>
      </c>
      <c r="AA6564">
        <v>0.97846940000000004</v>
      </c>
      <c r="AB6564">
        <v>10</v>
      </c>
      <c r="AC6564">
        <v>20.781700000000001</v>
      </c>
      <c r="AD6564">
        <v>-1.1129066936950001</v>
      </c>
      <c r="AE6564">
        <v>2.2953999999999999</v>
      </c>
      <c r="AF6564">
        <v>-4.3224534796740599</v>
      </c>
      <c r="AG6564">
        <v>-1.1129066936950001</v>
      </c>
      <c r="AH6564">
        <v>20.396021113980801</v>
      </c>
      <c r="AI6564">
        <v>93.055511619935999</v>
      </c>
      <c r="AJ6564">
        <v>101.96544574737101</v>
      </c>
      <c r="AK6564">
        <v>20.878693509766499</v>
      </c>
      <c r="AL6564">
        <v>84.408707629478599</v>
      </c>
      <c r="AM6564">
        <v>95.3062829277589</v>
      </c>
      <c r="AN6564">
        <v>1.0000000292219999</v>
      </c>
    </row>
    <row r="6565" spans="1:40" x14ac:dyDescent="0.25">
      <c r="A6565" t="str">
        <f>"20190312151448128"</f>
        <v>20190312151448128</v>
      </c>
      <c r="B6565" t="str">
        <f>"1552374888117513"</f>
        <v>1552374888117513</v>
      </c>
      <c r="C6565" t="s">
        <v>40</v>
      </c>
      <c r="D6565">
        <v>4.7474860000000003</v>
      </c>
      <c r="E6565">
        <v>0.43532330000000002</v>
      </c>
      <c r="F6565" t="s">
        <v>42</v>
      </c>
      <c r="G6565">
        <v>-98.220550000000003</v>
      </c>
      <c r="H6565" s="1">
        <v>-2.830251E-6</v>
      </c>
      <c r="I6565">
        <v>147.45079999999999</v>
      </c>
      <c r="J6565">
        <v>-126.0372</v>
      </c>
      <c r="K6565">
        <v>1.1129340000000001</v>
      </c>
      <c r="L6565">
        <v>143.28399999999999</v>
      </c>
      <c r="M6565">
        <v>0.99474010000000002</v>
      </c>
      <c r="N6565">
        <v>0</v>
      </c>
      <c r="O6565">
        <v>-9.7619349999999994E-2</v>
      </c>
      <c r="P6565">
        <v>0.99784479999999998</v>
      </c>
      <c r="Q6565">
        <v>6.5396800000000005E-2</v>
      </c>
      <c r="R6565">
        <v>-5.4059019999999998E-3</v>
      </c>
      <c r="S6565">
        <v>3.0177459999999998</v>
      </c>
      <c r="T6565">
        <v>-0.12006550000000001</v>
      </c>
      <c r="U6565">
        <v>0.4480133</v>
      </c>
      <c r="V6565">
        <v>-9.2100290000000001E-2</v>
      </c>
      <c r="W6565">
        <v>9.616922E-2</v>
      </c>
      <c r="X6565">
        <v>0.9910949</v>
      </c>
      <c r="Y6565">
        <v>-0.2424915</v>
      </c>
      <c r="Z6565">
        <v>8.6612570000000003E-3</v>
      </c>
      <c r="AA6565">
        <v>0.9701149</v>
      </c>
      <c r="AB6565">
        <v>10</v>
      </c>
      <c r="AC6565">
        <v>27.816649999999999</v>
      </c>
      <c r="AD6565">
        <v>-1.1129368302509901</v>
      </c>
      <c r="AE6565">
        <v>4.1667999999999896</v>
      </c>
      <c r="AF6565">
        <v>-6.8529013560731196</v>
      </c>
      <c r="AG6565">
        <v>-1.1129368302509901</v>
      </c>
      <c r="AH6565">
        <v>27.234069312856999</v>
      </c>
      <c r="AI6565">
        <v>92.269456787137301</v>
      </c>
      <c r="AJ6565">
        <v>104.124093317519</v>
      </c>
      <c r="AK6565">
        <v>28.105078130503301</v>
      </c>
      <c r="AL6565">
        <v>84.481380898606602</v>
      </c>
      <c r="AM6565">
        <v>95.309124551628699</v>
      </c>
      <c r="AN6565">
        <v>1.0000000415497501</v>
      </c>
    </row>
    <row r="6566" spans="1:40" x14ac:dyDescent="0.25">
      <c r="A6566" t="str">
        <f>"20190312151448155"</f>
        <v>20190312151448155</v>
      </c>
      <c r="B6566" t="str">
        <f>"1552374888146794"</f>
        <v>1552374888146794</v>
      </c>
      <c r="C6566" t="s">
        <v>40</v>
      </c>
      <c r="D6566">
        <v>4.7056180000000003</v>
      </c>
      <c r="E6566">
        <v>0.43319570000000002</v>
      </c>
      <c r="F6566" t="s">
        <v>42</v>
      </c>
      <c r="G6566">
        <v>-96.667829999999995</v>
      </c>
      <c r="H6566" s="1">
        <v>-3.5266729999999999E-6</v>
      </c>
      <c r="I6566">
        <v>148.18389999999999</v>
      </c>
      <c r="J6566">
        <v>-125.93129999999999</v>
      </c>
      <c r="K6566">
        <v>1.11291299999999</v>
      </c>
      <c r="L6566">
        <v>143.27449999999999</v>
      </c>
      <c r="M6566">
        <v>0.99480959999999996</v>
      </c>
      <c r="N6566">
        <v>0</v>
      </c>
      <c r="O6566">
        <v>-9.6909200000000001E-2</v>
      </c>
      <c r="P6566">
        <v>0.99783869999999997</v>
      </c>
      <c r="Q6566">
        <v>6.5525089999999994E-2</v>
      </c>
      <c r="R6566">
        <v>-4.9451410000000001E-3</v>
      </c>
      <c r="S6566">
        <v>3.0167079999999999</v>
      </c>
      <c r="T6566">
        <v>-0.1143166</v>
      </c>
      <c r="U6566">
        <v>0.50329590000000002</v>
      </c>
      <c r="V6566">
        <v>-9.1844789999999996E-2</v>
      </c>
      <c r="W6566">
        <v>9.63059E-2</v>
      </c>
      <c r="X6566">
        <v>0.99110529999999997</v>
      </c>
      <c r="Y6566">
        <v>-0.25917089999999998</v>
      </c>
      <c r="Z6566">
        <v>8.5257930000000003E-3</v>
      </c>
      <c r="AA6566">
        <v>0.96579380000000004</v>
      </c>
      <c r="AB6566">
        <v>9</v>
      </c>
      <c r="AC6566">
        <v>29.263469999999899</v>
      </c>
      <c r="AD6566">
        <v>-1.1129165266729999</v>
      </c>
      <c r="AE6566">
        <v>4.9093999999999998</v>
      </c>
      <c r="AF6566">
        <v>-7.7126855609224902</v>
      </c>
      <c r="AG6566">
        <v>-1.1129165266729999</v>
      </c>
      <c r="AH6566">
        <v>28.609358909590799</v>
      </c>
      <c r="AI6566">
        <v>92.150990952175803</v>
      </c>
      <c r="AJ6566">
        <v>105.08746956343001</v>
      </c>
      <c r="AK6566">
        <v>29.651636025264899</v>
      </c>
      <c r="AL6566">
        <v>84.473512983479495</v>
      </c>
      <c r="AM6566">
        <v>95.294424818385806</v>
      </c>
      <c r="AN6566">
        <v>1.00000000375652</v>
      </c>
    </row>
    <row r="6567" spans="1:40" x14ac:dyDescent="0.25">
      <c r="A6567" t="str">
        <f>"20190312151448177"</f>
        <v>20190312151448177</v>
      </c>
      <c r="B6567" t="str">
        <f>"1552374888167290"</f>
        <v>1552374888167290</v>
      </c>
      <c r="C6567" t="s">
        <v>40</v>
      </c>
      <c r="D6567">
        <v>4.6803439999999998</v>
      </c>
      <c r="E6567">
        <v>0.43270380000000003</v>
      </c>
      <c r="F6567" t="s">
        <v>42</v>
      </c>
      <c r="G6567">
        <v>-94.587389999999999</v>
      </c>
      <c r="H6567" s="1">
        <v>-4.3252219999999999E-6</v>
      </c>
      <c r="I6567">
        <v>148.6944</v>
      </c>
      <c r="J6567">
        <v>-125.84990000000001</v>
      </c>
      <c r="K6567">
        <v>1.112865</v>
      </c>
      <c r="L6567">
        <v>143.26730000000001</v>
      </c>
      <c r="M6567">
        <v>0.99486680000000005</v>
      </c>
      <c r="N6567">
        <v>0</v>
      </c>
      <c r="O6567">
        <v>-9.6359210000000001E-2</v>
      </c>
      <c r="P6567">
        <v>0.99779810000000002</v>
      </c>
      <c r="Q6567">
        <v>6.6161780000000003E-2</v>
      </c>
      <c r="R6567">
        <v>-4.677123E-3</v>
      </c>
      <c r="S6567">
        <v>3.0161289999999998</v>
      </c>
      <c r="T6567">
        <v>-0.1070926</v>
      </c>
      <c r="U6567">
        <v>0.52154540000000005</v>
      </c>
      <c r="V6567">
        <v>-9.155758E-2</v>
      </c>
      <c r="W6567">
        <v>9.6819909999999995E-2</v>
      </c>
      <c r="X6567">
        <v>0.99108180000000001</v>
      </c>
      <c r="Y6567">
        <v>-0.26437050000000001</v>
      </c>
      <c r="Z6567">
        <v>8.0573050000000007E-3</v>
      </c>
      <c r="AA6567">
        <v>0.96438749999999995</v>
      </c>
      <c r="AB6567">
        <v>9</v>
      </c>
      <c r="AC6567">
        <v>31.262509999999999</v>
      </c>
      <c r="AD6567">
        <v>-1.1128693252220001</v>
      </c>
      <c r="AE6567">
        <v>5.4270999999999896</v>
      </c>
      <c r="AF6567">
        <v>-8.4053520738538001</v>
      </c>
      <c r="AG6567">
        <v>-1.1128693252220001</v>
      </c>
      <c r="AH6567">
        <v>30.556105921481301</v>
      </c>
      <c r="AI6567">
        <v>92.011180860924497</v>
      </c>
      <c r="AJ6567">
        <v>105.380475002365</v>
      </c>
      <c r="AK6567">
        <v>31.710629616979201</v>
      </c>
      <c r="AL6567">
        <v>84.443924141382993</v>
      </c>
      <c r="AM6567">
        <v>95.278086587313297</v>
      </c>
      <c r="AN6567">
        <v>1.0000000098595501</v>
      </c>
    </row>
    <row r="6568" spans="1:40" x14ac:dyDescent="0.25">
      <c r="A6568" t="str">
        <f>"20190312151448201"</f>
        <v>20190312151448201</v>
      </c>
      <c r="B6568" t="str">
        <f>"1552374888197546"</f>
        <v>1552374888197546</v>
      </c>
      <c r="C6568" t="s">
        <v>40</v>
      </c>
      <c r="D6568">
        <v>4.6620839999999903</v>
      </c>
      <c r="E6568">
        <v>0.4320503</v>
      </c>
      <c r="F6568" t="s">
        <v>42</v>
      </c>
      <c r="G6568">
        <v>-93.45335</v>
      </c>
      <c r="H6568" s="1">
        <v>-4.7510949999999998E-6</v>
      </c>
      <c r="I6568">
        <v>148.91970000000001</v>
      </c>
      <c r="J6568">
        <v>-125.7659</v>
      </c>
      <c r="K6568">
        <v>1.1128169999999999</v>
      </c>
      <c r="L6568">
        <v>143.25980000000001</v>
      </c>
      <c r="M6568">
        <v>0.99492650000000005</v>
      </c>
      <c r="N6568">
        <v>0</v>
      </c>
      <c r="O6568">
        <v>-9.5793690000000001E-2</v>
      </c>
      <c r="P6568">
        <v>0.99779669999999998</v>
      </c>
      <c r="Q6568">
        <v>6.6204390000000002E-2</v>
      </c>
      <c r="R6568">
        <v>-4.3503609999999996E-3</v>
      </c>
      <c r="S6568">
        <v>3.0159609999999999</v>
      </c>
      <c r="T6568">
        <v>-0.1036026</v>
      </c>
      <c r="U6568">
        <v>0.52621459999999998</v>
      </c>
      <c r="V6568">
        <v>-9.1315750000000001E-2</v>
      </c>
      <c r="W6568">
        <v>9.6697930000000001E-2</v>
      </c>
      <c r="X6568">
        <v>0.991116</v>
      </c>
      <c r="Y6568">
        <v>-0.26529409999999998</v>
      </c>
      <c r="Z6568">
        <v>7.7907760000000001E-3</v>
      </c>
      <c r="AA6568">
        <v>0.96413610000000005</v>
      </c>
      <c r="AB6568">
        <v>8</v>
      </c>
      <c r="AC6568">
        <v>32.312550000000002</v>
      </c>
      <c r="AD6568">
        <v>-1.112821751095</v>
      </c>
      <c r="AE6568">
        <v>5.6598999999999897</v>
      </c>
      <c r="AF6568">
        <v>-8.7206130304382601</v>
      </c>
      <c r="AG6568">
        <v>-1.112821751095</v>
      </c>
      <c r="AH6568">
        <v>31.585024743374401</v>
      </c>
      <c r="AI6568">
        <v>91.9451243893553</v>
      </c>
      <c r="AJ6568">
        <v>105.434808193599</v>
      </c>
      <c r="AK6568">
        <v>32.785686692761701</v>
      </c>
      <c r="AL6568">
        <v>84.450945921393895</v>
      </c>
      <c r="AM6568">
        <v>95.264043433333995</v>
      </c>
      <c r="AN6568">
        <v>0.99999999066017298</v>
      </c>
    </row>
    <row r="6569" spans="1:40" x14ac:dyDescent="0.25">
      <c r="A6569" t="str">
        <f>"20190312151448227"</f>
        <v>20190312151448227</v>
      </c>
      <c r="B6569" t="str">
        <f>"1552374888217065"</f>
        <v>1552374888217065</v>
      </c>
      <c r="C6569" t="s">
        <v>40</v>
      </c>
      <c r="D6569">
        <v>4.6735730000000002</v>
      </c>
      <c r="E6569">
        <v>0.43179220000000001</v>
      </c>
      <c r="F6569" t="s">
        <v>42</v>
      </c>
      <c r="G6569">
        <v>-93.015339999999995</v>
      </c>
      <c r="H6569" s="1">
        <v>-4.9215350000000001E-6</v>
      </c>
      <c r="I6569">
        <v>149.0402</v>
      </c>
      <c r="J6569">
        <v>-125.6781</v>
      </c>
      <c r="K6569">
        <v>1.112797</v>
      </c>
      <c r="L6569">
        <v>143.25210000000001</v>
      </c>
      <c r="M6569">
        <v>0.99498569999999997</v>
      </c>
      <c r="N6569">
        <v>0</v>
      </c>
      <c r="O6569">
        <v>-9.5203969999999999E-2</v>
      </c>
      <c r="P6569">
        <v>0.99781229999999999</v>
      </c>
      <c r="Q6569">
        <v>6.6000600000000006E-2</v>
      </c>
      <c r="R6569">
        <v>-3.8395629999999998E-3</v>
      </c>
      <c r="S6569">
        <v>3.0157470000000002</v>
      </c>
      <c r="T6569">
        <v>-0.1024711</v>
      </c>
      <c r="U6569">
        <v>0.53227230000000003</v>
      </c>
      <c r="V6569">
        <v>-9.1233690000000006E-2</v>
      </c>
      <c r="W6569">
        <v>9.6414600000000003E-2</v>
      </c>
      <c r="X6569">
        <v>0.99115120000000001</v>
      </c>
      <c r="Y6569">
        <v>-0.26661669999999998</v>
      </c>
      <c r="Z6569">
        <v>7.707401E-3</v>
      </c>
      <c r="AA6569">
        <v>0.96377179999999996</v>
      </c>
      <c r="AB6569">
        <v>8</v>
      </c>
      <c r="AC6569">
        <v>32.662759999999899</v>
      </c>
      <c r="AD6569">
        <v>-1.112801921535</v>
      </c>
      <c r="AE6569">
        <v>5.7880999999999796</v>
      </c>
      <c r="AF6569">
        <v>-8.8628966929822504</v>
      </c>
      <c r="AG6569">
        <v>-1.112801921535</v>
      </c>
      <c r="AH6569">
        <v>31.927019480887498</v>
      </c>
      <c r="AI6569">
        <v>91.923529135936505</v>
      </c>
      <c r="AJ6569">
        <v>105.51458112664</v>
      </c>
      <c r="AK6569">
        <v>33.153036645834099</v>
      </c>
      <c r="AL6569">
        <v>84.467255967395701</v>
      </c>
      <c r="AM6569">
        <v>95.259153757854406</v>
      </c>
      <c r="AN6569">
        <v>1.0000000312727999</v>
      </c>
    </row>
    <row r="6570" spans="1:40" x14ac:dyDescent="0.25">
      <c r="A6570" t="str">
        <f>"20190312151448261"</f>
        <v>20190312151448261</v>
      </c>
      <c r="B6570" t="str">
        <f>"1552374888257081"</f>
        <v>1552374888257081</v>
      </c>
      <c r="C6570" t="s">
        <v>40</v>
      </c>
      <c r="D6570">
        <v>4.641</v>
      </c>
      <c r="E6570">
        <v>0.43092760000000002</v>
      </c>
      <c r="F6570" t="s">
        <v>42</v>
      </c>
      <c r="G6570">
        <v>-93.382419999999996</v>
      </c>
      <c r="H6570" s="1">
        <v>-4.7880419999999996E-6</v>
      </c>
      <c r="I6570">
        <v>148.99189999999999</v>
      </c>
      <c r="J6570">
        <v>-125.5749</v>
      </c>
      <c r="K6570">
        <v>1.1131260000000001</v>
      </c>
      <c r="L6570">
        <v>143.2431</v>
      </c>
      <c r="M6570">
        <v>0.99500140000000004</v>
      </c>
      <c r="N6570">
        <v>0</v>
      </c>
      <c r="O6570">
        <v>-9.455819E-2</v>
      </c>
      <c r="P6570">
        <v>0.99795230000000001</v>
      </c>
      <c r="Q6570">
        <v>6.383192E-2</v>
      </c>
      <c r="R6570">
        <v>-4.1393369999999999E-3</v>
      </c>
      <c r="S6570">
        <v>3.0155029999999998</v>
      </c>
      <c r="T6570">
        <v>-0.103904</v>
      </c>
      <c r="U6570">
        <v>0.53593440000000003</v>
      </c>
      <c r="V6570">
        <v>-9.029363E-2</v>
      </c>
      <c r="W6570">
        <v>9.5712149999999996E-2</v>
      </c>
      <c r="X6570">
        <v>0.9913054</v>
      </c>
      <c r="Y6570">
        <v>-0.26713789999999998</v>
      </c>
      <c r="Z6570">
        <v>7.8019209999999999E-3</v>
      </c>
      <c r="AA6570">
        <v>0.96362669999999995</v>
      </c>
      <c r="AB6570">
        <v>8</v>
      </c>
      <c r="AC6570">
        <v>32.192479999999897</v>
      </c>
      <c r="AD6570">
        <v>-1.1131307880419901</v>
      </c>
      <c r="AE6570">
        <v>5.7487999999999797</v>
      </c>
      <c r="AF6570">
        <v>-8.7584999365857907</v>
      </c>
      <c r="AG6570">
        <v>-1.1131307880419901</v>
      </c>
      <c r="AH6570">
        <v>31.467750615468301</v>
      </c>
      <c r="AI6570">
        <v>91.951788237410895</v>
      </c>
      <c r="AJ6570">
        <v>105.55361706199599</v>
      </c>
      <c r="AK6570">
        <v>32.682865695770403</v>
      </c>
      <c r="AL6570">
        <v>84.507690632220502</v>
      </c>
      <c r="AM6570">
        <v>95.204458096024695</v>
      </c>
      <c r="AN6570">
        <v>1.0000000756726699</v>
      </c>
    </row>
    <row r="6571" spans="1:40" x14ac:dyDescent="0.25">
      <c r="A6571" t="str">
        <f>"20190312151448290"</f>
        <v>20190312151448290</v>
      </c>
      <c r="B6571" t="str">
        <f>"1552374888287338"</f>
        <v>1552374888287338</v>
      </c>
      <c r="C6571" t="s">
        <v>40</v>
      </c>
      <c r="D6571">
        <v>4.6340769999999996</v>
      </c>
      <c r="E6571">
        <v>0.43045800000000001</v>
      </c>
      <c r="F6571" t="s">
        <v>42</v>
      </c>
      <c r="G6571">
        <v>-94.228669999999994</v>
      </c>
      <c r="H6571" s="1">
        <v>-4.4802309999999997E-6</v>
      </c>
      <c r="I6571">
        <v>148.8801</v>
      </c>
      <c r="J6571">
        <v>-125.50360000000001</v>
      </c>
      <c r="K6571">
        <v>1.113421</v>
      </c>
      <c r="L6571">
        <v>143.23689999999999</v>
      </c>
      <c r="M6571">
        <v>0.99498739999999997</v>
      </c>
      <c r="N6571">
        <v>0</v>
      </c>
      <c r="O6571">
        <v>-9.4147700000000001E-2</v>
      </c>
      <c r="P6571">
        <v>0.9980308</v>
      </c>
      <c r="Q6571">
        <v>6.2601509999999999E-2</v>
      </c>
      <c r="R6571">
        <v>-3.9783140000000002E-3</v>
      </c>
      <c r="S6571">
        <v>3.015244</v>
      </c>
      <c r="T6571">
        <v>-0.1070738</v>
      </c>
      <c r="U6571">
        <v>0.5422363</v>
      </c>
      <c r="V6571">
        <v>-9.0045050000000001E-2</v>
      </c>
      <c r="W6571">
        <v>9.6084729999999993E-2</v>
      </c>
      <c r="X6571">
        <v>0.9912919</v>
      </c>
      <c r="Y6571">
        <v>-0.26869710000000002</v>
      </c>
      <c r="Z6571">
        <v>8.0522370000000003E-3</v>
      </c>
      <c r="AA6571">
        <v>0.96319109999999997</v>
      </c>
      <c r="AB6571">
        <v>7</v>
      </c>
      <c r="AC6571">
        <v>31.274930000000001</v>
      </c>
      <c r="AD6571">
        <v>-1.113425480231</v>
      </c>
      <c r="AE6571">
        <v>5.6432000000000002</v>
      </c>
      <c r="AF6571">
        <v>-8.5537431475148402</v>
      </c>
      <c r="AG6571">
        <v>-1.113425480231</v>
      </c>
      <c r="AH6571">
        <v>30.566739375333199</v>
      </c>
      <c r="AI6571">
        <v>92.0090231000746</v>
      </c>
      <c r="AJ6571">
        <v>105.63365276920101</v>
      </c>
      <c r="AK6571">
        <v>31.760538316804901</v>
      </c>
      <c r="AL6571">
        <v>84.486244159272999</v>
      </c>
      <c r="AM6571">
        <v>95.190278786603997</v>
      </c>
      <c r="AN6571">
        <v>1.0000000086871399</v>
      </c>
    </row>
    <row r="6572" spans="1:40" x14ac:dyDescent="0.25">
      <c r="A6572" t="str">
        <f>"20190312151448312"</f>
        <v>20190312151448312</v>
      </c>
      <c r="B6572" t="str">
        <f>"1552374888306965"</f>
        <v>1552374888306965</v>
      </c>
      <c r="C6572" t="s">
        <v>40</v>
      </c>
      <c r="D6572">
        <v>4.6558169999999999</v>
      </c>
      <c r="E6572">
        <v>0.40824860000000002</v>
      </c>
      <c r="F6572" t="s">
        <v>42</v>
      </c>
      <c r="G6572">
        <v>-94.341419999999999</v>
      </c>
      <c r="H6572" s="1">
        <v>-4.4426849999999996E-6</v>
      </c>
      <c r="I6572">
        <v>148.88480000000001</v>
      </c>
      <c r="J6572">
        <v>-125.4513</v>
      </c>
      <c r="K6572">
        <v>1.113545</v>
      </c>
      <c r="L6572">
        <v>143.23230000000001</v>
      </c>
      <c r="M6572">
        <v>0.99497930000000001</v>
      </c>
      <c r="N6572">
        <v>0</v>
      </c>
      <c r="O6572">
        <v>-9.3860520000000003E-2</v>
      </c>
      <c r="P6572">
        <v>0.99811459999999996</v>
      </c>
      <c r="Q6572">
        <v>6.1232689999999999E-2</v>
      </c>
      <c r="R6572">
        <v>-4.2875109999999999E-3</v>
      </c>
      <c r="S6572">
        <v>3.0148470000000001</v>
      </c>
      <c r="T6572">
        <v>-0.1077206</v>
      </c>
      <c r="U6572">
        <v>0.54641719999999905</v>
      </c>
      <c r="V6572">
        <v>-8.9457599999999998E-2</v>
      </c>
      <c r="W6572">
        <v>9.574299E-2</v>
      </c>
      <c r="X6572">
        <v>0.99137810000000004</v>
      </c>
      <c r="Y6572">
        <v>-0.26973469999999999</v>
      </c>
      <c r="Z6572">
        <v>8.1092719999999903E-3</v>
      </c>
      <c r="AA6572">
        <v>0.96290050000000005</v>
      </c>
      <c r="AB6572">
        <v>6</v>
      </c>
      <c r="AC6572">
        <v>31.10988</v>
      </c>
      <c r="AD6572">
        <v>-1.1135494426849999</v>
      </c>
      <c r="AE6572">
        <v>5.6524999999999999</v>
      </c>
      <c r="AF6572">
        <v>-8.5386781879182294</v>
      </c>
      <c r="AG6572">
        <v>-1.1135494426849999</v>
      </c>
      <c r="AH6572">
        <v>30.403798876233498</v>
      </c>
      <c r="AI6572">
        <v>92.019478942097805</v>
      </c>
      <c r="AJ6572">
        <v>105.686997767054</v>
      </c>
      <c r="AK6572">
        <v>31.599683600703798</v>
      </c>
      <c r="AL6572">
        <v>84.505914839374896</v>
      </c>
      <c r="AM6572">
        <v>95.156154832200997</v>
      </c>
      <c r="AN6572">
        <v>0.99999995974575395</v>
      </c>
    </row>
    <row r="6573" spans="1:40" x14ac:dyDescent="0.25">
      <c r="A6573" t="str">
        <f>"20190312151448335"</f>
        <v>20190312151448335</v>
      </c>
      <c r="B6573" t="str">
        <f>"1552374888327462"</f>
        <v>1552374888327462</v>
      </c>
      <c r="C6573" t="s">
        <v>40</v>
      </c>
      <c r="D6573">
        <v>4.6002450000000001</v>
      </c>
      <c r="E6573">
        <v>0.3573906</v>
      </c>
      <c r="F6573" t="s">
        <v>72</v>
      </c>
      <c r="G6573">
        <v>-53.228909999999999</v>
      </c>
      <c r="H6573">
        <v>0.99731429999999999</v>
      </c>
      <c r="I6573">
        <v>160.5471</v>
      </c>
      <c r="J6573">
        <v>-125.40309999999999</v>
      </c>
      <c r="K6573">
        <v>1.113459</v>
      </c>
      <c r="L6573">
        <v>143.22810000000001</v>
      </c>
      <c r="M6573">
        <v>0.99500080000000002</v>
      </c>
      <c r="N6573">
        <v>0</v>
      </c>
      <c r="O6573">
        <v>-9.3577370000000007E-2</v>
      </c>
      <c r="P6573">
        <v>0.99815089999999995</v>
      </c>
      <c r="Q6573">
        <v>6.0627279999999999E-2</v>
      </c>
      <c r="R6573">
        <v>-4.3782710000000004E-3</v>
      </c>
      <c r="S6573">
        <v>3.009064</v>
      </c>
      <c r="T6573">
        <v>-4.8396589999999996E-3</v>
      </c>
      <c r="U6573">
        <v>0.72140499999999996</v>
      </c>
      <c r="V6573">
        <v>-8.9091439999999994E-2</v>
      </c>
      <c r="W6573">
        <v>9.5277829999999994E-2</v>
      </c>
      <c r="X6573">
        <v>0.99145589999999995</v>
      </c>
      <c r="Y6573">
        <v>-0.32316699999999998</v>
      </c>
      <c r="Z6573">
        <v>4.0499699999999999E-4</v>
      </c>
      <c r="AA6573">
        <v>0.94634189999999996</v>
      </c>
      <c r="AB6573">
        <v>5</v>
      </c>
      <c r="AC6573">
        <v>72.174189999999996</v>
      </c>
      <c r="AD6573">
        <v>-0.1161447</v>
      </c>
      <c r="AE6573">
        <v>17.3189999999999</v>
      </c>
      <c r="AF6573">
        <v>-24.000836162513298</v>
      </c>
      <c r="AG6573">
        <v>-0.1161447</v>
      </c>
      <c r="AH6573">
        <v>70.2352785113913</v>
      </c>
      <c r="AI6573">
        <v>90.0896569434627</v>
      </c>
      <c r="AJ6573">
        <v>108.86635072935201</v>
      </c>
      <c r="AK6573">
        <v>74.222961229419099</v>
      </c>
      <c r="AL6573">
        <v>84.532689032159595</v>
      </c>
      <c r="AM6573">
        <v>95.134762374666906</v>
      </c>
      <c r="AN6573">
        <v>0.99999997560779597</v>
      </c>
    </row>
    <row r="6574" spans="1:40" x14ac:dyDescent="0.25">
      <c r="A6574" t="str">
        <f>"20190312151448374"</f>
        <v>20190312151448374</v>
      </c>
      <c r="B6574" t="str">
        <f>"1552374888367480"</f>
        <v>1552374888367480</v>
      </c>
      <c r="C6574" t="s">
        <v>40</v>
      </c>
      <c r="D6574">
        <v>4.4333410000000004</v>
      </c>
      <c r="E6574">
        <v>0.34467179999999997</v>
      </c>
      <c r="F6574" t="s">
        <v>42</v>
      </c>
      <c r="G6574">
        <v>-103.8159</v>
      </c>
      <c r="H6574">
        <v>7.9986299999999996E-2</v>
      </c>
      <c r="I6574">
        <v>151.29769999999999</v>
      </c>
      <c r="J6574">
        <v>-125.3258</v>
      </c>
      <c r="K6574">
        <v>1.1131040000000001</v>
      </c>
      <c r="L6574">
        <v>143.22139999999999</v>
      </c>
      <c r="M6574">
        <v>0.99507979999999996</v>
      </c>
      <c r="N6574">
        <v>0</v>
      </c>
      <c r="O6574">
        <v>-9.3075249999999998E-2</v>
      </c>
      <c r="P6574">
        <v>0.99807239999999997</v>
      </c>
      <c r="Q6574">
        <v>6.1913129999999997E-2</v>
      </c>
      <c r="R6574">
        <v>-4.3067610000000001E-3</v>
      </c>
      <c r="S6574">
        <v>3.0193020000000002</v>
      </c>
      <c r="T6574">
        <v>-0.14454710000000001</v>
      </c>
      <c r="U6574">
        <v>1.1286620000000001</v>
      </c>
      <c r="V6574">
        <v>-8.8659550000000004E-2</v>
      </c>
      <c r="W6574">
        <v>9.5639039999999995E-2</v>
      </c>
      <c r="X6574">
        <v>0.9914598</v>
      </c>
      <c r="Y6574">
        <v>-0.43532650000000001</v>
      </c>
      <c r="Z6574">
        <v>1.439874E-2</v>
      </c>
      <c r="AA6574">
        <v>0.90015750000000005</v>
      </c>
      <c r="AB6574">
        <v>5</v>
      </c>
      <c r="AC6574">
        <v>21.509899999999998</v>
      </c>
      <c r="AD6574">
        <v>-1.0331177</v>
      </c>
      <c r="AE6574">
        <v>8.0762999999999998</v>
      </c>
      <c r="AF6574">
        <v>-10.024128380069</v>
      </c>
      <c r="AG6574">
        <v>-1.0331177</v>
      </c>
      <c r="AH6574">
        <v>20.622586211719899</v>
      </c>
      <c r="AI6574">
        <v>92.579759240840801</v>
      </c>
      <c r="AJ6574">
        <v>115.923238694094</v>
      </c>
      <c r="AK6574">
        <v>22.953029081626202</v>
      </c>
      <c r="AL6574">
        <v>84.511898075473894</v>
      </c>
      <c r="AM6574">
        <v>95.109982615828102</v>
      </c>
      <c r="AN6574">
        <v>0.99999993839718004</v>
      </c>
    </row>
    <row r="6575" spans="1:40" x14ac:dyDescent="0.25">
      <c r="A6575" t="str">
        <f>"20190312151448399"</f>
        <v>20190312151448399</v>
      </c>
      <c r="B6575" t="str">
        <f>"1552374888397733"</f>
        <v>1552374888397733</v>
      </c>
      <c r="C6575" t="s">
        <v>40</v>
      </c>
      <c r="D6575">
        <v>4.414104</v>
      </c>
      <c r="E6575">
        <v>0.34335680000000002</v>
      </c>
      <c r="F6575" t="s">
        <v>43</v>
      </c>
      <c r="G6575">
        <v>-93.597520000000003</v>
      </c>
      <c r="H6575">
        <v>-0.05</v>
      </c>
      <c r="I6575">
        <v>156.155</v>
      </c>
      <c r="J6575">
        <v>-125.28060000000001</v>
      </c>
      <c r="K6575">
        <v>1.1130389999999999</v>
      </c>
      <c r="L6575">
        <v>143.2176</v>
      </c>
      <c r="M6575">
        <v>0.9951141</v>
      </c>
      <c r="N6575">
        <v>0</v>
      </c>
      <c r="O6575">
        <v>-9.2770909999999998E-2</v>
      </c>
      <c r="P6575">
        <v>0.99804850000000001</v>
      </c>
      <c r="Q6575">
        <v>6.2316070000000001E-2</v>
      </c>
      <c r="R6575">
        <v>-4.030474E-3</v>
      </c>
      <c r="S6575">
        <v>3.01796</v>
      </c>
      <c r="T6575">
        <v>-0.1106331</v>
      </c>
      <c r="U6575">
        <v>1.2302249999999999</v>
      </c>
      <c r="V6575">
        <v>-8.8626350000000007E-2</v>
      </c>
      <c r="W6575">
        <v>9.5874000000000001E-2</v>
      </c>
      <c r="X6575">
        <v>0.99144010000000005</v>
      </c>
      <c r="Y6575">
        <v>-0.461482</v>
      </c>
      <c r="Z6575">
        <v>1.141378E-2</v>
      </c>
      <c r="AA6575">
        <v>0.88707610000000003</v>
      </c>
      <c r="AB6575">
        <v>5</v>
      </c>
      <c r="AC6575">
        <v>31.68308</v>
      </c>
      <c r="AD6575">
        <v>-1.1630389999999999</v>
      </c>
      <c r="AE6575">
        <v>12.937399999999901</v>
      </c>
      <c r="AF6575">
        <v>-15.804237516287699</v>
      </c>
      <c r="AG6575">
        <v>-1.1630389999999999</v>
      </c>
      <c r="AH6575">
        <v>30.310382934952202</v>
      </c>
      <c r="AI6575">
        <v>91.948661082095299</v>
      </c>
      <c r="AJ6575">
        <v>117.53813647947101</v>
      </c>
      <c r="AK6575">
        <v>34.203010055405898</v>
      </c>
      <c r="AL6575">
        <v>84.4983738457925</v>
      </c>
      <c r="AM6575">
        <v>95.108180186462306</v>
      </c>
      <c r="AN6575">
        <v>0.99999996283916504</v>
      </c>
    </row>
    <row r="6576" spans="1:40" x14ac:dyDescent="0.25">
      <c r="A6576" t="str">
        <f>"20190312151448427"</f>
        <v>20190312151448427</v>
      </c>
      <c r="B6576" t="str">
        <f>"1552374888418229"</f>
        <v>1552374888418229</v>
      </c>
      <c r="C6576" t="s">
        <v>40</v>
      </c>
      <c r="D6576">
        <v>4.3697670000000004</v>
      </c>
      <c r="E6576">
        <v>0.3427731</v>
      </c>
      <c r="F6576" t="s">
        <v>42</v>
      </c>
      <c r="G6576">
        <v>-97.814340000000001</v>
      </c>
      <c r="H6576">
        <v>7.9986420000000003E-2</v>
      </c>
      <c r="I6576">
        <v>154.5163</v>
      </c>
      <c r="J6576">
        <v>-125.23909999999999</v>
      </c>
      <c r="K6576">
        <v>1.113051</v>
      </c>
      <c r="L6576">
        <v>143.2141</v>
      </c>
      <c r="M6576">
        <v>0.99513870000000004</v>
      </c>
      <c r="N6576">
        <v>0</v>
      </c>
      <c r="O6576">
        <v>-9.2456109999999994E-2</v>
      </c>
      <c r="P6576">
        <v>0.99803629999999999</v>
      </c>
      <c r="Q6576">
        <v>6.250029E-2</v>
      </c>
      <c r="R6576">
        <v>-4.1431699999999998E-3</v>
      </c>
      <c r="S6576">
        <v>3.0179749999999999</v>
      </c>
      <c r="T6576">
        <v>-0.113511</v>
      </c>
      <c r="U6576">
        <v>1.2414860000000001</v>
      </c>
      <c r="V6576">
        <v>-8.8192899999999894E-2</v>
      </c>
      <c r="W6576">
        <v>9.6196740000000003E-2</v>
      </c>
      <c r="X6576">
        <v>0.99144750000000004</v>
      </c>
      <c r="Y6576">
        <v>-0.46401520000000002</v>
      </c>
      <c r="Z6576">
        <v>1.173694E-2</v>
      </c>
      <c r="AA6576">
        <v>0.88574949999999997</v>
      </c>
      <c r="AB6576">
        <v>4</v>
      </c>
      <c r="AC6576">
        <v>27.4247599999999</v>
      </c>
      <c r="AD6576">
        <v>-1.03306458</v>
      </c>
      <c r="AE6576">
        <v>11.302199999999999</v>
      </c>
      <c r="AF6576">
        <v>-13.7740737296148</v>
      </c>
      <c r="AG6576">
        <v>-1.03306458</v>
      </c>
      <c r="AH6576">
        <v>26.229782902757901</v>
      </c>
      <c r="AI6576">
        <v>91.997075773527399</v>
      </c>
      <c r="AJ6576">
        <v>117.705359213573</v>
      </c>
      <c r="AK6576">
        <v>29.6444571659042</v>
      </c>
      <c r="AL6576">
        <v>84.479796393752693</v>
      </c>
      <c r="AM6576">
        <v>95.083290785322106</v>
      </c>
      <c r="AN6576">
        <v>0.99999997282664299</v>
      </c>
    </row>
    <row r="6577" spans="1:40" x14ac:dyDescent="0.25">
      <c r="A6577" t="str">
        <f>"20190312151448463"</f>
        <v>20190312151448463</v>
      </c>
      <c r="B6577" t="str">
        <f>"1552374888457269"</f>
        <v>1552374888457269</v>
      </c>
      <c r="C6577" t="s">
        <v>40</v>
      </c>
      <c r="D6577">
        <v>4.4069070000000004</v>
      </c>
      <c r="E6577">
        <v>0.34215489999999998</v>
      </c>
      <c r="F6577" t="s">
        <v>43</v>
      </c>
      <c r="G6577">
        <v>-93.234999999999999</v>
      </c>
      <c r="H6577">
        <v>-0.05</v>
      </c>
      <c r="I6577">
        <v>156.42609999999999</v>
      </c>
      <c r="J6577">
        <v>-125.19459999999999</v>
      </c>
      <c r="K6577">
        <v>1.1130150000000001</v>
      </c>
      <c r="L6577">
        <v>143.21039999999999</v>
      </c>
      <c r="M6577">
        <v>0.99517460000000002</v>
      </c>
      <c r="N6577">
        <v>0</v>
      </c>
      <c r="O6577">
        <v>-9.2097739999999997E-2</v>
      </c>
      <c r="P6577">
        <v>0.99803980000000003</v>
      </c>
      <c r="Q6577">
        <v>6.2484030000000003E-2</v>
      </c>
      <c r="R6577">
        <v>-3.499603E-3</v>
      </c>
      <c r="S6577">
        <v>3.0179290000000001</v>
      </c>
      <c r="T6577">
        <v>-0.10967349999999999</v>
      </c>
      <c r="U6577">
        <v>1.245865</v>
      </c>
      <c r="V6577">
        <v>-8.8471170000000002E-2</v>
      </c>
      <c r="W6577">
        <v>9.6106079999999997E-2</v>
      </c>
      <c r="X6577">
        <v>0.99143150000000002</v>
      </c>
      <c r="Y6577">
        <v>-0.46482180000000001</v>
      </c>
      <c r="Z6577">
        <v>1.133907E-2</v>
      </c>
      <c r="AA6577">
        <v>0.88533169999999894</v>
      </c>
      <c r="AB6577">
        <v>3</v>
      </c>
      <c r="AC6577">
        <v>31.959599999999899</v>
      </c>
      <c r="AD6577">
        <v>-1.1630149999999999</v>
      </c>
      <c r="AE6577">
        <v>13.215699999999901</v>
      </c>
      <c r="AF6577">
        <v>-16.086370960010498</v>
      </c>
      <c r="AG6577">
        <v>-1.1630149999999999</v>
      </c>
      <c r="AH6577">
        <v>30.57120871287</v>
      </c>
      <c r="AI6577">
        <v>91.928219034870096</v>
      </c>
      <c r="AJ6577">
        <v>117.753053022559</v>
      </c>
      <c r="AK6577">
        <v>34.564761487954101</v>
      </c>
      <c r="AL6577">
        <v>84.485015008776003</v>
      </c>
      <c r="AM6577">
        <v>95.0993272322835</v>
      </c>
      <c r="AN6577">
        <v>0.99999997286319198</v>
      </c>
    </row>
    <row r="6578" spans="1:40" x14ac:dyDescent="0.25">
      <c r="A6578" t="str">
        <f>"20190312151448490"</f>
        <v>20190312151448490</v>
      </c>
      <c r="B6578" t="str">
        <f>"1552374888487525"</f>
        <v>1552374888487525</v>
      </c>
      <c r="C6578" t="s">
        <v>40</v>
      </c>
      <c r="D6578">
        <v>4.382288</v>
      </c>
      <c r="E6578">
        <v>0.34149930000000001</v>
      </c>
      <c r="F6578" t="s">
        <v>42</v>
      </c>
      <c r="G6578">
        <v>-100.1504</v>
      </c>
      <c r="H6578">
        <v>7.998516E-2</v>
      </c>
      <c r="I6578">
        <v>153.6044</v>
      </c>
      <c r="J6578">
        <v>-125.16800000000001</v>
      </c>
      <c r="K6578">
        <v>1.112967</v>
      </c>
      <c r="L6578">
        <v>143.20820000000001</v>
      </c>
      <c r="M6578">
        <v>0.99519880000000005</v>
      </c>
      <c r="N6578">
        <v>0</v>
      </c>
      <c r="O6578">
        <v>-9.1919409999999993E-2</v>
      </c>
      <c r="P6578">
        <v>0.99803129999999995</v>
      </c>
      <c r="Q6578">
        <v>6.2640000000000001E-2</v>
      </c>
      <c r="R6578">
        <v>-3.1436989999999998E-3</v>
      </c>
      <c r="S6578">
        <v>3.0180820000000002</v>
      </c>
      <c r="T6578">
        <v>-0.12449060000000001</v>
      </c>
      <c r="U6578">
        <v>1.2525790000000001</v>
      </c>
      <c r="V6578">
        <v>-8.8646219999999998E-2</v>
      </c>
      <c r="W6578">
        <v>9.6036800000000005E-2</v>
      </c>
      <c r="X6578">
        <v>0.99142260000000004</v>
      </c>
      <c r="Y6578">
        <v>-0.46623559999999997</v>
      </c>
      <c r="Z6578">
        <v>1.2885000000000001E-2</v>
      </c>
      <c r="AA6578">
        <v>0.88456669999999904</v>
      </c>
      <c r="AB6578">
        <v>3</v>
      </c>
      <c r="AC6578">
        <v>25.017599999999899</v>
      </c>
      <c r="AD6578">
        <v>-1.0329818399999999</v>
      </c>
      <c r="AE6578">
        <v>10.396199999999901</v>
      </c>
      <c r="AF6578">
        <v>-12.634672258404001</v>
      </c>
      <c r="AG6578">
        <v>-1.0329818399999999</v>
      </c>
      <c r="AH6578">
        <v>23.920637179505398</v>
      </c>
      <c r="AI6578">
        <v>92.186747964534604</v>
      </c>
      <c r="AJ6578">
        <v>117.842624083123</v>
      </c>
      <c r="AK6578">
        <v>27.072105157017099</v>
      </c>
      <c r="AL6578">
        <v>84.489003032064304</v>
      </c>
      <c r="AM6578">
        <v>95.109409087049499</v>
      </c>
      <c r="AN6578">
        <v>0.99999999553264396</v>
      </c>
    </row>
    <row r="6579" spans="1:40" x14ac:dyDescent="0.25">
      <c r="A6579" t="str">
        <f>"20190312151448512"</f>
        <v>20190312151448512</v>
      </c>
      <c r="B6579" t="str">
        <f>"1552374888507554"</f>
        <v>1552374888507554</v>
      </c>
      <c r="C6579" t="s">
        <v>40</v>
      </c>
      <c r="D6579">
        <v>4.3626519999999998</v>
      </c>
      <c r="E6579">
        <v>0.34125609999999901</v>
      </c>
      <c r="F6579" t="s">
        <v>42</v>
      </c>
      <c r="G6579">
        <v>-100.49809999999999</v>
      </c>
      <c r="H6579">
        <v>7.9985280000000006E-2</v>
      </c>
      <c r="I6579">
        <v>153.50040000000001</v>
      </c>
      <c r="J6579">
        <v>-125.1498</v>
      </c>
      <c r="K6579">
        <v>1.1129230000000001</v>
      </c>
      <c r="L6579">
        <v>143.20670000000001</v>
      </c>
      <c r="M6579">
        <v>0.99521649999999995</v>
      </c>
      <c r="N6579">
        <v>0</v>
      </c>
      <c r="O6579">
        <v>-9.180758E-2</v>
      </c>
      <c r="P6579">
        <v>0.99799230000000005</v>
      </c>
      <c r="Q6579">
        <v>6.3262449999999998E-2</v>
      </c>
      <c r="R6579">
        <v>-3.0541740000000002E-3</v>
      </c>
      <c r="S6579">
        <v>3.0178069999999999</v>
      </c>
      <c r="T6579">
        <v>-0.1263618</v>
      </c>
      <c r="U6579">
        <v>1.259018</v>
      </c>
      <c r="V6579">
        <v>-8.8617650000000006E-2</v>
      </c>
      <c r="W6579">
        <v>9.644403E-2</v>
      </c>
      <c r="X6579">
        <v>0.99138559999999998</v>
      </c>
      <c r="Y6579">
        <v>-0.46775919999999999</v>
      </c>
      <c r="Z6579">
        <v>1.310062E-2</v>
      </c>
      <c r="AA6579">
        <v>0.88375879999999996</v>
      </c>
      <c r="AB6579">
        <v>2</v>
      </c>
      <c r="AC6579">
        <v>24.651700000000002</v>
      </c>
      <c r="AD6579">
        <v>-1.0329377199999901</v>
      </c>
      <c r="AE6579">
        <v>10.293699999999999</v>
      </c>
      <c r="AF6579">
        <v>-12.4959729331663</v>
      </c>
      <c r="AG6579">
        <v>-1.0329377199999901</v>
      </c>
      <c r="AH6579">
        <v>23.566673254653999</v>
      </c>
      <c r="AI6579">
        <v>92.217588489100194</v>
      </c>
      <c r="AJ6579">
        <v>117.93428630808501</v>
      </c>
      <c r="AK6579">
        <v>26.6946509280688</v>
      </c>
      <c r="AL6579">
        <v>84.465561536261006</v>
      </c>
      <c r="AM6579">
        <v>95.107960696918994</v>
      </c>
      <c r="AN6579">
        <v>0.99999997335076096</v>
      </c>
    </row>
    <row r="6580" spans="1:40" x14ac:dyDescent="0.25">
      <c r="A6580" t="str">
        <f>"20190312151448536"</f>
        <v>20190312151448536</v>
      </c>
      <c r="B6580" t="str">
        <f>"1552374888527072"</f>
        <v>1552374888527072</v>
      </c>
      <c r="C6580" t="s">
        <v>40</v>
      </c>
      <c r="D6580">
        <v>4.344608</v>
      </c>
      <c r="E6580">
        <v>0.34104030000000002</v>
      </c>
      <c r="F6580" t="s">
        <v>42</v>
      </c>
      <c r="G6580">
        <v>-101.16840000000001</v>
      </c>
      <c r="H6580">
        <v>7.9985490000000006E-2</v>
      </c>
      <c r="I6580">
        <v>153.2302</v>
      </c>
      <c r="J6580">
        <v>-125.13379999999999</v>
      </c>
      <c r="K6580">
        <v>1.112859</v>
      </c>
      <c r="L6580">
        <v>143.20529999999999</v>
      </c>
      <c r="M6580">
        <v>0.99523660000000003</v>
      </c>
      <c r="N6580">
        <v>0</v>
      </c>
      <c r="O6580">
        <v>-9.1701679999999994E-2</v>
      </c>
      <c r="P6580">
        <v>0.99797329999999995</v>
      </c>
      <c r="Q6580">
        <v>6.35931E-2</v>
      </c>
      <c r="R6580">
        <v>-2.2985190000000002E-3</v>
      </c>
      <c r="S6580">
        <v>3.0181429999999998</v>
      </c>
      <c r="T6580">
        <v>-0.12999859999999999</v>
      </c>
      <c r="U6580">
        <v>1.26149</v>
      </c>
      <c r="V6580">
        <v>-8.9257980000000001E-2</v>
      </c>
      <c r="W6580">
        <v>9.6468230000000002E-2</v>
      </c>
      <c r="X6580">
        <v>0.99132589999999998</v>
      </c>
      <c r="Y6580">
        <v>-0.468221</v>
      </c>
      <c r="Z6580">
        <v>1.3479059999999999E-2</v>
      </c>
      <c r="AA6580">
        <v>0.88350859999999998</v>
      </c>
      <c r="AB6580">
        <v>2</v>
      </c>
      <c r="AC6580">
        <v>23.965399999999899</v>
      </c>
      <c r="AD6580">
        <v>-1.0328735099999999</v>
      </c>
      <c r="AE6580">
        <v>10.024900000000001</v>
      </c>
      <c r="AF6580">
        <v>-12.1622586279661</v>
      </c>
      <c r="AG6580">
        <v>-1.0328735099999999</v>
      </c>
      <c r="AH6580">
        <v>22.908292728644</v>
      </c>
      <c r="AI6580">
        <v>92.280480050859893</v>
      </c>
      <c r="AJ6580">
        <v>117.96431252802201</v>
      </c>
      <c r="AK6580">
        <v>25.957219388109401</v>
      </c>
      <c r="AL6580">
        <v>84.464169037367</v>
      </c>
      <c r="AM6580">
        <v>95.144980402559995</v>
      </c>
      <c r="AN6580">
        <v>1.0000000732019001</v>
      </c>
    </row>
    <row r="6581" spans="1:40" x14ac:dyDescent="0.25">
      <c r="A6581" t="str">
        <f>"20190312151448558"</f>
        <v>20190312151448558</v>
      </c>
      <c r="B6581" t="str">
        <f>"1552374888547569"</f>
        <v>1552374888547569</v>
      </c>
      <c r="C6581" t="s">
        <v>40</v>
      </c>
      <c r="D6581">
        <v>4.3650769999999897</v>
      </c>
      <c r="E6581">
        <v>0.340709599999999</v>
      </c>
      <c r="F6581" t="s">
        <v>42</v>
      </c>
      <c r="G6581">
        <v>-101.6054</v>
      </c>
      <c r="H6581">
        <v>7.9985630000000002E-2</v>
      </c>
      <c r="I6581">
        <v>153.07329999999999</v>
      </c>
      <c r="J6581">
        <v>-125.12220000000001</v>
      </c>
      <c r="K6581">
        <v>1.112771</v>
      </c>
      <c r="L6581">
        <v>143.20439999999999</v>
      </c>
      <c r="M6581">
        <v>0.99525830000000004</v>
      </c>
      <c r="N6581">
        <v>0</v>
      </c>
      <c r="O6581">
        <v>-9.161938E-2</v>
      </c>
      <c r="P6581">
        <v>0.99794989999999995</v>
      </c>
      <c r="Q6581">
        <v>6.3975829999999997E-2</v>
      </c>
      <c r="R6581">
        <v>-1.756191E-3</v>
      </c>
      <c r="S6581">
        <v>3.0174409999999998</v>
      </c>
      <c r="T6581">
        <v>-0.13246250000000001</v>
      </c>
      <c r="U6581">
        <v>1.265533</v>
      </c>
      <c r="V6581">
        <v>-8.971121E-2</v>
      </c>
      <c r="W6581">
        <v>9.6423610000000007E-2</v>
      </c>
      <c r="X6581">
        <v>0.99128930000000004</v>
      </c>
      <c r="Y6581">
        <v>-0.46920919999999999</v>
      </c>
      <c r="Z6581">
        <v>1.375118E-2</v>
      </c>
      <c r="AA6581">
        <v>0.88297999999999899</v>
      </c>
      <c r="AB6581">
        <v>2</v>
      </c>
      <c r="AC6581">
        <v>23.5168</v>
      </c>
      <c r="AD6581">
        <v>-1.03278537</v>
      </c>
      <c r="AE6581">
        <v>9.8688999999999893</v>
      </c>
      <c r="AF6581">
        <v>-11.9634739441533</v>
      </c>
      <c r="AG6581">
        <v>-1.03278537</v>
      </c>
      <c r="AH6581">
        <v>22.476260932560901</v>
      </c>
      <c r="AI6581">
        <v>92.3227600114502</v>
      </c>
      <c r="AJ6581">
        <v>118.025102021563</v>
      </c>
      <c r="AK6581">
        <v>25.4828110682767</v>
      </c>
      <c r="AL6581">
        <v>84.466737392308801</v>
      </c>
      <c r="AM6581">
        <v>95.171153953867005</v>
      </c>
      <c r="AN6581">
        <v>1.0000000450297899</v>
      </c>
    </row>
    <row r="6582" spans="1:40" x14ac:dyDescent="0.25">
      <c r="A6582" t="str">
        <f>"20190312151448580"</f>
        <v>20190312151448580</v>
      </c>
      <c r="B6582" t="str">
        <f>"1552374888576848"</f>
        <v>1552374888576848</v>
      </c>
      <c r="C6582" t="s">
        <v>40</v>
      </c>
      <c r="D6582">
        <v>4.288278</v>
      </c>
      <c r="E6582">
        <v>0.34033000000000002</v>
      </c>
      <c r="F6582" t="s">
        <v>42</v>
      </c>
      <c r="G6582">
        <v>-102.8407</v>
      </c>
      <c r="H6582">
        <v>7.9986020000000005E-2</v>
      </c>
      <c r="I6582">
        <v>152.5796</v>
      </c>
      <c r="J6582">
        <v>-125.1131</v>
      </c>
      <c r="K6582">
        <v>1.112652</v>
      </c>
      <c r="L6582">
        <v>143.20359999999999</v>
      </c>
      <c r="M6582">
        <v>0.99528439999999996</v>
      </c>
      <c r="N6582">
        <v>0</v>
      </c>
      <c r="O6582">
        <v>-9.1558139999999996E-2</v>
      </c>
      <c r="P6582">
        <v>0.99792910000000001</v>
      </c>
      <c r="Q6582">
        <v>6.4313060000000005E-2</v>
      </c>
      <c r="R6582">
        <v>-1.312E-3</v>
      </c>
      <c r="S6582">
        <v>3.0173649999999999</v>
      </c>
      <c r="T6582">
        <v>-0.1398597</v>
      </c>
      <c r="U6582">
        <v>1.2695920000000001</v>
      </c>
      <c r="V6582">
        <v>-9.0089009999999997E-2</v>
      </c>
      <c r="W6582">
        <v>9.6135979999999996E-2</v>
      </c>
      <c r="X6582">
        <v>0.99128289999999997</v>
      </c>
      <c r="Y6582">
        <v>-0.4701168</v>
      </c>
      <c r="Z6582">
        <v>1.45325E-2</v>
      </c>
      <c r="AA6582">
        <v>0.88248459999999995</v>
      </c>
      <c r="AB6582">
        <v>1</v>
      </c>
      <c r="AC6582">
        <v>22.272400000000001</v>
      </c>
      <c r="AD6582">
        <v>-1.03266598</v>
      </c>
      <c r="AE6582">
        <v>9.3759999999999994</v>
      </c>
      <c r="AF6582">
        <v>-11.3561066322986</v>
      </c>
      <c r="AG6582">
        <v>-1.03266598</v>
      </c>
      <c r="AH6582">
        <v>21.281002086267002</v>
      </c>
      <c r="AI6582">
        <v>92.451403359833705</v>
      </c>
      <c r="AJ6582">
        <v>118.08556270102601</v>
      </c>
      <c r="AK6582">
        <v>24.143500298549998</v>
      </c>
      <c r="AL6582">
        <v>84.483293891364099</v>
      </c>
      <c r="AM6582">
        <v>95.192845719925501</v>
      </c>
      <c r="AN6582">
        <v>0.99999997210287395</v>
      </c>
    </row>
    <row r="6583" spans="1:40" x14ac:dyDescent="0.25">
      <c r="A6583" t="str">
        <f>"20190312151448603"</f>
        <v>20190312151448603</v>
      </c>
      <c r="B6583" t="str">
        <f>"1552374888597344"</f>
        <v>1552374888597344</v>
      </c>
      <c r="C6583" t="s">
        <v>40</v>
      </c>
      <c r="D6583">
        <v>4.4138409999999997</v>
      </c>
      <c r="E6583">
        <v>0.34024500000000002</v>
      </c>
      <c r="F6583" t="s">
        <v>42</v>
      </c>
      <c r="G6583">
        <v>-103.50879999999999</v>
      </c>
      <c r="H6583">
        <v>7.998624E-2</v>
      </c>
      <c r="I6583">
        <v>152.32660000000001</v>
      </c>
      <c r="J6583">
        <v>-125.105</v>
      </c>
      <c r="K6583">
        <v>1.1124889999999901</v>
      </c>
      <c r="L6583">
        <v>143.2029</v>
      </c>
      <c r="M6583">
        <v>0.99531820000000004</v>
      </c>
      <c r="N6583">
        <v>0</v>
      </c>
      <c r="O6583">
        <v>-9.1508140000000002E-2</v>
      </c>
      <c r="P6583">
        <v>0.99788080000000001</v>
      </c>
      <c r="Q6583">
        <v>6.5047889999999997E-2</v>
      </c>
      <c r="R6583">
        <v>-1.740922E-3</v>
      </c>
      <c r="S6583">
        <v>3.0172119999999998</v>
      </c>
      <c r="T6583">
        <v>-0.14422009999999999</v>
      </c>
      <c r="U6583">
        <v>1.2741089999999999</v>
      </c>
      <c r="V6583">
        <v>-8.9607480000000003E-2</v>
      </c>
      <c r="W6583">
        <v>9.5956570000000005E-2</v>
      </c>
      <c r="X6583">
        <v>0.991344</v>
      </c>
      <c r="Y6583">
        <v>-0.47117409999999998</v>
      </c>
      <c r="Z6583">
        <v>1.5003509999999999E-2</v>
      </c>
      <c r="AA6583">
        <v>0.88191260000000005</v>
      </c>
      <c r="AB6583">
        <v>1</v>
      </c>
      <c r="AC6583">
        <v>21.5962</v>
      </c>
      <c r="AD6583">
        <v>-1.0325027600000001</v>
      </c>
      <c r="AE6583">
        <v>9.1237000000000101</v>
      </c>
      <c r="AF6583">
        <v>-11.0411528975769</v>
      </c>
      <c r="AG6583">
        <v>-1.0325027600000001</v>
      </c>
      <c r="AH6583">
        <v>20.6301905476389</v>
      </c>
      <c r="AI6583">
        <v>92.526594053806903</v>
      </c>
      <c r="AJ6583">
        <v>118.15541956884</v>
      </c>
      <c r="AK6583">
        <v>23.421739501774201</v>
      </c>
      <c r="AL6583">
        <v>84.493621474377306</v>
      </c>
      <c r="AM6583">
        <v>95.164923624727507</v>
      </c>
      <c r="AN6583">
        <v>1.0000000450670501</v>
      </c>
    </row>
    <row r="6584" spans="1:40" x14ac:dyDescent="0.25">
      <c r="A6584" t="str">
        <f>"20190312151448643"</f>
        <v>20190312151448643</v>
      </c>
      <c r="B6584" t="str">
        <f>"1552374888637361"</f>
        <v>1552374888637361</v>
      </c>
      <c r="C6584" t="s">
        <v>40</v>
      </c>
      <c r="D6584">
        <v>4.5640989999999997</v>
      </c>
      <c r="E6584">
        <v>0.40887230000000002</v>
      </c>
      <c r="F6584" t="s">
        <v>42</v>
      </c>
      <c r="G6584">
        <v>-103.9004</v>
      </c>
      <c r="H6584">
        <v>7.9986379999999996E-2</v>
      </c>
      <c r="I6584">
        <v>152.15199999999999</v>
      </c>
      <c r="J6584">
        <v>-125.095</v>
      </c>
      <c r="K6584">
        <v>1.112177</v>
      </c>
      <c r="L6584">
        <v>143.2021</v>
      </c>
      <c r="M6584">
        <v>0.99538369999999998</v>
      </c>
      <c r="N6584">
        <v>0</v>
      </c>
      <c r="O6584">
        <v>-9.1435619999999995E-2</v>
      </c>
      <c r="P6584">
        <v>0.99780489999999999</v>
      </c>
      <c r="Q6584">
        <v>6.6185399999999894E-2</v>
      </c>
      <c r="R6584">
        <v>-2.2417769999999999E-3</v>
      </c>
      <c r="S6584">
        <v>3.0181879999999999</v>
      </c>
      <c r="T6584">
        <v>-0.14696300000000001</v>
      </c>
      <c r="U6584">
        <v>1.2737879999999999</v>
      </c>
      <c r="V6584">
        <v>-8.9027670000000003E-2</v>
      </c>
      <c r="W6584">
        <v>9.5160110000000006E-2</v>
      </c>
      <c r="X6584">
        <v>0.99147300000000005</v>
      </c>
      <c r="Y6584">
        <v>-0.47090290000000001</v>
      </c>
      <c r="Z6584">
        <v>1.5274319999999999E-2</v>
      </c>
      <c r="AA6584">
        <v>0.88205279999999997</v>
      </c>
      <c r="AB6584">
        <v>1</v>
      </c>
      <c r="AC6584">
        <v>21.194599999999902</v>
      </c>
      <c r="AD6584">
        <v>-1.0321906199999999</v>
      </c>
      <c r="AE6584">
        <v>8.9499000000000102</v>
      </c>
      <c r="AF6584">
        <v>-10.8293454303952</v>
      </c>
      <c r="AG6584">
        <v>-1.0321906199999999</v>
      </c>
      <c r="AH6584">
        <v>20.246299367397199</v>
      </c>
      <c r="AI6584">
        <v>92.573995241833202</v>
      </c>
      <c r="AJ6584">
        <v>118.141446081016</v>
      </c>
      <c r="AK6584">
        <v>22.983750303227399</v>
      </c>
      <c r="AL6584">
        <v>84.539465036600504</v>
      </c>
      <c r="AM6584">
        <v>95.131018609422</v>
      </c>
      <c r="AN6584">
        <v>1.0000000411449099</v>
      </c>
    </row>
    <row r="6585" spans="1:40" x14ac:dyDescent="0.25">
      <c r="A6585" t="str">
        <f>"20190312151448672"</f>
        <v>20190312151448672</v>
      </c>
      <c r="B6585" t="str">
        <f>"1552374888667616"</f>
        <v>1552374888667616</v>
      </c>
      <c r="C6585" t="s">
        <v>40</v>
      </c>
      <c r="D6585">
        <v>4.4682919999999999</v>
      </c>
      <c r="E6585">
        <v>0.51217069999999998</v>
      </c>
      <c r="F6585" t="s">
        <v>42</v>
      </c>
      <c r="G6585">
        <v>-107.8627</v>
      </c>
      <c r="H6585" s="1">
        <v>-3.045904E-6</v>
      </c>
      <c r="I6585">
        <v>147.34010000000001</v>
      </c>
      <c r="J6585">
        <v>-125.0895</v>
      </c>
      <c r="K6585">
        <v>1.1119479999999999</v>
      </c>
      <c r="L6585">
        <v>143.20160000000001</v>
      </c>
      <c r="M6585">
        <v>0.99543479999999995</v>
      </c>
      <c r="N6585">
        <v>0</v>
      </c>
      <c r="O6585">
        <v>-9.1387529999999995E-2</v>
      </c>
      <c r="P6585">
        <v>0.99767459999999997</v>
      </c>
      <c r="Q6585">
        <v>6.8122039999999995E-2</v>
      </c>
      <c r="R6585">
        <v>-2.144712E-3</v>
      </c>
      <c r="S6585">
        <v>3.0211640000000002</v>
      </c>
      <c r="T6585">
        <v>-0.19498660000000001</v>
      </c>
      <c r="U6585">
        <v>0.72547910000000004</v>
      </c>
      <c r="V6585">
        <v>-8.9061470000000004E-2</v>
      </c>
      <c r="W6585">
        <v>9.5465789999999995E-2</v>
      </c>
      <c r="X6585">
        <v>0.99144049999999995</v>
      </c>
      <c r="Y6585">
        <v>-0.32059729999999997</v>
      </c>
      <c r="Z6585">
        <v>1.6012160000000001E-2</v>
      </c>
      <c r="AA6585">
        <v>0.94708029999999999</v>
      </c>
      <c r="AB6585">
        <v>1</v>
      </c>
      <c r="AC6585">
        <v>17.226799999999901</v>
      </c>
      <c r="AD6585">
        <v>-1.1119510459039901</v>
      </c>
      <c r="AE6585">
        <v>4.1384999999999899</v>
      </c>
      <c r="AF6585">
        <v>-5.6737312532384401</v>
      </c>
      <c r="AG6585">
        <v>-1.1119510459039901</v>
      </c>
      <c r="AH6585">
        <v>16.710483498771602</v>
      </c>
      <c r="AI6585">
        <v>93.605398614467802</v>
      </c>
      <c r="AJ6585">
        <v>108.753955088838</v>
      </c>
      <c r="AK6585">
        <v>17.682418393002099</v>
      </c>
      <c r="AL6585">
        <v>84.521870337769002</v>
      </c>
      <c r="AM6585">
        <v>95.133123595883603</v>
      </c>
      <c r="AN6585">
        <v>0.99999996376956601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2020-05-20T14:50:38Z</dcterms:created>
  <dcterms:modified xsi:type="dcterms:W3CDTF">2020-05-20T14:50:39Z</dcterms:modified>
</cp:coreProperties>
</file>